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Concessionárias de Distribuição\2022\06 - D28 - Cocel (Ricardo)\Z Diversos\Z MSGs\220622 Conselho\"/>
    </mc:Choice>
  </mc:AlternateContent>
  <xr:revisionPtr revIDLastSave="0" documentId="13_ncr:1_{524B4C85-E2F0-4B6E-ACA8-2666BAB7D7E1}" xr6:coauthVersionLast="47" xr6:coauthVersionMax="47" xr10:uidLastSave="{00000000-0000-0000-0000-000000000000}"/>
  <bookViews>
    <workbookView xWindow="-21720" yWindow="1080" windowWidth="21840" windowHeight="13140" tabRatio="867" firstSheet="18" activeTab="22" xr2:uid="{C256B9CA-C322-48E1-8A3C-E75F1D8ABAB8}"/>
  </bookViews>
  <sheets>
    <sheet name="Mercado Receita Dinamico" sheetId="37" r:id="rId1"/>
    <sheet name="Mercado_Receita" sheetId="1" r:id="rId2"/>
    <sheet name="Ajuste Subvenção Realizada" sheetId="38" r:id="rId3"/>
    <sheet name="EVENTOS" sheetId="2" r:id="rId4"/>
    <sheet name="TAR FIN COPEL" sheetId="35" r:id="rId5"/>
    <sheet name="TAR FIN" sheetId="15" r:id="rId6"/>
    <sheet name="MERCADO TUSD" sheetId="3" r:id="rId7"/>
    <sheet name="MERCADO TE" sheetId="4" r:id="rId8"/>
    <sheet name="CUSTOS" sheetId="5" r:id="rId9"/>
    <sheet name="TRANSICAO" sheetId="14" r:id="rId10"/>
    <sheet name="TR TUSD" sheetId="6" r:id="rId11"/>
    <sheet name="TUSD BE" sheetId="7" r:id="rId12"/>
    <sheet name="TUSD BF" sheetId="8" r:id="rId13"/>
    <sheet name="TUSD BF_350" sheetId="32" r:id="rId14"/>
    <sheet name="TABELAS REH COPEL" sheetId="33" r:id="rId15"/>
    <sheet name="TUSD CVA" sheetId="9" r:id="rId16"/>
    <sheet name="TR TE" sheetId="10" r:id="rId17"/>
    <sheet name="TE BE" sheetId="11" r:id="rId18"/>
    <sheet name="TE BF_350" sheetId="34" r:id="rId19"/>
    <sheet name="TE BF" sheetId="12" r:id="rId20"/>
    <sheet name="TE CVA" sheetId="13" r:id="rId21"/>
    <sheet name="EFEITO" sheetId="16" r:id="rId22"/>
    <sheet name="EFEITO_m350" sheetId="30" r:id="rId23"/>
    <sheet name="TarifaMedia" sheetId="29" r:id="rId24"/>
    <sheet name="SUBSIDIO" sheetId="17" r:id="rId25"/>
    <sheet name="TabDinEfeito" sheetId="18" r:id="rId26"/>
    <sheet name="TabDinSubsidio" sheetId="19" r:id="rId27"/>
    <sheet name="TABELAS REH" sheetId="28" r:id="rId28"/>
    <sheet name="CONSISTENCIA" sheetId="21" r:id="rId29"/>
    <sheet name="TUSD" sheetId="23" r:id="rId30"/>
    <sheet name="TE" sheetId="24" r:id="rId31"/>
    <sheet name="RESUMO TUSD" sheetId="25" r:id="rId32"/>
    <sheet name="RESUMO TE" sheetId="26" r:id="rId33"/>
    <sheet name="Descontos" sheetId="20" r:id="rId34"/>
    <sheet name="ERD" sheetId="27" r:id="rId35"/>
  </sheets>
  <externalReferences>
    <externalReference r:id="rId36"/>
  </externalReferences>
  <definedNames>
    <definedName name="_xlnm._FilterDatabase" localSheetId="1" hidden="1">Mercado_Receita!$A$1:$W$987</definedName>
    <definedName name="_xlnm._FilterDatabase" localSheetId="4" hidden="1">'TAR FIN COPEL'!$A$1:$AX$219</definedName>
  </definedNames>
  <calcPr calcId="191029" iterate="1"/>
  <pivotCaches>
    <pivotCache cacheId="6" r:id="rId37"/>
    <pivotCache cacheId="7" r:id="rId38"/>
    <pivotCache cacheId="8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U43" i="32" l="1"/>
  <c r="AU8" i="32"/>
  <c r="AU7" i="32"/>
  <c r="L14" i="29"/>
  <c r="O14" i="15" l="1"/>
  <c r="R9" i="38" l="1"/>
  <c r="R15" i="38"/>
  <c r="R16" i="38"/>
  <c r="R18" i="38"/>
  <c r="R19" i="38"/>
  <c r="R23" i="38"/>
  <c r="R26" i="38"/>
  <c r="R27" i="38"/>
  <c r="S9" i="38"/>
  <c r="T9" i="38"/>
  <c r="U9" i="38"/>
  <c r="V9" i="38"/>
  <c r="S15" i="38"/>
  <c r="T15" i="38"/>
  <c r="U15" i="38"/>
  <c r="V15" i="38"/>
  <c r="S16" i="38"/>
  <c r="T16" i="38"/>
  <c r="U16" i="38"/>
  <c r="V16" i="38"/>
  <c r="S18" i="38"/>
  <c r="T18" i="38"/>
  <c r="U18" i="38"/>
  <c r="V18" i="38"/>
  <c r="S19" i="38"/>
  <c r="T19" i="38"/>
  <c r="U19" i="38"/>
  <c r="V19" i="38"/>
  <c r="S23" i="38"/>
  <c r="T23" i="38"/>
  <c r="U23" i="38"/>
  <c r="V23" i="38"/>
  <c r="S26" i="38"/>
  <c r="T26" i="38"/>
  <c r="U26" i="38"/>
  <c r="V26" i="38"/>
  <c r="S27" i="38"/>
  <c r="T27" i="38"/>
  <c r="U27" i="38"/>
  <c r="V27" i="38"/>
  <c r="N28" i="38"/>
  <c r="N24" i="38"/>
  <c r="N22" i="38"/>
  <c r="N21" i="38"/>
  <c r="N20" i="38"/>
  <c r="N17" i="38"/>
  <c r="N11" i="38"/>
  <c r="N14" i="38" s="1"/>
  <c r="N10" i="38"/>
  <c r="N8" i="38"/>
  <c r="N7" i="38"/>
  <c r="N6" i="38"/>
  <c r="M28" i="38"/>
  <c r="O28" i="38" s="1"/>
  <c r="S28" i="38" s="1"/>
  <c r="M24" i="38"/>
  <c r="M25" i="38" s="1"/>
  <c r="M22" i="38"/>
  <c r="M21" i="38"/>
  <c r="O21" i="38" s="1"/>
  <c r="S21" i="38" s="1"/>
  <c r="M20" i="38"/>
  <c r="M17" i="38"/>
  <c r="M11" i="38"/>
  <c r="M12" i="38" s="1"/>
  <c r="M13" i="38" s="1"/>
  <c r="M10" i="38"/>
  <c r="M8" i="38"/>
  <c r="M7" i="38"/>
  <c r="M6" i="38"/>
  <c r="K28" i="38"/>
  <c r="K25" i="38"/>
  <c r="L25" i="38" s="1"/>
  <c r="K24" i="38"/>
  <c r="L24" i="38" s="1"/>
  <c r="K22" i="38"/>
  <c r="K21" i="38"/>
  <c r="K20" i="38"/>
  <c r="K17" i="38"/>
  <c r="K12" i="38"/>
  <c r="K13" i="38" s="1"/>
  <c r="K14" i="38" s="1"/>
  <c r="K11" i="38"/>
  <c r="L11" i="38" s="1"/>
  <c r="K10" i="38"/>
  <c r="K8" i="38"/>
  <c r="K7" i="38"/>
  <c r="K6" i="38"/>
  <c r="L6" i="38" s="1"/>
  <c r="J28" i="38"/>
  <c r="J25" i="38"/>
  <c r="J24" i="38"/>
  <c r="J22" i="38"/>
  <c r="J21" i="38"/>
  <c r="J20" i="38"/>
  <c r="J17" i="38"/>
  <c r="J13" i="38"/>
  <c r="J14" i="38" s="1"/>
  <c r="J12" i="38"/>
  <c r="J11" i="38"/>
  <c r="J10" i="38"/>
  <c r="J8" i="38"/>
  <c r="L8" i="38" s="1"/>
  <c r="J7" i="38"/>
  <c r="L7" i="38" s="1"/>
  <c r="J6" i="38"/>
  <c r="O27" i="38"/>
  <c r="O26" i="38"/>
  <c r="O23" i="38"/>
  <c r="O20" i="38"/>
  <c r="S20" i="38" s="1"/>
  <c r="O19" i="38"/>
  <c r="O18" i="38"/>
  <c r="O17" i="38"/>
  <c r="S17" i="38" s="1"/>
  <c r="O16" i="38"/>
  <c r="O15" i="38"/>
  <c r="O9" i="38"/>
  <c r="O8" i="38"/>
  <c r="S8" i="38" s="1"/>
  <c r="O5" i="38"/>
  <c r="L9" i="38"/>
  <c r="L10" i="38"/>
  <c r="L12" i="38"/>
  <c r="L15" i="38"/>
  <c r="L16" i="38"/>
  <c r="L18" i="38"/>
  <c r="L19" i="38"/>
  <c r="L20" i="38"/>
  <c r="L22" i="38"/>
  <c r="L23" i="38"/>
  <c r="L26" i="38"/>
  <c r="L27" i="38"/>
  <c r="L28" i="38"/>
  <c r="L5" i="38"/>
  <c r="O7" i="38" l="1"/>
  <c r="O24" i="38"/>
  <c r="U24" i="38" s="1"/>
  <c r="V20" i="38"/>
  <c r="O10" i="38"/>
  <c r="R10" i="38" s="1"/>
  <c r="U20" i="38"/>
  <c r="R20" i="38"/>
  <c r="O6" i="38"/>
  <c r="T6" i="38" s="1"/>
  <c r="O11" i="38"/>
  <c r="M14" i="38"/>
  <c r="O14" i="38" s="1"/>
  <c r="V28" i="38"/>
  <c r="V21" i="38"/>
  <c r="U6" i="38"/>
  <c r="U8" i="38"/>
  <c r="R28" i="38"/>
  <c r="R24" i="38"/>
  <c r="N12" i="38"/>
  <c r="O12" i="38" s="1"/>
  <c r="N25" i="38"/>
  <c r="O25" i="38" s="1"/>
  <c r="T28" i="38"/>
  <c r="T24" i="38"/>
  <c r="T21" i="38"/>
  <c r="T20" i="38"/>
  <c r="T17" i="38"/>
  <c r="T8" i="38"/>
  <c r="T7" i="38"/>
  <c r="R7" i="38"/>
  <c r="V17" i="38"/>
  <c r="V8" i="38"/>
  <c r="R21" i="38"/>
  <c r="R17" i="38"/>
  <c r="O22" i="38"/>
  <c r="U28" i="38"/>
  <c r="U21" i="38"/>
  <c r="U17" i="38"/>
  <c r="R8" i="38"/>
  <c r="N13" i="38"/>
  <c r="O13" i="38" s="1"/>
  <c r="L21" i="38"/>
  <c r="L17" i="38"/>
  <c r="L14" i="38"/>
  <c r="L13" i="38"/>
  <c r="S10" i="38" l="1"/>
  <c r="T10" i="38"/>
  <c r="S6" i="38"/>
  <c r="V6" i="38"/>
  <c r="R6" i="38"/>
  <c r="S11" i="38"/>
  <c r="V11" i="38"/>
  <c r="R11" i="38"/>
  <c r="U10" i="38"/>
  <c r="S24" i="38"/>
  <c r="V24" i="38"/>
  <c r="T11" i="38"/>
  <c r="V10" i="38"/>
  <c r="U11" i="38"/>
  <c r="S7" i="38"/>
  <c r="V7" i="38"/>
  <c r="U7" i="38"/>
  <c r="S13" i="38"/>
  <c r="R13" i="38"/>
  <c r="V13" i="38"/>
  <c r="T13" i="38"/>
  <c r="U13" i="38"/>
  <c r="S25" i="38"/>
  <c r="R25" i="38"/>
  <c r="V25" i="38"/>
  <c r="T25" i="38"/>
  <c r="U25" i="38"/>
  <c r="R14" i="38"/>
  <c r="S14" i="38"/>
  <c r="V14" i="38"/>
  <c r="T14" i="38"/>
  <c r="U14" i="38"/>
  <c r="S12" i="38"/>
  <c r="U12" i="38"/>
  <c r="V12" i="38"/>
  <c r="T12" i="38"/>
  <c r="R12" i="38"/>
  <c r="R22" i="38"/>
  <c r="S22" i="38"/>
  <c r="U22" i="38"/>
  <c r="T22" i="38"/>
  <c r="V22" i="38"/>
  <c r="AY20" i="30"/>
  <c r="AX20" i="30"/>
  <c r="AY19" i="30"/>
  <c r="AX19" i="30"/>
  <c r="AY18" i="30"/>
  <c r="AX18" i="30"/>
  <c r="AX9" i="30"/>
  <c r="AX10" i="30"/>
  <c r="AX8" i="30"/>
  <c r="AS13" i="16"/>
  <c r="AS14" i="16"/>
  <c r="AS12" i="16"/>
  <c r="O3" i="15"/>
  <c r="O4" i="15"/>
  <c r="O5" i="15"/>
  <c r="O6" i="15"/>
  <c r="O7" i="15"/>
  <c r="O8" i="15"/>
  <c r="O9" i="15"/>
  <c r="O10" i="15"/>
  <c r="O11" i="15"/>
  <c r="O12" i="15"/>
  <c r="O13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" i="15"/>
  <c r="R29" i="38" l="1"/>
  <c r="T29" i="38"/>
  <c r="V29" i="38"/>
  <c r="U29" i="38"/>
  <c r="S29" i="38"/>
  <c r="R163" i="35"/>
  <c r="S163" i="35"/>
  <c r="R5" i="35"/>
  <c r="S5" i="35"/>
  <c r="R191" i="35"/>
  <c r="S191" i="35"/>
  <c r="R6" i="35"/>
  <c r="S6" i="35"/>
  <c r="R192" i="35"/>
  <c r="S192" i="35"/>
  <c r="R7" i="35"/>
  <c r="S7" i="35"/>
  <c r="R193" i="35"/>
  <c r="S193" i="35"/>
  <c r="R8" i="35"/>
  <c r="S8" i="35"/>
  <c r="R194" i="35"/>
  <c r="S194" i="35"/>
  <c r="R9" i="35"/>
  <c r="S9" i="35"/>
  <c r="R195" i="35"/>
  <c r="S195" i="35"/>
  <c r="R10" i="35"/>
  <c r="S10" i="35"/>
  <c r="R196" i="35"/>
  <c r="S196" i="35"/>
  <c r="R11" i="35"/>
  <c r="S11" i="35"/>
  <c r="R197" i="35"/>
  <c r="S197" i="35"/>
  <c r="R12" i="35"/>
  <c r="S12" i="35"/>
  <c r="R198" i="35"/>
  <c r="S198" i="35"/>
  <c r="R13" i="35"/>
  <c r="S13" i="35"/>
  <c r="R199" i="35"/>
  <c r="S199" i="35"/>
  <c r="R14" i="35"/>
  <c r="S14" i="35"/>
  <c r="R200" i="35"/>
  <c r="S200" i="35"/>
  <c r="R15" i="35"/>
  <c r="S15" i="35"/>
  <c r="R201" i="35"/>
  <c r="S201" i="35"/>
  <c r="R16" i="35"/>
  <c r="S16" i="35"/>
  <c r="R202" i="35"/>
  <c r="S202" i="35"/>
  <c r="R17" i="35"/>
  <c r="S17" i="35"/>
  <c r="R203" i="35"/>
  <c r="S203" i="35"/>
  <c r="R18" i="35"/>
  <c r="S18" i="35"/>
  <c r="R204" i="35"/>
  <c r="S204" i="35"/>
  <c r="R19" i="35"/>
  <c r="S19" i="35"/>
  <c r="R205" i="35"/>
  <c r="S205" i="35"/>
  <c r="R22" i="35"/>
  <c r="S22" i="35"/>
  <c r="R211" i="35"/>
  <c r="S211" i="35"/>
  <c r="R23" i="35"/>
  <c r="S23" i="35"/>
  <c r="R212" i="35"/>
  <c r="S212" i="35"/>
  <c r="R24" i="35"/>
  <c r="S24" i="35"/>
  <c r="R213" i="35"/>
  <c r="S213" i="35"/>
  <c r="R25" i="35"/>
  <c r="S25" i="35"/>
  <c r="R214" i="35"/>
  <c r="S214" i="35"/>
  <c r="R26" i="35"/>
  <c r="S26" i="35"/>
  <c r="R215" i="35"/>
  <c r="S215" i="35"/>
  <c r="R27" i="35"/>
  <c r="S27" i="35"/>
  <c r="R218" i="35"/>
  <c r="S218" i="35"/>
  <c r="R28" i="35"/>
  <c r="S28" i="35"/>
  <c r="R219" i="35"/>
  <c r="S219" i="35"/>
  <c r="R29" i="35"/>
  <c r="S29" i="35"/>
  <c r="R2" i="35"/>
  <c r="S2" i="35"/>
  <c r="R30" i="35"/>
  <c r="S30" i="35"/>
  <c r="R3" i="35"/>
  <c r="S3" i="35"/>
  <c r="R31" i="35"/>
  <c r="S31" i="35"/>
  <c r="R20" i="35"/>
  <c r="S20" i="35"/>
  <c r="R32" i="35"/>
  <c r="S32" i="35"/>
  <c r="R21" i="35"/>
  <c r="S21" i="35"/>
  <c r="R33" i="35"/>
  <c r="S33" i="35"/>
  <c r="R58" i="35"/>
  <c r="S58" i="35"/>
  <c r="R34" i="35"/>
  <c r="S34" i="35"/>
  <c r="R59" i="35"/>
  <c r="S59" i="35"/>
  <c r="R35" i="35"/>
  <c r="S35" i="35"/>
  <c r="R65" i="35"/>
  <c r="S65" i="35"/>
  <c r="R36" i="35"/>
  <c r="S36" i="35"/>
  <c r="R66" i="35"/>
  <c r="S66" i="35"/>
  <c r="R37" i="35"/>
  <c r="S37" i="35"/>
  <c r="R67" i="35"/>
  <c r="S67" i="35"/>
  <c r="R38" i="35"/>
  <c r="S38" i="35"/>
  <c r="R68" i="35"/>
  <c r="S68" i="35"/>
  <c r="R39" i="35"/>
  <c r="S39" i="35"/>
  <c r="R69" i="35"/>
  <c r="S69" i="35"/>
  <c r="R40" i="35"/>
  <c r="S40" i="35"/>
  <c r="R70" i="35"/>
  <c r="S70" i="35"/>
  <c r="R41" i="35"/>
  <c r="S41" i="35"/>
  <c r="R101" i="35"/>
  <c r="S101" i="35"/>
  <c r="R42" i="35"/>
  <c r="S42" i="35"/>
  <c r="R102" i="35"/>
  <c r="S102" i="35"/>
  <c r="R43" i="35"/>
  <c r="S43" i="35"/>
  <c r="R103" i="35"/>
  <c r="S103" i="35"/>
  <c r="R44" i="35"/>
  <c r="S44" i="35"/>
  <c r="R104" i="35"/>
  <c r="S104" i="35"/>
  <c r="R45" i="35"/>
  <c r="S45" i="35"/>
  <c r="R105" i="35"/>
  <c r="S105" i="35"/>
  <c r="R46" i="35"/>
  <c r="S46" i="35"/>
  <c r="R106" i="35"/>
  <c r="S106" i="35"/>
  <c r="R47" i="35"/>
  <c r="S47" i="35"/>
  <c r="R134" i="35"/>
  <c r="S134" i="35"/>
  <c r="R48" i="35"/>
  <c r="S48" i="35"/>
  <c r="R135" i="35"/>
  <c r="S135" i="35"/>
  <c r="R49" i="35"/>
  <c r="S49" i="35"/>
  <c r="R136" i="35"/>
  <c r="S136" i="35"/>
  <c r="R50" i="35"/>
  <c r="S50" i="35"/>
  <c r="R150" i="35"/>
  <c r="S150" i="35"/>
  <c r="R51" i="35"/>
  <c r="S51" i="35"/>
  <c r="R151" i="35"/>
  <c r="S151" i="35"/>
  <c r="R52" i="35"/>
  <c r="S52" i="35"/>
  <c r="R152" i="35"/>
  <c r="S152" i="35"/>
  <c r="R53" i="35"/>
  <c r="S53" i="35"/>
  <c r="R153" i="35"/>
  <c r="S153" i="35"/>
  <c r="R54" i="35"/>
  <c r="S54" i="35"/>
  <c r="R154" i="35"/>
  <c r="S154" i="35"/>
  <c r="R55" i="35"/>
  <c r="S55" i="35"/>
  <c r="R155" i="35"/>
  <c r="S155" i="35"/>
  <c r="R56" i="35"/>
  <c r="S56" i="35"/>
  <c r="R156" i="35"/>
  <c r="S156" i="35"/>
  <c r="R60" i="35"/>
  <c r="S60" i="35"/>
  <c r="R157" i="35"/>
  <c r="S157" i="35"/>
  <c r="R61" i="35"/>
  <c r="S61" i="35"/>
  <c r="R158" i="35"/>
  <c r="S158" i="35"/>
  <c r="R62" i="35"/>
  <c r="S62" i="35"/>
  <c r="R159" i="35"/>
  <c r="S159" i="35"/>
  <c r="R63" i="35"/>
  <c r="S63" i="35"/>
  <c r="R160" i="35"/>
  <c r="S160" i="35"/>
  <c r="R64" i="35"/>
  <c r="S64" i="35"/>
  <c r="R161" i="35"/>
  <c r="S161" i="35"/>
  <c r="R71" i="35"/>
  <c r="S71" i="35"/>
  <c r="R162" i="35"/>
  <c r="S162" i="35"/>
  <c r="R72" i="35"/>
  <c r="S72" i="35"/>
  <c r="R176" i="35"/>
  <c r="S176" i="35"/>
  <c r="R73" i="35"/>
  <c r="S73" i="35"/>
  <c r="R177" i="35"/>
  <c r="S177" i="35"/>
  <c r="R74" i="35"/>
  <c r="S74" i="35"/>
  <c r="R178" i="35"/>
  <c r="S178" i="35"/>
  <c r="R75" i="35"/>
  <c r="S75" i="35"/>
  <c r="R179" i="35"/>
  <c r="S179" i="35"/>
  <c r="R76" i="35"/>
  <c r="S76" i="35"/>
  <c r="R180" i="35"/>
  <c r="S180" i="35"/>
  <c r="R77" i="35"/>
  <c r="S77" i="35"/>
  <c r="R181" i="35"/>
  <c r="S181" i="35"/>
  <c r="R78" i="35"/>
  <c r="S78" i="35"/>
  <c r="R182" i="35"/>
  <c r="S182" i="35"/>
  <c r="R79" i="35"/>
  <c r="S79" i="35"/>
  <c r="R183" i="35"/>
  <c r="S183" i="35"/>
  <c r="R80" i="35"/>
  <c r="S80" i="35"/>
  <c r="R184" i="35"/>
  <c r="S184" i="35"/>
  <c r="R81" i="35"/>
  <c r="S81" i="35"/>
  <c r="R185" i="35"/>
  <c r="S185" i="35"/>
  <c r="R82" i="35"/>
  <c r="S82" i="35"/>
  <c r="R186" i="35"/>
  <c r="S186" i="35"/>
  <c r="R83" i="35"/>
  <c r="S83" i="35"/>
  <c r="R187" i="35"/>
  <c r="S187" i="35"/>
  <c r="R84" i="35"/>
  <c r="S84" i="35"/>
  <c r="R188" i="35"/>
  <c r="S188" i="35"/>
  <c r="R85" i="35"/>
  <c r="S85" i="35"/>
  <c r="R189" i="35"/>
  <c r="S189" i="35"/>
  <c r="R86" i="35"/>
  <c r="S86" i="35"/>
  <c r="R190" i="35"/>
  <c r="S190" i="35"/>
  <c r="R87" i="35"/>
  <c r="S87" i="35"/>
  <c r="R206" i="35"/>
  <c r="S206" i="35"/>
  <c r="R88" i="35"/>
  <c r="S88" i="35"/>
  <c r="R207" i="35"/>
  <c r="S207" i="35"/>
  <c r="R89" i="35"/>
  <c r="S89" i="35"/>
  <c r="R208" i="35"/>
  <c r="S208" i="35"/>
  <c r="R90" i="35"/>
  <c r="S90" i="35"/>
  <c r="R209" i="35"/>
  <c r="S209" i="35"/>
  <c r="R91" i="35"/>
  <c r="S91" i="35"/>
  <c r="R210" i="35"/>
  <c r="S210" i="35"/>
  <c r="R92" i="35"/>
  <c r="S92" i="35"/>
  <c r="R216" i="35"/>
  <c r="S216" i="35"/>
  <c r="R93" i="35"/>
  <c r="S93" i="35"/>
  <c r="R217" i="35"/>
  <c r="S217" i="35"/>
  <c r="R94" i="35"/>
  <c r="S94" i="35"/>
  <c r="R57" i="35"/>
  <c r="S57" i="35"/>
  <c r="R95" i="35"/>
  <c r="S95" i="35"/>
  <c r="R96" i="35"/>
  <c r="S96" i="35"/>
  <c r="R97" i="35"/>
  <c r="S97" i="35"/>
  <c r="R98" i="35"/>
  <c r="S98" i="35"/>
  <c r="R99" i="35"/>
  <c r="S99" i="35"/>
  <c r="R100" i="35"/>
  <c r="S100" i="35"/>
  <c r="R107" i="35"/>
  <c r="S107" i="35"/>
  <c r="R108" i="35"/>
  <c r="S108" i="35"/>
  <c r="R109" i="35"/>
  <c r="S109" i="35"/>
  <c r="R110" i="35"/>
  <c r="S110" i="35"/>
  <c r="R111" i="35"/>
  <c r="S111" i="35"/>
  <c r="R112" i="35"/>
  <c r="S112" i="35"/>
  <c r="R113" i="35"/>
  <c r="S113" i="35"/>
  <c r="R114" i="35"/>
  <c r="S114" i="35"/>
  <c r="R115" i="35"/>
  <c r="S115" i="35"/>
  <c r="R116" i="35"/>
  <c r="S116" i="35"/>
  <c r="R117" i="35"/>
  <c r="S117" i="35"/>
  <c r="R118" i="35"/>
  <c r="S118" i="35"/>
  <c r="R119" i="35"/>
  <c r="S119" i="35"/>
  <c r="R120" i="35"/>
  <c r="S120" i="35"/>
  <c r="R121" i="35"/>
  <c r="S121" i="35"/>
  <c r="R122" i="35"/>
  <c r="S122" i="35"/>
  <c r="R123" i="35"/>
  <c r="S123" i="35"/>
  <c r="R124" i="35"/>
  <c r="S124" i="35"/>
  <c r="R125" i="35"/>
  <c r="S125" i="35"/>
  <c r="R126" i="35"/>
  <c r="S126" i="35"/>
  <c r="R127" i="35"/>
  <c r="S127" i="35"/>
  <c r="R128" i="35"/>
  <c r="S128" i="35"/>
  <c r="R129" i="35"/>
  <c r="S129" i="35"/>
  <c r="R130" i="35"/>
  <c r="S130" i="35"/>
  <c r="R131" i="35"/>
  <c r="S131" i="35"/>
  <c r="R132" i="35"/>
  <c r="S132" i="35"/>
  <c r="R133" i="35"/>
  <c r="S133" i="35"/>
  <c r="R137" i="35"/>
  <c r="S137" i="35"/>
  <c r="R138" i="35"/>
  <c r="S138" i="35"/>
  <c r="R139" i="35"/>
  <c r="S139" i="35"/>
  <c r="R140" i="35"/>
  <c r="S140" i="35"/>
  <c r="R141" i="35"/>
  <c r="S141" i="35"/>
  <c r="R142" i="35"/>
  <c r="S142" i="35"/>
  <c r="R143" i="35"/>
  <c r="S143" i="35"/>
  <c r="R144" i="35"/>
  <c r="S144" i="35"/>
  <c r="R145" i="35"/>
  <c r="S145" i="35"/>
  <c r="R146" i="35"/>
  <c r="S146" i="35"/>
  <c r="R147" i="35"/>
  <c r="S147" i="35"/>
  <c r="R148" i="35"/>
  <c r="S148" i="35"/>
  <c r="R149" i="35"/>
  <c r="S149" i="35"/>
  <c r="R164" i="35"/>
  <c r="S164" i="35"/>
  <c r="R165" i="35"/>
  <c r="S165" i="35"/>
  <c r="R166" i="35"/>
  <c r="S166" i="35"/>
  <c r="R167" i="35"/>
  <c r="S167" i="35"/>
  <c r="R168" i="35"/>
  <c r="S168" i="35"/>
  <c r="R169" i="35"/>
  <c r="S169" i="35"/>
  <c r="R170" i="35"/>
  <c r="S170" i="35"/>
  <c r="R171" i="35"/>
  <c r="S171" i="35"/>
  <c r="R172" i="35"/>
  <c r="S172" i="35"/>
  <c r="R173" i="35"/>
  <c r="S173" i="35"/>
  <c r="R174" i="35"/>
  <c r="S174" i="35"/>
  <c r="R175" i="35"/>
  <c r="S175" i="35"/>
  <c r="S4" i="35"/>
  <c r="R4" i="3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T65" i="15" s="1"/>
  <c r="O65" i="15" s="1"/>
  <c r="S66" i="15"/>
  <c r="S67" i="15"/>
  <c r="S68" i="15"/>
  <c r="S69" i="15"/>
  <c r="S70" i="15"/>
  <c r="S71" i="15"/>
  <c r="S72" i="15"/>
  <c r="S73" i="15"/>
  <c r="T73" i="15" s="1"/>
  <c r="O73" i="15" s="1"/>
  <c r="S74" i="15"/>
  <c r="S75" i="15"/>
  <c r="S76" i="15"/>
  <c r="S77" i="15"/>
  <c r="S78" i="15"/>
  <c r="S79" i="15"/>
  <c r="S80" i="15"/>
  <c r="S81" i="15"/>
  <c r="T81" i="15" s="1"/>
  <c r="O81" i="15" s="1"/>
  <c r="S82" i="15"/>
  <c r="S83" i="15"/>
  <c r="S84" i="15"/>
  <c r="S85" i="15"/>
  <c r="S86" i="15"/>
  <c r="S87" i="15"/>
  <c r="S88" i="15"/>
  <c r="S89" i="15"/>
  <c r="T89" i="15" s="1"/>
  <c r="O89" i="15" s="1"/>
  <c r="S90" i="15"/>
  <c r="S91" i="15"/>
  <c r="S92" i="15"/>
  <c r="S93" i="15"/>
  <c r="S94" i="15"/>
  <c r="S95" i="15"/>
  <c r="S96" i="15"/>
  <c r="S97" i="15"/>
  <c r="T97" i="15" s="1"/>
  <c r="O97" i="15" s="1"/>
  <c r="S98" i="15"/>
  <c r="S99" i="15"/>
  <c r="S100" i="15"/>
  <c r="S101" i="15"/>
  <c r="S102" i="15"/>
  <c r="S103" i="15"/>
  <c r="S2" i="15"/>
  <c r="AG44" i="34"/>
  <c r="AG45" i="34"/>
  <c r="AG40" i="34"/>
  <c r="AG41" i="34"/>
  <c r="AG42" i="34"/>
  <c r="AG43" i="34"/>
  <c r="AG39" i="34"/>
  <c r="AG36" i="34"/>
  <c r="AG37" i="34"/>
  <c r="AG38" i="34"/>
  <c r="AG35" i="34"/>
  <c r="AG29" i="34"/>
  <c r="AG33" i="34" s="1"/>
  <c r="AG30" i="34"/>
  <c r="AG31" i="34"/>
  <c r="AG32" i="34"/>
  <c r="AG34" i="34"/>
  <c r="AG28" i="34"/>
  <c r="AG27" i="34"/>
  <c r="AG25" i="34"/>
  <c r="AG26" i="34"/>
  <c r="AG24" i="34"/>
  <c r="AG16" i="34"/>
  <c r="AG17" i="34"/>
  <c r="AG18" i="34"/>
  <c r="AG19" i="34"/>
  <c r="AG20" i="34"/>
  <c r="AG21" i="34"/>
  <c r="AG22" i="34"/>
  <c r="AG23" i="34"/>
  <c r="AG15" i="34"/>
  <c r="AG14" i="34"/>
  <c r="AG12" i="34"/>
  <c r="AG13" i="34"/>
  <c r="AG11" i="34"/>
  <c r="AG9" i="34"/>
  <c r="AG8" i="34"/>
  <c r="AG7" i="34"/>
  <c r="AG10" i="34" s="1"/>
  <c r="AG6" i="34"/>
  <c r="AG5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AB48" i="34"/>
  <c r="AA48" i="34"/>
  <c r="Z48" i="34"/>
  <c r="Z52" i="34" s="1"/>
  <c r="Y48" i="34"/>
  <c r="X48" i="34"/>
  <c r="W48" i="34"/>
  <c r="V48" i="34"/>
  <c r="V52" i="34" s="1"/>
  <c r="U48" i="34"/>
  <c r="T48" i="34"/>
  <c r="T52" i="34" s="1"/>
  <c r="S48" i="34"/>
  <c r="R48" i="34"/>
  <c r="R52" i="34" s="1"/>
  <c r="Q48" i="34"/>
  <c r="P48" i="34"/>
  <c r="P52" i="34" s="1"/>
  <c r="O48" i="34"/>
  <c r="O52" i="34" s="1"/>
  <c r="N48" i="34"/>
  <c r="N52" i="34" s="1"/>
  <c r="M48" i="34"/>
  <c r="L48" i="34"/>
  <c r="L52" i="34" s="1"/>
  <c r="AU56" i="32"/>
  <c r="AU57" i="32"/>
  <c r="AU58" i="32"/>
  <c r="AU59" i="32"/>
  <c r="AU60" i="32"/>
  <c r="AU61" i="32"/>
  <c r="AU55" i="32"/>
  <c r="AU51" i="32"/>
  <c r="AU53" i="32" s="1"/>
  <c r="AU49" i="32"/>
  <c r="AU50" i="32"/>
  <c r="AU48" i="32"/>
  <c r="AU47" i="32"/>
  <c r="AU46" i="32"/>
  <c r="AU45" i="32"/>
  <c r="AU44" i="32"/>
  <c r="AU41" i="32"/>
  <c r="AU42" i="32"/>
  <c r="AU40" i="32"/>
  <c r="AU36" i="32"/>
  <c r="AU37" i="32"/>
  <c r="AU38" i="32"/>
  <c r="AU39" i="32"/>
  <c r="AU35" i="32"/>
  <c r="AU32" i="32"/>
  <c r="AU33" i="32"/>
  <c r="AU34" i="32"/>
  <c r="AU31" i="32"/>
  <c r="AU30" i="32"/>
  <c r="AU28" i="32"/>
  <c r="AU29" i="32"/>
  <c r="AU27" i="32"/>
  <c r="AU26" i="32"/>
  <c r="AU25" i="32"/>
  <c r="AU24" i="32"/>
  <c r="AU23" i="32"/>
  <c r="AU22" i="32"/>
  <c r="AU21" i="32"/>
  <c r="AU20" i="32"/>
  <c r="AU9" i="32"/>
  <c r="AU19" i="32"/>
  <c r="AU18" i="32"/>
  <c r="AU17" i="32"/>
  <c r="AU16" i="32"/>
  <c r="AU15" i="32"/>
  <c r="AU14" i="32"/>
  <c r="AU13" i="32"/>
  <c r="AU12" i="32"/>
  <c r="AU11" i="32"/>
  <c r="AU10" i="32"/>
  <c r="AU6" i="32"/>
  <c r="AU5" i="32"/>
  <c r="AR7" i="32"/>
  <c r="AR11" i="32"/>
  <c r="AR14" i="32"/>
  <c r="AR15" i="32"/>
  <c r="AR19" i="32"/>
  <c r="AR23" i="32"/>
  <c r="AR27" i="32"/>
  <c r="AR31" i="32"/>
  <c r="AR35" i="32"/>
  <c r="AR39" i="32"/>
  <c r="AR43" i="32"/>
  <c r="AR47" i="32"/>
  <c r="AR51" i="32"/>
  <c r="AR55" i="32"/>
  <c r="AR59" i="32"/>
  <c r="AQ11" i="32"/>
  <c r="AQ12" i="32"/>
  <c r="AR12" i="32" s="1"/>
  <c r="AQ13" i="32"/>
  <c r="AR13" i="32" s="1"/>
  <c r="AQ14" i="32"/>
  <c r="AQ6" i="32"/>
  <c r="AR6" i="32" s="1"/>
  <c r="AQ7" i="32"/>
  <c r="AQ8" i="32"/>
  <c r="AR8" i="32" s="1"/>
  <c r="AQ9" i="32"/>
  <c r="AR9" i="32" s="1"/>
  <c r="AQ10" i="32"/>
  <c r="AR10" i="32" s="1"/>
  <c r="AQ15" i="32"/>
  <c r="AQ16" i="32"/>
  <c r="AR16" i="32" s="1"/>
  <c r="AQ17" i="32"/>
  <c r="AR17" i="32" s="1"/>
  <c r="AQ18" i="32"/>
  <c r="AR18" i="32" s="1"/>
  <c r="AQ19" i="32"/>
  <c r="AQ20" i="32"/>
  <c r="AR20" i="32" s="1"/>
  <c r="AQ21" i="32"/>
  <c r="AR21" i="32" s="1"/>
  <c r="AQ22" i="32"/>
  <c r="AR22" i="32" s="1"/>
  <c r="AQ23" i="32"/>
  <c r="AQ24" i="32"/>
  <c r="AR24" i="32" s="1"/>
  <c r="AQ25" i="32"/>
  <c r="AR25" i="32" s="1"/>
  <c r="AQ26" i="32"/>
  <c r="AR26" i="32" s="1"/>
  <c r="AQ27" i="32"/>
  <c r="AQ28" i="32"/>
  <c r="AR28" i="32" s="1"/>
  <c r="AQ29" i="32"/>
  <c r="AR29" i="32" s="1"/>
  <c r="AQ30" i="32"/>
  <c r="AR30" i="32" s="1"/>
  <c r="AQ31" i="32"/>
  <c r="AQ32" i="32"/>
  <c r="AR32" i="32" s="1"/>
  <c r="AQ33" i="32"/>
  <c r="AR33" i="32" s="1"/>
  <c r="AQ34" i="32"/>
  <c r="AR34" i="32" s="1"/>
  <c r="AQ35" i="32"/>
  <c r="AQ36" i="32"/>
  <c r="AR36" i="32" s="1"/>
  <c r="AQ37" i="32"/>
  <c r="AR37" i="32" s="1"/>
  <c r="AQ38" i="32"/>
  <c r="AR38" i="32" s="1"/>
  <c r="AQ39" i="32"/>
  <c r="AQ40" i="32"/>
  <c r="AR40" i="32" s="1"/>
  <c r="AQ41" i="32"/>
  <c r="AR41" i="32" s="1"/>
  <c r="AQ42" i="32"/>
  <c r="AR42" i="32" s="1"/>
  <c r="AQ43" i="32"/>
  <c r="AQ44" i="32"/>
  <c r="AR44" i="32" s="1"/>
  <c r="AQ45" i="32"/>
  <c r="AR45" i="32" s="1"/>
  <c r="AQ46" i="32"/>
  <c r="AR46" i="32" s="1"/>
  <c r="AQ47" i="32"/>
  <c r="AQ48" i="32"/>
  <c r="AR48" i="32" s="1"/>
  <c r="AQ49" i="32"/>
  <c r="AR49" i="32" s="1"/>
  <c r="AQ50" i="32"/>
  <c r="AR50" i="32" s="1"/>
  <c r="AQ51" i="32"/>
  <c r="AQ52" i="32"/>
  <c r="AR52" i="32" s="1"/>
  <c r="AQ53" i="32"/>
  <c r="AR53" i="32" s="1"/>
  <c r="AQ54" i="32"/>
  <c r="AR54" i="32" s="1"/>
  <c r="AQ55" i="32"/>
  <c r="AQ56" i="32"/>
  <c r="AR56" i="32" s="1"/>
  <c r="AQ57" i="32"/>
  <c r="AR57" i="32" s="1"/>
  <c r="AQ58" i="32"/>
  <c r="AR58" i="32" s="1"/>
  <c r="AQ59" i="32"/>
  <c r="AQ60" i="32"/>
  <c r="AR60" i="32" s="1"/>
  <c r="AQ61" i="32"/>
  <c r="AR61" i="32" s="1"/>
  <c r="AQ5" i="32"/>
  <c r="AR5" i="32" s="1"/>
  <c r="AL67" i="32"/>
  <c r="AG67" i="32"/>
  <c r="AD67" i="32"/>
  <c r="AB67" i="32"/>
  <c r="T67" i="32"/>
  <c r="AM66" i="32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AM65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AP64" i="32"/>
  <c r="AO64" i="32"/>
  <c r="T103" i="15" l="1"/>
  <c r="O103" i="15" s="1"/>
  <c r="T91" i="15"/>
  <c r="O91" i="15" s="1"/>
  <c r="T83" i="15"/>
  <c r="O83" i="15" s="1"/>
  <c r="T75" i="15"/>
  <c r="O75" i="15" s="1"/>
  <c r="T63" i="15"/>
  <c r="O63" i="15" s="1"/>
  <c r="T51" i="15"/>
  <c r="O51" i="15" s="1"/>
  <c r="T43" i="15"/>
  <c r="O43" i="15" s="1"/>
  <c r="T99" i="15"/>
  <c r="O99" i="15" s="1"/>
  <c r="T95" i="15"/>
  <c r="O95" i="15" s="1"/>
  <c r="T87" i="15"/>
  <c r="O87" i="15" s="1"/>
  <c r="T79" i="15"/>
  <c r="O79" i="15" s="1"/>
  <c r="T71" i="15"/>
  <c r="O71" i="15" s="1"/>
  <c r="T67" i="15"/>
  <c r="O67" i="15" s="1"/>
  <c r="T59" i="15"/>
  <c r="O59" i="15" s="1"/>
  <c r="T35" i="15"/>
  <c r="O35" i="15" s="1"/>
  <c r="T10" i="15"/>
  <c r="T42" i="15"/>
  <c r="O42" i="15" s="1"/>
  <c r="T66" i="15"/>
  <c r="O66" i="15" s="1"/>
  <c r="T49" i="15"/>
  <c r="O49" i="15" s="1"/>
  <c r="T25" i="15"/>
  <c r="T9" i="15"/>
  <c r="T58" i="15"/>
  <c r="O58" i="15" s="1"/>
  <c r="T57" i="15"/>
  <c r="O57" i="15" s="1"/>
  <c r="T41" i="15"/>
  <c r="O41" i="15" s="1"/>
  <c r="T33" i="15"/>
  <c r="O33" i="15" s="1"/>
  <c r="T17" i="15"/>
  <c r="T2" i="15"/>
  <c r="T96" i="15"/>
  <c r="O96" i="15" s="1"/>
  <c r="T88" i="15"/>
  <c r="O88" i="15" s="1"/>
  <c r="T80" i="15"/>
  <c r="O80" i="15" s="1"/>
  <c r="T72" i="15"/>
  <c r="O72" i="15" s="1"/>
  <c r="T64" i="15"/>
  <c r="O64" i="15" s="1"/>
  <c r="T56" i="15"/>
  <c r="O56" i="15" s="1"/>
  <c r="T48" i="15"/>
  <c r="O48" i="15" s="1"/>
  <c r="T40" i="15"/>
  <c r="O40" i="15" s="1"/>
  <c r="T32" i="15"/>
  <c r="O32" i="15" s="1"/>
  <c r="T24" i="15"/>
  <c r="T16" i="15"/>
  <c r="T8" i="15"/>
  <c r="T50" i="15"/>
  <c r="O50" i="15" s="1"/>
  <c r="T39" i="15"/>
  <c r="O39" i="15" s="1"/>
  <c r="T15" i="15"/>
  <c r="T102" i="15"/>
  <c r="O102" i="15" s="1"/>
  <c r="T94" i="15"/>
  <c r="O94" i="15" s="1"/>
  <c r="T86" i="15"/>
  <c r="O86" i="15" s="1"/>
  <c r="T78" i="15"/>
  <c r="O78" i="15" s="1"/>
  <c r="T70" i="15"/>
  <c r="O70" i="15" s="1"/>
  <c r="T62" i="15"/>
  <c r="O62" i="15" s="1"/>
  <c r="T54" i="15"/>
  <c r="O54" i="15" s="1"/>
  <c r="T46" i="15"/>
  <c r="O46" i="15" s="1"/>
  <c r="T38" i="15"/>
  <c r="O38" i="15" s="1"/>
  <c r="T30" i="15"/>
  <c r="O30" i="15" s="1"/>
  <c r="T22" i="15"/>
  <c r="T14" i="15"/>
  <c r="T6" i="15"/>
  <c r="T98" i="15"/>
  <c r="O98" i="15" s="1"/>
  <c r="T34" i="15"/>
  <c r="O34" i="15" s="1"/>
  <c r="T55" i="15"/>
  <c r="O55" i="15" s="1"/>
  <c r="T31" i="15"/>
  <c r="O31" i="15" s="1"/>
  <c r="T23" i="15"/>
  <c r="T93" i="15"/>
  <c r="O93" i="15" s="1"/>
  <c r="T85" i="15"/>
  <c r="O85" i="15" s="1"/>
  <c r="T69" i="15"/>
  <c r="O69" i="15" s="1"/>
  <c r="T45" i="15"/>
  <c r="O45" i="15" s="1"/>
  <c r="T29" i="15"/>
  <c r="O29" i="15" s="1"/>
  <c r="T13" i="15"/>
  <c r="T90" i="15"/>
  <c r="O90" i="15" s="1"/>
  <c r="T26" i="15"/>
  <c r="T47" i="15"/>
  <c r="O47" i="15" s="1"/>
  <c r="T7" i="15"/>
  <c r="T101" i="15"/>
  <c r="O101" i="15" s="1"/>
  <c r="T77" i="15"/>
  <c r="O77" i="15" s="1"/>
  <c r="T61" i="15"/>
  <c r="O61" i="15" s="1"/>
  <c r="T53" i="15"/>
  <c r="O53" i="15" s="1"/>
  <c r="T37" i="15"/>
  <c r="O37" i="15" s="1"/>
  <c r="T21" i="15"/>
  <c r="T5" i="15"/>
  <c r="T100" i="15"/>
  <c r="O100" i="15" s="1"/>
  <c r="T92" i="15"/>
  <c r="O92" i="15" s="1"/>
  <c r="T84" i="15"/>
  <c r="O84" i="15" s="1"/>
  <c r="T76" i="15"/>
  <c r="O76" i="15" s="1"/>
  <c r="T68" i="15"/>
  <c r="O68" i="15" s="1"/>
  <c r="T60" i="15"/>
  <c r="O60" i="15" s="1"/>
  <c r="T52" i="15"/>
  <c r="O52" i="15" s="1"/>
  <c r="T44" i="15"/>
  <c r="O44" i="15" s="1"/>
  <c r="T36" i="15"/>
  <c r="O36" i="15" s="1"/>
  <c r="T28" i="15"/>
  <c r="O28" i="15" s="1"/>
  <c r="T20" i="15"/>
  <c r="T12" i="15"/>
  <c r="T4" i="15"/>
  <c r="T82" i="15"/>
  <c r="O82" i="15" s="1"/>
  <c r="T18" i="15"/>
  <c r="T27" i="15"/>
  <c r="T19" i="15"/>
  <c r="T11" i="15"/>
  <c r="T3" i="15"/>
  <c r="T74" i="15"/>
  <c r="O74" i="15" s="1"/>
  <c r="M52" i="34"/>
  <c r="U52" i="34"/>
  <c r="AU54" i="32"/>
  <c r="AU52" i="32"/>
  <c r="F17" i="29" l="1"/>
  <c r="J17" i="29" s="1"/>
  <c r="AE987" i="30"/>
  <c r="X987" i="30"/>
  <c r="AD987" i="30" s="1"/>
  <c r="W987" i="30"/>
  <c r="AC987" i="30" s="1"/>
  <c r="V987" i="30"/>
  <c r="AB987" i="30" s="1"/>
  <c r="AE986" i="30"/>
  <c r="X986" i="30"/>
  <c r="AD986" i="30" s="1"/>
  <c r="W986" i="30"/>
  <c r="AC986" i="30" s="1"/>
  <c r="V986" i="30"/>
  <c r="AB986" i="30" s="1"/>
  <c r="AE985" i="30"/>
  <c r="X985" i="30"/>
  <c r="AD985" i="30" s="1"/>
  <c r="W985" i="30"/>
  <c r="AC985" i="30" s="1"/>
  <c r="V985" i="30"/>
  <c r="AB985" i="30" s="1"/>
  <c r="AE984" i="30"/>
  <c r="X984" i="30"/>
  <c r="AD984" i="30" s="1"/>
  <c r="W984" i="30"/>
  <c r="AC984" i="30" s="1"/>
  <c r="V984" i="30"/>
  <c r="AB984" i="30" s="1"/>
  <c r="AE983" i="30"/>
  <c r="X983" i="30"/>
  <c r="AD983" i="30" s="1"/>
  <c r="W983" i="30"/>
  <c r="AC983" i="30" s="1"/>
  <c r="V983" i="30"/>
  <c r="AB983" i="30" s="1"/>
  <c r="AE982" i="30"/>
  <c r="X982" i="30"/>
  <c r="AD982" i="30" s="1"/>
  <c r="W982" i="30"/>
  <c r="AC982" i="30" s="1"/>
  <c r="V982" i="30"/>
  <c r="AB982" i="30" s="1"/>
  <c r="AE981" i="30"/>
  <c r="X981" i="30"/>
  <c r="AD981" i="30" s="1"/>
  <c r="W981" i="30"/>
  <c r="AC981" i="30" s="1"/>
  <c r="V981" i="30"/>
  <c r="AB981" i="30" s="1"/>
  <c r="AE980" i="30"/>
  <c r="X980" i="30"/>
  <c r="AD980" i="30" s="1"/>
  <c r="W980" i="30"/>
  <c r="AC980" i="30" s="1"/>
  <c r="V980" i="30"/>
  <c r="AB980" i="30" s="1"/>
  <c r="AE979" i="30"/>
  <c r="X979" i="30"/>
  <c r="AD979" i="30" s="1"/>
  <c r="W979" i="30"/>
  <c r="AC979" i="30" s="1"/>
  <c r="V979" i="30"/>
  <c r="AB979" i="30" s="1"/>
  <c r="AE978" i="30"/>
  <c r="X978" i="30"/>
  <c r="AD978" i="30" s="1"/>
  <c r="W978" i="30"/>
  <c r="AC978" i="30" s="1"/>
  <c r="V978" i="30"/>
  <c r="AB978" i="30" s="1"/>
  <c r="AE977" i="30"/>
  <c r="X977" i="30"/>
  <c r="AD977" i="30" s="1"/>
  <c r="W977" i="30"/>
  <c r="AC977" i="30" s="1"/>
  <c r="V977" i="30"/>
  <c r="AB977" i="30" s="1"/>
  <c r="AE976" i="30"/>
  <c r="X976" i="30"/>
  <c r="AD976" i="30" s="1"/>
  <c r="W976" i="30"/>
  <c r="AC976" i="30" s="1"/>
  <c r="V976" i="30"/>
  <c r="AB976" i="30" s="1"/>
  <c r="AE975" i="30"/>
  <c r="X975" i="30"/>
  <c r="AD975" i="30" s="1"/>
  <c r="W975" i="30"/>
  <c r="AC975" i="30" s="1"/>
  <c r="V975" i="30"/>
  <c r="AB975" i="30" s="1"/>
  <c r="AE974" i="30"/>
  <c r="X974" i="30"/>
  <c r="AD974" i="30" s="1"/>
  <c r="W974" i="30"/>
  <c r="AC974" i="30" s="1"/>
  <c r="V974" i="30"/>
  <c r="AB974" i="30" s="1"/>
  <c r="AE973" i="30"/>
  <c r="X973" i="30"/>
  <c r="AD973" i="30" s="1"/>
  <c r="W973" i="30"/>
  <c r="AC973" i="30" s="1"/>
  <c r="V973" i="30"/>
  <c r="AB973" i="30" s="1"/>
  <c r="AE972" i="30"/>
  <c r="X972" i="30"/>
  <c r="AD972" i="30" s="1"/>
  <c r="W972" i="30"/>
  <c r="AC972" i="30" s="1"/>
  <c r="V972" i="30"/>
  <c r="AB972" i="30" s="1"/>
  <c r="AE971" i="30"/>
  <c r="X971" i="30"/>
  <c r="AD971" i="30" s="1"/>
  <c r="W971" i="30"/>
  <c r="AC971" i="30" s="1"/>
  <c r="V971" i="30"/>
  <c r="AB971" i="30" s="1"/>
  <c r="AE970" i="30"/>
  <c r="X970" i="30"/>
  <c r="AD970" i="30" s="1"/>
  <c r="W970" i="30"/>
  <c r="AC970" i="30" s="1"/>
  <c r="V970" i="30"/>
  <c r="AB970" i="30" s="1"/>
  <c r="AE969" i="30"/>
  <c r="X969" i="30"/>
  <c r="AD969" i="30" s="1"/>
  <c r="W969" i="30"/>
  <c r="AC969" i="30" s="1"/>
  <c r="V969" i="30"/>
  <c r="AB969" i="30" s="1"/>
  <c r="AE968" i="30"/>
  <c r="X968" i="30"/>
  <c r="AD968" i="30" s="1"/>
  <c r="W968" i="30"/>
  <c r="AC968" i="30" s="1"/>
  <c r="V968" i="30"/>
  <c r="AB968" i="30" s="1"/>
  <c r="AE967" i="30"/>
  <c r="X967" i="30"/>
  <c r="AD967" i="30" s="1"/>
  <c r="W967" i="30"/>
  <c r="AC967" i="30" s="1"/>
  <c r="V967" i="30"/>
  <c r="AB967" i="30" s="1"/>
  <c r="AE966" i="30"/>
  <c r="X966" i="30"/>
  <c r="AD966" i="30" s="1"/>
  <c r="W966" i="30"/>
  <c r="AC966" i="30" s="1"/>
  <c r="V966" i="30"/>
  <c r="AB966" i="30" s="1"/>
  <c r="AE965" i="30"/>
  <c r="X965" i="30"/>
  <c r="AD965" i="30" s="1"/>
  <c r="W965" i="30"/>
  <c r="AC965" i="30" s="1"/>
  <c r="V965" i="30"/>
  <c r="AB965" i="30" s="1"/>
  <c r="AE964" i="30"/>
  <c r="X964" i="30"/>
  <c r="AD964" i="30" s="1"/>
  <c r="W964" i="30"/>
  <c r="AC964" i="30" s="1"/>
  <c r="V964" i="30"/>
  <c r="AB964" i="30" s="1"/>
  <c r="AE963" i="30"/>
  <c r="X963" i="30"/>
  <c r="AD963" i="30" s="1"/>
  <c r="W963" i="30"/>
  <c r="AC963" i="30" s="1"/>
  <c r="V963" i="30"/>
  <c r="AB963" i="30" s="1"/>
  <c r="AE962" i="30"/>
  <c r="X962" i="30"/>
  <c r="AD962" i="30" s="1"/>
  <c r="W962" i="30"/>
  <c r="AC962" i="30" s="1"/>
  <c r="V962" i="30"/>
  <c r="AB962" i="30" s="1"/>
  <c r="AE961" i="30"/>
  <c r="X961" i="30"/>
  <c r="AD961" i="30" s="1"/>
  <c r="W961" i="30"/>
  <c r="AC961" i="30" s="1"/>
  <c r="V961" i="30"/>
  <c r="AB961" i="30" s="1"/>
  <c r="AE960" i="30"/>
  <c r="X960" i="30"/>
  <c r="AD960" i="30" s="1"/>
  <c r="W960" i="30"/>
  <c r="AC960" i="30" s="1"/>
  <c r="V960" i="30"/>
  <c r="AB960" i="30" s="1"/>
  <c r="AE959" i="30"/>
  <c r="X959" i="30"/>
  <c r="AD959" i="30" s="1"/>
  <c r="W959" i="30"/>
  <c r="AC959" i="30" s="1"/>
  <c r="V959" i="30"/>
  <c r="AB959" i="30" s="1"/>
  <c r="AE958" i="30"/>
  <c r="X958" i="30"/>
  <c r="AD958" i="30" s="1"/>
  <c r="W958" i="30"/>
  <c r="AC958" i="30" s="1"/>
  <c r="V958" i="30"/>
  <c r="AB958" i="30" s="1"/>
  <c r="AE957" i="30"/>
  <c r="X957" i="30"/>
  <c r="AD957" i="30" s="1"/>
  <c r="W957" i="30"/>
  <c r="AC957" i="30" s="1"/>
  <c r="V957" i="30"/>
  <c r="AB957" i="30" s="1"/>
  <c r="AE956" i="30"/>
  <c r="X956" i="30"/>
  <c r="AD956" i="30" s="1"/>
  <c r="W956" i="30"/>
  <c r="AC956" i="30" s="1"/>
  <c r="V956" i="30"/>
  <c r="AB956" i="30" s="1"/>
  <c r="AE955" i="30"/>
  <c r="X955" i="30"/>
  <c r="AD955" i="30" s="1"/>
  <c r="W955" i="30"/>
  <c r="AC955" i="30" s="1"/>
  <c r="V955" i="30"/>
  <c r="AB955" i="30" s="1"/>
  <c r="AE954" i="30"/>
  <c r="X954" i="30"/>
  <c r="AD954" i="30" s="1"/>
  <c r="W954" i="30"/>
  <c r="AC954" i="30" s="1"/>
  <c r="V954" i="30"/>
  <c r="AB954" i="30" s="1"/>
  <c r="AE953" i="30"/>
  <c r="AB953" i="30"/>
  <c r="X953" i="30"/>
  <c r="AD953" i="30" s="1"/>
  <c r="W953" i="30"/>
  <c r="AC953" i="30" s="1"/>
  <c r="V953" i="30"/>
  <c r="AE952" i="30"/>
  <c r="X952" i="30"/>
  <c r="AD952" i="30" s="1"/>
  <c r="W952" i="30"/>
  <c r="AC952" i="30" s="1"/>
  <c r="V952" i="30"/>
  <c r="AB952" i="30" s="1"/>
  <c r="AE951" i="30"/>
  <c r="X951" i="30"/>
  <c r="AD951" i="30" s="1"/>
  <c r="W951" i="30"/>
  <c r="AC951" i="30" s="1"/>
  <c r="V951" i="30"/>
  <c r="AB951" i="30" s="1"/>
  <c r="AE950" i="30"/>
  <c r="X950" i="30"/>
  <c r="AD950" i="30" s="1"/>
  <c r="W950" i="30"/>
  <c r="AC950" i="30" s="1"/>
  <c r="V950" i="30"/>
  <c r="AB950" i="30" s="1"/>
  <c r="AE949" i="30"/>
  <c r="X949" i="30"/>
  <c r="AD949" i="30" s="1"/>
  <c r="W949" i="30"/>
  <c r="AC949" i="30" s="1"/>
  <c r="V949" i="30"/>
  <c r="AB949" i="30" s="1"/>
  <c r="AE948" i="30"/>
  <c r="X948" i="30"/>
  <c r="AD948" i="30" s="1"/>
  <c r="W948" i="30"/>
  <c r="AC948" i="30" s="1"/>
  <c r="V948" i="30"/>
  <c r="AB948" i="30" s="1"/>
  <c r="AE947" i="30"/>
  <c r="X947" i="30"/>
  <c r="AD947" i="30" s="1"/>
  <c r="W947" i="30"/>
  <c r="AC947" i="30" s="1"/>
  <c r="V947" i="30"/>
  <c r="AB947" i="30" s="1"/>
  <c r="AE946" i="30"/>
  <c r="X946" i="30"/>
  <c r="AD946" i="30" s="1"/>
  <c r="W946" i="30"/>
  <c r="AC946" i="30" s="1"/>
  <c r="V946" i="30"/>
  <c r="AB946" i="30" s="1"/>
  <c r="AE945" i="30"/>
  <c r="X945" i="30"/>
  <c r="AD945" i="30" s="1"/>
  <c r="W945" i="30"/>
  <c r="AC945" i="30" s="1"/>
  <c r="V945" i="30"/>
  <c r="AB945" i="30" s="1"/>
  <c r="AE944" i="30"/>
  <c r="X944" i="30"/>
  <c r="AD944" i="30" s="1"/>
  <c r="W944" i="30"/>
  <c r="AC944" i="30" s="1"/>
  <c r="V944" i="30"/>
  <c r="AB944" i="30" s="1"/>
  <c r="AE943" i="30"/>
  <c r="X943" i="30"/>
  <c r="AD943" i="30" s="1"/>
  <c r="W943" i="30"/>
  <c r="AC943" i="30" s="1"/>
  <c r="V943" i="30"/>
  <c r="AB943" i="30" s="1"/>
  <c r="AE942" i="30"/>
  <c r="X942" i="30"/>
  <c r="AD942" i="30" s="1"/>
  <c r="W942" i="30"/>
  <c r="AC942" i="30" s="1"/>
  <c r="V942" i="30"/>
  <c r="AB942" i="30" s="1"/>
  <c r="AE941" i="30"/>
  <c r="X941" i="30"/>
  <c r="AD941" i="30" s="1"/>
  <c r="W941" i="30"/>
  <c r="AC941" i="30" s="1"/>
  <c r="V941" i="30"/>
  <c r="AB941" i="30" s="1"/>
  <c r="AE940" i="30"/>
  <c r="X940" i="30"/>
  <c r="AD940" i="30" s="1"/>
  <c r="W940" i="30"/>
  <c r="AC940" i="30" s="1"/>
  <c r="V940" i="30"/>
  <c r="AB940" i="30" s="1"/>
  <c r="AE939" i="30"/>
  <c r="AD939" i="30"/>
  <c r="X939" i="30"/>
  <c r="W939" i="30"/>
  <c r="AC939" i="30" s="1"/>
  <c r="V939" i="30"/>
  <c r="AB939" i="30" s="1"/>
  <c r="AE938" i="30"/>
  <c r="X938" i="30"/>
  <c r="AD938" i="30" s="1"/>
  <c r="W938" i="30"/>
  <c r="AC938" i="30" s="1"/>
  <c r="V938" i="30"/>
  <c r="AB938" i="30" s="1"/>
  <c r="AE937" i="30"/>
  <c r="X937" i="30"/>
  <c r="AD937" i="30" s="1"/>
  <c r="W937" i="30"/>
  <c r="AC937" i="30" s="1"/>
  <c r="V937" i="30"/>
  <c r="AB937" i="30" s="1"/>
  <c r="AE936" i="30"/>
  <c r="X936" i="30"/>
  <c r="AD936" i="30" s="1"/>
  <c r="W936" i="30"/>
  <c r="AC936" i="30" s="1"/>
  <c r="V936" i="30"/>
  <c r="AB936" i="30" s="1"/>
  <c r="AE935" i="30"/>
  <c r="X935" i="30"/>
  <c r="AD935" i="30" s="1"/>
  <c r="W935" i="30"/>
  <c r="AC935" i="30" s="1"/>
  <c r="V935" i="30"/>
  <c r="AB935" i="30" s="1"/>
  <c r="AE934" i="30"/>
  <c r="X934" i="30"/>
  <c r="AD934" i="30" s="1"/>
  <c r="W934" i="30"/>
  <c r="AC934" i="30" s="1"/>
  <c r="V934" i="30"/>
  <c r="AB934" i="30" s="1"/>
  <c r="AE933" i="30"/>
  <c r="X933" i="30"/>
  <c r="AD933" i="30" s="1"/>
  <c r="W933" i="30"/>
  <c r="AC933" i="30" s="1"/>
  <c r="V933" i="30"/>
  <c r="AB933" i="30" s="1"/>
  <c r="AE932" i="30"/>
  <c r="X932" i="30"/>
  <c r="AD932" i="30" s="1"/>
  <c r="W932" i="30"/>
  <c r="AC932" i="30" s="1"/>
  <c r="V932" i="30"/>
  <c r="AB932" i="30" s="1"/>
  <c r="AE931" i="30"/>
  <c r="X931" i="30"/>
  <c r="AD931" i="30" s="1"/>
  <c r="W931" i="30"/>
  <c r="AC931" i="30" s="1"/>
  <c r="V931" i="30"/>
  <c r="AB931" i="30" s="1"/>
  <c r="AE930" i="30"/>
  <c r="X930" i="30"/>
  <c r="AD930" i="30" s="1"/>
  <c r="W930" i="30"/>
  <c r="AC930" i="30" s="1"/>
  <c r="V930" i="30"/>
  <c r="AB930" i="30" s="1"/>
  <c r="AE929" i="30"/>
  <c r="X929" i="30"/>
  <c r="AD929" i="30" s="1"/>
  <c r="W929" i="30"/>
  <c r="AC929" i="30" s="1"/>
  <c r="V929" i="30"/>
  <c r="AB929" i="30" s="1"/>
  <c r="AE928" i="30"/>
  <c r="X928" i="30"/>
  <c r="AD928" i="30" s="1"/>
  <c r="W928" i="30"/>
  <c r="AC928" i="30" s="1"/>
  <c r="V928" i="30"/>
  <c r="AB928" i="30" s="1"/>
  <c r="AE927" i="30"/>
  <c r="X927" i="30"/>
  <c r="AD927" i="30" s="1"/>
  <c r="W927" i="30"/>
  <c r="AC927" i="30" s="1"/>
  <c r="V927" i="30"/>
  <c r="AB927" i="30" s="1"/>
  <c r="AE926" i="30"/>
  <c r="X926" i="30"/>
  <c r="AD926" i="30" s="1"/>
  <c r="W926" i="30"/>
  <c r="AC926" i="30" s="1"/>
  <c r="V926" i="30"/>
  <c r="AB926" i="30" s="1"/>
  <c r="AE925" i="30"/>
  <c r="X925" i="30"/>
  <c r="AD925" i="30" s="1"/>
  <c r="W925" i="30"/>
  <c r="AC925" i="30" s="1"/>
  <c r="V925" i="30"/>
  <c r="AB925" i="30" s="1"/>
  <c r="AE924" i="30"/>
  <c r="X924" i="30"/>
  <c r="AD924" i="30" s="1"/>
  <c r="W924" i="30"/>
  <c r="AC924" i="30" s="1"/>
  <c r="V924" i="30"/>
  <c r="AB924" i="30" s="1"/>
  <c r="AE923" i="30"/>
  <c r="X923" i="30"/>
  <c r="AD923" i="30" s="1"/>
  <c r="W923" i="30"/>
  <c r="AC923" i="30" s="1"/>
  <c r="V923" i="30"/>
  <c r="AB923" i="30" s="1"/>
  <c r="AE922" i="30"/>
  <c r="X922" i="30"/>
  <c r="AD922" i="30" s="1"/>
  <c r="W922" i="30"/>
  <c r="AC922" i="30" s="1"/>
  <c r="V922" i="30"/>
  <c r="AB922" i="30" s="1"/>
  <c r="AE921" i="30"/>
  <c r="X921" i="30"/>
  <c r="AD921" i="30" s="1"/>
  <c r="W921" i="30"/>
  <c r="AC921" i="30" s="1"/>
  <c r="V921" i="30"/>
  <c r="AB921" i="30" s="1"/>
  <c r="AE920" i="30"/>
  <c r="X920" i="30"/>
  <c r="AD920" i="30" s="1"/>
  <c r="W920" i="30"/>
  <c r="AC920" i="30" s="1"/>
  <c r="V920" i="30"/>
  <c r="AB920" i="30" s="1"/>
  <c r="AE919" i="30"/>
  <c r="X919" i="30"/>
  <c r="AD919" i="30" s="1"/>
  <c r="W919" i="30"/>
  <c r="AC919" i="30" s="1"/>
  <c r="V919" i="30"/>
  <c r="AB919" i="30" s="1"/>
  <c r="AE918" i="30"/>
  <c r="X918" i="30"/>
  <c r="AD918" i="30" s="1"/>
  <c r="W918" i="30"/>
  <c r="AC918" i="30" s="1"/>
  <c r="V918" i="30"/>
  <c r="AB918" i="30" s="1"/>
  <c r="AE917" i="30"/>
  <c r="X917" i="30"/>
  <c r="AD917" i="30" s="1"/>
  <c r="W917" i="30"/>
  <c r="AC917" i="30" s="1"/>
  <c r="V917" i="30"/>
  <c r="AB917" i="30" s="1"/>
  <c r="AE916" i="30"/>
  <c r="X916" i="30"/>
  <c r="AD916" i="30" s="1"/>
  <c r="W916" i="30"/>
  <c r="AC916" i="30" s="1"/>
  <c r="V916" i="30"/>
  <c r="AB916" i="30" s="1"/>
  <c r="AE915" i="30"/>
  <c r="X915" i="30"/>
  <c r="AD915" i="30" s="1"/>
  <c r="W915" i="30"/>
  <c r="AC915" i="30" s="1"/>
  <c r="V915" i="30"/>
  <c r="AB915" i="30" s="1"/>
  <c r="AE914" i="30"/>
  <c r="X914" i="30"/>
  <c r="AD914" i="30" s="1"/>
  <c r="W914" i="30"/>
  <c r="AC914" i="30" s="1"/>
  <c r="V914" i="30"/>
  <c r="AB914" i="30" s="1"/>
  <c r="AE913" i="30"/>
  <c r="X913" i="30"/>
  <c r="AD913" i="30" s="1"/>
  <c r="W913" i="30"/>
  <c r="AC913" i="30" s="1"/>
  <c r="V913" i="30"/>
  <c r="AB913" i="30" s="1"/>
  <c r="AE912" i="30"/>
  <c r="X912" i="30"/>
  <c r="AD912" i="30" s="1"/>
  <c r="W912" i="30"/>
  <c r="AC912" i="30" s="1"/>
  <c r="V912" i="30"/>
  <c r="AB912" i="30" s="1"/>
  <c r="AE911" i="30"/>
  <c r="X911" i="30"/>
  <c r="AD911" i="30" s="1"/>
  <c r="W911" i="30"/>
  <c r="AC911" i="30" s="1"/>
  <c r="V911" i="30"/>
  <c r="AB911" i="30" s="1"/>
  <c r="AE910" i="30"/>
  <c r="X910" i="30"/>
  <c r="AD910" i="30" s="1"/>
  <c r="W910" i="30"/>
  <c r="AC910" i="30" s="1"/>
  <c r="V910" i="30"/>
  <c r="AB910" i="30" s="1"/>
  <c r="AE909" i="30"/>
  <c r="X909" i="30"/>
  <c r="AD909" i="30" s="1"/>
  <c r="W909" i="30"/>
  <c r="AC909" i="30" s="1"/>
  <c r="V909" i="30"/>
  <c r="AB909" i="30" s="1"/>
  <c r="AE908" i="30"/>
  <c r="X908" i="30"/>
  <c r="AD908" i="30" s="1"/>
  <c r="W908" i="30"/>
  <c r="AC908" i="30" s="1"/>
  <c r="V908" i="30"/>
  <c r="AB908" i="30" s="1"/>
  <c r="AE907" i="30"/>
  <c r="X907" i="30"/>
  <c r="AD907" i="30" s="1"/>
  <c r="W907" i="30"/>
  <c r="AC907" i="30" s="1"/>
  <c r="V907" i="30"/>
  <c r="AB907" i="30" s="1"/>
  <c r="AE906" i="30"/>
  <c r="X906" i="30"/>
  <c r="AD906" i="30" s="1"/>
  <c r="W906" i="30"/>
  <c r="AC906" i="30" s="1"/>
  <c r="V906" i="30"/>
  <c r="AB906" i="30" s="1"/>
  <c r="AE905" i="30"/>
  <c r="X905" i="30"/>
  <c r="AD905" i="30" s="1"/>
  <c r="W905" i="30"/>
  <c r="AC905" i="30" s="1"/>
  <c r="V905" i="30"/>
  <c r="AB905" i="30" s="1"/>
  <c r="AE904" i="30"/>
  <c r="X904" i="30"/>
  <c r="AD904" i="30" s="1"/>
  <c r="W904" i="30"/>
  <c r="AC904" i="30" s="1"/>
  <c r="V904" i="30"/>
  <c r="AB904" i="30" s="1"/>
  <c r="AE903" i="30"/>
  <c r="X903" i="30"/>
  <c r="AD903" i="30" s="1"/>
  <c r="W903" i="30"/>
  <c r="AC903" i="30" s="1"/>
  <c r="V903" i="30"/>
  <c r="AB903" i="30" s="1"/>
  <c r="AE902" i="30"/>
  <c r="X902" i="30"/>
  <c r="AD902" i="30" s="1"/>
  <c r="W902" i="30"/>
  <c r="AC902" i="30" s="1"/>
  <c r="V902" i="30"/>
  <c r="AB902" i="30" s="1"/>
  <c r="AE901" i="30"/>
  <c r="X901" i="30"/>
  <c r="AD901" i="30" s="1"/>
  <c r="W901" i="30"/>
  <c r="AC901" i="30" s="1"/>
  <c r="V901" i="30"/>
  <c r="AB901" i="30" s="1"/>
  <c r="AE900" i="30"/>
  <c r="X900" i="30"/>
  <c r="AD900" i="30" s="1"/>
  <c r="W900" i="30"/>
  <c r="AC900" i="30" s="1"/>
  <c r="V900" i="30"/>
  <c r="AB900" i="30" s="1"/>
  <c r="AE899" i="30"/>
  <c r="X899" i="30"/>
  <c r="AD899" i="30" s="1"/>
  <c r="W899" i="30"/>
  <c r="AC899" i="30" s="1"/>
  <c r="V899" i="30"/>
  <c r="AB899" i="30" s="1"/>
  <c r="AE898" i="30"/>
  <c r="X898" i="30"/>
  <c r="AD898" i="30" s="1"/>
  <c r="W898" i="30"/>
  <c r="AC898" i="30" s="1"/>
  <c r="V898" i="30"/>
  <c r="AB898" i="30" s="1"/>
  <c r="AE897" i="30"/>
  <c r="X897" i="30"/>
  <c r="AD897" i="30" s="1"/>
  <c r="W897" i="30"/>
  <c r="AC897" i="30" s="1"/>
  <c r="V897" i="30"/>
  <c r="AB897" i="30" s="1"/>
  <c r="AE896" i="30"/>
  <c r="X896" i="30"/>
  <c r="AD896" i="30" s="1"/>
  <c r="W896" i="30"/>
  <c r="AC896" i="30" s="1"/>
  <c r="V896" i="30"/>
  <c r="AB896" i="30" s="1"/>
  <c r="AE895" i="30"/>
  <c r="X895" i="30"/>
  <c r="AD895" i="30" s="1"/>
  <c r="W895" i="30"/>
  <c r="AC895" i="30" s="1"/>
  <c r="V895" i="30"/>
  <c r="AB895" i="30" s="1"/>
  <c r="AE894" i="30"/>
  <c r="X894" i="30"/>
  <c r="AD894" i="30" s="1"/>
  <c r="W894" i="30"/>
  <c r="AC894" i="30" s="1"/>
  <c r="V894" i="30"/>
  <c r="AB894" i="30" s="1"/>
  <c r="AE893" i="30"/>
  <c r="X893" i="30"/>
  <c r="AD893" i="30" s="1"/>
  <c r="W893" i="30"/>
  <c r="AC893" i="30" s="1"/>
  <c r="V893" i="30"/>
  <c r="AB893" i="30" s="1"/>
  <c r="AE892" i="30"/>
  <c r="X892" i="30"/>
  <c r="AD892" i="30" s="1"/>
  <c r="W892" i="30"/>
  <c r="AC892" i="30" s="1"/>
  <c r="V892" i="30"/>
  <c r="AB892" i="30" s="1"/>
  <c r="AE891" i="30"/>
  <c r="X891" i="30"/>
  <c r="AD891" i="30" s="1"/>
  <c r="W891" i="30"/>
  <c r="AC891" i="30" s="1"/>
  <c r="V891" i="30"/>
  <c r="AB891" i="30" s="1"/>
  <c r="AE890" i="30"/>
  <c r="X890" i="30"/>
  <c r="AD890" i="30" s="1"/>
  <c r="W890" i="30"/>
  <c r="AC890" i="30" s="1"/>
  <c r="V890" i="30"/>
  <c r="AB890" i="30" s="1"/>
  <c r="AE889" i="30"/>
  <c r="X889" i="30"/>
  <c r="AD889" i="30" s="1"/>
  <c r="W889" i="30"/>
  <c r="AC889" i="30" s="1"/>
  <c r="V889" i="30"/>
  <c r="AB889" i="30" s="1"/>
  <c r="AE888" i="30"/>
  <c r="X888" i="30"/>
  <c r="AD888" i="30" s="1"/>
  <c r="W888" i="30"/>
  <c r="AC888" i="30" s="1"/>
  <c r="V888" i="30"/>
  <c r="AB888" i="30" s="1"/>
  <c r="AE887" i="30"/>
  <c r="X887" i="30"/>
  <c r="AD887" i="30" s="1"/>
  <c r="W887" i="30"/>
  <c r="AC887" i="30" s="1"/>
  <c r="V887" i="30"/>
  <c r="AB887" i="30" s="1"/>
  <c r="AE886" i="30"/>
  <c r="X886" i="30"/>
  <c r="AD886" i="30" s="1"/>
  <c r="W886" i="30"/>
  <c r="AC886" i="30" s="1"/>
  <c r="V886" i="30"/>
  <c r="AB886" i="30" s="1"/>
  <c r="AE885" i="30"/>
  <c r="X885" i="30"/>
  <c r="AD885" i="30" s="1"/>
  <c r="W885" i="30"/>
  <c r="AC885" i="30" s="1"/>
  <c r="V885" i="30"/>
  <c r="AB885" i="30" s="1"/>
  <c r="AE884" i="30"/>
  <c r="X884" i="30"/>
  <c r="AD884" i="30" s="1"/>
  <c r="W884" i="30"/>
  <c r="AC884" i="30" s="1"/>
  <c r="V884" i="30"/>
  <c r="AB884" i="30" s="1"/>
  <c r="AE883" i="30"/>
  <c r="X883" i="30"/>
  <c r="AD883" i="30" s="1"/>
  <c r="W883" i="30"/>
  <c r="AC883" i="30" s="1"/>
  <c r="V883" i="30"/>
  <c r="AB883" i="30" s="1"/>
  <c r="AE882" i="30"/>
  <c r="X882" i="30"/>
  <c r="AD882" i="30" s="1"/>
  <c r="W882" i="30"/>
  <c r="AC882" i="30" s="1"/>
  <c r="V882" i="30"/>
  <c r="AB882" i="30" s="1"/>
  <c r="AE881" i="30"/>
  <c r="X881" i="30"/>
  <c r="AD881" i="30" s="1"/>
  <c r="W881" i="30"/>
  <c r="AC881" i="30" s="1"/>
  <c r="V881" i="30"/>
  <c r="AB881" i="30" s="1"/>
  <c r="AE880" i="30"/>
  <c r="X880" i="30"/>
  <c r="AD880" i="30" s="1"/>
  <c r="W880" i="30"/>
  <c r="AC880" i="30" s="1"/>
  <c r="V880" i="30"/>
  <c r="AB880" i="30" s="1"/>
  <c r="AE879" i="30"/>
  <c r="X879" i="30"/>
  <c r="AD879" i="30" s="1"/>
  <c r="W879" i="30"/>
  <c r="AC879" i="30" s="1"/>
  <c r="V879" i="30"/>
  <c r="AB879" i="30" s="1"/>
  <c r="AE878" i="30"/>
  <c r="X878" i="30"/>
  <c r="AD878" i="30" s="1"/>
  <c r="W878" i="30"/>
  <c r="AC878" i="30" s="1"/>
  <c r="V878" i="30"/>
  <c r="AB878" i="30" s="1"/>
  <c r="AE877" i="30"/>
  <c r="X877" i="30"/>
  <c r="AD877" i="30" s="1"/>
  <c r="W877" i="30"/>
  <c r="AC877" i="30" s="1"/>
  <c r="V877" i="30"/>
  <c r="AB877" i="30" s="1"/>
  <c r="AE876" i="30"/>
  <c r="X876" i="30"/>
  <c r="AD876" i="30" s="1"/>
  <c r="W876" i="30"/>
  <c r="AC876" i="30" s="1"/>
  <c r="V876" i="30"/>
  <c r="AB876" i="30" s="1"/>
  <c r="AE875" i="30"/>
  <c r="X875" i="30"/>
  <c r="AD875" i="30" s="1"/>
  <c r="W875" i="30"/>
  <c r="AC875" i="30" s="1"/>
  <c r="V875" i="30"/>
  <c r="AB875" i="30" s="1"/>
  <c r="AE874" i="30"/>
  <c r="X874" i="30"/>
  <c r="AD874" i="30" s="1"/>
  <c r="W874" i="30"/>
  <c r="AC874" i="30" s="1"/>
  <c r="V874" i="30"/>
  <c r="AB874" i="30" s="1"/>
  <c r="AE873" i="30"/>
  <c r="X873" i="30"/>
  <c r="AD873" i="30" s="1"/>
  <c r="W873" i="30"/>
  <c r="AC873" i="30" s="1"/>
  <c r="V873" i="30"/>
  <c r="AB873" i="30" s="1"/>
  <c r="AE872" i="30"/>
  <c r="X872" i="30"/>
  <c r="AD872" i="30" s="1"/>
  <c r="W872" i="30"/>
  <c r="AC872" i="30" s="1"/>
  <c r="V872" i="30"/>
  <c r="AB872" i="30" s="1"/>
  <c r="AE871" i="30"/>
  <c r="X871" i="30"/>
  <c r="AD871" i="30" s="1"/>
  <c r="W871" i="30"/>
  <c r="AC871" i="30" s="1"/>
  <c r="V871" i="30"/>
  <c r="AB871" i="30" s="1"/>
  <c r="AE870" i="30"/>
  <c r="X870" i="30"/>
  <c r="AD870" i="30" s="1"/>
  <c r="W870" i="30"/>
  <c r="AC870" i="30" s="1"/>
  <c r="V870" i="30"/>
  <c r="AB870" i="30" s="1"/>
  <c r="AE869" i="30"/>
  <c r="X869" i="30"/>
  <c r="AD869" i="30" s="1"/>
  <c r="W869" i="30"/>
  <c r="AC869" i="30" s="1"/>
  <c r="V869" i="30"/>
  <c r="AB869" i="30" s="1"/>
  <c r="AE868" i="30"/>
  <c r="X868" i="30"/>
  <c r="AD868" i="30" s="1"/>
  <c r="W868" i="30"/>
  <c r="AC868" i="30" s="1"/>
  <c r="V868" i="30"/>
  <c r="AB868" i="30" s="1"/>
  <c r="AE867" i="30"/>
  <c r="X867" i="30"/>
  <c r="AD867" i="30" s="1"/>
  <c r="W867" i="30"/>
  <c r="AC867" i="30" s="1"/>
  <c r="V867" i="30"/>
  <c r="AB867" i="30" s="1"/>
  <c r="AE866" i="30"/>
  <c r="X866" i="30"/>
  <c r="AD866" i="30" s="1"/>
  <c r="W866" i="30"/>
  <c r="AC866" i="30" s="1"/>
  <c r="V866" i="30"/>
  <c r="AB866" i="30" s="1"/>
  <c r="AE865" i="30"/>
  <c r="X865" i="30"/>
  <c r="AD865" i="30" s="1"/>
  <c r="W865" i="30"/>
  <c r="AC865" i="30" s="1"/>
  <c r="V865" i="30"/>
  <c r="AB865" i="30" s="1"/>
  <c r="AE864" i="30"/>
  <c r="X864" i="30"/>
  <c r="AD864" i="30" s="1"/>
  <c r="W864" i="30"/>
  <c r="AC864" i="30" s="1"/>
  <c r="V864" i="30"/>
  <c r="AB864" i="30" s="1"/>
  <c r="AE863" i="30"/>
  <c r="X863" i="30"/>
  <c r="AD863" i="30" s="1"/>
  <c r="W863" i="30"/>
  <c r="AC863" i="30" s="1"/>
  <c r="V863" i="30"/>
  <c r="AB863" i="30" s="1"/>
  <c r="AE862" i="30"/>
  <c r="X862" i="30"/>
  <c r="AD862" i="30" s="1"/>
  <c r="W862" i="30"/>
  <c r="AC862" i="30" s="1"/>
  <c r="V862" i="30"/>
  <c r="AB862" i="30" s="1"/>
  <c r="AE861" i="30"/>
  <c r="X861" i="30"/>
  <c r="AD861" i="30" s="1"/>
  <c r="W861" i="30"/>
  <c r="AC861" i="30" s="1"/>
  <c r="V861" i="30"/>
  <c r="AB861" i="30" s="1"/>
  <c r="AE860" i="30"/>
  <c r="X860" i="30"/>
  <c r="AD860" i="30" s="1"/>
  <c r="W860" i="30"/>
  <c r="AC860" i="30" s="1"/>
  <c r="V860" i="30"/>
  <c r="AB860" i="30" s="1"/>
  <c r="AE859" i="30"/>
  <c r="X859" i="30"/>
  <c r="AD859" i="30" s="1"/>
  <c r="W859" i="30"/>
  <c r="AC859" i="30" s="1"/>
  <c r="V859" i="30"/>
  <c r="AB859" i="30" s="1"/>
  <c r="AE858" i="30"/>
  <c r="X858" i="30"/>
  <c r="AD858" i="30" s="1"/>
  <c r="W858" i="30"/>
  <c r="AC858" i="30" s="1"/>
  <c r="V858" i="30"/>
  <c r="AB858" i="30" s="1"/>
  <c r="AE857" i="30"/>
  <c r="X857" i="30"/>
  <c r="AD857" i="30" s="1"/>
  <c r="W857" i="30"/>
  <c r="AC857" i="30" s="1"/>
  <c r="V857" i="30"/>
  <c r="AB857" i="30" s="1"/>
  <c r="AE856" i="30"/>
  <c r="X856" i="30"/>
  <c r="AD856" i="30" s="1"/>
  <c r="W856" i="30"/>
  <c r="AC856" i="30" s="1"/>
  <c r="V856" i="30"/>
  <c r="AB856" i="30" s="1"/>
  <c r="AE855" i="30"/>
  <c r="X855" i="30"/>
  <c r="AD855" i="30" s="1"/>
  <c r="W855" i="30"/>
  <c r="AC855" i="30" s="1"/>
  <c r="V855" i="30"/>
  <c r="AB855" i="30" s="1"/>
  <c r="AE854" i="30"/>
  <c r="X854" i="30"/>
  <c r="AD854" i="30" s="1"/>
  <c r="W854" i="30"/>
  <c r="AC854" i="30" s="1"/>
  <c r="V854" i="30"/>
  <c r="AB854" i="30" s="1"/>
  <c r="AE853" i="30"/>
  <c r="X853" i="30"/>
  <c r="AD853" i="30" s="1"/>
  <c r="W853" i="30"/>
  <c r="AC853" i="30" s="1"/>
  <c r="V853" i="30"/>
  <c r="AB853" i="30" s="1"/>
  <c r="AE852" i="30"/>
  <c r="X852" i="30"/>
  <c r="AD852" i="30" s="1"/>
  <c r="W852" i="30"/>
  <c r="AC852" i="30" s="1"/>
  <c r="V852" i="30"/>
  <c r="AB852" i="30" s="1"/>
  <c r="AE851" i="30"/>
  <c r="X851" i="30"/>
  <c r="AD851" i="30" s="1"/>
  <c r="W851" i="30"/>
  <c r="AC851" i="30" s="1"/>
  <c r="V851" i="30"/>
  <c r="AB851" i="30" s="1"/>
  <c r="AE850" i="30"/>
  <c r="X850" i="30"/>
  <c r="AD850" i="30" s="1"/>
  <c r="W850" i="30"/>
  <c r="AC850" i="30" s="1"/>
  <c r="V850" i="30"/>
  <c r="AB850" i="30" s="1"/>
  <c r="AE849" i="30"/>
  <c r="X849" i="30"/>
  <c r="AD849" i="30" s="1"/>
  <c r="W849" i="30"/>
  <c r="AC849" i="30" s="1"/>
  <c r="V849" i="30"/>
  <c r="AB849" i="30" s="1"/>
  <c r="AE848" i="30"/>
  <c r="X848" i="30"/>
  <c r="AD848" i="30" s="1"/>
  <c r="W848" i="30"/>
  <c r="AC848" i="30" s="1"/>
  <c r="V848" i="30"/>
  <c r="AB848" i="30" s="1"/>
  <c r="AE847" i="30"/>
  <c r="X847" i="30"/>
  <c r="AD847" i="30" s="1"/>
  <c r="W847" i="30"/>
  <c r="AC847" i="30" s="1"/>
  <c r="V847" i="30"/>
  <c r="AB847" i="30" s="1"/>
  <c r="AE846" i="30"/>
  <c r="X846" i="30"/>
  <c r="AD846" i="30" s="1"/>
  <c r="W846" i="30"/>
  <c r="AC846" i="30" s="1"/>
  <c r="V846" i="30"/>
  <c r="AB846" i="30" s="1"/>
  <c r="AE845" i="30"/>
  <c r="X845" i="30"/>
  <c r="AD845" i="30" s="1"/>
  <c r="W845" i="30"/>
  <c r="AC845" i="30" s="1"/>
  <c r="V845" i="30"/>
  <c r="AB845" i="30" s="1"/>
  <c r="AE844" i="30"/>
  <c r="X844" i="30"/>
  <c r="AD844" i="30" s="1"/>
  <c r="W844" i="30"/>
  <c r="AC844" i="30" s="1"/>
  <c r="V844" i="30"/>
  <c r="AB844" i="30" s="1"/>
  <c r="AE843" i="30"/>
  <c r="X843" i="30"/>
  <c r="AD843" i="30" s="1"/>
  <c r="W843" i="30"/>
  <c r="AC843" i="30" s="1"/>
  <c r="V843" i="30"/>
  <c r="AB843" i="30" s="1"/>
  <c r="AE842" i="30"/>
  <c r="X842" i="30"/>
  <c r="AD842" i="30" s="1"/>
  <c r="W842" i="30"/>
  <c r="AC842" i="30" s="1"/>
  <c r="V842" i="30"/>
  <c r="AB842" i="30" s="1"/>
  <c r="AE841" i="30"/>
  <c r="X841" i="30"/>
  <c r="AD841" i="30" s="1"/>
  <c r="W841" i="30"/>
  <c r="AC841" i="30" s="1"/>
  <c r="V841" i="30"/>
  <c r="AB841" i="30" s="1"/>
  <c r="AE840" i="30"/>
  <c r="X840" i="30"/>
  <c r="AD840" i="30" s="1"/>
  <c r="W840" i="30"/>
  <c r="AC840" i="30" s="1"/>
  <c r="V840" i="30"/>
  <c r="AB840" i="30" s="1"/>
  <c r="AE839" i="30"/>
  <c r="X839" i="30"/>
  <c r="AD839" i="30" s="1"/>
  <c r="W839" i="30"/>
  <c r="AC839" i="30" s="1"/>
  <c r="V839" i="30"/>
  <c r="AB839" i="30" s="1"/>
  <c r="AE838" i="30"/>
  <c r="X838" i="30"/>
  <c r="AD838" i="30" s="1"/>
  <c r="W838" i="30"/>
  <c r="AC838" i="30" s="1"/>
  <c r="V838" i="30"/>
  <c r="AB838" i="30" s="1"/>
  <c r="AE837" i="30"/>
  <c r="X837" i="30"/>
  <c r="AD837" i="30" s="1"/>
  <c r="W837" i="30"/>
  <c r="AC837" i="30" s="1"/>
  <c r="V837" i="30"/>
  <c r="AB837" i="30" s="1"/>
  <c r="AE836" i="30"/>
  <c r="X836" i="30"/>
  <c r="AD836" i="30" s="1"/>
  <c r="W836" i="30"/>
  <c r="AC836" i="30" s="1"/>
  <c r="V836" i="30"/>
  <c r="AB836" i="30" s="1"/>
  <c r="AE835" i="30"/>
  <c r="X835" i="30"/>
  <c r="AD835" i="30" s="1"/>
  <c r="W835" i="30"/>
  <c r="AC835" i="30" s="1"/>
  <c r="V835" i="30"/>
  <c r="AB835" i="30" s="1"/>
  <c r="AE834" i="30"/>
  <c r="X834" i="30"/>
  <c r="AD834" i="30" s="1"/>
  <c r="W834" i="30"/>
  <c r="AC834" i="30" s="1"/>
  <c r="V834" i="30"/>
  <c r="AB834" i="30" s="1"/>
  <c r="AE833" i="30"/>
  <c r="X833" i="30"/>
  <c r="AD833" i="30" s="1"/>
  <c r="W833" i="30"/>
  <c r="AC833" i="30" s="1"/>
  <c r="V833" i="30"/>
  <c r="AB833" i="30" s="1"/>
  <c r="AE832" i="30"/>
  <c r="X832" i="30"/>
  <c r="AD832" i="30" s="1"/>
  <c r="W832" i="30"/>
  <c r="AC832" i="30" s="1"/>
  <c r="V832" i="30"/>
  <c r="AB832" i="30" s="1"/>
  <c r="AE831" i="30"/>
  <c r="X831" i="30"/>
  <c r="AD831" i="30" s="1"/>
  <c r="W831" i="30"/>
  <c r="AC831" i="30" s="1"/>
  <c r="V831" i="30"/>
  <c r="AB831" i="30" s="1"/>
  <c r="AE830" i="30"/>
  <c r="X830" i="30"/>
  <c r="AD830" i="30" s="1"/>
  <c r="W830" i="30"/>
  <c r="AC830" i="30" s="1"/>
  <c r="V830" i="30"/>
  <c r="AB830" i="30" s="1"/>
  <c r="AE829" i="30"/>
  <c r="X829" i="30"/>
  <c r="AD829" i="30" s="1"/>
  <c r="W829" i="30"/>
  <c r="AC829" i="30" s="1"/>
  <c r="V829" i="30"/>
  <c r="AB829" i="30" s="1"/>
  <c r="AE828" i="30"/>
  <c r="X828" i="30"/>
  <c r="AD828" i="30" s="1"/>
  <c r="W828" i="30"/>
  <c r="AC828" i="30" s="1"/>
  <c r="V828" i="30"/>
  <c r="AB828" i="30" s="1"/>
  <c r="AE827" i="30"/>
  <c r="X827" i="30"/>
  <c r="AD827" i="30" s="1"/>
  <c r="W827" i="30"/>
  <c r="AC827" i="30" s="1"/>
  <c r="V827" i="30"/>
  <c r="AB827" i="30" s="1"/>
  <c r="AE826" i="30"/>
  <c r="X826" i="30"/>
  <c r="AD826" i="30" s="1"/>
  <c r="W826" i="30"/>
  <c r="AC826" i="30" s="1"/>
  <c r="V826" i="30"/>
  <c r="AB826" i="30" s="1"/>
  <c r="AE825" i="30"/>
  <c r="X825" i="30"/>
  <c r="AD825" i="30" s="1"/>
  <c r="W825" i="30"/>
  <c r="AC825" i="30" s="1"/>
  <c r="V825" i="30"/>
  <c r="AB825" i="30" s="1"/>
  <c r="AE824" i="30"/>
  <c r="X824" i="30"/>
  <c r="AD824" i="30" s="1"/>
  <c r="W824" i="30"/>
  <c r="AC824" i="30" s="1"/>
  <c r="V824" i="30"/>
  <c r="AB824" i="30" s="1"/>
  <c r="AE823" i="30"/>
  <c r="X823" i="30"/>
  <c r="AD823" i="30" s="1"/>
  <c r="W823" i="30"/>
  <c r="AC823" i="30" s="1"/>
  <c r="V823" i="30"/>
  <c r="AB823" i="30" s="1"/>
  <c r="AE822" i="30"/>
  <c r="X822" i="30"/>
  <c r="AD822" i="30" s="1"/>
  <c r="W822" i="30"/>
  <c r="AC822" i="30" s="1"/>
  <c r="V822" i="30"/>
  <c r="AB822" i="30" s="1"/>
  <c r="AE821" i="30"/>
  <c r="X821" i="30"/>
  <c r="AD821" i="30" s="1"/>
  <c r="W821" i="30"/>
  <c r="AC821" i="30" s="1"/>
  <c r="V821" i="30"/>
  <c r="AB821" i="30" s="1"/>
  <c r="AE820" i="30"/>
  <c r="X820" i="30"/>
  <c r="AD820" i="30" s="1"/>
  <c r="W820" i="30"/>
  <c r="AC820" i="30" s="1"/>
  <c r="V820" i="30"/>
  <c r="AB820" i="30" s="1"/>
  <c r="AE819" i="30"/>
  <c r="X819" i="30"/>
  <c r="AD819" i="30" s="1"/>
  <c r="W819" i="30"/>
  <c r="AC819" i="30" s="1"/>
  <c r="V819" i="30"/>
  <c r="AB819" i="30" s="1"/>
  <c r="AE818" i="30"/>
  <c r="X818" i="30"/>
  <c r="AD818" i="30" s="1"/>
  <c r="W818" i="30"/>
  <c r="AC818" i="30" s="1"/>
  <c r="V818" i="30"/>
  <c r="AB818" i="30" s="1"/>
  <c r="AE817" i="30"/>
  <c r="X817" i="30"/>
  <c r="AD817" i="30" s="1"/>
  <c r="W817" i="30"/>
  <c r="AC817" i="30" s="1"/>
  <c r="V817" i="30"/>
  <c r="AB817" i="30" s="1"/>
  <c r="AE816" i="30"/>
  <c r="X816" i="30"/>
  <c r="AD816" i="30" s="1"/>
  <c r="W816" i="30"/>
  <c r="AC816" i="30" s="1"/>
  <c r="V816" i="30"/>
  <c r="AB816" i="30" s="1"/>
  <c r="AE815" i="30"/>
  <c r="X815" i="30"/>
  <c r="AD815" i="30" s="1"/>
  <c r="W815" i="30"/>
  <c r="AC815" i="30" s="1"/>
  <c r="V815" i="30"/>
  <c r="AB815" i="30" s="1"/>
  <c r="AE814" i="30"/>
  <c r="X814" i="30"/>
  <c r="AD814" i="30" s="1"/>
  <c r="W814" i="30"/>
  <c r="AC814" i="30" s="1"/>
  <c r="V814" i="30"/>
  <c r="AB814" i="30" s="1"/>
  <c r="AE813" i="30"/>
  <c r="X813" i="30"/>
  <c r="AD813" i="30" s="1"/>
  <c r="W813" i="30"/>
  <c r="AC813" i="30" s="1"/>
  <c r="V813" i="30"/>
  <c r="AB813" i="30" s="1"/>
  <c r="AE812" i="30"/>
  <c r="X812" i="30"/>
  <c r="AD812" i="30" s="1"/>
  <c r="W812" i="30"/>
  <c r="AC812" i="30" s="1"/>
  <c r="V812" i="30"/>
  <c r="AB812" i="30" s="1"/>
  <c r="AE811" i="30"/>
  <c r="X811" i="30"/>
  <c r="AD811" i="30" s="1"/>
  <c r="W811" i="30"/>
  <c r="AC811" i="30" s="1"/>
  <c r="V811" i="30"/>
  <c r="AB811" i="30" s="1"/>
  <c r="AE810" i="30"/>
  <c r="X810" i="30"/>
  <c r="AD810" i="30" s="1"/>
  <c r="W810" i="30"/>
  <c r="AC810" i="30" s="1"/>
  <c r="V810" i="30"/>
  <c r="AB810" i="30" s="1"/>
  <c r="AE809" i="30"/>
  <c r="X809" i="30"/>
  <c r="AD809" i="30" s="1"/>
  <c r="W809" i="30"/>
  <c r="AC809" i="30" s="1"/>
  <c r="V809" i="30"/>
  <c r="AB809" i="30" s="1"/>
  <c r="AE808" i="30"/>
  <c r="X808" i="30"/>
  <c r="AD808" i="30" s="1"/>
  <c r="W808" i="30"/>
  <c r="AC808" i="30" s="1"/>
  <c r="V808" i="30"/>
  <c r="AB808" i="30" s="1"/>
  <c r="AE807" i="30"/>
  <c r="X807" i="30"/>
  <c r="AD807" i="30" s="1"/>
  <c r="W807" i="30"/>
  <c r="AC807" i="30" s="1"/>
  <c r="V807" i="30"/>
  <c r="AB807" i="30" s="1"/>
  <c r="AE806" i="30"/>
  <c r="X806" i="30"/>
  <c r="AD806" i="30" s="1"/>
  <c r="W806" i="30"/>
  <c r="AC806" i="30" s="1"/>
  <c r="V806" i="30"/>
  <c r="AB806" i="30" s="1"/>
  <c r="AE805" i="30"/>
  <c r="X805" i="30"/>
  <c r="AD805" i="30" s="1"/>
  <c r="W805" i="30"/>
  <c r="AC805" i="30" s="1"/>
  <c r="V805" i="30"/>
  <c r="AB805" i="30" s="1"/>
  <c r="AE804" i="30"/>
  <c r="X804" i="30"/>
  <c r="AD804" i="30" s="1"/>
  <c r="W804" i="30"/>
  <c r="AC804" i="30" s="1"/>
  <c r="V804" i="30"/>
  <c r="AB804" i="30" s="1"/>
  <c r="AE803" i="30"/>
  <c r="X803" i="30"/>
  <c r="AD803" i="30" s="1"/>
  <c r="W803" i="30"/>
  <c r="AC803" i="30" s="1"/>
  <c r="V803" i="30"/>
  <c r="AB803" i="30" s="1"/>
  <c r="AE802" i="30"/>
  <c r="X802" i="30"/>
  <c r="AD802" i="30" s="1"/>
  <c r="W802" i="30"/>
  <c r="AC802" i="30" s="1"/>
  <c r="V802" i="30"/>
  <c r="AB802" i="30" s="1"/>
  <c r="AE801" i="30"/>
  <c r="X801" i="30"/>
  <c r="AD801" i="30" s="1"/>
  <c r="W801" i="30"/>
  <c r="AC801" i="30" s="1"/>
  <c r="V801" i="30"/>
  <c r="AB801" i="30" s="1"/>
  <c r="AE800" i="30"/>
  <c r="X800" i="30"/>
  <c r="AD800" i="30" s="1"/>
  <c r="W800" i="30"/>
  <c r="AC800" i="30" s="1"/>
  <c r="V800" i="30"/>
  <c r="AB800" i="30" s="1"/>
  <c r="AE799" i="30"/>
  <c r="X799" i="30"/>
  <c r="AD799" i="30" s="1"/>
  <c r="W799" i="30"/>
  <c r="AC799" i="30" s="1"/>
  <c r="V799" i="30"/>
  <c r="AB799" i="30" s="1"/>
  <c r="AE798" i="30"/>
  <c r="X798" i="30"/>
  <c r="AD798" i="30" s="1"/>
  <c r="W798" i="30"/>
  <c r="AC798" i="30" s="1"/>
  <c r="V798" i="30"/>
  <c r="AB798" i="30" s="1"/>
  <c r="AE797" i="30"/>
  <c r="X797" i="30"/>
  <c r="AD797" i="30" s="1"/>
  <c r="W797" i="30"/>
  <c r="AC797" i="30" s="1"/>
  <c r="V797" i="30"/>
  <c r="AB797" i="30" s="1"/>
  <c r="AE796" i="30"/>
  <c r="X796" i="30"/>
  <c r="AD796" i="30" s="1"/>
  <c r="W796" i="30"/>
  <c r="AC796" i="30" s="1"/>
  <c r="V796" i="30"/>
  <c r="AB796" i="30" s="1"/>
  <c r="AE795" i="30"/>
  <c r="X795" i="30"/>
  <c r="AD795" i="30" s="1"/>
  <c r="W795" i="30"/>
  <c r="AC795" i="30" s="1"/>
  <c r="V795" i="30"/>
  <c r="AB795" i="30" s="1"/>
  <c r="AE794" i="30"/>
  <c r="X794" i="30"/>
  <c r="AD794" i="30" s="1"/>
  <c r="W794" i="30"/>
  <c r="AC794" i="30" s="1"/>
  <c r="V794" i="30"/>
  <c r="AB794" i="30" s="1"/>
  <c r="AE793" i="30"/>
  <c r="X793" i="30"/>
  <c r="AD793" i="30" s="1"/>
  <c r="W793" i="30"/>
  <c r="AC793" i="30" s="1"/>
  <c r="V793" i="30"/>
  <c r="AB793" i="30" s="1"/>
  <c r="AE792" i="30"/>
  <c r="X792" i="30"/>
  <c r="AD792" i="30" s="1"/>
  <c r="W792" i="30"/>
  <c r="AC792" i="30" s="1"/>
  <c r="V792" i="30"/>
  <c r="AB792" i="30" s="1"/>
  <c r="AE791" i="30"/>
  <c r="X791" i="30"/>
  <c r="AD791" i="30" s="1"/>
  <c r="W791" i="30"/>
  <c r="AC791" i="30" s="1"/>
  <c r="V791" i="30"/>
  <c r="AB791" i="30" s="1"/>
  <c r="AE790" i="30"/>
  <c r="X790" i="30"/>
  <c r="AD790" i="30" s="1"/>
  <c r="W790" i="30"/>
  <c r="AC790" i="30" s="1"/>
  <c r="V790" i="30"/>
  <c r="AB790" i="30" s="1"/>
  <c r="AE789" i="30"/>
  <c r="X789" i="30"/>
  <c r="AD789" i="30" s="1"/>
  <c r="W789" i="30"/>
  <c r="AC789" i="30" s="1"/>
  <c r="V789" i="30"/>
  <c r="AB789" i="30" s="1"/>
  <c r="AE788" i="30"/>
  <c r="X788" i="30"/>
  <c r="AD788" i="30" s="1"/>
  <c r="W788" i="30"/>
  <c r="AC788" i="30" s="1"/>
  <c r="V788" i="30"/>
  <c r="AB788" i="30" s="1"/>
  <c r="AE787" i="30"/>
  <c r="X787" i="30"/>
  <c r="AD787" i="30" s="1"/>
  <c r="W787" i="30"/>
  <c r="AC787" i="30" s="1"/>
  <c r="V787" i="30"/>
  <c r="AB787" i="30" s="1"/>
  <c r="AE786" i="30"/>
  <c r="X786" i="30"/>
  <c r="AD786" i="30" s="1"/>
  <c r="W786" i="30"/>
  <c r="AC786" i="30" s="1"/>
  <c r="V786" i="30"/>
  <c r="AB786" i="30" s="1"/>
  <c r="AE785" i="30"/>
  <c r="X785" i="30"/>
  <c r="AD785" i="30" s="1"/>
  <c r="W785" i="30"/>
  <c r="AC785" i="30" s="1"/>
  <c r="V785" i="30"/>
  <c r="AB785" i="30" s="1"/>
  <c r="AE784" i="30"/>
  <c r="X784" i="30"/>
  <c r="AD784" i="30" s="1"/>
  <c r="W784" i="30"/>
  <c r="AC784" i="30" s="1"/>
  <c r="V784" i="30"/>
  <c r="AB784" i="30" s="1"/>
  <c r="AE783" i="30"/>
  <c r="X783" i="30"/>
  <c r="AD783" i="30" s="1"/>
  <c r="W783" i="30"/>
  <c r="AC783" i="30" s="1"/>
  <c r="V783" i="30"/>
  <c r="AB783" i="30" s="1"/>
  <c r="AE782" i="30"/>
  <c r="X782" i="30"/>
  <c r="AD782" i="30" s="1"/>
  <c r="W782" i="30"/>
  <c r="AC782" i="30" s="1"/>
  <c r="V782" i="30"/>
  <c r="AB782" i="30" s="1"/>
  <c r="AE781" i="30"/>
  <c r="X781" i="30"/>
  <c r="AD781" i="30" s="1"/>
  <c r="W781" i="30"/>
  <c r="AC781" i="30" s="1"/>
  <c r="V781" i="30"/>
  <c r="AB781" i="30" s="1"/>
  <c r="AE780" i="30"/>
  <c r="X780" i="30"/>
  <c r="AD780" i="30" s="1"/>
  <c r="W780" i="30"/>
  <c r="AC780" i="30" s="1"/>
  <c r="V780" i="30"/>
  <c r="AB780" i="30" s="1"/>
  <c r="AE779" i="30"/>
  <c r="X779" i="30"/>
  <c r="AD779" i="30" s="1"/>
  <c r="W779" i="30"/>
  <c r="AC779" i="30" s="1"/>
  <c r="V779" i="30"/>
  <c r="AB779" i="30" s="1"/>
  <c r="AE778" i="30"/>
  <c r="X778" i="30"/>
  <c r="AD778" i="30" s="1"/>
  <c r="W778" i="30"/>
  <c r="AC778" i="30" s="1"/>
  <c r="V778" i="30"/>
  <c r="AB778" i="30" s="1"/>
  <c r="AE777" i="30"/>
  <c r="X777" i="30"/>
  <c r="AD777" i="30" s="1"/>
  <c r="W777" i="30"/>
  <c r="AC777" i="30" s="1"/>
  <c r="V777" i="30"/>
  <c r="AB777" i="30" s="1"/>
  <c r="AE776" i="30"/>
  <c r="X776" i="30"/>
  <c r="AD776" i="30" s="1"/>
  <c r="W776" i="30"/>
  <c r="AC776" i="30" s="1"/>
  <c r="V776" i="30"/>
  <c r="AB776" i="30" s="1"/>
  <c r="AE775" i="30"/>
  <c r="X775" i="30"/>
  <c r="AD775" i="30" s="1"/>
  <c r="W775" i="30"/>
  <c r="AC775" i="30" s="1"/>
  <c r="V775" i="30"/>
  <c r="AB775" i="30" s="1"/>
  <c r="AE774" i="30"/>
  <c r="X774" i="30"/>
  <c r="AD774" i="30" s="1"/>
  <c r="W774" i="30"/>
  <c r="AC774" i="30" s="1"/>
  <c r="V774" i="30"/>
  <c r="AB774" i="30" s="1"/>
  <c r="AE773" i="30"/>
  <c r="X773" i="30"/>
  <c r="AD773" i="30" s="1"/>
  <c r="W773" i="30"/>
  <c r="AC773" i="30" s="1"/>
  <c r="V773" i="30"/>
  <c r="AB773" i="30" s="1"/>
  <c r="AE772" i="30"/>
  <c r="X772" i="30"/>
  <c r="AD772" i="30" s="1"/>
  <c r="W772" i="30"/>
  <c r="AC772" i="30" s="1"/>
  <c r="V772" i="30"/>
  <c r="AB772" i="30" s="1"/>
  <c r="AE771" i="30"/>
  <c r="X771" i="30"/>
  <c r="AD771" i="30" s="1"/>
  <c r="W771" i="30"/>
  <c r="AC771" i="30" s="1"/>
  <c r="V771" i="30"/>
  <c r="AB771" i="30" s="1"/>
  <c r="AE770" i="30"/>
  <c r="X770" i="30"/>
  <c r="AD770" i="30" s="1"/>
  <c r="W770" i="30"/>
  <c r="AC770" i="30" s="1"/>
  <c r="V770" i="30"/>
  <c r="AB770" i="30" s="1"/>
  <c r="AE769" i="30"/>
  <c r="X769" i="30"/>
  <c r="AD769" i="30" s="1"/>
  <c r="W769" i="30"/>
  <c r="AC769" i="30" s="1"/>
  <c r="V769" i="30"/>
  <c r="AB769" i="30" s="1"/>
  <c r="AE768" i="30"/>
  <c r="X768" i="30"/>
  <c r="AD768" i="30" s="1"/>
  <c r="W768" i="30"/>
  <c r="AC768" i="30" s="1"/>
  <c r="V768" i="30"/>
  <c r="AB768" i="30" s="1"/>
  <c r="AE767" i="30"/>
  <c r="X767" i="30"/>
  <c r="AD767" i="30" s="1"/>
  <c r="W767" i="30"/>
  <c r="AC767" i="30" s="1"/>
  <c r="V767" i="30"/>
  <c r="AB767" i="30" s="1"/>
  <c r="AE766" i="30"/>
  <c r="X766" i="30"/>
  <c r="AD766" i="30" s="1"/>
  <c r="W766" i="30"/>
  <c r="AC766" i="30" s="1"/>
  <c r="V766" i="30"/>
  <c r="AB766" i="30" s="1"/>
  <c r="AE765" i="30"/>
  <c r="X765" i="30"/>
  <c r="AD765" i="30" s="1"/>
  <c r="W765" i="30"/>
  <c r="AC765" i="30" s="1"/>
  <c r="V765" i="30"/>
  <c r="AB765" i="30" s="1"/>
  <c r="AE764" i="30"/>
  <c r="X764" i="30"/>
  <c r="AD764" i="30" s="1"/>
  <c r="W764" i="30"/>
  <c r="AC764" i="30" s="1"/>
  <c r="V764" i="30"/>
  <c r="AB764" i="30" s="1"/>
  <c r="AE763" i="30"/>
  <c r="X763" i="30"/>
  <c r="AD763" i="30" s="1"/>
  <c r="W763" i="30"/>
  <c r="AC763" i="30" s="1"/>
  <c r="V763" i="30"/>
  <c r="AB763" i="30" s="1"/>
  <c r="AE762" i="30"/>
  <c r="X762" i="30"/>
  <c r="AD762" i="30" s="1"/>
  <c r="W762" i="30"/>
  <c r="AC762" i="30" s="1"/>
  <c r="V762" i="30"/>
  <c r="AB762" i="30" s="1"/>
  <c r="AE761" i="30"/>
  <c r="X761" i="30"/>
  <c r="AD761" i="30" s="1"/>
  <c r="W761" i="30"/>
  <c r="AC761" i="30" s="1"/>
  <c r="V761" i="30"/>
  <c r="AB761" i="30" s="1"/>
  <c r="AE760" i="30"/>
  <c r="X760" i="30"/>
  <c r="AD760" i="30" s="1"/>
  <c r="W760" i="30"/>
  <c r="AC760" i="30" s="1"/>
  <c r="V760" i="30"/>
  <c r="AB760" i="30" s="1"/>
  <c r="AE759" i="30"/>
  <c r="X759" i="30"/>
  <c r="AD759" i="30" s="1"/>
  <c r="W759" i="30"/>
  <c r="AC759" i="30" s="1"/>
  <c r="V759" i="30"/>
  <c r="AB759" i="30" s="1"/>
  <c r="AE758" i="30"/>
  <c r="X758" i="30"/>
  <c r="AD758" i="30" s="1"/>
  <c r="W758" i="30"/>
  <c r="AC758" i="30" s="1"/>
  <c r="V758" i="30"/>
  <c r="AB758" i="30" s="1"/>
  <c r="AE757" i="30"/>
  <c r="X757" i="30"/>
  <c r="AD757" i="30" s="1"/>
  <c r="W757" i="30"/>
  <c r="AC757" i="30" s="1"/>
  <c r="V757" i="30"/>
  <c r="AB757" i="30" s="1"/>
  <c r="AE756" i="30"/>
  <c r="X756" i="30"/>
  <c r="AD756" i="30" s="1"/>
  <c r="W756" i="30"/>
  <c r="AC756" i="30" s="1"/>
  <c r="V756" i="30"/>
  <c r="AB756" i="30" s="1"/>
  <c r="AE755" i="30"/>
  <c r="X755" i="30"/>
  <c r="AD755" i="30" s="1"/>
  <c r="W755" i="30"/>
  <c r="AC755" i="30" s="1"/>
  <c r="V755" i="30"/>
  <c r="AB755" i="30" s="1"/>
  <c r="AE754" i="30"/>
  <c r="X754" i="30"/>
  <c r="AD754" i="30" s="1"/>
  <c r="W754" i="30"/>
  <c r="AC754" i="30" s="1"/>
  <c r="V754" i="30"/>
  <c r="AB754" i="30" s="1"/>
  <c r="AE753" i="30"/>
  <c r="X753" i="30"/>
  <c r="AD753" i="30" s="1"/>
  <c r="W753" i="30"/>
  <c r="AC753" i="30" s="1"/>
  <c r="V753" i="30"/>
  <c r="AB753" i="30" s="1"/>
  <c r="AE752" i="30"/>
  <c r="X752" i="30"/>
  <c r="AD752" i="30" s="1"/>
  <c r="W752" i="30"/>
  <c r="AC752" i="30" s="1"/>
  <c r="V752" i="30"/>
  <c r="AB752" i="30" s="1"/>
  <c r="AE751" i="30"/>
  <c r="X751" i="30"/>
  <c r="AD751" i="30" s="1"/>
  <c r="W751" i="30"/>
  <c r="AC751" i="30" s="1"/>
  <c r="V751" i="30"/>
  <c r="AB751" i="30" s="1"/>
  <c r="AE750" i="30"/>
  <c r="X750" i="30"/>
  <c r="AD750" i="30" s="1"/>
  <c r="W750" i="30"/>
  <c r="AC750" i="30" s="1"/>
  <c r="V750" i="30"/>
  <c r="AB750" i="30" s="1"/>
  <c r="AE749" i="30"/>
  <c r="X749" i="30"/>
  <c r="AD749" i="30" s="1"/>
  <c r="W749" i="30"/>
  <c r="AC749" i="30" s="1"/>
  <c r="V749" i="30"/>
  <c r="AB749" i="30" s="1"/>
  <c r="AE748" i="30"/>
  <c r="X748" i="30"/>
  <c r="AD748" i="30" s="1"/>
  <c r="W748" i="30"/>
  <c r="AC748" i="30" s="1"/>
  <c r="V748" i="30"/>
  <c r="AB748" i="30" s="1"/>
  <c r="AE747" i="30"/>
  <c r="X747" i="30"/>
  <c r="AD747" i="30" s="1"/>
  <c r="W747" i="30"/>
  <c r="AC747" i="30" s="1"/>
  <c r="V747" i="30"/>
  <c r="AB747" i="30" s="1"/>
  <c r="AE746" i="30"/>
  <c r="X746" i="30"/>
  <c r="AD746" i="30" s="1"/>
  <c r="W746" i="30"/>
  <c r="AC746" i="30" s="1"/>
  <c r="V746" i="30"/>
  <c r="AB746" i="30" s="1"/>
  <c r="AE745" i="30"/>
  <c r="X745" i="30"/>
  <c r="AD745" i="30" s="1"/>
  <c r="W745" i="30"/>
  <c r="AC745" i="30" s="1"/>
  <c r="V745" i="30"/>
  <c r="AB745" i="30" s="1"/>
  <c r="AE744" i="30"/>
  <c r="X744" i="30"/>
  <c r="AD744" i="30" s="1"/>
  <c r="W744" i="30"/>
  <c r="AC744" i="30" s="1"/>
  <c r="V744" i="30"/>
  <c r="AB744" i="30" s="1"/>
  <c r="AE743" i="30"/>
  <c r="X743" i="30"/>
  <c r="AD743" i="30" s="1"/>
  <c r="W743" i="30"/>
  <c r="AC743" i="30" s="1"/>
  <c r="V743" i="30"/>
  <c r="AB743" i="30" s="1"/>
  <c r="AE742" i="30"/>
  <c r="X742" i="30"/>
  <c r="AD742" i="30" s="1"/>
  <c r="W742" i="30"/>
  <c r="AC742" i="30" s="1"/>
  <c r="V742" i="30"/>
  <c r="AB742" i="30" s="1"/>
  <c r="AE741" i="30"/>
  <c r="X741" i="30"/>
  <c r="AD741" i="30" s="1"/>
  <c r="W741" i="30"/>
  <c r="AC741" i="30" s="1"/>
  <c r="V741" i="30"/>
  <c r="AB741" i="30" s="1"/>
  <c r="AE740" i="30"/>
  <c r="X740" i="30"/>
  <c r="AD740" i="30" s="1"/>
  <c r="W740" i="30"/>
  <c r="AC740" i="30" s="1"/>
  <c r="V740" i="30"/>
  <c r="AB740" i="30" s="1"/>
  <c r="AE739" i="30"/>
  <c r="X739" i="30"/>
  <c r="AD739" i="30" s="1"/>
  <c r="W739" i="30"/>
  <c r="AC739" i="30" s="1"/>
  <c r="V739" i="30"/>
  <c r="AB739" i="30" s="1"/>
  <c r="AE738" i="30"/>
  <c r="X738" i="30"/>
  <c r="AD738" i="30" s="1"/>
  <c r="W738" i="30"/>
  <c r="AC738" i="30" s="1"/>
  <c r="V738" i="30"/>
  <c r="AB738" i="30" s="1"/>
  <c r="AE737" i="30"/>
  <c r="X737" i="30"/>
  <c r="AD737" i="30" s="1"/>
  <c r="W737" i="30"/>
  <c r="AC737" i="30" s="1"/>
  <c r="V737" i="30"/>
  <c r="AB737" i="30" s="1"/>
  <c r="AE736" i="30"/>
  <c r="X736" i="30"/>
  <c r="AD736" i="30" s="1"/>
  <c r="W736" i="30"/>
  <c r="AC736" i="30" s="1"/>
  <c r="V736" i="30"/>
  <c r="AB736" i="30" s="1"/>
  <c r="AE735" i="30"/>
  <c r="X735" i="30"/>
  <c r="AD735" i="30" s="1"/>
  <c r="W735" i="30"/>
  <c r="AC735" i="30" s="1"/>
  <c r="V735" i="30"/>
  <c r="AB735" i="30" s="1"/>
  <c r="AE734" i="30"/>
  <c r="X734" i="30"/>
  <c r="AD734" i="30" s="1"/>
  <c r="W734" i="30"/>
  <c r="AC734" i="30" s="1"/>
  <c r="V734" i="30"/>
  <c r="AB734" i="30" s="1"/>
  <c r="AE733" i="30"/>
  <c r="X733" i="30"/>
  <c r="AD733" i="30" s="1"/>
  <c r="W733" i="30"/>
  <c r="AC733" i="30" s="1"/>
  <c r="V733" i="30"/>
  <c r="AB733" i="30" s="1"/>
  <c r="AE732" i="30"/>
  <c r="X732" i="30"/>
  <c r="AD732" i="30" s="1"/>
  <c r="W732" i="30"/>
  <c r="AC732" i="30" s="1"/>
  <c r="V732" i="30"/>
  <c r="AB732" i="30" s="1"/>
  <c r="AE731" i="30"/>
  <c r="X731" i="30"/>
  <c r="AD731" i="30" s="1"/>
  <c r="W731" i="30"/>
  <c r="AC731" i="30" s="1"/>
  <c r="V731" i="30"/>
  <c r="AB731" i="30" s="1"/>
  <c r="AE730" i="30"/>
  <c r="X730" i="30"/>
  <c r="AD730" i="30" s="1"/>
  <c r="W730" i="30"/>
  <c r="AC730" i="30" s="1"/>
  <c r="V730" i="30"/>
  <c r="AB730" i="30" s="1"/>
  <c r="AE729" i="30"/>
  <c r="X729" i="30"/>
  <c r="AD729" i="30" s="1"/>
  <c r="W729" i="30"/>
  <c r="AC729" i="30" s="1"/>
  <c r="V729" i="30"/>
  <c r="AB729" i="30" s="1"/>
  <c r="AE728" i="30"/>
  <c r="X728" i="30"/>
  <c r="AD728" i="30" s="1"/>
  <c r="W728" i="30"/>
  <c r="AC728" i="30" s="1"/>
  <c r="V728" i="30"/>
  <c r="AB728" i="30" s="1"/>
  <c r="AE727" i="30"/>
  <c r="X727" i="30"/>
  <c r="AD727" i="30" s="1"/>
  <c r="W727" i="30"/>
  <c r="AC727" i="30" s="1"/>
  <c r="V727" i="30"/>
  <c r="AB727" i="30" s="1"/>
  <c r="AE726" i="30"/>
  <c r="X726" i="30"/>
  <c r="AD726" i="30" s="1"/>
  <c r="W726" i="30"/>
  <c r="AC726" i="30" s="1"/>
  <c r="V726" i="30"/>
  <c r="AB726" i="30" s="1"/>
  <c r="AE725" i="30"/>
  <c r="X725" i="30"/>
  <c r="AD725" i="30" s="1"/>
  <c r="W725" i="30"/>
  <c r="AC725" i="30" s="1"/>
  <c r="V725" i="30"/>
  <c r="AB725" i="30" s="1"/>
  <c r="AE724" i="30"/>
  <c r="X724" i="30"/>
  <c r="AD724" i="30" s="1"/>
  <c r="W724" i="30"/>
  <c r="AC724" i="30" s="1"/>
  <c r="V724" i="30"/>
  <c r="AB724" i="30" s="1"/>
  <c r="AE723" i="30"/>
  <c r="X723" i="30"/>
  <c r="AD723" i="30" s="1"/>
  <c r="W723" i="30"/>
  <c r="AC723" i="30" s="1"/>
  <c r="V723" i="30"/>
  <c r="AB723" i="30" s="1"/>
  <c r="AE722" i="30"/>
  <c r="X722" i="30"/>
  <c r="AD722" i="30" s="1"/>
  <c r="W722" i="30"/>
  <c r="AC722" i="30" s="1"/>
  <c r="V722" i="30"/>
  <c r="AB722" i="30" s="1"/>
  <c r="AE721" i="30"/>
  <c r="X721" i="30"/>
  <c r="AD721" i="30" s="1"/>
  <c r="W721" i="30"/>
  <c r="AC721" i="30" s="1"/>
  <c r="V721" i="30"/>
  <c r="AB721" i="30" s="1"/>
  <c r="AE720" i="30"/>
  <c r="X720" i="30"/>
  <c r="AD720" i="30" s="1"/>
  <c r="W720" i="30"/>
  <c r="AC720" i="30" s="1"/>
  <c r="V720" i="30"/>
  <c r="AB720" i="30" s="1"/>
  <c r="AE719" i="30"/>
  <c r="X719" i="30"/>
  <c r="AD719" i="30" s="1"/>
  <c r="W719" i="30"/>
  <c r="AC719" i="30" s="1"/>
  <c r="V719" i="30"/>
  <c r="AB719" i="30" s="1"/>
  <c r="AE718" i="30"/>
  <c r="X718" i="30"/>
  <c r="AD718" i="30" s="1"/>
  <c r="W718" i="30"/>
  <c r="AC718" i="30" s="1"/>
  <c r="V718" i="30"/>
  <c r="AB718" i="30" s="1"/>
  <c r="AE717" i="30"/>
  <c r="X717" i="30"/>
  <c r="AD717" i="30" s="1"/>
  <c r="W717" i="30"/>
  <c r="AC717" i="30" s="1"/>
  <c r="V717" i="30"/>
  <c r="AB717" i="30" s="1"/>
  <c r="AE716" i="30"/>
  <c r="X716" i="30"/>
  <c r="AD716" i="30" s="1"/>
  <c r="W716" i="30"/>
  <c r="AC716" i="30" s="1"/>
  <c r="V716" i="30"/>
  <c r="AB716" i="30" s="1"/>
  <c r="AE715" i="30"/>
  <c r="X715" i="30"/>
  <c r="AD715" i="30" s="1"/>
  <c r="W715" i="30"/>
  <c r="AC715" i="30" s="1"/>
  <c r="V715" i="30"/>
  <c r="AB715" i="30" s="1"/>
  <c r="AE714" i="30"/>
  <c r="X714" i="30"/>
  <c r="AD714" i="30" s="1"/>
  <c r="W714" i="30"/>
  <c r="AC714" i="30" s="1"/>
  <c r="V714" i="30"/>
  <c r="AB714" i="30" s="1"/>
  <c r="AE713" i="30"/>
  <c r="X713" i="30"/>
  <c r="AD713" i="30" s="1"/>
  <c r="W713" i="30"/>
  <c r="AC713" i="30" s="1"/>
  <c r="V713" i="30"/>
  <c r="AB713" i="30" s="1"/>
  <c r="AE712" i="30"/>
  <c r="X712" i="30"/>
  <c r="AD712" i="30" s="1"/>
  <c r="W712" i="30"/>
  <c r="AC712" i="30" s="1"/>
  <c r="V712" i="30"/>
  <c r="AB712" i="30" s="1"/>
  <c r="AE711" i="30"/>
  <c r="X711" i="30"/>
  <c r="AD711" i="30" s="1"/>
  <c r="W711" i="30"/>
  <c r="AC711" i="30" s="1"/>
  <c r="V711" i="30"/>
  <c r="AB711" i="30" s="1"/>
  <c r="AE710" i="30"/>
  <c r="X710" i="30"/>
  <c r="AD710" i="30" s="1"/>
  <c r="W710" i="30"/>
  <c r="AC710" i="30" s="1"/>
  <c r="V710" i="30"/>
  <c r="AB710" i="30" s="1"/>
  <c r="AE709" i="30"/>
  <c r="X709" i="30"/>
  <c r="AD709" i="30" s="1"/>
  <c r="W709" i="30"/>
  <c r="AC709" i="30" s="1"/>
  <c r="V709" i="30"/>
  <c r="AB709" i="30" s="1"/>
  <c r="AE708" i="30"/>
  <c r="X708" i="30"/>
  <c r="AD708" i="30" s="1"/>
  <c r="W708" i="30"/>
  <c r="AC708" i="30" s="1"/>
  <c r="V708" i="30"/>
  <c r="AB708" i="30" s="1"/>
  <c r="AE707" i="30"/>
  <c r="X707" i="30"/>
  <c r="AD707" i="30" s="1"/>
  <c r="W707" i="30"/>
  <c r="AC707" i="30" s="1"/>
  <c r="V707" i="30"/>
  <c r="AB707" i="30" s="1"/>
  <c r="AE706" i="30"/>
  <c r="X706" i="30"/>
  <c r="AD706" i="30" s="1"/>
  <c r="W706" i="30"/>
  <c r="AC706" i="30" s="1"/>
  <c r="V706" i="30"/>
  <c r="AB706" i="30" s="1"/>
  <c r="AE705" i="30"/>
  <c r="X705" i="30"/>
  <c r="AD705" i="30" s="1"/>
  <c r="W705" i="30"/>
  <c r="AC705" i="30" s="1"/>
  <c r="V705" i="30"/>
  <c r="AB705" i="30" s="1"/>
  <c r="AE704" i="30"/>
  <c r="X704" i="30"/>
  <c r="AD704" i="30" s="1"/>
  <c r="W704" i="30"/>
  <c r="AC704" i="30" s="1"/>
  <c r="V704" i="30"/>
  <c r="AB704" i="30" s="1"/>
  <c r="AE703" i="30"/>
  <c r="X703" i="30"/>
  <c r="AD703" i="30" s="1"/>
  <c r="W703" i="30"/>
  <c r="AC703" i="30" s="1"/>
  <c r="V703" i="30"/>
  <c r="AB703" i="30" s="1"/>
  <c r="AE702" i="30"/>
  <c r="X702" i="30"/>
  <c r="AD702" i="30" s="1"/>
  <c r="W702" i="30"/>
  <c r="AC702" i="30" s="1"/>
  <c r="V702" i="30"/>
  <c r="AB702" i="30" s="1"/>
  <c r="AE701" i="30"/>
  <c r="X701" i="30"/>
  <c r="AD701" i="30" s="1"/>
  <c r="W701" i="30"/>
  <c r="AC701" i="30" s="1"/>
  <c r="V701" i="30"/>
  <c r="AB701" i="30" s="1"/>
  <c r="AE700" i="30"/>
  <c r="X700" i="30"/>
  <c r="AD700" i="30" s="1"/>
  <c r="W700" i="30"/>
  <c r="AC700" i="30" s="1"/>
  <c r="V700" i="30"/>
  <c r="AB700" i="30" s="1"/>
  <c r="AE699" i="30"/>
  <c r="X699" i="30"/>
  <c r="AD699" i="30" s="1"/>
  <c r="W699" i="30"/>
  <c r="AC699" i="30" s="1"/>
  <c r="V699" i="30"/>
  <c r="AB699" i="30" s="1"/>
  <c r="AE698" i="30"/>
  <c r="X698" i="30"/>
  <c r="AD698" i="30" s="1"/>
  <c r="W698" i="30"/>
  <c r="AC698" i="30" s="1"/>
  <c r="V698" i="30"/>
  <c r="AB698" i="30" s="1"/>
  <c r="AE697" i="30"/>
  <c r="X697" i="30"/>
  <c r="AD697" i="30" s="1"/>
  <c r="W697" i="30"/>
  <c r="AC697" i="30" s="1"/>
  <c r="V697" i="30"/>
  <c r="AB697" i="30" s="1"/>
  <c r="AE696" i="30"/>
  <c r="X696" i="30"/>
  <c r="AD696" i="30" s="1"/>
  <c r="W696" i="30"/>
  <c r="AC696" i="30" s="1"/>
  <c r="V696" i="30"/>
  <c r="AB696" i="30" s="1"/>
  <c r="AE695" i="30"/>
  <c r="X695" i="30"/>
  <c r="AD695" i="30" s="1"/>
  <c r="W695" i="30"/>
  <c r="AC695" i="30" s="1"/>
  <c r="V695" i="30"/>
  <c r="AB695" i="30" s="1"/>
  <c r="AE694" i="30"/>
  <c r="X694" i="30"/>
  <c r="AD694" i="30" s="1"/>
  <c r="W694" i="30"/>
  <c r="AC694" i="30" s="1"/>
  <c r="V694" i="30"/>
  <c r="AB694" i="30" s="1"/>
  <c r="AE693" i="30"/>
  <c r="X693" i="30"/>
  <c r="AD693" i="30" s="1"/>
  <c r="W693" i="30"/>
  <c r="AC693" i="30" s="1"/>
  <c r="V693" i="30"/>
  <c r="AB693" i="30" s="1"/>
  <c r="AE692" i="30"/>
  <c r="X692" i="30"/>
  <c r="AD692" i="30" s="1"/>
  <c r="W692" i="30"/>
  <c r="AC692" i="30" s="1"/>
  <c r="V692" i="30"/>
  <c r="AB692" i="30" s="1"/>
  <c r="AE691" i="30"/>
  <c r="X691" i="30"/>
  <c r="AD691" i="30" s="1"/>
  <c r="W691" i="30"/>
  <c r="AC691" i="30" s="1"/>
  <c r="V691" i="30"/>
  <c r="AB691" i="30" s="1"/>
  <c r="AE690" i="30"/>
  <c r="X690" i="30"/>
  <c r="AD690" i="30" s="1"/>
  <c r="W690" i="30"/>
  <c r="AC690" i="30" s="1"/>
  <c r="V690" i="30"/>
  <c r="AB690" i="30" s="1"/>
  <c r="AE689" i="30"/>
  <c r="X689" i="30"/>
  <c r="AD689" i="30" s="1"/>
  <c r="W689" i="30"/>
  <c r="AC689" i="30" s="1"/>
  <c r="V689" i="30"/>
  <c r="AB689" i="30" s="1"/>
  <c r="AE688" i="30"/>
  <c r="X688" i="30"/>
  <c r="AD688" i="30" s="1"/>
  <c r="W688" i="30"/>
  <c r="AC688" i="30" s="1"/>
  <c r="V688" i="30"/>
  <c r="AB688" i="30" s="1"/>
  <c r="AE687" i="30"/>
  <c r="X687" i="30"/>
  <c r="AD687" i="30" s="1"/>
  <c r="W687" i="30"/>
  <c r="AC687" i="30" s="1"/>
  <c r="V687" i="30"/>
  <c r="AB687" i="30" s="1"/>
  <c r="AE686" i="30"/>
  <c r="X686" i="30"/>
  <c r="AD686" i="30" s="1"/>
  <c r="W686" i="30"/>
  <c r="AC686" i="30" s="1"/>
  <c r="V686" i="30"/>
  <c r="AB686" i="30" s="1"/>
  <c r="AE685" i="30"/>
  <c r="X685" i="30"/>
  <c r="AD685" i="30" s="1"/>
  <c r="W685" i="30"/>
  <c r="AC685" i="30" s="1"/>
  <c r="V685" i="30"/>
  <c r="AB685" i="30" s="1"/>
  <c r="AE684" i="30"/>
  <c r="X684" i="30"/>
  <c r="AD684" i="30" s="1"/>
  <c r="W684" i="30"/>
  <c r="AC684" i="30" s="1"/>
  <c r="V684" i="30"/>
  <c r="AB684" i="30" s="1"/>
  <c r="AE683" i="30"/>
  <c r="X683" i="30"/>
  <c r="AD683" i="30" s="1"/>
  <c r="W683" i="30"/>
  <c r="AC683" i="30" s="1"/>
  <c r="V683" i="30"/>
  <c r="AB683" i="30" s="1"/>
  <c r="AE682" i="30"/>
  <c r="X682" i="30"/>
  <c r="AD682" i="30" s="1"/>
  <c r="W682" i="30"/>
  <c r="AC682" i="30" s="1"/>
  <c r="V682" i="30"/>
  <c r="AB682" i="30" s="1"/>
  <c r="AE681" i="30"/>
  <c r="X681" i="30"/>
  <c r="AD681" i="30" s="1"/>
  <c r="W681" i="30"/>
  <c r="AC681" i="30" s="1"/>
  <c r="V681" i="30"/>
  <c r="AB681" i="30" s="1"/>
  <c r="AE680" i="30"/>
  <c r="X680" i="30"/>
  <c r="AD680" i="30" s="1"/>
  <c r="W680" i="30"/>
  <c r="AC680" i="30" s="1"/>
  <c r="V680" i="30"/>
  <c r="AB680" i="30" s="1"/>
  <c r="AE679" i="30"/>
  <c r="X679" i="30"/>
  <c r="AD679" i="30" s="1"/>
  <c r="W679" i="30"/>
  <c r="AC679" i="30" s="1"/>
  <c r="V679" i="30"/>
  <c r="AB679" i="30" s="1"/>
  <c r="AE678" i="30"/>
  <c r="X678" i="30"/>
  <c r="AD678" i="30" s="1"/>
  <c r="W678" i="30"/>
  <c r="AC678" i="30" s="1"/>
  <c r="V678" i="30"/>
  <c r="AB678" i="30" s="1"/>
  <c r="AE677" i="30"/>
  <c r="X677" i="30"/>
  <c r="AD677" i="30" s="1"/>
  <c r="W677" i="30"/>
  <c r="AC677" i="30" s="1"/>
  <c r="V677" i="30"/>
  <c r="AB677" i="30" s="1"/>
  <c r="AE676" i="30"/>
  <c r="X676" i="30"/>
  <c r="AD676" i="30" s="1"/>
  <c r="W676" i="30"/>
  <c r="AC676" i="30" s="1"/>
  <c r="V676" i="30"/>
  <c r="AB676" i="30" s="1"/>
  <c r="AE675" i="30"/>
  <c r="X675" i="30"/>
  <c r="AD675" i="30" s="1"/>
  <c r="W675" i="30"/>
  <c r="AC675" i="30" s="1"/>
  <c r="V675" i="30"/>
  <c r="AB675" i="30" s="1"/>
  <c r="AE674" i="30"/>
  <c r="X674" i="30"/>
  <c r="AD674" i="30" s="1"/>
  <c r="W674" i="30"/>
  <c r="AC674" i="30" s="1"/>
  <c r="V674" i="30"/>
  <c r="AB674" i="30" s="1"/>
  <c r="AE673" i="30"/>
  <c r="X673" i="30"/>
  <c r="AD673" i="30" s="1"/>
  <c r="W673" i="30"/>
  <c r="AC673" i="30" s="1"/>
  <c r="V673" i="30"/>
  <c r="AB673" i="30" s="1"/>
  <c r="AE672" i="30"/>
  <c r="X672" i="30"/>
  <c r="AD672" i="30" s="1"/>
  <c r="W672" i="30"/>
  <c r="AC672" i="30" s="1"/>
  <c r="V672" i="30"/>
  <c r="AB672" i="30" s="1"/>
  <c r="AE671" i="30"/>
  <c r="X671" i="30"/>
  <c r="AD671" i="30" s="1"/>
  <c r="W671" i="30"/>
  <c r="AC671" i="30" s="1"/>
  <c r="V671" i="30"/>
  <c r="AB671" i="30" s="1"/>
  <c r="AE670" i="30"/>
  <c r="X670" i="30"/>
  <c r="AD670" i="30" s="1"/>
  <c r="W670" i="30"/>
  <c r="AC670" i="30" s="1"/>
  <c r="V670" i="30"/>
  <c r="AB670" i="30" s="1"/>
  <c r="AE669" i="30"/>
  <c r="X669" i="30"/>
  <c r="AD669" i="30" s="1"/>
  <c r="W669" i="30"/>
  <c r="AC669" i="30" s="1"/>
  <c r="V669" i="30"/>
  <c r="AB669" i="30" s="1"/>
  <c r="AE668" i="30"/>
  <c r="X668" i="30"/>
  <c r="AD668" i="30" s="1"/>
  <c r="W668" i="30"/>
  <c r="AC668" i="30" s="1"/>
  <c r="V668" i="30"/>
  <c r="AB668" i="30" s="1"/>
  <c r="AE667" i="30"/>
  <c r="X667" i="30"/>
  <c r="AD667" i="30" s="1"/>
  <c r="W667" i="30"/>
  <c r="AC667" i="30" s="1"/>
  <c r="V667" i="30"/>
  <c r="AB667" i="30" s="1"/>
  <c r="AE666" i="30"/>
  <c r="X666" i="30"/>
  <c r="AD666" i="30" s="1"/>
  <c r="W666" i="30"/>
  <c r="AC666" i="30" s="1"/>
  <c r="V666" i="30"/>
  <c r="AB666" i="30" s="1"/>
  <c r="AE665" i="30"/>
  <c r="X665" i="30"/>
  <c r="AD665" i="30" s="1"/>
  <c r="W665" i="30"/>
  <c r="AC665" i="30" s="1"/>
  <c r="V665" i="30"/>
  <c r="AB665" i="30" s="1"/>
  <c r="AE664" i="30"/>
  <c r="X664" i="30"/>
  <c r="AD664" i="30" s="1"/>
  <c r="W664" i="30"/>
  <c r="AC664" i="30" s="1"/>
  <c r="V664" i="30"/>
  <c r="AB664" i="30" s="1"/>
  <c r="AE663" i="30"/>
  <c r="X663" i="30"/>
  <c r="AD663" i="30" s="1"/>
  <c r="W663" i="30"/>
  <c r="AC663" i="30" s="1"/>
  <c r="V663" i="30"/>
  <c r="AB663" i="30" s="1"/>
  <c r="AE662" i="30"/>
  <c r="X662" i="30"/>
  <c r="AD662" i="30" s="1"/>
  <c r="W662" i="30"/>
  <c r="AC662" i="30" s="1"/>
  <c r="V662" i="30"/>
  <c r="AB662" i="30" s="1"/>
  <c r="AE661" i="30"/>
  <c r="X661" i="30"/>
  <c r="AD661" i="30" s="1"/>
  <c r="W661" i="30"/>
  <c r="AC661" i="30" s="1"/>
  <c r="V661" i="30"/>
  <c r="AB661" i="30" s="1"/>
  <c r="AE660" i="30"/>
  <c r="X660" i="30"/>
  <c r="AD660" i="30" s="1"/>
  <c r="W660" i="30"/>
  <c r="AC660" i="30" s="1"/>
  <c r="V660" i="30"/>
  <c r="AB660" i="30" s="1"/>
  <c r="AE659" i="30"/>
  <c r="X659" i="30"/>
  <c r="AD659" i="30" s="1"/>
  <c r="W659" i="30"/>
  <c r="AC659" i="30" s="1"/>
  <c r="V659" i="30"/>
  <c r="AB659" i="30" s="1"/>
  <c r="AE658" i="30"/>
  <c r="X658" i="30"/>
  <c r="AD658" i="30" s="1"/>
  <c r="W658" i="30"/>
  <c r="AC658" i="30" s="1"/>
  <c r="V658" i="30"/>
  <c r="AB658" i="30" s="1"/>
  <c r="AE657" i="30"/>
  <c r="X657" i="30"/>
  <c r="AD657" i="30" s="1"/>
  <c r="W657" i="30"/>
  <c r="AC657" i="30" s="1"/>
  <c r="V657" i="30"/>
  <c r="AB657" i="30" s="1"/>
  <c r="AE656" i="30"/>
  <c r="X656" i="30"/>
  <c r="AD656" i="30" s="1"/>
  <c r="W656" i="30"/>
  <c r="AC656" i="30" s="1"/>
  <c r="V656" i="30"/>
  <c r="AB656" i="30" s="1"/>
  <c r="AE655" i="30"/>
  <c r="X655" i="30"/>
  <c r="AD655" i="30" s="1"/>
  <c r="W655" i="30"/>
  <c r="AC655" i="30" s="1"/>
  <c r="V655" i="30"/>
  <c r="AB655" i="30" s="1"/>
  <c r="AE654" i="30"/>
  <c r="X654" i="30"/>
  <c r="AD654" i="30" s="1"/>
  <c r="W654" i="30"/>
  <c r="AC654" i="30" s="1"/>
  <c r="V654" i="30"/>
  <c r="AB654" i="30" s="1"/>
  <c r="AE653" i="30"/>
  <c r="X653" i="30"/>
  <c r="AD653" i="30" s="1"/>
  <c r="W653" i="30"/>
  <c r="AC653" i="30" s="1"/>
  <c r="V653" i="30"/>
  <c r="AB653" i="30" s="1"/>
  <c r="AE652" i="30"/>
  <c r="X652" i="30"/>
  <c r="AD652" i="30" s="1"/>
  <c r="W652" i="30"/>
  <c r="AC652" i="30" s="1"/>
  <c r="V652" i="30"/>
  <c r="AB652" i="30" s="1"/>
  <c r="AE651" i="30"/>
  <c r="X651" i="30"/>
  <c r="AD651" i="30" s="1"/>
  <c r="W651" i="30"/>
  <c r="AC651" i="30" s="1"/>
  <c r="V651" i="30"/>
  <c r="AB651" i="30" s="1"/>
  <c r="AE650" i="30"/>
  <c r="X650" i="30"/>
  <c r="AD650" i="30" s="1"/>
  <c r="W650" i="30"/>
  <c r="AC650" i="30" s="1"/>
  <c r="V650" i="30"/>
  <c r="AB650" i="30" s="1"/>
  <c r="AE649" i="30"/>
  <c r="X649" i="30"/>
  <c r="AD649" i="30" s="1"/>
  <c r="W649" i="30"/>
  <c r="AC649" i="30" s="1"/>
  <c r="V649" i="30"/>
  <c r="AB649" i="30" s="1"/>
  <c r="AE648" i="30"/>
  <c r="X648" i="30"/>
  <c r="AD648" i="30" s="1"/>
  <c r="W648" i="30"/>
  <c r="AC648" i="30" s="1"/>
  <c r="V648" i="30"/>
  <c r="AB648" i="30" s="1"/>
  <c r="AE647" i="30"/>
  <c r="X647" i="30"/>
  <c r="AD647" i="30" s="1"/>
  <c r="W647" i="30"/>
  <c r="AC647" i="30" s="1"/>
  <c r="V647" i="30"/>
  <c r="AB647" i="30" s="1"/>
  <c r="AE646" i="30"/>
  <c r="X646" i="30"/>
  <c r="AD646" i="30" s="1"/>
  <c r="W646" i="30"/>
  <c r="AC646" i="30" s="1"/>
  <c r="V646" i="30"/>
  <c r="AB646" i="30" s="1"/>
  <c r="AE645" i="30"/>
  <c r="X645" i="30"/>
  <c r="AD645" i="30" s="1"/>
  <c r="W645" i="30"/>
  <c r="AC645" i="30" s="1"/>
  <c r="V645" i="30"/>
  <c r="AB645" i="30" s="1"/>
  <c r="AE644" i="30"/>
  <c r="X644" i="30"/>
  <c r="AD644" i="30" s="1"/>
  <c r="W644" i="30"/>
  <c r="AC644" i="30" s="1"/>
  <c r="V644" i="30"/>
  <c r="AB644" i="30" s="1"/>
  <c r="AE643" i="30"/>
  <c r="X643" i="30"/>
  <c r="AD643" i="30" s="1"/>
  <c r="W643" i="30"/>
  <c r="AC643" i="30" s="1"/>
  <c r="V643" i="30"/>
  <c r="AB643" i="30" s="1"/>
  <c r="AE642" i="30"/>
  <c r="X642" i="30"/>
  <c r="AD642" i="30" s="1"/>
  <c r="W642" i="30"/>
  <c r="AC642" i="30" s="1"/>
  <c r="V642" i="30"/>
  <c r="AB642" i="30" s="1"/>
  <c r="AE641" i="30"/>
  <c r="X641" i="30"/>
  <c r="AD641" i="30" s="1"/>
  <c r="W641" i="30"/>
  <c r="AC641" i="30" s="1"/>
  <c r="V641" i="30"/>
  <c r="AB641" i="30" s="1"/>
  <c r="AE640" i="30"/>
  <c r="X640" i="30"/>
  <c r="AD640" i="30" s="1"/>
  <c r="W640" i="30"/>
  <c r="AC640" i="30" s="1"/>
  <c r="V640" i="30"/>
  <c r="AB640" i="30" s="1"/>
  <c r="AE639" i="30"/>
  <c r="X639" i="30"/>
  <c r="AD639" i="30" s="1"/>
  <c r="W639" i="30"/>
  <c r="AC639" i="30" s="1"/>
  <c r="V639" i="30"/>
  <c r="AB639" i="30" s="1"/>
  <c r="AE638" i="30"/>
  <c r="X638" i="30"/>
  <c r="AD638" i="30" s="1"/>
  <c r="W638" i="30"/>
  <c r="AC638" i="30" s="1"/>
  <c r="V638" i="30"/>
  <c r="AB638" i="30" s="1"/>
  <c r="AE637" i="30"/>
  <c r="X637" i="30"/>
  <c r="AD637" i="30" s="1"/>
  <c r="W637" i="30"/>
  <c r="AC637" i="30" s="1"/>
  <c r="V637" i="30"/>
  <c r="AB637" i="30" s="1"/>
  <c r="AE636" i="30"/>
  <c r="X636" i="30"/>
  <c r="AD636" i="30" s="1"/>
  <c r="W636" i="30"/>
  <c r="AC636" i="30" s="1"/>
  <c r="V636" i="30"/>
  <c r="AB636" i="30" s="1"/>
  <c r="AE635" i="30"/>
  <c r="X635" i="30"/>
  <c r="AD635" i="30" s="1"/>
  <c r="W635" i="30"/>
  <c r="AC635" i="30" s="1"/>
  <c r="V635" i="30"/>
  <c r="AB635" i="30" s="1"/>
  <c r="AE634" i="30"/>
  <c r="X634" i="30"/>
  <c r="AD634" i="30" s="1"/>
  <c r="W634" i="30"/>
  <c r="AC634" i="30" s="1"/>
  <c r="V634" i="30"/>
  <c r="AB634" i="30" s="1"/>
  <c r="AE633" i="30"/>
  <c r="X633" i="30"/>
  <c r="AD633" i="30" s="1"/>
  <c r="W633" i="30"/>
  <c r="AC633" i="30" s="1"/>
  <c r="V633" i="30"/>
  <c r="AB633" i="30" s="1"/>
  <c r="AE632" i="30"/>
  <c r="X632" i="30"/>
  <c r="AD632" i="30" s="1"/>
  <c r="W632" i="30"/>
  <c r="AC632" i="30" s="1"/>
  <c r="V632" i="30"/>
  <c r="AB632" i="30" s="1"/>
  <c r="AE631" i="30"/>
  <c r="X631" i="30"/>
  <c r="AD631" i="30" s="1"/>
  <c r="W631" i="30"/>
  <c r="AC631" i="30" s="1"/>
  <c r="V631" i="30"/>
  <c r="AB631" i="30" s="1"/>
  <c r="AE630" i="30"/>
  <c r="X630" i="30"/>
  <c r="AD630" i="30" s="1"/>
  <c r="W630" i="30"/>
  <c r="AC630" i="30" s="1"/>
  <c r="V630" i="30"/>
  <c r="AB630" i="30" s="1"/>
  <c r="AE629" i="30"/>
  <c r="X629" i="30"/>
  <c r="AD629" i="30" s="1"/>
  <c r="W629" i="30"/>
  <c r="AC629" i="30" s="1"/>
  <c r="V629" i="30"/>
  <c r="AB629" i="30" s="1"/>
  <c r="AE628" i="30"/>
  <c r="X628" i="30"/>
  <c r="AD628" i="30" s="1"/>
  <c r="W628" i="30"/>
  <c r="AC628" i="30" s="1"/>
  <c r="V628" i="30"/>
  <c r="AB628" i="30" s="1"/>
  <c r="AE627" i="30"/>
  <c r="X627" i="30"/>
  <c r="AD627" i="30" s="1"/>
  <c r="W627" i="30"/>
  <c r="AC627" i="30" s="1"/>
  <c r="V627" i="30"/>
  <c r="AB627" i="30" s="1"/>
  <c r="AE626" i="30"/>
  <c r="X626" i="30"/>
  <c r="AD626" i="30" s="1"/>
  <c r="W626" i="30"/>
  <c r="AC626" i="30" s="1"/>
  <c r="V626" i="30"/>
  <c r="AB626" i="30" s="1"/>
  <c r="AE625" i="30"/>
  <c r="X625" i="30"/>
  <c r="AD625" i="30" s="1"/>
  <c r="W625" i="30"/>
  <c r="AC625" i="30" s="1"/>
  <c r="V625" i="30"/>
  <c r="AB625" i="30" s="1"/>
  <c r="AE624" i="30"/>
  <c r="X624" i="30"/>
  <c r="AD624" i="30" s="1"/>
  <c r="W624" i="30"/>
  <c r="AC624" i="30" s="1"/>
  <c r="V624" i="30"/>
  <c r="AB624" i="30" s="1"/>
  <c r="AE623" i="30"/>
  <c r="X623" i="30"/>
  <c r="AD623" i="30" s="1"/>
  <c r="W623" i="30"/>
  <c r="AC623" i="30" s="1"/>
  <c r="V623" i="30"/>
  <c r="AB623" i="30" s="1"/>
  <c r="AE622" i="30"/>
  <c r="X622" i="30"/>
  <c r="AD622" i="30" s="1"/>
  <c r="W622" i="30"/>
  <c r="AC622" i="30" s="1"/>
  <c r="V622" i="30"/>
  <c r="AB622" i="30" s="1"/>
  <c r="AE621" i="30"/>
  <c r="X621" i="30"/>
  <c r="AD621" i="30" s="1"/>
  <c r="W621" i="30"/>
  <c r="AC621" i="30" s="1"/>
  <c r="V621" i="30"/>
  <c r="AB621" i="30" s="1"/>
  <c r="AE620" i="30"/>
  <c r="X620" i="30"/>
  <c r="AD620" i="30" s="1"/>
  <c r="W620" i="30"/>
  <c r="AC620" i="30" s="1"/>
  <c r="V620" i="30"/>
  <c r="AB620" i="30" s="1"/>
  <c r="AE619" i="30"/>
  <c r="X619" i="30"/>
  <c r="AD619" i="30" s="1"/>
  <c r="W619" i="30"/>
  <c r="AC619" i="30" s="1"/>
  <c r="V619" i="30"/>
  <c r="AB619" i="30" s="1"/>
  <c r="AE618" i="30"/>
  <c r="X618" i="30"/>
  <c r="AD618" i="30" s="1"/>
  <c r="W618" i="30"/>
  <c r="AC618" i="30" s="1"/>
  <c r="V618" i="30"/>
  <c r="AB618" i="30" s="1"/>
  <c r="AE617" i="30"/>
  <c r="X617" i="30"/>
  <c r="AD617" i="30" s="1"/>
  <c r="W617" i="30"/>
  <c r="AC617" i="30" s="1"/>
  <c r="V617" i="30"/>
  <c r="AB617" i="30" s="1"/>
  <c r="AE616" i="30"/>
  <c r="X616" i="30"/>
  <c r="AD616" i="30" s="1"/>
  <c r="W616" i="30"/>
  <c r="AC616" i="30" s="1"/>
  <c r="V616" i="30"/>
  <c r="AB616" i="30" s="1"/>
  <c r="AE615" i="30"/>
  <c r="X615" i="30"/>
  <c r="AD615" i="30" s="1"/>
  <c r="W615" i="30"/>
  <c r="AC615" i="30" s="1"/>
  <c r="V615" i="30"/>
  <c r="AB615" i="30" s="1"/>
  <c r="AE614" i="30"/>
  <c r="X614" i="30"/>
  <c r="AD614" i="30" s="1"/>
  <c r="W614" i="30"/>
  <c r="AC614" i="30" s="1"/>
  <c r="V614" i="30"/>
  <c r="AB614" i="30" s="1"/>
  <c r="AE613" i="30"/>
  <c r="X613" i="30"/>
  <c r="AD613" i="30" s="1"/>
  <c r="W613" i="30"/>
  <c r="AC613" i="30" s="1"/>
  <c r="V613" i="30"/>
  <c r="AB613" i="30" s="1"/>
  <c r="AE612" i="30"/>
  <c r="X612" i="30"/>
  <c r="AD612" i="30" s="1"/>
  <c r="W612" i="30"/>
  <c r="AC612" i="30" s="1"/>
  <c r="V612" i="30"/>
  <c r="AB612" i="30" s="1"/>
  <c r="AE611" i="30"/>
  <c r="X611" i="30"/>
  <c r="AD611" i="30" s="1"/>
  <c r="W611" i="30"/>
  <c r="AC611" i="30" s="1"/>
  <c r="V611" i="30"/>
  <c r="AB611" i="30" s="1"/>
  <c r="AE610" i="30"/>
  <c r="X610" i="30"/>
  <c r="AD610" i="30" s="1"/>
  <c r="W610" i="30"/>
  <c r="AC610" i="30" s="1"/>
  <c r="V610" i="30"/>
  <c r="AB610" i="30" s="1"/>
  <c r="AE609" i="30"/>
  <c r="X609" i="30"/>
  <c r="AD609" i="30" s="1"/>
  <c r="W609" i="30"/>
  <c r="AC609" i="30" s="1"/>
  <c r="V609" i="30"/>
  <c r="AB609" i="30" s="1"/>
  <c r="AE608" i="30"/>
  <c r="X608" i="30"/>
  <c r="AD608" i="30" s="1"/>
  <c r="W608" i="30"/>
  <c r="AC608" i="30" s="1"/>
  <c r="V608" i="30"/>
  <c r="AB608" i="30" s="1"/>
  <c r="AE607" i="30"/>
  <c r="X607" i="30"/>
  <c r="AD607" i="30" s="1"/>
  <c r="W607" i="30"/>
  <c r="AC607" i="30" s="1"/>
  <c r="V607" i="30"/>
  <c r="AB607" i="30" s="1"/>
  <c r="AE606" i="30"/>
  <c r="X606" i="30"/>
  <c r="AD606" i="30" s="1"/>
  <c r="W606" i="30"/>
  <c r="AC606" i="30" s="1"/>
  <c r="V606" i="30"/>
  <c r="AB606" i="30" s="1"/>
  <c r="AE605" i="30"/>
  <c r="X605" i="30"/>
  <c r="AD605" i="30" s="1"/>
  <c r="W605" i="30"/>
  <c r="AC605" i="30" s="1"/>
  <c r="V605" i="30"/>
  <c r="AB605" i="30" s="1"/>
  <c r="AE604" i="30"/>
  <c r="X604" i="30"/>
  <c r="AD604" i="30" s="1"/>
  <c r="W604" i="30"/>
  <c r="AC604" i="30" s="1"/>
  <c r="V604" i="30"/>
  <c r="AB604" i="30" s="1"/>
  <c r="AE603" i="30"/>
  <c r="X603" i="30"/>
  <c r="AD603" i="30" s="1"/>
  <c r="W603" i="30"/>
  <c r="AC603" i="30" s="1"/>
  <c r="V603" i="30"/>
  <c r="AB603" i="30" s="1"/>
  <c r="AE602" i="30"/>
  <c r="X602" i="30"/>
  <c r="AD602" i="30" s="1"/>
  <c r="W602" i="30"/>
  <c r="AC602" i="30" s="1"/>
  <c r="V602" i="30"/>
  <c r="AB602" i="30" s="1"/>
  <c r="AE601" i="30"/>
  <c r="X601" i="30"/>
  <c r="AD601" i="30" s="1"/>
  <c r="W601" i="30"/>
  <c r="AC601" i="30" s="1"/>
  <c r="V601" i="30"/>
  <c r="AB601" i="30" s="1"/>
  <c r="AE600" i="30"/>
  <c r="X600" i="30"/>
  <c r="AD600" i="30" s="1"/>
  <c r="W600" i="30"/>
  <c r="AC600" i="30" s="1"/>
  <c r="V600" i="30"/>
  <c r="AB600" i="30" s="1"/>
  <c r="AE599" i="30"/>
  <c r="X599" i="30"/>
  <c r="AD599" i="30" s="1"/>
  <c r="W599" i="30"/>
  <c r="AC599" i="30" s="1"/>
  <c r="V599" i="30"/>
  <c r="AB599" i="30" s="1"/>
  <c r="AE598" i="30"/>
  <c r="X598" i="30"/>
  <c r="AD598" i="30" s="1"/>
  <c r="W598" i="30"/>
  <c r="AC598" i="30" s="1"/>
  <c r="V598" i="30"/>
  <c r="AB598" i="30" s="1"/>
  <c r="AG597" i="30"/>
  <c r="AF597" i="30"/>
  <c r="X597" i="30"/>
  <c r="AD597" i="30" s="1"/>
  <c r="W597" i="30"/>
  <c r="AC597" i="30" s="1"/>
  <c r="V597" i="30"/>
  <c r="AB597" i="30" s="1"/>
  <c r="AG596" i="30"/>
  <c r="AF596" i="30"/>
  <c r="X596" i="30"/>
  <c r="AD596" i="30" s="1"/>
  <c r="W596" i="30"/>
  <c r="AC596" i="30" s="1"/>
  <c r="V596" i="30"/>
  <c r="AB596" i="30" s="1"/>
  <c r="AG595" i="30"/>
  <c r="AF595" i="30"/>
  <c r="X595" i="30"/>
  <c r="AD595" i="30" s="1"/>
  <c r="W595" i="30"/>
  <c r="AC595" i="30" s="1"/>
  <c r="V595" i="30"/>
  <c r="AB595" i="30" s="1"/>
  <c r="AG594" i="30"/>
  <c r="AF594" i="30"/>
  <c r="X594" i="30"/>
  <c r="AD594" i="30" s="1"/>
  <c r="W594" i="30"/>
  <c r="AC594" i="30" s="1"/>
  <c r="V594" i="30"/>
  <c r="AB594" i="30" s="1"/>
  <c r="AG593" i="30"/>
  <c r="AF593" i="30"/>
  <c r="X593" i="30"/>
  <c r="AD593" i="30" s="1"/>
  <c r="W593" i="30"/>
  <c r="AC593" i="30" s="1"/>
  <c r="V593" i="30"/>
  <c r="AB593" i="30" s="1"/>
  <c r="AG592" i="30"/>
  <c r="AF592" i="30"/>
  <c r="X592" i="30"/>
  <c r="AD592" i="30" s="1"/>
  <c r="W592" i="30"/>
  <c r="AC592" i="30" s="1"/>
  <c r="V592" i="30"/>
  <c r="AB592" i="30" s="1"/>
  <c r="AG591" i="30"/>
  <c r="AF591" i="30"/>
  <c r="X591" i="30"/>
  <c r="AD591" i="30" s="1"/>
  <c r="W591" i="30"/>
  <c r="AC591" i="30" s="1"/>
  <c r="V591" i="30"/>
  <c r="AB591" i="30" s="1"/>
  <c r="AG590" i="30"/>
  <c r="AF590" i="30"/>
  <c r="X590" i="30"/>
  <c r="AD590" i="30" s="1"/>
  <c r="W590" i="30"/>
  <c r="AC590" i="30" s="1"/>
  <c r="V590" i="30"/>
  <c r="AB590" i="30" s="1"/>
  <c r="AG589" i="30"/>
  <c r="AF589" i="30"/>
  <c r="X589" i="30"/>
  <c r="AD589" i="30" s="1"/>
  <c r="W589" i="30"/>
  <c r="AC589" i="30" s="1"/>
  <c r="V589" i="30"/>
  <c r="AB589" i="30" s="1"/>
  <c r="AG588" i="30"/>
  <c r="AF588" i="30"/>
  <c r="X588" i="30"/>
  <c r="AD588" i="30" s="1"/>
  <c r="W588" i="30"/>
  <c r="AC588" i="30" s="1"/>
  <c r="V588" i="30"/>
  <c r="AB588" i="30" s="1"/>
  <c r="AG587" i="30"/>
  <c r="AF587" i="30"/>
  <c r="X587" i="30"/>
  <c r="AD587" i="30" s="1"/>
  <c r="W587" i="30"/>
  <c r="AC587" i="30" s="1"/>
  <c r="V587" i="30"/>
  <c r="AB587" i="30" s="1"/>
  <c r="AG586" i="30"/>
  <c r="AF586" i="30"/>
  <c r="X586" i="30"/>
  <c r="AD586" i="30" s="1"/>
  <c r="W586" i="30"/>
  <c r="AC586" i="30" s="1"/>
  <c r="V586" i="30"/>
  <c r="AB586" i="30" s="1"/>
  <c r="AE585" i="30"/>
  <c r="X585" i="30"/>
  <c r="AD585" i="30" s="1"/>
  <c r="W585" i="30"/>
  <c r="AC585" i="30" s="1"/>
  <c r="V585" i="30"/>
  <c r="AB585" i="30" s="1"/>
  <c r="AE584" i="30"/>
  <c r="X584" i="30"/>
  <c r="AD584" i="30" s="1"/>
  <c r="W584" i="30"/>
  <c r="AC584" i="30" s="1"/>
  <c r="V584" i="30"/>
  <c r="AB584" i="30" s="1"/>
  <c r="AE583" i="30"/>
  <c r="X583" i="30"/>
  <c r="AD583" i="30" s="1"/>
  <c r="W583" i="30"/>
  <c r="AC583" i="30" s="1"/>
  <c r="V583" i="30"/>
  <c r="AB583" i="30" s="1"/>
  <c r="AE582" i="30"/>
  <c r="X582" i="30"/>
  <c r="AD582" i="30" s="1"/>
  <c r="W582" i="30"/>
  <c r="AC582" i="30" s="1"/>
  <c r="V582" i="30"/>
  <c r="AB582" i="30" s="1"/>
  <c r="AE581" i="30"/>
  <c r="X581" i="30"/>
  <c r="AD581" i="30" s="1"/>
  <c r="W581" i="30"/>
  <c r="AC581" i="30" s="1"/>
  <c r="V581" i="30"/>
  <c r="AB581" i="30" s="1"/>
  <c r="AE580" i="30"/>
  <c r="X580" i="30"/>
  <c r="AD580" i="30" s="1"/>
  <c r="W580" i="30"/>
  <c r="AC580" i="30" s="1"/>
  <c r="V580" i="30"/>
  <c r="AB580" i="30" s="1"/>
  <c r="AE579" i="30"/>
  <c r="X579" i="30"/>
  <c r="AD579" i="30" s="1"/>
  <c r="W579" i="30"/>
  <c r="AC579" i="30" s="1"/>
  <c r="V579" i="30"/>
  <c r="AB579" i="30" s="1"/>
  <c r="AE578" i="30"/>
  <c r="X578" i="30"/>
  <c r="AD578" i="30" s="1"/>
  <c r="W578" i="30"/>
  <c r="AC578" i="30" s="1"/>
  <c r="V578" i="30"/>
  <c r="AB578" i="30" s="1"/>
  <c r="AE577" i="30"/>
  <c r="X577" i="30"/>
  <c r="AD577" i="30" s="1"/>
  <c r="W577" i="30"/>
  <c r="AC577" i="30" s="1"/>
  <c r="V577" i="30"/>
  <c r="AB577" i="30" s="1"/>
  <c r="AE576" i="30"/>
  <c r="X576" i="30"/>
  <c r="AD576" i="30" s="1"/>
  <c r="W576" i="30"/>
  <c r="AC576" i="30" s="1"/>
  <c r="V576" i="30"/>
  <c r="AB576" i="30" s="1"/>
  <c r="AE575" i="30"/>
  <c r="X575" i="30"/>
  <c r="AD575" i="30" s="1"/>
  <c r="W575" i="30"/>
  <c r="AC575" i="30" s="1"/>
  <c r="V575" i="30"/>
  <c r="AB575" i="30" s="1"/>
  <c r="AE574" i="30"/>
  <c r="X574" i="30"/>
  <c r="AD574" i="30" s="1"/>
  <c r="W574" i="30"/>
  <c r="AC574" i="30" s="1"/>
  <c r="V574" i="30"/>
  <c r="AB574" i="30" s="1"/>
  <c r="AE573" i="30"/>
  <c r="X573" i="30"/>
  <c r="AD573" i="30" s="1"/>
  <c r="W573" i="30"/>
  <c r="AC573" i="30" s="1"/>
  <c r="V573" i="30"/>
  <c r="AB573" i="30" s="1"/>
  <c r="AE572" i="30"/>
  <c r="X572" i="30"/>
  <c r="AD572" i="30" s="1"/>
  <c r="W572" i="30"/>
  <c r="AC572" i="30" s="1"/>
  <c r="V572" i="30"/>
  <c r="AB572" i="30" s="1"/>
  <c r="AE571" i="30"/>
  <c r="X571" i="30"/>
  <c r="AD571" i="30" s="1"/>
  <c r="W571" i="30"/>
  <c r="AC571" i="30" s="1"/>
  <c r="V571" i="30"/>
  <c r="AB571" i="30" s="1"/>
  <c r="AE570" i="30"/>
  <c r="X570" i="30"/>
  <c r="AD570" i="30" s="1"/>
  <c r="W570" i="30"/>
  <c r="AC570" i="30" s="1"/>
  <c r="V570" i="30"/>
  <c r="AB570" i="30" s="1"/>
  <c r="AE569" i="30"/>
  <c r="X569" i="30"/>
  <c r="AD569" i="30" s="1"/>
  <c r="W569" i="30"/>
  <c r="AC569" i="30" s="1"/>
  <c r="V569" i="30"/>
  <c r="AB569" i="30" s="1"/>
  <c r="AE568" i="30"/>
  <c r="X568" i="30"/>
  <c r="AD568" i="30" s="1"/>
  <c r="W568" i="30"/>
  <c r="AC568" i="30" s="1"/>
  <c r="V568" i="30"/>
  <c r="AB568" i="30" s="1"/>
  <c r="AE567" i="30"/>
  <c r="X567" i="30"/>
  <c r="AD567" i="30" s="1"/>
  <c r="W567" i="30"/>
  <c r="AC567" i="30" s="1"/>
  <c r="V567" i="30"/>
  <c r="AB567" i="30" s="1"/>
  <c r="AE566" i="30"/>
  <c r="X566" i="30"/>
  <c r="AD566" i="30" s="1"/>
  <c r="W566" i="30"/>
  <c r="AC566" i="30" s="1"/>
  <c r="V566" i="30"/>
  <c r="AB566" i="30" s="1"/>
  <c r="AE565" i="30"/>
  <c r="X565" i="30"/>
  <c r="AD565" i="30" s="1"/>
  <c r="W565" i="30"/>
  <c r="AC565" i="30" s="1"/>
  <c r="V565" i="30"/>
  <c r="AB565" i="30" s="1"/>
  <c r="AE564" i="30"/>
  <c r="X564" i="30"/>
  <c r="AD564" i="30" s="1"/>
  <c r="W564" i="30"/>
  <c r="AC564" i="30" s="1"/>
  <c r="V564" i="30"/>
  <c r="AB564" i="30" s="1"/>
  <c r="AE563" i="30"/>
  <c r="X563" i="30"/>
  <c r="AD563" i="30" s="1"/>
  <c r="W563" i="30"/>
  <c r="AC563" i="30" s="1"/>
  <c r="V563" i="30"/>
  <c r="AB563" i="30" s="1"/>
  <c r="AG562" i="30"/>
  <c r="AF562" i="30"/>
  <c r="X562" i="30"/>
  <c r="AD562" i="30" s="1"/>
  <c r="W562" i="30"/>
  <c r="AC562" i="30" s="1"/>
  <c r="V562" i="30"/>
  <c r="AB562" i="30" s="1"/>
  <c r="AG561" i="30"/>
  <c r="AF561" i="30"/>
  <c r="X561" i="30"/>
  <c r="AD561" i="30" s="1"/>
  <c r="W561" i="30"/>
  <c r="AC561" i="30" s="1"/>
  <c r="V561" i="30"/>
  <c r="AB561" i="30" s="1"/>
  <c r="AG560" i="30"/>
  <c r="AF560" i="30"/>
  <c r="X560" i="30"/>
  <c r="AD560" i="30" s="1"/>
  <c r="W560" i="30"/>
  <c r="AC560" i="30" s="1"/>
  <c r="V560" i="30"/>
  <c r="AB560" i="30" s="1"/>
  <c r="AG559" i="30"/>
  <c r="AF559" i="30"/>
  <c r="X559" i="30"/>
  <c r="AD559" i="30" s="1"/>
  <c r="W559" i="30"/>
  <c r="AC559" i="30" s="1"/>
  <c r="V559" i="30"/>
  <c r="AB559" i="30" s="1"/>
  <c r="AG558" i="30"/>
  <c r="AF558" i="30"/>
  <c r="X558" i="30"/>
  <c r="AD558" i="30" s="1"/>
  <c r="W558" i="30"/>
  <c r="AC558" i="30" s="1"/>
  <c r="V558" i="30"/>
  <c r="AB558" i="30" s="1"/>
  <c r="AG557" i="30"/>
  <c r="AF557" i="30"/>
  <c r="X557" i="30"/>
  <c r="AD557" i="30" s="1"/>
  <c r="W557" i="30"/>
  <c r="AC557" i="30" s="1"/>
  <c r="V557" i="30"/>
  <c r="AB557" i="30" s="1"/>
  <c r="AG556" i="30"/>
  <c r="AF556" i="30"/>
  <c r="X556" i="30"/>
  <c r="AD556" i="30" s="1"/>
  <c r="W556" i="30"/>
  <c r="AC556" i="30" s="1"/>
  <c r="V556" i="30"/>
  <c r="AB556" i="30" s="1"/>
  <c r="AG555" i="30"/>
  <c r="AF555" i="30"/>
  <c r="X555" i="30"/>
  <c r="AD555" i="30" s="1"/>
  <c r="W555" i="30"/>
  <c r="AC555" i="30" s="1"/>
  <c r="V555" i="30"/>
  <c r="AB555" i="30" s="1"/>
  <c r="AG554" i="30"/>
  <c r="AF554" i="30"/>
  <c r="X554" i="30"/>
  <c r="AD554" i="30" s="1"/>
  <c r="W554" i="30"/>
  <c r="AC554" i="30" s="1"/>
  <c r="V554" i="30"/>
  <c r="AB554" i="30" s="1"/>
  <c r="AG553" i="30"/>
  <c r="AF553" i="30"/>
  <c r="X553" i="30"/>
  <c r="AD553" i="30" s="1"/>
  <c r="W553" i="30"/>
  <c r="AC553" i="30" s="1"/>
  <c r="V553" i="30"/>
  <c r="AB553" i="30" s="1"/>
  <c r="AG552" i="30"/>
  <c r="AF552" i="30"/>
  <c r="X552" i="30"/>
  <c r="AD552" i="30" s="1"/>
  <c r="W552" i="30"/>
  <c r="AC552" i="30" s="1"/>
  <c r="V552" i="30"/>
  <c r="AB552" i="30" s="1"/>
  <c r="AE551" i="30"/>
  <c r="X551" i="30"/>
  <c r="AD551" i="30" s="1"/>
  <c r="W551" i="30"/>
  <c r="AC551" i="30" s="1"/>
  <c r="V551" i="30"/>
  <c r="AB551" i="30" s="1"/>
  <c r="AE550" i="30"/>
  <c r="X550" i="30"/>
  <c r="AD550" i="30" s="1"/>
  <c r="W550" i="30"/>
  <c r="AC550" i="30" s="1"/>
  <c r="V550" i="30"/>
  <c r="AB550" i="30" s="1"/>
  <c r="AE549" i="30"/>
  <c r="X549" i="30"/>
  <c r="AD549" i="30" s="1"/>
  <c r="W549" i="30"/>
  <c r="AC549" i="30" s="1"/>
  <c r="V549" i="30"/>
  <c r="AB549" i="30" s="1"/>
  <c r="AE548" i="30"/>
  <c r="X548" i="30"/>
  <c r="AD548" i="30" s="1"/>
  <c r="W548" i="30"/>
  <c r="AC548" i="30" s="1"/>
  <c r="V548" i="30"/>
  <c r="AB548" i="30" s="1"/>
  <c r="AE547" i="30"/>
  <c r="X547" i="30"/>
  <c r="AD547" i="30" s="1"/>
  <c r="W547" i="30"/>
  <c r="AC547" i="30" s="1"/>
  <c r="V547" i="30"/>
  <c r="AB547" i="30" s="1"/>
  <c r="AE546" i="30"/>
  <c r="X546" i="30"/>
  <c r="AD546" i="30" s="1"/>
  <c r="W546" i="30"/>
  <c r="AC546" i="30" s="1"/>
  <c r="V546" i="30"/>
  <c r="AB546" i="30" s="1"/>
  <c r="AE545" i="30"/>
  <c r="X545" i="30"/>
  <c r="AD545" i="30" s="1"/>
  <c r="W545" i="30"/>
  <c r="AC545" i="30" s="1"/>
  <c r="V545" i="30"/>
  <c r="AB545" i="30" s="1"/>
  <c r="AE544" i="30"/>
  <c r="X544" i="30"/>
  <c r="AD544" i="30" s="1"/>
  <c r="W544" i="30"/>
  <c r="AC544" i="30" s="1"/>
  <c r="V544" i="30"/>
  <c r="AB544" i="30" s="1"/>
  <c r="AE543" i="30"/>
  <c r="X543" i="30"/>
  <c r="AD543" i="30" s="1"/>
  <c r="W543" i="30"/>
  <c r="AC543" i="30" s="1"/>
  <c r="V543" i="30"/>
  <c r="AB543" i="30" s="1"/>
  <c r="AE542" i="30"/>
  <c r="X542" i="30"/>
  <c r="AD542" i="30" s="1"/>
  <c r="W542" i="30"/>
  <c r="AC542" i="30" s="1"/>
  <c r="V542" i="30"/>
  <c r="AB542" i="30" s="1"/>
  <c r="AE541" i="30"/>
  <c r="X541" i="30"/>
  <c r="AD541" i="30" s="1"/>
  <c r="W541" i="30"/>
  <c r="AC541" i="30" s="1"/>
  <c r="V541" i="30"/>
  <c r="AB541" i="30" s="1"/>
  <c r="AE540" i="30"/>
  <c r="X540" i="30"/>
  <c r="AD540" i="30" s="1"/>
  <c r="W540" i="30"/>
  <c r="AC540" i="30" s="1"/>
  <c r="V540" i="30"/>
  <c r="AB540" i="30" s="1"/>
  <c r="AE539" i="30"/>
  <c r="X539" i="30"/>
  <c r="AD539" i="30" s="1"/>
  <c r="W539" i="30"/>
  <c r="AC539" i="30" s="1"/>
  <c r="V539" i="30"/>
  <c r="AB539" i="30" s="1"/>
  <c r="AE538" i="30"/>
  <c r="X538" i="30"/>
  <c r="AD538" i="30" s="1"/>
  <c r="W538" i="30"/>
  <c r="AC538" i="30" s="1"/>
  <c r="V538" i="30"/>
  <c r="AB538" i="30" s="1"/>
  <c r="AE537" i="30"/>
  <c r="X537" i="30"/>
  <c r="AD537" i="30" s="1"/>
  <c r="W537" i="30"/>
  <c r="AC537" i="30" s="1"/>
  <c r="V537" i="30"/>
  <c r="AB537" i="30" s="1"/>
  <c r="AE536" i="30"/>
  <c r="X536" i="30"/>
  <c r="AD536" i="30" s="1"/>
  <c r="W536" i="30"/>
  <c r="AC536" i="30" s="1"/>
  <c r="V536" i="30"/>
  <c r="AB536" i="30" s="1"/>
  <c r="AE535" i="30"/>
  <c r="X535" i="30"/>
  <c r="AD535" i="30" s="1"/>
  <c r="W535" i="30"/>
  <c r="AC535" i="30" s="1"/>
  <c r="V535" i="30"/>
  <c r="AB535" i="30" s="1"/>
  <c r="AE534" i="30"/>
  <c r="X534" i="30"/>
  <c r="AD534" i="30" s="1"/>
  <c r="W534" i="30"/>
  <c r="AC534" i="30" s="1"/>
  <c r="V534" i="30"/>
  <c r="AB534" i="30" s="1"/>
  <c r="AE533" i="30"/>
  <c r="X533" i="30"/>
  <c r="AD533" i="30" s="1"/>
  <c r="W533" i="30"/>
  <c r="AC533" i="30" s="1"/>
  <c r="V533" i="30"/>
  <c r="AB533" i="30" s="1"/>
  <c r="AE532" i="30"/>
  <c r="X532" i="30"/>
  <c r="AD532" i="30" s="1"/>
  <c r="W532" i="30"/>
  <c r="AC532" i="30" s="1"/>
  <c r="V532" i="30"/>
  <c r="AB532" i="30" s="1"/>
  <c r="AE531" i="30"/>
  <c r="X531" i="30"/>
  <c r="AD531" i="30" s="1"/>
  <c r="W531" i="30"/>
  <c r="AC531" i="30" s="1"/>
  <c r="V531" i="30"/>
  <c r="AB531" i="30" s="1"/>
  <c r="AE530" i="30"/>
  <c r="X530" i="30"/>
  <c r="AD530" i="30" s="1"/>
  <c r="W530" i="30"/>
  <c r="AC530" i="30" s="1"/>
  <c r="V530" i="30"/>
  <c r="AB530" i="30" s="1"/>
  <c r="AG529" i="30"/>
  <c r="AF529" i="30"/>
  <c r="X529" i="30"/>
  <c r="AD529" i="30" s="1"/>
  <c r="W529" i="30"/>
  <c r="AC529" i="30" s="1"/>
  <c r="V529" i="30"/>
  <c r="AB529" i="30" s="1"/>
  <c r="AG528" i="30"/>
  <c r="AF528" i="30"/>
  <c r="X528" i="30"/>
  <c r="AD528" i="30" s="1"/>
  <c r="W528" i="30"/>
  <c r="AC528" i="30" s="1"/>
  <c r="V528" i="30"/>
  <c r="AB528" i="30" s="1"/>
  <c r="AG527" i="30"/>
  <c r="AF527" i="30"/>
  <c r="X527" i="30"/>
  <c r="AD527" i="30" s="1"/>
  <c r="W527" i="30"/>
  <c r="AC527" i="30" s="1"/>
  <c r="V527" i="30"/>
  <c r="AB527" i="30" s="1"/>
  <c r="AG526" i="30"/>
  <c r="AF526" i="30"/>
  <c r="X526" i="30"/>
  <c r="AD526" i="30" s="1"/>
  <c r="W526" i="30"/>
  <c r="AC526" i="30" s="1"/>
  <c r="V526" i="30"/>
  <c r="AB526" i="30" s="1"/>
  <c r="AG525" i="30"/>
  <c r="AF525" i="30"/>
  <c r="X525" i="30"/>
  <c r="AD525" i="30" s="1"/>
  <c r="W525" i="30"/>
  <c r="AC525" i="30" s="1"/>
  <c r="V525" i="30"/>
  <c r="AB525" i="30" s="1"/>
  <c r="AG524" i="30"/>
  <c r="AF524" i="30"/>
  <c r="X524" i="30"/>
  <c r="AD524" i="30" s="1"/>
  <c r="W524" i="30"/>
  <c r="AC524" i="30" s="1"/>
  <c r="V524" i="30"/>
  <c r="AB524" i="30" s="1"/>
  <c r="AG523" i="30"/>
  <c r="AF523" i="30"/>
  <c r="X523" i="30"/>
  <c r="AD523" i="30" s="1"/>
  <c r="W523" i="30"/>
  <c r="AC523" i="30" s="1"/>
  <c r="V523" i="30"/>
  <c r="AB523" i="30" s="1"/>
  <c r="AG522" i="30"/>
  <c r="AF522" i="30"/>
  <c r="X522" i="30"/>
  <c r="AD522" i="30" s="1"/>
  <c r="W522" i="30"/>
  <c r="AC522" i="30" s="1"/>
  <c r="V522" i="30"/>
  <c r="AB522" i="30" s="1"/>
  <c r="AG521" i="30"/>
  <c r="AF521" i="30"/>
  <c r="X521" i="30"/>
  <c r="AD521" i="30" s="1"/>
  <c r="W521" i="30"/>
  <c r="AC521" i="30" s="1"/>
  <c r="V521" i="30"/>
  <c r="AB521" i="30" s="1"/>
  <c r="AG520" i="30"/>
  <c r="AF520" i="30"/>
  <c r="X520" i="30"/>
  <c r="AD520" i="30" s="1"/>
  <c r="W520" i="30"/>
  <c r="AC520" i="30" s="1"/>
  <c r="V520" i="30"/>
  <c r="AB520" i="30" s="1"/>
  <c r="AG519" i="30"/>
  <c r="AF519" i="30"/>
  <c r="X519" i="30"/>
  <c r="AD519" i="30" s="1"/>
  <c r="W519" i="30"/>
  <c r="AC519" i="30" s="1"/>
  <c r="V519" i="30"/>
  <c r="AB519" i="30" s="1"/>
  <c r="AG518" i="30"/>
  <c r="AF518" i="30"/>
  <c r="X518" i="30"/>
  <c r="AD518" i="30" s="1"/>
  <c r="W518" i="30"/>
  <c r="AC518" i="30" s="1"/>
  <c r="V518" i="30"/>
  <c r="AB518" i="30" s="1"/>
  <c r="AE517" i="30"/>
  <c r="X517" i="30"/>
  <c r="AD517" i="30" s="1"/>
  <c r="W517" i="30"/>
  <c r="AC517" i="30" s="1"/>
  <c r="V517" i="30"/>
  <c r="AB517" i="30" s="1"/>
  <c r="AE516" i="30"/>
  <c r="X516" i="30"/>
  <c r="AD516" i="30" s="1"/>
  <c r="W516" i="30"/>
  <c r="AC516" i="30" s="1"/>
  <c r="V516" i="30"/>
  <c r="AB516" i="30" s="1"/>
  <c r="AE515" i="30"/>
  <c r="X515" i="30"/>
  <c r="AD515" i="30" s="1"/>
  <c r="W515" i="30"/>
  <c r="AC515" i="30" s="1"/>
  <c r="V515" i="30"/>
  <c r="AB515" i="30" s="1"/>
  <c r="AE514" i="30"/>
  <c r="X514" i="30"/>
  <c r="AD514" i="30" s="1"/>
  <c r="W514" i="30"/>
  <c r="AC514" i="30" s="1"/>
  <c r="V514" i="30"/>
  <c r="AB514" i="30" s="1"/>
  <c r="AE513" i="30"/>
  <c r="X513" i="30"/>
  <c r="AD513" i="30" s="1"/>
  <c r="W513" i="30"/>
  <c r="AC513" i="30" s="1"/>
  <c r="V513" i="30"/>
  <c r="AB513" i="30" s="1"/>
  <c r="AE512" i="30"/>
  <c r="X512" i="30"/>
  <c r="AD512" i="30" s="1"/>
  <c r="W512" i="30"/>
  <c r="AC512" i="30" s="1"/>
  <c r="V512" i="30"/>
  <c r="AB512" i="30" s="1"/>
  <c r="AE511" i="30"/>
  <c r="X511" i="30"/>
  <c r="AD511" i="30" s="1"/>
  <c r="W511" i="30"/>
  <c r="AC511" i="30" s="1"/>
  <c r="V511" i="30"/>
  <c r="AB511" i="30" s="1"/>
  <c r="AE510" i="30"/>
  <c r="X510" i="30"/>
  <c r="AD510" i="30" s="1"/>
  <c r="W510" i="30"/>
  <c r="AC510" i="30" s="1"/>
  <c r="V510" i="30"/>
  <c r="AB510" i="30" s="1"/>
  <c r="AE509" i="30"/>
  <c r="X509" i="30"/>
  <c r="AD509" i="30" s="1"/>
  <c r="W509" i="30"/>
  <c r="AC509" i="30" s="1"/>
  <c r="V509" i="30"/>
  <c r="AB509" i="30" s="1"/>
  <c r="AE508" i="30"/>
  <c r="X508" i="30"/>
  <c r="AD508" i="30" s="1"/>
  <c r="W508" i="30"/>
  <c r="AC508" i="30" s="1"/>
  <c r="V508" i="30"/>
  <c r="AB508" i="30" s="1"/>
  <c r="AE507" i="30"/>
  <c r="X507" i="30"/>
  <c r="AD507" i="30" s="1"/>
  <c r="W507" i="30"/>
  <c r="AC507" i="30" s="1"/>
  <c r="V507" i="30"/>
  <c r="AB507" i="30" s="1"/>
  <c r="AE506" i="30"/>
  <c r="X506" i="30"/>
  <c r="AD506" i="30" s="1"/>
  <c r="W506" i="30"/>
  <c r="AC506" i="30" s="1"/>
  <c r="V506" i="30"/>
  <c r="AB506" i="30" s="1"/>
  <c r="AE505" i="30"/>
  <c r="X505" i="30"/>
  <c r="AD505" i="30" s="1"/>
  <c r="W505" i="30"/>
  <c r="AC505" i="30" s="1"/>
  <c r="V505" i="30"/>
  <c r="AB505" i="30" s="1"/>
  <c r="AE504" i="30"/>
  <c r="X504" i="30"/>
  <c r="AD504" i="30" s="1"/>
  <c r="W504" i="30"/>
  <c r="AC504" i="30" s="1"/>
  <c r="V504" i="30"/>
  <c r="AB504" i="30" s="1"/>
  <c r="AE503" i="30"/>
  <c r="X503" i="30"/>
  <c r="AD503" i="30" s="1"/>
  <c r="W503" i="30"/>
  <c r="AC503" i="30" s="1"/>
  <c r="V503" i="30"/>
  <c r="AB503" i="30" s="1"/>
  <c r="AE502" i="30"/>
  <c r="X502" i="30"/>
  <c r="AD502" i="30" s="1"/>
  <c r="W502" i="30"/>
  <c r="AC502" i="30" s="1"/>
  <c r="V502" i="30"/>
  <c r="AB502" i="30" s="1"/>
  <c r="AE501" i="30"/>
  <c r="X501" i="30"/>
  <c r="AD501" i="30" s="1"/>
  <c r="W501" i="30"/>
  <c r="AC501" i="30" s="1"/>
  <c r="V501" i="30"/>
  <c r="AB501" i="30" s="1"/>
  <c r="AE500" i="30"/>
  <c r="X500" i="30"/>
  <c r="AD500" i="30" s="1"/>
  <c r="W500" i="30"/>
  <c r="AC500" i="30" s="1"/>
  <c r="V500" i="30"/>
  <c r="AB500" i="30" s="1"/>
  <c r="AE499" i="30"/>
  <c r="X499" i="30"/>
  <c r="AD499" i="30" s="1"/>
  <c r="W499" i="30"/>
  <c r="AC499" i="30" s="1"/>
  <c r="V499" i="30"/>
  <c r="AB499" i="30" s="1"/>
  <c r="AE498" i="30"/>
  <c r="X498" i="30"/>
  <c r="AD498" i="30" s="1"/>
  <c r="W498" i="30"/>
  <c r="AC498" i="30" s="1"/>
  <c r="V498" i="30"/>
  <c r="AB498" i="30" s="1"/>
  <c r="AE497" i="30"/>
  <c r="X497" i="30"/>
  <c r="AD497" i="30" s="1"/>
  <c r="W497" i="30"/>
  <c r="AC497" i="30" s="1"/>
  <c r="V497" i="30"/>
  <c r="AB497" i="30" s="1"/>
  <c r="AE496" i="30"/>
  <c r="X496" i="30"/>
  <c r="AD496" i="30" s="1"/>
  <c r="W496" i="30"/>
  <c r="AC496" i="30" s="1"/>
  <c r="V496" i="30"/>
  <c r="AB496" i="30" s="1"/>
  <c r="AE495" i="30"/>
  <c r="X495" i="30"/>
  <c r="AD495" i="30" s="1"/>
  <c r="W495" i="30"/>
  <c r="AC495" i="30" s="1"/>
  <c r="V495" i="30"/>
  <c r="AB495" i="30" s="1"/>
  <c r="AE494" i="30"/>
  <c r="X494" i="30"/>
  <c r="AD494" i="30" s="1"/>
  <c r="W494" i="30"/>
  <c r="AC494" i="30" s="1"/>
  <c r="V494" i="30"/>
  <c r="AB494" i="30" s="1"/>
  <c r="AE493" i="30"/>
  <c r="X493" i="30"/>
  <c r="AD493" i="30" s="1"/>
  <c r="W493" i="30"/>
  <c r="AC493" i="30" s="1"/>
  <c r="V493" i="30"/>
  <c r="AB493" i="30" s="1"/>
  <c r="AE492" i="30"/>
  <c r="X492" i="30"/>
  <c r="AD492" i="30" s="1"/>
  <c r="W492" i="30"/>
  <c r="AC492" i="30" s="1"/>
  <c r="V492" i="30"/>
  <c r="AB492" i="30" s="1"/>
  <c r="AE491" i="30"/>
  <c r="X491" i="30"/>
  <c r="AD491" i="30" s="1"/>
  <c r="W491" i="30"/>
  <c r="AC491" i="30" s="1"/>
  <c r="V491" i="30"/>
  <c r="AB491" i="30" s="1"/>
  <c r="AE490" i="30"/>
  <c r="X490" i="30"/>
  <c r="AD490" i="30" s="1"/>
  <c r="W490" i="30"/>
  <c r="AC490" i="30" s="1"/>
  <c r="V490" i="30"/>
  <c r="AB490" i="30" s="1"/>
  <c r="AE489" i="30"/>
  <c r="X489" i="30"/>
  <c r="AD489" i="30" s="1"/>
  <c r="W489" i="30"/>
  <c r="AC489" i="30" s="1"/>
  <c r="V489" i="30"/>
  <c r="AB489" i="30" s="1"/>
  <c r="AE488" i="30"/>
  <c r="X488" i="30"/>
  <c r="AD488" i="30" s="1"/>
  <c r="W488" i="30"/>
  <c r="AC488" i="30" s="1"/>
  <c r="V488" i="30"/>
  <c r="AB488" i="30" s="1"/>
  <c r="AE487" i="30"/>
  <c r="X487" i="30"/>
  <c r="AD487" i="30" s="1"/>
  <c r="W487" i="30"/>
  <c r="AC487" i="30" s="1"/>
  <c r="V487" i="30"/>
  <c r="AB487" i="30" s="1"/>
  <c r="AE486" i="30"/>
  <c r="X486" i="30"/>
  <c r="AD486" i="30" s="1"/>
  <c r="W486" i="30"/>
  <c r="AC486" i="30" s="1"/>
  <c r="V486" i="30"/>
  <c r="AB486" i="30" s="1"/>
  <c r="AE485" i="30"/>
  <c r="X485" i="30"/>
  <c r="AD485" i="30" s="1"/>
  <c r="W485" i="30"/>
  <c r="AC485" i="30" s="1"/>
  <c r="V485" i="30"/>
  <c r="AB485" i="30" s="1"/>
  <c r="AE484" i="30"/>
  <c r="X484" i="30"/>
  <c r="AD484" i="30" s="1"/>
  <c r="W484" i="30"/>
  <c r="AC484" i="30" s="1"/>
  <c r="V484" i="30"/>
  <c r="AB484" i="30" s="1"/>
  <c r="AE483" i="30"/>
  <c r="X483" i="30"/>
  <c r="AD483" i="30" s="1"/>
  <c r="W483" i="30"/>
  <c r="AC483" i="30" s="1"/>
  <c r="V483" i="30"/>
  <c r="AB483" i="30" s="1"/>
  <c r="AG482" i="30"/>
  <c r="AF482" i="30"/>
  <c r="X482" i="30"/>
  <c r="AD482" i="30" s="1"/>
  <c r="W482" i="30"/>
  <c r="AC482" i="30" s="1"/>
  <c r="V482" i="30"/>
  <c r="AB482" i="30" s="1"/>
  <c r="AG481" i="30"/>
  <c r="AF481" i="30"/>
  <c r="X481" i="30"/>
  <c r="AD481" i="30" s="1"/>
  <c r="W481" i="30"/>
  <c r="AC481" i="30" s="1"/>
  <c r="V481" i="30"/>
  <c r="AB481" i="30" s="1"/>
  <c r="AG480" i="30"/>
  <c r="AF480" i="30"/>
  <c r="X480" i="30"/>
  <c r="AD480" i="30" s="1"/>
  <c r="W480" i="30"/>
  <c r="AC480" i="30" s="1"/>
  <c r="V480" i="30"/>
  <c r="AB480" i="30" s="1"/>
  <c r="AG479" i="30"/>
  <c r="AF479" i="30"/>
  <c r="X479" i="30"/>
  <c r="AD479" i="30" s="1"/>
  <c r="W479" i="30"/>
  <c r="AC479" i="30" s="1"/>
  <c r="V479" i="30"/>
  <c r="AB479" i="30" s="1"/>
  <c r="AG478" i="30"/>
  <c r="AF478" i="30"/>
  <c r="X478" i="30"/>
  <c r="AD478" i="30" s="1"/>
  <c r="W478" i="30"/>
  <c r="AC478" i="30" s="1"/>
  <c r="V478" i="30"/>
  <c r="AB478" i="30" s="1"/>
  <c r="AG477" i="30"/>
  <c r="AF477" i="30"/>
  <c r="X477" i="30"/>
  <c r="AD477" i="30" s="1"/>
  <c r="W477" i="30"/>
  <c r="AC477" i="30" s="1"/>
  <c r="V477" i="30"/>
  <c r="AB477" i="30" s="1"/>
  <c r="AG476" i="30"/>
  <c r="AF476" i="30"/>
  <c r="X476" i="30"/>
  <c r="AD476" i="30" s="1"/>
  <c r="W476" i="30"/>
  <c r="AC476" i="30" s="1"/>
  <c r="V476" i="30"/>
  <c r="AB476" i="30" s="1"/>
  <c r="AG475" i="30"/>
  <c r="AF475" i="30"/>
  <c r="X475" i="30"/>
  <c r="AD475" i="30" s="1"/>
  <c r="W475" i="30"/>
  <c r="AC475" i="30" s="1"/>
  <c r="V475" i="30"/>
  <c r="AB475" i="30" s="1"/>
  <c r="AG474" i="30"/>
  <c r="AF474" i="30"/>
  <c r="X474" i="30"/>
  <c r="AD474" i="30" s="1"/>
  <c r="W474" i="30"/>
  <c r="AC474" i="30" s="1"/>
  <c r="V474" i="30"/>
  <c r="AB474" i="30" s="1"/>
  <c r="AG473" i="30"/>
  <c r="AF473" i="30"/>
  <c r="X473" i="30"/>
  <c r="AD473" i="30" s="1"/>
  <c r="W473" i="30"/>
  <c r="AC473" i="30" s="1"/>
  <c r="V473" i="30"/>
  <c r="AB473" i="30" s="1"/>
  <c r="AG472" i="30"/>
  <c r="AF472" i="30"/>
  <c r="X472" i="30"/>
  <c r="AD472" i="30" s="1"/>
  <c r="W472" i="30"/>
  <c r="AC472" i="30" s="1"/>
  <c r="V472" i="30"/>
  <c r="AB472" i="30" s="1"/>
  <c r="AG471" i="30"/>
  <c r="AF471" i="30"/>
  <c r="X471" i="30"/>
  <c r="AD471" i="30" s="1"/>
  <c r="W471" i="30"/>
  <c r="AC471" i="30" s="1"/>
  <c r="V471" i="30"/>
  <c r="AB471" i="30" s="1"/>
  <c r="AG470" i="30"/>
  <c r="AF470" i="30"/>
  <c r="X470" i="30"/>
  <c r="AD470" i="30" s="1"/>
  <c r="W470" i="30"/>
  <c r="AC470" i="30" s="1"/>
  <c r="V470" i="30"/>
  <c r="AB470" i="30" s="1"/>
  <c r="AG469" i="30"/>
  <c r="AF469" i="30"/>
  <c r="X469" i="30"/>
  <c r="AD469" i="30" s="1"/>
  <c r="W469" i="30"/>
  <c r="AC469" i="30" s="1"/>
  <c r="V469" i="30"/>
  <c r="AB469" i="30" s="1"/>
  <c r="AG468" i="30"/>
  <c r="AF468" i="30"/>
  <c r="X468" i="30"/>
  <c r="AD468" i="30" s="1"/>
  <c r="W468" i="30"/>
  <c r="AC468" i="30" s="1"/>
  <c r="V468" i="30"/>
  <c r="AB468" i="30" s="1"/>
  <c r="AG467" i="30"/>
  <c r="AF467" i="30"/>
  <c r="X467" i="30"/>
  <c r="AD467" i="30" s="1"/>
  <c r="W467" i="30"/>
  <c r="AC467" i="30" s="1"/>
  <c r="V467" i="30"/>
  <c r="AB467" i="30" s="1"/>
  <c r="AG466" i="30"/>
  <c r="AF466" i="30"/>
  <c r="X466" i="30"/>
  <c r="AD466" i="30" s="1"/>
  <c r="W466" i="30"/>
  <c r="AC466" i="30" s="1"/>
  <c r="V466" i="30"/>
  <c r="AB466" i="30" s="1"/>
  <c r="AG465" i="30"/>
  <c r="AF465" i="30"/>
  <c r="X465" i="30"/>
  <c r="AD465" i="30" s="1"/>
  <c r="W465" i="30"/>
  <c r="AC465" i="30" s="1"/>
  <c r="V465" i="30"/>
  <c r="AB465" i="30" s="1"/>
  <c r="AG464" i="30"/>
  <c r="AF464" i="30"/>
  <c r="X464" i="30"/>
  <c r="AD464" i="30" s="1"/>
  <c r="W464" i="30"/>
  <c r="AC464" i="30" s="1"/>
  <c r="V464" i="30"/>
  <c r="AB464" i="30" s="1"/>
  <c r="AG463" i="30"/>
  <c r="AF463" i="30"/>
  <c r="X463" i="30"/>
  <c r="AD463" i="30" s="1"/>
  <c r="W463" i="30"/>
  <c r="AC463" i="30" s="1"/>
  <c r="V463" i="30"/>
  <c r="AB463" i="30" s="1"/>
  <c r="AG462" i="30"/>
  <c r="AF462" i="30"/>
  <c r="X462" i="30"/>
  <c r="AD462" i="30" s="1"/>
  <c r="W462" i="30"/>
  <c r="AC462" i="30" s="1"/>
  <c r="V462" i="30"/>
  <c r="AB462" i="30" s="1"/>
  <c r="AG461" i="30"/>
  <c r="AF461" i="30"/>
  <c r="X461" i="30"/>
  <c r="AD461" i="30" s="1"/>
  <c r="W461" i="30"/>
  <c r="AC461" i="30" s="1"/>
  <c r="V461" i="30"/>
  <c r="AB461" i="30" s="1"/>
  <c r="AG460" i="30"/>
  <c r="AF460" i="30"/>
  <c r="X460" i="30"/>
  <c r="AD460" i="30" s="1"/>
  <c r="W460" i="30"/>
  <c r="AC460" i="30" s="1"/>
  <c r="V460" i="30"/>
  <c r="AB460" i="30" s="1"/>
  <c r="AE459" i="30"/>
  <c r="X459" i="30"/>
  <c r="AD459" i="30" s="1"/>
  <c r="W459" i="30"/>
  <c r="AC459" i="30" s="1"/>
  <c r="V459" i="30"/>
  <c r="AB459" i="30" s="1"/>
  <c r="AE458" i="30"/>
  <c r="X458" i="30"/>
  <c r="AD458" i="30" s="1"/>
  <c r="W458" i="30"/>
  <c r="AC458" i="30" s="1"/>
  <c r="V458" i="30"/>
  <c r="AB458" i="30" s="1"/>
  <c r="AE457" i="30"/>
  <c r="X457" i="30"/>
  <c r="AD457" i="30" s="1"/>
  <c r="W457" i="30"/>
  <c r="AC457" i="30" s="1"/>
  <c r="V457" i="30"/>
  <c r="AB457" i="30" s="1"/>
  <c r="AE456" i="30"/>
  <c r="X456" i="30"/>
  <c r="AD456" i="30" s="1"/>
  <c r="W456" i="30"/>
  <c r="AC456" i="30" s="1"/>
  <c r="V456" i="30"/>
  <c r="AB456" i="30" s="1"/>
  <c r="AE455" i="30"/>
  <c r="X455" i="30"/>
  <c r="AD455" i="30" s="1"/>
  <c r="W455" i="30"/>
  <c r="AC455" i="30" s="1"/>
  <c r="V455" i="30"/>
  <c r="AB455" i="30" s="1"/>
  <c r="AE454" i="30"/>
  <c r="X454" i="30"/>
  <c r="AD454" i="30" s="1"/>
  <c r="W454" i="30"/>
  <c r="AC454" i="30" s="1"/>
  <c r="V454" i="30"/>
  <c r="AB454" i="30" s="1"/>
  <c r="AE453" i="30"/>
  <c r="X453" i="30"/>
  <c r="AD453" i="30" s="1"/>
  <c r="W453" i="30"/>
  <c r="AC453" i="30" s="1"/>
  <c r="V453" i="30"/>
  <c r="AB453" i="30" s="1"/>
  <c r="AE452" i="30"/>
  <c r="X452" i="30"/>
  <c r="AD452" i="30" s="1"/>
  <c r="W452" i="30"/>
  <c r="AC452" i="30" s="1"/>
  <c r="V452" i="30"/>
  <c r="AB452" i="30" s="1"/>
  <c r="AE451" i="30"/>
  <c r="X451" i="30"/>
  <c r="AD451" i="30" s="1"/>
  <c r="W451" i="30"/>
  <c r="AC451" i="30" s="1"/>
  <c r="V451" i="30"/>
  <c r="AB451" i="30" s="1"/>
  <c r="AE450" i="30"/>
  <c r="X450" i="30"/>
  <c r="AD450" i="30" s="1"/>
  <c r="W450" i="30"/>
  <c r="AC450" i="30" s="1"/>
  <c r="V450" i="30"/>
  <c r="AB450" i="30" s="1"/>
  <c r="AE449" i="30"/>
  <c r="X449" i="30"/>
  <c r="AD449" i="30" s="1"/>
  <c r="W449" i="30"/>
  <c r="AC449" i="30" s="1"/>
  <c r="V449" i="30"/>
  <c r="AB449" i="30" s="1"/>
  <c r="AE448" i="30"/>
  <c r="X448" i="30"/>
  <c r="AD448" i="30" s="1"/>
  <c r="W448" i="30"/>
  <c r="AC448" i="30" s="1"/>
  <c r="V448" i="30"/>
  <c r="AB448" i="30" s="1"/>
  <c r="AE447" i="30"/>
  <c r="X447" i="30"/>
  <c r="AD447" i="30" s="1"/>
  <c r="W447" i="30"/>
  <c r="AC447" i="30" s="1"/>
  <c r="V447" i="30"/>
  <c r="AB447" i="30" s="1"/>
  <c r="AE446" i="30"/>
  <c r="X446" i="30"/>
  <c r="AD446" i="30" s="1"/>
  <c r="W446" i="30"/>
  <c r="AC446" i="30" s="1"/>
  <c r="V446" i="30"/>
  <c r="AB446" i="30" s="1"/>
  <c r="AE445" i="30"/>
  <c r="X445" i="30"/>
  <c r="AD445" i="30" s="1"/>
  <c r="W445" i="30"/>
  <c r="AC445" i="30" s="1"/>
  <c r="V445" i="30"/>
  <c r="AB445" i="30" s="1"/>
  <c r="AE444" i="30"/>
  <c r="X444" i="30"/>
  <c r="AD444" i="30" s="1"/>
  <c r="W444" i="30"/>
  <c r="AC444" i="30" s="1"/>
  <c r="V444" i="30"/>
  <c r="AB444" i="30" s="1"/>
  <c r="AE443" i="30"/>
  <c r="X443" i="30"/>
  <c r="AD443" i="30" s="1"/>
  <c r="W443" i="30"/>
  <c r="AC443" i="30" s="1"/>
  <c r="V443" i="30"/>
  <c r="AB443" i="30" s="1"/>
  <c r="AE442" i="30"/>
  <c r="X442" i="30"/>
  <c r="AD442" i="30" s="1"/>
  <c r="W442" i="30"/>
  <c r="AC442" i="30" s="1"/>
  <c r="V442" i="30"/>
  <c r="AB442" i="30" s="1"/>
  <c r="AE441" i="30"/>
  <c r="X441" i="30"/>
  <c r="AD441" i="30" s="1"/>
  <c r="W441" i="30"/>
  <c r="AC441" i="30" s="1"/>
  <c r="V441" i="30"/>
  <c r="AB441" i="30" s="1"/>
  <c r="AE440" i="30"/>
  <c r="X440" i="30"/>
  <c r="AD440" i="30" s="1"/>
  <c r="W440" i="30"/>
  <c r="AC440" i="30" s="1"/>
  <c r="V440" i="30"/>
  <c r="AB440" i="30" s="1"/>
  <c r="AE439" i="30"/>
  <c r="X439" i="30"/>
  <c r="AD439" i="30" s="1"/>
  <c r="W439" i="30"/>
  <c r="AC439" i="30" s="1"/>
  <c r="V439" i="30"/>
  <c r="AB439" i="30" s="1"/>
  <c r="AE438" i="30"/>
  <c r="X438" i="30"/>
  <c r="AD438" i="30" s="1"/>
  <c r="W438" i="30"/>
  <c r="AC438" i="30" s="1"/>
  <c r="V438" i="30"/>
  <c r="AB438" i="30" s="1"/>
  <c r="AE437" i="30"/>
  <c r="X437" i="30"/>
  <c r="AD437" i="30" s="1"/>
  <c r="W437" i="30"/>
  <c r="AC437" i="30" s="1"/>
  <c r="V437" i="30"/>
  <c r="AB437" i="30" s="1"/>
  <c r="AG436" i="30"/>
  <c r="AE436" i="30"/>
  <c r="X436" i="30"/>
  <c r="AD436" i="30" s="1"/>
  <c r="W436" i="30"/>
  <c r="AC436" i="30" s="1"/>
  <c r="V436" i="30"/>
  <c r="AB436" i="30" s="1"/>
  <c r="AE435" i="30"/>
  <c r="X435" i="30"/>
  <c r="AD435" i="30" s="1"/>
  <c r="W435" i="30"/>
  <c r="AC435" i="30" s="1"/>
  <c r="V435" i="30"/>
  <c r="AB435" i="30" s="1"/>
  <c r="AE434" i="30"/>
  <c r="X434" i="30"/>
  <c r="AD434" i="30" s="1"/>
  <c r="W434" i="30"/>
  <c r="AC434" i="30" s="1"/>
  <c r="V434" i="30"/>
  <c r="AB434" i="30" s="1"/>
  <c r="AG433" i="30"/>
  <c r="AE433" i="30"/>
  <c r="X433" i="30"/>
  <c r="AD433" i="30" s="1"/>
  <c r="W433" i="30"/>
  <c r="AC433" i="30" s="1"/>
  <c r="V433" i="30"/>
  <c r="AB433" i="30" s="1"/>
  <c r="AE432" i="30"/>
  <c r="X432" i="30"/>
  <c r="AD432" i="30" s="1"/>
  <c r="W432" i="30"/>
  <c r="AC432" i="30" s="1"/>
  <c r="V432" i="30"/>
  <c r="AB432" i="30" s="1"/>
  <c r="AE431" i="30"/>
  <c r="X431" i="30"/>
  <c r="AD431" i="30" s="1"/>
  <c r="W431" i="30"/>
  <c r="AC431" i="30" s="1"/>
  <c r="V431" i="30"/>
  <c r="AB431" i="30" s="1"/>
  <c r="AG430" i="30"/>
  <c r="AE430" i="30"/>
  <c r="X430" i="30"/>
  <c r="AD430" i="30" s="1"/>
  <c r="W430" i="30"/>
  <c r="AC430" i="30" s="1"/>
  <c r="V430" i="30"/>
  <c r="AB430" i="30" s="1"/>
  <c r="AE429" i="30"/>
  <c r="X429" i="30"/>
  <c r="AD429" i="30" s="1"/>
  <c r="W429" i="30"/>
  <c r="AC429" i="30" s="1"/>
  <c r="V429" i="30"/>
  <c r="AB429" i="30" s="1"/>
  <c r="AE428" i="30"/>
  <c r="X428" i="30"/>
  <c r="AD428" i="30" s="1"/>
  <c r="W428" i="30"/>
  <c r="AC428" i="30" s="1"/>
  <c r="V428" i="30"/>
  <c r="AB428" i="30" s="1"/>
  <c r="AG427" i="30"/>
  <c r="AE427" i="30"/>
  <c r="X427" i="30"/>
  <c r="AD427" i="30" s="1"/>
  <c r="W427" i="30"/>
  <c r="AC427" i="30" s="1"/>
  <c r="V427" i="30"/>
  <c r="AB427" i="30" s="1"/>
  <c r="AE426" i="30"/>
  <c r="X426" i="30"/>
  <c r="AD426" i="30" s="1"/>
  <c r="W426" i="30"/>
  <c r="AC426" i="30" s="1"/>
  <c r="V426" i="30"/>
  <c r="AB426" i="30" s="1"/>
  <c r="AE425" i="30"/>
  <c r="X425" i="30"/>
  <c r="AD425" i="30" s="1"/>
  <c r="W425" i="30"/>
  <c r="AC425" i="30" s="1"/>
  <c r="V425" i="30"/>
  <c r="AB425" i="30" s="1"/>
  <c r="AG424" i="30"/>
  <c r="AE424" i="30"/>
  <c r="X424" i="30"/>
  <c r="AD424" i="30" s="1"/>
  <c r="W424" i="30"/>
  <c r="AC424" i="30" s="1"/>
  <c r="V424" i="30"/>
  <c r="AB424" i="30" s="1"/>
  <c r="AE423" i="30"/>
  <c r="X423" i="30"/>
  <c r="AD423" i="30" s="1"/>
  <c r="W423" i="30"/>
  <c r="AC423" i="30" s="1"/>
  <c r="V423" i="30"/>
  <c r="AB423" i="30" s="1"/>
  <c r="AE422" i="30"/>
  <c r="X422" i="30"/>
  <c r="AD422" i="30" s="1"/>
  <c r="W422" i="30"/>
  <c r="AC422" i="30" s="1"/>
  <c r="V422" i="30"/>
  <c r="AB422" i="30" s="1"/>
  <c r="AG421" i="30"/>
  <c r="AE421" i="30"/>
  <c r="X421" i="30"/>
  <c r="AD421" i="30" s="1"/>
  <c r="W421" i="30"/>
  <c r="AC421" i="30" s="1"/>
  <c r="V421" i="30"/>
  <c r="AB421" i="30" s="1"/>
  <c r="AE420" i="30"/>
  <c r="X420" i="30"/>
  <c r="AD420" i="30" s="1"/>
  <c r="W420" i="30"/>
  <c r="AC420" i="30" s="1"/>
  <c r="V420" i="30"/>
  <c r="AB420" i="30" s="1"/>
  <c r="AE419" i="30"/>
  <c r="X419" i="30"/>
  <c r="AD419" i="30" s="1"/>
  <c r="W419" i="30"/>
  <c r="AC419" i="30" s="1"/>
  <c r="V419" i="30"/>
  <c r="AB419" i="30" s="1"/>
  <c r="AG418" i="30"/>
  <c r="AE418" i="30"/>
  <c r="X418" i="30"/>
  <c r="AD418" i="30" s="1"/>
  <c r="W418" i="30"/>
  <c r="AC418" i="30" s="1"/>
  <c r="V418" i="30"/>
  <c r="AB418" i="30" s="1"/>
  <c r="AE417" i="30"/>
  <c r="X417" i="30"/>
  <c r="AD417" i="30" s="1"/>
  <c r="W417" i="30"/>
  <c r="AC417" i="30" s="1"/>
  <c r="V417" i="30"/>
  <c r="AB417" i="30" s="1"/>
  <c r="AG416" i="30"/>
  <c r="AE416" i="30"/>
  <c r="X416" i="30"/>
  <c r="AD416" i="30" s="1"/>
  <c r="W416" i="30"/>
  <c r="AC416" i="30" s="1"/>
  <c r="V416" i="30"/>
  <c r="AB416" i="30" s="1"/>
  <c r="AE415" i="30"/>
  <c r="X415" i="30"/>
  <c r="AD415" i="30" s="1"/>
  <c r="W415" i="30"/>
  <c r="AC415" i="30" s="1"/>
  <c r="V415" i="30"/>
  <c r="AB415" i="30" s="1"/>
  <c r="AG414" i="30"/>
  <c r="AE414" i="30"/>
  <c r="X414" i="30"/>
  <c r="AD414" i="30" s="1"/>
  <c r="W414" i="30"/>
  <c r="AC414" i="30" s="1"/>
  <c r="V414" i="30"/>
  <c r="AB414" i="30" s="1"/>
  <c r="AE413" i="30"/>
  <c r="X413" i="30"/>
  <c r="AD413" i="30" s="1"/>
  <c r="W413" i="30"/>
  <c r="AC413" i="30" s="1"/>
  <c r="V413" i="30"/>
  <c r="AB413" i="30" s="1"/>
  <c r="AG412" i="30"/>
  <c r="AE412" i="30"/>
  <c r="X412" i="30"/>
  <c r="AD412" i="30" s="1"/>
  <c r="W412" i="30"/>
  <c r="AC412" i="30" s="1"/>
  <c r="V412" i="30"/>
  <c r="AB412" i="30" s="1"/>
  <c r="AE411" i="30"/>
  <c r="X411" i="30"/>
  <c r="AD411" i="30" s="1"/>
  <c r="W411" i="30"/>
  <c r="AC411" i="30" s="1"/>
  <c r="V411" i="30"/>
  <c r="AB411" i="30" s="1"/>
  <c r="AG410" i="30"/>
  <c r="AE410" i="30"/>
  <c r="X410" i="30"/>
  <c r="AD410" i="30" s="1"/>
  <c r="W410" i="30"/>
  <c r="AC410" i="30" s="1"/>
  <c r="V410" i="30"/>
  <c r="AB410" i="30" s="1"/>
  <c r="AE409" i="30"/>
  <c r="X409" i="30"/>
  <c r="AD409" i="30" s="1"/>
  <c r="W409" i="30"/>
  <c r="AC409" i="30" s="1"/>
  <c r="V409" i="30"/>
  <c r="AB409" i="30" s="1"/>
  <c r="AG408" i="30"/>
  <c r="AE408" i="30"/>
  <c r="X408" i="30"/>
  <c r="AD408" i="30" s="1"/>
  <c r="W408" i="30"/>
  <c r="AC408" i="30" s="1"/>
  <c r="V408" i="30"/>
  <c r="AB408" i="30" s="1"/>
  <c r="AE407" i="30"/>
  <c r="X407" i="30"/>
  <c r="AD407" i="30" s="1"/>
  <c r="W407" i="30"/>
  <c r="AC407" i="30" s="1"/>
  <c r="V407" i="30"/>
  <c r="AB407" i="30" s="1"/>
  <c r="AG406" i="30"/>
  <c r="AF406" i="30"/>
  <c r="X406" i="30"/>
  <c r="AD406" i="30" s="1"/>
  <c r="W406" i="30"/>
  <c r="AC406" i="30" s="1"/>
  <c r="V406" i="30"/>
  <c r="AB406" i="30" s="1"/>
  <c r="AG405" i="30"/>
  <c r="AF405" i="30"/>
  <c r="X405" i="30"/>
  <c r="AD405" i="30" s="1"/>
  <c r="W405" i="30"/>
  <c r="AC405" i="30" s="1"/>
  <c r="V405" i="30"/>
  <c r="AB405" i="30" s="1"/>
  <c r="AG404" i="30"/>
  <c r="AF404" i="30"/>
  <c r="X404" i="30"/>
  <c r="AD404" i="30" s="1"/>
  <c r="W404" i="30"/>
  <c r="AC404" i="30" s="1"/>
  <c r="V404" i="30"/>
  <c r="AB404" i="30" s="1"/>
  <c r="AG403" i="30"/>
  <c r="AF403" i="30"/>
  <c r="X403" i="30"/>
  <c r="AD403" i="30" s="1"/>
  <c r="W403" i="30"/>
  <c r="AC403" i="30" s="1"/>
  <c r="V403" i="30"/>
  <c r="AB403" i="30" s="1"/>
  <c r="AG402" i="30"/>
  <c r="AF402" i="30"/>
  <c r="X402" i="30"/>
  <c r="AD402" i="30" s="1"/>
  <c r="W402" i="30"/>
  <c r="AC402" i="30" s="1"/>
  <c r="V402" i="30"/>
  <c r="AB402" i="30" s="1"/>
  <c r="AG401" i="30"/>
  <c r="AF401" i="30"/>
  <c r="X401" i="30"/>
  <c r="AD401" i="30" s="1"/>
  <c r="W401" i="30"/>
  <c r="AC401" i="30" s="1"/>
  <c r="V401" i="30"/>
  <c r="AB401" i="30" s="1"/>
  <c r="AG400" i="30"/>
  <c r="AF400" i="30"/>
  <c r="X400" i="30"/>
  <c r="AD400" i="30" s="1"/>
  <c r="W400" i="30"/>
  <c r="AC400" i="30" s="1"/>
  <c r="V400" i="30"/>
  <c r="AB400" i="30" s="1"/>
  <c r="AG399" i="30"/>
  <c r="AF399" i="30"/>
  <c r="X399" i="30"/>
  <c r="AD399" i="30" s="1"/>
  <c r="W399" i="30"/>
  <c r="AC399" i="30" s="1"/>
  <c r="V399" i="30"/>
  <c r="AB399" i="30" s="1"/>
  <c r="AG398" i="30"/>
  <c r="AF398" i="30"/>
  <c r="X398" i="30"/>
  <c r="AD398" i="30" s="1"/>
  <c r="W398" i="30"/>
  <c r="AC398" i="30" s="1"/>
  <c r="V398" i="30"/>
  <c r="AB398" i="30" s="1"/>
  <c r="AG397" i="30"/>
  <c r="AF397" i="30"/>
  <c r="X397" i="30"/>
  <c r="AD397" i="30" s="1"/>
  <c r="W397" i="30"/>
  <c r="AC397" i="30" s="1"/>
  <c r="V397" i="30"/>
  <c r="AB397" i="30" s="1"/>
  <c r="AG396" i="30"/>
  <c r="AF396" i="30"/>
  <c r="X396" i="30"/>
  <c r="AD396" i="30" s="1"/>
  <c r="W396" i="30"/>
  <c r="AC396" i="30" s="1"/>
  <c r="V396" i="30"/>
  <c r="AB396" i="30" s="1"/>
  <c r="AG395" i="30"/>
  <c r="AF395" i="30"/>
  <c r="X395" i="30"/>
  <c r="AD395" i="30" s="1"/>
  <c r="W395" i="30"/>
  <c r="AC395" i="30" s="1"/>
  <c r="V395" i="30"/>
  <c r="AB395" i="30" s="1"/>
  <c r="AG394" i="30"/>
  <c r="AF394" i="30"/>
  <c r="X394" i="30"/>
  <c r="AD394" i="30" s="1"/>
  <c r="W394" i="30"/>
  <c r="AC394" i="30" s="1"/>
  <c r="V394" i="30"/>
  <c r="AB394" i="30" s="1"/>
  <c r="AG393" i="30"/>
  <c r="AF393" i="30"/>
  <c r="X393" i="30"/>
  <c r="AD393" i="30" s="1"/>
  <c r="W393" i="30"/>
  <c r="AC393" i="30" s="1"/>
  <c r="V393" i="30"/>
  <c r="AB393" i="30" s="1"/>
  <c r="AG392" i="30"/>
  <c r="AF392" i="30"/>
  <c r="X392" i="30"/>
  <c r="AD392" i="30" s="1"/>
  <c r="W392" i="30"/>
  <c r="AC392" i="30" s="1"/>
  <c r="V392" i="30"/>
  <c r="AB392" i="30" s="1"/>
  <c r="AG391" i="30"/>
  <c r="AF391" i="30"/>
  <c r="X391" i="30"/>
  <c r="AD391" i="30" s="1"/>
  <c r="W391" i="30"/>
  <c r="AC391" i="30" s="1"/>
  <c r="V391" i="30"/>
  <c r="AB391" i="30" s="1"/>
  <c r="AG390" i="30"/>
  <c r="AF390" i="30"/>
  <c r="X390" i="30"/>
  <c r="AD390" i="30" s="1"/>
  <c r="W390" i="30"/>
  <c r="AC390" i="30" s="1"/>
  <c r="V390" i="30"/>
  <c r="AB390" i="30" s="1"/>
  <c r="AG389" i="30"/>
  <c r="AF389" i="30"/>
  <c r="X389" i="30"/>
  <c r="AD389" i="30" s="1"/>
  <c r="W389" i="30"/>
  <c r="AC389" i="30" s="1"/>
  <c r="V389" i="30"/>
  <c r="AB389" i="30" s="1"/>
  <c r="AG388" i="30"/>
  <c r="AF388" i="30"/>
  <c r="X388" i="30"/>
  <c r="AD388" i="30" s="1"/>
  <c r="W388" i="30"/>
  <c r="AC388" i="30" s="1"/>
  <c r="V388" i="30"/>
  <c r="AB388" i="30" s="1"/>
  <c r="AG387" i="30"/>
  <c r="AF387" i="30"/>
  <c r="X387" i="30"/>
  <c r="AD387" i="30" s="1"/>
  <c r="W387" i="30"/>
  <c r="AC387" i="30" s="1"/>
  <c r="V387" i="30"/>
  <c r="AB387" i="30" s="1"/>
  <c r="AG386" i="30"/>
  <c r="AF386" i="30"/>
  <c r="X386" i="30"/>
  <c r="AD386" i="30" s="1"/>
  <c r="W386" i="30"/>
  <c r="AC386" i="30" s="1"/>
  <c r="V386" i="30"/>
  <c r="AB386" i="30" s="1"/>
  <c r="AG385" i="30"/>
  <c r="AF385" i="30"/>
  <c r="X385" i="30"/>
  <c r="AD385" i="30" s="1"/>
  <c r="W385" i="30"/>
  <c r="AC385" i="30" s="1"/>
  <c r="V385" i="30"/>
  <c r="AB385" i="30" s="1"/>
  <c r="AG384" i="30"/>
  <c r="AF384" i="30"/>
  <c r="X384" i="30"/>
  <c r="AD384" i="30" s="1"/>
  <c r="W384" i="30"/>
  <c r="AC384" i="30" s="1"/>
  <c r="V384" i="30"/>
  <c r="AB384" i="30" s="1"/>
  <c r="AG383" i="30"/>
  <c r="AF383" i="30"/>
  <c r="X383" i="30"/>
  <c r="AD383" i="30" s="1"/>
  <c r="W383" i="30"/>
  <c r="AC383" i="30" s="1"/>
  <c r="V383" i="30"/>
  <c r="AB383" i="30" s="1"/>
  <c r="AG382" i="30"/>
  <c r="AF382" i="30"/>
  <c r="X382" i="30"/>
  <c r="AD382" i="30" s="1"/>
  <c r="W382" i="30"/>
  <c r="AC382" i="30" s="1"/>
  <c r="V382" i="30"/>
  <c r="AB382" i="30" s="1"/>
  <c r="AG381" i="30"/>
  <c r="AF381" i="30"/>
  <c r="X381" i="30"/>
  <c r="AD381" i="30" s="1"/>
  <c r="W381" i="30"/>
  <c r="AC381" i="30" s="1"/>
  <c r="V381" i="30"/>
  <c r="AB381" i="30" s="1"/>
  <c r="AG380" i="30"/>
  <c r="AF380" i="30"/>
  <c r="X380" i="30"/>
  <c r="AD380" i="30" s="1"/>
  <c r="W380" i="30"/>
  <c r="AC380" i="30" s="1"/>
  <c r="V380" i="30"/>
  <c r="AB380" i="30" s="1"/>
  <c r="AG379" i="30"/>
  <c r="AF379" i="30"/>
  <c r="X379" i="30"/>
  <c r="AD379" i="30" s="1"/>
  <c r="W379" i="30"/>
  <c r="AC379" i="30" s="1"/>
  <c r="V379" i="30"/>
  <c r="AB379" i="30" s="1"/>
  <c r="AG378" i="30"/>
  <c r="AF378" i="30"/>
  <c r="X378" i="30"/>
  <c r="AD378" i="30" s="1"/>
  <c r="W378" i="30"/>
  <c r="AC378" i="30" s="1"/>
  <c r="V378" i="30"/>
  <c r="AB378" i="30" s="1"/>
  <c r="AG377" i="30"/>
  <c r="AF377" i="30"/>
  <c r="X377" i="30"/>
  <c r="AD377" i="30" s="1"/>
  <c r="W377" i="30"/>
  <c r="AC377" i="30" s="1"/>
  <c r="V377" i="30"/>
  <c r="AB377" i="30" s="1"/>
  <c r="AG376" i="30"/>
  <c r="AE376" i="30"/>
  <c r="X376" i="30"/>
  <c r="AD376" i="30" s="1"/>
  <c r="W376" i="30"/>
  <c r="AC376" i="30" s="1"/>
  <c r="V376" i="30"/>
  <c r="AB376" i="30" s="1"/>
  <c r="AE375" i="30"/>
  <c r="X375" i="30"/>
  <c r="AD375" i="30" s="1"/>
  <c r="W375" i="30"/>
  <c r="AC375" i="30" s="1"/>
  <c r="V375" i="30"/>
  <c r="AB375" i="30" s="1"/>
  <c r="AE374" i="30"/>
  <c r="X374" i="30"/>
  <c r="AD374" i="30" s="1"/>
  <c r="W374" i="30"/>
  <c r="AC374" i="30" s="1"/>
  <c r="V374" i="30"/>
  <c r="AB374" i="30" s="1"/>
  <c r="AG373" i="30"/>
  <c r="AE373" i="30"/>
  <c r="X373" i="30"/>
  <c r="AD373" i="30" s="1"/>
  <c r="W373" i="30"/>
  <c r="AC373" i="30" s="1"/>
  <c r="V373" i="30"/>
  <c r="AB373" i="30" s="1"/>
  <c r="AE372" i="30"/>
  <c r="X372" i="30"/>
  <c r="AD372" i="30" s="1"/>
  <c r="W372" i="30"/>
  <c r="AC372" i="30" s="1"/>
  <c r="V372" i="30"/>
  <c r="AB372" i="30" s="1"/>
  <c r="AE371" i="30"/>
  <c r="X371" i="30"/>
  <c r="AD371" i="30" s="1"/>
  <c r="W371" i="30"/>
  <c r="AC371" i="30" s="1"/>
  <c r="V371" i="30"/>
  <c r="AB371" i="30" s="1"/>
  <c r="AG370" i="30"/>
  <c r="AE370" i="30"/>
  <c r="X370" i="30"/>
  <c r="AD370" i="30" s="1"/>
  <c r="W370" i="30"/>
  <c r="AC370" i="30" s="1"/>
  <c r="V370" i="30"/>
  <c r="AB370" i="30" s="1"/>
  <c r="AE369" i="30"/>
  <c r="X369" i="30"/>
  <c r="AD369" i="30" s="1"/>
  <c r="W369" i="30"/>
  <c r="AC369" i="30" s="1"/>
  <c r="V369" i="30"/>
  <c r="AB369" i="30" s="1"/>
  <c r="AE368" i="30"/>
  <c r="X368" i="30"/>
  <c r="AD368" i="30" s="1"/>
  <c r="W368" i="30"/>
  <c r="AC368" i="30" s="1"/>
  <c r="V368" i="30"/>
  <c r="AB368" i="30" s="1"/>
  <c r="AG367" i="30"/>
  <c r="AE367" i="30"/>
  <c r="X367" i="30"/>
  <c r="AD367" i="30" s="1"/>
  <c r="W367" i="30"/>
  <c r="AC367" i="30" s="1"/>
  <c r="V367" i="30"/>
  <c r="AB367" i="30" s="1"/>
  <c r="AE366" i="30"/>
  <c r="X366" i="30"/>
  <c r="AD366" i="30" s="1"/>
  <c r="W366" i="30"/>
  <c r="AC366" i="30" s="1"/>
  <c r="V366" i="30"/>
  <c r="AB366" i="30" s="1"/>
  <c r="AE365" i="30"/>
  <c r="X365" i="30"/>
  <c r="AD365" i="30" s="1"/>
  <c r="W365" i="30"/>
  <c r="AC365" i="30" s="1"/>
  <c r="V365" i="30"/>
  <c r="AB365" i="30" s="1"/>
  <c r="AG364" i="30"/>
  <c r="AE364" i="30"/>
  <c r="X364" i="30"/>
  <c r="AD364" i="30" s="1"/>
  <c r="W364" i="30"/>
  <c r="AC364" i="30" s="1"/>
  <c r="V364" i="30"/>
  <c r="AB364" i="30" s="1"/>
  <c r="AE363" i="30"/>
  <c r="X363" i="30"/>
  <c r="AD363" i="30" s="1"/>
  <c r="W363" i="30"/>
  <c r="AC363" i="30" s="1"/>
  <c r="V363" i="30"/>
  <c r="AB363" i="30" s="1"/>
  <c r="AE362" i="30"/>
  <c r="X362" i="30"/>
  <c r="AD362" i="30" s="1"/>
  <c r="W362" i="30"/>
  <c r="AC362" i="30" s="1"/>
  <c r="V362" i="30"/>
  <c r="AB362" i="30" s="1"/>
  <c r="AG361" i="30"/>
  <c r="AE361" i="30"/>
  <c r="X361" i="30"/>
  <c r="AD361" i="30" s="1"/>
  <c r="W361" i="30"/>
  <c r="AC361" i="30" s="1"/>
  <c r="V361" i="30"/>
  <c r="AB361" i="30" s="1"/>
  <c r="AE360" i="30"/>
  <c r="X360" i="30"/>
  <c r="AD360" i="30" s="1"/>
  <c r="W360" i="30"/>
  <c r="AC360" i="30" s="1"/>
  <c r="V360" i="30"/>
  <c r="AB360" i="30" s="1"/>
  <c r="AG359" i="30"/>
  <c r="AE359" i="30"/>
  <c r="X359" i="30"/>
  <c r="AD359" i="30" s="1"/>
  <c r="W359" i="30"/>
  <c r="AC359" i="30" s="1"/>
  <c r="V359" i="30"/>
  <c r="AB359" i="30" s="1"/>
  <c r="AE358" i="30"/>
  <c r="X358" i="30"/>
  <c r="AD358" i="30" s="1"/>
  <c r="W358" i="30"/>
  <c r="AC358" i="30" s="1"/>
  <c r="V358" i="30"/>
  <c r="AB358" i="30" s="1"/>
  <c r="AG357" i="30"/>
  <c r="AE357" i="30"/>
  <c r="X357" i="30"/>
  <c r="AD357" i="30" s="1"/>
  <c r="W357" i="30"/>
  <c r="AC357" i="30" s="1"/>
  <c r="V357" i="30"/>
  <c r="AB357" i="30" s="1"/>
  <c r="AE356" i="30"/>
  <c r="X356" i="30"/>
  <c r="AD356" i="30" s="1"/>
  <c r="W356" i="30"/>
  <c r="AC356" i="30" s="1"/>
  <c r="V356" i="30"/>
  <c r="AB356" i="30" s="1"/>
  <c r="AG355" i="30"/>
  <c r="AE355" i="30"/>
  <c r="X355" i="30"/>
  <c r="AD355" i="30" s="1"/>
  <c r="W355" i="30"/>
  <c r="AC355" i="30" s="1"/>
  <c r="V355" i="30"/>
  <c r="AB355" i="30" s="1"/>
  <c r="AE354" i="30"/>
  <c r="X354" i="30"/>
  <c r="AD354" i="30" s="1"/>
  <c r="W354" i="30"/>
  <c r="AC354" i="30" s="1"/>
  <c r="V354" i="30"/>
  <c r="AB354" i="30" s="1"/>
  <c r="AG353" i="30"/>
  <c r="AE353" i="30"/>
  <c r="X353" i="30"/>
  <c r="AD353" i="30" s="1"/>
  <c r="W353" i="30"/>
  <c r="AC353" i="30" s="1"/>
  <c r="V353" i="30"/>
  <c r="AB353" i="30" s="1"/>
  <c r="AE352" i="30"/>
  <c r="X352" i="30"/>
  <c r="AD352" i="30" s="1"/>
  <c r="W352" i="30"/>
  <c r="AC352" i="30" s="1"/>
  <c r="V352" i="30"/>
  <c r="AB352" i="30" s="1"/>
  <c r="AG351" i="30"/>
  <c r="AE351" i="30"/>
  <c r="X351" i="30"/>
  <c r="AD351" i="30" s="1"/>
  <c r="W351" i="30"/>
  <c r="AC351" i="30" s="1"/>
  <c r="V351" i="30"/>
  <c r="AB351" i="30" s="1"/>
  <c r="AE350" i="30"/>
  <c r="X350" i="30"/>
  <c r="AD350" i="30" s="1"/>
  <c r="W350" i="30"/>
  <c r="AC350" i="30" s="1"/>
  <c r="V350" i="30"/>
  <c r="AB350" i="30" s="1"/>
  <c r="AG349" i="30"/>
  <c r="AE349" i="30"/>
  <c r="X349" i="30"/>
  <c r="AD349" i="30" s="1"/>
  <c r="W349" i="30"/>
  <c r="AC349" i="30" s="1"/>
  <c r="V349" i="30"/>
  <c r="AB349" i="30" s="1"/>
  <c r="AE348" i="30"/>
  <c r="X348" i="30"/>
  <c r="AD348" i="30" s="1"/>
  <c r="W348" i="30"/>
  <c r="AC348" i="30" s="1"/>
  <c r="V348" i="30"/>
  <c r="AB348" i="30" s="1"/>
  <c r="AG347" i="30"/>
  <c r="AE347" i="30"/>
  <c r="X347" i="30"/>
  <c r="AD347" i="30" s="1"/>
  <c r="W347" i="30"/>
  <c r="AC347" i="30" s="1"/>
  <c r="V347" i="30"/>
  <c r="AB347" i="30" s="1"/>
  <c r="AG346" i="30"/>
  <c r="AE346" i="30"/>
  <c r="X346" i="30"/>
  <c r="AD346" i="30" s="1"/>
  <c r="W346" i="30"/>
  <c r="AC346" i="30" s="1"/>
  <c r="V346" i="30"/>
  <c r="AB346" i="30" s="1"/>
  <c r="AG345" i="30"/>
  <c r="AE345" i="30"/>
  <c r="X345" i="30"/>
  <c r="AD345" i="30" s="1"/>
  <c r="W345" i="30"/>
  <c r="AC345" i="30" s="1"/>
  <c r="V345" i="30"/>
  <c r="AB345" i="30" s="1"/>
  <c r="AG344" i="30"/>
  <c r="AE344" i="30"/>
  <c r="X344" i="30"/>
  <c r="AD344" i="30" s="1"/>
  <c r="W344" i="30"/>
  <c r="AC344" i="30" s="1"/>
  <c r="V344" i="30"/>
  <c r="AB344" i="30" s="1"/>
  <c r="AG343" i="30"/>
  <c r="AE343" i="30"/>
  <c r="X343" i="30"/>
  <c r="AD343" i="30" s="1"/>
  <c r="W343" i="30"/>
  <c r="AC343" i="30" s="1"/>
  <c r="V343" i="30"/>
  <c r="AB343" i="30" s="1"/>
  <c r="AG342" i="30"/>
  <c r="AE342" i="30"/>
  <c r="X342" i="30"/>
  <c r="AD342" i="30" s="1"/>
  <c r="W342" i="30"/>
  <c r="AC342" i="30" s="1"/>
  <c r="V342" i="30"/>
  <c r="AB342" i="30" s="1"/>
  <c r="AG341" i="30"/>
  <c r="AE341" i="30"/>
  <c r="X341" i="30"/>
  <c r="AD341" i="30" s="1"/>
  <c r="W341" i="30"/>
  <c r="AC341" i="30" s="1"/>
  <c r="V341" i="30"/>
  <c r="AB341" i="30" s="1"/>
  <c r="AG340" i="30"/>
  <c r="AE340" i="30"/>
  <c r="X340" i="30"/>
  <c r="AD340" i="30" s="1"/>
  <c r="W340" i="30"/>
  <c r="AC340" i="30" s="1"/>
  <c r="V340" i="30"/>
  <c r="AB340" i="30" s="1"/>
  <c r="AG339" i="30"/>
  <c r="AE339" i="30"/>
  <c r="X339" i="30"/>
  <c r="AD339" i="30" s="1"/>
  <c r="W339" i="30"/>
  <c r="AC339" i="30" s="1"/>
  <c r="V339" i="30"/>
  <c r="AB339" i="30" s="1"/>
  <c r="AG338" i="30"/>
  <c r="AE338" i="30"/>
  <c r="X338" i="30"/>
  <c r="AD338" i="30" s="1"/>
  <c r="W338" i="30"/>
  <c r="AC338" i="30" s="1"/>
  <c r="V338" i="30"/>
  <c r="AB338" i="30" s="1"/>
  <c r="AG337" i="30"/>
  <c r="AE337" i="30"/>
  <c r="X337" i="30"/>
  <c r="AD337" i="30" s="1"/>
  <c r="W337" i="30"/>
  <c r="AC337" i="30" s="1"/>
  <c r="V337" i="30"/>
  <c r="AB337" i="30" s="1"/>
  <c r="AG336" i="30"/>
  <c r="AE336" i="30"/>
  <c r="X336" i="30"/>
  <c r="AD336" i="30" s="1"/>
  <c r="W336" i="30"/>
  <c r="AC336" i="30" s="1"/>
  <c r="V336" i="30"/>
  <c r="AB336" i="30" s="1"/>
  <c r="AG335" i="30"/>
  <c r="AF335" i="30"/>
  <c r="X335" i="30"/>
  <c r="AD335" i="30" s="1"/>
  <c r="W335" i="30"/>
  <c r="AC335" i="30" s="1"/>
  <c r="V335" i="30"/>
  <c r="AB335" i="30" s="1"/>
  <c r="AG334" i="30"/>
  <c r="AF334" i="30"/>
  <c r="X334" i="30"/>
  <c r="AD334" i="30" s="1"/>
  <c r="W334" i="30"/>
  <c r="AC334" i="30" s="1"/>
  <c r="V334" i="30"/>
  <c r="AB334" i="30" s="1"/>
  <c r="AG333" i="30"/>
  <c r="AF333" i="30"/>
  <c r="X333" i="30"/>
  <c r="AD333" i="30" s="1"/>
  <c r="W333" i="30"/>
  <c r="AC333" i="30" s="1"/>
  <c r="V333" i="30"/>
  <c r="AB333" i="30" s="1"/>
  <c r="AG332" i="30"/>
  <c r="AF332" i="30"/>
  <c r="X332" i="30"/>
  <c r="AD332" i="30" s="1"/>
  <c r="W332" i="30"/>
  <c r="AC332" i="30" s="1"/>
  <c r="V332" i="30"/>
  <c r="AB332" i="30" s="1"/>
  <c r="AG331" i="30"/>
  <c r="AF331" i="30"/>
  <c r="X331" i="30"/>
  <c r="AD331" i="30" s="1"/>
  <c r="W331" i="30"/>
  <c r="AC331" i="30" s="1"/>
  <c r="V331" i="30"/>
  <c r="AB331" i="30" s="1"/>
  <c r="AG330" i="30"/>
  <c r="AF330" i="30"/>
  <c r="X330" i="30"/>
  <c r="AD330" i="30" s="1"/>
  <c r="W330" i="30"/>
  <c r="AC330" i="30" s="1"/>
  <c r="V330" i="30"/>
  <c r="AB330" i="30" s="1"/>
  <c r="AG329" i="30"/>
  <c r="AF329" i="30"/>
  <c r="X329" i="30"/>
  <c r="AD329" i="30" s="1"/>
  <c r="W329" i="30"/>
  <c r="AC329" i="30" s="1"/>
  <c r="V329" i="30"/>
  <c r="AB329" i="30" s="1"/>
  <c r="AG328" i="30"/>
  <c r="AF328" i="30"/>
  <c r="X328" i="30"/>
  <c r="AD328" i="30" s="1"/>
  <c r="W328" i="30"/>
  <c r="AC328" i="30" s="1"/>
  <c r="V328" i="30"/>
  <c r="AB328" i="30" s="1"/>
  <c r="AG327" i="30"/>
  <c r="AF327" i="30"/>
  <c r="X327" i="30"/>
  <c r="AD327" i="30" s="1"/>
  <c r="W327" i="30"/>
  <c r="AC327" i="30" s="1"/>
  <c r="V327" i="30"/>
  <c r="AB327" i="30" s="1"/>
  <c r="AG326" i="30"/>
  <c r="AF326" i="30"/>
  <c r="X326" i="30"/>
  <c r="AD326" i="30" s="1"/>
  <c r="W326" i="30"/>
  <c r="AC326" i="30" s="1"/>
  <c r="V326" i="30"/>
  <c r="AB326" i="30" s="1"/>
  <c r="AG325" i="30"/>
  <c r="AF325" i="30"/>
  <c r="X325" i="30"/>
  <c r="AD325" i="30" s="1"/>
  <c r="W325" i="30"/>
  <c r="AC325" i="30" s="1"/>
  <c r="V325" i="30"/>
  <c r="AB325" i="30" s="1"/>
  <c r="AG324" i="30"/>
  <c r="AF324" i="30"/>
  <c r="X324" i="30"/>
  <c r="AD324" i="30" s="1"/>
  <c r="W324" i="30"/>
  <c r="AC324" i="30" s="1"/>
  <c r="V324" i="30"/>
  <c r="AB324" i="30" s="1"/>
  <c r="AG323" i="30"/>
  <c r="AE323" i="30"/>
  <c r="X323" i="30"/>
  <c r="AD323" i="30" s="1"/>
  <c r="W323" i="30"/>
  <c r="AC323" i="30" s="1"/>
  <c r="V323" i="30"/>
  <c r="AB323" i="30" s="1"/>
  <c r="AG322" i="30"/>
  <c r="AE322" i="30"/>
  <c r="X322" i="30"/>
  <c r="AD322" i="30" s="1"/>
  <c r="W322" i="30"/>
  <c r="AC322" i="30" s="1"/>
  <c r="V322" i="30"/>
  <c r="AB322" i="30" s="1"/>
  <c r="AG321" i="30"/>
  <c r="AE321" i="30"/>
  <c r="X321" i="30"/>
  <c r="AD321" i="30" s="1"/>
  <c r="W321" i="30"/>
  <c r="AC321" i="30" s="1"/>
  <c r="V321" i="30"/>
  <c r="AB321" i="30" s="1"/>
  <c r="AG320" i="30"/>
  <c r="AE320" i="30"/>
  <c r="X320" i="30"/>
  <c r="AD320" i="30" s="1"/>
  <c r="W320" i="30"/>
  <c r="AC320" i="30" s="1"/>
  <c r="V320" i="30"/>
  <c r="AB320" i="30" s="1"/>
  <c r="AG319" i="30"/>
  <c r="AE319" i="30"/>
  <c r="X319" i="30"/>
  <c r="AD319" i="30" s="1"/>
  <c r="W319" i="30"/>
  <c r="AC319" i="30" s="1"/>
  <c r="V319" i="30"/>
  <c r="AB319" i="30" s="1"/>
  <c r="AG318" i="30"/>
  <c r="AE318" i="30"/>
  <c r="X318" i="30"/>
  <c r="AD318" i="30" s="1"/>
  <c r="W318" i="30"/>
  <c r="AC318" i="30" s="1"/>
  <c r="V318" i="30"/>
  <c r="AB318" i="30" s="1"/>
  <c r="AG317" i="30"/>
  <c r="AE317" i="30"/>
  <c r="X317" i="30"/>
  <c r="AD317" i="30" s="1"/>
  <c r="W317" i="30"/>
  <c r="AC317" i="30" s="1"/>
  <c r="V317" i="30"/>
  <c r="AB317" i="30" s="1"/>
  <c r="AG316" i="30"/>
  <c r="AE316" i="30"/>
  <c r="X316" i="30"/>
  <c r="AD316" i="30" s="1"/>
  <c r="W316" i="30"/>
  <c r="AC316" i="30" s="1"/>
  <c r="V316" i="30"/>
  <c r="AB316" i="30" s="1"/>
  <c r="AG315" i="30"/>
  <c r="AE315" i="30"/>
  <c r="X315" i="30"/>
  <c r="AD315" i="30" s="1"/>
  <c r="W315" i="30"/>
  <c r="AC315" i="30" s="1"/>
  <c r="V315" i="30"/>
  <c r="AB315" i="30" s="1"/>
  <c r="AG314" i="30"/>
  <c r="AE314" i="30"/>
  <c r="X314" i="30"/>
  <c r="AD314" i="30" s="1"/>
  <c r="W314" i="30"/>
  <c r="AC314" i="30" s="1"/>
  <c r="V314" i="30"/>
  <c r="AB314" i="30" s="1"/>
  <c r="AG313" i="30"/>
  <c r="AE313" i="30"/>
  <c r="X313" i="30"/>
  <c r="AD313" i="30" s="1"/>
  <c r="W313" i="30"/>
  <c r="AC313" i="30" s="1"/>
  <c r="V313" i="30"/>
  <c r="AB313" i="30" s="1"/>
  <c r="AG312" i="30"/>
  <c r="AE312" i="30"/>
  <c r="X312" i="30"/>
  <c r="AD312" i="30" s="1"/>
  <c r="W312" i="30"/>
  <c r="AC312" i="30" s="1"/>
  <c r="V312" i="30"/>
  <c r="AB312" i="30" s="1"/>
  <c r="AE311" i="30"/>
  <c r="X311" i="30"/>
  <c r="AD311" i="30" s="1"/>
  <c r="W311" i="30"/>
  <c r="AC311" i="30" s="1"/>
  <c r="V311" i="30"/>
  <c r="AB311" i="30" s="1"/>
  <c r="AE310" i="30"/>
  <c r="X310" i="30"/>
  <c r="AD310" i="30" s="1"/>
  <c r="W310" i="30"/>
  <c r="AC310" i="30" s="1"/>
  <c r="V310" i="30"/>
  <c r="AB310" i="30" s="1"/>
  <c r="AE309" i="30"/>
  <c r="X309" i="30"/>
  <c r="AD309" i="30" s="1"/>
  <c r="W309" i="30"/>
  <c r="AC309" i="30" s="1"/>
  <c r="V309" i="30"/>
  <c r="AB309" i="30" s="1"/>
  <c r="AE308" i="30"/>
  <c r="X308" i="30"/>
  <c r="AD308" i="30" s="1"/>
  <c r="W308" i="30"/>
  <c r="AC308" i="30" s="1"/>
  <c r="V308" i="30"/>
  <c r="AB308" i="30" s="1"/>
  <c r="AE307" i="30"/>
  <c r="X307" i="30"/>
  <c r="AD307" i="30" s="1"/>
  <c r="W307" i="30"/>
  <c r="AC307" i="30" s="1"/>
  <c r="V307" i="30"/>
  <c r="AB307" i="30" s="1"/>
  <c r="AE306" i="30"/>
  <c r="X306" i="30"/>
  <c r="AD306" i="30" s="1"/>
  <c r="W306" i="30"/>
  <c r="AC306" i="30" s="1"/>
  <c r="V306" i="30"/>
  <c r="AB306" i="30" s="1"/>
  <c r="AE305" i="30"/>
  <c r="X305" i="30"/>
  <c r="AD305" i="30" s="1"/>
  <c r="W305" i="30"/>
  <c r="AC305" i="30" s="1"/>
  <c r="V305" i="30"/>
  <c r="AB305" i="30" s="1"/>
  <c r="AE304" i="30"/>
  <c r="X304" i="30"/>
  <c r="AD304" i="30" s="1"/>
  <c r="W304" i="30"/>
  <c r="AC304" i="30" s="1"/>
  <c r="V304" i="30"/>
  <c r="AB304" i="30" s="1"/>
  <c r="AE303" i="30"/>
  <c r="X303" i="30"/>
  <c r="AD303" i="30" s="1"/>
  <c r="W303" i="30"/>
  <c r="AC303" i="30" s="1"/>
  <c r="V303" i="30"/>
  <c r="AB303" i="30" s="1"/>
  <c r="AE302" i="30"/>
  <c r="X302" i="30"/>
  <c r="AD302" i="30" s="1"/>
  <c r="W302" i="30"/>
  <c r="AC302" i="30" s="1"/>
  <c r="V302" i="30"/>
  <c r="AB302" i="30" s="1"/>
  <c r="AE301" i="30"/>
  <c r="X301" i="30"/>
  <c r="AD301" i="30" s="1"/>
  <c r="W301" i="30"/>
  <c r="AC301" i="30" s="1"/>
  <c r="V301" i="30"/>
  <c r="AB301" i="30" s="1"/>
  <c r="AE300" i="30"/>
  <c r="X300" i="30"/>
  <c r="AD300" i="30" s="1"/>
  <c r="W300" i="30"/>
  <c r="AC300" i="30" s="1"/>
  <c r="V300" i="30"/>
  <c r="AB300" i="30" s="1"/>
  <c r="AE299" i="30"/>
  <c r="X299" i="30"/>
  <c r="AD299" i="30" s="1"/>
  <c r="W299" i="30"/>
  <c r="AC299" i="30" s="1"/>
  <c r="V299" i="30"/>
  <c r="AB299" i="30" s="1"/>
  <c r="AE298" i="30"/>
  <c r="X298" i="30"/>
  <c r="AD298" i="30" s="1"/>
  <c r="W298" i="30"/>
  <c r="AC298" i="30" s="1"/>
  <c r="V298" i="30"/>
  <c r="AB298" i="30" s="1"/>
  <c r="AE297" i="30"/>
  <c r="X297" i="30"/>
  <c r="AD297" i="30" s="1"/>
  <c r="W297" i="30"/>
  <c r="AC297" i="30" s="1"/>
  <c r="V297" i="30"/>
  <c r="AB297" i="30" s="1"/>
  <c r="AE296" i="30"/>
  <c r="X296" i="30"/>
  <c r="AD296" i="30" s="1"/>
  <c r="W296" i="30"/>
  <c r="AC296" i="30" s="1"/>
  <c r="V296" i="30"/>
  <c r="AB296" i="30" s="1"/>
  <c r="AE295" i="30"/>
  <c r="X295" i="30"/>
  <c r="AD295" i="30" s="1"/>
  <c r="W295" i="30"/>
  <c r="AC295" i="30" s="1"/>
  <c r="V295" i="30"/>
  <c r="AB295" i="30" s="1"/>
  <c r="AE294" i="30"/>
  <c r="X294" i="30"/>
  <c r="AD294" i="30" s="1"/>
  <c r="W294" i="30"/>
  <c r="AC294" i="30" s="1"/>
  <c r="V294" i="30"/>
  <c r="AB294" i="30" s="1"/>
  <c r="AE293" i="30"/>
  <c r="X293" i="30"/>
  <c r="AD293" i="30" s="1"/>
  <c r="W293" i="30"/>
  <c r="AC293" i="30" s="1"/>
  <c r="V293" i="30"/>
  <c r="AB293" i="30" s="1"/>
  <c r="AG292" i="30"/>
  <c r="AF292" i="30"/>
  <c r="X292" i="30"/>
  <c r="AD292" i="30" s="1"/>
  <c r="W292" i="30"/>
  <c r="AC292" i="30" s="1"/>
  <c r="V292" i="30"/>
  <c r="AB292" i="30" s="1"/>
  <c r="AG291" i="30"/>
  <c r="AF291" i="30"/>
  <c r="X291" i="30"/>
  <c r="AD291" i="30" s="1"/>
  <c r="W291" i="30"/>
  <c r="AC291" i="30" s="1"/>
  <c r="V291" i="30"/>
  <c r="AB291" i="30" s="1"/>
  <c r="AG290" i="30"/>
  <c r="AF290" i="30"/>
  <c r="X290" i="30"/>
  <c r="AD290" i="30" s="1"/>
  <c r="W290" i="30"/>
  <c r="AC290" i="30" s="1"/>
  <c r="V290" i="30"/>
  <c r="AB290" i="30" s="1"/>
  <c r="AG289" i="30"/>
  <c r="AF289" i="30"/>
  <c r="X289" i="30"/>
  <c r="AD289" i="30" s="1"/>
  <c r="W289" i="30"/>
  <c r="AC289" i="30" s="1"/>
  <c r="V289" i="30"/>
  <c r="AB289" i="30" s="1"/>
  <c r="AG288" i="30"/>
  <c r="AF288" i="30"/>
  <c r="X288" i="30"/>
  <c r="AD288" i="30" s="1"/>
  <c r="W288" i="30"/>
  <c r="AC288" i="30" s="1"/>
  <c r="V288" i="30"/>
  <c r="AB288" i="30" s="1"/>
  <c r="AG287" i="30"/>
  <c r="AF287" i="30"/>
  <c r="X287" i="30"/>
  <c r="AD287" i="30" s="1"/>
  <c r="W287" i="30"/>
  <c r="AC287" i="30" s="1"/>
  <c r="V287" i="30"/>
  <c r="AB287" i="30" s="1"/>
  <c r="AG286" i="30"/>
  <c r="AF286" i="30"/>
  <c r="X286" i="30"/>
  <c r="AD286" i="30" s="1"/>
  <c r="W286" i="30"/>
  <c r="AC286" i="30" s="1"/>
  <c r="V286" i="30"/>
  <c r="AB286" i="30" s="1"/>
  <c r="AG285" i="30"/>
  <c r="AF285" i="30"/>
  <c r="X285" i="30"/>
  <c r="AD285" i="30" s="1"/>
  <c r="W285" i="30"/>
  <c r="AC285" i="30" s="1"/>
  <c r="V285" i="30"/>
  <c r="AB285" i="30" s="1"/>
  <c r="AG284" i="30"/>
  <c r="AF284" i="30"/>
  <c r="X284" i="30"/>
  <c r="AD284" i="30" s="1"/>
  <c r="W284" i="30"/>
  <c r="AC284" i="30" s="1"/>
  <c r="V284" i="30"/>
  <c r="AB284" i="30" s="1"/>
  <c r="AG283" i="30"/>
  <c r="AF283" i="30"/>
  <c r="X283" i="30"/>
  <c r="AD283" i="30" s="1"/>
  <c r="W283" i="30"/>
  <c r="AC283" i="30" s="1"/>
  <c r="V283" i="30"/>
  <c r="AB283" i="30" s="1"/>
  <c r="AG282" i="30"/>
  <c r="AF282" i="30"/>
  <c r="X282" i="30"/>
  <c r="AD282" i="30" s="1"/>
  <c r="W282" i="30"/>
  <c r="AC282" i="30" s="1"/>
  <c r="V282" i="30"/>
  <c r="AB282" i="30" s="1"/>
  <c r="AG281" i="30"/>
  <c r="AF281" i="30"/>
  <c r="X281" i="30"/>
  <c r="AD281" i="30" s="1"/>
  <c r="W281" i="30"/>
  <c r="AC281" i="30" s="1"/>
  <c r="V281" i="30"/>
  <c r="AB281" i="30" s="1"/>
  <c r="AG280" i="30"/>
  <c r="AF280" i="30"/>
  <c r="X280" i="30"/>
  <c r="AD280" i="30" s="1"/>
  <c r="W280" i="30"/>
  <c r="AC280" i="30" s="1"/>
  <c r="V280" i="30"/>
  <c r="AB280" i="30" s="1"/>
  <c r="AG279" i="30"/>
  <c r="AF279" i="30"/>
  <c r="X279" i="30"/>
  <c r="AD279" i="30" s="1"/>
  <c r="W279" i="30"/>
  <c r="AC279" i="30" s="1"/>
  <c r="V279" i="30"/>
  <c r="AB279" i="30" s="1"/>
  <c r="AG278" i="30"/>
  <c r="AF278" i="30"/>
  <c r="X278" i="30"/>
  <c r="AD278" i="30" s="1"/>
  <c r="W278" i="30"/>
  <c r="AC278" i="30" s="1"/>
  <c r="V278" i="30"/>
  <c r="AB278" i="30" s="1"/>
  <c r="AG277" i="30"/>
  <c r="AF277" i="30"/>
  <c r="X277" i="30"/>
  <c r="AD277" i="30" s="1"/>
  <c r="W277" i="30"/>
  <c r="AC277" i="30" s="1"/>
  <c r="V277" i="30"/>
  <c r="AB277" i="30" s="1"/>
  <c r="AG276" i="30"/>
  <c r="AF276" i="30"/>
  <c r="X276" i="30"/>
  <c r="AD276" i="30" s="1"/>
  <c r="W276" i="30"/>
  <c r="AC276" i="30" s="1"/>
  <c r="V276" i="30"/>
  <c r="AB276" i="30" s="1"/>
  <c r="AG275" i="30"/>
  <c r="AF275" i="30"/>
  <c r="X275" i="30"/>
  <c r="AD275" i="30" s="1"/>
  <c r="W275" i="30"/>
  <c r="AC275" i="30" s="1"/>
  <c r="V275" i="30"/>
  <c r="AB275" i="30" s="1"/>
  <c r="AG274" i="30"/>
  <c r="AF274" i="30"/>
  <c r="X274" i="30"/>
  <c r="AD274" i="30" s="1"/>
  <c r="W274" i="30"/>
  <c r="AC274" i="30" s="1"/>
  <c r="V274" i="30"/>
  <c r="AB274" i="30" s="1"/>
  <c r="AG273" i="30"/>
  <c r="AF273" i="30"/>
  <c r="X273" i="30"/>
  <c r="AD273" i="30" s="1"/>
  <c r="W273" i="30"/>
  <c r="AC273" i="30" s="1"/>
  <c r="V273" i="30"/>
  <c r="AB273" i="30" s="1"/>
  <c r="AG272" i="30"/>
  <c r="AF272" i="30"/>
  <c r="X272" i="30"/>
  <c r="AD272" i="30" s="1"/>
  <c r="W272" i="30"/>
  <c r="AC272" i="30" s="1"/>
  <c r="V272" i="30"/>
  <c r="AB272" i="30" s="1"/>
  <c r="AG271" i="30"/>
  <c r="AF271" i="30"/>
  <c r="X271" i="30"/>
  <c r="AD271" i="30" s="1"/>
  <c r="W271" i="30"/>
  <c r="AC271" i="30" s="1"/>
  <c r="V271" i="30"/>
  <c r="AB271" i="30" s="1"/>
  <c r="AG270" i="30"/>
  <c r="AF270" i="30"/>
  <c r="X270" i="30"/>
  <c r="AD270" i="30" s="1"/>
  <c r="W270" i="30"/>
  <c r="AC270" i="30" s="1"/>
  <c r="V270" i="30"/>
  <c r="AB270" i="30" s="1"/>
  <c r="AG269" i="30"/>
  <c r="AF269" i="30"/>
  <c r="X269" i="30"/>
  <c r="AD269" i="30" s="1"/>
  <c r="W269" i="30"/>
  <c r="AC269" i="30" s="1"/>
  <c r="V269" i="30"/>
  <c r="AB269" i="30" s="1"/>
  <c r="AG268" i="30"/>
  <c r="AF268" i="30"/>
  <c r="X268" i="30"/>
  <c r="AD268" i="30" s="1"/>
  <c r="W268" i="30"/>
  <c r="AC268" i="30" s="1"/>
  <c r="V268" i="30"/>
  <c r="AB268" i="30" s="1"/>
  <c r="AG267" i="30"/>
  <c r="AF267" i="30"/>
  <c r="X267" i="30"/>
  <c r="AD267" i="30" s="1"/>
  <c r="W267" i="30"/>
  <c r="AC267" i="30" s="1"/>
  <c r="V267" i="30"/>
  <c r="AB267" i="30" s="1"/>
  <c r="AE266" i="30"/>
  <c r="X266" i="30"/>
  <c r="AD266" i="30" s="1"/>
  <c r="W266" i="30"/>
  <c r="AC266" i="30" s="1"/>
  <c r="V266" i="30"/>
  <c r="AB266" i="30" s="1"/>
  <c r="AE265" i="30"/>
  <c r="X265" i="30"/>
  <c r="AD265" i="30" s="1"/>
  <c r="W265" i="30"/>
  <c r="AC265" i="30" s="1"/>
  <c r="V265" i="30"/>
  <c r="AB265" i="30" s="1"/>
  <c r="AE264" i="30"/>
  <c r="X264" i="30"/>
  <c r="AD264" i="30" s="1"/>
  <c r="W264" i="30"/>
  <c r="AC264" i="30" s="1"/>
  <c r="V264" i="30"/>
  <c r="AB264" i="30" s="1"/>
  <c r="AE263" i="30"/>
  <c r="X263" i="30"/>
  <c r="AD263" i="30" s="1"/>
  <c r="W263" i="30"/>
  <c r="AC263" i="30" s="1"/>
  <c r="V263" i="30"/>
  <c r="AB263" i="30" s="1"/>
  <c r="AE262" i="30"/>
  <c r="X262" i="30"/>
  <c r="AD262" i="30" s="1"/>
  <c r="W262" i="30"/>
  <c r="AC262" i="30" s="1"/>
  <c r="V262" i="30"/>
  <c r="AB262" i="30" s="1"/>
  <c r="AE261" i="30"/>
  <c r="X261" i="30"/>
  <c r="AD261" i="30" s="1"/>
  <c r="W261" i="30"/>
  <c r="AC261" i="30" s="1"/>
  <c r="V261" i="30"/>
  <c r="AB261" i="30" s="1"/>
  <c r="AE260" i="30"/>
  <c r="X260" i="30"/>
  <c r="AD260" i="30" s="1"/>
  <c r="W260" i="30"/>
  <c r="AC260" i="30" s="1"/>
  <c r="V260" i="30"/>
  <c r="AB260" i="30" s="1"/>
  <c r="AE259" i="30"/>
  <c r="X259" i="30"/>
  <c r="AD259" i="30" s="1"/>
  <c r="W259" i="30"/>
  <c r="AC259" i="30" s="1"/>
  <c r="V259" i="30"/>
  <c r="AB259" i="30" s="1"/>
  <c r="AE258" i="30"/>
  <c r="X258" i="30"/>
  <c r="AD258" i="30" s="1"/>
  <c r="W258" i="30"/>
  <c r="AC258" i="30" s="1"/>
  <c r="V258" i="30"/>
  <c r="AB258" i="30" s="1"/>
  <c r="AE257" i="30"/>
  <c r="X257" i="30"/>
  <c r="AD257" i="30" s="1"/>
  <c r="W257" i="30"/>
  <c r="AC257" i="30" s="1"/>
  <c r="V257" i="30"/>
  <c r="AB257" i="30" s="1"/>
  <c r="AE256" i="30"/>
  <c r="X256" i="30"/>
  <c r="AD256" i="30" s="1"/>
  <c r="W256" i="30"/>
  <c r="AC256" i="30" s="1"/>
  <c r="V256" i="30"/>
  <c r="AB256" i="30" s="1"/>
  <c r="AE255" i="30"/>
  <c r="X255" i="30"/>
  <c r="AD255" i="30" s="1"/>
  <c r="W255" i="30"/>
  <c r="AC255" i="30" s="1"/>
  <c r="V255" i="30"/>
  <c r="AB255" i="30" s="1"/>
  <c r="AE254" i="30"/>
  <c r="X254" i="30"/>
  <c r="AD254" i="30" s="1"/>
  <c r="W254" i="30"/>
  <c r="AC254" i="30" s="1"/>
  <c r="V254" i="30"/>
  <c r="AB254" i="30" s="1"/>
  <c r="AE253" i="30"/>
  <c r="X253" i="30"/>
  <c r="AD253" i="30" s="1"/>
  <c r="W253" i="30"/>
  <c r="AC253" i="30" s="1"/>
  <c r="V253" i="30"/>
  <c r="AB253" i="30" s="1"/>
  <c r="AE252" i="30"/>
  <c r="X252" i="30"/>
  <c r="AD252" i="30" s="1"/>
  <c r="W252" i="30"/>
  <c r="AC252" i="30" s="1"/>
  <c r="V252" i="30"/>
  <c r="AB252" i="30" s="1"/>
  <c r="AE251" i="30"/>
  <c r="X251" i="30"/>
  <c r="AD251" i="30" s="1"/>
  <c r="W251" i="30"/>
  <c r="AC251" i="30" s="1"/>
  <c r="V251" i="30"/>
  <c r="AB251" i="30" s="1"/>
  <c r="AE250" i="30"/>
  <c r="X250" i="30"/>
  <c r="AD250" i="30" s="1"/>
  <c r="W250" i="30"/>
  <c r="AC250" i="30" s="1"/>
  <c r="V250" i="30"/>
  <c r="AB250" i="30" s="1"/>
  <c r="AE249" i="30"/>
  <c r="X249" i="30"/>
  <c r="AD249" i="30" s="1"/>
  <c r="W249" i="30"/>
  <c r="AC249" i="30" s="1"/>
  <c r="V249" i="30"/>
  <c r="AB249" i="30" s="1"/>
  <c r="AE248" i="30"/>
  <c r="X248" i="30"/>
  <c r="AD248" i="30" s="1"/>
  <c r="W248" i="30"/>
  <c r="AC248" i="30" s="1"/>
  <c r="V248" i="30"/>
  <c r="AB248" i="30" s="1"/>
  <c r="AE247" i="30"/>
  <c r="X247" i="30"/>
  <c r="AD247" i="30" s="1"/>
  <c r="W247" i="30"/>
  <c r="AC247" i="30" s="1"/>
  <c r="V247" i="30"/>
  <c r="AB247" i="30" s="1"/>
  <c r="AE246" i="30"/>
  <c r="X246" i="30"/>
  <c r="AD246" i="30" s="1"/>
  <c r="W246" i="30"/>
  <c r="AC246" i="30" s="1"/>
  <c r="V246" i="30"/>
  <c r="AB246" i="30" s="1"/>
  <c r="X245" i="30"/>
  <c r="AD245" i="30" s="1"/>
  <c r="W245" i="30"/>
  <c r="AC245" i="30" s="1"/>
  <c r="V245" i="30"/>
  <c r="AB245" i="30" s="1"/>
  <c r="X244" i="30"/>
  <c r="AD244" i="30" s="1"/>
  <c r="W244" i="30"/>
  <c r="AC244" i="30" s="1"/>
  <c r="V244" i="30"/>
  <c r="AB244" i="30" s="1"/>
  <c r="X243" i="30"/>
  <c r="AD243" i="30" s="1"/>
  <c r="W243" i="30"/>
  <c r="AC243" i="30" s="1"/>
  <c r="V243" i="30"/>
  <c r="AB243" i="30" s="1"/>
  <c r="X242" i="30"/>
  <c r="AD242" i="30" s="1"/>
  <c r="W242" i="30"/>
  <c r="AC242" i="30" s="1"/>
  <c r="V242" i="30"/>
  <c r="AB242" i="30" s="1"/>
  <c r="X241" i="30"/>
  <c r="AD241" i="30" s="1"/>
  <c r="W241" i="30"/>
  <c r="AC241" i="30" s="1"/>
  <c r="V241" i="30"/>
  <c r="AB241" i="30" s="1"/>
  <c r="X240" i="30"/>
  <c r="AD240" i="30" s="1"/>
  <c r="W240" i="30"/>
  <c r="AC240" i="30" s="1"/>
  <c r="V240" i="30"/>
  <c r="AB240" i="30" s="1"/>
  <c r="X239" i="30"/>
  <c r="AD239" i="30" s="1"/>
  <c r="W239" i="30"/>
  <c r="AC239" i="30" s="1"/>
  <c r="V239" i="30"/>
  <c r="AB239" i="30" s="1"/>
  <c r="X238" i="30"/>
  <c r="AD238" i="30" s="1"/>
  <c r="W238" i="30"/>
  <c r="AC238" i="30" s="1"/>
  <c r="V238" i="30"/>
  <c r="AB238" i="30" s="1"/>
  <c r="X237" i="30"/>
  <c r="AD237" i="30" s="1"/>
  <c r="W237" i="30"/>
  <c r="AC237" i="30" s="1"/>
  <c r="V237" i="30"/>
  <c r="AB237" i="30" s="1"/>
  <c r="X236" i="30"/>
  <c r="AD236" i="30" s="1"/>
  <c r="W236" i="30"/>
  <c r="AC236" i="30" s="1"/>
  <c r="V236" i="30"/>
  <c r="AB236" i="30" s="1"/>
  <c r="X235" i="30"/>
  <c r="AD235" i="30" s="1"/>
  <c r="W235" i="30"/>
  <c r="AC235" i="30" s="1"/>
  <c r="V235" i="30"/>
  <c r="AB235" i="30" s="1"/>
  <c r="X234" i="30"/>
  <c r="AD234" i="30" s="1"/>
  <c r="W234" i="30"/>
  <c r="AC234" i="30" s="1"/>
  <c r="V234" i="30"/>
  <c r="AB234" i="30" s="1"/>
  <c r="X233" i="30"/>
  <c r="AD233" i="30" s="1"/>
  <c r="W233" i="30"/>
  <c r="AC233" i="30" s="1"/>
  <c r="V233" i="30"/>
  <c r="AB233" i="30" s="1"/>
  <c r="X232" i="30"/>
  <c r="AD232" i="30" s="1"/>
  <c r="W232" i="30"/>
  <c r="AC232" i="30" s="1"/>
  <c r="V232" i="30"/>
  <c r="AB232" i="30" s="1"/>
  <c r="X231" i="30"/>
  <c r="AD231" i="30" s="1"/>
  <c r="W231" i="30"/>
  <c r="AC231" i="30" s="1"/>
  <c r="V231" i="30"/>
  <c r="AB231" i="30" s="1"/>
  <c r="X230" i="30"/>
  <c r="AD230" i="30" s="1"/>
  <c r="W230" i="30"/>
  <c r="AC230" i="30" s="1"/>
  <c r="V230" i="30"/>
  <c r="AB230" i="30" s="1"/>
  <c r="X229" i="30"/>
  <c r="AD229" i="30" s="1"/>
  <c r="W229" i="30"/>
  <c r="AC229" i="30" s="1"/>
  <c r="V229" i="30"/>
  <c r="AB229" i="30" s="1"/>
  <c r="X228" i="30"/>
  <c r="AD228" i="30" s="1"/>
  <c r="W228" i="30"/>
  <c r="AC228" i="30" s="1"/>
  <c r="V228" i="30"/>
  <c r="AB228" i="30" s="1"/>
  <c r="X227" i="30"/>
  <c r="AD227" i="30" s="1"/>
  <c r="W227" i="30"/>
  <c r="AC227" i="30" s="1"/>
  <c r="V227" i="30"/>
  <c r="AB227" i="30" s="1"/>
  <c r="X226" i="30"/>
  <c r="AD226" i="30" s="1"/>
  <c r="W226" i="30"/>
  <c r="AC226" i="30" s="1"/>
  <c r="V226" i="30"/>
  <c r="AB226" i="30" s="1"/>
  <c r="X225" i="30"/>
  <c r="AD225" i="30" s="1"/>
  <c r="W225" i="30"/>
  <c r="AC225" i="30" s="1"/>
  <c r="V225" i="30"/>
  <c r="AB225" i="30" s="1"/>
  <c r="X224" i="30"/>
  <c r="AD224" i="30" s="1"/>
  <c r="W224" i="30"/>
  <c r="AC224" i="30" s="1"/>
  <c r="V224" i="30"/>
  <c r="AB224" i="30" s="1"/>
  <c r="X223" i="30"/>
  <c r="AD223" i="30" s="1"/>
  <c r="W223" i="30"/>
  <c r="AC223" i="30" s="1"/>
  <c r="V223" i="30"/>
  <c r="AB223" i="30" s="1"/>
  <c r="X222" i="30"/>
  <c r="AD222" i="30" s="1"/>
  <c r="W222" i="30"/>
  <c r="AC222" i="30" s="1"/>
  <c r="V222" i="30"/>
  <c r="AB222" i="30" s="1"/>
  <c r="X221" i="30"/>
  <c r="AD221" i="30" s="1"/>
  <c r="W221" i="30"/>
  <c r="AC221" i="30" s="1"/>
  <c r="V221" i="30"/>
  <c r="AB221" i="30" s="1"/>
  <c r="X220" i="30"/>
  <c r="AD220" i="30" s="1"/>
  <c r="W220" i="30"/>
  <c r="AC220" i="30" s="1"/>
  <c r="V220" i="30"/>
  <c r="AB220" i="30" s="1"/>
  <c r="X219" i="30"/>
  <c r="AD219" i="30" s="1"/>
  <c r="W219" i="30"/>
  <c r="AC219" i="30" s="1"/>
  <c r="V219" i="30"/>
  <c r="AB219" i="30" s="1"/>
  <c r="X218" i="30"/>
  <c r="AD218" i="30" s="1"/>
  <c r="W218" i="30"/>
  <c r="AC218" i="30" s="1"/>
  <c r="V218" i="30"/>
  <c r="AB218" i="30" s="1"/>
  <c r="X217" i="30"/>
  <c r="AD217" i="30" s="1"/>
  <c r="W217" i="30"/>
  <c r="AC217" i="30" s="1"/>
  <c r="V217" i="30"/>
  <c r="AB217" i="30" s="1"/>
  <c r="X216" i="30"/>
  <c r="AD216" i="30" s="1"/>
  <c r="W216" i="30"/>
  <c r="AC216" i="30" s="1"/>
  <c r="V216" i="30"/>
  <c r="AB216" i="30" s="1"/>
  <c r="X215" i="30"/>
  <c r="AD215" i="30" s="1"/>
  <c r="W215" i="30"/>
  <c r="AC215" i="30" s="1"/>
  <c r="V215" i="30"/>
  <c r="AB215" i="30" s="1"/>
  <c r="X214" i="30"/>
  <c r="AD214" i="30" s="1"/>
  <c r="W214" i="30"/>
  <c r="AC214" i="30" s="1"/>
  <c r="V214" i="30"/>
  <c r="AB214" i="30" s="1"/>
  <c r="X213" i="30"/>
  <c r="AD213" i="30" s="1"/>
  <c r="W213" i="30"/>
  <c r="AC213" i="30" s="1"/>
  <c r="V213" i="30"/>
  <c r="AB213" i="30" s="1"/>
  <c r="X212" i="30"/>
  <c r="AD212" i="30" s="1"/>
  <c r="W212" i="30"/>
  <c r="AC212" i="30" s="1"/>
  <c r="V212" i="30"/>
  <c r="AB212" i="30" s="1"/>
  <c r="X211" i="30"/>
  <c r="AD211" i="30" s="1"/>
  <c r="W211" i="30"/>
  <c r="AC211" i="30" s="1"/>
  <c r="V211" i="30"/>
  <c r="AB211" i="30" s="1"/>
  <c r="X210" i="30"/>
  <c r="AD210" i="30" s="1"/>
  <c r="W210" i="30"/>
  <c r="AC210" i="30" s="1"/>
  <c r="V210" i="30"/>
  <c r="AB210" i="30" s="1"/>
  <c r="X209" i="30"/>
  <c r="AD209" i="30" s="1"/>
  <c r="W209" i="30"/>
  <c r="AC209" i="30" s="1"/>
  <c r="V209" i="30"/>
  <c r="AB209" i="30" s="1"/>
  <c r="X208" i="30"/>
  <c r="AD208" i="30" s="1"/>
  <c r="W208" i="30"/>
  <c r="AC208" i="30" s="1"/>
  <c r="V208" i="30"/>
  <c r="AB208" i="30" s="1"/>
  <c r="X207" i="30"/>
  <c r="AD207" i="30" s="1"/>
  <c r="W207" i="30"/>
  <c r="AC207" i="30" s="1"/>
  <c r="V207" i="30"/>
  <c r="AB207" i="30" s="1"/>
  <c r="X206" i="30"/>
  <c r="AD206" i="30" s="1"/>
  <c r="W206" i="30"/>
  <c r="AC206" i="30" s="1"/>
  <c r="V206" i="30"/>
  <c r="AB206" i="30" s="1"/>
  <c r="X205" i="30"/>
  <c r="AD205" i="30" s="1"/>
  <c r="W205" i="30"/>
  <c r="AC205" i="30" s="1"/>
  <c r="V205" i="30"/>
  <c r="AB205" i="30" s="1"/>
  <c r="X204" i="30"/>
  <c r="AD204" i="30" s="1"/>
  <c r="W204" i="30"/>
  <c r="AC204" i="30" s="1"/>
  <c r="V204" i="30"/>
  <c r="AB204" i="30" s="1"/>
  <c r="X203" i="30"/>
  <c r="AD203" i="30" s="1"/>
  <c r="W203" i="30"/>
  <c r="AC203" i="30" s="1"/>
  <c r="V203" i="30"/>
  <c r="AB203" i="30" s="1"/>
  <c r="X202" i="30"/>
  <c r="AD202" i="30" s="1"/>
  <c r="W202" i="30"/>
  <c r="AC202" i="30" s="1"/>
  <c r="V202" i="30"/>
  <c r="AB202" i="30" s="1"/>
  <c r="X201" i="30"/>
  <c r="AD201" i="30" s="1"/>
  <c r="W201" i="30"/>
  <c r="AC201" i="30" s="1"/>
  <c r="V201" i="30"/>
  <c r="AB201" i="30" s="1"/>
  <c r="X200" i="30"/>
  <c r="AD200" i="30" s="1"/>
  <c r="W200" i="30"/>
  <c r="AC200" i="30" s="1"/>
  <c r="V200" i="30"/>
  <c r="AB200" i="30" s="1"/>
  <c r="X199" i="30"/>
  <c r="AD199" i="30" s="1"/>
  <c r="W199" i="30"/>
  <c r="AC199" i="30" s="1"/>
  <c r="V199" i="30"/>
  <c r="AB199" i="30" s="1"/>
  <c r="X198" i="30"/>
  <c r="AD198" i="30" s="1"/>
  <c r="W198" i="30"/>
  <c r="AC198" i="30" s="1"/>
  <c r="V198" i="30"/>
  <c r="AB198" i="30" s="1"/>
  <c r="AG197" i="30"/>
  <c r="X197" i="30"/>
  <c r="AD197" i="30" s="1"/>
  <c r="W197" i="30"/>
  <c r="AC197" i="30" s="1"/>
  <c r="V197" i="30"/>
  <c r="AB197" i="30" s="1"/>
  <c r="X196" i="30"/>
  <c r="AD196" i="30" s="1"/>
  <c r="W196" i="30"/>
  <c r="AC196" i="30" s="1"/>
  <c r="V196" i="30"/>
  <c r="AB196" i="30" s="1"/>
  <c r="AG195" i="30"/>
  <c r="X195" i="30"/>
  <c r="AD195" i="30" s="1"/>
  <c r="W195" i="30"/>
  <c r="AC195" i="30" s="1"/>
  <c r="V195" i="30"/>
  <c r="AB195" i="30" s="1"/>
  <c r="X194" i="30"/>
  <c r="AD194" i="30" s="1"/>
  <c r="W194" i="30"/>
  <c r="AC194" i="30" s="1"/>
  <c r="V194" i="30"/>
  <c r="AB194" i="30" s="1"/>
  <c r="AG193" i="30"/>
  <c r="X193" i="30"/>
  <c r="AD193" i="30" s="1"/>
  <c r="W193" i="30"/>
  <c r="AC193" i="30" s="1"/>
  <c r="V193" i="30"/>
  <c r="AB193" i="30" s="1"/>
  <c r="X192" i="30"/>
  <c r="AD192" i="30" s="1"/>
  <c r="W192" i="30"/>
  <c r="AC192" i="30" s="1"/>
  <c r="V192" i="30"/>
  <c r="AB192" i="30" s="1"/>
  <c r="AG191" i="30"/>
  <c r="X191" i="30"/>
  <c r="AD191" i="30" s="1"/>
  <c r="W191" i="30"/>
  <c r="AC191" i="30" s="1"/>
  <c r="V191" i="30"/>
  <c r="AB191" i="30" s="1"/>
  <c r="X190" i="30"/>
  <c r="AD190" i="30" s="1"/>
  <c r="W190" i="30"/>
  <c r="AC190" i="30" s="1"/>
  <c r="V190" i="30"/>
  <c r="AB190" i="30" s="1"/>
  <c r="AG189" i="30"/>
  <c r="X189" i="30"/>
  <c r="AD189" i="30" s="1"/>
  <c r="W189" i="30"/>
  <c r="AC189" i="30" s="1"/>
  <c r="V189" i="30"/>
  <c r="AB189" i="30" s="1"/>
  <c r="X188" i="30"/>
  <c r="AD188" i="30" s="1"/>
  <c r="W188" i="30"/>
  <c r="AC188" i="30" s="1"/>
  <c r="V188" i="30"/>
  <c r="AB188" i="30" s="1"/>
  <c r="AG187" i="30"/>
  <c r="X187" i="30"/>
  <c r="AD187" i="30" s="1"/>
  <c r="W187" i="30"/>
  <c r="AC187" i="30" s="1"/>
  <c r="V187" i="30"/>
  <c r="AB187" i="30" s="1"/>
  <c r="X186" i="30"/>
  <c r="AD186" i="30" s="1"/>
  <c r="W186" i="30"/>
  <c r="AC186" i="30" s="1"/>
  <c r="V186" i="30"/>
  <c r="AB186" i="30" s="1"/>
  <c r="AG185" i="30"/>
  <c r="X185" i="30"/>
  <c r="AD185" i="30" s="1"/>
  <c r="W185" i="30"/>
  <c r="AC185" i="30" s="1"/>
  <c r="V185" i="30"/>
  <c r="AB185" i="30" s="1"/>
  <c r="X184" i="30"/>
  <c r="AD184" i="30" s="1"/>
  <c r="W184" i="30"/>
  <c r="AC184" i="30" s="1"/>
  <c r="V184" i="30"/>
  <c r="AB184" i="30" s="1"/>
  <c r="AG183" i="30"/>
  <c r="X183" i="30"/>
  <c r="AD183" i="30" s="1"/>
  <c r="W183" i="30"/>
  <c r="AC183" i="30" s="1"/>
  <c r="V183" i="30"/>
  <c r="AB183" i="30" s="1"/>
  <c r="X182" i="30"/>
  <c r="AD182" i="30" s="1"/>
  <c r="W182" i="30"/>
  <c r="AC182" i="30" s="1"/>
  <c r="V182" i="30"/>
  <c r="AB182" i="30" s="1"/>
  <c r="AG181" i="30"/>
  <c r="X181" i="30"/>
  <c r="AD181" i="30" s="1"/>
  <c r="W181" i="30"/>
  <c r="AC181" i="30" s="1"/>
  <c r="V181" i="30"/>
  <c r="AB181" i="30" s="1"/>
  <c r="X180" i="30"/>
  <c r="AD180" i="30" s="1"/>
  <c r="W180" i="30"/>
  <c r="AC180" i="30" s="1"/>
  <c r="V180" i="30"/>
  <c r="AB180" i="30" s="1"/>
  <c r="AG179" i="30"/>
  <c r="X179" i="30"/>
  <c r="AD179" i="30" s="1"/>
  <c r="W179" i="30"/>
  <c r="AC179" i="30" s="1"/>
  <c r="V179" i="30"/>
  <c r="AB179" i="30" s="1"/>
  <c r="X178" i="30"/>
  <c r="AD178" i="30" s="1"/>
  <c r="W178" i="30"/>
  <c r="AC178" i="30" s="1"/>
  <c r="V178" i="30"/>
  <c r="AB178" i="30" s="1"/>
  <c r="AG177" i="30"/>
  <c r="X177" i="30"/>
  <c r="AD177" i="30" s="1"/>
  <c r="W177" i="30"/>
  <c r="AC177" i="30" s="1"/>
  <c r="V177" i="30"/>
  <c r="AB177" i="30" s="1"/>
  <c r="X176" i="30"/>
  <c r="AD176" i="30" s="1"/>
  <c r="W176" i="30"/>
  <c r="AC176" i="30" s="1"/>
  <c r="V176" i="30"/>
  <c r="AB176" i="30" s="1"/>
  <c r="AG175" i="30"/>
  <c r="X175" i="30"/>
  <c r="AD175" i="30" s="1"/>
  <c r="W175" i="30"/>
  <c r="AC175" i="30" s="1"/>
  <c r="V175" i="30"/>
  <c r="AB175" i="30" s="1"/>
  <c r="X174" i="30"/>
  <c r="AD174" i="30" s="1"/>
  <c r="W174" i="30"/>
  <c r="AC174" i="30" s="1"/>
  <c r="V174" i="30"/>
  <c r="AB174" i="30" s="1"/>
  <c r="AG173" i="30"/>
  <c r="X173" i="30"/>
  <c r="AD173" i="30" s="1"/>
  <c r="W173" i="30"/>
  <c r="AC173" i="30" s="1"/>
  <c r="V173" i="30"/>
  <c r="AB173" i="30" s="1"/>
  <c r="X172" i="30"/>
  <c r="AD172" i="30" s="1"/>
  <c r="W172" i="30"/>
  <c r="AC172" i="30" s="1"/>
  <c r="V172" i="30"/>
  <c r="AB172" i="30" s="1"/>
  <c r="AG171" i="30"/>
  <c r="X171" i="30"/>
  <c r="AD171" i="30" s="1"/>
  <c r="W171" i="30"/>
  <c r="AC171" i="30" s="1"/>
  <c r="V171" i="30"/>
  <c r="AB171" i="30" s="1"/>
  <c r="X170" i="30"/>
  <c r="AD170" i="30" s="1"/>
  <c r="W170" i="30"/>
  <c r="AC170" i="30" s="1"/>
  <c r="V170" i="30"/>
  <c r="AB170" i="30" s="1"/>
  <c r="AG169" i="30"/>
  <c r="X169" i="30"/>
  <c r="AD169" i="30" s="1"/>
  <c r="W169" i="30"/>
  <c r="AC169" i="30" s="1"/>
  <c r="V169" i="30"/>
  <c r="AB169" i="30" s="1"/>
  <c r="X168" i="30"/>
  <c r="AD168" i="30" s="1"/>
  <c r="W168" i="30"/>
  <c r="AC168" i="30" s="1"/>
  <c r="V168" i="30"/>
  <c r="AB168" i="30" s="1"/>
  <c r="AG167" i="30"/>
  <c r="X167" i="30"/>
  <c r="AD167" i="30" s="1"/>
  <c r="W167" i="30"/>
  <c r="AC167" i="30" s="1"/>
  <c r="V167" i="30"/>
  <c r="AB167" i="30" s="1"/>
  <c r="X166" i="30"/>
  <c r="AD166" i="30" s="1"/>
  <c r="W166" i="30"/>
  <c r="AC166" i="30" s="1"/>
  <c r="V166" i="30"/>
  <c r="AB166" i="30" s="1"/>
  <c r="AG165" i="30"/>
  <c r="X165" i="30"/>
  <c r="AD165" i="30" s="1"/>
  <c r="W165" i="30"/>
  <c r="AC165" i="30" s="1"/>
  <c r="V165" i="30"/>
  <c r="AB165" i="30" s="1"/>
  <c r="X164" i="30"/>
  <c r="AD164" i="30" s="1"/>
  <c r="W164" i="30"/>
  <c r="AC164" i="30" s="1"/>
  <c r="V164" i="30"/>
  <c r="AB164" i="30" s="1"/>
  <c r="AG163" i="30"/>
  <c r="X163" i="30"/>
  <c r="AD163" i="30" s="1"/>
  <c r="W163" i="30"/>
  <c r="AC163" i="30" s="1"/>
  <c r="V163" i="30"/>
  <c r="AB163" i="30" s="1"/>
  <c r="X162" i="30"/>
  <c r="AD162" i="30" s="1"/>
  <c r="W162" i="30"/>
  <c r="AC162" i="30" s="1"/>
  <c r="V162" i="30"/>
  <c r="AB162" i="30" s="1"/>
  <c r="AG161" i="30"/>
  <c r="X161" i="30"/>
  <c r="AD161" i="30" s="1"/>
  <c r="W161" i="30"/>
  <c r="AC161" i="30" s="1"/>
  <c r="V161" i="30"/>
  <c r="AB161" i="30" s="1"/>
  <c r="X160" i="30"/>
  <c r="AD160" i="30" s="1"/>
  <c r="W160" i="30"/>
  <c r="AC160" i="30" s="1"/>
  <c r="V160" i="30"/>
  <c r="AB160" i="30" s="1"/>
  <c r="AG159" i="30"/>
  <c r="X159" i="30"/>
  <c r="AD159" i="30" s="1"/>
  <c r="W159" i="30"/>
  <c r="AC159" i="30" s="1"/>
  <c r="V159" i="30"/>
  <c r="AB159" i="30" s="1"/>
  <c r="X158" i="30"/>
  <c r="AD158" i="30" s="1"/>
  <c r="W158" i="30"/>
  <c r="AC158" i="30" s="1"/>
  <c r="V158" i="30"/>
  <c r="AB158" i="30" s="1"/>
  <c r="AG157" i="30"/>
  <c r="X157" i="30"/>
  <c r="AD157" i="30" s="1"/>
  <c r="W157" i="30"/>
  <c r="AC157" i="30" s="1"/>
  <c r="V157" i="30"/>
  <c r="AB157" i="30" s="1"/>
  <c r="X156" i="30"/>
  <c r="AD156" i="30" s="1"/>
  <c r="W156" i="30"/>
  <c r="AC156" i="30" s="1"/>
  <c r="V156" i="30"/>
  <c r="AB156" i="30" s="1"/>
  <c r="AG155" i="30"/>
  <c r="X155" i="30"/>
  <c r="AD155" i="30" s="1"/>
  <c r="W155" i="30"/>
  <c r="AC155" i="30" s="1"/>
  <c r="V155" i="30"/>
  <c r="AB155" i="30" s="1"/>
  <c r="X154" i="30"/>
  <c r="AD154" i="30" s="1"/>
  <c r="W154" i="30"/>
  <c r="AC154" i="30" s="1"/>
  <c r="V154" i="30"/>
  <c r="AB154" i="30" s="1"/>
  <c r="AG153" i="30"/>
  <c r="X153" i="30"/>
  <c r="AD153" i="30" s="1"/>
  <c r="W153" i="30"/>
  <c r="AC153" i="30" s="1"/>
  <c r="V153" i="30"/>
  <c r="AB153" i="30" s="1"/>
  <c r="X152" i="30"/>
  <c r="AD152" i="30" s="1"/>
  <c r="W152" i="30"/>
  <c r="AC152" i="30" s="1"/>
  <c r="V152" i="30"/>
  <c r="AB152" i="30" s="1"/>
  <c r="AG151" i="30"/>
  <c r="X151" i="30"/>
  <c r="AD151" i="30" s="1"/>
  <c r="W151" i="30"/>
  <c r="AC151" i="30" s="1"/>
  <c r="V151" i="30"/>
  <c r="AB151" i="30" s="1"/>
  <c r="X150" i="30"/>
  <c r="AD150" i="30" s="1"/>
  <c r="W150" i="30"/>
  <c r="AC150" i="30" s="1"/>
  <c r="V150" i="30"/>
  <c r="AB150" i="30" s="1"/>
  <c r="AG149" i="30"/>
  <c r="X149" i="30"/>
  <c r="AD149" i="30" s="1"/>
  <c r="W149" i="30"/>
  <c r="AC149" i="30" s="1"/>
  <c r="V149" i="30"/>
  <c r="AB149" i="30" s="1"/>
  <c r="AG148" i="30"/>
  <c r="X148" i="30"/>
  <c r="AD148" i="30" s="1"/>
  <c r="W148" i="30"/>
  <c r="AC148" i="30" s="1"/>
  <c r="V148" i="30"/>
  <c r="AB148" i="30" s="1"/>
  <c r="AG147" i="30"/>
  <c r="X147" i="30"/>
  <c r="AD147" i="30" s="1"/>
  <c r="W147" i="30"/>
  <c r="AC147" i="30" s="1"/>
  <c r="V147" i="30"/>
  <c r="AB147" i="30" s="1"/>
  <c r="AG146" i="30"/>
  <c r="AE146" i="30"/>
  <c r="X146" i="30"/>
  <c r="AD146" i="30" s="1"/>
  <c r="W146" i="30"/>
  <c r="AC146" i="30" s="1"/>
  <c r="V146" i="30"/>
  <c r="AB146" i="30" s="1"/>
  <c r="AG145" i="30"/>
  <c r="AE145" i="30"/>
  <c r="X145" i="30"/>
  <c r="AD145" i="30" s="1"/>
  <c r="W145" i="30"/>
  <c r="AC145" i="30" s="1"/>
  <c r="V145" i="30"/>
  <c r="AB145" i="30" s="1"/>
  <c r="AG144" i="30"/>
  <c r="AE144" i="30"/>
  <c r="X144" i="30"/>
  <c r="AD144" i="30" s="1"/>
  <c r="W144" i="30"/>
  <c r="AC144" i="30" s="1"/>
  <c r="V144" i="30"/>
  <c r="AB144" i="30" s="1"/>
  <c r="AG143" i="30"/>
  <c r="X143" i="30"/>
  <c r="AD143" i="30" s="1"/>
  <c r="W143" i="30"/>
  <c r="AC143" i="30" s="1"/>
  <c r="V143" i="30"/>
  <c r="AB143" i="30" s="1"/>
  <c r="AG142" i="30"/>
  <c r="X142" i="30"/>
  <c r="AD142" i="30" s="1"/>
  <c r="W142" i="30"/>
  <c r="AC142" i="30" s="1"/>
  <c r="V142" i="30"/>
  <c r="AB142" i="30" s="1"/>
  <c r="AG141" i="30"/>
  <c r="X141" i="30"/>
  <c r="AD141" i="30" s="1"/>
  <c r="W141" i="30"/>
  <c r="AC141" i="30" s="1"/>
  <c r="V141" i="30"/>
  <c r="AB141" i="30" s="1"/>
  <c r="AG140" i="30"/>
  <c r="X140" i="30"/>
  <c r="AD140" i="30" s="1"/>
  <c r="W140" i="30"/>
  <c r="AC140" i="30" s="1"/>
  <c r="V140" i="30"/>
  <c r="AB140" i="30" s="1"/>
  <c r="X139" i="30"/>
  <c r="AD139" i="30" s="1"/>
  <c r="W139" i="30"/>
  <c r="AC139" i="30" s="1"/>
  <c r="V139" i="30"/>
  <c r="AB139" i="30" s="1"/>
  <c r="AG138" i="30"/>
  <c r="X138" i="30"/>
  <c r="AD138" i="30" s="1"/>
  <c r="W138" i="30"/>
  <c r="AC138" i="30" s="1"/>
  <c r="V138" i="30"/>
  <c r="AB138" i="30" s="1"/>
  <c r="X137" i="30"/>
  <c r="AD137" i="30" s="1"/>
  <c r="W137" i="30"/>
  <c r="AC137" i="30" s="1"/>
  <c r="V137" i="30"/>
  <c r="AB137" i="30" s="1"/>
  <c r="AG136" i="30"/>
  <c r="X136" i="30"/>
  <c r="AD136" i="30" s="1"/>
  <c r="W136" i="30"/>
  <c r="AC136" i="30" s="1"/>
  <c r="V136" i="30"/>
  <c r="AB136" i="30" s="1"/>
  <c r="X135" i="30"/>
  <c r="AD135" i="30" s="1"/>
  <c r="W135" i="30"/>
  <c r="AC135" i="30" s="1"/>
  <c r="V135" i="30"/>
  <c r="AB135" i="30" s="1"/>
  <c r="AG134" i="30"/>
  <c r="X134" i="30"/>
  <c r="AD134" i="30" s="1"/>
  <c r="W134" i="30"/>
  <c r="AC134" i="30" s="1"/>
  <c r="V134" i="30"/>
  <c r="AB134" i="30" s="1"/>
  <c r="X133" i="30"/>
  <c r="AD133" i="30" s="1"/>
  <c r="W133" i="30"/>
  <c r="AC133" i="30" s="1"/>
  <c r="V133" i="30"/>
  <c r="AB133" i="30" s="1"/>
  <c r="AG132" i="30"/>
  <c r="X132" i="30"/>
  <c r="AD132" i="30" s="1"/>
  <c r="W132" i="30"/>
  <c r="AC132" i="30" s="1"/>
  <c r="V132" i="30"/>
  <c r="AB132" i="30" s="1"/>
  <c r="X131" i="30"/>
  <c r="AD131" i="30" s="1"/>
  <c r="W131" i="30"/>
  <c r="AC131" i="30" s="1"/>
  <c r="V131" i="30"/>
  <c r="AB131" i="30" s="1"/>
  <c r="AG130" i="30"/>
  <c r="X130" i="30"/>
  <c r="AD130" i="30" s="1"/>
  <c r="W130" i="30"/>
  <c r="AC130" i="30" s="1"/>
  <c r="V130" i="30"/>
  <c r="AB130" i="30" s="1"/>
  <c r="X129" i="30"/>
  <c r="AD129" i="30" s="1"/>
  <c r="W129" i="30"/>
  <c r="AC129" i="30" s="1"/>
  <c r="V129" i="30"/>
  <c r="AB129" i="30" s="1"/>
  <c r="AG128" i="30"/>
  <c r="X128" i="30"/>
  <c r="AD128" i="30" s="1"/>
  <c r="W128" i="30"/>
  <c r="AC128" i="30" s="1"/>
  <c r="V128" i="30"/>
  <c r="AB128" i="30" s="1"/>
  <c r="X127" i="30"/>
  <c r="AD127" i="30" s="1"/>
  <c r="W127" i="30"/>
  <c r="AC127" i="30" s="1"/>
  <c r="V127" i="30"/>
  <c r="AB127" i="30" s="1"/>
  <c r="AG126" i="30"/>
  <c r="X126" i="30"/>
  <c r="AD126" i="30" s="1"/>
  <c r="W126" i="30"/>
  <c r="AC126" i="30" s="1"/>
  <c r="V126" i="30"/>
  <c r="AB126" i="30" s="1"/>
  <c r="X125" i="30"/>
  <c r="AD125" i="30" s="1"/>
  <c r="W125" i="30"/>
  <c r="AC125" i="30" s="1"/>
  <c r="V125" i="30"/>
  <c r="AB125" i="30" s="1"/>
  <c r="AG124" i="30"/>
  <c r="X124" i="30"/>
  <c r="AD124" i="30" s="1"/>
  <c r="W124" i="30"/>
  <c r="AC124" i="30" s="1"/>
  <c r="V124" i="30"/>
  <c r="AB124" i="30" s="1"/>
  <c r="X123" i="30"/>
  <c r="AD123" i="30" s="1"/>
  <c r="W123" i="30"/>
  <c r="AC123" i="30" s="1"/>
  <c r="V123" i="30"/>
  <c r="AB123" i="30" s="1"/>
  <c r="AG122" i="30"/>
  <c r="X122" i="30"/>
  <c r="AD122" i="30" s="1"/>
  <c r="W122" i="30"/>
  <c r="AC122" i="30" s="1"/>
  <c r="V122" i="30"/>
  <c r="AB122" i="30" s="1"/>
  <c r="X121" i="30"/>
  <c r="AD121" i="30" s="1"/>
  <c r="W121" i="30"/>
  <c r="AC121" i="30" s="1"/>
  <c r="V121" i="30"/>
  <c r="AB121" i="30" s="1"/>
  <c r="AG120" i="30"/>
  <c r="X120" i="30"/>
  <c r="AD120" i="30" s="1"/>
  <c r="W120" i="30"/>
  <c r="AC120" i="30" s="1"/>
  <c r="V120" i="30"/>
  <c r="AB120" i="30" s="1"/>
  <c r="X119" i="30"/>
  <c r="AD119" i="30" s="1"/>
  <c r="W119" i="30"/>
  <c r="AC119" i="30" s="1"/>
  <c r="V119" i="30"/>
  <c r="AB119" i="30" s="1"/>
  <c r="AG118" i="30"/>
  <c r="X118" i="30"/>
  <c r="AD118" i="30" s="1"/>
  <c r="W118" i="30"/>
  <c r="AC118" i="30" s="1"/>
  <c r="V118" i="30"/>
  <c r="AB118" i="30" s="1"/>
  <c r="X117" i="30"/>
  <c r="AD117" i="30" s="1"/>
  <c r="W117" i="30"/>
  <c r="AC117" i="30" s="1"/>
  <c r="V117" i="30"/>
  <c r="AB117" i="30" s="1"/>
  <c r="AG116" i="30"/>
  <c r="X116" i="30"/>
  <c r="AD116" i="30" s="1"/>
  <c r="W116" i="30"/>
  <c r="AC116" i="30" s="1"/>
  <c r="V116" i="30"/>
  <c r="AB116" i="30" s="1"/>
  <c r="X115" i="30"/>
  <c r="AD115" i="30" s="1"/>
  <c r="W115" i="30"/>
  <c r="AC115" i="30" s="1"/>
  <c r="V115" i="30"/>
  <c r="AB115" i="30" s="1"/>
  <c r="AG114" i="30"/>
  <c r="X114" i="30"/>
  <c r="AD114" i="30" s="1"/>
  <c r="W114" i="30"/>
  <c r="AC114" i="30" s="1"/>
  <c r="V114" i="30"/>
  <c r="AB114" i="30" s="1"/>
  <c r="X113" i="30"/>
  <c r="AD113" i="30" s="1"/>
  <c r="W113" i="30"/>
  <c r="AC113" i="30" s="1"/>
  <c r="V113" i="30"/>
  <c r="AB113" i="30" s="1"/>
  <c r="AG112" i="30"/>
  <c r="X112" i="30"/>
  <c r="AD112" i="30" s="1"/>
  <c r="W112" i="30"/>
  <c r="AC112" i="30" s="1"/>
  <c r="V112" i="30"/>
  <c r="AB112" i="30" s="1"/>
  <c r="X111" i="30"/>
  <c r="AD111" i="30" s="1"/>
  <c r="W111" i="30"/>
  <c r="AC111" i="30" s="1"/>
  <c r="V111" i="30"/>
  <c r="AB111" i="30" s="1"/>
  <c r="AG110" i="30"/>
  <c r="X110" i="30"/>
  <c r="AD110" i="30" s="1"/>
  <c r="W110" i="30"/>
  <c r="AC110" i="30" s="1"/>
  <c r="V110" i="30"/>
  <c r="AB110" i="30" s="1"/>
  <c r="X109" i="30"/>
  <c r="AD109" i="30" s="1"/>
  <c r="W109" i="30"/>
  <c r="AC109" i="30" s="1"/>
  <c r="V109" i="30"/>
  <c r="AB109" i="30" s="1"/>
  <c r="AG108" i="30"/>
  <c r="X108" i="30"/>
  <c r="AD108" i="30" s="1"/>
  <c r="W108" i="30"/>
  <c r="AC108" i="30" s="1"/>
  <c r="V108" i="30"/>
  <c r="AB108" i="30" s="1"/>
  <c r="X107" i="30"/>
  <c r="AD107" i="30" s="1"/>
  <c r="W107" i="30"/>
  <c r="AC107" i="30" s="1"/>
  <c r="V107" i="30"/>
  <c r="AB107" i="30" s="1"/>
  <c r="AG106" i="30"/>
  <c r="X106" i="30"/>
  <c r="AD106" i="30" s="1"/>
  <c r="W106" i="30"/>
  <c r="AC106" i="30" s="1"/>
  <c r="V106" i="30"/>
  <c r="AB106" i="30" s="1"/>
  <c r="X105" i="30"/>
  <c r="AD105" i="30" s="1"/>
  <c r="W105" i="30"/>
  <c r="AC105" i="30" s="1"/>
  <c r="V105" i="30"/>
  <c r="AB105" i="30" s="1"/>
  <c r="AG104" i="30"/>
  <c r="X104" i="30"/>
  <c r="AD104" i="30" s="1"/>
  <c r="W104" i="30"/>
  <c r="AC104" i="30" s="1"/>
  <c r="V104" i="30"/>
  <c r="AB104" i="30" s="1"/>
  <c r="X103" i="30"/>
  <c r="AD103" i="30" s="1"/>
  <c r="W103" i="30"/>
  <c r="AC103" i="30" s="1"/>
  <c r="V103" i="30"/>
  <c r="AB103" i="30" s="1"/>
  <c r="AG102" i="30"/>
  <c r="X102" i="30"/>
  <c r="AD102" i="30" s="1"/>
  <c r="W102" i="30"/>
  <c r="AC102" i="30" s="1"/>
  <c r="V102" i="30"/>
  <c r="AB102" i="30" s="1"/>
  <c r="X101" i="30"/>
  <c r="AD101" i="30" s="1"/>
  <c r="W101" i="30"/>
  <c r="AC101" i="30" s="1"/>
  <c r="V101" i="30"/>
  <c r="AB101" i="30" s="1"/>
  <c r="AG100" i="30"/>
  <c r="X100" i="30"/>
  <c r="AD100" i="30" s="1"/>
  <c r="W100" i="30"/>
  <c r="AC100" i="30" s="1"/>
  <c r="V100" i="30"/>
  <c r="AB100" i="30" s="1"/>
  <c r="X99" i="30"/>
  <c r="AD99" i="30" s="1"/>
  <c r="W99" i="30"/>
  <c r="AC99" i="30" s="1"/>
  <c r="V99" i="30"/>
  <c r="AB99" i="30" s="1"/>
  <c r="AG98" i="30"/>
  <c r="X98" i="30"/>
  <c r="AD98" i="30" s="1"/>
  <c r="W98" i="30"/>
  <c r="AC98" i="30" s="1"/>
  <c r="V98" i="30"/>
  <c r="AB98" i="30" s="1"/>
  <c r="X97" i="30"/>
  <c r="AD97" i="30" s="1"/>
  <c r="W97" i="30"/>
  <c r="AC97" i="30" s="1"/>
  <c r="V97" i="30"/>
  <c r="AB97" i="30" s="1"/>
  <c r="AG96" i="30"/>
  <c r="X96" i="30"/>
  <c r="AD96" i="30" s="1"/>
  <c r="W96" i="30"/>
  <c r="AC96" i="30" s="1"/>
  <c r="V96" i="30"/>
  <c r="AB96" i="30" s="1"/>
  <c r="X95" i="30"/>
  <c r="AD95" i="30" s="1"/>
  <c r="W95" i="30"/>
  <c r="AC95" i="30" s="1"/>
  <c r="V95" i="30"/>
  <c r="AB95" i="30" s="1"/>
  <c r="AG94" i="30"/>
  <c r="X94" i="30"/>
  <c r="AD94" i="30" s="1"/>
  <c r="W94" i="30"/>
  <c r="AC94" i="30" s="1"/>
  <c r="V94" i="30"/>
  <c r="AB94" i="30" s="1"/>
  <c r="X93" i="30"/>
  <c r="AD93" i="30" s="1"/>
  <c r="W93" i="30"/>
  <c r="AC93" i="30" s="1"/>
  <c r="V93" i="30"/>
  <c r="AB93" i="30" s="1"/>
  <c r="AE92" i="30"/>
  <c r="X92" i="30"/>
  <c r="AD92" i="30" s="1"/>
  <c r="W92" i="30"/>
  <c r="AC92" i="30" s="1"/>
  <c r="V92" i="30"/>
  <c r="AB92" i="30" s="1"/>
  <c r="AE91" i="30"/>
  <c r="X91" i="30"/>
  <c r="AD91" i="30" s="1"/>
  <c r="W91" i="30"/>
  <c r="AC91" i="30" s="1"/>
  <c r="V91" i="30"/>
  <c r="AB91" i="30" s="1"/>
  <c r="AE90" i="30"/>
  <c r="X90" i="30"/>
  <c r="AD90" i="30" s="1"/>
  <c r="W90" i="30"/>
  <c r="AC90" i="30" s="1"/>
  <c r="V90" i="30"/>
  <c r="AB90" i="30" s="1"/>
  <c r="AE89" i="30"/>
  <c r="X89" i="30"/>
  <c r="AD89" i="30" s="1"/>
  <c r="W89" i="30"/>
  <c r="AC89" i="30" s="1"/>
  <c r="V89" i="30"/>
  <c r="AB89" i="30" s="1"/>
  <c r="AE88" i="30"/>
  <c r="X88" i="30"/>
  <c r="AD88" i="30" s="1"/>
  <c r="W88" i="30"/>
  <c r="AC88" i="30" s="1"/>
  <c r="V88" i="30"/>
  <c r="AB88" i="30" s="1"/>
  <c r="AE87" i="30"/>
  <c r="X87" i="30"/>
  <c r="AD87" i="30" s="1"/>
  <c r="W87" i="30"/>
  <c r="AC87" i="30" s="1"/>
  <c r="V87" i="30"/>
  <c r="AB87" i="30" s="1"/>
  <c r="AE86" i="30"/>
  <c r="X86" i="30"/>
  <c r="AD86" i="30" s="1"/>
  <c r="W86" i="30"/>
  <c r="AC86" i="30" s="1"/>
  <c r="V86" i="30"/>
  <c r="AB86" i="30" s="1"/>
  <c r="AE85" i="30"/>
  <c r="X85" i="30"/>
  <c r="AD85" i="30" s="1"/>
  <c r="W85" i="30"/>
  <c r="AC85" i="30" s="1"/>
  <c r="V85" i="30"/>
  <c r="AB85" i="30" s="1"/>
  <c r="AE84" i="30"/>
  <c r="X84" i="30"/>
  <c r="AD84" i="30" s="1"/>
  <c r="W84" i="30"/>
  <c r="AC84" i="30" s="1"/>
  <c r="V84" i="30"/>
  <c r="AB84" i="30" s="1"/>
  <c r="AE83" i="30"/>
  <c r="X83" i="30"/>
  <c r="AD83" i="30" s="1"/>
  <c r="W83" i="30"/>
  <c r="AC83" i="30" s="1"/>
  <c r="V83" i="30"/>
  <c r="AB83" i="30" s="1"/>
  <c r="AE82" i="30"/>
  <c r="X82" i="30"/>
  <c r="AD82" i="30" s="1"/>
  <c r="W82" i="30"/>
  <c r="AC82" i="30" s="1"/>
  <c r="V82" i="30"/>
  <c r="AB82" i="30" s="1"/>
  <c r="AE81" i="30"/>
  <c r="X81" i="30"/>
  <c r="AD81" i="30" s="1"/>
  <c r="W81" i="30"/>
  <c r="AC81" i="30" s="1"/>
  <c r="V81" i="30"/>
  <c r="AB81" i="30" s="1"/>
  <c r="AG80" i="30"/>
  <c r="AF80" i="30"/>
  <c r="X80" i="30"/>
  <c r="AD80" i="30" s="1"/>
  <c r="W80" i="30"/>
  <c r="AC80" i="30" s="1"/>
  <c r="V80" i="30"/>
  <c r="AB80" i="30" s="1"/>
  <c r="AG79" i="30"/>
  <c r="AF79" i="30"/>
  <c r="X79" i="30"/>
  <c r="AD79" i="30" s="1"/>
  <c r="W79" i="30"/>
  <c r="AC79" i="30" s="1"/>
  <c r="V79" i="30"/>
  <c r="AB79" i="30" s="1"/>
  <c r="AG78" i="30"/>
  <c r="AF78" i="30"/>
  <c r="X78" i="30"/>
  <c r="AD78" i="30" s="1"/>
  <c r="W78" i="30"/>
  <c r="AC78" i="30" s="1"/>
  <c r="V78" i="30"/>
  <c r="AB78" i="30" s="1"/>
  <c r="AG77" i="30"/>
  <c r="AF77" i="30"/>
  <c r="X77" i="30"/>
  <c r="AD77" i="30" s="1"/>
  <c r="W77" i="30"/>
  <c r="AC77" i="30" s="1"/>
  <c r="V77" i="30"/>
  <c r="AB77" i="30" s="1"/>
  <c r="AG76" i="30"/>
  <c r="AF76" i="30"/>
  <c r="X76" i="30"/>
  <c r="AD76" i="30" s="1"/>
  <c r="W76" i="30"/>
  <c r="AC76" i="30" s="1"/>
  <c r="V76" i="30"/>
  <c r="AB76" i="30" s="1"/>
  <c r="AG75" i="30"/>
  <c r="AF75" i="30"/>
  <c r="X75" i="30"/>
  <c r="AD75" i="30" s="1"/>
  <c r="W75" i="30"/>
  <c r="AC75" i="30" s="1"/>
  <c r="V75" i="30"/>
  <c r="AB75" i="30" s="1"/>
  <c r="AG74" i="30"/>
  <c r="AF74" i="30"/>
  <c r="X74" i="30"/>
  <c r="AD74" i="30" s="1"/>
  <c r="W74" i="30"/>
  <c r="AC74" i="30" s="1"/>
  <c r="V74" i="30"/>
  <c r="AB74" i="30" s="1"/>
  <c r="AG73" i="30"/>
  <c r="AF73" i="30"/>
  <c r="X73" i="30"/>
  <c r="AD73" i="30" s="1"/>
  <c r="W73" i="30"/>
  <c r="AC73" i="30" s="1"/>
  <c r="V73" i="30"/>
  <c r="AB73" i="30" s="1"/>
  <c r="AG72" i="30"/>
  <c r="AF72" i="30"/>
  <c r="X72" i="30"/>
  <c r="AD72" i="30" s="1"/>
  <c r="W72" i="30"/>
  <c r="AC72" i="30" s="1"/>
  <c r="V72" i="30"/>
  <c r="AB72" i="30" s="1"/>
  <c r="AG71" i="30"/>
  <c r="AF71" i="30"/>
  <c r="X71" i="30"/>
  <c r="AD71" i="30" s="1"/>
  <c r="W71" i="30"/>
  <c r="AC71" i="30" s="1"/>
  <c r="V71" i="30"/>
  <c r="AB71" i="30" s="1"/>
  <c r="AG70" i="30"/>
  <c r="AF70" i="30"/>
  <c r="X70" i="30"/>
  <c r="AD70" i="30" s="1"/>
  <c r="W70" i="30"/>
  <c r="AC70" i="30" s="1"/>
  <c r="V70" i="30"/>
  <c r="AB70" i="30" s="1"/>
  <c r="AG69" i="30"/>
  <c r="AF69" i="30"/>
  <c r="X69" i="30"/>
  <c r="AD69" i="30" s="1"/>
  <c r="W69" i="30"/>
  <c r="AC69" i="30" s="1"/>
  <c r="V69" i="30"/>
  <c r="AB69" i="30" s="1"/>
  <c r="AG68" i="30"/>
  <c r="AF68" i="30"/>
  <c r="X68" i="30"/>
  <c r="AD68" i="30" s="1"/>
  <c r="W68" i="30"/>
  <c r="AC68" i="30" s="1"/>
  <c r="V68" i="30"/>
  <c r="AB68" i="30" s="1"/>
  <c r="AG67" i="30"/>
  <c r="AF67" i="30"/>
  <c r="X67" i="30"/>
  <c r="AD67" i="30" s="1"/>
  <c r="W67" i="30"/>
  <c r="AC67" i="30" s="1"/>
  <c r="V67" i="30"/>
  <c r="AB67" i="30" s="1"/>
  <c r="AG66" i="30"/>
  <c r="AF66" i="30"/>
  <c r="X66" i="30"/>
  <c r="AD66" i="30" s="1"/>
  <c r="W66" i="30"/>
  <c r="AC66" i="30" s="1"/>
  <c r="V66" i="30"/>
  <c r="AB66" i="30" s="1"/>
  <c r="AG65" i="30"/>
  <c r="AF65" i="30"/>
  <c r="X65" i="30"/>
  <c r="AD65" i="30" s="1"/>
  <c r="W65" i="30"/>
  <c r="AC65" i="30" s="1"/>
  <c r="V65" i="30"/>
  <c r="AB65" i="30" s="1"/>
  <c r="AG64" i="30"/>
  <c r="AF64" i="30"/>
  <c r="X64" i="30"/>
  <c r="AD64" i="30" s="1"/>
  <c r="W64" i="30"/>
  <c r="AC64" i="30" s="1"/>
  <c r="V64" i="30"/>
  <c r="AB64" i="30" s="1"/>
  <c r="AG63" i="30"/>
  <c r="AF63" i="30"/>
  <c r="X63" i="30"/>
  <c r="AD63" i="30" s="1"/>
  <c r="W63" i="30"/>
  <c r="AC63" i="30" s="1"/>
  <c r="V63" i="30"/>
  <c r="AB63" i="30" s="1"/>
  <c r="AE62" i="30"/>
  <c r="X62" i="30"/>
  <c r="AD62" i="30" s="1"/>
  <c r="W62" i="30"/>
  <c r="AC62" i="30" s="1"/>
  <c r="V62" i="30"/>
  <c r="AB62" i="30" s="1"/>
  <c r="AE61" i="30"/>
  <c r="X61" i="30"/>
  <c r="AD61" i="30" s="1"/>
  <c r="W61" i="30"/>
  <c r="AC61" i="30" s="1"/>
  <c r="V61" i="30"/>
  <c r="AB61" i="30" s="1"/>
  <c r="AE60" i="30"/>
  <c r="X60" i="30"/>
  <c r="AD60" i="30" s="1"/>
  <c r="W60" i="30"/>
  <c r="AC60" i="30" s="1"/>
  <c r="V60" i="30"/>
  <c r="AB60" i="30" s="1"/>
  <c r="AE59" i="30"/>
  <c r="X59" i="30"/>
  <c r="AD59" i="30" s="1"/>
  <c r="W59" i="30"/>
  <c r="AC59" i="30" s="1"/>
  <c r="V59" i="30"/>
  <c r="AB59" i="30" s="1"/>
  <c r="AE58" i="30"/>
  <c r="X58" i="30"/>
  <c r="AD58" i="30" s="1"/>
  <c r="W58" i="30"/>
  <c r="AC58" i="30" s="1"/>
  <c r="V58" i="30"/>
  <c r="AB58" i="30" s="1"/>
  <c r="AE57" i="30"/>
  <c r="X57" i="30"/>
  <c r="AD57" i="30" s="1"/>
  <c r="W57" i="30"/>
  <c r="AC57" i="30" s="1"/>
  <c r="V57" i="30"/>
  <c r="AB57" i="30" s="1"/>
  <c r="AE56" i="30"/>
  <c r="X56" i="30"/>
  <c r="AD56" i="30" s="1"/>
  <c r="W56" i="30"/>
  <c r="AC56" i="30" s="1"/>
  <c r="V56" i="30"/>
  <c r="AB56" i="30" s="1"/>
  <c r="AE55" i="30"/>
  <c r="X55" i="30"/>
  <c r="AD55" i="30" s="1"/>
  <c r="W55" i="30"/>
  <c r="AC55" i="30" s="1"/>
  <c r="V55" i="30"/>
  <c r="AB55" i="30" s="1"/>
  <c r="AE54" i="30"/>
  <c r="X54" i="30"/>
  <c r="AD54" i="30" s="1"/>
  <c r="W54" i="30"/>
  <c r="AC54" i="30" s="1"/>
  <c r="V54" i="30"/>
  <c r="AB54" i="30" s="1"/>
  <c r="AE53" i="30"/>
  <c r="X53" i="30"/>
  <c r="AD53" i="30" s="1"/>
  <c r="W53" i="30"/>
  <c r="AC53" i="30" s="1"/>
  <c r="V53" i="30"/>
  <c r="AB53" i="30" s="1"/>
  <c r="AE52" i="30"/>
  <c r="X52" i="30"/>
  <c r="AD52" i="30" s="1"/>
  <c r="W52" i="30"/>
  <c r="AC52" i="30" s="1"/>
  <c r="V52" i="30"/>
  <c r="AB52" i="30" s="1"/>
  <c r="AE51" i="30"/>
  <c r="X51" i="30"/>
  <c r="AD51" i="30" s="1"/>
  <c r="W51" i="30"/>
  <c r="AC51" i="30" s="1"/>
  <c r="V51" i="30"/>
  <c r="AB51" i="30" s="1"/>
  <c r="AG50" i="30"/>
  <c r="AE50" i="30"/>
  <c r="X50" i="30"/>
  <c r="AD50" i="30" s="1"/>
  <c r="W50" i="30"/>
  <c r="AC50" i="30" s="1"/>
  <c r="V50" i="30"/>
  <c r="AB50" i="30" s="1"/>
  <c r="AG49" i="30"/>
  <c r="AE49" i="30"/>
  <c r="X49" i="30"/>
  <c r="AD49" i="30" s="1"/>
  <c r="W49" i="30"/>
  <c r="AC49" i="30" s="1"/>
  <c r="V49" i="30"/>
  <c r="AB49" i="30" s="1"/>
  <c r="AG48" i="30"/>
  <c r="AE48" i="30"/>
  <c r="X48" i="30"/>
  <c r="AD48" i="30" s="1"/>
  <c r="W48" i="30"/>
  <c r="AC48" i="30" s="1"/>
  <c r="V48" i="30"/>
  <c r="AB48" i="30" s="1"/>
  <c r="AG47" i="30"/>
  <c r="AE47" i="30"/>
  <c r="X47" i="30"/>
  <c r="AD47" i="30" s="1"/>
  <c r="W47" i="30"/>
  <c r="AC47" i="30" s="1"/>
  <c r="V47" i="30"/>
  <c r="AB47" i="30" s="1"/>
  <c r="AG46" i="30"/>
  <c r="AE46" i="30"/>
  <c r="X46" i="30"/>
  <c r="AD46" i="30" s="1"/>
  <c r="W46" i="30"/>
  <c r="AC46" i="30" s="1"/>
  <c r="V46" i="30"/>
  <c r="AB46" i="30" s="1"/>
  <c r="AG45" i="30"/>
  <c r="AE45" i="30"/>
  <c r="X45" i="30"/>
  <c r="AD45" i="30" s="1"/>
  <c r="W45" i="30"/>
  <c r="AC45" i="30" s="1"/>
  <c r="V45" i="30"/>
  <c r="AB45" i="30" s="1"/>
  <c r="AG44" i="30"/>
  <c r="AE44" i="30"/>
  <c r="X44" i="30"/>
  <c r="AD44" i="30" s="1"/>
  <c r="W44" i="30"/>
  <c r="AC44" i="30" s="1"/>
  <c r="V44" i="30"/>
  <c r="AB44" i="30" s="1"/>
  <c r="AG43" i="30"/>
  <c r="AE43" i="30"/>
  <c r="X43" i="30"/>
  <c r="AD43" i="30" s="1"/>
  <c r="W43" i="30"/>
  <c r="AC43" i="30" s="1"/>
  <c r="V43" i="30"/>
  <c r="AB43" i="30" s="1"/>
  <c r="AG42" i="30"/>
  <c r="AE42" i="30"/>
  <c r="X42" i="30"/>
  <c r="AD42" i="30" s="1"/>
  <c r="W42" i="30"/>
  <c r="AC42" i="30" s="1"/>
  <c r="V42" i="30"/>
  <c r="AB42" i="30" s="1"/>
  <c r="AG41" i="30"/>
  <c r="AE41" i="30"/>
  <c r="X41" i="30"/>
  <c r="AD41" i="30" s="1"/>
  <c r="W41" i="30"/>
  <c r="AC41" i="30" s="1"/>
  <c r="V41" i="30"/>
  <c r="AB41" i="30" s="1"/>
  <c r="AG40" i="30"/>
  <c r="AE40" i="30"/>
  <c r="X40" i="30"/>
  <c r="AD40" i="30" s="1"/>
  <c r="W40" i="30"/>
  <c r="AC40" i="30" s="1"/>
  <c r="V40" i="30"/>
  <c r="AB40" i="30" s="1"/>
  <c r="AG39" i="30"/>
  <c r="AE39" i="30"/>
  <c r="X39" i="30"/>
  <c r="AD39" i="30" s="1"/>
  <c r="W39" i="30"/>
  <c r="AC39" i="30" s="1"/>
  <c r="V39" i="30"/>
  <c r="AB39" i="30" s="1"/>
  <c r="AG38" i="30"/>
  <c r="AF38" i="30"/>
  <c r="X38" i="30"/>
  <c r="AD38" i="30" s="1"/>
  <c r="W38" i="30"/>
  <c r="AC38" i="30" s="1"/>
  <c r="V38" i="30"/>
  <c r="AB38" i="30" s="1"/>
  <c r="AG37" i="30"/>
  <c r="AF37" i="30"/>
  <c r="X37" i="30"/>
  <c r="AD37" i="30" s="1"/>
  <c r="W37" i="30"/>
  <c r="AC37" i="30" s="1"/>
  <c r="V37" i="30"/>
  <c r="AB37" i="30" s="1"/>
  <c r="AG36" i="30"/>
  <c r="AF36" i="30"/>
  <c r="X36" i="30"/>
  <c r="AD36" i="30" s="1"/>
  <c r="W36" i="30"/>
  <c r="AC36" i="30" s="1"/>
  <c r="V36" i="30"/>
  <c r="AB36" i="30" s="1"/>
  <c r="AG35" i="30"/>
  <c r="AF35" i="30"/>
  <c r="X35" i="30"/>
  <c r="AD35" i="30" s="1"/>
  <c r="W35" i="30"/>
  <c r="AC35" i="30" s="1"/>
  <c r="V35" i="30"/>
  <c r="AB35" i="30" s="1"/>
  <c r="AG34" i="30"/>
  <c r="AF34" i="30"/>
  <c r="X34" i="30"/>
  <c r="AD34" i="30" s="1"/>
  <c r="W34" i="30"/>
  <c r="AC34" i="30" s="1"/>
  <c r="V34" i="30"/>
  <c r="AB34" i="30" s="1"/>
  <c r="AG33" i="30"/>
  <c r="AF33" i="30"/>
  <c r="X33" i="30"/>
  <c r="AD33" i="30" s="1"/>
  <c r="W33" i="30"/>
  <c r="AC33" i="30" s="1"/>
  <c r="V33" i="30"/>
  <c r="AB33" i="30" s="1"/>
  <c r="AG32" i="30"/>
  <c r="AF32" i="30"/>
  <c r="X32" i="30"/>
  <c r="AD32" i="30" s="1"/>
  <c r="W32" i="30"/>
  <c r="AC32" i="30" s="1"/>
  <c r="V32" i="30"/>
  <c r="AB32" i="30" s="1"/>
  <c r="AG31" i="30"/>
  <c r="AF31" i="30"/>
  <c r="X31" i="30"/>
  <c r="AD31" i="30" s="1"/>
  <c r="W31" i="30"/>
  <c r="AC31" i="30" s="1"/>
  <c r="V31" i="30"/>
  <c r="AB31" i="30" s="1"/>
  <c r="AG30" i="30"/>
  <c r="AF30" i="30"/>
  <c r="X30" i="30"/>
  <c r="AD30" i="30" s="1"/>
  <c r="W30" i="30"/>
  <c r="AC30" i="30" s="1"/>
  <c r="V30" i="30"/>
  <c r="AB30" i="30" s="1"/>
  <c r="AG29" i="30"/>
  <c r="AF29" i="30"/>
  <c r="X29" i="30"/>
  <c r="AD29" i="30" s="1"/>
  <c r="W29" i="30"/>
  <c r="AC29" i="30" s="1"/>
  <c r="V29" i="30"/>
  <c r="AB29" i="30" s="1"/>
  <c r="AG28" i="30"/>
  <c r="AF28" i="30"/>
  <c r="X28" i="30"/>
  <c r="AD28" i="30" s="1"/>
  <c r="W28" i="30"/>
  <c r="AC28" i="30" s="1"/>
  <c r="V28" i="30"/>
  <c r="AB28" i="30" s="1"/>
  <c r="AG27" i="30"/>
  <c r="AF27" i="30"/>
  <c r="X27" i="30"/>
  <c r="AD27" i="30" s="1"/>
  <c r="W27" i="30"/>
  <c r="AC27" i="30" s="1"/>
  <c r="V27" i="30"/>
  <c r="AB27" i="30" s="1"/>
  <c r="AG26" i="30"/>
  <c r="AE26" i="30"/>
  <c r="X26" i="30"/>
  <c r="AD26" i="30" s="1"/>
  <c r="W26" i="30"/>
  <c r="AC26" i="30" s="1"/>
  <c r="V26" i="30"/>
  <c r="AB26" i="30" s="1"/>
  <c r="AG25" i="30"/>
  <c r="AE25" i="30"/>
  <c r="X25" i="30"/>
  <c r="AD25" i="30" s="1"/>
  <c r="W25" i="30"/>
  <c r="AC25" i="30" s="1"/>
  <c r="V25" i="30"/>
  <c r="AB25" i="30" s="1"/>
  <c r="AG24" i="30"/>
  <c r="AE24" i="30"/>
  <c r="X24" i="30"/>
  <c r="AD24" i="30" s="1"/>
  <c r="W24" i="30"/>
  <c r="AC24" i="30" s="1"/>
  <c r="V24" i="30"/>
  <c r="AB24" i="30" s="1"/>
  <c r="AG23" i="30"/>
  <c r="AE23" i="30"/>
  <c r="X23" i="30"/>
  <c r="AD23" i="30" s="1"/>
  <c r="W23" i="30"/>
  <c r="AC23" i="30" s="1"/>
  <c r="V23" i="30"/>
  <c r="AB23" i="30" s="1"/>
  <c r="AG22" i="30"/>
  <c r="AE22" i="30"/>
  <c r="X22" i="30"/>
  <c r="AD22" i="30" s="1"/>
  <c r="W22" i="30"/>
  <c r="AC22" i="30" s="1"/>
  <c r="V22" i="30"/>
  <c r="AB22" i="30" s="1"/>
  <c r="AG21" i="30"/>
  <c r="AE21" i="30"/>
  <c r="X21" i="30"/>
  <c r="AD21" i="30" s="1"/>
  <c r="W21" i="30"/>
  <c r="AC21" i="30" s="1"/>
  <c r="V21" i="30"/>
  <c r="AB21" i="30" s="1"/>
  <c r="AG20" i="30"/>
  <c r="AE20" i="30"/>
  <c r="X20" i="30"/>
  <c r="AD20" i="30" s="1"/>
  <c r="W20" i="30"/>
  <c r="AC20" i="30" s="1"/>
  <c r="V20" i="30"/>
  <c r="AB20" i="30" s="1"/>
  <c r="AG19" i="30"/>
  <c r="AE19" i="30"/>
  <c r="X19" i="30"/>
  <c r="AD19" i="30" s="1"/>
  <c r="W19" i="30"/>
  <c r="AC19" i="30" s="1"/>
  <c r="V19" i="30"/>
  <c r="AB19" i="30" s="1"/>
  <c r="AG18" i="30"/>
  <c r="AE18" i="30"/>
  <c r="X18" i="30"/>
  <c r="AD18" i="30" s="1"/>
  <c r="W18" i="30"/>
  <c r="AC18" i="30" s="1"/>
  <c r="V18" i="30"/>
  <c r="AB18" i="30" s="1"/>
  <c r="AG17" i="30"/>
  <c r="AE17" i="30"/>
  <c r="X17" i="30"/>
  <c r="AD17" i="30" s="1"/>
  <c r="W17" i="30"/>
  <c r="AC17" i="30" s="1"/>
  <c r="V17" i="30"/>
  <c r="AB17" i="30" s="1"/>
  <c r="AG16" i="30"/>
  <c r="AE16" i="30"/>
  <c r="X16" i="30"/>
  <c r="AD16" i="30" s="1"/>
  <c r="W16" i="30"/>
  <c r="AC16" i="30" s="1"/>
  <c r="V16" i="30"/>
  <c r="AB16" i="30" s="1"/>
  <c r="AG15" i="30"/>
  <c r="AE15" i="30"/>
  <c r="X15" i="30"/>
  <c r="AD15" i="30" s="1"/>
  <c r="W15" i="30"/>
  <c r="AC15" i="30" s="1"/>
  <c r="V15" i="30"/>
  <c r="AB15" i="30" s="1"/>
  <c r="AE14" i="30"/>
  <c r="X14" i="30"/>
  <c r="AD14" i="30" s="1"/>
  <c r="W14" i="30"/>
  <c r="AC14" i="30" s="1"/>
  <c r="V14" i="30"/>
  <c r="AB14" i="30" s="1"/>
  <c r="AE13" i="30"/>
  <c r="X13" i="30"/>
  <c r="AD13" i="30" s="1"/>
  <c r="W13" i="30"/>
  <c r="AC13" i="30" s="1"/>
  <c r="V13" i="30"/>
  <c r="AB13" i="30" s="1"/>
  <c r="AE12" i="30"/>
  <c r="X12" i="30"/>
  <c r="AD12" i="30" s="1"/>
  <c r="W12" i="30"/>
  <c r="AC12" i="30" s="1"/>
  <c r="V12" i="30"/>
  <c r="AB12" i="30" s="1"/>
  <c r="AE11" i="30"/>
  <c r="X11" i="30"/>
  <c r="AD11" i="30" s="1"/>
  <c r="W11" i="30"/>
  <c r="AC11" i="30" s="1"/>
  <c r="V11" i="30"/>
  <c r="AB11" i="30" s="1"/>
  <c r="AG10" i="30"/>
  <c r="AF10" i="30"/>
  <c r="X10" i="30"/>
  <c r="AD10" i="30" s="1"/>
  <c r="W10" i="30"/>
  <c r="AC10" i="30" s="1"/>
  <c r="V10" i="30"/>
  <c r="AB10" i="30" s="1"/>
  <c r="AG9" i="30"/>
  <c r="AF9" i="30"/>
  <c r="X9" i="30"/>
  <c r="AD9" i="30" s="1"/>
  <c r="W9" i="30"/>
  <c r="AC9" i="30" s="1"/>
  <c r="V9" i="30"/>
  <c r="AB9" i="30" s="1"/>
  <c r="AG8" i="30"/>
  <c r="AF8" i="30"/>
  <c r="X8" i="30"/>
  <c r="AD8" i="30" s="1"/>
  <c r="W8" i="30"/>
  <c r="AC8" i="30" s="1"/>
  <c r="V8" i="30"/>
  <c r="AB8" i="30" s="1"/>
  <c r="AG7" i="30"/>
  <c r="AF7" i="30"/>
  <c r="X7" i="30"/>
  <c r="AD7" i="30" s="1"/>
  <c r="W7" i="30"/>
  <c r="AC7" i="30" s="1"/>
  <c r="V7" i="30"/>
  <c r="AB7" i="30" s="1"/>
  <c r="AG6" i="30"/>
  <c r="AF6" i="30"/>
  <c r="X6" i="30"/>
  <c r="AD6" i="30" s="1"/>
  <c r="W6" i="30"/>
  <c r="AC6" i="30" s="1"/>
  <c r="V6" i="30"/>
  <c r="AB6" i="30" s="1"/>
  <c r="AG5" i="30"/>
  <c r="AF5" i="30"/>
  <c r="X5" i="30"/>
  <c r="AD5" i="30" s="1"/>
  <c r="W5" i="30"/>
  <c r="AC5" i="30" s="1"/>
  <c r="V5" i="30"/>
  <c r="AB5" i="30" s="1"/>
  <c r="AE4" i="30"/>
  <c r="X4" i="30"/>
  <c r="AD4" i="30" s="1"/>
  <c r="W4" i="30"/>
  <c r="AC4" i="30" s="1"/>
  <c r="V4" i="30"/>
  <c r="AB4" i="30" s="1"/>
  <c r="AE3" i="30"/>
  <c r="X3" i="30"/>
  <c r="AD3" i="30" s="1"/>
  <c r="W3" i="30"/>
  <c r="AC3" i="30" s="1"/>
  <c r="V3" i="30"/>
  <c r="AB3" i="30" s="1"/>
  <c r="AE2" i="30"/>
  <c r="X2" i="30"/>
  <c r="AD2" i="30" s="1"/>
  <c r="W2" i="30"/>
  <c r="AC2" i="30" s="1"/>
  <c r="V2" i="30"/>
  <c r="AB2" i="30" s="1"/>
  <c r="F24" i="29"/>
  <c r="J24" i="29" s="1"/>
  <c r="F23" i="29"/>
  <c r="J23" i="29" s="1"/>
  <c r="F22" i="29"/>
  <c r="J22" i="29" s="1"/>
  <c r="F21" i="29"/>
  <c r="J21" i="29" s="1"/>
  <c r="F20" i="29"/>
  <c r="J20" i="29" s="1"/>
  <c r="F19" i="29"/>
  <c r="J19" i="29" s="1"/>
  <c r="F18" i="29"/>
  <c r="J18" i="29" s="1"/>
  <c r="F16" i="29"/>
  <c r="J16" i="29" s="1"/>
  <c r="F15" i="29"/>
  <c r="J15" i="29" s="1"/>
  <c r="F14" i="29"/>
  <c r="J14" i="29" s="1"/>
  <c r="F13" i="29"/>
  <c r="J13" i="29" s="1"/>
  <c r="F12" i="29"/>
  <c r="J12" i="29" s="1"/>
  <c r="F11" i="29"/>
  <c r="J11" i="29" s="1"/>
  <c r="F10" i="29"/>
  <c r="J10" i="29" s="1"/>
  <c r="F9" i="29"/>
  <c r="J9" i="29" s="1"/>
  <c r="F8" i="29"/>
  <c r="F7" i="29"/>
  <c r="J7" i="29" s="1"/>
  <c r="F6" i="29"/>
  <c r="J6" i="29" s="1"/>
  <c r="F5" i="29"/>
  <c r="J5" i="29" s="1"/>
  <c r="E15" i="5"/>
  <c r="P11" i="5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E36" i="5"/>
  <c r="D13" i="5"/>
  <c r="F39" i="5"/>
  <c r="F17" i="5"/>
  <c r="F16" i="5"/>
  <c r="F12" i="5"/>
  <c r="F11" i="5"/>
  <c r="M15" i="5"/>
  <c r="M7" i="5"/>
  <c r="D36" i="5" s="1"/>
  <c r="B2" i="27"/>
  <c r="C2" i="27"/>
  <c r="D2" i="27"/>
  <c r="E2" i="27"/>
  <c r="F2" i="27"/>
  <c r="G2" i="27"/>
  <c r="H2" i="27"/>
  <c r="K2" i="27"/>
  <c r="L2" i="27"/>
  <c r="B11" i="27"/>
  <c r="K28" i="29" l="1"/>
  <c r="K27" i="29"/>
  <c r="J29" i="29"/>
  <c r="J30" i="29"/>
  <c r="I28" i="29"/>
  <c r="L28" i="29" s="1"/>
  <c r="I27" i="29"/>
  <c r="L27" i="29" s="1"/>
  <c r="AJ5" i="30"/>
  <c r="AO4" i="30"/>
  <c r="AT5" i="30"/>
  <c r="AJ2" i="30"/>
  <c r="AT4" i="30"/>
  <c r="AO5" i="30"/>
  <c r="AT6" i="30"/>
  <c r="AO6" i="30"/>
  <c r="AT7" i="30"/>
  <c r="AO7" i="30"/>
  <c r="AO3" i="30"/>
  <c r="AT3" i="30"/>
  <c r="AJ3" i="30"/>
  <c r="AJ8" i="30" s="1"/>
  <c r="AO2" i="30"/>
  <c r="AJ4" i="30"/>
  <c r="AJ6" i="30"/>
  <c r="AJ7" i="30"/>
  <c r="AT2" i="30"/>
  <c r="E30" i="29"/>
  <c r="E27" i="29"/>
  <c r="E28" i="29"/>
  <c r="J8" i="29"/>
  <c r="E29" i="29" s="1"/>
  <c r="F36" i="5"/>
  <c r="D30" i="5" s="1"/>
  <c r="L5" i="26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E13" i="21"/>
  <c r="AD13" i="21"/>
  <c r="AC13" i="21"/>
  <c r="AB13" i="21"/>
  <c r="AA13" i="21"/>
  <c r="Y13" i="21"/>
  <c r="AG13" i="21" s="1"/>
  <c r="W13" i="21"/>
  <c r="V13" i="21"/>
  <c r="U13" i="21"/>
  <c r="T13" i="21"/>
  <c r="S13" i="21"/>
  <c r="R13" i="21"/>
  <c r="AE12" i="21"/>
  <c r="AD12" i="21"/>
  <c r="AE8" i="21"/>
  <c r="AD8" i="21"/>
  <c r="AC8" i="21"/>
  <c r="AB8" i="21"/>
  <c r="AA8" i="21"/>
  <c r="W8" i="21"/>
  <c r="V8" i="21"/>
  <c r="U8" i="21"/>
  <c r="AI8" i="21" s="1"/>
  <c r="T8" i="21"/>
  <c r="S8" i="21"/>
  <c r="R8" i="21"/>
  <c r="X8" i="21" s="1"/>
  <c r="AF8" i="21" s="1"/>
  <c r="AE5" i="21"/>
  <c r="AD5" i="21"/>
  <c r="AC5" i="21"/>
  <c r="AB5" i="21"/>
  <c r="AA5" i="21"/>
  <c r="W5" i="21"/>
  <c r="V5" i="21"/>
  <c r="U5" i="21"/>
  <c r="T5" i="21"/>
  <c r="S5" i="21"/>
  <c r="Y5" i="21" s="1"/>
  <c r="AG5" i="21" s="1"/>
  <c r="R5" i="21"/>
  <c r="X5" i="21" s="1"/>
  <c r="AF5" i="21" s="1"/>
  <c r="AE4" i="21"/>
  <c r="AD4" i="21"/>
  <c r="AC4" i="21"/>
  <c r="AB4" i="21"/>
  <c r="AA4" i="21"/>
  <c r="W4" i="21"/>
  <c r="V4" i="21"/>
  <c r="U4" i="21"/>
  <c r="T4" i="21"/>
  <c r="S4" i="21"/>
  <c r="R4" i="21"/>
  <c r="AE3" i="21"/>
  <c r="AD3" i="21"/>
  <c r="AI3" i="21" s="1"/>
  <c r="AC3" i="21"/>
  <c r="AB3" i="21"/>
  <c r="AA3" i="21"/>
  <c r="W3" i="21"/>
  <c r="V3" i="21"/>
  <c r="U3" i="21"/>
  <c r="T3" i="21"/>
  <c r="S3" i="21"/>
  <c r="R3" i="21"/>
  <c r="X3" i="21" s="1"/>
  <c r="J975" i="21"/>
  <c r="J974" i="21"/>
  <c r="M974" i="21" s="1"/>
  <c r="J973" i="21"/>
  <c r="J972" i="21"/>
  <c r="J971" i="21"/>
  <c r="M971" i="21" s="1"/>
  <c r="J970" i="21"/>
  <c r="M970" i="21" s="1"/>
  <c r="J969" i="21"/>
  <c r="M969" i="21" s="1"/>
  <c r="J968" i="21"/>
  <c r="J967" i="21"/>
  <c r="J966" i="21"/>
  <c r="J965" i="21"/>
  <c r="M965" i="21" s="1"/>
  <c r="J964" i="21"/>
  <c r="M964" i="21" s="1"/>
  <c r="J609" i="21"/>
  <c r="J608" i="21"/>
  <c r="J607" i="21"/>
  <c r="J606" i="21"/>
  <c r="J605" i="21"/>
  <c r="J604" i="21"/>
  <c r="J603" i="21"/>
  <c r="J602" i="21"/>
  <c r="J601" i="21"/>
  <c r="J600" i="21"/>
  <c r="J599" i="21"/>
  <c r="J598" i="21"/>
  <c r="L597" i="21"/>
  <c r="K597" i="21"/>
  <c r="L596" i="21"/>
  <c r="K596" i="21"/>
  <c r="L595" i="21"/>
  <c r="K595" i="21"/>
  <c r="L594" i="21"/>
  <c r="K594" i="21"/>
  <c r="L593" i="21"/>
  <c r="K593" i="21"/>
  <c r="L592" i="21"/>
  <c r="K592" i="21"/>
  <c r="L591" i="21"/>
  <c r="K591" i="21"/>
  <c r="L590" i="21"/>
  <c r="K590" i="21"/>
  <c r="L589" i="21"/>
  <c r="K589" i="21"/>
  <c r="L588" i="21"/>
  <c r="K588" i="21"/>
  <c r="L587" i="21"/>
  <c r="K587" i="21"/>
  <c r="L586" i="21"/>
  <c r="K586" i="21"/>
  <c r="J585" i="21"/>
  <c r="J584" i="21"/>
  <c r="J583" i="21"/>
  <c r="J582" i="21"/>
  <c r="J581" i="21"/>
  <c r="J580" i="21"/>
  <c r="J579" i="21"/>
  <c r="J578" i="21"/>
  <c r="J577" i="21"/>
  <c r="J576" i="21"/>
  <c r="J575" i="21"/>
  <c r="J574" i="21"/>
  <c r="J573" i="21"/>
  <c r="J572" i="21"/>
  <c r="J571" i="21"/>
  <c r="J570" i="21"/>
  <c r="J569" i="21"/>
  <c r="J568" i="21"/>
  <c r="J567" i="21"/>
  <c r="J566" i="21"/>
  <c r="J565" i="21"/>
  <c r="J564" i="21"/>
  <c r="M564" i="21" s="1"/>
  <c r="J563" i="21"/>
  <c r="L562" i="21"/>
  <c r="K562" i="21"/>
  <c r="L561" i="21"/>
  <c r="K561" i="21"/>
  <c r="L560" i="21"/>
  <c r="K560" i="21"/>
  <c r="L559" i="21"/>
  <c r="K559" i="21"/>
  <c r="L558" i="21"/>
  <c r="K558" i="21"/>
  <c r="L557" i="21"/>
  <c r="K557" i="21"/>
  <c r="L556" i="21"/>
  <c r="K556" i="21"/>
  <c r="L555" i="21"/>
  <c r="K555" i="21"/>
  <c r="L554" i="21"/>
  <c r="K554" i="21"/>
  <c r="L553" i="21"/>
  <c r="K553" i="21"/>
  <c r="L552" i="21"/>
  <c r="K552" i="21"/>
  <c r="J551" i="21"/>
  <c r="J550" i="21"/>
  <c r="J549" i="21"/>
  <c r="J548" i="21"/>
  <c r="M548" i="21" s="1"/>
  <c r="J547" i="21"/>
  <c r="J546" i="21"/>
  <c r="J545" i="21"/>
  <c r="J544" i="21"/>
  <c r="J543" i="21"/>
  <c r="J542" i="21"/>
  <c r="J541" i="21"/>
  <c r="J987" i="21"/>
  <c r="M987" i="21" s="1"/>
  <c r="J986" i="21"/>
  <c r="M986" i="21" s="1"/>
  <c r="M985" i="21"/>
  <c r="J985" i="21"/>
  <c r="J984" i="21"/>
  <c r="M984" i="21" s="1"/>
  <c r="M983" i="21"/>
  <c r="J983" i="21"/>
  <c r="J982" i="21"/>
  <c r="M982" i="21" s="1"/>
  <c r="J981" i="21"/>
  <c r="M981" i="21" s="1"/>
  <c r="J980" i="21"/>
  <c r="M980" i="21" s="1"/>
  <c r="J979" i="21"/>
  <c r="M979" i="21" s="1"/>
  <c r="J978" i="21"/>
  <c r="M978" i="21" s="1"/>
  <c r="M977" i="21"/>
  <c r="J977" i="21"/>
  <c r="J976" i="21"/>
  <c r="M975" i="21"/>
  <c r="M973" i="21"/>
  <c r="M972" i="21"/>
  <c r="M968" i="21"/>
  <c r="M967" i="21"/>
  <c r="M966" i="21"/>
  <c r="J963" i="21"/>
  <c r="M963" i="21" s="1"/>
  <c r="J962" i="21"/>
  <c r="M962" i="21" s="1"/>
  <c r="M961" i="21"/>
  <c r="J961" i="21"/>
  <c r="J960" i="21"/>
  <c r="M960" i="21" s="1"/>
  <c r="J959" i="21"/>
  <c r="M959" i="21" s="1"/>
  <c r="J958" i="21"/>
  <c r="M958" i="21" s="1"/>
  <c r="J957" i="21"/>
  <c r="M957" i="21" s="1"/>
  <c r="J956" i="21"/>
  <c r="M956" i="21" s="1"/>
  <c r="J955" i="21"/>
  <c r="M955" i="21" s="1"/>
  <c r="J954" i="21"/>
  <c r="M954" i="21" s="1"/>
  <c r="J953" i="21"/>
  <c r="M953" i="21" s="1"/>
  <c r="J952" i="21"/>
  <c r="M952" i="21" s="1"/>
  <c r="J951" i="21"/>
  <c r="M951" i="21" s="1"/>
  <c r="J950" i="21"/>
  <c r="M950" i="21" s="1"/>
  <c r="J949" i="21"/>
  <c r="M949" i="21" s="1"/>
  <c r="J948" i="21"/>
  <c r="M948" i="21" s="1"/>
  <c r="M947" i="21"/>
  <c r="J947" i="21"/>
  <c r="J946" i="21"/>
  <c r="M946" i="21" s="1"/>
  <c r="J945" i="21"/>
  <c r="M945" i="21" s="1"/>
  <c r="J944" i="21"/>
  <c r="M944" i="21" s="1"/>
  <c r="J943" i="21"/>
  <c r="M943" i="21" s="1"/>
  <c r="J942" i="21"/>
  <c r="M942" i="21" s="1"/>
  <c r="J941" i="21"/>
  <c r="M941" i="21" s="1"/>
  <c r="J940" i="21"/>
  <c r="M940" i="21" s="1"/>
  <c r="M939" i="21"/>
  <c r="J939" i="21"/>
  <c r="J938" i="21"/>
  <c r="M938" i="21" s="1"/>
  <c r="J937" i="21"/>
  <c r="M937" i="21" s="1"/>
  <c r="J936" i="21"/>
  <c r="M936" i="21" s="1"/>
  <c r="M935" i="21"/>
  <c r="J935" i="21"/>
  <c r="J934" i="21"/>
  <c r="M934" i="21" s="1"/>
  <c r="J933" i="21"/>
  <c r="M933" i="21" s="1"/>
  <c r="J932" i="21"/>
  <c r="M932" i="21" s="1"/>
  <c r="J931" i="21"/>
  <c r="M931" i="21" s="1"/>
  <c r="J930" i="21"/>
  <c r="M930" i="21" s="1"/>
  <c r="M929" i="21"/>
  <c r="J929" i="21"/>
  <c r="J928" i="21"/>
  <c r="M928" i="21" s="1"/>
  <c r="J927" i="21"/>
  <c r="M927" i="21" s="1"/>
  <c r="J926" i="21"/>
  <c r="M926" i="21" s="1"/>
  <c r="J925" i="21"/>
  <c r="M925" i="21" s="1"/>
  <c r="J924" i="21"/>
  <c r="M924" i="21" s="1"/>
  <c r="J923" i="21"/>
  <c r="M923" i="21" s="1"/>
  <c r="J922" i="21"/>
  <c r="M922" i="21" s="1"/>
  <c r="M921" i="21"/>
  <c r="J921" i="21"/>
  <c r="J920" i="21"/>
  <c r="M920" i="21" s="1"/>
  <c r="J919" i="21"/>
  <c r="M919" i="21" s="1"/>
  <c r="J918" i="21"/>
  <c r="M918" i="21" s="1"/>
  <c r="J917" i="21"/>
  <c r="M917" i="21" s="1"/>
  <c r="J916" i="21"/>
  <c r="M916" i="21" s="1"/>
  <c r="M915" i="21"/>
  <c r="J915" i="21"/>
  <c r="J914" i="21"/>
  <c r="M914" i="21" s="1"/>
  <c r="J913" i="21"/>
  <c r="M913" i="21" s="1"/>
  <c r="M912" i="21"/>
  <c r="J912" i="21"/>
  <c r="J911" i="21"/>
  <c r="M911" i="21" s="1"/>
  <c r="J910" i="21"/>
  <c r="M910" i="21" s="1"/>
  <c r="J909" i="21"/>
  <c r="M909" i="21" s="1"/>
  <c r="J908" i="21"/>
  <c r="M908" i="21" s="1"/>
  <c r="J907" i="21"/>
  <c r="M907" i="21" s="1"/>
  <c r="M906" i="21"/>
  <c r="J906" i="21"/>
  <c r="J905" i="21"/>
  <c r="M905" i="21" s="1"/>
  <c r="J904" i="21"/>
  <c r="M904" i="21" s="1"/>
  <c r="J903" i="21"/>
  <c r="M903" i="21" s="1"/>
  <c r="J902" i="21"/>
  <c r="M902" i="21" s="1"/>
  <c r="J901" i="21"/>
  <c r="M901" i="21" s="1"/>
  <c r="J900" i="21"/>
  <c r="M900" i="21" s="1"/>
  <c r="J899" i="21"/>
  <c r="M899" i="21" s="1"/>
  <c r="J898" i="21"/>
  <c r="M898" i="21" s="1"/>
  <c r="J897" i="21"/>
  <c r="M897" i="21" s="1"/>
  <c r="M896" i="21"/>
  <c r="J896" i="21"/>
  <c r="J895" i="21"/>
  <c r="M895" i="21" s="1"/>
  <c r="J894" i="21"/>
  <c r="M894" i="21" s="1"/>
  <c r="J893" i="21"/>
  <c r="M893" i="21" s="1"/>
  <c r="J892" i="21"/>
  <c r="M892" i="21" s="1"/>
  <c r="J891" i="21"/>
  <c r="M891" i="21" s="1"/>
  <c r="J890" i="21"/>
  <c r="M890" i="21" s="1"/>
  <c r="J889" i="21"/>
  <c r="M889" i="21" s="1"/>
  <c r="J888" i="21"/>
  <c r="M888" i="21" s="1"/>
  <c r="J887" i="21"/>
  <c r="M887" i="21" s="1"/>
  <c r="J886" i="21"/>
  <c r="M886" i="21" s="1"/>
  <c r="J885" i="21"/>
  <c r="M885" i="21" s="1"/>
  <c r="J884" i="21"/>
  <c r="M884" i="21" s="1"/>
  <c r="J883" i="21"/>
  <c r="M883" i="21" s="1"/>
  <c r="J882" i="21"/>
  <c r="M882" i="21" s="1"/>
  <c r="J881" i="21"/>
  <c r="M881" i="21" s="1"/>
  <c r="M880" i="21"/>
  <c r="J880" i="21"/>
  <c r="J879" i="21"/>
  <c r="M879" i="21" s="1"/>
  <c r="J878" i="21"/>
  <c r="M878" i="21" s="1"/>
  <c r="J877" i="21"/>
  <c r="M877" i="21" s="1"/>
  <c r="J876" i="21"/>
  <c r="M876" i="21" s="1"/>
  <c r="J875" i="21"/>
  <c r="M875" i="21" s="1"/>
  <c r="J874" i="21"/>
  <c r="M874" i="21" s="1"/>
  <c r="J873" i="21"/>
  <c r="M873" i="21" s="1"/>
  <c r="M872" i="21"/>
  <c r="J872" i="21"/>
  <c r="J871" i="21"/>
  <c r="M871" i="21" s="1"/>
  <c r="J870" i="21"/>
  <c r="M870" i="21" s="1"/>
  <c r="J869" i="21"/>
  <c r="M869" i="21" s="1"/>
  <c r="J868" i="21"/>
  <c r="M868" i="21" s="1"/>
  <c r="J867" i="21"/>
  <c r="M867" i="21" s="1"/>
  <c r="J866" i="21"/>
  <c r="M866" i="21" s="1"/>
  <c r="J865" i="21"/>
  <c r="M865" i="21" s="1"/>
  <c r="M864" i="21"/>
  <c r="J864" i="21"/>
  <c r="J863" i="21"/>
  <c r="M863" i="21" s="1"/>
  <c r="J862" i="21"/>
  <c r="M862" i="21" s="1"/>
  <c r="J861" i="21"/>
  <c r="M861" i="21" s="1"/>
  <c r="J860" i="21"/>
  <c r="M860" i="21" s="1"/>
  <c r="J859" i="21"/>
  <c r="M859" i="21" s="1"/>
  <c r="M858" i="21"/>
  <c r="J858" i="21"/>
  <c r="J857" i="21"/>
  <c r="M857" i="21" s="1"/>
  <c r="M856" i="21"/>
  <c r="J856" i="21"/>
  <c r="J855" i="21"/>
  <c r="M855" i="21" s="1"/>
  <c r="J854" i="21"/>
  <c r="M854" i="21" s="1"/>
  <c r="J853" i="21"/>
  <c r="M853" i="21" s="1"/>
  <c r="J852" i="21"/>
  <c r="M852" i="21" s="1"/>
  <c r="J851" i="21"/>
  <c r="M851" i="21" s="1"/>
  <c r="J850" i="21"/>
  <c r="M850" i="21" s="1"/>
  <c r="J849" i="21"/>
  <c r="M849" i="21" s="1"/>
  <c r="M848" i="21"/>
  <c r="J848" i="21"/>
  <c r="J847" i="21"/>
  <c r="M847" i="21" s="1"/>
  <c r="J846" i="21"/>
  <c r="M846" i="21" s="1"/>
  <c r="J845" i="21"/>
  <c r="M845" i="21" s="1"/>
  <c r="J844" i="21"/>
  <c r="M844" i="21" s="1"/>
  <c r="J843" i="21"/>
  <c r="M843" i="21" s="1"/>
  <c r="M842" i="21"/>
  <c r="J842" i="21"/>
  <c r="J841" i="21"/>
  <c r="M841" i="21" s="1"/>
  <c r="J840" i="21"/>
  <c r="M840" i="21" s="1"/>
  <c r="J839" i="21"/>
  <c r="M839" i="21" s="1"/>
  <c r="J838" i="21"/>
  <c r="M838" i="21" s="1"/>
  <c r="J837" i="21"/>
  <c r="M837" i="21" s="1"/>
  <c r="J836" i="21"/>
  <c r="M836" i="21" s="1"/>
  <c r="J835" i="21"/>
  <c r="M835" i="21" s="1"/>
  <c r="J834" i="21"/>
  <c r="M834" i="21" s="1"/>
  <c r="J833" i="21"/>
  <c r="M833" i="21" s="1"/>
  <c r="M832" i="21"/>
  <c r="J832" i="21"/>
  <c r="J831" i="21"/>
  <c r="M831" i="21" s="1"/>
  <c r="J830" i="21"/>
  <c r="M830" i="21" s="1"/>
  <c r="J829" i="21"/>
  <c r="M829" i="21" s="1"/>
  <c r="J828" i="21"/>
  <c r="M828" i="21" s="1"/>
  <c r="J827" i="21"/>
  <c r="M827" i="21" s="1"/>
  <c r="J826" i="21"/>
  <c r="M826" i="21" s="1"/>
  <c r="J825" i="21"/>
  <c r="M825" i="21" s="1"/>
  <c r="J824" i="21"/>
  <c r="M824" i="21" s="1"/>
  <c r="J823" i="21"/>
  <c r="M823" i="21" s="1"/>
  <c r="J822" i="21"/>
  <c r="M822" i="21" s="1"/>
  <c r="J821" i="21"/>
  <c r="M821" i="21" s="1"/>
  <c r="J820" i="21"/>
  <c r="M820" i="21" s="1"/>
  <c r="J819" i="21"/>
  <c r="M819" i="21" s="1"/>
  <c r="J818" i="21"/>
  <c r="M818" i="21" s="1"/>
  <c r="J817" i="21"/>
  <c r="M817" i="21" s="1"/>
  <c r="M816" i="21"/>
  <c r="J816" i="2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J809" i="21"/>
  <c r="M809" i="21" s="1"/>
  <c r="M808" i="21"/>
  <c r="J808" i="21"/>
  <c r="J807" i="21"/>
  <c r="M807" i="21" s="1"/>
  <c r="J806" i="21"/>
  <c r="M806" i="21" s="1"/>
  <c r="J805" i="21"/>
  <c r="M805" i="21" s="1"/>
  <c r="J804" i="21"/>
  <c r="M804" i="21" s="1"/>
  <c r="J803" i="21"/>
  <c r="M803" i="21" s="1"/>
  <c r="J802" i="21"/>
  <c r="M802" i="21" s="1"/>
  <c r="J801" i="21"/>
  <c r="M801" i="21" s="1"/>
  <c r="M800" i="21"/>
  <c r="J800" i="21"/>
  <c r="J799" i="21"/>
  <c r="M799" i="21" s="1"/>
  <c r="J798" i="21"/>
  <c r="M798" i="21" s="1"/>
  <c r="J797" i="21"/>
  <c r="M797" i="21" s="1"/>
  <c r="J796" i="21"/>
  <c r="M796" i="21" s="1"/>
  <c r="J795" i="21"/>
  <c r="M795" i="21" s="1"/>
  <c r="M794" i="21"/>
  <c r="J794" i="21"/>
  <c r="J793" i="21"/>
  <c r="M793" i="21" s="1"/>
  <c r="J792" i="21"/>
  <c r="M792" i="21" s="1"/>
  <c r="J791" i="21"/>
  <c r="M791" i="21" s="1"/>
  <c r="J790" i="21"/>
  <c r="J789" i="21"/>
  <c r="M789" i="21" s="1"/>
  <c r="J788" i="21"/>
  <c r="M788" i="21" s="1"/>
  <c r="J787" i="21"/>
  <c r="M787" i="21" s="1"/>
  <c r="J786" i="21"/>
  <c r="M786" i="21" s="1"/>
  <c r="J785" i="21"/>
  <c r="M785" i="21" s="1"/>
  <c r="J784" i="21"/>
  <c r="M784" i="21" s="1"/>
  <c r="J783" i="21"/>
  <c r="M783" i="21" s="1"/>
  <c r="J782" i="21"/>
  <c r="M782" i="21" s="1"/>
  <c r="J781" i="21"/>
  <c r="M781" i="21" s="1"/>
  <c r="J780" i="21"/>
  <c r="M780" i="21" s="1"/>
  <c r="J779" i="21"/>
  <c r="M779" i="21" s="1"/>
  <c r="M778" i="21"/>
  <c r="J778" i="21"/>
  <c r="J777" i="21"/>
  <c r="M777" i="21" s="1"/>
  <c r="J776" i="21"/>
  <c r="M776" i="21" s="1"/>
  <c r="J775" i="21"/>
  <c r="M775" i="21" s="1"/>
  <c r="J774" i="21"/>
  <c r="M774" i="21" s="1"/>
  <c r="J773" i="21"/>
  <c r="M773" i="21" s="1"/>
  <c r="J772" i="21"/>
  <c r="M772" i="21" s="1"/>
  <c r="J771" i="21"/>
  <c r="M771" i="21" s="1"/>
  <c r="J770" i="21"/>
  <c r="M770" i="21" s="1"/>
  <c r="J769" i="21"/>
  <c r="M769" i="21" s="1"/>
  <c r="J768" i="21"/>
  <c r="M768" i="21" s="1"/>
  <c r="J767" i="21"/>
  <c r="M767" i="21" s="1"/>
  <c r="J766" i="21"/>
  <c r="M766" i="21" s="1"/>
  <c r="J765" i="21"/>
  <c r="M765" i="21" s="1"/>
  <c r="M764" i="21"/>
  <c r="J764" i="21"/>
  <c r="J763" i="21"/>
  <c r="M763" i="21" s="1"/>
  <c r="J762" i="21"/>
  <c r="M762" i="21" s="1"/>
  <c r="J761" i="21"/>
  <c r="M761" i="21" s="1"/>
  <c r="J760" i="21"/>
  <c r="M760" i="21" s="1"/>
  <c r="J759" i="21"/>
  <c r="M759" i="21" s="1"/>
  <c r="J758" i="21"/>
  <c r="J757" i="21"/>
  <c r="M757" i="21" s="1"/>
  <c r="J756" i="21"/>
  <c r="M756" i="21" s="1"/>
  <c r="J755" i="21"/>
  <c r="M755" i="21" s="1"/>
  <c r="J754" i="21"/>
  <c r="M754" i="21" s="1"/>
  <c r="M753" i="21"/>
  <c r="J753" i="21"/>
  <c r="J752" i="21"/>
  <c r="M752" i="21" s="1"/>
  <c r="J751" i="21"/>
  <c r="M751" i="21" s="1"/>
  <c r="J750" i="21"/>
  <c r="M750" i="21" s="1"/>
  <c r="J749" i="21"/>
  <c r="M749" i="21" s="1"/>
  <c r="J748" i="21"/>
  <c r="M748" i="21" s="1"/>
  <c r="J747" i="21"/>
  <c r="M747" i="21" s="1"/>
  <c r="J746" i="21"/>
  <c r="M746" i="21" s="1"/>
  <c r="M745" i="21"/>
  <c r="J745" i="21"/>
  <c r="J744" i="21"/>
  <c r="M744" i="21" s="1"/>
  <c r="M743" i="21"/>
  <c r="J743" i="21"/>
  <c r="J742" i="21"/>
  <c r="M742" i="21" s="1"/>
  <c r="J741" i="21"/>
  <c r="M741" i="21" s="1"/>
  <c r="J740" i="21"/>
  <c r="M740" i="21" s="1"/>
  <c r="J739" i="21"/>
  <c r="M739" i="21" s="1"/>
  <c r="J738" i="21"/>
  <c r="M738" i="21" s="1"/>
  <c r="M737" i="21"/>
  <c r="J737" i="21"/>
  <c r="J736" i="21"/>
  <c r="M736" i="21" s="1"/>
  <c r="J735" i="21"/>
  <c r="M735" i="21" s="1"/>
  <c r="J734" i="21"/>
  <c r="M734" i="21" s="1"/>
  <c r="J733" i="21"/>
  <c r="M733" i="21" s="1"/>
  <c r="J732" i="21"/>
  <c r="M732" i="21" s="1"/>
  <c r="J731" i="21"/>
  <c r="M731" i="21" s="1"/>
  <c r="J730" i="21"/>
  <c r="M730" i="21" s="1"/>
  <c r="M729" i="21"/>
  <c r="J729" i="21"/>
  <c r="J728" i="21"/>
  <c r="M728" i="21" s="1"/>
  <c r="M727" i="21"/>
  <c r="J727" i="21"/>
  <c r="J726" i="21"/>
  <c r="M726" i="21" s="1"/>
  <c r="J725" i="21"/>
  <c r="M725" i="21" s="1"/>
  <c r="J724" i="21"/>
  <c r="M724" i="21" s="1"/>
  <c r="J723" i="21"/>
  <c r="M723" i="21" s="1"/>
  <c r="J722" i="21"/>
  <c r="M722" i="21" s="1"/>
  <c r="M721" i="21"/>
  <c r="J721" i="21"/>
  <c r="J720" i="21"/>
  <c r="M720" i="21" s="1"/>
  <c r="J719" i="21"/>
  <c r="M719" i="21" s="1"/>
  <c r="J718" i="21"/>
  <c r="M718" i="21" s="1"/>
  <c r="J717" i="21"/>
  <c r="M717" i="21" s="1"/>
  <c r="J716" i="21"/>
  <c r="M716" i="21" s="1"/>
  <c r="M715" i="21"/>
  <c r="J715" i="21"/>
  <c r="J714" i="21"/>
  <c r="M714" i="21" s="1"/>
  <c r="J713" i="21"/>
  <c r="M713" i="21" s="1"/>
  <c r="J712" i="21"/>
  <c r="M712" i="21" s="1"/>
  <c r="J711" i="21"/>
  <c r="M711" i="21" s="1"/>
  <c r="J710" i="21"/>
  <c r="M710" i="21" s="1"/>
  <c r="J709" i="21"/>
  <c r="M709" i="21" s="1"/>
  <c r="J708" i="21"/>
  <c r="M708" i="21" s="1"/>
  <c r="M707" i="21"/>
  <c r="J707" i="21"/>
  <c r="J706" i="21"/>
  <c r="M706" i="21" s="1"/>
  <c r="J705" i="21"/>
  <c r="M705" i="21" s="1"/>
  <c r="J704" i="21"/>
  <c r="M704" i="21" s="1"/>
  <c r="J703" i="21"/>
  <c r="M703" i="21" s="1"/>
  <c r="J702" i="21"/>
  <c r="M702" i="21" s="1"/>
  <c r="J701" i="21"/>
  <c r="M701" i="21" s="1"/>
  <c r="J700" i="21"/>
  <c r="M700" i="21" s="1"/>
  <c r="M699" i="21"/>
  <c r="J699" i="21"/>
  <c r="J698" i="21"/>
  <c r="M698" i="21" s="1"/>
  <c r="J697" i="21"/>
  <c r="M697" i="21" s="1"/>
  <c r="J696" i="21"/>
  <c r="M696" i="21" s="1"/>
  <c r="J695" i="21"/>
  <c r="M695" i="21" s="1"/>
  <c r="J694" i="21"/>
  <c r="M694" i="21" s="1"/>
  <c r="J693" i="21"/>
  <c r="M693" i="21" s="1"/>
  <c r="J692" i="21"/>
  <c r="M692" i="21" s="1"/>
  <c r="M691" i="21"/>
  <c r="J691" i="21"/>
  <c r="J690" i="21"/>
  <c r="M690" i="21" s="1"/>
  <c r="J689" i="21"/>
  <c r="M689" i="21" s="1"/>
  <c r="J688" i="21"/>
  <c r="M688" i="21" s="1"/>
  <c r="J687" i="21"/>
  <c r="M687" i="21" s="1"/>
  <c r="J686" i="21"/>
  <c r="M686" i="21" s="1"/>
  <c r="J685" i="21"/>
  <c r="M685" i="21" s="1"/>
  <c r="J684" i="21"/>
  <c r="M684" i="21" s="1"/>
  <c r="M683" i="21"/>
  <c r="J683" i="21"/>
  <c r="J682" i="21"/>
  <c r="M682" i="21" s="1"/>
  <c r="J681" i="21"/>
  <c r="M681" i="21" s="1"/>
  <c r="J680" i="21"/>
  <c r="M680" i="21" s="1"/>
  <c r="J679" i="21"/>
  <c r="M679" i="21" s="1"/>
  <c r="M678" i="21"/>
  <c r="J678" i="21"/>
  <c r="J677" i="21"/>
  <c r="M677" i="21" s="1"/>
  <c r="M676" i="21"/>
  <c r="J676" i="21"/>
  <c r="J675" i="21"/>
  <c r="M675" i="21" s="1"/>
  <c r="J674" i="21"/>
  <c r="M674" i="21" s="1"/>
  <c r="J673" i="21"/>
  <c r="M673" i="21" s="1"/>
  <c r="M672" i="21"/>
  <c r="J672" i="21"/>
  <c r="J671" i="21"/>
  <c r="M671" i="21" s="1"/>
  <c r="J670" i="21"/>
  <c r="M670" i="21" s="1"/>
  <c r="M669" i="21"/>
  <c r="J669" i="21"/>
  <c r="J668" i="21"/>
  <c r="M668" i="21" s="1"/>
  <c r="J667" i="21"/>
  <c r="M667" i="21" s="1"/>
  <c r="J666" i="21"/>
  <c r="M666" i="21" s="1"/>
  <c r="J665" i="21"/>
  <c r="M665" i="21" s="1"/>
  <c r="J664" i="21"/>
  <c r="M664" i="21" s="1"/>
  <c r="J663" i="21"/>
  <c r="M663" i="21" s="1"/>
  <c r="M662" i="21"/>
  <c r="J662" i="21"/>
  <c r="J661" i="21"/>
  <c r="M661" i="21" s="1"/>
  <c r="M660" i="21"/>
  <c r="J660" i="21"/>
  <c r="J659" i="21"/>
  <c r="M659" i="21" s="1"/>
  <c r="J658" i="21"/>
  <c r="M658" i="21" s="1"/>
  <c r="J657" i="21"/>
  <c r="M657" i="21" s="1"/>
  <c r="J656" i="21"/>
  <c r="M656" i="21" s="1"/>
  <c r="J655" i="21"/>
  <c r="M655" i="21" s="1"/>
  <c r="J654" i="21"/>
  <c r="M654" i="21" s="1"/>
  <c r="M653" i="21"/>
  <c r="J653" i="21"/>
  <c r="J652" i="21"/>
  <c r="M652" i="21" s="1"/>
  <c r="J651" i="21"/>
  <c r="M651" i="21" s="1"/>
  <c r="J650" i="21"/>
  <c r="M650" i="21" s="1"/>
  <c r="J649" i="21"/>
  <c r="M649" i="21" s="1"/>
  <c r="J648" i="21"/>
  <c r="M648" i="21" s="1"/>
  <c r="J647" i="21"/>
  <c r="M647" i="21" s="1"/>
  <c r="M646" i="21"/>
  <c r="J646" i="21"/>
  <c r="J645" i="21"/>
  <c r="M645" i="21" s="1"/>
  <c r="M644" i="21"/>
  <c r="J644" i="21"/>
  <c r="J643" i="21"/>
  <c r="M643" i="21" s="1"/>
  <c r="J642" i="21"/>
  <c r="M642" i="21" s="1"/>
  <c r="J641" i="21"/>
  <c r="M641" i="21" s="1"/>
  <c r="M640" i="21"/>
  <c r="J640" i="21"/>
  <c r="J639" i="21"/>
  <c r="M639" i="21" s="1"/>
  <c r="J638" i="21"/>
  <c r="M638" i="21" s="1"/>
  <c r="M637" i="21"/>
  <c r="J637" i="21"/>
  <c r="J636" i="21"/>
  <c r="M636" i="21" s="1"/>
  <c r="J635" i="21"/>
  <c r="M635" i="21" s="1"/>
  <c r="J634" i="21"/>
  <c r="M634" i="21" s="1"/>
  <c r="J633" i="21"/>
  <c r="M633" i="21" s="1"/>
  <c r="M632" i="21"/>
  <c r="J632" i="21"/>
  <c r="J631" i="21"/>
  <c r="M631" i="21" s="1"/>
  <c r="J630" i="21"/>
  <c r="M630" i="21" s="1"/>
  <c r="J629" i="21"/>
  <c r="M629" i="21" s="1"/>
  <c r="J628" i="21"/>
  <c r="M628" i="21" s="1"/>
  <c r="J627" i="21"/>
  <c r="M627" i="21" s="1"/>
  <c r="J626" i="21"/>
  <c r="M626" i="21" s="1"/>
  <c r="J625" i="21"/>
  <c r="M625" i="21" s="1"/>
  <c r="M624" i="21"/>
  <c r="J624" i="21"/>
  <c r="J623" i="21"/>
  <c r="M623" i="21" s="1"/>
  <c r="J622" i="21"/>
  <c r="M622" i="21" s="1"/>
  <c r="J621" i="21"/>
  <c r="M621" i="21" s="1"/>
  <c r="J620" i="21"/>
  <c r="M620" i="21" s="1"/>
  <c r="J619" i="21"/>
  <c r="M619" i="21" s="1"/>
  <c r="J618" i="21"/>
  <c r="M618" i="21" s="1"/>
  <c r="J617" i="21"/>
  <c r="M617" i="21" s="1"/>
  <c r="M616" i="21"/>
  <c r="J616" i="21"/>
  <c r="J615" i="21"/>
  <c r="M615" i="21" s="1"/>
  <c r="J614" i="21"/>
  <c r="M614" i="21" s="1"/>
  <c r="J613" i="21"/>
  <c r="M613" i="21" s="1"/>
  <c r="J612" i="21"/>
  <c r="M612" i="21" s="1"/>
  <c r="J611" i="21"/>
  <c r="M611" i="21" s="1"/>
  <c r="J610" i="21"/>
  <c r="M610" i="21" s="1"/>
  <c r="M609" i="21"/>
  <c r="M608" i="21"/>
  <c r="M607" i="21"/>
  <c r="M606" i="21"/>
  <c r="M605" i="21"/>
  <c r="M604" i="21"/>
  <c r="M603" i="21"/>
  <c r="M602" i="21"/>
  <c r="M601" i="21"/>
  <c r="M600" i="21"/>
  <c r="M599" i="21"/>
  <c r="M598" i="21"/>
  <c r="O597" i="21"/>
  <c r="N597" i="21"/>
  <c r="O596" i="21"/>
  <c r="N596" i="21"/>
  <c r="O595" i="21"/>
  <c r="N595" i="21"/>
  <c r="O594" i="21"/>
  <c r="N594" i="21"/>
  <c r="O593" i="21"/>
  <c r="N593" i="21"/>
  <c r="O592" i="21"/>
  <c r="N592" i="21"/>
  <c r="O591" i="21"/>
  <c r="N591" i="21"/>
  <c r="O590" i="21"/>
  <c r="N590" i="21"/>
  <c r="O589" i="21"/>
  <c r="N589" i="21"/>
  <c r="O588" i="21"/>
  <c r="N588" i="21"/>
  <c r="O587" i="21"/>
  <c r="N587" i="21"/>
  <c r="O586" i="21"/>
  <c r="N586" i="21"/>
  <c r="M585" i="21"/>
  <c r="M584" i="21"/>
  <c r="M583" i="21"/>
  <c r="M582" i="21"/>
  <c r="M581" i="21"/>
  <c r="M580" i="21"/>
  <c r="M579" i="21"/>
  <c r="M578" i="21"/>
  <c r="M577" i="21"/>
  <c r="M576" i="21"/>
  <c r="M575" i="21"/>
  <c r="M574" i="21"/>
  <c r="M573" i="21"/>
  <c r="M572" i="21"/>
  <c r="M571" i="21"/>
  <c r="M570" i="21"/>
  <c r="M569" i="21"/>
  <c r="M568" i="21"/>
  <c r="M567" i="21"/>
  <c r="M566" i="21"/>
  <c r="M565" i="21"/>
  <c r="M563" i="21"/>
  <c r="O562" i="21"/>
  <c r="N562" i="21"/>
  <c r="O561" i="21"/>
  <c r="N561" i="21"/>
  <c r="O560" i="21"/>
  <c r="N560" i="21"/>
  <c r="O559" i="21"/>
  <c r="N559" i="21"/>
  <c r="O558" i="21"/>
  <c r="N558" i="21"/>
  <c r="O557" i="21"/>
  <c r="N557" i="21"/>
  <c r="O556" i="21"/>
  <c r="N556" i="21"/>
  <c r="O555" i="21"/>
  <c r="N555" i="21"/>
  <c r="O554" i="21"/>
  <c r="N554" i="21"/>
  <c r="O553" i="21"/>
  <c r="N553" i="21"/>
  <c r="O552" i="21"/>
  <c r="N552" i="21"/>
  <c r="M551" i="21"/>
  <c r="M550" i="21"/>
  <c r="M549" i="21"/>
  <c r="M547" i="21"/>
  <c r="M546" i="21"/>
  <c r="M545" i="21"/>
  <c r="M544" i="21"/>
  <c r="M543" i="21"/>
  <c r="M542" i="21"/>
  <c r="M541" i="21"/>
  <c r="J540" i="21"/>
  <c r="M540" i="21" s="1"/>
  <c r="J539" i="21"/>
  <c r="M539" i="21" s="1"/>
  <c r="M538" i="21"/>
  <c r="J538" i="21"/>
  <c r="J537" i="21"/>
  <c r="M537" i="21" s="1"/>
  <c r="J536" i="21"/>
  <c r="M536" i="21" s="1"/>
  <c r="J535" i="21"/>
  <c r="M535" i="21" s="1"/>
  <c r="J534" i="21"/>
  <c r="M534" i="21" s="1"/>
  <c r="J533" i="21"/>
  <c r="M533" i="21" s="1"/>
  <c r="J532" i="21"/>
  <c r="M532" i="21" s="1"/>
  <c r="J531" i="21"/>
  <c r="M531" i="21" s="1"/>
  <c r="M530" i="21"/>
  <c r="J530" i="21"/>
  <c r="N529" i="21"/>
  <c r="L529" i="21"/>
  <c r="O529" i="21" s="1"/>
  <c r="K529" i="21"/>
  <c r="L528" i="21"/>
  <c r="O528" i="21" s="1"/>
  <c r="K528" i="21"/>
  <c r="N528" i="21" s="1"/>
  <c r="L527" i="21"/>
  <c r="O527" i="21" s="1"/>
  <c r="K527" i="21"/>
  <c r="N527" i="21" s="1"/>
  <c r="L526" i="21"/>
  <c r="O526" i="21" s="1"/>
  <c r="K526" i="21"/>
  <c r="N526" i="21" s="1"/>
  <c r="O525" i="21"/>
  <c r="L525" i="21"/>
  <c r="K525" i="21"/>
  <c r="N525" i="21" s="1"/>
  <c r="N524" i="21"/>
  <c r="L524" i="21"/>
  <c r="O524" i="21" s="1"/>
  <c r="K524" i="21"/>
  <c r="O523" i="21"/>
  <c r="N523" i="21"/>
  <c r="L523" i="21"/>
  <c r="K523" i="21"/>
  <c r="N522" i="21"/>
  <c r="L522" i="21"/>
  <c r="O522" i="21" s="1"/>
  <c r="K522" i="21"/>
  <c r="N521" i="21"/>
  <c r="L521" i="21"/>
  <c r="O521" i="21" s="1"/>
  <c r="K521" i="21"/>
  <c r="L520" i="21"/>
  <c r="O520" i="21" s="1"/>
  <c r="K520" i="21"/>
  <c r="N520" i="21" s="1"/>
  <c r="L519" i="21"/>
  <c r="O519" i="21" s="1"/>
  <c r="K519" i="21"/>
  <c r="N519" i="21" s="1"/>
  <c r="L518" i="21"/>
  <c r="O518" i="21" s="1"/>
  <c r="K518" i="21"/>
  <c r="N518" i="21" s="1"/>
  <c r="J517" i="21"/>
  <c r="M517" i="21" s="1"/>
  <c r="J516" i="21"/>
  <c r="M516" i="21" s="1"/>
  <c r="J515" i="21"/>
  <c r="M515" i="21" s="1"/>
  <c r="M514" i="21"/>
  <c r="J514" i="21"/>
  <c r="J513" i="21"/>
  <c r="M513" i="21" s="1"/>
  <c r="M512" i="21"/>
  <c r="J512" i="21"/>
  <c r="J511" i="21"/>
  <c r="M511" i="21" s="1"/>
  <c r="J510" i="21"/>
  <c r="M510" i="21" s="1"/>
  <c r="J509" i="21"/>
  <c r="M509" i="21" s="1"/>
  <c r="J508" i="21"/>
  <c r="M508" i="21" s="1"/>
  <c r="J507" i="21"/>
  <c r="M507" i="21" s="1"/>
  <c r="M506" i="21"/>
  <c r="J506" i="21"/>
  <c r="J505" i="21"/>
  <c r="M505" i="21" s="1"/>
  <c r="J504" i="21"/>
  <c r="M504" i="21" s="1"/>
  <c r="J503" i="21"/>
  <c r="M503" i="21" s="1"/>
  <c r="J502" i="21"/>
  <c r="M502" i="21" s="1"/>
  <c r="J501" i="21"/>
  <c r="M501" i="21" s="1"/>
  <c r="J500" i="21"/>
  <c r="M500" i="21" s="1"/>
  <c r="J499" i="21"/>
  <c r="M499" i="21" s="1"/>
  <c r="M498" i="21"/>
  <c r="J498" i="21"/>
  <c r="J497" i="21"/>
  <c r="M497" i="21" s="1"/>
  <c r="M496" i="21"/>
  <c r="J496" i="21"/>
  <c r="J495" i="21"/>
  <c r="M495" i="21" s="1"/>
  <c r="J494" i="21"/>
  <c r="M494" i="21" s="1"/>
  <c r="J493" i="21"/>
  <c r="M493" i="21" s="1"/>
  <c r="J492" i="21"/>
  <c r="M492" i="21" s="1"/>
  <c r="J491" i="21"/>
  <c r="M491" i="21" s="1"/>
  <c r="M490" i="21"/>
  <c r="J490" i="21"/>
  <c r="J489" i="21"/>
  <c r="M489" i="21" s="1"/>
  <c r="J488" i="21"/>
  <c r="M488" i="21" s="1"/>
  <c r="J487" i="21"/>
  <c r="M487" i="21" s="1"/>
  <c r="J486" i="21"/>
  <c r="M486" i="21" s="1"/>
  <c r="J485" i="21"/>
  <c r="M485" i="21" s="1"/>
  <c r="J484" i="21"/>
  <c r="M484" i="21" s="1"/>
  <c r="J483" i="21"/>
  <c r="M483" i="21" s="1"/>
  <c r="N482" i="21"/>
  <c r="L482" i="21"/>
  <c r="O482" i="21" s="1"/>
  <c r="K482" i="21"/>
  <c r="O481" i="21"/>
  <c r="N481" i="21"/>
  <c r="L481" i="21"/>
  <c r="K481" i="21"/>
  <c r="N480" i="21"/>
  <c r="L480" i="21"/>
  <c r="O480" i="21" s="1"/>
  <c r="K480" i="21"/>
  <c r="L479" i="21"/>
  <c r="O479" i="21" s="1"/>
  <c r="K479" i="21"/>
  <c r="N479" i="21" s="1"/>
  <c r="L478" i="21"/>
  <c r="O478" i="21" s="1"/>
  <c r="K478" i="21"/>
  <c r="N478" i="21" s="1"/>
  <c r="N477" i="21"/>
  <c r="L477" i="21"/>
  <c r="O477" i="21" s="1"/>
  <c r="K477" i="21"/>
  <c r="N476" i="21"/>
  <c r="L476" i="21"/>
  <c r="O476" i="21" s="1"/>
  <c r="K476" i="21"/>
  <c r="L475" i="21"/>
  <c r="O475" i="21" s="1"/>
  <c r="K475" i="21"/>
  <c r="N475" i="21" s="1"/>
  <c r="L474" i="21"/>
  <c r="O474" i="21" s="1"/>
  <c r="K474" i="21"/>
  <c r="N474" i="21" s="1"/>
  <c r="N473" i="21"/>
  <c r="L473" i="21"/>
  <c r="O473" i="21" s="1"/>
  <c r="K473" i="21"/>
  <c r="N472" i="21"/>
  <c r="L472" i="21"/>
  <c r="O472" i="21" s="1"/>
  <c r="K472" i="21"/>
  <c r="L471" i="21"/>
  <c r="O471" i="21" s="1"/>
  <c r="K471" i="21"/>
  <c r="N471" i="21" s="1"/>
  <c r="L470" i="21"/>
  <c r="O470" i="21" s="1"/>
  <c r="K470" i="21"/>
  <c r="N470" i="21" s="1"/>
  <c r="N469" i="21"/>
  <c r="L469" i="21"/>
  <c r="O469" i="21" s="1"/>
  <c r="K469" i="21"/>
  <c r="N468" i="21"/>
  <c r="L468" i="21"/>
  <c r="O468" i="21" s="1"/>
  <c r="K468" i="21"/>
  <c r="L467" i="21"/>
  <c r="O467" i="21" s="1"/>
  <c r="K467" i="21"/>
  <c r="N467" i="21" s="1"/>
  <c r="L466" i="21"/>
  <c r="O466" i="21" s="1"/>
  <c r="K466" i="21"/>
  <c r="N466" i="21" s="1"/>
  <c r="N465" i="21"/>
  <c r="L465" i="21"/>
  <c r="O465" i="21" s="1"/>
  <c r="K465" i="21"/>
  <c r="N464" i="21"/>
  <c r="L464" i="21"/>
  <c r="O464" i="21" s="1"/>
  <c r="K464" i="21"/>
  <c r="L463" i="21"/>
  <c r="O463" i="21" s="1"/>
  <c r="K463" i="21"/>
  <c r="N463" i="21" s="1"/>
  <c r="L462" i="21"/>
  <c r="O462" i="21" s="1"/>
  <c r="K462" i="21"/>
  <c r="N462" i="21" s="1"/>
  <c r="N461" i="21"/>
  <c r="L461" i="21"/>
  <c r="O461" i="21" s="1"/>
  <c r="K461" i="21"/>
  <c r="N460" i="21"/>
  <c r="L460" i="21"/>
  <c r="O460" i="21" s="1"/>
  <c r="K460" i="21"/>
  <c r="J459" i="21"/>
  <c r="M459" i="21" s="1"/>
  <c r="J458" i="21"/>
  <c r="M458" i="21" s="1"/>
  <c r="J457" i="21"/>
  <c r="M457" i="21" s="1"/>
  <c r="J456" i="21"/>
  <c r="M456" i="21" s="1"/>
  <c r="J455" i="21"/>
  <c r="M455" i="21" s="1"/>
  <c r="J454" i="21"/>
  <c r="M454" i="21" s="1"/>
  <c r="J453" i="21"/>
  <c r="M453" i="21" s="1"/>
  <c r="J452" i="21"/>
  <c r="M452" i="21" s="1"/>
  <c r="J451" i="21"/>
  <c r="M451" i="21" s="1"/>
  <c r="J450" i="21"/>
  <c r="M450" i="21" s="1"/>
  <c r="J449" i="21"/>
  <c r="M449" i="21" s="1"/>
  <c r="J448" i="21"/>
  <c r="M448" i="21" s="1"/>
  <c r="J447" i="21"/>
  <c r="M447" i="21" s="1"/>
  <c r="M446" i="21"/>
  <c r="J446" i="21"/>
  <c r="J445" i="21"/>
  <c r="M445" i="21" s="1"/>
  <c r="J444" i="21"/>
  <c r="M444" i="21" s="1"/>
  <c r="J443" i="21"/>
  <c r="M443" i="21" s="1"/>
  <c r="J442" i="21"/>
  <c r="M442" i="21" s="1"/>
  <c r="J441" i="21"/>
  <c r="M441" i="21" s="1"/>
  <c r="J440" i="21"/>
  <c r="M440" i="21" s="1"/>
  <c r="J439" i="21"/>
  <c r="M439" i="21" s="1"/>
  <c r="M438" i="21"/>
  <c r="J438" i="21"/>
  <c r="J437" i="21"/>
  <c r="M437" i="21" s="1"/>
  <c r="L436" i="21"/>
  <c r="O436" i="21" s="1"/>
  <c r="J436" i="21"/>
  <c r="M436" i="21" s="1"/>
  <c r="J435" i="21"/>
  <c r="M435" i="21" s="1"/>
  <c r="J434" i="21"/>
  <c r="M434" i="21" s="1"/>
  <c r="L433" i="21"/>
  <c r="O433" i="21" s="1"/>
  <c r="J433" i="21"/>
  <c r="M433" i="21" s="1"/>
  <c r="J432" i="21"/>
  <c r="M432" i="21" s="1"/>
  <c r="J431" i="21"/>
  <c r="M431" i="21" s="1"/>
  <c r="M430" i="21"/>
  <c r="L430" i="21"/>
  <c r="O430" i="21" s="1"/>
  <c r="J430" i="21"/>
  <c r="J429" i="21"/>
  <c r="M429" i="21" s="1"/>
  <c r="J428" i="21"/>
  <c r="M428" i="21" s="1"/>
  <c r="L427" i="21"/>
  <c r="O427" i="21" s="1"/>
  <c r="J427" i="21"/>
  <c r="M427" i="21" s="1"/>
  <c r="J426" i="21"/>
  <c r="M426" i="21" s="1"/>
  <c r="J425" i="21"/>
  <c r="M425" i="21" s="1"/>
  <c r="L424" i="21"/>
  <c r="O424" i="21" s="1"/>
  <c r="J424" i="21"/>
  <c r="M424" i="21" s="1"/>
  <c r="J423" i="21"/>
  <c r="M423" i="21" s="1"/>
  <c r="M422" i="21"/>
  <c r="J422" i="21"/>
  <c r="O421" i="21"/>
  <c r="L421" i="21"/>
  <c r="J421" i="21"/>
  <c r="M421" i="21" s="1"/>
  <c r="J420" i="21"/>
  <c r="M420" i="21" s="1"/>
  <c r="J419" i="21"/>
  <c r="M419" i="21" s="1"/>
  <c r="L418" i="21"/>
  <c r="O418" i="21" s="1"/>
  <c r="J418" i="21"/>
  <c r="M418" i="21" s="1"/>
  <c r="J417" i="21"/>
  <c r="M417" i="21" s="1"/>
  <c r="M416" i="21"/>
  <c r="L416" i="21"/>
  <c r="O416" i="21" s="1"/>
  <c r="J416" i="21"/>
  <c r="J415" i="21"/>
  <c r="M415" i="21" s="1"/>
  <c r="M414" i="21"/>
  <c r="L414" i="21"/>
  <c r="O414" i="21" s="1"/>
  <c r="J414" i="21"/>
  <c r="J413" i="21"/>
  <c r="M413" i="21" s="1"/>
  <c r="M412" i="21"/>
  <c r="L412" i="21"/>
  <c r="O412" i="21" s="1"/>
  <c r="J412" i="21"/>
  <c r="J411" i="21"/>
  <c r="M411" i="21" s="1"/>
  <c r="M410" i="21"/>
  <c r="L410" i="21"/>
  <c r="O410" i="21" s="1"/>
  <c r="J410" i="21"/>
  <c r="J409" i="21"/>
  <c r="M409" i="21" s="1"/>
  <c r="M408" i="21"/>
  <c r="L408" i="21"/>
  <c r="O408" i="21" s="1"/>
  <c r="J408" i="21"/>
  <c r="J407" i="21"/>
  <c r="M407" i="21" s="1"/>
  <c r="L406" i="21"/>
  <c r="O406" i="21" s="1"/>
  <c r="K406" i="21"/>
  <c r="N406" i="21" s="1"/>
  <c r="O405" i="21"/>
  <c r="L405" i="21"/>
  <c r="K405" i="21"/>
  <c r="N405" i="21" s="1"/>
  <c r="L404" i="21"/>
  <c r="O404" i="21" s="1"/>
  <c r="K404" i="21"/>
  <c r="N404" i="21" s="1"/>
  <c r="L403" i="21"/>
  <c r="O403" i="21" s="1"/>
  <c r="K403" i="21"/>
  <c r="N403" i="21" s="1"/>
  <c r="L402" i="21"/>
  <c r="O402" i="21" s="1"/>
  <c r="K402" i="21"/>
  <c r="N402" i="21" s="1"/>
  <c r="L401" i="21"/>
  <c r="O401" i="21" s="1"/>
  <c r="K401" i="21"/>
  <c r="N401" i="21" s="1"/>
  <c r="L400" i="21"/>
  <c r="O400" i="21" s="1"/>
  <c r="K400" i="21"/>
  <c r="N400" i="21" s="1"/>
  <c r="O399" i="21"/>
  <c r="L399" i="21"/>
  <c r="K399" i="21"/>
  <c r="N399" i="21" s="1"/>
  <c r="L398" i="21"/>
  <c r="O398" i="21" s="1"/>
  <c r="K398" i="21"/>
  <c r="N398" i="21" s="1"/>
  <c r="O397" i="21"/>
  <c r="L397" i="21"/>
  <c r="K397" i="21"/>
  <c r="N397" i="21" s="1"/>
  <c r="L396" i="21"/>
  <c r="O396" i="21" s="1"/>
  <c r="K396" i="21"/>
  <c r="N396" i="21" s="1"/>
  <c r="L395" i="21"/>
  <c r="O395" i="21" s="1"/>
  <c r="K395" i="21"/>
  <c r="N395" i="21" s="1"/>
  <c r="L394" i="21"/>
  <c r="O394" i="21" s="1"/>
  <c r="K394" i="21"/>
  <c r="N394" i="21" s="1"/>
  <c r="L393" i="21"/>
  <c r="O393" i="21" s="1"/>
  <c r="K393" i="21"/>
  <c r="N393" i="21" s="1"/>
  <c r="L392" i="21"/>
  <c r="O392" i="21" s="1"/>
  <c r="K392" i="21"/>
  <c r="N392" i="21" s="1"/>
  <c r="L391" i="21"/>
  <c r="O391" i="21" s="1"/>
  <c r="K391" i="21"/>
  <c r="N391" i="21" s="1"/>
  <c r="L390" i="21"/>
  <c r="O390" i="21" s="1"/>
  <c r="K390" i="21"/>
  <c r="N390" i="21" s="1"/>
  <c r="O389" i="21"/>
  <c r="L389" i="21"/>
  <c r="K389" i="21"/>
  <c r="N389" i="21" s="1"/>
  <c r="L388" i="21"/>
  <c r="O388" i="21" s="1"/>
  <c r="K388" i="21"/>
  <c r="N388" i="21" s="1"/>
  <c r="L387" i="21"/>
  <c r="O387" i="21" s="1"/>
  <c r="K387" i="21"/>
  <c r="N387" i="21" s="1"/>
  <c r="L386" i="21"/>
  <c r="O386" i="21" s="1"/>
  <c r="K386" i="21"/>
  <c r="N386" i="21" s="1"/>
  <c r="L385" i="21"/>
  <c r="O385" i="21" s="1"/>
  <c r="K385" i="21"/>
  <c r="N385" i="21" s="1"/>
  <c r="L384" i="21"/>
  <c r="O384" i="21" s="1"/>
  <c r="K384" i="21"/>
  <c r="N384" i="21" s="1"/>
  <c r="L383" i="21"/>
  <c r="O383" i="21" s="1"/>
  <c r="K383" i="21"/>
  <c r="N383" i="21" s="1"/>
  <c r="L382" i="21"/>
  <c r="O382" i="21" s="1"/>
  <c r="K382" i="21"/>
  <c r="N382" i="21" s="1"/>
  <c r="O381" i="21"/>
  <c r="L381" i="21"/>
  <c r="K381" i="21"/>
  <c r="N381" i="21" s="1"/>
  <c r="L380" i="21"/>
  <c r="O380" i="21" s="1"/>
  <c r="K380" i="21"/>
  <c r="N380" i="21" s="1"/>
  <c r="L379" i="21"/>
  <c r="O379" i="21" s="1"/>
  <c r="K379" i="21"/>
  <c r="N379" i="21" s="1"/>
  <c r="L378" i="21"/>
  <c r="O378" i="21" s="1"/>
  <c r="K378" i="21"/>
  <c r="N378" i="21" s="1"/>
  <c r="O377" i="21"/>
  <c r="L377" i="21"/>
  <c r="K377" i="21"/>
  <c r="N377" i="21" s="1"/>
  <c r="L376" i="21"/>
  <c r="O376" i="21" s="1"/>
  <c r="J376" i="21"/>
  <c r="M376" i="21" s="1"/>
  <c r="J375" i="21"/>
  <c r="M375" i="21" s="1"/>
  <c r="J374" i="21"/>
  <c r="M374" i="21" s="1"/>
  <c r="L373" i="21"/>
  <c r="O373" i="21" s="1"/>
  <c r="J373" i="21"/>
  <c r="M373" i="21" s="1"/>
  <c r="J372" i="21"/>
  <c r="M372" i="21" s="1"/>
  <c r="J371" i="21"/>
  <c r="M371" i="21" s="1"/>
  <c r="L370" i="21"/>
  <c r="O370" i="21" s="1"/>
  <c r="J370" i="21"/>
  <c r="M370" i="21" s="1"/>
  <c r="J369" i="21"/>
  <c r="M369" i="21" s="1"/>
  <c r="J368" i="21"/>
  <c r="M368" i="21" s="1"/>
  <c r="L367" i="21"/>
  <c r="O367" i="21" s="1"/>
  <c r="J367" i="21"/>
  <c r="M367" i="21" s="1"/>
  <c r="M366" i="21"/>
  <c r="J366" i="21"/>
  <c r="J365" i="21"/>
  <c r="M365" i="21" s="1"/>
  <c r="L364" i="21"/>
  <c r="O364" i="21" s="1"/>
  <c r="J364" i="21"/>
  <c r="M364" i="21" s="1"/>
  <c r="J363" i="21"/>
  <c r="M363" i="21" s="1"/>
  <c r="J362" i="21"/>
  <c r="M362" i="21" s="1"/>
  <c r="L361" i="21"/>
  <c r="O361" i="21" s="1"/>
  <c r="J361" i="21"/>
  <c r="M361" i="21" s="1"/>
  <c r="J360" i="21"/>
  <c r="M360" i="21" s="1"/>
  <c r="O359" i="21"/>
  <c r="L359" i="21"/>
  <c r="J359" i="21"/>
  <c r="M359" i="21" s="1"/>
  <c r="J358" i="21"/>
  <c r="M358" i="21" s="1"/>
  <c r="L357" i="21"/>
  <c r="O357" i="21" s="1"/>
  <c r="J357" i="21"/>
  <c r="M357" i="21" s="1"/>
  <c r="M356" i="21"/>
  <c r="J356" i="21"/>
  <c r="L355" i="21"/>
  <c r="O355" i="21" s="1"/>
  <c r="J355" i="21"/>
  <c r="M355" i="21" s="1"/>
  <c r="J354" i="21"/>
  <c r="M354" i="21" s="1"/>
  <c r="L353" i="21"/>
  <c r="O353" i="21" s="1"/>
  <c r="J353" i="21"/>
  <c r="M353" i="21" s="1"/>
  <c r="J352" i="21"/>
  <c r="M352" i="21" s="1"/>
  <c r="O351" i="21"/>
  <c r="L351" i="21"/>
  <c r="J351" i="21"/>
  <c r="M351" i="21" s="1"/>
  <c r="J350" i="21"/>
  <c r="M350" i="21" s="1"/>
  <c r="L349" i="21"/>
  <c r="O349" i="21" s="1"/>
  <c r="J349" i="21"/>
  <c r="M349" i="21" s="1"/>
  <c r="M348" i="21"/>
  <c r="J348" i="21"/>
  <c r="L347" i="21"/>
  <c r="O347" i="21" s="1"/>
  <c r="J347" i="21"/>
  <c r="M347" i="21" s="1"/>
  <c r="L346" i="21"/>
  <c r="O346" i="21" s="1"/>
  <c r="J346" i="21"/>
  <c r="M346" i="21" s="1"/>
  <c r="O345" i="21"/>
  <c r="L345" i="21"/>
  <c r="J345" i="21"/>
  <c r="M345" i="21" s="1"/>
  <c r="M344" i="21"/>
  <c r="L344" i="21"/>
  <c r="O344" i="21" s="1"/>
  <c r="J344" i="21"/>
  <c r="L343" i="21"/>
  <c r="O343" i="21" s="1"/>
  <c r="J343" i="21"/>
  <c r="M343" i="21" s="1"/>
  <c r="L342" i="21"/>
  <c r="O342" i="21" s="1"/>
  <c r="J342" i="21"/>
  <c r="M342" i="21" s="1"/>
  <c r="O341" i="21"/>
  <c r="L341" i="21"/>
  <c r="J341" i="21"/>
  <c r="M341" i="21" s="1"/>
  <c r="M340" i="21"/>
  <c r="L340" i="21"/>
  <c r="O340" i="21" s="1"/>
  <c r="J340" i="21"/>
  <c r="L339" i="21"/>
  <c r="O339" i="21" s="1"/>
  <c r="J339" i="21"/>
  <c r="M339" i="21" s="1"/>
  <c r="L338" i="21"/>
  <c r="O338" i="21" s="1"/>
  <c r="J338" i="21"/>
  <c r="M338" i="21" s="1"/>
  <c r="O337" i="21"/>
  <c r="L337" i="21"/>
  <c r="J337" i="21"/>
  <c r="M337" i="21" s="1"/>
  <c r="M336" i="21"/>
  <c r="L336" i="21"/>
  <c r="O336" i="21" s="1"/>
  <c r="J336" i="21"/>
  <c r="L335" i="21"/>
  <c r="O335" i="21" s="1"/>
  <c r="K335" i="21"/>
  <c r="N335" i="21" s="1"/>
  <c r="L334" i="21"/>
  <c r="O334" i="21" s="1"/>
  <c r="K334" i="21"/>
  <c r="N334" i="21" s="1"/>
  <c r="L333" i="21"/>
  <c r="O333" i="21" s="1"/>
  <c r="K333" i="21"/>
  <c r="N333" i="21" s="1"/>
  <c r="L332" i="21"/>
  <c r="O332" i="21" s="1"/>
  <c r="K332" i="21"/>
  <c r="N332" i="21" s="1"/>
  <c r="O331" i="21"/>
  <c r="L331" i="21"/>
  <c r="K331" i="21"/>
  <c r="N331" i="21" s="1"/>
  <c r="L330" i="21"/>
  <c r="O330" i="21" s="1"/>
  <c r="K330" i="21"/>
  <c r="N330" i="21" s="1"/>
  <c r="L329" i="21"/>
  <c r="O329" i="21" s="1"/>
  <c r="K329" i="21"/>
  <c r="N329" i="21" s="1"/>
  <c r="L328" i="21"/>
  <c r="O328" i="21" s="1"/>
  <c r="K328" i="21"/>
  <c r="N328" i="21" s="1"/>
  <c r="L327" i="21"/>
  <c r="O327" i="21" s="1"/>
  <c r="K327" i="21"/>
  <c r="N327" i="21" s="1"/>
  <c r="L326" i="21"/>
  <c r="O326" i="21" s="1"/>
  <c r="K326" i="21"/>
  <c r="N326" i="21" s="1"/>
  <c r="L325" i="21"/>
  <c r="O325" i="21" s="1"/>
  <c r="K325" i="21"/>
  <c r="N325" i="21" s="1"/>
  <c r="L324" i="21"/>
  <c r="O324" i="21" s="1"/>
  <c r="K324" i="21"/>
  <c r="N324" i="21" s="1"/>
  <c r="O323" i="21"/>
  <c r="L323" i="21"/>
  <c r="J323" i="21"/>
  <c r="M323" i="21" s="1"/>
  <c r="M322" i="21"/>
  <c r="L322" i="21"/>
  <c r="O322" i="21" s="1"/>
  <c r="J322" i="21"/>
  <c r="L321" i="21"/>
  <c r="O321" i="21" s="1"/>
  <c r="J321" i="21"/>
  <c r="M321" i="21" s="1"/>
  <c r="L320" i="21"/>
  <c r="O320" i="21" s="1"/>
  <c r="J320" i="21"/>
  <c r="M320" i="21" s="1"/>
  <c r="O319" i="21"/>
  <c r="L319" i="21"/>
  <c r="J319" i="21"/>
  <c r="M319" i="21" s="1"/>
  <c r="M318" i="21"/>
  <c r="L318" i="21"/>
  <c r="O318" i="21" s="1"/>
  <c r="J318" i="21"/>
  <c r="L317" i="21"/>
  <c r="O317" i="21" s="1"/>
  <c r="J317" i="21"/>
  <c r="M317" i="21" s="1"/>
  <c r="L316" i="21"/>
  <c r="O316" i="21" s="1"/>
  <c r="J316" i="21"/>
  <c r="M316" i="21" s="1"/>
  <c r="O315" i="21"/>
  <c r="L315" i="21"/>
  <c r="J315" i="21"/>
  <c r="M315" i="21" s="1"/>
  <c r="M314" i="21"/>
  <c r="L314" i="21"/>
  <c r="O314" i="21" s="1"/>
  <c r="J314" i="21"/>
  <c r="L313" i="21"/>
  <c r="O313" i="21" s="1"/>
  <c r="J313" i="21"/>
  <c r="M313" i="21" s="1"/>
  <c r="L312" i="21"/>
  <c r="O312" i="21" s="1"/>
  <c r="J312" i="21"/>
  <c r="M312" i="21" s="1"/>
  <c r="J311" i="21"/>
  <c r="M311" i="21" s="1"/>
  <c r="J310" i="21"/>
  <c r="M310" i="21" s="1"/>
  <c r="J309" i="21"/>
  <c r="M309" i="21" s="1"/>
  <c r="M308" i="21"/>
  <c r="J308" i="21"/>
  <c r="J307" i="21"/>
  <c r="M307" i="21" s="1"/>
  <c r="J306" i="21"/>
  <c r="M306" i="21" s="1"/>
  <c r="J305" i="21"/>
  <c r="M305" i="21" s="1"/>
  <c r="J304" i="21"/>
  <c r="M304" i="21" s="1"/>
  <c r="J303" i="21"/>
  <c r="M303" i="21" s="1"/>
  <c r="J302" i="21"/>
  <c r="M302" i="21" s="1"/>
  <c r="J301" i="21"/>
  <c r="M301" i="21" s="1"/>
  <c r="M300" i="21"/>
  <c r="J300" i="21"/>
  <c r="J299" i="21"/>
  <c r="M299" i="21" s="1"/>
  <c r="J298" i="21"/>
  <c r="M298" i="21" s="1"/>
  <c r="J297" i="21"/>
  <c r="M297" i="21" s="1"/>
  <c r="J296" i="21"/>
  <c r="M296" i="21" s="1"/>
  <c r="J295" i="21"/>
  <c r="M295" i="21" s="1"/>
  <c r="J294" i="21"/>
  <c r="M294" i="21" s="1"/>
  <c r="J293" i="21"/>
  <c r="M293" i="21" s="1"/>
  <c r="N292" i="21"/>
  <c r="L292" i="21"/>
  <c r="O292" i="21" s="1"/>
  <c r="K292" i="21"/>
  <c r="L291" i="21"/>
  <c r="O291" i="21" s="1"/>
  <c r="K291" i="21"/>
  <c r="N291" i="21" s="1"/>
  <c r="L290" i="21"/>
  <c r="O290" i="21" s="1"/>
  <c r="K290" i="21"/>
  <c r="N290" i="21" s="1"/>
  <c r="L289" i="21"/>
  <c r="O289" i="21" s="1"/>
  <c r="K289" i="21"/>
  <c r="N289" i="21" s="1"/>
  <c r="N288" i="21"/>
  <c r="L288" i="21"/>
  <c r="O288" i="21" s="1"/>
  <c r="K288" i="21"/>
  <c r="L287" i="21"/>
  <c r="O287" i="21" s="1"/>
  <c r="K287" i="21"/>
  <c r="N287" i="21" s="1"/>
  <c r="L286" i="21"/>
  <c r="O286" i="21" s="1"/>
  <c r="K286" i="21"/>
  <c r="N286" i="21" s="1"/>
  <c r="L285" i="21"/>
  <c r="O285" i="21" s="1"/>
  <c r="K285" i="21"/>
  <c r="N285" i="21" s="1"/>
  <c r="N284" i="21"/>
  <c r="L284" i="21"/>
  <c r="O284" i="21" s="1"/>
  <c r="K284" i="21"/>
  <c r="L283" i="21"/>
  <c r="O283" i="21" s="1"/>
  <c r="K283" i="21"/>
  <c r="N283" i="21" s="1"/>
  <c r="L282" i="21"/>
  <c r="O282" i="21" s="1"/>
  <c r="K282" i="21"/>
  <c r="N282" i="21" s="1"/>
  <c r="L281" i="21"/>
  <c r="O281" i="21" s="1"/>
  <c r="K281" i="21"/>
  <c r="N281" i="21" s="1"/>
  <c r="N280" i="21"/>
  <c r="L280" i="21"/>
  <c r="O280" i="21" s="1"/>
  <c r="K280" i="21"/>
  <c r="L279" i="21"/>
  <c r="O279" i="21" s="1"/>
  <c r="K279" i="21"/>
  <c r="N279" i="21" s="1"/>
  <c r="L278" i="21"/>
  <c r="O278" i="21" s="1"/>
  <c r="K278" i="21"/>
  <c r="N278" i="21" s="1"/>
  <c r="L277" i="21"/>
  <c r="O277" i="21" s="1"/>
  <c r="K277" i="21"/>
  <c r="N277" i="21" s="1"/>
  <c r="N276" i="21"/>
  <c r="L276" i="21"/>
  <c r="O276" i="21" s="1"/>
  <c r="K276" i="21"/>
  <c r="L275" i="21"/>
  <c r="O275" i="21" s="1"/>
  <c r="K275" i="21"/>
  <c r="N275" i="21" s="1"/>
  <c r="L274" i="21"/>
  <c r="O274" i="21" s="1"/>
  <c r="K274" i="21"/>
  <c r="N274" i="21" s="1"/>
  <c r="L273" i="21"/>
  <c r="O273" i="21" s="1"/>
  <c r="K273" i="21"/>
  <c r="N273" i="21" s="1"/>
  <c r="N272" i="21"/>
  <c r="L272" i="21"/>
  <c r="O272" i="21" s="1"/>
  <c r="K272" i="21"/>
  <c r="L271" i="21"/>
  <c r="O271" i="21" s="1"/>
  <c r="K271" i="21"/>
  <c r="N271" i="21" s="1"/>
  <c r="L270" i="21"/>
  <c r="O270" i="21" s="1"/>
  <c r="K270" i="21"/>
  <c r="N270" i="21" s="1"/>
  <c r="L269" i="21"/>
  <c r="O269" i="21" s="1"/>
  <c r="K269" i="21"/>
  <c r="N269" i="21" s="1"/>
  <c r="N268" i="21"/>
  <c r="L268" i="21"/>
  <c r="O268" i="21" s="1"/>
  <c r="K268" i="21"/>
  <c r="L267" i="21"/>
  <c r="O267" i="21" s="1"/>
  <c r="K267" i="21"/>
  <c r="N267" i="21" s="1"/>
  <c r="J266" i="21"/>
  <c r="M266" i="21" s="1"/>
  <c r="J265" i="21"/>
  <c r="M265" i="21" s="1"/>
  <c r="J264" i="21"/>
  <c r="M264" i="21" s="1"/>
  <c r="J263" i="21"/>
  <c r="M263" i="21" s="1"/>
  <c r="M262" i="21"/>
  <c r="J262" i="21"/>
  <c r="J261" i="21"/>
  <c r="M261" i="21" s="1"/>
  <c r="J260" i="21"/>
  <c r="M260" i="21" s="1"/>
  <c r="J259" i="21"/>
  <c r="M259" i="21" s="1"/>
  <c r="J258" i="21"/>
  <c r="M258" i="21" s="1"/>
  <c r="J257" i="21"/>
  <c r="M257" i="21" s="1"/>
  <c r="J256" i="21"/>
  <c r="M256" i="21" s="1"/>
  <c r="J255" i="21"/>
  <c r="M255" i="21" s="1"/>
  <c r="M254" i="21"/>
  <c r="J254" i="21"/>
  <c r="J253" i="21"/>
  <c r="M253" i="21" s="1"/>
  <c r="J252" i="21"/>
  <c r="M252" i="21" s="1"/>
  <c r="J251" i="21"/>
  <c r="M251" i="21" s="1"/>
  <c r="M250" i="21"/>
  <c r="J250" i="21"/>
  <c r="J249" i="21"/>
  <c r="M249" i="21" s="1"/>
  <c r="J248" i="21"/>
  <c r="M248" i="21" s="1"/>
  <c r="J247" i="21"/>
  <c r="M247" i="21" s="1"/>
  <c r="M246" i="21"/>
  <c r="J246" i="21"/>
  <c r="O197" i="21"/>
  <c r="L197" i="21"/>
  <c r="O195" i="21"/>
  <c r="L195" i="21"/>
  <c r="O193" i="21"/>
  <c r="L193" i="21"/>
  <c r="O191" i="21"/>
  <c r="L191" i="21"/>
  <c r="O189" i="21"/>
  <c r="L189" i="21"/>
  <c r="O187" i="21"/>
  <c r="L187" i="21"/>
  <c r="O185" i="21"/>
  <c r="L185" i="21"/>
  <c r="O183" i="21"/>
  <c r="L183" i="21"/>
  <c r="O181" i="21"/>
  <c r="L181" i="21"/>
  <c r="O179" i="21"/>
  <c r="L179" i="21"/>
  <c r="O177" i="21"/>
  <c r="L177" i="21"/>
  <c r="O175" i="21"/>
  <c r="L175" i="21"/>
  <c r="O173" i="21"/>
  <c r="L173" i="21"/>
  <c r="O171" i="21"/>
  <c r="L171" i="21"/>
  <c r="O169" i="21"/>
  <c r="L169" i="21"/>
  <c r="O167" i="21"/>
  <c r="L167" i="21"/>
  <c r="O165" i="21"/>
  <c r="L165" i="21"/>
  <c r="O163" i="21"/>
  <c r="L163" i="21"/>
  <c r="O161" i="21"/>
  <c r="L161" i="21"/>
  <c r="O159" i="21"/>
  <c r="L159" i="21"/>
  <c r="O157" i="21"/>
  <c r="L157" i="21"/>
  <c r="O155" i="21"/>
  <c r="L155" i="21"/>
  <c r="O153" i="21"/>
  <c r="L153" i="21"/>
  <c r="O151" i="21"/>
  <c r="L151" i="21"/>
  <c r="O149" i="21"/>
  <c r="L149" i="21"/>
  <c r="L148" i="21"/>
  <c r="O148" i="21" s="1"/>
  <c r="L147" i="21"/>
  <c r="O147" i="21" s="1"/>
  <c r="M146" i="21"/>
  <c r="L146" i="21"/>
  <c r="O146" i="21" s="1"/>
  <c r="J146" i="21"/>
  <c r="O145" i="21"/>
  <c r="L145" i="21"/>
  <c r="J145" i="21"/>
  <c r="M145" i="21" s="1"/>
  <c r="L144" i="21"/>
  <c r="O144" i="21" s="1"/>
  <c r="J144" i="21"/>
  <c r="M144" i="21" s="1"/>
  <c r="O143" i="21"/>
  <c r="L143" i="21"/>
  <c r="L142" i="21"/>
  <c r="O142" i="21" s="1"/>
  <c r="L141" i="21"/>
  <c r="O141" i="21" s="1"/>
  <c r="L140" i="21"/>
  <c r="O140" i="21" s="1"/>
  <c r="L138" i="21"/>
  <c r="O138" i="21" s="1"/>
  <c r="L136" i="21"/>
  <c r="O136" i="21" s="1"/>
  <c r="L134" i="21"/>
  <c r="O134" i="21" s="1"/>
  <c r="L132" i="21"/>
  <c r="O132" i="21" s="1"/>
  <c r="L130" i="21"/>
  <c r="O130" i="21" s="1"/>
  <c r="L128" i="21"/>
  <c r="O128" i="21" s="1"/>
  <c r="L126" i="21"/>
  <c r="O126" i="21" s="1"/>
  <c r="L124" i="21"/>
  <c r="O124" i="21" s="1"/>
  <c r="L122" i="21"/>
  <c r="O122" i="21" s="1"/>
  <c r="L120" i="21"/>
  <c r="O120" i="21" s="1"/>
  <c r="L118" i="21"/>
  <c r="O118" i="21" s="1"/>
  <c r="L116" i="21"/>
  <c r="O116" i="21" s="1"/>
  <c r="L114" i="21"/>
  <c r="O114" i="21" s="1"/>
  <c r="L112" i="21"/>
  <c r="O112" i="21" s="1"/>
  <c r="L110" i="21"/>
  <c r="O110" i="21" s="1"/>
  <c r="L108" i="21"/>
  <c r="O108" i="21" s="1"/>
  <c r="L106" i="21"/>
  <c r="O106" i="21" s="1"/>
  <c r="L104" i="21"/>
  <c r="O104" i="21" s="1"/>
  <c r="L102" i="21"/>
  <c r="O102" i="21" s="1"/>
  <c r="L100" i="21"/>
  <c r="O100" i="21" s="1"/>
  <c r="L98" i="21"/>
  <c r="O98" i="21" s="1"/>
  <c r="L96" i="21"/>
  <c r="O96" i="21" s="1"/>
  <c r="L94" i="21"/>
  <c r="O94" i="21" s="1"/>
  <c r="J92" i="21"/>
  <c r="M92" i="21" s="1"/>
  <c r="J91" i="21"/>
  <c r="M91" i="21" s="1"/>
  <c r="M90" i="21"/>
  <c r="J90" i="21"/>
  <c r="J89" i="21"/>
  <c r="M89" i="21" s="1"/>
  <c r="J88" i="21"/>
  <c r="M88" i="21" s="1"/>
  <c r="J87" i="21"/>
  <c r="M87" i="21" s="1"/>
  <c r="M86" i="21"/>
  <c r="J86" i="21"/>
  <c r="J85" i="21"/>
  <c r="M85" i="21" s="1"/>
  <c r="J84" i="21"/>
  <c r="M84" i="21" s="1"/>
  <c r="J83" i="21"/>
  <c r="M83" i="21" s="1"/>
  <c r="M82" i="21"/>
  <c r="J82" i="21"/>
  <c r="J81" i="21"/>
  <c r="M81" i="21" s="1"/>
  <c r="N80" i="21"/>
  <c r="L80" i="21"/>
  <c r="O80" i="21" s="1"/>
  <c r="K80" i="21"/>
  <c r="N79" i="21"/>
  <c r="L79" i="21"/>
  <c r="O79" i="21" s="1"/>
  <c r="K79" i="21"/>
  <c r="L78" i="21"/>
  <c r="O78" i="21" s="1"/>
  <c r="K78" i="21"/>
  <c r="N78" i="21" s="1"/>
  <c r="L77" i="21"/>
  <c r="O77" i="21" s="1"/>
  <c r="K77" i="21"/>
  <c r="N77" i="21" s="1"/>
  <c r="L76" i="21"/>
  <c r="O76" i="21" s="1"/>
  <c r="K76" i="21"/>
  <c r="N76" i="21" s="1"/>
  <c r="O75" i="21"/>
  <c r="L75" i="21"/>
  <c r="K75" i="21"/>
  <c r="N75" i="21" s="1"/>
  <c r="N74" i="21"/>
  <c r="L74" i="21"/>
  <c r="O74" i="21" s="1"/>
  <c r="K74" i="21"/>
  <c r="O73" i="21"/>
  <c r="N73" i="21"/>
  <c r="L73" i="21"/>
  <c r="K73" i="21"/>
  <c r="N72" i="21"/>
  <c r="L72" i="21"/>
  <c r="O72" i="21" s="1"/>
  <c r="K72" i="21"/>
  <c r="N71" i="21"/>
  <c r="L71" i="21"/>
  <c r="O71" i="21" s="1"/>
  <c r="K71" i="21"/>
  <c r="L70" i="21"/>
  <c r="O70" i="21" s="1"/>
  <c r="K70" i="21"/>
  <c r="N70" i="21" s="1"/>
  <c r="L69" i="21"/>
  <c r="O69" i="21" s="1"/>
  <c r="K69" i="21"/>
  <c r="N69" i="21" s="1"/>
  <c r="L68" i="21"/>
  <c r="O68" i="21" s="1"/>
  <c r="K68" i="21"/>
  <c r="N68" i="21" s="1"/>
  <c r="O67" i="21"/>
  <c r="L67" i="21"/>
  <c r="K67" i="21"/>
  <c r="N67" i="21" s="1"/>
  <c r="N66" i="21"/>
  <c r="L66" i="21"/>
  <c r="O66" i="21" s="1"/>
  <c r="K66" i="21"/>
  <c r="O65" i="21"/>
  <c r="N65" i="21"/>
  <c r="L65" i="21"/>
  <c r="K65" i="21"/>
  <c r="N64" i="21"/>
  <c r="L64" i="21"/>
  <c r="O64" i="21" s="1"/>
  <c r="K64" i="21"/>
  <c r="N63" i="21"/>
  <c r="L63" i="21"/>
  <c r="O63" i="21" s="1"/>
  <c r="K63" i="21"/>
  <c r="M62" i="21"/>
  <c r="J62" i="21"/>
  <c r="J61" i="21"/>
  <c r="M61" i="21" s="1"/>
  <c r="J60" i="21"/>
  <c r="M60" i="21" s="1"/>
  <c r="J59" i="21"/>
  <c r="M59" i="21" s="1"/>
  <c r="M58" i="21"/>
  <c r="J58" i="21"/>
  <c r="J57" i="21"/>
  <c r="M57" i="21" s="1"/>
  <c r="J56" i="21"/>
  <c r="M56" i="21" s="1"/>
  <c r="J55" i="21"/>
  <c r="M55" i="21" s="1"/>
  <c r="M54" i="21"/>
  <c r="J54" i="21"/>
  <c r="J53" i="21"/>
  <c r="M53" i="21" s="1"/>
  <c r="J52" i="21"/>
  <c r="M52" i="21" s="1"/>
  <c r="J51" i="21"/>
  <c r="M51" i="21" s="1"/>
  <c r="M50" i="21"/>
  <c r="L50" i="21"/>
  <c r="O50" i="21" s="1"/>
  <c r="J50" i="21"/>
  <c r="L49" i="21"/>
  <c r="O49" i="21" s="1"/>
  <c r="J49" i="21"/>
  <c r="M49" i="21" s="1"/>
  <c r="L48" i="21"/>
  <c r="O48" i="21" s="1"/>
  <c r="J48" i="21"/>
  <c r="M48" i="21" s="1"/>
  <c r="L47" i="21"/>
  <c r="O47" i="21" s="1"/>
  <c r="J47" i="21"/>
  <c r="M47" i="21" s="1"/>
  <c r="M46" i="21"/>
  <c r="L46" i="21"/>
  <c r="O46" i="21" s="1"/>
  <c r="J46" i="21"/>
  <c r="L45" i="21"/>
  <c r="O45" i="21" s="1"/>
  <c r="J45" i="21"/>
  <c r="M45" i="21" s="1"/>
  <c r="L44" i="21"/>
  <c r="O44" i="21" s="1"/>
  <c r="J44" i="21"/>
  <c r="M44" i="21" s="1"/>
  <c r="L43" i="21"/>
  <c r="O43" i="21" s="1"/>
  <c r="J43" i="21"/>
  <c r="M43" i="21" s="1"/>
  <c r="M42" i="21"/>
  <c r="L42" i="21"/>
  <c r="O42" i="21" s="1"/>
  <c r="J42" i="21"/>
  <c r="L41" i="21"/>
  <c r="O41" i="21" s="1"/>
  <c r="J41" i="21"/>
  <c r="M41" i="21" s="1"/>
  <c r="L40" i="21"/>
  <c r="O40" i="21" s="1"/>
  <c r="J40" i="21"/>
  <c r="M40" i="21" s="1"/>
  <c r="L39" i="21"/>
  <c r="O39" i="21" s="1"/>
  <c r="J39" i="21"/>
  <c r="M39" i="21" s="1"/>
  <c r="N38" i="21"/>
  <c r="L38" i="21"/>
  <c r="O38" i="21" s="1"/>
  <c r="K38" i="21"/>
  <c r="O37" i="21"/>
  <c r="N37" i="21"/>
  <c r="L37" i="21"/>
  <c r="K37" i="21"/>
  <c r="N36" i="21"/>
  <c r="L36" i="21"/>
  <c r="O36" i="21" s="1"/>
  <c r="K36" i="21"/>
  <c r="N35" i="21"/>
  <c r="L35" i="21"/>
  <c r="O35" i="21" s="1"/>
  <c r="K35" i="21"/>
  <c r="L34" i="21"/>
  <c r="O34" i="21" s="1"/>
  <c r="K34" i="21"/>
  <c r="N34" i="21" s="1"/>
  <c r="L33" i="21"/>
  <c r="O33" i="21" s="1"/>
  <c r="K33" i="21"/>
  <c r="N33" i="21" s="1"/>
  <c r="L32" i="21"/>
  <c r="O32" i="21" s="1"/>
  <c r="K32" i="21"/>
  <c r="N32" i="21" s="1"/>
  <c r="O31" i="21"/>
  <c r="L31" i="21"/>
  <c r="K31" i="21"/>
  <c r="N31" i="21" s="1"/>
  <c r="N30" i="21"/>
  <c r="L30" i="21"/>
  <c r="O30" i="21" s="1"/>
  <c r="K30" i="21"/>
  <c r="O29" i="21"/>
  <c r="N29" i="21"/>
  <c r="L29" i="21"/>
  <c r="K29" i="21"/>
  <c r="N28" i="21"/>
  <c r="L28" i="21"/>
  <c r="O28" i="21" s="1"/>
  <c r="K28" i="21"/>
  <c r="N27" i="21"/>
  <c r="L27" i="21"/>
  <c r="O27" i="21" s="1"/>
  <c r="K27" i="21"/>
  <c r="L26" i="21"/>
  <c r="O26" i="21" s="1"/>
  <c r="J26" i="21"/>
  <c r="M26" i="21" s="1"/>
  <c r="L25" i="21"/>
  <c r="O25" i="21" s="1"/>
  <c r="J25" i="21"/>
  <c r="M25" i="21" s="1"/>
  <c r="M24" i="21"/>
  <c r="L24" i="21"/>
  <c r="O24" i="21" s="1"/>
  <c r="J24" i="21"/>
  <c r="L23" i="21"/>
  <c r="O23" i="21" s="1"/>
  <c r="J23" i="21"/>
  <c r="M23" i="21" s="1"/>
  <c r="L22" i="21"/>
  <c r="O22" i="21" s="1"/>
  <c r="J22" i="21"/>
  <c r="M22" i="21" s="1"/>
  <c r="L21" i="21"/>
  <c r="O21" i="21" s="1"/>
  <c r="J21" i="21"/>
  <c r="M21" i="21" s="1"/>
  <c r="M20" i="21"/>
  <c r="L20" i="21"/>
  <c r="O20" i="21" s="1"/>
  <c r="J20" i="21"/>
  <c r="L19" i="21"/>
  <c r="O19" i="21" s="1"/>
  <c r="J19" i="21"/>
  <c r="M19" i="21" s="1"/>
  <c r="L18" i="21"/>
  <c r="O18" i="21" s="1"/>
  <c r="J18" i="21"/>
  <c r="M18" i="21" s="1"/>
  <c r="L17" i="21"/>
  <c r="O17" i="21" s="1"/>
  <c r="J17" i="21"/>
  <c r="M17" i="21" s="1"/>
  <c r="M16" i="21"/>
  <c r="L16" i="21"/>
  <c r="O16" i="21" s="1"/>
  <c r="J16" i="21"/>
  <c r="L15" i="21"/>
  <c r="O15" i="21" s="1"/>
  <c r="J15" i="21"/>
  <c r="M15" i="21" s="1"/>
  <c r="M14" i="21"/>
  <c r="J14" i="21"/>
  <c r="J13" i="21"/>
  <c r="M13" i="21" s="1"/>
  <c r="J12" i="21"/>
  <c r="M12" i="21" s="1"/>
  <c r="J11" i="21"/>
  <c r="M11" i="21" s="1"/>
  <c r="N10" i="21"/>
  <c r="L10" i="21"/>
  <c r="O10" i="21" s="1"/>
  <c r="K10" i="21"/>
  <c r="O9" i="21"/>
  <c r="N9" i="21"/>
  <c r="L9" i="21"/>
  <c r="K9" i="21"/>
  <c r="N8" i="21"/>
  <c r="L8" i="21"/>
  <c r="O8" i="21" s="1"/>
  <c r="K8" i="21"/>
  <c r="N7" i="21"/>
  <c r="L7" i="21"/>
  <c r="O7" i="21" s="1"/>
  <c r="K7" i="21"/>
  <c r="L6" i="21"/>
  <c r="O6" i="21" s="1"/>
  <c r="K6" i="21"/>
  <c r="N6" i="21" s="1"/>
  <c r="L5" i="21"/>
  <c r="O5" i="21" s="1"/>
  <c r="K5" i="21"/>
  <c r="N5" i="21" s="1"/>
  <c r="J4" i="21"/>
  <c r="M4" i="21" s="1"/>
  <c r="J3" i="21"/>
  <c r="M3" i="21" s="1"/>
  <c r="M2" i="21"/>
  <c r="J2" i="21"/>
  <c r="X975" i="16"/>
  <c r="AD975" i="16" s="1"/>
  <c r="W975" i="16"/>
  <c r="AC975" i="16" s="1"/>
  <c r="X974" i="16"/>
  <c r="AD974" i="16" s="1"/>
  <c r="W974" i="16"/>
  <c r="X973" i="16"/>
  <c r="W973" i="16"/>
  <c r="X972" i="16"/>
  <c r="W972" i="16"/>
  <c r="X971" i="16"/>
  <c r="AD971" i="16" s="1"/>
  <c r="W971" i="16"/>
  <c r="AC971" i="16" s="1"/>
  <c r="X970" i="16"/>
  <c r="W970" i="16"/>
  <c r="X969" i="16"/>
  <c r="W969" i="16"/>
  <c r="AC969" i="16" s="1"/>
  <c r="X968" i="16"/>
  <c r="W968" i="16"/>
  <c r="AC968" i="16" s="1"/>
  <c r="X967" i="16"/>
  <c r="AD967" i="16" s="1"/>
  <c r="W967" i="16"/>
  <c r="AC967" i="16" s="1"/>
  <c r="X966" i="16"/>
  <c r="AD966" i="16" s="1"/>
  <c r="W966" i="16"/>
  <c r="X965" i="16"/>
  <c r="W965" i="16"/>
  <c r="AC965" i="16" s="1"/>
  <c r="X964" i="16"/>
  <c r="W964" i="16"/>
  <c r="X609" i="16"/>
  <c r="AD609" i="16" s="1"/>
  <c r="W609" i="16"/>
  <c r="AC609" i="16" s="1"/>
  <c r="X608" i="16"/>
  <c r="AD608" i="16" s="1"/>
  <c r="W608" i="16"/>
  <c r="X607" i="16"/>
  <c r="W607" i="16"/>
  <c r="AC607" i="16" s="1"/>
  <c r="X606" i="16"/>
  <c r="W606" i="16"/>
  <c r="X605" i="16"/>
  <c r="AD605" i="16" s="1"/>
  <c r="W605" i="16"/>
  <c r="AC605" i="16" s="1"/>
  <c r="X604" i="16"/>
  <c r="AD604" i="16" s="1"/>
  <c r="W604" i="16"/>
  <c r="X603" i="16"/>
  <c r="W603" i="16"/>
  <c r="AC603" i="16" s="1"/>
  <c r="X602" i="16"/>
  <c r="W602" i="16"/>
  <c r="X601" i="16"/>
  <c r="AD601" i="16" s="1"/>
  <c r="W601" i="16"/>
  <c r="AC601" i="16" s="1"/>
  <c r="X600" i="16"/>
  <c r="AD600" i="16" s="1"/>
  <c r="W600" i="16"/>
  <c r="X599" i="16"/>
  <c r="W599" i="16"/>
  <c r="AC599" i="16" s="1"/>
  <c r="X598" i="16"/>
  <c r="W598" i="16"/>
  <c r="V597" i="16"/>
  <c r="AB597" i="16" s="1"/>
  <c r="V596" i="16"/>
  <c r="AB596" i="16" s="1"/>
  <c r="V595" i="16"/>
  <c r="AB595" i="16" s="1"/>
  <c r="V594" i="16"/>
  <c r="V593" i="16"/>
  <c r="V592" i="16"/>
  <c r="AB592" i="16" s="1"/>
  <c r="V591" i="16"/>
  <c r="V590" i="16"/>
  <c r="V589" i="16"/>
  <c r="AB589" i="16" s="1"/>
  <c r="V588" i="16"/>
  <c r="AB588" i="16" s="1"/>
  <c r="V587" i="16"/>
  <c r="AB587" i="16" s="1"/>
  <c r="V586" i="16"/>
  <c r="X585" i="16"/>
  <c r="W585" i="16"/>
  <c r="AC585" i="16" s="1"/>
  <c r="X584" i="16"/>
  <c r="W584" i="16"/>
  <c r="X583" i="16"/>
  <c r="AD583" i="16" s="1"/>
  <c r="W583" i="16"/>
  <c r="AC583" i="16" s="1"/>
  <c r="X582" i="16"/>
  <c r="W582" i="16"/>
  <c r="X581" i="16"/>
  <c r="W581" i="16"/>
  <c r="AC581" i="16" s="1"/>
  <c r="X580" i="16"/>
  <c r="W580" i="16"/>
  <c r="X579" i="16"/>
  <c r="AD579" i="16" s="1"/>
  <c r="W579" i="16"/>
  <c r="AC579" i="16" s="1"/>
  <c r="X578" i="16"/>
  <c r="AD578" i="16" s="1"/>
  <c r="W578" i="16"/>
  <c r="X577" i="16"/>
  <c r="W577" i="16"/>
  <c r="AC577" i="16" s="1"/>
  <c r="X576" i="16"/>
  <c r="W576" i="16"/>
  <c r="AC576" i="16" s="1"/>
  <c r="X575" i="16"/>
  <c r="AD575" i="16" s="1"/>
  <c r="W575" i="16"/>
  <c r="AC575" i="16" s="1"/>
  <c r="X574" i="16"/>
  <c r="W574" i="16"/>
  <c r="X573" i="16"/>
  <c r="W573" i="16"/>
  <c r="AC573" i="16" s="1"/>
  <c r="X572" i="16"/>
  <c r="W572" i="16"/>
  <c r="AC572" i="16" s="1"/>
  <c r="X571" i="16"/>
  <c r="AD571" i="16" s="1"/>
  <c r="W571" i="16"/>
  <c r="AC571" i="16" s="1"/>
  <c r="X570" i="16"/>
  <c r="AD570" i="16" s="1"/>
  <c r="W570" i="16"/>
  <c r="X569" i="16"/>
  <c r="W569" i="16"/>
  <c r="AC569" i="16" s="1"/>
  <c r="X568" i="16"/>
  <c r="W568" i="16"/>
  <c r="X567" i="16"/>
  <c r="AD567" i="16" s="1"/>
  <c r="W567" i="16"/>
  <c r="AC567" i="16" s="1"/>
  <c r="X566" i="16"/>
  <c r="W566" i="16"/>
  <c r="X565" i="16"/>
  <c r="W565" i="16"/>
  <c r="AC565" i="16" s="1"/>
  <c r="X564" i="16"/>
  <c r="W564" i="16"/>
  <c r="X563" i="16"/>
  <c r="AD563" i="16" s="1"/>
  <c r="W563" i="16"/>
  <c r="AC563" i="16" s="1"/>
  <c r="V562" i="16"/>
  <c r="AB562" i="16" s="1"/>
  <c r="V561" i="16"/>
  <c r="V560" i="16"/>
  <c r="V559" i="16"/>
  <c r="AB559" i="16" s="1"/>
  <c r="V558" i="16"/>
  <c r="V557" i="16"/>
  <c r="V556" i="16"/>
  <c r="AB556" i="16" s="1"/>
  <c r="V555" i="16"/>
  <c r="AB555" i="16" s="1"/>
  <c r="V554" i="16"/>
  <c r="AB554" i="16" s="1"/>
  <c r="V553" i="16"/>
  <c r="V552" i="16"/>
  <c r="X551" i="16"/>
  <c r="AD551" i="16" s="1"/>
  <c r="W551" i="16"/>
  <c r="X550" i="16"/>
  <c r="AD550" i="16" s="1"/>
  <c r="W550" i="16"/>
  <c r="AC550" i="16" s="1"/>
  <c r="X549" i="16"/>
  <c r="AD549" i="16" s="1"/>
  <c r="W549" i="16"/>
  <c r="AC549" i="16" s="1"/>
  <c r="X548" i="16"/>
  <c r="W548" i="16"/>
  <c r="X547" i="16"/>
  <c r="AD547" i="16" s="1"/>
  <c r="W547" i="16"/>
  <c r="X546" i="16"/>
  <c r="W546" i="16"/>
  <c r="AC546" i="16" s="1"/>
  <c r="X545" i="16"/>
  <c r="AD545" i="16" s="1"/>
  <c r="W545" i="16"/>
  <c r="X544" i="16"/>
  <c r="W544" i="16"/>
  <c r="X543" i="16"/>
  <c r="AD543" i="16" s="1"/>
  <c r="W543" i="16"/>
  <c r="X542" i="16"/>
  <c r="W542" i="16"/>
  <c r="X541" i="16"/>
  <c r="AD541" i="16" s="1"/>
  <c r="W541" i="16"/>
  <c r="AC541" i="16" s="1"/>
  <c r="AD296" i="17"/>
  <c r="X296" i="17"/>
  <c r="W296" i="17"/>
  <c r="AD295" i="17"/>
  <c r="X295" i="17"/>
  <c r="W295" i="17"/>
  <c r="AD294" i="17"/>
  <c r="X294" i="17"/>
  <c r="W294" i="17"/>
  <c r="AD293" i="17"/>
  <c r="X293" i="17"/>
  <c r="W293" i="17"/>
  <c r="AD292" i="17"/>
  <c r="X292" i="17"/>
  <c r="W292" i="17"/>
  <c r="AD291" i="17"/>
  <c r="X291" i="17"/>
  <c r="W291" i="17"/>
  <c r="AD290" i="17"/>
  <c r="X290" i="17"/>
  <c r="W290" i="17"/>
  <c r="AD289" i="17"/>
  <c r="X289" i="17"/>
  <c r="W289" i="17"/>
  <c r="AD288" i="17"/>
  <c r="X288" i="17"/>
  <c r="W288" i="17"/>
  <c r="AD287" i="17"/>
  <c r="X287" i="17"/>
  <c r="W287" i="17"/>
  <c r="AD286" i="17"/>
  <c r="X286" i="17"/>
  <c r="W286" i="17"/>
  <c r="AD285" i="17"/>
  <c r="AD11" i="21" s="1"/>
  <c r="X285" i="17"/>
  <c r="W285" i="17"/>
  <c r="X245" i="16"/>
  <c r="W245" i="16"/>
  <c r="AC245" i="16" s="1"/>
  <c r="V245" i="16"/>
  <c r="AB245" i="16" s="1"/>
  <c r="X244" i="16"/>
  <c r="AD244" i="16" s="1"/>
  <c r="W244" i="16"/>
  <c r="V244" i="16"/>
  <c r="X243" i="16"/>
  <c r="AD243" i="16" s="1"/>
  <c r="W243" i="16"/>
  <c r="V243" i="16"/>
  <c r="X242" i="16"/>
  <c r="AD242" i="16" s="1"/>
  <c r="W242" i="16"/>
  <c r="AC242" i="16" s="1"/>
  <c r="V242" i="16"/>
  <c r="AB242" i="16" s="1"/>
  <c r="X241" i="16"/>
  <c r="W241" i="16"/>
  <c r="V241" i="16"/>
  <c r="AB241" i="16" s="1"/>
  <c r="X240" i="16"/>
  <c r="W240" i="16"/>
  <c r="V240" i="16"/>
  <c r="AB240" i="16" s="1"/>
  <c r="X239" i="16"/>
  <c r="AD239" i="16" s="1"/>
  <c r="W239" i="16"/>
  <c r="AC239" i="16" s="1"/>
  <c r="V239" i="16"/>
  <c r="X238" i="16"/>
  <c r="W238" i="16"/>
  <c r="AC238" i="16" s="1"/>
  <c r="V238" i="16"/>
  <c r="X237" i="16"/>
  <c r="W237" i="16"/>
  <c r="AC237" i="16" s="1"/>
  <c r="V237" i="16"/>
  <c r="AB237" i="16" s="1"/>
  <c r="X236" i="16"/>
  <c r="AD236" i="16" s="1"/>
  <c r="W236" i="16"/>
  <c r="V236" i="16"/>
  <c r="X235" i="16"/>
  <c r="AD235" i="16" s="1"/>
  <c r="W235" i="16"/>
  <c r="V235" i="16"/>
  <c r="AB235" i="16" s="1"/>
  <c r="X234" i="16"/>
  <c r="AD234" i="16" s="1"/>
  <c r="W234" i="16"/>
  <c r="AC234" i="16" s="1"/>
  <c r="V234" i="16"/>
  <c r="AB234" i="16" s="1"/>
  <c r="X233" i="16"/>
  <c r="W233" i="16"/>
  <c r="V233" i="16"/>
  <c r="AB233" i="16" s="1"/>
  <c r="X232" i="16"/>
  <c r="W232" i="16"/>
  <c r="V232" i="16"/>
  <c r="X231" i="16"/>
  <c r="AD231" i="16" s="1"/>
  <c r="W231" i="16"/>
  <c r="AC231" i="16" s="1"/>
  <c r="V231" i="16"/>
  <c r="X230" i="16"/>
  <c r="W230" i="16"/>
  <c r="AC230" i="16" s="1"/>
  <c r="V230" i="16"/>
  <c r="X229" i="16"/>
  <c r="W229" i="16"/>
  <c r="AC229" i="16" s="1"/>
  <c r="V229" i="16"/>
  <c r="AB229" i="16" s="1"/>
  <c r="X228" i="16"/>
  <c r="AD228" i="16" s="1"/>
  <c r="W228" i="16"/>
  <c r="V228" i="16"/>
  <c r="X227" i="16"/>
  <c r="AD227" i="16" s="1"/>
  <c r="W227" i="16"/>
  <c r="V227" i="16"/>
  <c r="X226" i="16"/>
  <c r="AD226" i="16" s="1"/>
  <c r="W226" i="16"/>
  <c r="AC226" i="16" s="1"/>
  <c r="V226" i="16"/>
  <c r="AB226" i="16" s="1"/>
  <c r="X225" i="16"/>
  <c r="W225" i="16"/>
  <c r="V225" i="16"/>
  <c r="AB225" i="16" s="1"/>
  <c r="X224" i="16"/>
  <c r="W224" i="16"/>
  <c r="V224" i="16"/>
  <c r="AB224" i="16" s="1"/>
  <c r="X223" i="16"/>
  <c r="AD223" i="16" s="1"/>
  <c r="W223" i="16"/>
  <c r="AC223" i="16" s="1"/>
  <c r="V223" i="16"/>
  <c r="X222" i="16"/>
  <c r="W222" i="16"/>
  <c r="AC222" i="16" s="1"/>
  <c r="V222" i="16"/>
  <c r="AD175" i="17"/>
  <c r="X175" i="17"/>
  <c r="W175" i="17"/>
  <c r="AD174" i="17"/>
  <c r="X174" i="17"/>
  <c r="W174" i="17"/>
  <c r="AD173" i="17"/>
  <c r="X173" i="17"/>
  <c r="W173" i="17"/>
  <c r="AD172" i="17"/>
  <c r="X172" i="17"/>
  <c r="W172" i="17"/>
  <c r="AD171" i="17"/>
  <c r="X171" i="17"/>
  <c r="W171" i="17"/>
  <c r="AD170" i="17"/>
  <c r="X170" i="17"/>
  <c r="W170" i="17"/>
  <c r="AD169" i="17"/>
  <c r="X169" i="17"/>
  <c r="W169" i="17"/>
  <c r="AD168" i="17"/>
  <c r="X168" i="17"/>
  <c r="W168" i="17"/>
  <c r="AD167" i="17"/>
  <c r="X167" i="17"/>
  <c r="W167" i="17"/>
  <c r="AD166" i="17"/>
  <c r="X166" i="17"/>
  <c r="W166" i="17"/>
  <c r="AD165" i="17"/>
  <c r="X165" i="17"/>
  <c r="W165" i="17"/>
  <c r="AD164" i="17"/>
  <c r="X164" i="17"/>
  <c r="W164" i="17"/>
  <c r="AE163" i="17"/>
  <c r="V163" i="17"/>
  <c r="AB163" i="17" s="1"/>
  <c r="AE162" i="17"/>
  <c r="V162" i="17"/>
  <c r="AB162" i="17" s="1"/>
  <c r="AE161" i="17"/>
  <c r="V161" i="17"/>
  <c r="AB161" i="17" s="1"/>
  <c r="AE160" i="17"/>
  <c r="V160" i="17"/>
  <c r="AB160" i="17" s="1"/>
  <c r="AE159" i="17"/>
  <c r="V159" i="17"/>
  <c r="AB159" i="17" s="1"/>
  <c r="AE158" i="17"/>
  <c r="V158" i="17"/>
  <c r="AB158" i="17" s="1"/>
  <c r="AE157" i="17"/>
  <c r="V157" i="17"/>
  <c r="AB157" i="17" s="1"/>
  <c r="AE156" i="17"/>
  <c r="V156" i="17"/>
  <c r="AB156" i="17" s="1"/>
  <c r="AE155" i="17"/>
  <c r="V155" i="17"/>
  <c r="AB155" i="17" s="1"/>
  <c r="AE154" i="17"/>
  <c r="V154" i="17"/>
  <c r="AB154" i="17" s="1"/>
  <c r="AE153" i="17"/>
  <c r="V153" i="17"/>
  <c r="AB153" i="17" s="1"/>
  <c r="AE152" i="17"/>
  <c r="V152" i="17"/>
  <c r="AB152" i="17" s="1"/>
  <c r="AD151" i="17"/>
  <c r="X151" i="17"/>
  <c r="W151" i="17"/>
  <c r="AD150" i="17"/>
  <c r="X150" i="17"/>
  <c r="W150" i="17"/>
  <c r="AD149" i="17"/>
  <c r="X149" i="17"/>
  <c r="W149" i="17"/>
  <c r="AD148" i="17"/>
  <c r="X148" i="17"/>
  <c r="W148" i="17"/>
  <c r="AD147" i="17"/>
  <c r="X147" i="17"/>
  <c r="W147" i="17"/>
  <c r="AD146" i="17"/>
  <c r="X146" i="17"/>
  <c r="W146" i="17"/>
  <c r="AD145" i="17"/>
  <c r="X145" i="17"/>
  <c r="W145" i="17"/>
  <c r="AD144" i="17"/>
  <c r="X144" i="17"/>
  <c r="W144" i="17"/>
  <c r="AD143" i="17"/>
  <c r="X143" i="17"/>
  <c r="W143" i="17"/>
  <c r="AD142" i="17"/>
  <c r="X142" i="17"/>
  <c r="W142" i="17"/>
  <c r="AD141" i="17"/>
  <c r="X141" i="17"/>
  <c r="W141" i="17"/>
  <c r="AD140" i="17"/>
  <c r="X140" i="17"/>
  <c r="W140" i="17"/>
  <c r="AD139" i="17"/>
  <c r="X139" i="17"/>
  <c r="W139" i="17"/>
  <c r="AD138" i="17"/>
  <c r="X138" i="17"/>
  <c r="W138" i="17"/>
  <c r="AD137" i="17"/>
  <c r="X137" i="17"/>
  <c r="W137" i="17"/>
  <c r="AD136" i="17"/>
  <c r="X136" i="17"/>
  <c r="W136" i="17"/>
  <c r="AD135" i="17"/>
  <c r="X135" i="17"/>
  <c r="W135" i="17"/>
  <c r="AD134" i="17"/>
  <c r="X134" i="17"/>
  <c r="W134" i="17"/>
  <c r="AD133" i="17"/>
  <c r="X133" i="17"/>
  <c r="W133" i="17"/>
  <c r="AD132" i="17"/>
  <c r="X132" i="17"/>
  <c r="W132" i="17"/>
  <c r="AD131" i="17"/>
  <c r="X131" i="17"/>
  <c r="W131" i="17"/>
  <c r="AD130" i="17"/>
  <c r="X130" i="17"/>
  <c r="W130" i="17"/>
  <c r="AD129" i="17"/>
  <c r="X129" i="17"/>
  <c r="W129" i="17"/>
  <c r="AE128" i="17"/>
  <c r="V128" i="17"/>
  <c r="AB128" i="17" s="1"/>
  <c r="AE127" i="17"/>
  <c r="V127" i="17"/>
  <c r="AB127" i="17" s="1"/>
  <c r="AE126" i="17"/>
  <c r="V126" i="17"/>
  <c r="AB126" i="17" s="1"/>
  <c r="AE125" i="17"/>
  <c r="V125" i="17"/>
  <c r="AB125" i="17" s="1"/>
  <c r="AE124" i="17"/>
  <c r="V124" i="17"/>
  <c r="AB124" i="17" s="1"/>
  <c r="AE123" i="17"/>
  <c r="V123" i="17"/>
  <c r="AB123" i="17" s="1"/>
  <c r="AE122" i="17"/>
  <c r="V122" i="17"/>
  <c r="AB122" i="17" s="1"/>
  <c r="AE121" i="17"/>
  <c r="V121" i="17"/>
  <c r="AB121" i="17" s="1"/>
  <c r="AE120" i="17"/>
  <c r="V120" i="17"/>
  <c r="AB120" i="17" s="1"/>
  <c r="AE119" i="17"/>
  <c r="V119" i="17"/>
  <c r="AB119" i="17" s="1"/>
  <c r="AE118" i="17"/>
  <c r="V118" i="17"/>
  <c r="AB118" i="17" s="1"/>
  <c r="AD117" i="17"/>
  <c r="X117" i="17"/>
  <c r="W117" i="17"/>
  <c r="AD116" i="17"/>
  <c r="X116" i="17"/>
  <c r="W116" i="17"/>
  <c r="AD115" i="17"/>
  <c r="X115" i="17"/>
  <c r="W115" i="17"/>
  <c r="AD114" i="17"/>
  <c r="X114" i="17"/>
  <c r="W114" i="17"/>
  <c r="AD113" i="17"/>
  <c r="X113" i="17"/>
  <c r="W113" i="17"/>
  <c r="AD112" i="17"/>
  <c r="X112" i="17"/>
  <c r="W112" i="17"/>
  <c r="AD111" i="17"/>
  <c r="X111" i="17"/>
  <c r="W111" i="17"/>
  <c r="AD110" i="17"/>
  <c r="X110" i="17"/>
  <c r="W110" i="17"/>
  <c r="AD109" i="17"/>
  <c r="X109" i="17"/>
  <c r="W109" i="17"/>
  <c r="AD108" i="17"/>
  <c r="X108" i="17"/>
  <c r="W108" i="17"/>
  <c r="AD107" i="17"/>
  <c r="X107" i="17"/>
  <c r="W107" i="17"/>
  <c r="X70" i="17"/>
  <c r="W70" i="17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V59" i="17"/>
  <c r="AB59" i="17" s="1"/>
  <c r="X58" i="17"/>
  <c r="W58" i="17"/>
  <c r="V58" i="17"/>
  <c r="AB58" i="17" s="1"/>
  <c r="X57" i="17"/>
  <c r="W57" i="17"/>
  <c r="V57" i="17"/>
  <c r="AB57" i="17" s="1"/>
  <c r="X56" i="17"/>
  <c r="W56" i="17"/>
  <c r="V56" i="17"/>
  <c r="AB56" i="17" s="1"/>
  <c r="X55" i="17"/>
  <c r="W55" i="17"/>
  <c r="V55" i="17"/>
  <c r="AB55" i="17" s="1"/>
  <c r="X54" i="17"/>
  <c r="W54" i="17"/>
  <c r="V54" i="17"/>
  <c r="AB54" i="17" s="1"/>
  <c r="X53" i="17"/>
  <c r="W53" i="17"/>
  <c r="V53" i="17"/>
  <c r="AB53" i="17" s="1"/>
  <c r="X52" i="17"/>
  <c r="W52" i="17"/>
  <c r="V52" i="17"/>
  <c r="AB52" i="17" s="1"/>
  <c r="X51" i="17"/>
  <c r="W51" i="17"/>
  <c r="V51" i="17"/>
  <c r="AB51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M40" i="5"/>
  <c r="M39" i="5"/>
  <c r="M38" i="5"/>
  <c r="AJ9" i="17"/>
  <c r="AI9" i="17"/>
  <c r="AJ7" i="17"/>
  <c r="AI7" i="17"/>
  <c r="AJ4" i="17"/>
  <c r="AI4" i="17"/>
  <c r="AJ3" i="17"/>
  <c r="AI3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9" i="21" s="1"/>
  <c r="AD106" i="17"/>
  <c r="AD105" i="17"/>
  <c r="AD104" i="17"/>
  <c r="AD103" i="17"/>
  <c r="AD102" i="17"/>
  <c r="AD101" i="17"/>
  <c r="AD100" i="17"/>
  <c r="AD99" i="17"/>
  <c r="AD98" i="17"/>
  <c r="AD97" i="17"/>
  <c r="AD96" i="17"/>
  <c r="AD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D82" i="17"/>
  <c r="AD81" i="17"/>
  <c r="AD80" i="17"/>
  <c r="AD79" i="17"/>
  <c r="AD78" i="17"/>
  <c r="AD77" i="17"/>
  <c r="AD76" i="17"/>
  <c r="AD75" i="17"/>
  <c r="AD74" i="17"/>
  <c r="AD73" i="17"/>
  <c r="AD72" i="17"/>
  <c r="AD71" i="17"/>
  <c r="AD43" i="17"/>
  <c r="AD42" i="17"/>
  <c r="AD41" i="17"/>
  <c r="AD37" i="17"/>
  <c r="AD36" i="17"/>
  <c r="AD35" i="17"/>
  <c r="AD34" i="17"/>
  <c r="AD33" i="17"/>
  <c r="AD32" i="17"/>
  <c r="AD31" i="17"/>
  <c r="AD30" i="17"/>
  <c r="AD29" i="17"/>
  <c r="AD28" i="17"/>
  <c r="AD27" i="17"/>
  <c r="AD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D13" i="17"/>
  <c r="AD12" i="17"/>
  <c r="AD11" i="17"/>
  <c r="AD10" i="17"/>
  <c r="AD9" i="17"/>
  <c r="AD8" i="17"/>
  <c r="AD7" i="17"/>
  <c r="AD6" i="17"/>
  <c r="AD5" i="17"/>
  <c r="AD4" i="17"/>
  <c r="AD3" i="17"/>
  <c r="AD2" i="17"/>
  <c r="V296" i="17"/>
  <c r="AB296" i="17" s="1"/>
  <c r="V295" i="17"/>
  <c r="AB295" i="17" s="1"/>
  <c r="V294" i="17"/>
  <c r="AB294" i="17" s="1"/>
  <c r="V293" i="17"/>
  <c r="AB293" i="17" s="1"/>
  <c r="V292" i="17"/>
  <c r="AB292" i="17" s="1"/>
  <c r="V291" i="17"/>
  <c r="AB291" i="17" s="1"/>
  <c r="V290" i="17"/>
  <c r="AB290" i="17" s="1"/>
  <c r="V289" i="17"/>
  <c r="AB289" i="17" s="1"/>
  <c r="V288" i="17"/>
  <c r="AB288" i="17" s="1"/>
  <c r="V287" i="17"/>
  <c r="AB287" i="17" s="1"/>
  <c r="V286" i="17"/>
  <c r="AB286" i="17" s="1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V175" i="17"/>
  <c r="AB175" i="17" s="1"/>
  <c r="V174" i="17"/>
  <c r="AB174" i="17" s="1"/>
  <c r="V173" i="17"/>
  <c r="AB173" i="17" s="1"/>
  <c r="V172" i="17"/>
  <c r="AB172" i="17" s="1"/>
  <c r="V171" i="17"/>
  <c r="AB171" i="17" s="1"/>
  <c r="V170" i="17"/>
  <c r="AB170" i="17" s="1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X163" i="17"/>
  <c r="W163" i="17"/>
  <c r="X162" i="17"/>
  <c r="W162" i="17"/>
  <c r="X161" i="17"/>
  <c r="W161" i="17"/>
  <c r="X160" i="17"/>
  <c r="W160" i="17"/>
  <c r="X159" i="17"/>
  <c r="W159" i="17"/>
  <c r="X158" i="17"/>
  <c r="W158" i="17"/>
  <c r="X157" i="17"/>
  <c r="W157" i="17"/>
  <c r="X156" i="17"/>
  <c r="W156" i="17"/>
  <c r="X155" i="17"/>
  <c r="W155" i="17"/>
  <c r="X154" i="17"/>
  <c r="W154" i="17"/>
  <c r="X153" i="17"/>
  <c r="W153" i="17"/>
  <c r="X152" i="17"/>
  <c r="W152" i="17"/>
  <c r="V151" i="17"/>
  <c r="AB151" i="17" s="1"/>
  <c r="V150" i="17"/>
  <c r="AB150" i="17" s="1"/>
  <c r="V149" i="17"/>
  <c r="AB149" i="17" s="1"/>
  <c r="V148" i="17"/>
  <c r="AB148" i="17" s="1"/>
  <c r="V147" i="17"/>
  <c r="AB147" i="17" s="1"/>
  <c r="V146" i="17"/>
  <c r="AB146" i="17" s="1"/>
  <c r="V145" i="17"/>
  <c r="AB145" i="17" s="1"/>
  <c r="V144" i="17"/>
  <c r="AB144" i="17" s="1"/>
  <c r="V143" i="17"/>
  <c r="AB143" i="17" s="1"/>
  <c r="V142" i="17"/>
  <c r="AB142" i="17" s="1"/>
  <c r="V141" i="17"/>
  <c r="AB141" i="17" s="1"/>
  <c r="V140" i="17"/>
  <c r="AB140" i="17" s="1"/>
  <c r="V139" i="17"/>
  <c r="AB139" i="17" s="1"/>
  <c r="V138" i="17"/>
  <c r="AB138" i="17" s="1"/>
  <c r="V137" i="17"/>
  <c r="AB137" i="17" s="1"/>
  <c r="V136" i="17"/>
  <c r="AB136" i="17" s="1"/>
  <c r="V135" i="17"/>
  <c r="AB135" i="17" s="1"/>
  <c r="V134" i="17"/>
  <c r="AB134" i="17" s="1"/>
  <c r="V133" i="17"/>
  <c r="AB133" i="17" s="1"/>
  <c r="V132" i="17"/>
  <c r="AB132" i="17" s="1"/>
  <c r="V131" i="17"/>
  <c r="AB131" i="17" s="1"/>
  <c r="V130" i="17"/>
  <c r="AB130" i="17" s="1"/>
  <c r="V129" i="17"/>
  <c r="AB129" i="17" s="1"/>
  <c r="X128" i="17"/>
  <c r="W128" i="17"/>
  <c r="X127" i="17"/>
  <c r="W127" i="17"/>
  <c r="X126" i="17"/>
  <c r="W126" i="17"/>
  <c r="X125" i="17"/>
  <c r="W125" i="17"/>
  <c r="X124" i="17"/>
  <c r="W124" i="17"/>
  <c r="X123" i="17"/>
  <c r="W123" i="17"/>
  <c r="X122" i="17"/>
  <c r="W122" i="17"/>
  <c r="X121" i="17"/>
  <c r="W121" i="17"/>
  <c r="X120" i="17"/>
  <c r="W120" i="17"/>
  <c r="X119" i="17"/>
  <c r="W119" i="17"/>
  <c r="X118" i="17"/>
  <c r="W118" i="17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V111" i="17"/>
  <c r="AB111" i="17" s="1"/>
  <c r="V110" i="17"/>
  <c r="AB110" i="17" s="1"/>
  <c r="V109" i="17"/>
  <c r="AB109" i="17" s="1"/>
  <c r="V108" i="17"/>
  <c r="AB108" i="17" s="1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V72" i="17"/>
  <c r="AB72" i="17" s="1"/>
  <c r="X71" i="17"/>
  <c r="W71" i="17"/>
  <c r="V71" i="17"/>
  <c r="AB71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C974" i="16"/>
  <c r="AE973" i="16"/>
  <c r="AD973" i="16"/>
  <c r="AC973" i="16"/>
  <c r="AE972" i="16"/>
  <c r="AD972" i="16"/>
  <c r="AC972" i="16"/>
  <c r="AE971" i="16"/>
  <c r="AE970" i="16"/>
  <c r="AD970" i="16"/>
  <c r="AC970" i="16"/>
  <c r="AE969" i="16"/>
  <c r="AD969" i="16"/>
  <c r="AE968" i="16"/>
  <c r="AD968" i="16"/>
  <c r="AE967" i="16"/>
  <c r="AE966" i="16"/>
  <c r="AC966" i="16"/>
  <c r="AE965" i="16"/>
  <c r="AD965" i="16"/>
  <c r="AE964" i="16"/>
  <c r="AD964" i="16"/>
  <c r="AC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A10" i="21" s="1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A9" i="21" s="1"/>
  <c r="AE609" i="16"/>
  <c r="AE608" i="16"/>
  <c r="AC608" i="16"/>
  <c r="AE607" i="16"/>
  <c r="AD607" i="16"/>
  <c r="AE606" i="16"/>
  <c r="AD606" i="16"/>
  <c r="AC606" i="16"/>
  <c r="AE605" i="16"/>
  <c r="AE604" i="16"/>
  <c r="AC604" i="16"/>
  <c r="AE603" i="16"/>
  <c r="AD603" i="16"/>
  <c r="AE602" i="16"/>
  <c r="AD602" i="16"/>
  <c r="AC602" i="16"/>
  <c r="AE601" i="16"/>
  <c r="AE600" i="16"/>
  <c r="AC600" i="16"/>
  <c r="AE599" i="16"/>
  <c r="AD599" i="16"/>
  <c r="AE598" i="16"/>
  <c r="AD598" i="16"/>
  <c r="AC598" i="16"/>
  <c r="AG597" i="16"/>
  <c r="AF597" i="16"/>
  <c r="AG596" i="16"/>
  <c r="AF596" i="16"/>
  <c r="AG595" i="16"/>
  <c r="AF595" i="16"/>
  <c r="AG594" i="16"/>
  <c r="AF594" i="16"/>
  <c r="AB594" i="16"/>
  <c r="AG593" i="16"/>
  <c r="AF593" i="16"/>
  <c r="AB593" i="16"/>
  <c r="AG592" i="16"/>
  <c r="AF592" i="16"/>
  <c r="AG591" i="16"/>
  <c r="AF591" i="16"/>
  <c r="AB591" i="16"/>
  <c r="AG590" i="16"/>
  <c r="AF590" i="16"/>
  <c r="AB590" i="16"/>
  <c r="AG589" i="16"/>
  <c r="AF589" i="16"/>
  <c r="AG588" i="16"/>
  <c r="AF588" i="16"/>
  <c r="AG587" i="16"/>
  <c r="AF587" i="16"/>
  <c r="AG586" i="16"/>
  <c r="AF586" i="16"/>
  <c r="AB586" i="16"/>
  <c r="AE585" i="16"/>
  <c r="AD585" i="16"/>
  <c r="AE584" i="16"/>
  <c r="AD584" i="16"/>
  <c r="AC584" i="16"/>
  <c r="AE583" i="16"/>
  <c r="AE582" i="16"/>
  <c r="AD582" i="16"/>
  <c r="AC582" i="16"/>
  <c r="AE581" i="16"/>
  <c r="AD581" i="16"/>
  <c r="AE580" i="16"/>
  <c r="AD580" i="16"/>
  <c r="AC580" i="16"/>
  <c r="AE579" i="16"/>
  <c r="AE578" i="16"/>
  <c r="AC578" i="16"/>
  <c r="AE577" i="16"/>
  <c r="AD577" i="16"/>
  <c r="AE576" i="16"/>
  <c r="AD576" i="16"/>
  <c r="AE575" i="16"/>
  <c r="AE574" i="16"/>
  <c r="AD574" i="16"/>
  <c r="AC574" i="16"/>
  <c r="AE573" i="16"/>
  <c r="AD573" i="16"/>
  <c r="AE572" i="16"/>
  <c r="AD572" i="16"/>
  <c r="AE571" i="16"/>
  <c r="AE570" i="16"/>
  <c r="AC570" i="16"/>
  <c r="AE569" i="16"/>
  <c r="AD569" i="16"/>
  <c r="AE568" i="16"/>
  <c r="AD568" i="16"/>
  <c r="AC568" i="16"/>
  <c r="AE567" i="16"/>
  <c r="AE566" i="16"/>
  <c r="AD566" i="16"/>
  <c r="AC566" i="16"/>
  <c r="AE565" i="16"/>
  <c r="AD565" i="16"/>
  <c r="AE564" i="16"/>
  <c r="AD564" i="16"/>
  <c r="AC564" i="16"/>
  <c r="AE563" i="16"/>
  <c r="AG562" i="16"/>
  <c r="AF562" i="16"/>
  <c r="AG561" i="16"/>
  <c r="AF561" i="16"/>
  <c r="AB561" i="16"/>
  <c r="AG560" i="16"/>
  <c r="AF560" i="16"/>
  <c r="AB560" i="16"/>
  <c r="AG559" i="16"/>
  <c r="AF559" i="16"/>
  <c r="AG558" i="16"/>
  <c r="AF558" i="16"/>
  <c r="AB558" i="16"/>
  <c r="AG557" i="16"/>
  <c r="AF557" i="16"/>
  <c r="AB557" i="16"/>
  <c r="AG556" i="16"/>
  <c r="AF556" i="16"/>
  <c r="AG555" i="16"/>
  <c r="AF555" i="16"/>
  <c r="AG554" i="16"/>
  <c r="AF554" i="16"/>
  <c r="AG553" i="16"/>
  <c r="AF553" i="16"/>
  <c r="AB553" i="16"/>
  <c r="AG552" i="16"/>
  <c r="AF552" i="16"/>
  <c r="AB552" i="16"/>
  <c r="AE551" i="16"/>
  <c r="AC551" i="16"/>
  <c r="AE550" i="16"/>
  <c r="AE549" i="16"/>
  <c r="AE548" i="16"/>
  <c r="AD548" i="16"/>
  <c r="AC548" i="16"/>
  <c r="AE547" i="16"/>
  <c r="AC547" i="16"/>
  <c r="AE546" i="16"/>
  <c r="AD546" i="16"/>
  <c r="AE545" i="16"/>
  <c r="AC545" i="16"/>
  <c r="AE544" i="16"/>
  <c r="AD544" i="16"/>
  <c r="AC544" i="16"/>
  <c r="AE543" i="16"/>
  <c r="AC543" i="16"/>
  <c r="AE542" i="16"/>
  <c r="AD542" i="16"/>
  <c r="AC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G529" i="16"/>
  <c r="AF529" i="16"/>
  <c r="AG528" i="16"/>
  <c r="AF528" i="16"/>
  <c r="AG527" i="16"/>
  <c r="AF527" i="16"/>
  <c r="AG526" i="16"/>
  <c r="AF526" i="16"/>
  <c r="AG525" i="16"/>
  <c r="AF525" i="16"/>
  <c r="AG524" i="16"/>
  <c r="AF524" i="16"/>
  <c r="AG523" i="16"/>
  <c r="AF523" i="16"/>
  <c r="AG522" i="16"/>
  <c r="AF522" i="16"/>
  <c r="AG521" i="16"/>
  <c r="AF521" i="16"/>
  <c r="AG520" i="16"/>
  <c r="AF520" i="16"/>
  <c r="AG519" i="16"/>
  <c r="AF519" i="16"/>
  <c r="AG518" i="16"/>
  <c r="AF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G482" i="16"/>
  <c r="AF482" i="16"/>
  <c r="AG481" i="16"/>
  <c r="AF481" i="16"/>
  <c r="AG480" i="16"/>
  <c r="AF480" i="16"/>
  <c r="AG479" i="16"/>
  <c r="AF479" i="16"/>
  <c r="AG478" i="16"/>
  <c r="AF478" i="16"/>
  <c r="AG477" i="16"/>
  <c r="AF477" i="16"/>
  <c r="AG476" i="16"/>
  <c r="AF476" i="16"/>
  <c r="AG475" i="16"/>
  <c r="AF475" i="16"/>
  <c r="AG474" i="16"/>
  <c r="AF474" i="16"/>
  <c r="AG473" i="16"/>
  <c r="AF473" i="16"/>
  <c r="AG472" i="16"/>
  <c r="AF472" i="16"/>
  <c r="AG471" i="16"/>
  <c r="AF471" i="16"/>
  <c r="AG470" i="16"/>
  <c r="AF470" i="16"/>
  <c r="AG469" i="16"/>
  <c r="AF469" i="16"/>
  <c r="AG468" i="16"/>
  <c r="AF468" i="16"/>
  <c r="AG467" i="16"/>
  <c r="AF467" i="16"/>
  <c r="AG466" i="16"/>
  <c r="AF466" i="16"/>
  <c r="AG465" i="16"/>
  <c r="AF465" i="16"/>
  <c r="AG464" i="16"/>
  <c r="AF464" i="16"/>
  <c r="AG463" i="16"/>
  <c r="AF463" i="16"/>
  <c r="AG462" i="16"/>
  <c r="AF462" i="16"/>
  <c r="AG461" i="16"/>
  <c r="AF461" i="16"/>
  <c r="AG460" i="16"/>
  <c r="AF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G436" i="16"/>
  <c r="AE436" i="16"/>
  <c r="AE435" i="16"/>
  <c r="AE434" i="16"/>
  <c r="AG433" i="16"/>
  <c r="AE433" i="16"/>
  <c r="AE432" i="16"/>
  <c r="AE431" i="16"/>
  <c r="AG430" i="16"/>
  <c r="AE430" i="16"/>
  <c r="AE429" i="16"/>
  <c r="AE428" i="16"/>
  <c r="AG427" i="16"/>
  <c r="AE427" i="16"/>
  <c r="AE426" i="16"/>
  <c r="AE425" i="16"/>
  <c r="AG424" i="16"/>
  <c r="AE424" i="16"/>
  <c r="AE423" i="16"/>
  <c r="AE422" i="16"/>
  <c r="AG421" i="16"/>
  <c r="AE421" i="16"/>
  <c r="AE420" i="16"/>
  <c r="AE419" i="16"/>
  <c r="AG418" i="16"/>
  <c r="AE418" i="16"/>
  <c r="AE417" i="16"/>
  <c r="AG416" i="16"/>
  <c r="AE416" i="16"/>
  <c r="AE415" i="16"/>
  <c r="AG414" i="16"/>
  <c r="AE414" i="16"/>
  <c r="AE413" i="16"/>
  <c r="AG412" i="16"/>
  <c r="AE412" i="16"/>
  <c r="AE411" i="16"/>
  <c r="AG410" i="16"/>
  <c r="AE410" i="16"/>
  <c r="AE409" i="16"/>
  <c r="AG408" i="16"/>
  <c r="AE408" i="16"/>
  <c r="AE407" i="16"/>
  <c r="AG406" i="16"/>
  <c r="AF406" i="16"/>
  <c r="AG405" i="16"/>
  <c r="AF405" i="16"/>
  <c r="AG404" i="16"/>
  <c r="AF404" i="16"/>
  <c r="AG403" i="16"/>
  <c r="AF403" i="16"/>
  <c r="AG402" i="16"/>
  <c r="AF402" i="16"/>
  <c r="AG401" i="16"/>
  <c r="AF401" i="16"/>
  <c r="AG400" i="16"/>
  <c r="AF400" i="16"/>
  <c r="AG399" i="16"/>
  <c r="AF399" i="16"/>
  <c r="AG398" i="16"/>
  <c r="AF398" i="16"/>
  <c r="AG397" i="16"/>
  <c r="AF397" i="16"/>
  <c r="AG396" i="16"/>
  <c r="AF396" i="16"/>
  <c r="AG395" i="16"/>
  <c r="AF395" i="16"/>
  <c r="AG394" i="16"/>
  <c r="AF394" i="16"/>
  <c r="AG393" i="16"/>
  <c r="AF393" i="16"/>
  <c r="AG392" i="16"/>
  <c r="AF392" i="16"/>
  <c r="AG391" i="16"/>
  <c r="AF391" i="16"/>
  <c r="AG390" i="16"/>
  <c r="AF390" i="16"/>
  <c r="AG389" i="16"/>
  <c r="AF389" i="16"/>
  <c r="AG388" i="16"/>
  <c r="AF388" i="16"/>
  <c r="AG387" i="16"/>
  <c r="AF387" i="16"/>
  <c r="AG386" i="16"/>
  <c r="AF386" i="16"/>
  <c r="AG385" i="16"/>
  <c r="AF385" i="16"/>
  <c r="AG384" i="16"/>
  <c r="AF384" i="16"/>
  <c r="AG383" i="16"/>
  <c r="AF383" i="16"/>
  <c r="AG382" i="16"/>
  <c r="AF382" i="16"/>
  <c r="AG381" i="16"/>
  <c r="AF381" i="16"/>
  <c r="AG380" i="16"/>
  <c r="AF380" i="16"/>
  <c r="AG379" i="16"/>
  <c r="AF379" i="16"/>
  <c r="AG378" i="16"/>
  <c r="AF378" i="16"/>
  <c r="AG377" i="16"/>
  <c r="AF377" i="16"/>
  <c r="AG376" i="16"/>
  <c r="AE376" i="16"/>
  <c r="AE375" i="16"/>
  <c r="AE374" i="16"/>
  <c r="AG373" i="16"/>
  <c r="AE373" i="16"/>
  <c r="AE372" i="16"/>
  <c r="AE371" i="16"/>
  <c r="AG370" i="16"/>
  <c r="AE370" i="16"/>
  <c r="AE369" i="16"/>
  <c r="AE368" i="16"/>
  <c r="AG367" i="16"/>
  <c r="AE367" i="16"/>
  <c r="AE366" i="16"/>
  <c r="AE365" i="16"/>
  <c r="AG364" i="16"/>
  <c r="AE364" i="16"/>
  <c r="AE363" i="16"/>
  <c r="AE362" i="16"/>
  <c r="AG361" i="16"/>
  <c r="AE361" i="16"/>
  <c r="AE360" i="16"/>
  <c r="AG359" i="16"/>
  <c r="AE359" i="16"/>
  <c r="AE358" i="16"/>
  <c r="AG357" i="16"/>
  <c r="AE357" i="16"/>
  <c r="AE356" i="16"/>
  <c r="AG355" i="16"/>
  <c r="AE355" i="16"/>
  <c r="AE354" i="16"/>
  <c r="AG353" i="16"/>
  <c r="AE353" i="16"/>
  <c r="AE352" i="16"/>
  <c r="AG351" i="16"/>
  <c r="AE351" i="16"/>
  <c r="AE350" i="16"/>
  <c r="AG349" i="16"/>
  <c r="AE349" i="16"/>
  <c r="AE348" i="16"/>
  <c r="AG347" i="16"/>
  <c r="AE347" i="16"/>
  <c r="AG346" i="16"/>
  <c r="AE346" i="16"/>
  <c r="AG345" i="16"/>
  <c r="AE345" i="16"/>
  <c r="AG344" i="16"/>
  <c r="AE344" i="16"/>
  <c r="AG343" i="16"/>
  <c r="AE343" i="16"/>
  <c r="AG342" i="16"/>
  <c r="AE342" i="16"/>
  <c r="AG341" i="16"/>
  <c r="AE341" i="16"/>
  <c r="AG340" i="16"/>
  <c r="AE340" i="16"/>
  <c r="AG339" i="16"/>
  <c r="AE339" i="16"/>
  <c r="AG338" i="16"/>
  <c r="AE338" i="16"/>
  <c r="AG337" i="16"/>
  <c r="AE337" i="16"/>
  <c r="AG336" i="16"/>
  <c r="AE336" i="16"/>
  <c r="AG335" i="16"/>
  <c r="AF335" i="16"/>
  <c r="AG334" i="16"/>
  <c r="AF334" i="16"/>
  <c r="AG333" i="16"/>
  <c r="AF333" i="16"/>
  <c r="AG332" i="16"/>
  <c r="AF332" i="16"/>
  <c r="AG331" i="16"/>
  <c r="AF331" i="16"/>
  <c r="AG330" i="16"/>
  <c r="AF330" i="16"/>
  <c r="AG329" i="16"/>
  <c r="AF329" i="16"/>
  <c r="AG328" i="16"/>
  <c r="AF328" i="16"/>
  <c r="AG327" i="16"/>
  <c r="AF327" i="16"/>
  <c r="AG326" i="16"/>
  <c r="AF326" i="16"/>
  <c r="AG325" i="16"/>
  <c r="AF325" i="16"/>
  <c r="AG324" i="16"/>
  <c r="AF324" i="16"/>
  <c r="AG323" i="16"/>
  <c r="AE323" i="16"/>
  <c r="AG322" i="16"/>
  <c r="AE322" i="16"/>
  <c r="AG321" i="16"/>
  <c r="AE321" i="16"/>
  <c r="AG320" i="16"/>
  <c r="AE320" i="16"/>
  <c r="AG319" i="16"/>
  <c r="AE319" i="16"/>
  <c r="AG318" i="16"/>
  <c r="AE318" i="16"/>
  <c r="AG317" i="16"/>
  <c r="AE317" i="16"/>
  <c r="AG316" i="16"/>
  <c r="AE316" i="16"/>
  <c r="AG315" i="16"/>
  <c r="AE315" i="16"/>
  <c r="AG314" i="16"/>
  <c r="AE314" i="16"/>
  <c r="AG313" i="16"/>
  <c r="AE313" i="16"/>
  <c r="AG312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G292" i="16"/>
  <c r="AF292" i="16"/>
  <c r="AG291" i="16"/>
  <c r="AF291" i="16"/>
  <c r="AG290" i="16"/>
  <c r="AF290" i="16"/>
  <c r="AG289" i="16"/>
  <c r="AF289" i="16"/>
  <c r="AG288" i="16"/>
  <c r="AF288" i="16"/>
  <c r="AG287" i="16"/>
  <c r="AF287" i="16"/>
  <c r="AG286" i="16"/>
  <c r="AF286" i="16"/>
  <c r="AG285" i="16"/>
  <c r="AF285" i="16"/>
  <c r="AG284" i="16"/>
  <c r="AF284" i="16"/>
  <c r="AG283" i="16"/>
  <c r="AF283" i="16"/>
  <c r="AG282" i="16"/>
  <c r="AF282" i="16"/>
  <c r="AG281" i="16"/>
  <c r="AF281" i="16"/>
  <c r="AG280" i="16"/>
  <c r="AF280" i="16"/>
  <c r="AG279" i="16"/>
  <c r="AF279" i="16"/>
  <c r="AG278" i="16"/>
  <c r="AF278" i="16"/>
  <c r="AG277" i="16"/>
  <c r="AF277" i="16"/>
  <c r="AG276" i="16"/>
  <c r="AF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F269" i="16"/>
  <c r="AG268" i="16"/>
  <c r="AF268" i="16"/>
  <c r="AG267" i="16"/>
  <c r="AF267" i="16"/>
  <c r="AE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D245" i="16"/>
  <c r="AC244" i="16"/>
  <c r="AB244" i="16"/>
  <c r="AC243" i="16"/>
  <c r="AB243" i="16"/>
  <c r="AD241" i="16"/>
  <c r="AC241" i="16"/>
  <c r="AD240" i="16"/>
  <c r="AC240" i="16"/>
  <c r="AB239" i="16"/>
  <c r="AD238" i="16"/>
  <c r="AB238" i="16"/>
  <c r="AD237" i="16"/>
  <c r="AC236" i="16"/>
  <c r="AB236" i="16"/>
  <c r="AC235" i="16"/>
  <c r="AD233" i="16"/>
  <c r="AC233" i="16"/>
  <c r="AD232" i="16"/>
  <c r="AC232" i="16"/>
  <c r="AB232" i="16"/>
  <c r="AB231" i="16"/>
  <c r="AD230" i="16"/>
  <c r="AB230" i="16"/>
  <c r="AD229" i="16"/>
  <c r="AC228" i="16"/>
  <c r="AB228" i="16"/>
  <c r="AC227" i="16"/>
  <c r="AB227" i="16"/>
  <c r="AD225" i="16"/>
  <c r="AC225" i="16"/>
  <c r="AD224" i="16"/>
  <c r="AC224" i="16"/>
  <c r="AB223" i="16"/>
  <c r="AD222" i="16"/>
  <c r="AB222" i="16"/>
  <c r="AG197" i="16"/>
  <c r="AG195" i="16"/>
  <c r="AG193" i="16"/>
  <c r="AG191" i="16"/>
  <c r="AG189" i="16"/>
  <c r="AG187" i="16"/>
  <c r="AG185" i="16"/>
  <c r="AG183" i="16"/>
  <c r="AG181" i="16"/>
  <c r="AG179" i="16"/>
  <c r="AG177" i="16"/>
  <c r="AG175" i="16"/>
  <c r="AG173" i="16"/>
  <c r="AG171" i="16"/>
  <c r="AG169" i="16"/>
  <c r="AG167" i="16"/>
  <c r="AG165" i="16"/>
  <c r="AG163" i="16"/>
  <c r="AG161" i="16"/>
  <c r="AG159" i="16"/>
  <c r="AG157" i="16"/>
  <c r="AG155" i="16"/>
  <c r="AG153" i="16"/>
  <c r="AG151" i="16"/>
  <c r="AG149" i="16"/>
  <c r="AG148" i="16"/>
  <c r="AG147" i="16"/>
  <c r="AG146" i="16"/>
  <c r="AE146" i="16"/>
  <c r="AG145" i="16"/>
  <c r="AE145" i="16"/>
  <c r="AG144" i="16"/>
  <c r="AE144" i="16"/>
  <c r="AG143" i="16"/>
  <c r="AG142" i="16"/>
  <c r="AG141" i="16"/>
  <c r="AG140" i="16"/>
  <c r="AG138" i="16"/>
  <c r="AG136" i="16"/>
  <c r="AG134" i="16"/>
  <c r="AG132" i="16"/>
  <c r="AG130" i="16"/>
  <c r="AG128" i="16"/>
  <c r="AG126" i="16"/>
  <c r="AG124" i="16"/>
  <c r="AG122" i="16"/>
  <c r="AG120" i="16"/>
  <c r="AG118" i="16"/>
  <c r="AG116" i="16"/>
  <c r="AG114" i="16"/>
  <c r="AG112" i="16"/>
  <c r="AG110" i="16"/>
  <c r="AG108" i="16"/>
  <c r="AG106" i="16"/>
  <c r="AG104" i="16"/>
  <c r="AG102" i="16"/>
  <c r="AG100" i="16"/>
  <c r="AG98" i="16"/>
  <c r="AG96" i="16"/>
  <c r="AG94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G80" i="16"/>
  <c r="AF80" i="16"/>
  <c r="AG79" i="16"/>
  <c r="AF79" i="16"/>
  <c r="AG78" i="16"/>
  <c r="AF78" i="16"/>
  <c r="AG77" i="16"/>
  <c r="AF77" i="16"/>
  <c r="AG76" i="16"/>
  <c r="AF76" i="16"/>
  <c r="AG75" i="16"/>
  <c r="AF75" i="16"/>
  <c r="AG74" i="16"/>
  <c r="AF74" i="16"/>
  <c r="AG73" i="16"/>
  <c r="AF73" i="16"/>
  <c r="AG72" i="16"/>
  <c r="AF72" i="16"/>
  <c r="AG71" i="16"/>
  <c r="AF71" i="16"/>
  <c r="AG70" i="16"/>
  <c r="AF70" i="16"/>
  <c r="AG69" i="16"/>
  <c r="AF69" i="16"/>
  <c r="AG68" i="16"/>
  <c r="AF68" i="16"/>
  <c r="AG67" i="16"/>
  <c r="AF67" i="16"/>
  <c r="AG66" i="16"/>
  <c r="AF66" i="16"/>
  <c r="AG65" i="16"/>
  <c r="AF65" i="16"/>
  <c r="AG64" i="16"/>
  <c r="AF64" i="16"/>
  <c r="AG63" i="16"/>
  <c r="AF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G50" i="16"/>
  <c r="AE50" i="16"/>
  <c r="AG49" i="16"/>
  <c r="AE49" i="16"/>
  <c r="AG48" i="16"/>
  <c r="AE48" i="16"/>
  <c r="AG47" i="16"/>
  <c r="AE47" i="16"/>
  <c r="AG46" i="16"/>
  <c r="AE46" i="16"/>
  <c r="AG45" i="16"/>
  <c r="AE45" i="16"/>
  <c r="AG44" i="16"/>
  <c r="AE44" i="16"/>
  <c r="AG43" i="16"/>
  <c r="AE43" i="16"/>
  <c r="AG42" i="16"/>
  <c r="AE42" i="16"/>
  <c r="AG41" i="16"/>
  <c r="AE41" i="16"/>
  <c r="AG40" i="16"/>
  <c r="AE40" i="16"/>
  <c r="AG39" i="16"/>
  <c r="AE39" i="16"/>
  <c r="AG38" i="16"/>
  <c r="AF38" i="16"/>
  <c r="AG37" i="16"/>
  <c r="AF37" i="16"/>
  <c r="AG36" i="16"/>
  <c r="AF36" i="16"/>
  <c r="AG35" i="16"/>
  <c r="AF35" i="16"/>
  <c r="AG34" i="16"/>
  <c r="AF34" i="16"/>
  <c r="AG33" i="16"/>
  <c r="AF33" i="16"/>
  <c r="AG32" i="16"/>
  <c r="AF32" i="16"/>
  <c r="AG31" i="16"/>
  <c r="AF31" i="16"/>
  <c r="AG30" i="16"/>
  <c r="AF30" i="16"/>
  <c r="AG29" i="16"/>
  <c r="AF29" i="16"/>
  <c r="AG28" i="16"/>
  <c r="AF28" i="16"/>
  <c r="AG27" i="16"/>
  <c r="AF27" i="16"/>
  <c r="AG26" i="16"/>
  <c r="AE26" i="16"/>
  <c r="AG25" i="16"/>
  <c r="AE25" i="16"/>
  <c r="AG24" i="16"/>
  <c r="AE24" i="16"/>
  <c r="AG23" i="16"/>
  <c r="AE23" i="16"/>
  <c r="AG22" i="16"/>
  <c r="AE22" i="16"/>
  <c r="AG21" i="16"/>
  <c r="AE21" i="16"/>
  <c r="AG20" i="16"/>
  <c r="AE20" i="16"/>
  <c r="AG19" i="16"/>
  <c r="AE19" i="16"/>
  <c r="AG18" i="16"/>
  <c r="AE18" i="16"/>
  <c r="AG17" i="16"/>
  <c r="AE17" i="16"/>
  <c r="AG16" i="16"/>
  <c r="AE16" i="16"/>
  <c r="AG15" i="16"/>
  <c r="AE15" i="16"/>
  <c r="AE14" i="16"/>
  <c r="AE13" i="16"/>
  <c r="AE12" i="16"/>
  <c r="AE11" i="16"/>
  <c r="AG10" i="16"/>
  <c r="AF10" i="16"/>
  <c r="AG9" i="16"/>
  <c r="AF9" i="16"/>
  <c r="AG8" i="16"/>
  <c r="AF8" i="16"/>
  <c r="AG7" i="16"/>
  <c r="AF7" i="16"/>
  <c r="AG6" i="16"/>
  <c r="AF6" i="16"/>
  <c r="AG5" i="16"/>
  <c r="AF5" i="16"/>
  <c r="AE4" i="16"/>
  <c r="AE3" i="16"/>
  <c r="AE2" i="16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V975" i="16"/>
  <c r="AB975" i="16" s="1"/>
  <c r="V974" i="16"/>
  <c r="AB974" i="16" s="1"/>
  <c r="V973" i="16"/>
  <c r="AB973" i="16" s="1"/>
  <c r="V972" i="16"/>
  <c r="AB972" i="16" s="1"/>
  <c r="V971" i="16"/>
  <c r="AB971" i="16" s="1"/>
  <c r="V970" i="16"/>
  <c r="AB970" i="16" s="1"/>
  <c r="V969" i="16"/>
  <c r="AB969" i="16" s="1"/>
  <c r="V968" i="16"/>
  <c r="AB968" i="16" s="1"/>
  <c r="V967" i="16"/>
  <c r="AB967" i="16" s="1"/>
  <c r="V966" i="16"/>
  <c r="AB966" i="16" s="1"/>
  <c r="V965" i="16"/>
  <c r="AB965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V609" i="16"/>
  <c r="AB609" i="16" s="1"/>
  <c r="V608" i="16"/>
  <c r="AB608" i="16" s="1"/>
  <c r="V607" i="16"/>
  <c r="AB607" i="16" s="1"/>
  <c r="V606" i="16"/>
  <c r="AB606" i="16" s="1"/>
  <c r="V605" i="16"/>
  <c r="AB605" i="16" s="1"/>
  <c r="V604" i="16"/>
  <c r="AB604" i="16" s="1"/>
  <c r="V603" i="16"/>
  <c r="AB603" i="16" s="1"/>
  <c r="V602" i="16"/>
  <c r="AB602" i="16" s="1"/>
  <c r="V601" i="16"/>
  <c r="AB601" i="16" s="1"/>
  <c r="V600" i="16"/>
  <c r="AB600" i="16" s="1"/>
  <c r="V599" i="16"/>
  <c r="AB599" i="16" s="1"/>
  <c r="V598" i="16"/>
  <c r="AB598" i="16" s="1"/>
  <c r="X597" i="16"/>
  <c r="AD597" i="16" s="1"/>
  <c r="W597" i="16"/>
  <c r="AC597" i="16" s="1"/>
  <c r="X596" i="16"/>
  <c r="AD596" i="16" s="1"/>
  <c r="W596" i="16"/>
  <c r="AC596" i="16" s="1"/>
  <c r="X595" i="16"/>
  <c r="AD595" i="16" s="1"/>
  <c r="W595" i="16"/>
  <c r="AC595" i="16" s="1"/>
  <c r="X594" i="16"/>
  <c r="AD594" i="16" s="1"/>
  <c r="W594" i="16"/>
  <c r="AC594" i="16" s="1"/>
  <c r="X593" i="16"/>
  <c r="AD593" i="16" s="1"/>
  <c r="W593" i="16"/>
  <c r="AC593" i="16" s="1"/>
  <c r="X592" i="16"/>
  <c r="AD592" i="16" s="1"/>
  <c r="W592" i="16"/>
  <c r="AC592" i="16" s="1"/>
  <c r="X591" i="16"/>
  <c r="AD591" i="16" s="1"/>
  <c r="W591" i="16"/>
  <c r="AC591" i="16" s="1"/>
  <c r="X590" i="16"/>
  <c r="AD590" i="16" s="1"/>
  <c r="W590" i="16"/>
  <c r="AC590" i="16" s="1"/>
  <c r="X589" i="16"/>
  <c r="AD589" i="16" s="1"/>
  <c r="W589" i="16"/>
  <c r="AC589" i="16" s="1"/>
  <c r="X588" i="16"/>
  <c r="AD588" i="16" s="1"/>
  <c r="W588" i="16"/>
  <c r="AC588" i="16" s="1"/>
  <c r="X587" i="16"/>
  <c r="AD587" i="16" s="1"/>
  <c r="W587" i="16"/>
  <c r="AC587" i="16" s="1"/>
  <c r="X586" i="16"/>
  <c r="AD586" i="16" s="1"/>
  <c r="W586" i="16"/>
  <c r="AC586" i="16" s="1"/>
  <c r="V585" i="16"/>
  <c r="AB585" i="16" s="1"/>
  <c r="V584" i="16"/>
  <c r="AB584" i="16" s="1"/>
  <c r="V583" i="16"/>
  <c r="AB583" i="16" s="1"/>
  <c r="V582" i="16"/>
  <c r="AB582" i="16" s="1"/>
  <c r="V581" i="16"/>
  <c r="AB581" i="16" s="1"/>
  <c r="V580" i="16"/>
  <c r="AB580" i="16" s="1"/>
  <c r="V579" i="16"/>
  <c r="AB579" i="16" s="1"/>
  <c r="V578" i="16"/>
  <c r="AB578" i="16" s="1"/>
  <c r="V577" i="16"/>
  <c r="AB577" i="16" s="1"/>
  <c r="V576" i="16"/>
  <c r="AB576" i="16" s="1"/>
  <c r="V575" i="16"/>
  <c r="AB575" i="16" s="1"/>
  <c r="V574" i="16"/>
  <c r="AB574" i="16" s="1"/>
  <c r="V573" i="16"/>
  <c r="AB573" i="16" s="1"/>
  <c r="V572" i="16"/>
  <c r="AB572" i="16" s="1"/>
  <c r="V571" i="16"/>
  <c r="AB571" i="16" s="1"/>
  <c r="V570" i="16"/>
  <c r="AB570" i="16" s="1"/>
  <c r="V569" i="16"/>
  <c r="AB569" i="16" s="1"/>
  <c r="V568" i="16"/>
  <c r="AB568" i="16" s="1"/>
  <c r="V567" i="16"/>
  <c r="AB567" i="16" s="1"/>
  <c r="V566" i="16"/>
  <c r="AB566" i="16" s="1"/>
  <c r="V565" i="16"/>
  <c r="AB565" i="16" s="1"/>
  <c r="V564" i="16"/>
  <c r="AB564" i="16" s="1"/>
  <c r="V563" i="16"/>
  <c r="AB563" i="16" s="1"/>
  <c r="X562" i="16"/>
  <c r="AD562" i="16" s="1"/>
  <c r="W562" i="16"/>
  <c r="AC562" i="16" s="1"/>
  <c r="X561" i="16"/>
  <c r="AD561" i="16" s="1"/>
  <c r="W561" i="16"/>
  <c r="AC561" i="16" s="1"/>
  <c r="X560" i="16"/>
  <c r="AD560" i="16" s="1"/>
  <c r="W560" i="16"/>
  <c r="AC560" i="16" s="1"/>
  <c r="X559" i="16"/>
  <c r="AD559" i="16" s="1"/>
  <c r="W559" i="16"/>
  <c r="AC559" i="16" s="1"/>
  <c r="X558" i="16"/>
  <c r="AD558" i="16" s="1"/>
  <c r="W558" i="16"/>
  <c r="AC558" i="16" s="1"/>
  <c r="X557" i="16"/>
  <c r="AD557" i="16" s="1"/>
  <c r="W557" i="16"/>
  <c r="AC557" i="16" s="1"/>
  <c r="X556" i="16"/>
  <c r="AD556" i="16" s="1"/>
  <c r="W556" i="16"/>
  <c r="AC556" i="16" s="1"/>
  <c r="X555" i="16"/>
  <c r="AD555" i="16" s="1"/>
  <c r="W555" i="16"/>
  <c r="AC555" i="16" s="1"/>
  <c r="X554" i="16"/>
  <c r="AD554" i="16" s="1"/>
  <c r="W554" i="16"/>
  <c r="AC554" i="16" s="1"/>
  <c r="X553" i="16"/>
  <c r="AD553" i="16" s="1"/>
  <c r="W553" i="16"/>
  <c r="AC553" i="16" s="1"/>
  <c r="X552" i="16"/>
  <c r="AD552" i="16" s="1"/>
  <c r="W552" i="16"/>
  <c r="AC552" i="16" s="1"/>
  <c r="V551" i="16"/>
  <c r="AB551" i="16" s="1"/>
  <c r="V550" i="16"/>
  <c r="AB550" i="16" s="1"/>
  <c r="V549" i="16"/>
  <c r="AB549" i="16" s="1"/>
  <c r="V548" i="16"/>
  <c r="AB548" i="16" s="1"/>
  <c r="V547" i="16"/>
  <c r="AB547" i="16" s="1"/>
  <c r="V546" i="16"/>
  <c r="AB546" i="16" s="1"/>
  <c r="V545" i="16"/>
  <c r="AB545" i="16" s="1"/>
  <c r="V544" i="16"/>
  <c r="AB544" i="16" s="1"/>
  <c r="V543" i="16"/>
  <c r="AB543" i="16" s="1"/>
  <c r="V542" i="16"/>
  <c r="AB542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61" i="6"/>
  <c r="AB61" i="6"/>
  <c r="AA61" i="6"/>
  <c r="AA61" i="7" s="1"/>
  <c r="Z61" i="6"/>
  <c r="X61" i="6"/>
  <c r="W61" i="6"/>
  <c r="V61" i="6"/>
  <c r="U61" i="6"/>
  <c r="AD60" i="6"/>
  <c r="AB60" i="6"/>
  <c r="AA60" i="6"/>
  <c r="Z60" i="6"/>
  <c r="X60" i="6"/>
  <c r="W60" i="6"/>
  <c r="V60" i="6"/>
  <c r="U60" i="6"/>
  <c r="AD59" i="6"/>
  <c r="AB59" i="6"/>
  <c r="AA59" i="6"/>
  <c r="AA59" i="7" s="1"/>
  <c r="Z59" i="6"/>
  <c r="X59" i="6"/>
  <c r="W59" i="6"/>
  <c r="V59" i="6"/>
  <c r="U59" i="6"/>
  <c r="AD58" i="6"/>
  <c r="AB58" i="6"/>
  <c r="AA58" i="6"/>
  <c r="AA58" i="7" s="1"/>
  <c r="Z58" i="6"/>
  <c r="X58" i="6"/>
  <c r="W58" i="6"/>
  <c r="V58" i="6"/>
  <c r="U58" i="6"/>
  <c r="AD57" i="6"/>
  <c r="AB57" i="6"/>
  <c r="AA57" i="6"/>
  <c r="AA57" i="7" s="1"/>
  <c r="Z57" i="6"/>
  <c r="X57" i="6"/>
  <c r="W57" i="6"/>
  <c r="V57" i="6"/>
  <c r="U57" i="6"/>
  <c r="AD56" i="6"/>
  <c r="AB56" i="6"/>
  <c r="AA56" i="6"/>
  <c r="AA56" i="7" s="1"/>
  <c r="Z56" i="6"/>
  <c r="X56" i="6"/>
  <c r="W56" i="6"/>
  <c r="V56" i="6"/>
  <c r="U56" i="6"/>
  <c r="AD55" i="6"/>
  <c r="AB55" i="6"/>
  <c r="AA55" i="6"/>
  <c r="AA55" i="7" s="1"/>
  <c r="Z55" i="6"/>
  <c r="X55" i="6"/>
  <c r="W55" i="6"/>
  <c r="V55" i="6"/>
  <c r="U55" i="6"/>
  <c r="AD54" i="6"/>
  <c r="AB54" i="6"/>
  <c r="AA54" i="6"/>
  <c r="AA54" i="7" s="1"/>
  <c r="Z54" i="6"/>
  <c r="X54" i="6"/>
  <c r="W54" i="6"/>
  <c r="V54" i="6"/>
  <c r="U54" i="6"/>
  <c r="AD53" i="6"/>
  <c r="AB53" i="6"/>
  <c r="AA53" i="6"/>
  <c r="AA53" i="7" s="1"/>
  <c r="Z53" i="6"/>
  <c r="X53" i="6"/>
  <c r="W53" i="6"/>
  <c r="V53" i="6"/>
  <c r="U53" i="6"/>
  <c r="AD52" i="6"/>
  <c r="AB52" i="6"/>
  <c r="AA52" i="6"/>
  <c r="Z52" i="6"/>
  <c r="X52" i="6"/>
  <c r="W52" i="6"/>
  <c r="V52" i="6"/>
  <c r="U52" i="6"/>
  <c r="AD51" i="6"/>
  <c r="AB51" i="6"/>
  <c r="AA51" i="6"/>
  <c r="AA51" i="7" s="1"/>
  <c r="Z51" i="6"/>
  <c r="X51" i="6"/>
  <c r="W51" i="6"/>
  <c r="V51" i="6"/>
  <c r="U51" i="6"/>
  <c r="AD50" i="6"/>
  <c r="AB50" i="6"/>
  <c r="AA50" i="6"/>
  <c r="AA50" i="7" s="1"/>
  <c r="Z50" i="6"/>
  <c r="X50" i="6"/>
  <c r="W50" i="6"/>
  <c r="V50" i="6"/>
  <c r="U50" i="6"/>
  <c r="AD49" i="6"/>
  <c r="AB49" i="6"/>
  <c r="AA49" i="6"/>
  <c r="AA49" i="7" s="1"/>
  <c r="Z49" i="6"/>
  <c r="X49" i="6"/>
  <c r="W49" i="6"/>
  <c r="V49" i="6"/>
  <c r="U49" i="6"/>
  <c r="AD48" i="6"/>
  <c r="AB48" i="6"/>
  <c r="AA48" i="6"/>
  <c r="AA48" i="7" s="1"/>
  <c r="Z48" i="6"/>
  <c r="X48" i="6"/>
  <c r="W48" i="6"/>
  <c r="V48" i="6"/>
  <c r="U48" i="6"/>
  <c r="AD47" i="6"/>
  <c r="AB47" i="6"/>
  <c r="AA47" i="6"/>
  <c r="AA47" i="7" s="1"/>
  <c r="Z47" i="6"/>
  <c r="X47" i="6"/>
  <c r="W47" i="6"/>
  <c r="V47" i="6"/>
  <c r="U47" i="6"/>
  <c r="AD46" i="6"/>
  <c r="AB46" i="6"/>
  <c r="AA46" i="6"/>
  <c r="AA46" i="7" s="1"/>
  <c r="Z46" i="6"/>
  <c r="X46" i="6"/>
  <c r="W46" i="6"/>
  <c r="V46" i="6"/>
  <c r="U46" i="6"/>
  <c r="AD45" i="6"/>
  <c r="AB45" i="6"/>
  <c r="AA45" i="6"/>
  <c r="AA45" i="7" s="1"/>
  <c r="Z45" i="6"/>
  <c r="X45" i="6"/>
  <c r="W45" i="6"/>
  <c r="V45" i="6"/>
  <c r="U45" i="6"/>
  <c r="AD44" i="6"/>
  <c r="AB44" i="6"/>
  <c r="AA44" i="6"/>
  <c r="Z44" i="6"/>
  <c r="X44" i="6"/>
  <c r="W44" i="6"/>
  <c r="V44" i="6"/>
  <c r="U44" i="6"/>
  <c r="AD43" i="6"/>
  <c r="AB43" i="6"/>
  <c r="AA43" i="6"/>
  <c r="AA43" i="7" s="1"/>
  <c r="Z43" i="6"/>
  <c r="X43" i="6"/>
  <c r="W43" i="6"/>
  <c r="V43" i="6"/>
  <c r="U43" i="6"/>
  <c r="AD42" i="6"/>
  <c r="AB42" i="6"/>
  <c r="AA42" i="6"/>
  <c r="AA42" i="7" s="1"/>
  <c r="Z42" i="6"/>
  <c r="X42" i="6"/>
  <c r="W42" i="6"/>
  <c r="V42" i="6"/>
  <c r="U42" i="6"/>
  <c r="AD41" i="6"/>
  <c r="AB41" i="6"/>
  <c r="AA41" i="6"/>
  <c r="AA41" i="7" s="1"/>
  <c r="Z41" i="6"/>
  <c r="X41" i="6"/>
  <c r="W41" i="6"/>
  <c r="V41" i="6"/>
  <c r="U41" i="6"/>
  <c r="AD40" i="6"/>
  <c r="AB40" i="6"/>
  <c r="AA40" i="6"/>
  <c r="AA40" i="7" s="1"/>
  <c r="Z40" i="6"/>
  <c r="X40" i="6"/>
  <c r="W40" i="6"/>
  <c r="V40" i="6"/>
  <c r="U40" i="6"/>
  <c r="AD39" i="6"/>
  <c r="AB39" i="6"/>
  <c r="AA39" i="6"/>
  <c r="AA39" i="7" s="1"/>
  <c r="Z39" i="6"/>
  <c r="X39" i="6"/>
  <c r="W39" i="6"/>
  <c r="V39" i="6"/>
  <c r="U39" i="6"/>
  <c r="AD38" i="6"/>
  <c r="AB38" i="6"/>
  <c r="AA38" i="6"/>
  <c r="AA38" i="7" s="1"/>
  <c r="Z38" i="6"/>
  <c r="X38" i="6"/>
  <c r="W38" i="6"/>
  <c r="V38" i="6"/>
  <c r="U38" i="6"/>
  <c r="AD37" i="6"/>
  <c r="AB37" i="6"/>
  <c r="AA37" i="6"/>
  <c r="AA37" i="7" s="1"/>
  <c r="Z37" i="6"/>
  <c r="X37" i="6"/>
  <c r="W37" i="6"/>
  <c r="V37" i="6"/>
  <c r="U37" i="6"/>
  <c r="AD36" i="6"/>
  <c r="AB36" i="6"/>
  <c r="AA36" i="6"/>
  <c r="Z36" i="6"/>
  <c r="X36" i="6"/>
  <c r="W36" i="6"/>
  <c r="V36" i="6"/>
  <c r="U36" i="6"/>
  <c r="AD35" i="6"/>
  <c r="AC35" i="6"/>
  <c r="AB35" i="6"/>
  <c r="AA35" i="6"/>
  <c r="AA35" i="7" s="1"/>
  <c r="Z35" i="6"/>
  <c r="Y35" i="6"/>
  <c r="X35" i="6"/>
  <c r="W35" i="6"/>
  <c r="V35" i="6"/>
  <c r="U35" i="6"/>
  <c r="AD34" i="6"/>
  <c r="AB34" i="6"/>
  <c r="AA34" i="6"/>
  <c r="Z34" i="6"/>
  <c r="Y34" i="6"/>
  <c r="X34" i="6"/>
  <c r="W34" i="6"/>
  <c r="V34" i="6"/>
  <c r="U34" i="6"/>
  <c r="AD33" i="6"/>
  <c r="AB33" i="6"/>
  <c r="AA33" i="6"/>
  <c r="AA33" i="7" s="1"/>
  <c r="Z33" i="6"/>
  <c r="X33" i="6"/>
  <c r="W33" i="6"/>
  <c r="V33" i="6"/>
  <c r="U33" i="6"/>
  <c r="AD32" i="6"/>
  <c r="AB32" i="6"/>
  <c r="AA32" i="6"/>
  <c r="Z32" i="6"/>
  <c r="Z32" i="7" s="1"/>
  <c r="X32" i="6"/>
  <c r="W32" i="6"/>
  <c r="V32" i="6"/>
  <c r="U32" i="6"/>
  <c r="AD31" i="6"/>
  <c r="AB31" i="6"/>
  <c r="AA31" i="6"/>
  <c r="AA31" i="7" s="1"/>
  <c r="Z31" i="6"/>
  <c r="Z31" i="7" s="1"/>
  <c r="X31" i="6"/>
  <c r="W31" i="6"/>
  <c r="V31" i="6"/>
  <c r="U31" i="6"/>
  <c r="AD30" i="6"/>
  <c r="AC30" i="6"/>
  <c r="AB30" i="6"/>
  <c r="AA30" i="6"/>
  <c r="AA30" i="7" s="1"/>
  <c r="Z30" i="6"/>
  <c r="Y30" i="6"/>
  <c r="X30" i="6"/>
  <c r="W30" i="6"/>
  <c r="V30" i="6"/>
  <c r="U30" i="6"/>
  <c r="AD29" i="6"/>
  <c r="AC29" i="6"/>
  <c r="AB29" i="6"/>
  <c r="AA29" i="6"/>
  <c r="AA29" i="7" s="1"/>
  <c r="Z29" i="6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AA27" i="7" s="1"/>
  <c r="Z27" i="6"/>
  <c r="Y27" i="6"/>
  <c r="X27" i="6"/>
  <c r="W27" i="6"/>
  <c r="V27" i="6"/>
  <c r="U27" i="6"/>
  <c r="AD26" i="6"/>
  <c r="AC26" i="6"/>
  <c r="AB26" i="6"/>
  <c r="AA26" i="6"/>
  <c r="AA26" i="7" s="1"/>
  <c r="Z26" i="6"/>
  <c r="Y26" i="6"/>
  <c r="X26" i="6"/>
  <c r="W26" i="6"/>
  <c r="V26" i="6"/>
  <c r="U26" i="6"/>
  <c r="AD25" i="6"/>
  <c r="AC25" i="6"/>
  <c r="AB25" i="6"/>
  <c r="AA25" i="6"/>
  <c r="AA25" i="7" s="1"/>
  <c r="Z25" i="6"/>
  <c r="Y25" i="6"/>
  <c r="X25" i="6"/>
  <c r="W25" i="6"/>
  <c r="V25" i="6"/>
  <c r="U25" i="6"/>
  <c r="AD24" i="6"/>
  <c r="AC24" i="6"/>
  <c r="AB24" i="6"/>
  <c r="AA24" i="6"/>
  <c r="AA24" i="7" s="1"/>
  <c r="Z24" i="6"/>
  <c r="Y24" i="6"/>
  <c r="X24" i="6"/>
  <c r="W24" i="6"/>
  <c r="V24" i="6"/>
  <c r="U24" i="6"/>
  <c r="AD23" i="6"/>
  <c r="AC23" i="6"/>
  <c r="AB23" i="6"/>
  <c r="AA23" i="6"/>
  <c r="AA23" i="7" s="1"/>
  <c r="Z23" i="6"/>
  <c r="Y23" i="6"/>
  <c r="X23" i="6"/>
  <c r="W23" i="6"/>
  <c r="V23" i="6"/>
  <c r="U23" i="6"/>
  <c r="AD22" i="6"/>
  <c r="AC22" i="6"/>
  <c r="AB22" i="6"/>
  <c r="AA22" i="6"/>
  <c r="AA22" i="7" s="1"/>
  <c r="Z22" i="6"/>
  <c r="Y22" i="6"/>
  <c r="X22" i="6"/>
  <c r="W22" i="6"/>
  <c r="V22" i="6"/>
  <c r="U22" i="6"/>
  <c r="AD21" i="6"/>
  <c r="AC21" i="6"/>
  <c r="AB21" i="6"/>
  <c r="AA21" i="6"/>
  <c r="AA21" i="7" s="1"/>
  <c r="Z21" i="6"/>
  <c r="Y21" i="6"/>
  <c r="X21" i="6"/>
  <c r="W21" i="6"/>
  <c r="V21" i="6"/>
  <c r="U21" i="6"/>
  <c r="AD20" i="6"/>
  <c r="AC20" i="6"/>
  <c r="AB20" i="6"/>
  <c r="AA20" i="6"/>
  <c r="Z20" i="6"/>
  <c r="Y20" i="6"/>
  <c r="X20" i="6"/>
  <c r="W20" i="6"/>
  <c r="V20" i="6"/>
  <c r="U20" i="6"/>
  <c r="AD19" i="6"/>
  <c r="AC19" i="6"/>
  <c r="AB19" i="6"/>
  <c r="AA19" i="6"/>
  <c r="AA19" i="7" s="1"/>
  <c r="Z19" i="6"/>
  <c r="Y19" i="6"/>
  <c r="X19" i="6"/>
  <c r="W19" i="6"/>
  <c r="V19" i="6"/>
  <c r="U19" i="6"/>
  <c r="AD18" i="6"/>
  <c r="AC18" i="6"/>
  <c r="AB18" i="6"/>
  <c r="AA18" i="6"/>
  <c r="AA18" i="7" s="1"/>
  <c r="Z18" i="6"/>
  <c r="Y18" i="6"/>
  <c r="X18" i="6"/>
  <c r="W18" i="6"/>
  <c r="V18" i="6"/>
  <c r="U18" i="6"/>
  <c r="AD17" i="6"/>
  <c r="AC17" i="6"/>
  <c r="AB17" i="6"/>
  <c r="AA17" i="6"/>
  <c r="AA17" i="7" s="1"/>
  <c r="Z17" i="6"/>
  <c r="Y17" i="6"/>
  <c r="X17" i="6"/>
  <c r="W17" i="6"/>
  <c r="V17" i="6"/>
  <c r="U17" i="6"/>
  <c r="AD16" i="6"/>
  <c r="AC16" i="6"/>
  <c r="AB16" i="6"/>
  <c r="AA16" i="6"/>
  <c r="AA16" i="7" s="1"/>
  <c r="Z16" i="6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AA14" i="7" s="1"/>
  <c r="Z14" i="6"/>
  <c r="Z14" i="7" s="1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AA12" i="7" s="1"/>
  <c r="Z12" i="6"/>
  <c r="Z12" i="7" s="1"/>
  <c r="Y12" i="6"/>
  <c r="X12" i="6"/>
  <c r="W12" i="6"/>
  <c r="V12" i="6"/>
  <c r="U12" i="6"/>
  <c r="AD11" i="6"/>
  <c r="AC11" i="6"/>
  <c r="AB11" i="6"/>
  <c r="AA11" i="6"/>
  <c r="AA11" i="7" s="1"/>
  <c r="Z11" i="6"/>
  <c r="Z11" i="7" s="1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Z8" i="6"/>
  <c r="Z8" i="7" s="1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Z6" i="6"/>
  <c r="Z6" i="7" s="1"/>
  <c r="Y6" i="6"/>
  <c r="X6" i="6"/>
  <c r="W6" i="6"/>
  <c r="V6" i="6"/>
  <c r="U6" i="6"/>
  <c r="AD5" i="6"/>
  <c r="AC5" i="6"/>
  <c r="AB5" i="6"/>
  <c r="AA5" i="6"/>
  <c r="AA5" i="7" s="1"/>
  <c r="Z5" i="6"/>
  <c r="Y5" i="6"/>
  <c r="X5" i="6"/>
  <c r="W5" i="6"/>
  <c r="V5" i="6"/>
  <c r="U5" i="6"/>
  <c r="AP61" i="14"/>
  <c r="AC61" i="14"/>
  <c r="AC61" i="6" s="1"/>
  <c r="Y61" i="14"/>
  <c r="Y61" i="6" s="1"/>
  <c r="AP60" i="14"/>
  <c r="AC60" i="14"/>
  <c r="AC60" i="6" s="1"/>
  <c r="Y60" i="14"/>
  <c r="Y60" i="6" s="1"/>
  <c r="AP59" i="14"/>
  <c r="AC59" i="14"/>
  <c r="AC59" i="6" s="1"/>
  <c r="Y59" i="14"/>
  <c r="Y59" i="6" s="1"/>
  <c r="AP58" i="14"/>
  <c r="AC58" i="14"/>
  <c r="AC58" i="6" s="1"/>
  <c r="Y58" i="14"/>
  <c r="Y58" i="6" s="1"/>
  <c r="AP57" i="14"/>
  <c r="AC57" i="14"/>
  <c r="AC57" i="6" s="1"/>
  <c r="Y57" i="14"/>
  <c r="Y57" i="6" s="1"/>
  <c r="AP56" i="14"/>
  <c r="AC56" i="14"/>
  <c r="AC56" i="6" s="1"/>
  <c r="Y56" i="14"/>
  <c r="Y56" i="6" s="1"/>
  <c r="AP55" i="14"/>
  <c r="AC55" i="14"/>
  <c r="AC55" i="6" s="1"/>
  <c r="Y55" i="14"/>
  <c r="Y55" i="6" s="1"/>
  <c r="AP54" i="14"/>
  <c r="AC54" i="14"/>
  <c r="AC54" i="6" s="1"/>
  <c r="Y54" i="14"/>
  <c r="Y54" i="6" s="1"/>
  <c r="AP53" i="14"/>
  <c r="AC53" i="14"/>
  <c r="AC53" i="6" s="1"/>
  <c r="Y53" i="14"/>
  <c r="Y53" i="6" s="1"/>
  <c r="AP52" i="14"/>
  <c r="AC52" i="14"/>
  <c r="AC52" i="6" s="1"/>
  <c r="Y52" i="14"/>
  <c r="Y52" i="6" s="1"/>
  <c r="AP51" i="14"/>
  <c r="AC51" i="14"/>
  <c r="AC51" i="6" s="1"/>
  <c r="Y51" i="14"/>
  <c r="Y51" i="6" s="1"/>
  <c r="AP50" i="14"/>
  <c r="AC50" i="14"/>
  <c r="AC50" i="6" s="1"/>
  <c r="Y50" i="14"/>
  <c r="Y50" i="6" s="1"/>
  <c r="AP49" i="14"/>
  <c r="AC49" i="14"/>
  <c r="AC49" i="6" s="1"/>
  <c r="Y49" i="14"/>
  <c r="Y49" i="6" s="1"/>
  <c r="AP48" i="14"/>
  <c r="AC48" i="14"/>
  <c r="AC48" i="6" s="1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Y46" i="6" s="1"/>
  <c r="AP45" i="14"/>
  <c r="AC45" i="14"/>
  <c r="AC45" i="6" s="1"/>
  <c r="Y45" i="14"/>
  <c r="Y45" i="6" s="1"/>
  <c r="AP44" i="14"/>
  <c r="AC44" i="14"/>
  <c r="AC44" i="6" s="1"/>
  <c r="Y44" i="14"/>
  <c r="Y44" i="6" s="1"/>
  <c r="AP43" i="14"/>
  <c r="AC43" i="14"/>
  <c r="AC43" i="6" s="1"/>
  <c r="Y43" i="14"/>
  <c r="Y43" i="6" s="1"/>
  <c r="AP42" i="14"/>
  <c r="AC42" i="14"/>
  <c r="AC42" i="6" s="1"/>
  <c r="Y42" i="14"/>
  <c r="Y42" i="6" s="1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Y38" i="6" s="1"/>
  <c r="AP37" i="14"/>
  <c r="AC37" i="14"/>
  <c r="AC37" i="6" s="1"/>
  <c r="Y37" i="14"/>
  <c r="Y37" i="6" s="1"/>
  <c r="AP36" i="14"/>
  <c r="AC36" i="14"/>
  <c r="AC36" i="6" s="1"/>
  <c r="Y36" i="14"/>
  <c r="Y36" i="6" s="1"/>
  <c r="AP34" i="14"/>
  <c r="AC34" i="14"/>
  <c r="AC34" i="6" s="1"/>
  <c r="Y34" i="14"/>
  <c r="AP33" i="14"/>
  <c r="AC33" i="14"/>
  <c r="AC33" i="6" s="1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X50" i="13"/>
  <c r="V50" i="13"/>
  <c r="T50" i="13"/>
  <c r="P50" i="13"/>
  <c r="O50" i="13"/>
  <c r="N50" i="13"/>
  <c r="M50" i="13"/>
  <c r="V49" i="13"/>
  <c r="U49" i="13"/>
  <c r="T49" i="13"/>
  <c r="P49" i="13"/>
  <c r="O49" i="13"/>
  <c r="N49" i="13"/>
  <c r="M49" i="13"/>
  <c r="X48" i="13"/>
  <c r="V48" i="13"/>
  <c r="U48" i="13"/>
  <c r="T48" i="13"/>
  <c r="P48" i="13"/>
  <c r="O48" i="13"/>
  <c r="N48" i="13"/>
  <c r="M48" i="13"/>
  <c r="X50" i="12"/>
  <c r="V50" i="12"/>
  <c r="T50" i="12"/>
  <c r="P50" i="12"/>
  <c r="O50" i="12"/>
  <c r="N50" i="12"/>
  <c r="M50" i="12"/>
  <c r="V49" i="12"/>
  <c r="U49" i="12"/>
  <c r="T49" i="12"/>
  <c r="P49" i="12"/>
  <c r="O49" i="12"/>
  <c r="N49" i="12"/>
  <c r="M49" i="12"/>
  <c r="X48" i="12"/>
  <c r="V48" i="12"/>
  <c r="V52" i="12" s="1"/>
  <c r="U48" i="12"/>
  <c r="T48" i="12"/>
  <c r="P48" i="12"/>
  <c r="O48" i="12"/>
  <c r="O52" i="12" s="1"/>
  <c r="N48" i="12"/>
  <c r="N52" i="12" s="1"/>
  <c r="M48" i="12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50" i="11"/>
  <c r="V50" i="11"/>
  <c r="T50" i="11"/>
  <c r="P50" i="11"/>
  <c r="O50" i="11"/>
  <c r="N50" i="11"/>
  <c r="M50" i="11"/>
  <c r="V49" i="11"/>
  <c r="U49" i="11"/>
  <c r="T49" i="11"/>
  <c r="P49" i="11"/>
  <c r="O49" i="11"/>
  <c r="N49" i="11"/>
  <c r="M49" i="11"/>
  <c r="X48" i="11"/>
  <c r="V48" i="11"/>
  <c r="V52" i="11" s="1"/>
  <c r="U48" i="11"/>
  <c r="T48" i="11"/>
  <c r="T52" i="11" s="1"/>
  <c r="P48" i="11"/>
  <c r="P52" i="11" s="1"/>
  <c r="O48" i="11"/>
  <c r="O52" i="11" s="1"/>
  <c r="N48" i="11"/>
  <c r="N52" i="11" s="1"/>
  <c r="M48" i="11"/>
  <c r="X50" i="10"/>
  <c r="X48" i="10"/>
  <c r="V50" i="10"/>
  <c r="V49" i="10"/>
  <c r="V48" i="10"/>
  <c r="U49" i="10"/>
  <c r="U48" i="10"/>
  <c r="T50" i="10"/>
  <c r="T49" i="10"/>
  <c r="T48" i="10"/>
  <c r="R51" i="10"/>
  <c r="R51" i="34" s="1"/>
  <c r="P50" i="10"/>
  <c r="P49" i="10"/>
  <c r="P48" i="10"/>
  <c r="O50" i="10"/>
  <c r="O49" i="10"/>
  <c r="O48" i="10"/>
  <c r="N50" i="10"/>
  <c r="N49" i="10"/>
  <c r="N48" i="10"/>
  <c r="M50" i="10"/>
  <c r="M49" i="10"/>
  <c r="M48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8" i="10"/>
  <c r="Z17" i="10"/>
  <c r="Z16" i="10"/>
  <c r="Z15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8" i="10"/>
  <c r="V17" i="10"/>
  <c r="V16" i="10"/>
  <c r="V15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8" i="10"/>
  <c r="U17" i="10"/>
  <c r="U16" i="10"/>
  <c r="U15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8" i="10"/>
  <c r="T17" i="10"/>
  <c r="T16" i="10"/>
  <c r="T15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8" i="10"/>
  <c r="R17" i="10"/>
  <c r="R16" i="10"/>
  <c r="R15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8" i="10"/>
  <c r="P17" i="10"/>
  <c r="P16" i="10"/>
  <c r="P15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8" i="10"/>
  <c r="O17" i="10"/>
  <c r="O16" i="10"/>
  <c r="O15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8" i="10"/>
  <c r="N17" i="10"/>
  <c r="N16" i="10"/>
  <c r="N15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8" i="10"/>
  <c r="M17" i="10"/>
  <c r="M16" i="10"/>
  <c r="M15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8" i="10"/>
  <c r="L17" i="10"/>
  <c r="L16" i="10"/>
  <c r="L15" i="10"/>
  <c r="AK66" i="9"/>
  <c r="AF66" i="9"/>
  <c r="AP64" i="9" s="1"/>
  <c r="AE66" i="9"/>
  <c r="AO64" i="9" s="1"/>
  <c r="AC66" i="9"/>
  <c r="Y66" i="9"/>
  <c r="X66" i="9"/>
  <c r="W66" i="9"/>
  <c r="S66" i="9"/>
  <c r="R66" i="9"/>
  <c r="Q66" i="9"/>
  <c r="P66" i="9"/>
  <c r="O66" i="9"/>
  <c r="M66" i="9"/>
  <c r="L66" i="9"/>
  <c r="AK65" i="9"/>
  <c r="AF65" i="9"/>
  <c r="AC65" i="9"/>
  <c r="AA65" i="9"/>
  <c r="Z65" i="9"/>
  <c r="Y65" i="9"/>
  <c r="X65" i="9"/>
  <c r="W65" i="9"/>
  <c r="V65" i="9"/>
  <c r="U65" i="9"/>
  <c r="S65" i="9"/>
  <c r="R65" i="9"/>
  <c r="Q65" i="9"/>
  <c r="P65" i="9"/>
  <c r="O65" i="9"/>
  <c r="M65" i="9"/>
  <c r="L65" i="9"/>
  <c r="AL67" i="8"/>
  <c r="AG67" i="8"/>
  <c r="AD67" i="8"/>
  <c r="AB67" i="8"/>
  <c r="T67" i="8"/>
  <c r="AK66" i="8"/>
  <c r="AF66" i="8"/>
  <c r="AE66" i="8"/>
  <c r="AC66" i="8"/>
  <c r="Y66" i="8"/>
  <c r="X66" i="8"/>
  <c r="W66" i="8"/>
  <c r="S66" i="8"/>
  <c r="R66" i="8"/>
  <c r="Q66" i="8"/>
  <c r="P66" i="8"/>
  <c r="O66" i="8"/>
  <c r="M66" i="8"/>
  <c r="L66" i="8"/>
  <c r="AK65" i="8"/>
  <c r="AF65" i="8"/>
  <c r="AP64" i="8" s="1"/>
  <c r="AC65" i="8"/>
  <c r="AA65" i="8"/>
  <c r="Z65" i="8"/>
  <c r="Y65" i="8"/>
  <c r="X65" i="8"/>
  <c r="W65" i="8"/>
  <c r="V65" i="8"/>
  <c r="U65" i="8"/>
  <c r="S65" i="8"/>
  <c r="R65" i="8"/>
  <c r="Q65" i="8"/>
  <c r="P65" i="8"/>
  <c r="O65" i="8"/>
  <c r="M65" i="8"/>
  <c r="L65" i="8"/>
  <c r="AL67" i="7"/>
  <c r="AG67" i="7"/>
  <c r="AD67" i="7"/>
  <c r="AB67" i="7"/>
  <c r="T67" i="7"/>
  <c r="AM67" i="7" s="1"/>
  <c r="AG61" i="7"/>
  <c r="Z61" i="7"/>
  <c r="AG60" i="7"/>
  <c r="AA60" i="7"/>
  <c r="Z60" i="7"/>
  <c r="AG59" i="7"/>
  <c r="Z59" i="7"/>
  <c r="AG58" i="7"/>
  <c r="Z58" i="7"/>
  <c r="AG57" i="7"/>
  <c r="Z57" i="7"/>
  <c r="AG56" i="7"/>
  <c r="Z56" i="7"/>
  <c r="AG55" i="7"/>
  <c r="Z55" i="7"/>
  <c r="AG54" i="7"/>
  <c r="Z54" i="7"/>
  <c r="AG53" i="7"/>
  <c r="Z53" i="7"/>
  <c r="AG52" i="7"/>
  <c r="AA52" i="7"/>
  <c r="Z52" i="7"/>
  <c r="AG51" i="7"/>
  <c r="Z51" i="7"/>
  <c r="AG50" i="7"/>
  <c r="Z50" i="7"/>
  <c r="AG49" i="7"/>
  <c r="Z49" i="7"/>
  <c r="AG48" i="7"/>
  <c r="Z48" i="7"/>
  <c r="AG47" i="7"/>
  <c r="Z47" i="7"/>
  <c r="AG46" i="7"/>
  <c r="Z46" i="7"/>
  <c r="AG45" i="7"/>
  <c r="Z45" i="7"/>
  <c r="AG44" i="7"/>
  <c r="AA44" i="7"/>
  <c r="Z44" i="7"/>
  <c r="AG43" i="7"/>
  <c r="Z43" i="7"/>
  <c r="AG42" i="7"/>
  <c r="Z42" i="7"/>
  <c r="AG41" i="7"/>
  <c r="Z41" i="7"/>
  <c r="AG40" i="7"/>
  <c r="Z40" i="7"/>
  <c r="AG39" i="7"/>
  <c r="Z39" i="7"/>
  <c r="AG38" i="7"/>
  <c r="Z38" i="7"/>
  <c r="AG37" i="7"/>
  <c r="Z37" i="7"/>
  <c r="AG36" i="7"/>
  <c r="AA36" i="7"/>
  <c r="Z36" i="7"/>
  <c r="AG35" i="7"/>
  <c r="Z35" i="7"/>
  <c r="AG34" i="7"/>
  <c r="AA34" i="7"/>
  <c r="Z34" i="7"/>
  <c r="AG33" i="7"/>
  <c r="Z33" i="7"/>
  <c r="AG32" i="7"/>
  <c r="AA32" i="7"/>
  <c r="AG31" i="7"/>
  <c r="AG30" i="7"/>
  <c r="Z30" i="7"/>
  <c r="AG29" i="7"/>
  <c r="Z29" i="7"/>
  <c r="AG28" i="7"/>
  <c r="AA28" i="7"/>
  <c r="Z28" i="7"/>
  <c r="AG27" i="7"/>
  <c r="Z27" i="7"/>
  <c r="AG26" i="7"/>
  <c r="Z26" i="7"/>
  <c r="AG25" i="7"/>
  <c r="Z25" i="7"/>
  <c r="AG24" i="7"/>
  <c r="Z24" i="7"/>
  <c r="AG23" i="7"/>
  <c r="Z23" i="7"/>
  <c r="AG22" i="7"/>
  <c r="Z22" i="7"/>
  <c r="AG21" i="7"/>
  <c r="Z21" i="7"/>
  <c r="AG20" i="7"/>
  <c r="AA20" i="7"/>
  <c r="Z20" i="7"/>
  <c r="AG19" i="7"/>
  <c r="Z19" i="7"/>
  <c r="AG18" i="7"/>
  <c r="Z18" i="7"/>
  <c r="AG17" i="7"/>
  <c r="Z17" i="7"/>
  <c r="AG16" i="7"/>
  <c r="Z16" i="7"/>
  <c r="AG15" i="7"/>
  <c r="Z15" i="7"/>
  <c r="AG14" i="7"/>
  <c r="AG13" i="7"/>
  <c r="Z13" i="7"/>
  <c r="AG12" i="7"/>
  <c r="AG11" i="7"/>
  <c r="AG10" i="7"/>
  <c r="Z10" i="7"/>
  <c r="AG9" i="7"/>
  <c r="Z9" i="7"/>
  <c r="AG8" i="7"/>
  <c r="AA8" i="7"/>
  <c r="AG7" i="7"/>
  <c r="Z7" i="7"/>
  <c r="AG6" i="7"/>
  <c r="AA6" i="7"/>
  <c r="AG5" i="7"/>
  <c r="Z5" i="7"/>
  <c r="AK66" i="7"/>
  <c r="AF66" i="7"/>
  <c r="AE66" i="7"/>
  <c r="AC66" i="7"/>
  <c r="Y66" i="7"/>
  <c r="X66" i="7"/>
  <c r="W66" i="7"/>
  <c r="S66" i="7"/>
  <c r="R66" i="7"/>
  <c r="Q66" i="7"/>
  <c r="P66" i="7"/>
  <c r="O66" i="7"/>
  <c r="M66" i="7"/>
  <c r="L66" i="7"/>
  <c r="AK65" i="7"/>
  <c r="AF65" i="7"/>
  <c r="AC65" i="7"/>
  <c r="AA65" i="7"/>
  <c r="Z65" i="7"/>
  <c r="Y65" i="7"/>
  <c r="X65" i="7"/>
  <c r="W65" i="7"/>
  <c r="V65" i="7"/>
  <c r="U65" i="7"/>
  <c r="S65" i="7"/>
  <c r="R65" i="7"/>
  <c r="Q65" i="7"/>
  <c r="P65" i="7"/>
  <c r="O65" i="7"/>
  <c r="M65" i="7"/>
  <c r="L65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4" i="7"/>
  <c r="AP33" i="7"/>
  <c r="AP32" i="7"/>
  <c r="AP31" i="7"/>
  <c r="AA66" i="6"/>
  <c r="AA64" i="32" s="1"/>
  <c r="AA68" i="32" s="1"/>
  <c r="Z66" i="6"/>
  <c r="Z64" i="32" s="1"/>
  <c r="Z68" i="32" s="1"/>
  <c r="AK68" i="6"/>
  <c r="AK67" i="6"/>
  <c r="AK66" i="6"/>
  <c r="AK64" i="32" s="1"/>
  <c r="AK68" i="32" s="1"/>
  <c r="AF68" i="6"/>
  <c r="AF67" i="6"/>
  <c r="AF66" i="6"/>
  <c r="AF64" i="32" s="1"/>
  <c r="AE68" i="6"/>
  <c r="AE66" i="6"/>
  <c r="AE64" i="32" s="1"/>
  <c r="AC68" i="6"/>
  <c r="AC67" i="6"/>
  <c r="AC66" i="6"/>
  <c r="AC64" i="32" s="1"/>
  <c r="AC68" i="32" s="1"/>
  <c r="AA67" i="6"/>
  <c r="Z67" i="6"/>
  <c r="Y68" i="6"/>
  <c r="Y67" i="6"/>
  <c r="X68" i="6"/>
  <c r="X67" i="6"/>
  <c r="X66" i="6"/>
  <c r="X64" i="32" s="1"/>
  <c r="X68" i="32" s="1"/>
  <c r="W68" i="6"/>
  <c r="W67" i="6"/>
  <c r="V67" i="6"/>
  <c r="U67" i="6"/>
  <c r="U66" i="6"/>
  <c r="U64" i="32" s="1"/>
  <c r="U68" i="32" s="1"/>
  <c r="S68" i="6"/>
  <c r="S67" i="6"/>
  <c r="S66" i="6"/>
  <c r="S64" i="32" s="1"/>
  <c r="R68" i="6"/>
  <c r="R67" i="6"/>
  <c r="R66" i="6"/>
  <c r="R64" i="32" s="1"/>
  <c r="R68" i="32" s="1"/>
  <c r="Q68" i="6"/>
  <c r="Q67" i="6"/>
  <c r="Q66" i="6"/>
  <c r="Q64" i="32" s="1"/>
  <c r="Q68" i="32" s="1"/>
  <c r="P68" i="6"/>
  <c r="P67" i="6"/>
  <c r="P66" i="6"/>
  <c r="P64" i="32" s="1"/>
  <c r="P68" i="32" s="1"/>
  <c r="O68" i="6"/>
  <c r="O67" i="6"/>
  <c r="O66" i="6"/>
  <c r="O64" i="32" s="1"/>
  <c r="O68" i="32" s="1"/>
  <c r="M68" i="6"/>
  <c r="M67" i="6"/>
  <c r="M66" i="6"/>
  <c r="M64" i="32" s="1"/>
  <c r="M68" i="32" s="1"/>
  <c r="L68" i="6"/>
  <c r="L67" i="6"/>
  <c r="L66" i="6"/>
  <c r="L64" i="32" s="1"/>
  <c r="L68" i="32" s="1"/>
  <c r="AK26" i="6"/>
  <c r="AK25" i="6"/>
  <c r="AK20" i="6"/>
  <c r="AK19" i="6"/>
  <c r="AK16" i="6"/>
  <c r="AK15" i="6"/>
  <c r="AK10" i="6"/>
  <c r="AK9" i="6"/>
  <c r="AK6" i="6"/>
  <c r="AK5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4" i="6"/>
  <c r="AI33" i="6"/>
  <c r="AI32" i="6"/>
  <c r="AI31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4" i="6"/>
  <c r="AH33" i="6"/>
  <c r="AH32" i="6"/>
  <c r="AH31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4" i="6"/>
  <c r="S33" i="6"/>
  <c r="S32" i="6"/>
  <c r="S31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5" i="6"/>
  <c r="Q30" i="6"/>
  <c r="Q29" i="6"/>
  <c r="Q28" i="6"/>
  <c r="Q27" i="6"/>
  <c r="Q22" i="6"/>
  <c r="Q21" i="6"/>
  <c r="Q17" i="6"/>
  <c r="Q12" i="6"/>
  <c r="Q11" i="6"/>
  <c r="Q7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4" i="6"/>
  <c r="O33" i="6"/>
  <c r="O32" i="6"/>
  <c r="O31" i="6"/>
  <c r="N26" i="6"/>
  <c r="N25" i="6"/>
  <c r="N19" i="6"/>
  <c r="N9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4" i="6"/>
  <c r="AP33" i="6"/>
  <c r="AP32" i="6"/>
  <c r="AP31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5" i="6"/>
  <c r="L30" i="6"/>
  <c r="L29" i="6"/>
  <c r="L28" i="6"/>
  <c r="L27" i="6"/>
  <c r="L22" i="6"/>
  <c r="L21" i="6"/>
  <c r="L17" i="6"/>
  <c r="L12" i="6"/>
  <c r="L11" i="6"/>
  <c r="L7" i="6"/>
  <c r="AJ66" i="7"/>
  <c r="AJ67" i="6"/>
  <c r="AJ66" i="6"/>
  <c r="AJ64" i="32" s="1"/>
  <c r="AJ68" i="32" s="1"/>
  <c r="AI68" i="6"/>
  <c r="AI65" i="7"/>
  <c r="AI66" i="6"/>
  <c r="AI64" i="32" s="1"/>
  <c r="AI68" i="32" s="1"/>
  <c r="AH66" i="7"/>
  <c r="AH67" i="6"/>
  <c r="AH66" i="6"/>
  <c r="AH64" i="32" s="1"/>
  <c r="AH68" i="32" s="1"/>
  <c r="W66" i="6"/>
  <c r="W64" i="32" s="1"/>
  <c r="W68" i="32" s="1"/>
  <c r="F18" i="5"/>
  <c r="Z68" i="6"/>
  <c r="V66" i="7"/>
  <c r="F45" i="5"/>
  <c r="E45" i="5"/>
  <c r="D45" i="5"/>
  <c r="F43" i="5"/>
  <c r="D43" i="5"/>
  <c r="F41" i="5"/>
  <c r="E41" i="5"/>
  <c r="D41" i="5"/>
  <c r="D28" i="5"/>
  <c r="AL66" i="6" s="1"/>
  <c r="AL64" i="32" s="1"/>
  <c r="F23" i="5"/>
  <c r="AG68" i="6" s="1"/>
  <c r="D23" i="5"/>
  <c r="AG66" i="6" s="1"/>
  <c r="AG64" i="32" s="1"/>
  <c r="F20" i="5"/>
  <c r="AD66" i="7" s="1"/>
  <c r="E20" i="5"/>
  <c r="AD65" i="7" s="1"/>
  <c r="D20" i="5"/>
  <c r="AD66" i="6" s="1"/>
  <c r="AD64" i="32" s="1"/>
  <c r="E18" i="5"/>
  <c r="D18" i="5"/>
  <c r="AB66" i="6" s="1"/>
  <c r="AB64" i="32" s="1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AC62" i="17" l="1"/>
  <c r="AC70" i="17"/>
  <c r="AC135" i="17"/>
  <c r="AC143" i="17"/>
  <c r="AC151" i="17"/>
  <c r="AC168" i="17"/>
  <c r="AC285" i="17"/>
  <c r="AC293" i="17"/>
  <c r="K29" i="29"/>
  <c r="K30" i="29"/>
  <c r="AC49" i="17"/>
  <c r="AC61" i="17"/>
  <c r="AC134" i="17"/>
  <c r="AC142" i="17"/>
  <c r="AC150" i="17"/>
  <c r="AC167" i="17"/>
  <c r="AC175" i="17"/>
  <c r="AC292" i="17"/>
  <c r="AC114" i="17"/>
  <c r="AC112" i="17"/>
  <c r="AC131" i="17"/>
  <c r="AC139" i="17"/>
  <c r="AC147" i="17"/>
  <c r="AC164" i="17"/>
  <c r="AC172" i="17"/>
  <c r="AC289" i="17"/>
  <c r="AC113" i="17"/>
  <c r="AC8" i="17"/>
  <c r="AC16" i="17"/>
  <c r="AC32" i="17"/>
  <c r="AC40" i="17"/>
  <c r="AC72" i="17"/>
  <c r="AC77" i="17"/>
  <c r="AC80" i="17"/>
  <c r="AC88" i="17"/>
  <c r="AC124" i="17"/>
  <c r="AC152" i="17"/>
  <c r="AC156" i="17"/>
  <c r="AC160" i="17"/>
  <c r="AC177" i="17"/>
  <c r="AC185" i="17"/>
  <c r="AC193" i="17"/>
  <c r="AC201" i="17"/>
  <c r="AC209" i="17"/>
  <c r="AC217" i="17"/>
  <c r="AC111" i="17"/>
  <c r="AC6" i="17"/>
  <c r="AC14" i="17"/>
  <c r="AC30" i="17"/>
  <c r="AC46" i="17"/>
  <c r="AC75" i="17"/>
  <c r="AC78" i="17"/>
  <c r="AC125" i="17"/>
  <c r="AC153" i="17"/>
  <c r="AC157" i="17"/>
  <c r="AC161" i="17"/>
  <c r="AC183" i="17"/>
  <c r="AC191" i="17"/>
  <c r="AC199" i="17"/>
  <c r="AC207" i="17"/>
  <c r="AC215" i="17"/>
  <c r="AC223" i="17"/>
  <c r="AC231" i="17"/>
  <c r="AC65" i="17"/>
  <c r="AC109" i="17"/>
  <c r="AC116" i="17"/>
  <c r="AC129" i="17"/>
  <c r="AC137" i="17"/>
  <c r="AC145" i="17"/>
  <c r="AC170" i="17"/>
  <c r="AC287" i="17"/>
  <c r="AC295" i="17"/>
  <c r="AC68" i="17"/>
  <c r="AC107" i="17"/>
  <c r="AC132" i="17"/>
  <c r="AC140" i="17"/>
  <c r="AC148" i="17"/>
  <c r="AC165" i="17"/>
  <c r="AC173" i="17"/>
  <c r="AC290" i="17"/>
  <c r="AC4" i="17"/>
  <c r="AC12" i="17"/>
  <c r="AC28" i="17"/>
  <c r="AC36" i="17"/>
  <c r="AC44" i="17"/>
  <c r="AC73" i="17"/>
  <c r="AC76" i="17"/>
  <c r="AC81" i="17"/>
  <c r="AC84" i="17"/>
  <c r="AC154" i="17"/>
  <c r="AC158" i="17"/>
  <c r="AC162" i="17"/>
  <c r="AC181" i="17"/>
  <c r="AC189" i="17"/>
  <c r="AC197" i="17"/>
  <c r="AC205" i="17"/>
  <c r="AC213" i="17"/>
  <c r="AC221" i="17"/>
  <c r="AC47" i="17"/>
  <c r="AC110" i="17"/>
  <c r="AC130" i="17"/>
  <c r="AC138" i="17"/>
  <c r="AC146" i="17"/>
  <c r="AC171" i="17"/>
  <c r="AC288" i="17"/>
  <c r="AC296" i="17"/>
  <c r="AC2" i="17"/>
  <c r="AC10" i="17"/>
  <c r="AC18" i="17"/>
  <c r="AC26" i="17"/>
  <c r="AC34" i="17"/>
  <c r="AC42" i="17"/>
  <c r="AC71" i="17"/>
  <c r="AC74" i="17"/>
  <c r="AC79" i="17"/>
  <c r="AC82" i="17"/>
  <c r="AC155" i="17"/>
  <c r="AC159" i="17"/>
  <c r="AC163" i="17"/>
  <c r="AC179" i="17"/>
  <c r="AC187" i="17"/>
  <c r="AC195" i="17"/>
  <c r="AC203" i="17"/>
  <c r="AC211" i="17"/>
  <c r="AC219" i="17"/>
  <c r="AC227" i="17"/>
  <c r="AC108" i="17"/>
  <c r="AC117" i="17"/>
  <c r="AC133" i="17"/>
  <c r="AC141" i="17"/>
  <c r="AC149" i="17"/>
  <c r="AC166" i="17"/>
  <c r="AC174" i="17"/>
  <c r="AC291" i="17"/>
  <c r="AC51" i="17"/>
  <c r="AC64" i="17"/>
  <c r="AC115" i="17"/>
  <c r="AC136" i="17"/>
  <c r="AC144" i="17"/>
  <c r="AC169" i="17"/>
  <c r="AC286" i="17"/>
  <c r="AC294" i="17"/>
  <c r="AO8" i="30"/>
  <c r="AO9" i="30"/>
  <c r="AJ9" i="30"/>
  <c r="AJ10" i="30" s="1"/>
  <c r="AT9" i="30"/>
  <c r="AT8" i="30"/>
  <c r="E32" i="29"/>
  <c r="U5" i="3"/>
  <c r="I8" i="32" s="1"/>
  <c r="U7" i="3"/>
  <c r="I10" i="32" s="1"/>
  <c r="U9" i="3"/>
  <c r="I12" i="32" s="1"/>
  <c r="U11" i="3"/>
  <c r="U13" i="3"/>
  <c r="U15" i="3"/>
  <c r="U17" i="3"/>
  <c r="I20" i="32" s="1"/>
  <c r="U19" i="3"/>
  <c r="U21" i="3"/>
  <c r="I24" i="32" s="1"/>
  <c r="U23" i="3"/>
  <c r="I26" i="32" s="1"/>
  <c r="U25" i="3"/>
  <c r="I28" i="32" s="1"/>
  <c r="U27" i="3"/>
  <c r="I30" i="8" s="1"/>
  <c r="U29" i="3"/>
  <c r="U31" i="3"/>
  <c r="U33" i="3"/>
  <c r="U35" i="3"/>
  <c r="I38" i="32" s="1"/>
  <c r="U37" i="3"/>
  <c r="I40" i="32" s="1"/>
  <c r="U39" i="3"/>
  <c r="I42" i="32" s="1"/>
  <c r="U41" i="3"/>
  <c r="I44" i="32" s="1"/>
  <c r="U43" i="3"/>
  <c r="U45" i="3"/>
  <c r="U47" i="3"/>
  <c r="U49" i="3"/>
  <c r="I52" i="32" s="1"/>
  <c r="U51" i="3"/>
  <c r="I54" i="32" s="1"/>
  <c r="U53" i="3"/>
  <c r="I56" i="32" s="1"/>
  <c r="U55" i="3"/>
  <c r="I58" i="32" s="1"/>
  <c r="U57" i="3"/>
  <c r="I60" i="32" s="1"/>
  <c r="U2" i="4"/>
  <c r="I5" i="13" s="1"/>
  <c r="U4" i="4"/>
  <c r="U6" i="4"/>
  <c r="U8" i="4"/>
  <c r="I11" i="34" s="1"/>
  <c r="U10" i="4"/>
  <c r="I13" i="34" s="1"/>
  <c r="U12" i="4"/>
  <c r="I15" i="34" s="1"/>
  <c r="U14" i="4"/>
  <c r="I17" i="34" s="1"/>
  <c r="U16" i="4"/>
  <c r="I19" i="34" s="1"/>
  <c r="U18" i="4"/>
  <c r="I21" i="13" s="1"/>
  <c r="U20" i="4"/>
  <c r="U22" i="4"/>
  <c r="U24" i="4"/>
  <c r="I27" i="34" s="1"/>
  <c r="U26" i="4"/>
  <c r="U28" i="4"/>
  <c r="I31" i="34" s="1"/>
  <c r="U30" i="4"/>
  <c r="I33" i="34" s="1"/>
  <c r="U32" i="4"/>
  <c r="I35" i="34" s="1"/>
  <c r="U34" i="4"/>
  <c r="I37" i="11" s="1"/>
  <c r="U36" i="4"/>
  <c r="U38" i="4"/>
  <c r="U40" i="4"/>
  <c r="U42" i="4"/>
  <c r="I45" i="34" s="1"/>
  <c r="U3" i="3"/>
  <c r="I6" i="32" s="1"/>
  <c r="U2" i="3"/>
  <c r="I5" i="32" s="1"/>
  <c r="U4" i="3"/>
  <c r="I7" i="32" s="1"/>
  <c r="U6" i="3"/>
  <c r="U8" i="3"/>
  <c r="U10" i="3"/>
  <c r="U12" i="3"/>
  <c r="U14" i="3"/>
  <c r="I17" i="32" s="1"/>
  <c r="U16" i="3"/>
  <c r="I19" i="32" s="1"/>
  <c r="U18" i="3"/>
  <c r="I21" i="32" s="1"/>
  <c r="U20" i="3"/>
  <c r="I23" i="32" s="1"/>
  <c r="U22" i="3"/>
  <c r="I25" i="6" s="1"/>
  <c r="U24" i="3"/>
  <c r="U26" i="3"/>
  <c r="U28" i="3"/>
  <c r="I31" i="7" s="1"/>
  <c r="U30" i="3"/>
  <c r="I33" i="32" s="1"/>
  <c r="U32" i="3"/>
  <c r="I35" i="32" s="1"/>
  <c r="U34" i="3"/>
  <c r="I37" i="7" s="1"/>
  <c r="U36" i="3"/>
  <c r="U38" i="3"/>
  <c r="I41" i="7" s="1"/>
  <c r="U40" i="3"/>
  <c r="U42" i="3"/>
  <c r="U44" i="3"/>
  <c r="I47" i="32" s="1"/>
  <c r="U46" i="3"/>
  <c r="I49" i="32" s="1"/>
  <c r="U48" i="3"/>
  <c r="I51" i="32" s="1"/>
  <c r="U50" i="3"/>
  <c r="I53" i="32" s="1"/>
  <c r="U52" i="3"/>
  <c r="I55" i="14" s="1"/>
  <c r="U54" i="3"/>
  <c r="U56" i="3"/>
  <c r="U58" i="3"/>
  <c r="U3" i="4"/>
  <c r="U5" i="4"/>
  <c r="I8" i="34" s="1"/>
  <c r="U7" i="4"/>
  <c r="I10" i="34" s="1"/>
  <c r="U9" i="4"/>
  <c r="I12" i="34" s="1"/>
  <c r="U11" i="4"/>
  <c r="I14" i="34" s="1"/>
  <c r="U13" i="4"/>
  <c r="U15" i="4"/>
  <c r="U17" i="4"/>
  <c r="U19" i="4"/>
  <c r="I22" i="34" s="1"/>
  <c r="U21" i="4"/>
  <c r="U23" i="4"/>
  <c r="I26" i="34" s="1"/>
  <c r="U25" i="4"/>
  <c r="I28" i="34" s="1"/>
  <c r="U27" i="4"/>
  <c r="I30" i="34" s="1"/>
  <c r="U29" i="4"/>
  <c r="I32" i="11" s="1"/>
  <c r="U31" i="4"/>
  <c r="U33" i="4"/>
  <c r="U35" i="4"/>
  <c r="I38" i="34" s="1"/>
  <c r="U37" i="4"/>
  <c r="U39" i="4"/>
  <c r="I42" i="34" s="1"/>
  <c r="U41" i="4"/>
  <c r="I44" i="34" s="1"/>
  <c r="E31" i="29"/>
  <c r="D4" i="5"/>
  <c r="I5" i="7"/>
  <c r="I5" i="6"/>
  <c r="I37" i="23"/>
  <c r="AM99" i="23" s="1"/>
  <c r="I37" i="9"/>
  <c r="I37" i="8"/>
  <c r="I42" i="23"/>
  <c r="AV104" i="23" s="1"/>
  <c r="I42" i="14"/>
  <c r="I42" i="9"/>
  <c r="I42" i="8"/>
  <c r="I42" i="6"/>
  <c r="I42" i="7"/>
  <c r="I55" i="8"/>
  <c r="I15" i="12"/>
  <c r="I10" i="23"/>
  <c r="BA72" i="23" s="1"/>
  <c r="I10" i="9"/>
  <c r="I10" i="8"/>
  <c r="I10" i="14"/>
  <c r="I10" i="7"/>
  <c r="I10" i="6"/>
  <c r="I21" i="23"/>
  <c r="BC83" i="23" s="1"/>
  <c r="I21" i="9"/>
  <c r="I21" i="8"/>
  <c r="I21" i="7"/>
  <c r="I21" i="6"/>
  <c r="I26" i="23"/>
  <c r="AY88" i="23" s="1"/>
  <c r="I26" i="9"/>
  <c r="I26" i="8"/>
  <c r="I26" i="14"/>
  <c r="I26" i="7"/>
  <c r="I26" i="6"/>
  <c r="I28" i="8"/>
  <c r="I39" i="23"/>
  <c r="AO101" i="23" s="1"/>
  <c r="I56" i="14"/>
  <c r="I60" i="9"/>
  <c r="I10" i="11"/>
  <c r="I12" i="24"/>
  <c r="Y58" i="24" s="1"/>
  <c r="I12" i="13"/>
  <c r="I12" i="12"/>
  <c r="I12" i="11"/>
  <c r="I12" i="10"/>
  <c r="I17" i="24"/>
  <c r="Y63" i="24" s="1"/>
  <c r="I17" i="12"/>
  <c r="I17" i="11"/>
  <c r="I17" i="10"/>
  <c r="I17" i="13"/>
  <c r="I6" i="14"/>
  <c r="I8" i="7"/>
  <c r="I12" i="14"/>
  <c r="I12" i="8"/>
  <c r="I19" i="9"/>
  <c r="I48" i="14"/>
  <c r="I14" i="13"/>
  <c r="I7" i="14"/>
  <c r="I9" i="9"/>
  <c r="I23" i="23"/>
  <c r="AZ85" i="23" s="1"/>
  <c r="I23" i="7"/>
  <c r="I40" i="9"/>
  <c r="I44" i="6"/>
  <c r="I53" i="23"/>
  <c r="BC115" i="23" s="1"/>
  <c r="I53" i="14"/>
  <c r="I53" i="9"/>
  <c r="I53" i="6"/>
  <c r="I53" i="8"/>
  <c r="I53" i="7"/>
  <c r="I58" i="23"/>
  <c r="AN120" i="23" s="1"/>
  <c r="I58" i="14"/>
  <c r="I58" i="9"/>
  <c r="I58" i="7"/>
  <c r="I58" i="8"/>
  <c r="I58" i="6"/>
  <c r="I19" i="11"/>
  <c r="I28" i="24"/>
  <c r="AD74" i="24" s="1"/>
  <c r="I28" i="13"/>
  <c r="I28" i="12"/>
  <c r="I28" i="11"/>
  <c r="I28" i="10"/>
  <c r="I30" i="11"/>
  <c r="I31" i="10"/>
  <c r="I33" i="24"/>
  <c r="AA79" i="24" s="1"/>
  <c r="I33" i="12"/>
  <c r="I33" i="11"/>
  <c r="I33" i="10"/>
  <c r="I33" i="13"/>
  <c r="I34" i="24"/>
  <c r="AD80" i="24" s="1"/>
  <c r="I34" i="10"/>
  <c r="I35" i="24"/>
  <c r="AA81" i="24" s="1"/>
  <c r="I35" i="10"/>
  <c r="I42" i="13"/>
  <c r="I44" i="24"/>
  <c r="Y90" i="24" s="1"/>
  <c r="I44" i="13"/>
  <c r="I44" i="12"/>
  <c r="I44" i="11"/>
  <c r="I44" i="10"/>
  <c r="AO4" i="16"/>
  <c r="AO5" i="16"/>
  <c r="AT2" i="16"/>
  <c r="AJ2" i="16"/>
  <c r="M52" i="12"/>
  <c r="T52" i="12"/>
  <c r="AT4" i="16"/>
  <c r="AJ4" i="16"/>
  <c r="AJ5" i="16"/>
  <c r="AT5" i="16"/>
  <c r="AO2" i="16"/>
  <c r="AO6" i="16"/>
  <c r="AJ6" i="16"/>
  <c r="AT7" i="16"/>
  <c r="AJ7" i="16"/>
  <c r="AO3" i="16"/>
  <c r="AO7" i="16"/>
  <c r="AT3" i="16"/>
  <c r="AJ3" i="16"/>
  <c r="AC235" i="17"/>
  <c r="AC239" i="17"/>
  <c r="AC243" i="17"/>
  <c r="AC247" i="17"/>
  <c r="AA11" i="21"/>
  <c r="AC251" i="17"/>
  <c r="AC255" i="17"/>
  <c r="AC259" i="17"/>
  <c r="AA12" i="21"/>
  <c r="AC5" i="17"/>
  <c r="AC9" i="17"/>
  <c r="AC13" i="17"/>
  <c r="AC17" i="17"/>
  <c r="AC118" i="17"/>
  <c r="AC120" i="17"/>
  <c r="AC122" i="17"/>
  <c r="AC126" i="17"/>
  <c r="AC128" i="17"/>
  <c r="AC63" i="17"/>
  <c r="AC67" i="17"/>
  <c r="AC66" i="17"/>
  <c r="AC119" i="17"/>
  <c r="AC121" i="17"/>
  <c r="AC123" i="17"/>
  <c r="AC127" i="17"/>
  <c r="AC263" i="17"/>
  <c r="AC267" i="17"/>
  <c r="AC271" i="17"/>
  <c r="AC275" i="17"/>
  <c r="AC279" i="17"/>
  <c r="AC283" i="17"/>
  <c r="AC41" i="17"/>
  <c r="AC97" i="17"/>
  <c r="AC101" i="17"/>
  <c r="AD10" i="21"/>
  <c r="AC50" i="17"/>
  <c r="AC54" i="17"/>
  <c r="AC55" i="17"/>
  <c r="AC58" i="17"/>
  <c r="AC59" i="17"/>
  <c r="AC3" i="17"/>
  <c r="AC7" i="17"/>
  <c r="AC11" i="17"/>
  <c r="AC15" i="17"/>
  <c r="AC19" i="17"/>
  <c r="AC39" i="17"/>
  <c r="AC43" i="17"/>
  <c r="AC83" i="17"/>
  <c r="AC176" i="17"/>
  <c r="AC180" i="17"/>
  <c r="AC184" i="17"/>
  <c r="AC188" i="17"/>
  <c r="AC192" i="17"/>
  <c r="AC196" i="17"/>
  <c r="AC200" i="17"/>
  <c r="AC204" i="17"/>
  <c r="AC208" i="17"/>
  <c r="AC212" i="17"/>
  <c r="AC216" i="17"/>
  <c r="AC220" i="17"/>
  <c r="AC224" i="17"/>
  <c r="AC228" i="17"/>
  <c r="AC232" i="17"/>
  <c r="AC48" i="17"/>
  <c r="AI5" i="17" s="1"/>
  <c r="AC52" i="17"/>
  <c r="AC53" i="17"/>
  <c r="AC56" i="17"/>
  <c r="AC57" i="17"/>
  <c r="AC60" i="17"/>
  <c r="AF3" i="21"/>
  <c r="Y4" i="21"/>
  <c r="AG4" i="21" s="1"/>
  <c r="Y3" i="21"/>
  <c r="AG3" i="21" s="1"/>
  <c r="AJ4" i="21"/>
  <c r="AI13" i="21"/>
  <c r="Y8" i="21"/>
  <c r="AG8" i="21" s="1"/>
  <c r="AJ8" i="21"/>
  <c r="AI5" i="21"/>
  <c r="P52" i="12"/>
  <c r="AK83" i="23"/>
  <c r="AR83" i="23"/>
  <c r="AZ88" i="23"/>
  <c r="AZ83" i="23"/>
  <c r="AI115" i="23"/>
  <c r="AJ83" i="23"/>
  <c r="AN104" i="23"/>
  <c r="Z5" i="21"/>
  <c r="AH5" i="21" s="1"/>
  <c r="AJ13" i="21"/>
  <c r="Z8" i="21"/>
  <c r="AH8" i="21" s="1"/>
  <c r="AJ5" i="21"/>
  <c r="Z4" i="21"/>
  <c r="AH4" i="21" s="1"/>
  <c r="Z13" i="21"/>
  <c r="AH13" i="21" s="1"/>
  <c r="U9" i="21"/>
  <c r="AI9" i="21" s="1"/>
  <c r="R10" i="21"/>
  <c r="M758" i="21"/>
  <c r="U10" i="21" s="1"/>
  <c r="AI10" i="21" s="1"/>
  <c r="R11" i="21"/>
  <c r="M790" i="21"/>
  <c r="U11" i="21" s="1"/>
  <c r="AI11" i="21" s="1"/>
  <c r="R12" i="21"/>
  <c r="M976" i="21"/>
  <c r="U12" i="21" s="1"/>
  <c r="AI12" i="21" s="1"/>
  <c r="R9" i="21"/>
  <c r="X9" i="21" s="1"/>
  <c r="AF9" i="21" s="1"/>
  <c r="AJ3" i="21"/>
  <c r="AI4" i="21"/>
  <c r="X4" i="21"/>
  <c r="AF4" i="21" s="1"/>
  <c r="Z3" i="21"/>
  <c r="AH3" i="21" s="1"/>
  <c r="X13" i="21"/>
  <c r="AF13" i="21" s="1"/>
  <c r="AT6" i="16"/>
  <c r="AC69" i="17"/>
  <c r="AC20" i="17"/>
  <c r="AC21" i="17"/>
  <c r="AC22" i="17"/>
  <c r="AC23" i="17"/>
  <c r="AC24" i="17"/>
  <c r="AC25" i="17"/>
  <c r="AC27" i="17"/>
  <c r="AC29" i="17"/>
  <c r="AC31" i="17"/>
  <c r="AC33" i="17"/>
  <c r="AC35" i="17"/>
  <c r="AC37" i="17"/>
  <c r="AC38" i="17"/>
  <c r="AC45" i="17"/>
  <c r="AC236" i="17"/>
  <c r="AC240" i="17"/>
  <c r="AC244" i="17"/>
  <c r="AC248" i="17"/>
  <c r="AC252" i="17"/>
  <c r="AC256" i="17"/>
  <c r="AC260" i="17"/>
  <c r="AC264" i="17"/>
  <c r="AC268" i="17"/>
  <c r="AC272" i="17"/>
  <c r="AC276" i="17"/>
  <c r="AC280" i="17"/>
  <c r="AC284" i="17"/>
  <c r="AC225" i="17"/>
  <c r="AC229" i="17"/>
  <c r="AC233" i="17"/>
  <c r="AC237" i="17"/>
  <c r="AC241" i="17"/>
  <c r="AC245" i="17"/>
  <c r="AC249" i="17"/>
  <c r="AC253" i="17"/>
  <c r="AC257" i="17"/>
  <c r="AC261" i="17"/>
  <c r="AC265" i="17"/>
  <c r="AC269" i="17"/>
  <c r="AC273" i="17"/>
  <c r="AC277" i="17"/>
  <c r="AC281" i="17"/>
  <c r="AC85" i="17"/>
  <c r="AC86" i="17"/>
  <c r="AC87" i="17"/>
  <c r="AC89" i="17"/>
  <c r="AC90" i="17"/>
  <c r="AC91" i="17"/>
  <c r="AC92" i="17"/>
  <c r="AC93" i="17"/>
  <c r="AC94" i="17"/>
  <c r="AC95" i="17"/>
  <c r="AC96" i="17"/>
  <c r="AC98" i="17"/>
  <c r="AC99" i="17"/>
  <c r="AC100" i="17"/>
  <c r="AC102" i="17"/>
  <c r="AC103" i="17"/>
  <c r="AC104" i="17"/>
  <c r="AC105" i="17"/>
  <c r="AC106" i="17"/>
  <c r="AC178" i="17"/>
  <c r="AC182" i="17"/>
  <c r="AC186" i="17"/>
  <c r="AC190" i="17"/>
  <c r="AC194" i="17"/>
  <c r="AC198" i="17"/>
  <c r="AC202" i="17"/>
  <c r="AC206" i="17"/>
  <c r="AC210" i="17"/>
  <c r="AC214" i="17"/>
  <c r="AC218" i="17"/>
  <c r="AC222" i="17"/>
  <c r="AC226" i="17"/>
  <c r="AC230" i="17"/>
  <c r="AC234" i="17"/>
  <c r="AC238" i="17"/>
  <c r="AC242" i="17"/>
  <c r="AC246" i="17"/>
  <c r="AC250" i="17"/>
  <c r="AC254" i="17"/>
  <c r="AC258" i="17"/>
  <c r="AC262" i="17"/>
  <c r="AC266" i="17"/>
  <c r="AC270" i="17"/>
  <c r="AC274" i="17"/>
  <c r="AC278" i="17"/>
  <c r="AC282" i="17"/>
  <c r="AB64" i="8"/>
  <c r="AB64" i="9"/>
  <c r="AB64" i="7"/>
  <c r="AH64" i="8"/>
  <c r="AH64" i="9"/>
  <c r="AH64" i="7"/>
  <c r="AG64" i="8"/>
  <c r="AG64" i="9"/>
  <c r="AG64" i="7"/>
  <c r="AB66" i="9"/>
  <c r="AB66" i="8"/>
  <c r="AB68" i="6"/>
  <c r="AB66" i="7"/>
  <c r="AD64" i="8"/>
  <c r="AD64" i="9"/>
  <c r="AD64" i="7"/>
  <c r="AJ64" i="8"/>
  <c r="AJ64" i="9"/>
  <c r="AJ64" i="7"/>
  <c r="AL64" i="8"/>
  <c r="AL64" i="9"/>
  <c r="AL64" i="7"/>
  <c r="W64" i="8"/>
  <c r="W68" i="8" s="1"/>
  <c r="W64" i="9"/>
  <c r="W64" i="7"/>
  <c r="AI64" i="8"/>
  <c r="AI64" i="9"/>
  <c r="AI64" i="7"/>
  <c r="P64" i="8"/>
  <c r="P68" i="8" s="1"/>
  <c r="P64" i="9"/>
  <c r="P64" i="7"/>
  <c r="U64" i="8"/>
  <c r="U68" i="8" s="1"/>
  <c r="U64" i="9"/>
  <c r="U64" i="7"/>
  <c r="V68" i="6"/>
  <c r="X64" i="8"/>
  <c r="X68" i="8" s="1"/>
  <c r="X64" i="9"/>
  <c r="X64" i="7"/>
  <c r="AA68" i="6"/>
  <c r="AC64" i="8"/>
  <c r="AC68" i="8" s="1"/>
  <c r="AC64" i="9"/>
  <c r="AC64" i="7"/>
  <c r="AD67" i="6"/>
  <c r="AF64" i="8"/>
  <c r="AF64" i="9"/>
  <c r="AF64" i="7"/>
  <c r="Z64" i="8"/>
  <c r="Z68" i="8" s="1"/>
  <c r="Z55" i="9" s="1"/>
  <c r="Z64" i="9"/>
  <c r="Z64" i="7"/>
  <c r="AH65" i="7"/>
  <c r="Z66" i="7"/>
  <c r="AB65" i="9"/>
  <c r="AB65" i="8"/>
  <c r="AD66" i="9"/>
  <c r="AD66" i="8"/>
  <c r="E28" i="5"/>
  <c r="W50" i="13"/>
  <c r="W50" i="12"/>
  <c r="W50" i="10"/>
  <c r="W50" i="11"/>
  <c r="AA49" i="13"/>
  <c r="AA49" i="12"/>
  <c r="AA49" i="10"/>
  <c r="AA49" i="11"/>
  <c r="U66" i="9"/>
  <c r="U66" i="8"/>
  <c r="U50" i="13"/>
  <c r="U50" i="12"/>
  <c r="U52" i="12" s="1"/>
  <c r="U50" i="11"/>
  <c r="U50" i="10"/>
  <c r="AH66" i="9"/>
  <c r="AH66" i="8"/>
  <c r="Z49" i="13"/>
  <c r="Z49" i="12"/>
  <c r="Z49" i="11"/>
  <c r="Z49" i="10"/>
  <c r="O64" i="8"/>
  <c r="O68" i="8" s="1"/>
  <c r="O64" i="9"/>
  <c r="O64" i="7"/>
  <c r="S64" i="8"/>
  <c r="S64" i="9"/>
  <c r="S64" i="7"/>
  <c r="AD68" i="6"/>
  <c r="AI67" i="6"/>
  <c r="AJ68" i="6"/>
  <c r="AA64" i="8"/>
  <c r="AA68" i="8" s="1"/>
  <c r="AA58" i="9" s="1"/>
  <c r="AA64" i="9"/>
  <c r="AA64" i="7"/>
  <c r="AA66" i="7"/>
  <c r="AI66" i="7"/>
  <c r="F28" i="5"/>
  <c r="Y48" i="13"/>
  <c r="Y48" i="12"/>
  <c r="Y48" i="10"/>
  <c r="Y48" i="11"/>
  <c r="AA50" i="13"/>
  <c r="AA50" i="12"/>
  <c r="AA50" i="10"/>
  <c r="AA50" i="11"/>
  <c r="V66" i="9"/>
  <c r="V66" i="8"/>
  <c r="AJ65" i="9"/>
  <c r="AJ65" i="8"/>
  <c r="Z50" i="13"/>
  <c r="Z50" i="12"/>
  <c r="Z50" i="11"/>
  <c r="Z50" i="10"/>
  <c r="M64" i="8"/>
  <c r="M68" i="8" s="1"/>
  <c r="M64" i="9"/>
  <c r="M64" i="7"/>
  <c r="R64" i="8"/>
  <c r="R68" i="8" s="1"/>
  <c r="R64" i="9"/>
  <c r="R64" i="7"/>
  <c r="U68" i="6"/>
  <c r="AB67" i="6"/>
  <c r="AE64" i="8"/>
  <c r="AE64" i="9"/>
  <c r="AE64" i="7"/>
  <c r="AK64" i="8"/>
  <c r="AK68" i="8" s="1"/>
  <c r="AK64" i="9"/>
  <c r="AK64" i="7"/>
  <c r="AB65" i="7"/>
  <c r="AJ65" i="7"/>
  <c r="AD65" i="9"/>
  <c r="AD65" i="8"/>
  <c r="W49" i="13"/>
  <c r="W49" i="12"/>
  <c r="W49" i="10"/>
  <c r="W49" i="11"/>
  <c r="AA48" i="13"/>
  <c r="AA48" i="12"/>
  <c r="AA48" i="11"/>
  <c r="AA48" i="10"/>
  <c r="AA66" i="9"/>
  <c r="AA66" i="8"/>
  <c r="AH65" i="9"/>
  <c r="AH65" i="8"/>
  <c r="AI66" i="9"/>
  <c r="AI66" i="8"/>
  <c r="Z48" i="13"/>
  <c r="Z48" i="12"/>
  <c r="Z48" i="11"/>
  <c r="Z48" i="10"/>
  <c r="AG66" i="9"/>
  <c r="AG66" i="8"/>
  <c r="W48" i="13"/>
  <c r="W48" i="12"/>
  <c r="W48" i="11"/>
  <c r="W48" i="10"/>
  <c r="Y50" i="13"/>
  <c r="Y50" i="12"/>
  <c r="Y50" i="11"/>
  <c r="Y50" i="10"/>
  <c r="R48" i="13"/>
  <c r="R48" i="12"/>
  <c r="R48" i="11"/>
  <c r="R48" i="10"/>
  <c r="Z66" i="9"/>
  <c r="Z66" i="8"/>
  <c r="AI65" i="9"/>
  <c r="AI65" i="8"/>
  <c r="AJ66" i="9"/>
  <c r="AJ66" i="8"/>
  <c r="L64" i="8"/>
  <c r="L68" i="8" s="1"/>
  <c r="L64" i="9"/>
  <c r="L64" i="7"/>
  <c r="Q64" i="8"/>
  <c r="Q68" i="8" s="1"/>
  <c r="Q64" i="9"/>
  <c r="Q64" i="7"/>
  <c r="AH68" i="6"/>
  <c r="U66" i="7"/>
  <c r="AG66" i="7"/>
  <c r="M52" i="11"/>
  <c r="U52" i="11"/>
  <c r="Z61" i="9"/>
  <c r="Z59" i="9"/>
  <c r="Z57" i="9"/>
  <c r="Z53" i="9"/>
  <c r="Z60" i="9"/>
  <c r="Z58" i="9"/>
  <c r="Z56" i="9"/>
  <c r="Z54" i="9"/>
  <c r="Z52" i="9"/>
  <c r="Z50" i="9"/>
  <c r="Z48" i="9"/>
  <c r="Z46" i="9"/>
  <c r="Z44" i="9"/>
  <c r="Z42" i="9"/>
  <c r="Z40" i="9"/>
  <c r="Z51" i="9"/>
  <c r="Z47" i="9"/>
  <c r="Z43" i="9"/>
  <c r="Z49" i="9"/>
  <c r="Z45" i="9"/>
  <c r="Z38" i="9"/>
  <c r="Z36" i="9"/>
  <c r="Z34" i="9"/>
  <c r="Z32" i="9"/>
  <c r="Z30" i="9"/>
  <c r="Z28" i="9"/>
  <c r="Z26" i="9"/>
  <c r="Z41" i="9"/>
  <c r="Z37" i="9"/>
  <c r="Z33" i="9"/>
  <c r="Z29" i="9"/>
  <c r="Z25" i="9"/>
  <c r="Z39" i="9"/>
  <c r="Z35" i="9"/>
  <c r="Z31" i="9"/>
  <c r="Z27" i="9"/>
  <c r="Z24" i="9"/>
  <c r="Z22" i="9"/>
  <c r="Z20" i="9"/>
  <c r="Z18" i="9"/>
  <c r="Z16" i="9"/>
  <c r="Z14" i="9"/>
  <c r="Z12" i="9"/>
  <c r="Z15" i="9"/>
  <c r="Z21" i="9"/>
  <c r="Z17" i="9"/>
  <c r="Z13" i="9"/>
  <c r="Z11" i="9"/>
  <c r="Z23" i="9"/>
  <c r="Z19" i="9"/>
  <c r="Z10" i="9"/>
  <c r="Z8" i="9"/>
  <c r="Z6" i="9"/>
  <c r="Z9" i="9"/>
  <c r="Z5" i="9"/>
  <c r="Z7" i="9"/>
  <c r="AA60" i="9"/>
  <c r="AA54" i="9"/>
  <c r="AA56" i="9"/>
  <c r="AA46" i="9"/>
  <c r="AA53" i="9"/>
  <c r="AA41" i="9"/>
  <c r="AA43" i="9"/>
  <c r="AA39" i="9"/>
  <c r="AA35" i="9"/>
  <c r="AA49" i="9"/>
  <c r="AA27" i="9"/>
  <c r="AA24" i="9"/>
  <c r="AA18" i="9"/>
  <c r="AA45" i="9"/>
  <c r="AA36" i="9"/>
  <c r="AA28" i="9"/>
  <c r="AA34" i="9"/>
  <c r="AA26" i="9"/>
  <c r="AA17" i="9"/>
  <c r="AA13" i="9"/>
  <c r="AA11" i="9"/>
  <c r="AA16" i="9"/>
  <c r="AA23" i="9"/>
  <c r="AA19" i="9"/>
  <c r="AA10" i="9"/>
  <c r="AA8" i="9"/>
  <c r="AA6" i="9"/>
  <c r="AA15" i="9"/>
  <c r="AA12" i="9"/>
  <c r="AA9" i="9"/>
  <c r="AA7" i="9"/>
  <c r="D37" i="5"/>
  <c r="AT8" i="16" l="1"/>
  <c r="AO8" i="16"/>
  <c r="AN115" i="23"/>
  <c r="BC88" i="23"/>
  <c r="BD115" i="23"/>
  <c r="AY72" i="23"/>
  <c r="Z58" i="24"/>
  <c r="AW115" i="23"/>
  <c r="X58" i="24"/>
  <c r="AT115" i="23"/>
  <c r="I47" i="7"/>
  <c r="AN88" i="23"/>
  <c r="AR104" i="23"/>
  <c r="I5" i="8"/>
  <c r="AP88" i="23"/>
  <c r="I5" i="14"/>
  <c r="BC104" i="23"/>
  <c r="I26" i="12"/>
  <c r="I40" i="7"/>
  <c r="I24" i="9"/>
  <c r="I8" i="23"/>
  <c r="I51" i="14"/>
  <c r="AH74" i="24"/>
  <c r="AF58" i="24"/>
  <c r="AD63" i="24"/>
  <c r="AK104" i="23"/>
  <c r="AS88" i="23"/>
  <c r="I26" i="24"/>
  <c r="I40" i="6"/>
  <c r="I24" i="14"/>
  <c r="I6" i="6"/>
  <c r="I10" i="13"/>
  <c r="I56" i="9"/>
  <c r="I51" i="9"/>
  <c r="I15" i="10"/>
  <c r="I35" i="8"/>
  <c r="X63" i="24"/>
  <c r="I19" i="23"/>
  <c r="AW81" i="23" s="1"/>
  <c r="I56" i="8"/>
  <c r="I15" i="13"/>
  <c r="I35" i="7"/>
  <c r="AD58" i="24"/>
  <c r="AB58" i="24"/>
  <c r="AE63" i="24"/>
  <c r="AJ104" i="23"/>
  <c r="BA104" i="23"/>
  <c r="I31" i="13"/>
  <c r="I40" i="8"/>
  <c r="I24" i="23"/>
  <c r="BA86" i="23" s="1"/>
  <c r="I6" i="7"/>
  <c r="I10" i="10"/>
  <c r="I56" i="7"/>
  <c r="I51" i="23"/>
  <c r="I15" i="11"/>
  <c r="I35" i="9"/>
  <c r="I31" i="11"/>
  <c r="I40" i="14"/>
  <c r="I10" i="12"/>
  <c r="I15" i="24"/>
  <c r="AH61" i="24" s="1"/>
  <c r="AL104" i="23"/>
  <c r="I42" i="10"/>
  <c r="I6" i="8"/>
  <c r="I56" i="23"/>
  <c r="AN118" i="23" s="1"/>
  <c r="AG58" i="24"/>
  <c r="AT104" i="23"/>
  <c r="AL88" i="23"/>
  <c r="I42" i="11"/>
  <c r="I31" i="12"/>
  <c r="I26" i="13"/>
  <c r="I40" i="23"/>
  <c r="AQ102" i="23" s="1"/>
  <c r="I24" i="7"/>
  <c r="I19" i="7"/>
  <c r="I8" i="6"/>
  <c r="I6" i="9"/>
  <c r="I10" i="24"/>
  <c r="I51" i="6"/>
  <c r="I19" i="6"/>
  <c r="AC58" i="24"/>
  <c r="AG80" i="24"/>
  <c r="AQ104" i="23"/>
  <c r="AI88" i="23"/>
  <c r="I42" i="12"/>
  <c r="I31" i="24"/>
  <c r="Y77" i="24" s="1"/>
  <c r="I26" i="10"/>
  <c r="I24" i="8"/>
  <c r="I19" i="14"/>
  <c r="I8" i="9"/>
  <c r="I6" i="23"/>
  <c r="AU68" i="23" s="1"/>
  <c r="I51" i="7"/>
  <c r="I5" i="9"/>
  <c r="I8" i="8"/>
  <c r="BD104" i="23"/>
  <c r="AU104" i="23"/>
  <c r="I42" i="24"/>
  <c r="I26" i="11"/>
  <c r="I24" i="6"/>
  <c r="I19" i="8"/>
  <c r="I8" i="14"/>
  <c r="I56" i="6"/>
  <c r="I51" i="8"/>
  <c r="I35" i="6"/>
  <c r="AC72" i="24"/>
  <c r="AD72" i="24"/>
  <c r="AB81" i="24"/>
  <c r="AG72" i="24"/>
  <c r="Z63" i="24"/>
  <c r="AF81" i="24"/>
  <c r="AA72" i="24"/>
  <c r="AB63" i="24"/>
  <c r="AF63" i="24"/>
  <c r="AE81" i="24"/>
  <c r="AE72" i="24"/>
  <c r="AG63" i="24"/>
  <c r="AA63" i="24"/>
  <c r="AB72" i="24"/>
  <c r="AC63" i="24"/>
  <c r="AF72" i="24"/>
  <c r="AH63" i="24"/>
  <c r="Y72" i="24"/>
  <c r="I35" i="14"/>
  <c r="I20" i="24"/>
  <c r="I20" i="34"/>
  <c r="I45" i="6"/>
  <c r="I45" i="32"/>
  <c r="I13" i="8"/>
  <c r="I13" i="32"/>
  <c r="I25" i="13"/>
  <c r="I25" i="34"/>
  <c r="I50" i="7"/>
  <c r="I50" i="32"/>
  <c r="I34" i="9"/>
  <c r="I34" i="32"/>
  <c r="AD81" i="24"/>
  <c r="AO83" i="23"/>
  <c r="I35" i="11"/>
  <c r="I30" i="13"/>
  <c r="I19" i="13"/>
  <c r="I23" i="14"/>
  <c r="I7" i="8"/>
  <c r="I12" i="9"/>
  <c r="I60" i="8"/>
  <c r="I37" i="6"/>
  <c r="I5" i="23"/>
  <c r="AO67" i="23" s="1"/>
  <c r="I34" i="13"/>
  <c r="I34" i="34"/>
  <c r="I18" i="13"/>
  <c r="I18" i="34"/>
  <c r="I59" i="23"/>
  <c r="I59" i="32"/>
  <c r="I43" i="7"/>
  <c r="I43" i="32"/>
  <c r="I27" i="23"/>
  <c r="AZ89" i="23" s="1"/>
  <c r="I27" i="32"/>
  <c r="I11" i="7"/>
  <c r="I11" i="32"/>
  <c r="I39" i="24"/>
  <c r="I39" i="34"/>
  <c r="I23" i="24"/>
  <c r="I23" i="34"/>
  <c r="I7" i="12"/>
  <c r="I7" i="34"/>
  <c r="I48" i="7"/>
  <c r="I48" i="32"/>
  <c r="I32" i="6"/>
  <c r="I32" i="32"/>
  <c r="I16" i="23"/>
  <c r="AW78" i="23" s="1"/>
  <c r="I16" i="32"/>
  <c r="I36" i="12"/>
  <c r="I36" i="34"/>
  <c r="I61" i="14"/>
  <c r="I61" i="32"/>
  <c r="I29" i="7"/>
  <c r="I29" i="32"/>
  <c r="I41" i="24"/>
  <c r="I41" i="34"/>
  <c r="I9" i="10"/>
  <c r="I9" i="34"/>
  <c r="I18" i="23"/>
  <c r="AS80" i="23" s="1"/>
  <c r="I18" i="32"/>
  <c r="X81" i="24"/>
  <c r="AS83" i="23"/>
  <c r="I35" i="12"/>
  <c r="I30" i="10"/>
  <c r="I19" i="10"/>
  <c r="I44" i="8"/>
  <c r="I23" i="8"/>
  <c r="I7" i="23"/>
  <c r="AI69" i="23" s="1"/>
  <c r="I12" i="6"/>
  <c r="I60" i="6"/>
  <c r="I28" i="7"/>
  <c r="I21" i="14"/>
  <c r="I35" i="23"/>
  <c r="I32" i="24"/>
  <c r="AE78" i="24" s="1"/>
  <c r="I32" i="34"/>
  <c r="I16" i="12"/>
  <c r="I16" i="34"/>
  <c r="I57" i="9"/>
  <c r="I57" i="32"/>
  <c r="I41" i="23"/>
  <c r="BD103" i="23" s="1"/>
  <c r="I41" i="32"/>
  <c r="I25" i="14"/>
  <c r="I25" i="32"/>
  <c r="I9" i="23"/>
  <c r="AW71" i="23" s="1"/>
  <c r="I9" i="32"/>
  <c r="I37" i="24"/>
  <c r="I37" i="34"/>
  <c r="I21" i="24"/>
  <c r="AF67" i="24" s="1"/>
  <c r="I21" i="34"/>
  <c r="I5" i="24"/>
  <c r="AF51" i="24" s="1"/>
  <c r="I5" i="34"/>
  <c r="I46" i="7"/>
  <c r="I46" i="32"/>
  <c r="I30" i="23"/>
  <c r="AK92" i="23" s="1"/>
  <c r="I30" i="32"/>
  <c r="I14" i="9"/>
  <c r="I14" i="32"/>
  <c r="I39" i="8"/>
  <c r="I39" i="32"/>
  <c r="I55" i="23"/>
  <c r="I55" i="32"/>
  <c r="Y81" i="24"/>
  <c r="AL83" i="23"/>
  <c r="I30" i="12"/>
  <c r="I19" i="12"/>
  <c r="I44" i="9"/>
  <c r="I14" i="10"/>
  <c r="I12" i="23"/>
  <c r="I60" i="7"/>
  <c r="I39" i="6"/>
  <c r="I28" i="6"/>
  <c r="I37" i="14"/>
  <c r="I37" i="32"/>
  <c r="AC81" i="24"/>
  <c r="AP83" i="23"/>
  <c r="I30" i="24"/>
  <c r="AH76" i="24" s="1"/>
  <c r="I19" i="24"/>
  <c r="AG65" i="24" s="1"/>
  <c r="I44" i="7"/>
  <c r="I7" i="6"/>
  <c r="I14" i="11"/>
  <c r="I60" i="14"/>
  <c r="I39" i="7"/>
  <c r="I28" i="9"/>
  <c r="AE90" i="24"/>
  <c r="AG81" i="24"/>
  <c r="AX83" i="23"/>
  <c r="I44" i="14"/>
  <c r="I23" i="6"/>
  <c r="I7" i="9"/>
  <c r="I14" i="12"/>
  <c r="I60" i="23"/>
  <c r="I39" i="14"/>
  <c r="I28" i="14"/>
  <c r="I40" i="12"/>
  <c r="I40" i="34"/>
  <c r="I24" i="12"/>
  <c r="I24" i="34"/>
  <c r="I29" i="12"/>
  <c r="I29" i="34"/>
  <c r="I22" i="9"/>
  <c r="I22" i="32"/>
  <c r="AV86" i="23"/>
  <c r="AI83" i="23"/>
  <c r="I35" i="13"/>
  <c r="I44" i="23"/>
  <c r="AI106" i="23" s="1"/>
  <c r="I23" i="9"/>
  <c r="I7" i="7"/>
  <c r="I14" i="24"/>
  <c r="I12" i="7"/>
  <c r="I39" i="9"/>
  <c r="I28" i="23"/>
  <c r="AO90" i="23" s="1"/>
  <c r="I55" i="7"/>
  <c r="I6" i="24"/>
  <c r="AC52" i="24" s="1"/>
  <c r="I6" i="34"/>
  <c r="I31" i="6"/>
  <c r="I31" i="32"/>
  <c r="I15" i="6"/>
  <c r="I15" i="32"/>
  <c r="I43" i="10"/>
  <c r="I43" i="34"/>
  <c r="I36" i="23"/>
  <c r="BB98" i="23" s="1"/>
  <c r="I36" i="32"/>
  <c r="Z52" i="11"/>
  <c r="AJ8" i="16"/>
  <c r="AO9" i="16"/>
  <c r="AJ9" i="16"/>
  <c r="AI6" i="17"/>
  <c r="AO10" i="30"/>
  <c r="AT9" i="16"/>
  <c r="AT10" i="30"/>
  <c r="AI2" i="17"/>
  <c r="AI8" i="17"/>
  <c r="AD78" i="24"/>
  <c r="X78" i="24"/>
  <c r="AH78" i="24"/>
  <c r="AF78" i="24"/>
  <c r="AA78" i="24"/>
  <c r="Z78" i="24"/>
  <c r="AC78" i="24"/>
  <c r="Y78" i="24"/>
  <c r="AC83" i="24"/>
  <c r="X83" i="24"/>
  <c r="AQ92" i="23"/>
  <c r="BA92" i="23"/>
  <c r="AN92" i="23"/>
  <c r="AJ92" i="23"/>
  <c r="AE51" i="24"/>
  <c r="X51" i="24"/>
  <c r="Y51" i="24"/>
  <c r="AG51" i="24"/>
  <c r="AD90" i="24"/>
  <c r="AC90" i="24"/>
  <c r="X77" i="24"/>
  <c r="BC106" i="23"/>
  <c r="AO106" i="23"/>
  <c r="AU86" i="23"/>
  <c r="I16" i="13"/>
  <c r="I9" i="6"/>
  <c r="I30" i="7"/>
  <c r="I57" i="14"/>
  <c r="I46" i="14"/>
  <c r="I14" i="14"/>
  <c r="AH90" i="24"/>
  <c r="AG90" i="24"/>
  <c r="AC77" i="24"/>
  <c r="AJ106" i="23"/>
  <c r="AS106" i="23"/>
  <c r="AY86" i="23"/>
  <c r="I37" i="13"/>
  <c r="I16" i="24"/>
  <c r="AF62" i="24" s="1"/>
  <c r="I9" i="7"/>
  <c r="I30" i="6"/>
  <c r="I57" i="23"/>
  <c r="AO119" i="23" s="1"/>
  <c r="I46" i="23"/>
  <c r="AR108" i="23" s="1"/>
  <c r="I14" i="23"/>
  <c r="BA76" i="23" s="1"/>
  <c r="AA90" i="24"/>
  <c r="AN106" i="23"/>
  <c r="AW106" i="23"/>
  <c r="BC86" i="23"/>
  <c r="I37" i="10"/>
  <c r="I32" i="10"/>
  <c r="I9" i="8"/>
  <c r="I41" i="6"/>
  <c r="I30" i="14"/>
  <c r="X90" i="24"/>
  <c r="AV106" i="23"/>
  <c r="AL106" i="23"/>
  <c r="I37" i="12"/>
  <c r="I32" i="12"/>
  <c r="I21" i="10"/>
  <c r="I9" i="14"/>
  <c r="I41" i="8"/>
  <c r="I30" i="9"/>
  <c r="I5" i="10"/>
  <c r="I25" i="9"/>
  <c r="AB90" i="24"/>
  <c r="AZ106" i="23"/>
  <c r="AP106" i="23"/>
  <c r="AR86" i="23"/>
  <c r="I32" i="13"/>
  <c r="I21" i="11"/>
  <c r="I16" i="10"/>
  <c r="I41" i="9"/>
  <c r="I5" i="11"/>
  <c r="I46" i="6"/>
  <c r="I25" i="23"/>
  <c r="AO87" i="23" s="1"/>
  <c r="AF90" i="24"/>
  <c r="BD106" i="23"/>
  <c r="AT106" i="23"/>
  <c r="AZ86" i="23"/>
  <c r="AQ69" i="23"/>
  <c r="I21" i="12"/>
  <c r="I16" i="11"/>
  <c r="I41" i="14"/>
  <c r="I5" i="12"/>
  <c r="I57" i="6"/>
  <c r="I46" i="8"/>
  <c r="I14" i="6"/>
  <c r="Z90" i="24"/>
  <c r="AM106" i="23"/>
  <c r="AK106" i="23"/>
  <c r="AL86" i="23"/>
  <c r="AR69" i="23"/>
  <c r="I57" i="7"/>
  <c r="I46" i="9"/>
  <c r="I14" i="7"/>
  <c r="AB52" i="24"/>
  <c r="X52" i="24"/>
  <c r="Y52" i="24"/>
  <c r="AG76" i="24"/>
  <c r="BB72" i="23"/>
  <c r="AT86" i="23"/>
  <c r="AK86" i="23"/>
  <c r="AO113" i="23"/>
  <c r="AN97" i="23"/>
  <c r="AU97" i="23"/>
  <c r="BA120" i="23"/>
  <c r="AT83" i="23"/>
  <c r="AM83" i="23"/>
  <c r="AW83" i="23"/>
  <c r="I15" i="8"/>
  <c r="I29" i="6"/>
  <c r="AG88" i="24"/>
  <c r="AD76" i="24"/>
  <c r="AF56" i="24"/>
  <c r="AA76" i="24"/>
  <c r="AT72" i="23"/>
  <c r="BB86" i="23"/>
  <c r="AO86" i="23"/>
  <c r="AS113" i="23"/>
  <c r="AV97" i="23"/>
  <c r="AY97" i="23"/>
  <c r="AM120" i="23"/>
  <c r="BB83" i="23"/>
  <c r="AQ83" i="23"/>
  <c r="BA83" i="23"/>
  <c r="I25" i="11"/>
  <c r="AD56" i="24"/>
  <c r="AB56" i="24"/>
  <c r="AE76" i="24"/>
  <c r="AH79" i="24"/>
  <c r="AP86" i="23"/>
  <c r="AI86" i="23"/>
  <c r="AS86" i="23"/>
  <c r="BA113" i="23"/>
  <c r="BD97" i="23"/>
  <c r="BC97" i="23"/>
  <c r="AX85" i="23"/>
  <c r="AV120" i="23"/>
  <c r="AN83" i="23"/>
  <c r="AU83" i="23"/>
  <c r="AI71" i="23"/>
  <c r="I6" i="12"/>
  <c r="AR113" i="23"/>
  <c r="AC76" i="24"/>
  <c r="AV113" i="23"/>
  <c r="AX72" i="23"/>
  <c r="Z56" i="24"/>
  <c r="AG56" i="24"/>
  <c r="X56" i="24"/>
  <c r="X76" i="24"/>
  <c r="AE79" i="24"/>
  <c r="AX86" i="23"/>
  <c r="AM86" i="23"/>
  <c r="AW86" i="23"/>
  <c r="BC113" i="23"/>
  <c r="AL113" i="23"/>
  <c r="AP97" i="23"/>
  <c r="AK97" i="23"/>
  <c r="AO85" i="23"/>
  <c r="AV83" i="23"/>
  <c r="AY83" i="23"/>
  <c r="AB76" i="24"/>
  <c r="AJ86" i="23"/>
  <c r="AQ86" i="23"/>
  <c r="AY113" i="23"/>
  <c r="BB113" i="23"/>
  <c r="AX97" i="23"/>
  <c r="BD83" i="23"/>
  <c r="BA78" i="23"/>
  <c r="AN71" i="23"/>
  <c r="AN121" i="23"/>
  <c r="AP85" i="23"/>
  <c r="AK85" i="23"/>
  <c r="AK120" i="23"/>
  <c r="AI120" i="23"/>
  <c r="AR120" i="23"/>
  <c r="AR71" i="23"/>
  <c r="BA71" i="23"/>
  <c r="I48" i="6"/>
  <c r="AQ120" i="23"/>
  <c r="I45" i="14"/>
  <c r="AH77" i="24"/>
  <c r="AS85" i="23"/>
  <c r="AM71" i="23"/>
  <c r="AA77" i="24"/>
  <c r="AA69" i="24"/>
  <c r="Z80" i="24"/>
  <c r="AB83" i="24"/>
  <c r="Z51" i="24"/>
  <c r="AR85" i="23"/>
  <c r="AP71" i="23"/>
  <c r="AS121" i="23"/>
  <c r="AT89" i="23"/>
  <c r="AT85" i="23"/>
  <c r="AM85" i="23"/>
  <c r="AW85" i="23"/>
  <c r="BB71" i="23"/>
  <c r="AL120" i="23"/>
  <c r="AU120" i="23"/>
  <c r="BD120" i="23"/>
  <c r="AQ71" i="23"/>
  <c r="I41" i="13"/>
  <c r="I36" i="24"/>
  <c r="AD82" i="24" s="1"/>
  <c r="I9" i="12"/>
  <c r="Z77" i="24"/>
  <c r="AE77" i="24"/>
  <c r="AE69" i="24"/>
  <c r="AD61" i="24"/>
  <c r="AB80" i="24"/>
  <c r="AG83" i="24"/>
  <c r="AD51" i="24"/>
  <c r="AX78" i="23"/>
  <c r="AJ85" i="23"/>
  <c r="AX121" i="23"/>
  <c r="BD101" i="23"/>
  <c r="BB85" i="23"/>
  <c r="AQ85" i="23"/>
  <c r="BA85" i="23"/>
  <c r="AT71" i="23"/>
  <c r="AP120" i="23"/>
  <c r="AY120" i="23"/>
  <c r="AK71" i="23"/>
  <c r="AU71" i="23"/>
  <c r="I39" i="13"/>
  <c r="AX71" i="23"/>
  <c r="AL85" i="23"/>
  <c r="AF77" i="24"/>
  <c r="Y69" i="24"/>
  <c r="AA80" i="24"/>
  <c r="AH83" i="24"/>
  <c r="AH51" i="24"/>
  <c r="AT78" i="23"/>
  <c r="AI78" i="23"/>
  <c r="AR74" i="23"/>
  <c r="BB121" i="23"/>
  <c r="AY101" i="23"/>
  <c r="AN85" i="23"/>
  <c r="AU85" i="23"/>
  <c r="AL71" i="23"/>
  <c r="AT120" i="23"/>
  <c r="BC120" i="23"/>
  <c r="AO71" i="23"/>
  <c r="AY71" i="23"/>
  <c r="I39" i="10"/>
  <c r="I18" i="10"/>
  <c r="I18" i="7"/>
  <c r="AO120" i="23"/>
  <c r="AF80" i="24"/>
  <c r="AB77" i="24"/>
  <c r="AC69" i="24"/>
  <c r="AE80" i="24"/>
  <c r="AA83" i="24"/>
  <c r="AA51" i="24"/>
  <c r="AR101" i="23"/>
  <c r="AL78" i="23"/>
  <c r="AU78" i="23"/>
  <c r="BD71" i="23"/>
  <c r="AQ121" i="23"/>
  <c r="AV85" i="23"/>
  <c r="AY85" i="23"/>
  <c r="AZ71" i="23"/>
  <c r="AS120" i="23"/>
  <c r="AX120" i="23"/>
  <c r="AJ120" i="23"/>
  <c r="AS71" i="23"/>
  <c r="BC71" i="23"/>
  <c r="I18" i="24"/>
  <c r="I23" i="10"/>
  <c r="AI85" i="23"/>
  <c r="AZ120" i="23"/>
  <c r="AF69" i="24"/>
  <c r="AD77" i="24"/>
  <c r="AG77" i="24"/>
  <c r="AG69" i="24"/>
  <c r="X80" i="24"/>
  <c r="AH88" i="24"/>
  <c r="AC80" i="24"/>
  <c r="AV98" i="23"/>
  <c r="AL74" i="23"/>
  <c r="AV71" i="23"/>
  <c r="BD85" i="23"/>
  <c r="BC85" i="23"/>
  <c r="AJ71" i="23"/>
  <c r="AW120" i="23"/>
  <c r="BB120" i="23"/>
  <c r="I20" i="10"/>
  <c r="I50" i="14"/>
  <c r="I13" i="14"/>
  <c r="AB66" i="24"/>
  <c r="AF66" i="24"/>
  <c r="X66" i="24"/>
  <c r="Y66" i="24"/>
  <c r="AD66" i="24"/>
  <c r="AG66" i="24"/>
  <c r="AA66" i="24"/>
  <c r="AC66" i="24"/>
  <c r="AC87" i="24"/>
  <c r="Y87" i="24"/>
  <c r="AE87" i="24"/>
  <c r="X87" i="24"/>
  <c r="AA87" i="24"/>
  <c r="AF87" i="24"/>
  <c r="AH87" i="24"/>
  <c r="AB87" i="24"/>
  <c r="AD87" i="24"/>
  <c r="AG87" i="24"/>
  <c r="Z87" i="24"/>
  <c r="AV80" i="23"/>
  <c r="AO80" i="23"/>
  <c r="AK80" i="23"/>
  <c r="AY80" i="23"/>
  <c r="AU80" i="23"/>
  <c r="AX80" i="23"/>
  <c r="AG74" i="24"/>
  <c r="AT74" i="23"/>
  <c r="AW74" i="23"/>
  <c r="I36" i="13"/>
  <c r="I25" i="10"/>
  <c r="I50" i="9"/>
  <c r="I45" i="9"/>
  <c r="I34" i="23"/>
  <c r="R96" i="23" s="1"/>
  <c r="I13" i="9"/>
  <c r="I9" i="11"/>
  <c r="I61" i="23"/>
  <c r="AL123" i="23" s="1"/>
  <c r="I29" i="8"/>
  <c r="I18" i="6"/>
  <c r="BC102" i="23"/>
  <c r="AI74" i="23"/>
  <c r="AJ74" i="23"/>
  <c r="I41" i="10"/>
  <c r="I25" i="12"/>
  <c r="I20" i="11"/>
  <c r="I50" i="23"/>
  <c r="AZ112" i="23" s="1"/>
  <c r="I45" i="23"/>
  <c r="I13" i="23"/>
  <c r="I9" i="24"/>
  <c r="I29" i="9"/>
  <c r="I18" i="14"/>
  <c r="AM74" i="23"/>
  <c r="I41" i="11"/>
  <c r="I25" i="24"/>
  <c r="I20" i="12"/>
  <c r="I34" i="7"/>
  <c r="I61" i="7"/>
  <c r="M80" i="6" s="1"/>
  <c r="I29" i="14"/>
  <c r="I18" i="8"/>
  <c r="BB76" i="23"/>
  <c r="AQ74" i="23"/>
  <c r="I41" i="12"/>
  <c r="I20" i="13"/>
  <c r="I34" i="6"/>
  <c r="I61" i="8"/>
  <c r="I29" i="23"/>
  <c r="I18" i="9"/>
  <c r="AA74" i="24"/>
  <c r="AK74" i="23"/>
  <c r="AU74" i="23"/>
  <c r="I36" i="10"/>
  <c r="I50" i="6"/>
  <c r="I45" i="7"/>
  <c r="I34" i="8"/>
  <c r="I13" i="6"/>
  <c r="I61" i="6"/>
  <c r="AF74" i="24"/>
  <c r="AO74" i="23"/>
  <c r="AY74" i="23"/>
  <c r="AX74" i="23"/>
  <c r="I36" i="11"/>
  <c r="I50" i="8"/>
  <c r="I45" i="8"/>
  <c r="I34" i="14"/>
  <c r="I13" i="7"/>
  <c r="I9" i="13"/>
  <c r="I61" i="9"/>
  <c r="I32" i="8"/>
  <c r="Y74" i="24"/>
  <c r="BB74" i="23"/>
  <c r="AS74" i="23"/>
  <c r="BC74" i="23"/>
  <c r="X85" i="24"/>
  <c r="Y85" i="24"/>
  <c r="AE85" i="24"/>
  <c r="AF85" i="24"/>
  <c r="AA85" i="24"/>
  <c r="AB85" i="24"/>
  <c r="AH85" i="24"/>
  <c r="AD85" i="24"/>
  <c r="Z85" i="24"/>
  <c r="AC85" i="24"/>
  <c r="AG85" i="24"/>
  <c r="AL117" i="23"/>
  <c r="AV117" i="23"/>
  <c r="AU117" i="23"/>
  <c r="AZ117" i="23"/>
  <c r="BA117" i="23"/>
  <c r="AR117" i="23"/>
  <c r="AM117" i="23"/>
  <c r="AJ117" i="23"/>
  <c r="AW117" i="23"/>
  <c r="AN117" i="23"/>
  <c r="AS117" i="23"/>
  <c r="BB117" i="23"/>
  <c r="AO117" i="23"/>
  <c r="AY117" i="23"/>
  <c r="AX117" i="23"/>
  <c r="AK117" i="23"/>
  <c r="AI117" i="23"/>
  <c r="BC117" i="23"/>
  <c r="AT117" i="23"/>
  <c r="BD117" i="23"/>
  <c r="AQ117" i="23"/>
  <c r="AP117" i="23"/>
  <c r="BB81" i="23"/>
  <c r="Y88" i="24"/>
  <c r="Z83" i="24"/>
  <c r="AT76" i="23"/>
  <c r="AP102" i="23"/>
  <c r="AW102" i="23"/>
  <c r="AR115" i="23"/>
  <c r="BA115" i="23"/>
  <c r="AZ81" i="23"/>
  <c r="BD69" i="23"/>
  <c r="AN81" i="23"/>
  <c r="AU81" i="23"/>
  <c r="BC69" i="23"/>
  <c r="AR92" i="23"/>
  <c r="AU92" i="23"/>
  <c r="AM76" i="23"/>
  <c r="I34" i="11"/>
  <c r="I18" i="11"/>
  <c r="I48" i="23"/>
  <c r="AZ110" i="23" s="1"/>
  <c r="I32" i="14"/>
  <c r="I25" i="7"/>
  <c r="I11" i="14"/>
  <c r="Z61" i="24"/>
  <c r="Z88" i="24"/>
  <c r="Y79" i="24"/>
  <c r="AW69" i="23"/>
  <c r="AC74" i="24"/>
  <c r="AG52" i="24"/>
  <c r="AH64" i="24"/>
  <c r="AD88" i="24"/>
  <c r="AC88" i="24"/>
  <c r="Y80" i="24"/>
  <c r="AD83" i="24"/>
  <c r="AD79" i="24"/>
  <c r="AL76" i="23"/>
  <c r="AL72" i="23"/>
  <c r="AS69" i="23"/>
  <c r="AX102" i="23"/>
  <c r="BA102" i="23"/>
  <c r="AM115" i="23"/>
  <c r="AV115" i="23"/>
  <c r="AL115" i="23"/>
  <c r="AZ76" i="23"/>
  <c r="AJ72" i="23"/>
  <c r="AZ69" i="23"/>
  <c r="AN113" i="23"/>
  <c r="AW113" i="23"/>
  <c r="AV81" i="23"/>
  <c r="AY81" i="23"/>
  <c r="AY69" i="23"/>
  <c r="AZ104" i="23"/>
  <c r="AY104" i="23"/>
  <c r="AZ92" i="23"/>
  <c r="AY92" i="23"/>
  <c r="AQ76" i="23"/>
  <c r="I34" i="12"/>
  <c r="I18" i="12"/>
  <c r="I23" i="13"/>
  <c r="I55" i="6"/>
  <c r="I25" i="8"/>
  <c r="I11" i="8"/>
  <c r="BA81" i="23"/>
  <c r="AB61" i="24"/>
  <c r="Z79" i="24"/>
  <c r="AJ102" i="23"/>
  <c r="AU115" i="23"/>
  <c r="AZ115" i="23"/>
  <c r="AP115" i="23"/>
  <c r="AR76" i="23"/>
  <c r="AV69" i="23"/>
  <c r="BD81" i="23"/>
  <c r="BC81" i="23"/>
  <c r="AU69" i="23"/>
  <c r="AL92" i="23"/>
  <c r="BC92" i="23"/>
  <c r="AK76" i="23"/>
  <c r="AU76" i="23"/>
  <c r="I23" i="12"/>
  <c r="I7" i="24"/>
  <c r="AC53" i="24" s="1"/>
  <c r="AF79" i="24"/>
  <c r="AK81" i="23"/>
  <c r="AO76" i="23"/>
  <c r="AD52" i="24"/>
  <c r="AE74" i="24"/>
  <c r="AE61" i="24"/>
  <c r="AE88" i="24"/>
  <c r="AH80" i="24"/>
  <c r="Y64" i="24"/>
  <c r="AF83" i="24"/>
  <c r="AE83" i="24"/>
  <c r="AB79" i="24"/>
  <c r="AW70" i="23"/>
  <c r="AI102" i="23"/>
  <c r="AY115" i="23"/>
  <c r="AK115" i="23"/>
  <c r="AX115" i="23"/>
  <c r="AN69" i="23"/>
  <c r="AM113" i="23"/>
  <c r="AZ113" i="23"/>
  <c r="AP113" i="23"/>
  <c r="AX81" i="23"/>
  <c r="AO81" i="23"/>
  <c r="AX76" i="23"/>
  <c r="AM69" i="23"/>
  <c r="BB104" i="23"/>
  <c r="AO104" i="23"/>
  <c r="BB92" i="23"/>
  <c r="AO92" i="23"/>
  <c r="AS76" i="23"/>
  <c r="BC76" i="23"/>
  <c r="BB123" i="23"/>
  <c r="I39" i="11"/>
  <c r="I59" i="7"/>
  <c r="I48" i="8"/>
  <c r="I27" i="6"/>
  <c r="I16" i="7"/>
  <c r="I43" i="8"/>
  <c r="AL102" i="23"/>
  <c r="AP81" i="23"/>
  <c r="AY76" i="23"/>
  <c r="Z52" i="24"/>
  <c r="X74" i="24"/>
  <c r="AA61" i="24"/>
  <c r="Z74" i="24"/>
  <c r="AF52" i="24"/>
  <c r="X88" i="24"/>
  <c r="Y83" i="24"/>
  <c r="X79" i="24"/>
  <c r="AG79" i="24"/>
  <c r="BD92" i="23"/>
  <c r="AS70" i="23"/>
  <c r="AM102" i="23"/>
  <c r="AQ115" i="23"/>
  <c r="AO115" i="23"/>
  <c r="BB115" i="23"/>
  <c r="BD70" i="23"/>
  <c r="AJ69" i="23"/>
  <c r="AQ113" i="23"/>
  <c r="BD113" i="23"/>
  <c r="AT113" i="23"/>
  <c r="AL81" i="23"/>
  <c r="AI81" i="23"/>
  <c r="AS81" i="23"/>
  <c r="AV102" i="23"/>
  <c r="AP76" i="23"/>
  <c r="AP104" i="23"/>
  <c r="AI104" i="23"/>
  <c r="AS104" i="23"/>
  <c r="AP92" i="23"/>
  <c r="AI92" i="23"/>
  <c r="AS92" i="23"/>
  <c r="AW76" i="23"/>
  <c r="AO72" i="23"/>
  <c r="I39" i="12"/>
  <c r="I48" i="9"/>
  <c r="I27" i="9"/>
  <c r="I16" i="8"/>
  <c r="I43" i="14"/>
  <c r="I57" i="8"/>
  <c r="I55" i="9"/>
  <c r="I14" i="8"/>
  <c r="AQ81" i="23"/>
  <c r="X61" i="24"/>
  <c r="AJ76" i="23"/>
  <c r="AB74" i="24"/>
  <c r="AC79" i="24"/>
  <c r="AO70" i="23"/>
  <c r="AJ115" i="23"/>
  <c r="AS115" i="23"/>
  <c r="AV92" i="23"/>
  <c r="AZ70" i="23"/>
  <c r="AI113" i="23"/>
  <c r="AK113" i="23"/>
  <c r="AX113" i="23"/>
  <c r="AT81" i="23"/>
  <c r="AM81" i="23"/>
  <c r="AX104" i="23"/>
  <c r="AM104" i="23"/>
  <c r="AW104" i="23"/>
  <c r="AX92" i="23"/>
  <c r="AM92" i="23"/>
  <c r="AK123" i="23"/>
  <c r="I27" i="14"/>
  <c r="I16" i="9"/>
  <c r="I43" i="23"/>
  <c r="AK105" i="23" s="1"/>
  <c r="I32" i="7"/>
  <c r="AY98" i="23"/>
  <c r="AL98" i="23"/>
  <c r="BA98" i="23"/>
  <c r="AU98" i="23"/>
  <c r="AZ98" i="23"/>
  <c r="AW98" i="23"/>
  <c r="AQ98" i="23"/>
  <c r="AR98" i="23"/>
  <c r="AO98" i="23"/>
  <c r="AI98" i="23"/>
  <c r="AX98" i="23"/>
  <c r="AK98" i="23"/>
  <c r="R98" i="23"/>
  <c r="AP98" i="23"/>
  <c r="AY99" i="23"/>
  <c r="BD99" i="23"/>
  <c r="BA99" i="23"/>
  <c r="AU99" i="23"/>
  <c r="AV99" i="23"/>
  <c r="AW99" i="23"/>
  <c r="AQ99" i="23"/>
  <c r="AN99" i="23"/>
  <c r="AO99" i="23"/>
  <c r="AI99" i="23"/>
  <c r="AT99" i="23"/>
  <c r="AK99" i="23"/>
  <c r="R99" i="23"/>
  <c r="AL99" i="23"/>
  <c r="AZ99" i="23"/>
  <c r="I40" i="10"/>
  <c r="I40" i="24"/>
  <c r="I40" i="13"/>
  <c r="I24" i="24"/>
  <c r="I24" i="13"/>
  <c r="I24" i="11"/>
  <c r="I24" i="10"/>
  <c r="I8" i="24"/>
  <c r="AH54" i="24" s="1"/>
  <c r="I8" i="13"/>
  <c r="I8" i="12"/>
  <c r="I49" i="23"/>
  <c r="I49" i="14"/>
  <c r="I49" i="9"/>
  <c r="I49" i="8"/>
  <c r="I49" i="7"/>
  <c r="I33" i="23"/>
  <c r="I33" i="14"/>
  <c r="I33" i="9"/>
  <c r="I33" i="7"/>
  <c r="I33" i="6"/>
  <c r="I17" i="23"/>
  <c r="I17" i="14"/>
  <c r="I17" i="9"/>
  <c r="I17" i="8"/>
  <c r="I45" i="10"/>
  <c r="I45" i="13"/>
  <c r="I45" i="24"/>
  <c r="I29" i="10"/>
  <c r="I29" i="13"/>
  <c r="I29" i="24"/>
  <c r="I13" i="12"/>
  <c r="I13" i="11"/>
  <c r="I54" i="23"/>
  <c r="I54" i="14"/>
  <c r="I54" i="9"/>
  <c r="I54" i="7"/>
  <c r="I38" i="6"/>
  <c r="I38" i="7"/>
  <c r="I38" i="23"/>
  <c r="I38" i="14"/>
  <c r="I22" i="8"/>
  <c r="I22" i="14"/>
  <c r="I22" i="7"/>
  <c r="I22" i="6"/>
  <c r="AT118" i="23"/>
  <c r="AM98" i="23"/>
  <c r="BC99" i="23"/>
  <c r="I22" i="23"/>
  <c r="AZ101" i="23"/>
  <c r="BA101" i="23"/>
  <c r="AU101" i="23"/>
  <c r="AV101" i="23"/>
  <c r="AJ101" i="23"/>
  <c r="AW101" i="23"/>
  <c r="AQ101" i="23"/>
  <c r="AN101" i="23"/>
  <c r="AS101" i="23"/>
  <c r="AM101" i="23"/>
  <c r="BB101" i="23"/>
  <c r="AK101" i="23"/>
  <c r="R101" i="23"/>
  <c r="AL101" i="23"/>
  <c r="P101" i="23"/>
  <c r="AX101" i="23"/>
  <c r="AQ72" i="23"/>
  <c r="AM72" i="23"/>
  <c r="AI72" i="23"/>
  <c r="AW72" i="23"/>
  <c r="AR72" i="23"/>
  <c r="BC72" i="23"/>
  <c r="AS72" i="23"/>
  <c r="AP72" i="23"/>
  <c r="AZ72" i="23"/>
  <c r="I38" i="24"/>
  <c r="I38" i="11"/>
  <c r="I38" i="10"/>
  <c r="I22" i="24"/>
  <c r="I22" i="12"/>
  <c r="I22" i="11"/>
  <c r="I22" i="10"/>
  <c r="I22" i="13"/>
  <c r="I6" i="11"/>
  <c r="I6" i="10"/>
  <c r="I6" i="13"/>
  <c r="I47" i="23"/>
  <c r="I47" i="9"/>
  <c r="I47" i="14"/>
  <c r="I47" i="8"/>
  <c r="I31" i="23"/>
  <c r="I31" i="9"/>
  <c r="I31" i="8"/>
  <c r="I31" i="14"/>
  <c r="I15" i="14"/>
  <c r="I15" i="7"/>
  <c r="I15" i="9"/>
  <c r="I43" i="12"/>
  <c r="I43" i="11"/>
  <c r="I27" i="24"/>
  <c r="AF73" i="24" s="1"/>
  <c r="I27" i="12"/>
  <c r="I27" i="11"/>
  <c r="I27" i="13"/>
  <c r="I11" i="11"/>
  <c r="I11" i="10"/>
  <c r="I11" i="13"/>
  <c r="I52" i="14"/>
  <c r="I52" i="7"/>
  <c r="I52" i="9"/>
  <c r="I52" i="6"/>
  <c r="I52" i="8"/>
  <c r="I36" i="9"/>
  <c r="I36" i="6"/>
  <c r="I36" i="8"/>
  <c r="I36" i="7"/>
  <c r="I20" i="8"/>
  <c r="I20" i="7"/>
  <c r="I20" i="23"/>
  <c r="I20" i="14"/>
  <c r="BC98" i="23"/>
  <c r="AT101" i="23"/>
  <c r="AR99" i="23"/>
  <c r="AU72" i="23"/>
  <c r="P99" i="23"/>
  <c r="I43" i="13"/>
  <c r="I13" i="13"/>
  <c r="I15" i="23"/>
  <c r="AZ77" i="23" s="1"/>
  <c r="P98" i="23"/>
  <c r="AS99" i="23"/>
  <c r="I45" i="11"/>
  <c r="I13" i="10"/>
  <c r="I54" i="6"/>
  <c r="BC121" i="23"/>
  <c r="AT121" i="23"/>
  <c r="AY121" i="23"/>
  <c r="AP121" i="23"/>
  <c r="BD121" i="23"/>
  <c r="AU121" i="23"/>
  <c r="AL121" i="23"/>
  <c r="AV121" i="23"/>
  <c r="AM121" i="23"/>
  <c r="AO121" i="23"/>
  <c r="AR121" i="23"/>
  <c r="AI121" i="23"/>
  <c r="BA121" i="23"/>
  <c r="BD89" i="23"/>
  <c r="BC78" i="23"/>
  <c r="AS78" i="23"/>
  <c r="AP78" i="23"/>
  <c r="AY78" i="23"/>
  <c r="AO78" i="23"/>
  <c r="AZ78" i="23"/>
  <c r="BB78" i="23"/>
  <c r="AK78" i="23"/>
  <c r="AJ78" i="23"/>
  <c r="AQ78" i="23"/>
  <c r="AR78" i="23"/>
  <c r="AM78" i="23"/>
  <c r="AS98" i="23"/>
  <c r="AP101" i="23"/>
  <c r="I45" i="12"/>
  <c r="I43" i="24"/>
  <c r="I13" i="24"/>
  <c r="I54" i="8"/>
  <c r="I17" i="6"/>
  <c r="AI87" i="23"/>
  <c r="AL87" i="23"/>
  <c r="AV87" i="23"/>
  <c r="AU87" i="23"/>
  <c r="AI101" i="23"/>
  <c r="BB99" i="23"/>
  <c r="I27" i="10"/>
  <c r="I11" i="12"/>
  <c r="I38" i="8"/>
  <c r="AV88" i="23"/>
  <c r="AU88" i="23"/>
  <c r="AR88" i="23"/>
  <c r="BD88" i="23"/>
  <c r="BA88" i="23"/>
  <c r="AQ88" i="23"/>
  <c r="AJ88" i="23"/>
  <c r="AW88" i="23"/>
  <c r="AM88" i="23"/>
  <c r="AX88" i="23"/>
  <c r="AO88" i="23"/>
  <c r="BB88" i="23"/>
  <c r="AK88" i="23"/>
  <c r="AT88" i="23"/>
  <c r="I17" i="7"/>
  <c r="AL118" i="23"/>
  <c r="BB110" i="23"/>
  <c r="AJ98" i="23"/>
  <c r="AP99" i="23"/>
  <c r="I38" i="13"/>
  <c r="I11" i="24"/>
  <c r="AG57" i="24" s="1"/>
  <c r="AS102" i="23"/>
  <c r="AO102" i="23"/>
  <c r="BB102" i="23"/>
  <c r="AK102" i="23"/>
  <c r="AT102" i="23"/>
  <c r="AY102" i="23"/>
  <c r="AZ102" i="23"/>
  <c r="AU102" i="23"/>
  <c r="AR102" i="23"/>
  <c r="I20" i="9"/>
  <c r="I8" i="10"/>
  <c r="I38" i="9"/>
  <c r="AY70" i="23"/>
  <c r="BC70" i="23"/>
  <c r="AJ70" i="23"/>
  <c r="AI70" i="23"/>
  <c r="AR70" i="23"/>
  <c r="AM70" i="23"/>
  <c r="AV70" i="23"/>
  <c r="I52" i="23"/>
  <c r="AJ99" i="23"/>
  <c r="AT98" i="23"/>
  <c r="BC101" i="23"/>
  <c r="AK72" i="23"/>
  <c r="AX99" i="23"/>
  <c r="I40" i="11"/>
  <c r="I38" i="12"/>
  <c r="I33" i="8"/>
  <c r="I20" i="6"/>
  <c r="I29" i="11"/>
  <c r="I8" i="11"/>
  <c r="I36" i="14"/>
  <c r="I47" i="6"/>
  <c r="I49" i="6"/>
  <c r="I59" i="6"/>
  <c r="I27" i="7"/>
  <c r="I16" i="6"/>
  <c r="I23" i="11"/>
  <c r="I43" i="9"/>
  <c r="I32" i="9"/>
  <c r="I11" i="23"/>
  <c r="AR73" i="23" s="1"/>
  <c r="I59" i="8"/>
  <c r="I27" i="8"/>
  <c r="I16" i="14"/>
  <c r="I7" i="13"/>
  <c r="I32" i="23"/>
  <c r="P14" i="5"/>
  <c r="P17" i="5" s="1"/>
  <c r="I59" i="14"/>
  <c r="I7" i="10"/>
  <c r="I11" i="9"/>
  <c r="P13" i="5"/>
  <c r="P16" i="5" s="1"/>
  <c r="I59" i="9"/>
  <c r="I7" i="11"/>
  <c r="I43" i="6"/>
  <c r="I11" i="6"/>
  <c r="P12" i="5"/>
  <c r="P15" i="5" s="1"/>
  <c r="F4" i="5"/>
  <c r="E4" i="5"/>
  <c r="F30" i="5"/>
  <c r="E30" i="5"/>
  <c r="AH81" i="24"/>
  <c r="Z81" i="24"/>
  <c r="AH66" i="24"/>
  <c r="AE66" i="24"/>
  <c r="Z66" i="24"/>
  <c r="AH60" i="24"/>
  <c r="AA60" i="24"/>
  <c r="AE60" i="24"/>
  <c r="BD86" i="23"/>
  <c r="AN86" i="23"/>
  <c r="AR81" i="23"/>
  <c r="AJ81" i="23"/>
  <c r="AZ74" i="23"/>
  <c r="BD74" i="23"/>
  <c r="AV74" i="23"/>
  <c r="AN74" i="23"/>
  <c r="AX68" i="23"/>
  <c r="AH56" i="24"/>
  <c r="AE56" i="24"/>
  <c r="AA56" i="24"/>
  <c r="AR97" i="23"/>
  <c r="AJ97" i="23"/>
  <c r="AA5" i="9"/>
  <c r="AA30" i="9"/>
  <c r="AA14" i="9"/>
  <c r="AA38" i="9"/>
  <c r="AA21" i="9"/>
  <c r="AA32" i="9"/>
  <c r="AA20" i="9"/>
  <c r="AA31" i="9"/>
  <c r="AA51" i="9"/>
  <c r="AA50" i="9"/>
  <c r="X12" i="21"/>
  <c r="AF12" i="21" s="1"/>
  <c r="X10" i="21"/>
  <c r="AF10" i="21" s="1"/>
  <c r="BD102" i="23"/>
  <c r="AN102" i="23"/>
  <c r="AJ77" i="23"/>
  <c r="BA69" i="23"/>
  <c r="AX69" i="23"/>
  <c r="AT69" i="23"/>
  <c r="AP69" i="23"/>
  <c r="BB69" i="23"/>
  <c r="AL69" i="23"/>
  <c r="AF61" i="24"/>
  <c r="AG61" i="24"/>
  <c r="AC61" i="24"/>
  <c r="Y61" i="24"/>
  <c r="AF64" i="24"/>
  <c r="AA64" i="24"/>
  <c r="AH52" i="24"/>
  <c r="AE52" i="24"/>
  <c r="AA52" i="24"/>
  <c r="AN98" i="23"/>
  <c r="BD98" i="23"/>
  <c r="BD78" i="23"/>
  <c r="AV78" i="23"/>
  <c r="AN78" i="23"/>
  <c r="BA70" i="23"/>
  <c r="AT70" i="23"/>
  <c r="AP70" i="23"/>
  <c r="BB70" i="23"/>
  <c r="AL70" i="23"/>
  <c r="AX70" i="23"/>
  <c r="AN76" i="23"/>
  <c r="BD76" i="23"/>
  <c r="AV76" i="23"/>
  <c r="AH58" i="24"/>
  <c r="AE58" i="24"/>
  <c r="AA58" i="24"/>
  <c r="AV72" i="23"/>
  <c r="AN72" i="23"/>
  <c r="BD72" i="23"/>
  <c r="AA25" i="9"/>
  <c r="AA44" i="9"/>
  <c r="AA22" i="9"/>
  <c r="AA29" i="9"/>
  <c r="AA37" i="9"/>
  <c r="AA47" i="9"/>
  <c r="AA55" i="9"/>
  <c r="AA48" i="9"/>
  <c r="AA59" i="9"/>
  <c r="AA61" i="9"/>
  <c r="AA33" i="9"/>
  <c r="AA40" i="9"/>
  <c r="AA42" i="9"/>
  <c r="AA57" i="9"/>
  <c r="AA52" i="9"/>
  <c r="Z52" i="12"/>
  <c r="X11" i="21"/>
  <c r="AF11" i="21" s="1"/>
  <c r="S48" i="13"/>
  <c r="S48" i="12"/>
  <c r="S48" i="11"/>
  <c r="S48" i="10"/>
  <c r="F37" i="5"/>
  <c r="R50" i="13"/>
  <c r="R50" i="12"/>
  <c r="R50" i="10"/>
  <c r="R50" i="11"/>
  <c r="E37" i="5"/>
  <c r="R49" i="13"/>
  <c r="R49" i="12"/>
  <c r="R49" i="11"/>
  <c r="R49" i="10"/>
  <c r="R52" i="12"/>
  <c r="R51" i="12" s="1"/>
  <c r="AL66" i="9"/>
  <c r="AL66" i="8"/>
  <c r="AL68" i="6"/>
  <c r="AL66" i="7"/>
  <c r="AH68" i="8"/>
  <c r="AL65" i="9"/>
  <c r="AL65" i="8"/>
  <c r="AL67" i="6"/>
  <c r="AL65" i="7"/>
  <c r="AI68" i="8"/>
  <c r="AJ68" i="8"/>
  <c r="R52" i="11"/>
  <c r="R51" i="11" s="1"/>
  <c r="AJ10" i="16" l="1"/>
  <c r="AT10" i="16"/>
  <c r="AO10" i="16"/>
  <c r="AR77" i="23"/>
  <c r="AM118" i="23"/>
  <c r="BD80" i="23"/>
  <c r="AQ80" i="23"/>
  <c r="BB77" i="23"/>
  <c r="AN123" i="23"/>
  <c r="AZ80" i="23"/>
  <c r="BB80" i="23"/>
  <c r="AS123" i="23"/>
  <c r="AY123" i="23"/>
  <c r="AM80" i="23"/>
  <c r="AL80" i="23"/>
  <c r="BA80" i="23"/>
  <c r="AO103" i="23"/>
  <c r="AR123" i="23"/>
  <c r="AP123" i="23"/>
  <c r="BD123" i="23"/>
  <c r="AW80" i="23"/>
  <c r="BC80" i="23"/>
  <c r="AP80" i="23"/>
  <c r="AW103" i="23"/>
  <c r="AI123" i="23"/>
  <c r="AU123" i="23"/>
  <c r="AN80" i="23"/>
  <c r="AJ80" i="23"/>
  <c r="AI80" i="23"/>
  <c r="BC103" i="23"/>
  <c r="AZ118" i="23"/>
  <c r="AM123" i="23"/>
  <c r="AW123" i="23"/>
  <c r="AR80" i="23"/>
  <c r="AT80" i="23"/>
  <c r="BA118" i="23"/>
  <c r="Y67" i="24"/>
  <c r="AM68" i="23"/>
  <c r="AP103" i="23"/>
  <c r="BB68" i="23"/>
  <c r="AY87" i="23"/>
  <c r="AS87" i="23"/>
  <c r="BB89" i="23"/>
  <c r="AP89" i="23"/>
  <c r="BB118" i="23"/>
  <c r="AE67" i="24"/>
  <c r="AX90" i="23"/>
  <c r="X67" i="24"/>
  <c r="AW68" i="23"/>
  <c r="AR68" i="23"/>
  <c r="AI103" i="23"/>
  <c r="AN103" i="23"/>
  <c r="AK103" i="23"/>
  <c r="AB88" i="24"/>
  <c r="AF88" i="24"/>
  <c r="AA88" i="24"/>
  <c r="AL68" i="23"/>
  <c r="BA68" i="23"/>
  <c r="AW118" i="23"/>
  <c r="AP87" i="23"/>
  <c r="AJ87" i="23"/>
  <c r="BD118" i="23"/>
  <c r="AQ89" i="23"/>
  <c r="AK89" i="23"/>
  <c r="AO118" i="23"/>
  <c r="Z67" i="24"/>
  <c r="Z62" i="24"/>
  <c r="AI89" i="23"/>
  <c r="AH67" i="24"/>
  <c r="BD68" i="23"/>
  <c r="AI68" i="23"/>
  <c r="AS103" i="23"/>
  <c r="AU103" i="23"/>
  <c r="AR103" i="23"/>
  <c r="AS68" i="23"/>
  <c r="AU113" i="23"/>
  <c r="AJ113" i="23"/>
  <c r="AU70" i="23"/>
  <c r="AK70" i="23"/>
  <c r="AN70" i="23"/>
  <c r="AQ70" i="23"/>
  <c r="BC89" i="23"/>
  <c r="AL103" i="23"/>
  <c r="AJ89" i="23"/>
  <c r="AI118" i="23"/>
  <c r="AK87" i="23"/>
  <c r="AQ118" i="23"/>
  <c r="BA89" i="23"/>
  <c r="AX89" i="23"/>
  <c r="AV118" i="23"/>
  <c r="M79" i="6"/>
  <c r="AM89" i="23"/>
  <c r="AZ68" i="23"/>
  <c r="AN68" i="23"/>
  <c r="AJ103" i="23"/>
  <c r="BB103" i="23"/>
  <c r="AH72" i="24"/>
  <c r="X72" i="24"/>
  <c r="Z72" i="24"/>
  <c r="AU118" i="23"/>
  <c r="AR87" i="23"/>
  <c r="AK118" i="23"/>
  <c r="AN89" i="23"/>
  <c r="AO89" i="23"/>
  <c r="AX118" i="23"/>
  <c r="AA67" i="24"/>
  <c r="AJ68" i="23"/>
  <c r="AB67" i="24"/>
  <c r="AZ103" i="23"/>
  <c r="AV103" i="23"/>
  <c r="AC56" i="24"/>
  <c r="Y56" i="24"/>
  <c r="AV89" i="23"/>
  <c r="BC118" i="23"/>
  <c r="AP118" i="23"/>
  <c r="AR89" i="23"/>
  <c r="AP68" i="23"/>
  <c r="AS118" i="23"/>
  <c r="AX87" i="23"/>
  <c r="AU89" i="23"/>
  <c r="AJ118" i="23"/>
  <c r="AL67" i="23"/>
  <c r="BA90" i="23"/>
  <c r="AD67" i="24"/>
  <c r="AG67" i="24"/>
  <c r="AS89" i="23"/>
  <c r="AV68" i="23"/>
  <c r="AY68" i="23"/>
  <c r="BC68" i="23"/>
  <c r="AK68" i="23"/>
  <c r="AO68" i="23"/>
  <c r="AC67" i="24"/>
  <c r="AQ103" i="23"/>
  <c r="AT103" i="23"/>
  <c r="AY103" i="23"/>
  <c r="BA103" i="23"/>
  <c r="AT68" i="23"/>
  <c r="AY118" i="23"/>
  <c r="AN87" i="23"/>
  <c r="BC67" i="23"/>
  <c r="AR118" i="23"/>
  <c r="AQ68" i="23"/>
  <c r="AX103" i="23"/>
  <c r="AM103" i="23"/>
  <c r="BB108" i="23"/>
  <c r="AL108" i="23"/>
  <c r="AW108" i="23"/>
  <c r="AU108" i="23"/>
  <c r="AO69" i="23"/>
  <c r="AV108" i="23"/>
  <c r="AN108" i="23"/>
  <c r="AK69" i="23"/>
  <c r="Z65" i="24"/>
  <c r="AY108" i="23"/>
  <c r="AS108" i="23"/>
  <c r="AA54" i="24"/>
  <c r="AF65" i="24"/>
  <c r="AZ108" i="23"/>
  <c r="AO108" i="23"/>
  <c r="AJ108" i="23"/>
  <c r="AE54" i="24"/>
  <c r="AI108" i="23"/>
  <c r="AT119" i="23"/>
  <c r="BA108" i="23"/>
  <c r="AQ119" i="23"/>
  <c r="AC57" i="24"/>
  <c r="AF57" i="24"/>
  <c r="AW67" i="23"/>
  <c r="AV67" i="23"/>
  <c r="AI67" i="23"/>
  <c r="BD96" i="23"/>
  <c r="AM90" i="23"/>
  <c r="AX96" i="23"/>
  <c r="AV119" i="23"/>
  <c r="BC119" i="23"/>
  <c r="AZ119" i="23"/>
  <c r="AU106" i="23"/>
  <c r="AQ106" i="23"/>
  <c r="BB106" i="23"/>
  <c r="AC51" i="24"/>
  <c r="G10" i="26" s="1"/>
  <c r="AW92" i="23"/>
  <c r="AB78" i="24"/>
  <c r="AY89" i="23"/>
  <c r="AW89" i="23"/>
  <c r="AL89" i="23"/>
  <c r="AY67" i="23"/>
  <c r="BD67" i="23"/>
  <c r="AN67" i="23"/>
  <c r="AR90" i="23"/>
  <c r="AQ90" i="23"/>
  <c r="BB90" i="23"/>
  <c r="BD119" i="23"/>
  <c r="BA119" i="23"/>
  <c r="X69" i="24"/>
  <c r="AH69" i="24"/>
  <c r="AB69" i="24"/>
  <c r="AD69" i="24"/>
  <c r="Z69" i="24"/>
  <c r="AS67" i="23"/>
  <c r="AU67" i="23"/>
  <c r="BB67" i="23"/>
  <c r="AJ90" i="23"/>
  <c r="AU119" i="23"/>
  <c r="AC65" i="24"/>
  <c r="AB65" i="24"/>
  <c r="AH65" i="24"/>
  <c r="Y65" i="24"/>
  <c r="AE65" i="24"/>
  <c r="AD65" i="24"/>
  <c r="AA65" i="24"/>
  <c r="X65" i="24"/>
  <c r="AU90" i="23"/>
  <c r="AS90" i="23"/>
  <c r="AV90" i="23"/>
  <c r="AL90" i="23"/>
  <c r="AP90" i="23"/>
  <c r="AZ90" i="23"/>
  <c r="BD90" i="23"/>
  <c r="AM67" i="23"/>
  <c r="AZ67" i="23"/>
  <c r="AT67" i="23"/>
  <c r="AL119" i="23"/>
  <c r="AY106" i="23"/>
  <c r="AB51" i="24"/>
  <c r="AT92" i="23"/>
  <c r="AG78" i="24"/>
  <c r="AF60" i="24"/>
  <c r="AD60" i="24"/>
  <c r="Z60" i="24"/>
  <c r="Y60" i="24"/>
  <c r="AB60" i="24"/>
  <c r="AC60" i="24"/>
  <c r="X60" i="24"/>
  <c r="AG60" i="24"/>
  <c r="Z76" i="24"/>
  <c r="AF76" i="24"/>
  <c r="Y76" i="24"/>
  <c r="AP74" i="23"/>
  <c r="BA74" i="23"/>
  <c r="AJ121" i="23"/>
  <c r="AW121" i="23"/>
  <c r="AK121" i="23"/>
  <c r="AZ121" i="23"/>
  <c r="AN90" i="23"/>
  <c r="Y57" i="24"/>
  <c r="AK67" i="23"/>
  <c r="AQ67" i="23"/>
  <c r="AJ67" i="23"/>
  <c r="BC90" i="23"/>
  <c r="AI90" i="23"/>
  <c r="AY119" i="23"/>
  <c r="AK119" i="23"/>
  <c r="AK122" i="23"/>
  <c r="BD122" i="23"/>
  <c r="AU122" i="23"/>
  <c r="AL122" i="23"/>
  <c r="BA122" i="23"/>
  <c r="AY122" i="23"/>
  <c r="AZ122" i="23"/>
  <c r="AQ122" i="23"/>
  <c r="AW122" i="23"/>
  <c r="AP122" i="23"/>
  <c r="AV122" i="23"/>
  <c r="AM122" i="23"/>
  <c r="AS122" i="23"/>
  <c r="AR122" i="23"/>
  <c r="AI122" i="23"/>
  <c r="AO122" i="23"/>
  <c r="BB122" i="23"/>
  <c r="AN122" i="23"/>
  <c r="AJ122" i="23"/>
  <c r="AX122" i="23"/>
  <c r="BC122" i="23"/>
  <c r="AT122" i="23"/>
  <c r="AX67" i="23"/>
  <c r="AP67" i="23"/>
  <c r="AK90" i="23"/>
  <c r="AY90" i="23"/>
  <c r="AX119" i="23"/>
  <c r="AP119" i="23"/>
  <c r="AM119" i="23"/>
  <c r="AR67" i="23"/>
  <c r="BA67" i="23"/>
  <c r="AW90" i="23"/>
  <c r="AI96" i="23"/>
  <c r="AT90" i="23"/>
  <c r="AP96" i="23"/>
  <c r="AX106" i="23"/>
  <c r="BA106" i="23"/>
  <c r="AR106" i="23"/>
  <c r="AO97" i="23"/>
  <c r="AM97" i="23"/>
  <c r="AL97" i="23"/>
  <c r="AI97" i="23"/>
  <c r="BB97" i="23"/>
  <c r="AZ97" i="23"/>
  <c r="AT97" i="23"/>
  <c r="BA97" i="23"/>
  <c r="AW97" i="23"/>
  <c r="AS97" i="23"/>
  <c r="AQ97" i="23"/>
  <c r="AI10" i="17"/>
  <c r="P73" i="6"/>
  <c r="X62" i="24"/>
  <c r="Y62" i="24"/>
  <c r="AY112" i="23"/>
  <c r="AC62" i="24"/>
  <c r="AB62" i="24"/>
  <c r="AB73" i="24"/>
  <c r="AI76" i="23"/>
  <c r="AP108" i="23"/>
  <c r="AX108" i="23"/>
  <c r="AT108" i="23"/>
  <c r="AK108" i="23"/>
  <c r="BD108" i="23"/>
  <c r="AQ108" i="23"/>
  <c r="BC108" i="23"/>
  <c r="AM108" i="23"/>
  <c r="AH62" i="24"/>
  <c r="AJ119" i="23"/>
  <c r="AR119" i="23"/>
  <c r="AN119" i="23"/>
  <c r="AI119" i="23"/>
  <c r="BB119" i="23"/>
  <c r="AS119" i="23"/>
  <c r="AW119" i="23"/>
  <c r="AA62" i="24"/>
  <c r="AQ110" i="23"/>
  <c r="AG62" i="24"/>
  <c r="BA87" i="23"/>
  <c r="AW87" i="23"/>
  <c r="BC87" i="23"/>
  <c r="AZ87" i="23"/>
  <c r="AM87" i="23"/>
  <c r="AQ87" i="23"/>
  <c r="BD87" i="23"/>
  <c r="BB87" i="23"/>
  <c r="AT87" i="23"/>
  <c r="AE62" i="24"/>
  <c r="AD62" i="24"/>
  <c r="AS110" i="23"/>
  <c r="BC110" i="23"/>
  <c r="BD112" i="23"/>
  <c r="AW112" i="23"/>
  <c r="AX110" i="23"/>
  <c r="BA110" i="23"/>
  <c r="AK112" i="23"/>
  <c r="AM112" i="23"/>
  <c r="AK110" i="23"/>
  <c r="AL110" i="23"/>
  <c r="AR110" i="23"/>
  <c r="BC112" i="23"/>
  <c r="AT112" i="23"/>
  <c r="AN112" i="23"/>
  <c r="AV105" i="23"/>
  <c r="AM110" i="23"/>
  <c r="AT110" i="23"/>
  <c r="AV110" i="23"/>
  <c r="AO110" i="23"/>
  <c r="AG53" i="24"/>
  <c r="BD110" i="23"/>
  <c r="AP110" i="23"/>
  <c r="AI110" i="23"/>
  <c r="AP112" i="23"/>
  <c r="AJ110" i="23"/>
  <c r="AU110" i="23"/>
  <c r="Y53" i="24"/>
  <c r="C8" i="26" s="1"/>
  <c r="AF53" i="24"/>
  <c r="J8" i="26" s="1"/>
  <c r="AO96" i="23"/>
  <c r="AH82" i="24"/>
  <c r="Z82" i="24"/>
  <c r="AE82" i="24"/>
  <c r="BC96" i="23"/>
  <c r="AY96" i="23"/>
  <c r="BA96" i="23"/>
  <c r="AF82" i="24"/>
  <c r="AC82" i="24"/>
  <c r="AB82" i="24"/>
  <c r="AG64" i="24"/>
  <c r="X64" i="24"/>
  <c r="AD64" i="24"/>
  <c r="AC64" i="24"/>
  <c r="AB64" i="24"/>
  <c r="Z64" i="24"/>
  <c r="AE64" i="24"/>
  <c r="AT96" i="23"/>
  <c r="AL96" i="23"/>
  <c r="AU96" i="23"/>
  <c r="AK96" i="23"/>
  <c r="AG82" i="24"/>
  <c r="AA82" i="24"/>
  <c r="Y82" i="24"/>
  <c r="AZ96" i="23"/>
  <c r="X82" i="24"/>
  <c r="AV123" i="23"/>
  <c r="AO123" i="23"/>
  <c r="AZ123" i="23"/>
  <c r="AJ123" i="23"/>
  <c r="BC123" i="23"/>
  <c r="AQ123" i="23"/>
  <c r="AT123" i="23"/>
  <c r="AX123" i="23"/>
  <c r="BA123" i="23"/>
  <c r="Z63" i="9"/>
  <c r="X55" i="24"/>
  <c r="Y55" i="24"/>
  <c r="AE55" i="24"/>
  <c r="AA55" i="24"/>
  <c r="AH55" i="24"/>
  <c r="AD55" i="24"/>
  <c r="AF55" i="24"/>
  <c r="Z55" i="24"/>
  <c r="AB55" i="24"/>
  <c r="AC55" i="24"/>
  <c r="AG55" i="24"/>
  <c r="AE71" i="24"/>
  <c r="AF71" i="24"/>
  <c r="AA71" i="24"/>
  <c r="AB71" i="24"/>
  <c r="AC71" i="24"/>
  <c r="AH71" i="24"/>
  <c r="X71" i="24"/>
  <c r="AD71" i="24"/>
  <c r="Z71" i="24"/>
  <c r="AG71" i="24"/>
  <c r="Y71" i="24"/>
  <c r="BB75" i="23"/>
  <c r="AI75" i="23"/>
  <c r="AV75" i="23"/>
  <c r="BA75" i="23"/>
  <c r="BD75" i="23"/>
  <c r="AP75" i="23"/>
  <c r="AQ75" i="23"/>
  <c r="AL75" i="23"/>
  <c r="AW75" i="23"/>
  <c r="AJ75" i="23"/>
  <c r="AX75" i="23"/>
  <c r="AT75" i="23"/>
  <c r="BC75" i="23"/>
  <c r="AS75" i="23"/>
  <c r="AR75" i="23"/>
  <c r="AY75" i="23"/>
  <c r="AO75" i="23"/>
  <c r="AZ75" i="23"/>
  <c r="AU75" i="23"/>
  <c r="AK75" i="23"/>
  <c r="AM75" i="23"/>
  <c r="AN75" i="23"/>
  <c r="BC107" i="23"/>
  <c r="AT107" i="23"/>
  <c r="BD107" i="23"/>
  <c r="AI107" i="23"/>
  <c r="AP107" i="23"/>
  <c r="AZ107" i="23"/>
  <c r="AU107" i="23"/>
  <c r="AL107" i="23"/>
  <c r="AV107" i="23"/>
  <c r="AM107" i="23"/>
  <c r="BA107" i="23"/>
  <c r="AR107" i="23"/>
  <c r="AW107" i="23"/>
  <c r="AN107" i="23"/>
  <c r="BB107" i="23"/>
  <c r="AS107" i="23"/>
  <c r="AJ107" i="23"/>
  <c r="AQ107" i="23"/>
  <c r="AX107" i="23"/>
  <c r="AK107" i="23"/>
  <c r="AY107" i="23"/>
  <c r="AO107" i="23"/>
  <c r="AV96" i="23"/>
  <c r="AQ96" i="23"/>
  <c r="AM96" i="23"/>
  <c r="BB96" i="23"/>
  <c r="AR96" i="23"/>
  <c r="AJ96" i="23"/>
  <c r="AW96" i="23"/>
  <c r="AN96" i="23"/>
  <c r="P96" i="23"/>
  <c r="AS96" i="23"/>
  <c r="C10" i="26"/>
  <c r="AO91" i="23"/>
  <c r="AX91" i="23"/>
  <c r="AM91" i="23"/>
  <c r="AK91" i="23"/>
  <c r="AP91" i="23"/>
  <c r="BC91" i="23"/>
  <c r="BD91" i="23"/>
  <c r="AW91" i="23"/>
  <c r="AR91" i="23"/>
  <c r="AY91" i="23"/>
  <c r="AV91" i="23"/>
  <c r="AU91" i="23"/>
  <c r="AN91" i="23"/>
  <c r="AJ91" i="23"/>
  <c r="BA91" i="23"/>
  <c r="AQ91" i="23"/>
  <c r="BB91" i="23"/>
  <c r="AT91" i="23"/>
  <c r="AZ91" i="23"/>
  <c r="AS91" i="23"/>
  <c r="AI91" i="23"/>
  <c r="AL91" i="23"/>
  <c r="AX112" i="23"/>
  <c r="AV112" i="23"/>
  <c r="AR112" i="23"/>
  <c r="AS112" i="23"/>
  <c r="AJ112" i="23"/>
  <c r="BB112" i="23"/>
  <c r="AU112" i="23"/>
  <c r="AL112" i="23"/>
  <c r="AQ112" i="23"/>
  <c r="BA112" i="23"/>
  <c r="AI112" i="23"/>
  <c r="AO112" i="23"/>
  <c r="AZ73" i="23"/>
  <c r="AJ73" i="23"/>
  <c r="BB73" i="23"/>
  <c r="AD53" i="24"/>
  <c r="AE53" i="24"/>
  <c r="I10" i="26" s="1"/>
  <c r="Z53" i="24"/>
  <c r="D10" i="26" s="1"/>
  <c r="X53" i="24"/>
  <c r="AH53" i="24"/>
  <c r="L10" i="26" s="1"/>
  <c r="AB53" i="24"/>
  <c r="AA53" i="24"/>
  <c r="E10" i="26" s="1"/>
  <c r="AB47" i="10"/>
  <c r="M78" i="6"/>
  <c r="BC105" i="23"/>
  <c r="BD105" i="23"/>
  <c r="BB105" i="23"/>
  <c r="AL105" i="23"/>
  <c r="AW105" i="23"/>
  <c r="AS105" i="23"/>
  <c r="BA105" i="23"/>
  <c r="AR105" i="23"/>
  <c r="AI105" i="23"/>
  <c r="AM105" i="23"/>
  <c r="AX105" i="23"/>
  <c r="AZ105" i="23"/>
  <c r="AQ105" i="23"/>
  <c r="AT105" i="23"/>
  <c r="AU105" i="23"/>
  <c r="AY105" i="23"/>
  <c r="AJ105" i="23"/>
  <c r="AP105" i="23"/>
  <c r="AO105" i="23"/>
  <c r="AN105" i="23"/>
  <c r="AY110" i="23"/>
  <c r="AW110" i="23"/>
  <c r="AN110" i="23"/>
  <c r="Z65" i="6"/>
  <c r="W65" i="6"/>
  <c r="W70" i="6" s="1"/>
  <c r="AF65" i="6"/>
  <c r="AF70" i="6" s="1"/>
  <c r="P65" i="6"/>
  <c r="P70" i="6" s="1"/>
  <c r="O65" i="6"/>
  <c r="O70" i="6" s="1"/>
  <c r="AH65" i="6"/>
  <c r="AH70" i="6" s="1"/>
  <c r="Q65" i="6"/>
  <c r="Q70" i="6" s="1"/>
  <c r="R65" i="6"/>
  <c r="R70" i="6" s="1"/>
  <c r="S65" i="6"/>
  <c r="S70" i="6" s="1"/>
  <c r="X65" i="6"/>
  <c r="X70" i="6" s="1"/>
  <c r="U65" i="6"/>
  <c r="U70" i="6" s="1"/>
  <c r="AA65" i="6"/>
  <c r="AC65" i="6"/>
  <c r="AC70" i="6" s="1"/>
  <c r="AI65" i="6"/>
  <c r="AI70" i="6" s="1"/>
  <c r="L65" i="6"/>
  <c r="L70" i="6" s="1"/>
  <c r="Y65" i="6"/>
  <c r="AE65" i="6"/>
  <c r="AE70" i="6" s="1"/>
  <c r="V65" i="6"/>
  <c r="AK94" i="23"/>
  <c r="R94" i="23"/>
  <c r="AP94" i="23"/>
  <c r="P94" i="23"/>
  <c r="BB94" i="23"/>
  <c r="BC94" i="23"/>
  <c r="AT94" i="23"/>
  <c r="BA94" i="23"/>
  <c r="AU94" i="23"/>
  <c r="AZ94" i="23"/>
  <c r="AW94" i="23"/>
  <c r="AQ94" i="23"/>
  <c r="AR94" i="23"/>
  <c r="AL94" i="23"/>
  <c r="AJ94" i="23"/>
  <c r="AX94" i="23"/>
  <c r="AS94" i="23"/>
  <c r="AO94" i="23"/>
  <c r="AY94" i="23"/>
  <c r="AV94" i="23"/>
  <c r="AM94" i="23"/>
  <c r="AI94" i="23"/>
  <c r="BD94" i="23"/>
  <c r="AN94" i="23"/>
  <c r="M42" i="6"/>
  <c r="M58" i="6"/>
  <c r="M41" i="6"/>
  <c r="M57" i="6"/>
  <c r="M44" i="6"/>
  <c r="M60" i="6"/>
  <c r="M43" i="6"/>
  <c r="M59" i="6"/>
  <c r="M27" i="6"/>
  <c r="M46" i="6"/>
  <c r="M29" i="6"/>
  <c r="M45" i="6"/>
  <c r="M40" i="6"/>
  <c r="M39" i="6"/>
  <c r="M55" i="6"/>
  <c r="M32" i="6"/>
  <c r="M47" i="6"/>
  <c r="M35" i="6"/>
  <c r="M36" i="6"/>
  <c r="M30" i="6"/>
  <c r="M52" i="6"/>
  <c r="M51" i="6"/>
  <c r="M54" i="6"/>
  <c r="M37" i="6"/>
  <c r="M53" i="6"/>
  <c r="M38" i="6"/>
  <c r="M56" i="6"/>
  <c r="M31" i="6"/>
  <c r="M49" i="6"/>
  <c r="M34" i="6"/>
  <c r="M50" i="6"/>
  <c r="M28" i="6"/>
  <c r="M33" i="6"/>
  <c r="M48" i="6"/>
  <c r="M61" i="6"/>
  <c r="AD70" i="24"/>
  <c r="Y70" i="24"/>
  <c r="AH70" i="24"/>
  <c r="AF70" i="24"/>
  <c r="AC70" i="24"/>
  <c r="AB70" i="24"/>
  <c r="X70" i="24"/>
  <c r="AE70" i="24"/>
  <c r="AA70" i="24"/>
  <c r="AG70" i="24"/>
  <c r="Z70" i="24"/>
  <c r="AS109" i="23"/>
  <c r="AJ109" i="23"/>
  <c r="BB109" i="23"/>
  <c r="AO109" i="23"/>
  <c r="AY109" i="23"/>
  <c r="AX109" i="23"/>
  <c r="AK109" i="23"/>
  <c r="AI109" i="23"/>
  <c r="AP109" i="23"/>
  <c r="AZ109" i="23"/>
  <c r="BC109" i="23"/>
  <c r="AL109" i="23"/>
  <c r="AV109" i="23"/>
  <c r="AU109" i="23"/>
  <c r="AQ109" i="23"/>
  <c r="AM109" i="23"/>
  <c r="AT109" i="23"/>
  <c r="BA109" i="23"/>
  <c r="AN109" i="23"/>
  <c r="AW109" i="23"/>
  <c r="BD109" i="23"/>
  <c r="AR109" i="23"/>
  <c r="Z68" i="24"/>
  <c r="AE68" i="24"/>
  <c r="AD68" i="24"/>
  <c r="AA68" i="24"/>
  <c r="AG68" i="24"/>
  <c r="AC68" i="24"/>
  <c r="Y68" i="24"/>
  <c r="AH68" i="24"/>
  <c r="AF68" i="24"/>
  <c r="X68" i="24"/>
  <c r="AB68" i="24"/>
  <c r="Z91" i="24"/>
  <c r="AG91" i="24"/>
  <c r="AC91" i="24"/>
  <c r="Y91" i="24"/>
  <c r="AE91" i="24"/>
  <c r="AF91" i="24"/>
  <c r="AD91" i="24"/>
  <c r="AA91" i="24"/>
  <c r="AB91" i="24"/>
  <c r="AH91" i="24"/>
  <c r="X91" i="24"/>
  <c r="AT111" i="23"/>
  <c r="BD111" i="23"/>
  <c r="AI111" i="23"/>
  <c r="AP111" i="23"/>
  <c r="AZ111" i="23"/>
  <c r="BC111" i="23"/>
  <c r="AL111" i="23"/>
  <c r="AV111" i="23"/>
  <c r="AU111" i="23"/>
  <c r="AM111" i="23"/>
  <c r="AW111" i="23"/>
  <c r="AN111" i="23"/>
  <c r="AS111" i="23"/>
  <c r="AJ111" i="23"/>
  <c r="AR111" i="23"/>
  <c r="AQ111" i="23"/>
  <c r="AY111" i="23"/>
  <c r="BB111" i="23"/>
  <c r="AX111" i="23"/>
  <c r="AK111" i="23"/>
  <c r="BA111" i="23"/>
  <c r="AO111" i="23"/>
  <c r="BC82" i="23"/>
  <c r="AL82" i="23"/>
  <c r="AY82" i="23"/>
  <c r="AZ82" i="23"/>
  <c r="AU82" i="23"/>
  <c r="AR82" i="23"/>
  <c r="AW82" i="23"/>
  <c r="AM82" i="23"/>
  <c r="AX82" i="23"/>
  <c r="AS82" i="23"/>
  <c r="AI82" i="23"/>
  <c r="AP82" i="23"/>
  <c r="AK82" i="23"/>
  <c r="AQ82" i="23"/>
  <c r="BB82" i="23"/>
  <c r="AT82" i="23"/>
  <c r="AV82" i="23"/>
  <c r="AJ82" i="23"/>
  <c r="BA82" i="23"/>
  <c r="AO82" i="23"/>
  <c r="AN82" i="23"/>
  <c r="BD82" i="23"/>
  <c r="K8" i="26"/>
  <c r="K10" i="26"/>
  <c r="E8" i="26"/>
  <c r="M77" i="6"/>
  <c r="M51" i="10"/>
  <c r="M51" i="34" s="1"/>
  <c r="T47" i="10"/>
  <c r="M47" i="10"/>
  <c r="O51" i="10"/>
  <c r="O51" i="34" s="1"/>
  <c r="V47" i="10"/>
  <c r="O47" i="10"/>
  <c r="U51" i="10"/>
  <c r="U51" i="34" s="1"/>
  <c r="Y47" i="10"/>
  <c r="Q47" i="10"/>
  <c r="X51" i="10"/>
  <c r="Z47" i="10"/>
  <c r="R47" i="10"/>
  <c r="R52" i="10" s="1"/>
  <c r="V51" i="10"/>
  <c r="V51" i="34" s="1"/>
  <c r="L47" i="10"/>
  <c r="N51" i="10"/>
  <c r="N51" i="34" s="1"/>
  <c r="U47" i="10"/>
  <c r="N47" i="10"/>
  <c r="P51" i="10"/>
  <c r="P51" i="34" s="1"/>
  <c r="W47" i="10"/>
  <c r="X47" i="10"/>
  <c r="X52" i="10" s="1"/>
  <c r="S47" i="10"/>
  <c r="P47" i="10"/>
  <c r="T51" i="10"/>
  <c r="T51" i="34" s="1"/>
  <c r="AA47" i="10"/>
  <c r="AH86" i="24"/>
  <c r="AA86" i="24"/>
  <c r="AG86" i="24"/>
  <c r="AD86" i="24"/>
  <c r="AC86" i="24"/>
  <c r="Z86" i="24"/>
  <c r="Y86" i="24"/>
  <c r="AF86" i="24"/>
  <c r="AB86" i="24"/>
  <c r="AE86" i="24"/>
  <c r="X86" i="24"/>
  <c r="AA57" i="24"/>
  <c r="AE57" i="24"/>
  <c r="Z57" i="24"/>
  <c r="AD57" i="24"/>
  <c r="X57" i="24"/>
  <c r="AH57" i="24"/>
  <c r="AB57" i="24"/>
  <c r="AE73" i="24"/>
  <c r="X73" i="24"/>
  <c r="AA73" i="24"/>
  <c r="Y73" i="24"/>
  <c r="AH73" i="24"/>
  <c r="AD73" i="24"/>
  <c r="Z73" i="24"/>
  <c r="AG73" i="24"/>
  <c r="AC73" i="24"/>
  <c r="Y47" i="11"/>
  <c r="X47" i="11"/>
  <c r="X84" i="24"/>
  <c r="AE84" i="24"/>
  <c r="AA84" i="24"/>
  <c r="AG84" i="24"/>
  <c r="Z84" i="24"/>
  <c r="AD84" i="24"/>
  <c r="AC84" i="24"/>
  <c r="AH84" i="24"/>
  <c r="Y84" i="24"/>
  <c r="AF84" i="24"/>
  <c r="AB84" i="24"/>
  <c r="AX116" i="23"/>
  <c r="AK116" i="23"/>
  <c r="BC116" i="23"/>
  <c r="AT116" i="23"/>
  <c r="BD116" i="23"/>
  <c r="AM116" i="23"/>
  <c r="AP116" i="23"/>
  <c r="AZ116" i="23"/>
  <c r="AI116" i="23"/>
  <c r="AQ116" i="23"/>
  <c r="BA116" i="23"/>
  <c r="AR116" i="23"/>
  <c r="AW116" i="23"/>
  <c r="AN116" i="23"/>
  <c r="AV116" i="23"/>
  <c r="AJ116" i="23"/>
  <c r="AU116" i="23"/>
  <c r="AY116" i="23"/>
  <c r="BB116" i="23"/>
  <c r="AL116" i="23"/>
  <c r="AS116" i="23"/>
  <c r="AO116" i="23"/>
  <c r="AT77" i="23"/>
  <c r="AM77" i="23"/>
  <c r="AI77" i="23"/>
  <c r="AN77" i="23"/>
  <c r="BA77" i="23"/>
  <c r="AV77" i="23"/>
  <c r="BC77" i="23"/>
  <c r="AS77" i="23"/>
  <c r="AY77" i="23"/>
  <c r="AO77" i="23"/>
  <c r="AU77" i="23"/>
  <c r="AQ77" i="23"/>
  <c r="BD77" i="23"/>
  <c r="AW77" i="23"/>
  <c r="AP77" i="23"/>
  <c r="AL77" i="23"/>
  <c r="AK77" i="23"/>
  <c r="AX77" i="23"/>
  <c r="AZ93" i="23"/>
  <c r="BA93" i="23"/>
  <c r="AU93" i="23"/>
  <c r="AV93" i="23"/>
  <c r="AW93" i="23"/>
  <c r="AQ93" i="23"/>
  <c r="AN93" i="23"/>
  <c r="AS93" i="23"/>
  <c r="AM93" i="23"/>
  <c r="BB93" i="23"/>
  <c r="AK93" i="23"/>
  <c r="R93" i="23"/>
  <c r="AL93" i="23"/>
  <c r="AJ93" i="23"/>
  <c r="P93" i="23"/>
  <c r="AX93" i="23"/>
  <c r="AI93" i="23"/>
  <c r="AP93" i="23"/>
  <c r="BD93" i="23"/>
  <c r="AT93" i="23"/>
  <c r="AR93" i="23"/>
  <c r="AO93" i="23"/>
  <c r="BC93" i="23"/>
  <c r="AY93" i="23"/>
  <c r="AJ95" i="23"/>
  <c r="AY95" i="23"/>
  <c r="BD95" i="23"/>
  <c r="BA95" i="23"/>
  <c r="AU95" i="23"/>
  <c r="AV95" i="23"/>
  <c r="AW95" i="23"/>
  <c r="AQ95" i="23"/>
  <c r="AN95" i="23"/>
  <c r="AO95" i="23"/>
  <c r="AI95" i="23"/>
  <c r="AT95" i="23"/>
  <c r="AK95" i="23"/>
  <c r="R95" i="23"/>
  <c r="AL95" i="23"/>
  <c r="AR95" i="23"/>
  <c r="P95" i="23"/>
  <c r="BC95" i="23"/>
  <c r="AM95" i="23"/>
  <c r="AX95" i="23"/>
  <c r="AP95" i="23"/>
  <c r="BB95" i="23"/>
  <c r="AZ95" i="23"/>
  <c r="AS95" i="23"/>
  <c r="AF54" i="24"/>
  <c r="Z54" i="24"/>
  <c r="AD54" i="24"/>
  <c r="Y54" i="24"/>
  <c r="AC54" i="24"/>
  <c r="AG54" i="24"/>
  <c r="X54" i="24"/>
  <c r="AB54" i="24"/>
  <c r="AT73" i="23"/>
  <c r="AW73" i="23"/>
  <c r="BD73" i="23"/>
  <c r="BC73" i="23"/>
  <c r="AS73" i="23"/>
  <c r="AY73" i="23"/>
  <c r="AO73" i="23"/>
  <c r="AQ73" i="23"/>
  <c r="AM73" i="23"/>
  <c r="AI73" i="23"/>
  <c r="BA73" i="23"/>
  <c r="AK73" i="23"/>
  <c r="AN73" i="23"/>
  <c r="AV73" i="23"/>
  <c r="AP73" i="23"/>
  <c r="I10" i="25" s="1"/>
  <c r="AX73" i="23"/>
  <c r="AL73" i="23"/>
  <c r="AU73" i="23"/>
  <c r="P74" i="6"/>
  <c r="AS84" i="23"/>
  <c r="AI84" i="23"/>
  <c r="AP84" i="23"/>
  <c r="AO84" i="23"/>
  <c r="BB84" i="23"/>
  <c r="AK84" i="23"/>
  <c r="AT84" i="23"/>
  <c r="AY84" i="23"/>
  <c r="AZ84" i="23"/>
  <c r="AU84" i="23"/>
  <c r="AR84" i="23"/>
  <c r="AW84" i="23"/>
  <c r="BC84" i="23"/>
  <c r="AQ84" i="23"/>
  <c r="AN84" i="23"/>
  <c r="AM84" i="23"/>
  <c r="AL84" i="23"/>
  <c r="AJ84" i="23"/>
  <c r="BD84" i="23"/>
  <c r="AX84" i="23"/>
  <c r="AV84" i="23"/>
  <c r="BA84" i="23"/>
  <c r="AK100" i="23"/>
  <c r="R100" i="23"/>
  <c r="AP100" i="23"/>
  <c r="P100" i="23"/>
  <c r="BB100" i="23"/>
  <c r="BC100" i="23"/>
  <c r="AT100" i="23"/>
  <c r="BA100" i="23"/>
  <c r="AU100" i="23"/>
  <c r="AZ100" i="23"/>
  <c r="AW100" i="23"/>
  <c r="AQ100" i="23"/>
  <c r="AR100" i="23"/>
  <c r="AY100" i="23"/>
  <c r="AN100" i="23"/>
  <c r="AM100" i="23"/>
  <c r="BD100" i="23"/>
  <c r="AI100" i="23"/>
  <c r="AV100" i="23"/>
  <c r="AL100" i="23"/>
  <c r="AJ100" i="23"/>
  <c r="AX100" i="23"/>
  <c r="AS100" i="23"/>
  <c r="AO100" i="23"/>
  <c r="J10" i="26"/>
  <c r="AA59" i="24"/>
  <c r="AH59" i="24"/>
  <c r="AE59" i="24"/>
  <c r="AD59" i="24"/>
  <c r="Z59" i="24"/>
  <c r="AF59" i="24"/>
  <c r="Y59" i="24"/>
  <c r="AB59" i="24"/>
  <c r="AG59" i="24"/>
  <c r="X59" i="24"/>
  <c r="AC59" i="24"/>
  <c r="AE75" i="24"/>
  <c r="AB75" i="24"/>
  <c r="AA75" i="24"/>
  <c r="X75" i="24"/>
  <c r="AH75" i="24"/>
  <c r="AF75" i="24"/>
  <c r="AD75" i="24"/>
  <c r="Z75" i="24"/>
  <c r="AG75" i="24"/>
  <c r="AC75" i="24"/>
  <c r="Y75" i="24"/>
  <c r="M11" i="6"/>
  <c r="M17" i="6"/>
  <c r="M13" i="6"/>
  <c r="M23" i="6"/>
  <c r="M12" i="6"/>
  <c r="M21" i="6"/>
  <c r="M18" i="6"/>
  <c r="M7" i="6"/>
  <c r="M24" i="6"/>
  <c r="M8" i="6"/>
  <c r="M14" i="6"/>
  <c r="M22" i="6"/>
  <c r="AI114" i="23"/>
  <c r="AT114" i="23"/>
  <c r="BD114" i="23"/>
  <c r="AU114" i="23"/>
  <c r="AP114" i="23"/>
  <c r="AZ114" i="23"/>
  <c r="AY114" i="23"/>
  <c r="AL114" i="23"/>
  <c r="AV114" i="23"/>
  <c r="AQ114" i="23"/>
  <c r="BA114" i="23"/>
  <c r="AR114" i="23"/>
  <c r="AW114" i="23"/>
  <c r="AN114" i="23"/>
  <c r="AS114" i="23"/>
  <c r="AJ114" i="23"/>
  <c r="BB114" i="23"/>
  <c r="AO114" i="23"/>
  <c r="BC114" i="23"/>
  <c r="AX114" i="23"/>
  <c r="AM114" i="23"/>
  <c r="AK114" i="23"/>
  <c r="Z89" i="24"/>
  <c r="AG89" i="24"/>
  <c r="AD89" i="24"/>
  <c r="AC89" i="24"/>
  <c r="AF89" i="24"/>
  <c r="Y89" i="24"/>
  <c r="AE89" i="24"/>
  <c r="AB89" i="24"/>
  <c r="AA89" i="24"/>
  <c r="X89" i="24"/>
  <c r="AH89" i="24"/>
  <c r="AF63" i="7"/>
  <c r="AE63" i="7"/>
  <c r="AA63" i="7"/>
  <c r="AA68" i="7" s="1"/>
  <c r="Z63" i="7"/>
  <c r="Z68" i="7" s="1"/>
  <c r="AG63" i="7"/>
  <c r="Z51" i="10"/>
  <c r="Z51" i="34" s="1"/>
  <c r="AR79" i="23"/>
  <c r="BC79" i="23"/>
  <c r="BD79" i="23"/>
  <c r="AY79" i="23"/>
  <c r="AV79" i="23"/>
  <c r="AU79" i="23"/>
  <c r="AN79" i="23"/>
  <c r="AW79" i="23"/>
  <c r="AM79" i="23"/>
  <c r="AT79" i="23"/>
  <c r="AS79" i="23"/>
  <c r="AI79" i="23"/>
  <c r="AL79" i="23"/>
  <c r="AX79" i="23"/>
  <c r="AP79" i="23"/>
  <c r="AZ79" i="23"/>
  <c r="BB79" i="23"/>
  <c r="BA79" i="23"/>
  <c r="AO79" i="23"/>
  <c r="AK79" i="23"/>
  <c r="AJ79" i="23"/>
  <c r="AQ79" i="23"/>
  <c r="AA63" i="9"/>
  <c r="L48" i="13"/>
  <c r="L48" i="12"/>
  <c r="L48" i="10"/>
  <c r="L48" i="11"/>
  <c r="S50" i="13"/>
  <c r="S50" i="12"/>
  <c r="S50" i="10"/>
  <c r="S50" i="11"/>
  <c r="S49" i="13"/>
  <c r="S49" i="12"/>
  <c r="S49" i="10"/>
  <c r="S49" i="11"/>
  <c r="N66" i="6"/>
  <c r="N64" i="32" s="1"/>
  <c r="N68" i="32" s="1"/>
  <c r="D35" i="5"/>
  <c r="K10" i="25" l="1"/>
  <c r="D8" i="26"/>
  <c r="G10" i="25"/>
  <c r="L8" i="25"/>
  <c r="G8" i="26"/>
  <c r="F8" i="25"/>
  <c r="M75" i="6"/>
  <c r="I8" i="26"/>
  <c r="Z32" i="32"/>
  <c r="Z13" i="32"/>
  <c r="Z14" i="32"/>
  <c r="Z50" i="32"/>
  <c r="Z60" i="32"/>
  <c r="Z57" i="32"/>
  <c r="Z19" i="32"/>
  <c r="Z41" i="32"/>
  <c r="Z45" i="32"/>
  <c r="Z25" i="32"/>
  <c r="Z20" i="32"/>
  <c r="Z24" i="32"/>
  <c r="Z17" i="32"/>
  <c r="Z53" i="32"/>
  <c r="Z33" i="32"/>
  <c r="Z8" i="32"/>
  <c r="Z35" i="32"/>
  <c r="Z58" i="32"/>
  <c r="Z39" i="32"/>
  <c r="Z11" i="32"/>
  <c r="Z23" i="32"/>
  <c r="Z27" i="32"/>
  <c r="Z49" i="32"/>
  <c r="Z12" i="32"/>
  <c r="Z48" i="32"/>
  <c r="Z5" i="32"/>
  <c r="Z61" i="32"/>
  <c r="Z43" i="32"/>
  <c r="Z28" i="32"/>
  <c r="Z38" i="32"/>
  <c r="Z26" i="32"/>
  <c r="Z6" i="32"/>
  <c r="Z16" i="32"/>
  <c r="Z36" i="32"/>
  <c r="Z40" i="32"/>
  <c r="Z7" i="32"/>
  <c r="Z15" i="32"/>
  <c r="Z51" i="32"/>
  <c r="Z9" i="32"/>
  <c r="Z18" i="32"/>
  <c r="Z30" i="32"/>
  <c r="Z10" i="32"/>
  <c r="Z54" i="32"/>
  <c r="Z31" i="32"/>
  <c r="Z52" i="32"/>
  <c r="Z56" i="32"/>
  <c r="Z21" i="32"/>
  <c r="Z46" i="32"/>
  <c r="Z29" i="32"/>
  <c r="Z55" i="32"/>
  <c r="Z59" i="32"/>
  <c r="Z34" i="32"/>
  <c r="Z44" i="32"/>
  <c r="Z22" i="32"/>
  <c r="Z37" i="32"/>
  <c r="Z47" i="32"/>
  <c r="Z42" i="32"/>
  <c r="AA14" i="32"/>
  <c r="AA48" i="32"/>
  <c r="AA33" i="32"/>
  <c r="AA6" i="32"/>
  <c r="AA53" i="32"/>
  <c r="AA25" i="32"/>
  <c r="AA58" i="32"/>
  <c r="AA45" i="32"/>
  <c r="AA9" i="32"/>
  <c r="AA26" i="32"/>
  <c r="AA27" i="32"/>
  <c r="AA44" i="32"/>
  <c r="AA30" i="32"/>
  <c r="AA12" i="32"/>
  <c r="AA50" i="32"/>
  <c r="AA37" i="32"/>
  <c r="AA57" i="32"/>
  <c r="AA39" i="32"/>
  <c r="AA29" i="32"/>
  <c r="AA31" i="32"/>
  <c r="AA16" i="32"/>
  <c r="AA54" i="32"/>
  <c r="AA52" i="32"/>
  <c r="AA7" i="32"/>
  <c r="AA41" i="32"/>
  <c r="AA59" i="32"/>
  <c r="AA38" i="32"/>
  <c r="AA10" i="32"/>
  <c r="AA24" i="32"/>
  <c r="AA56" i="32"/>
  <c r="AA11" i="32"/>
  <c r="AA35" i="32"/>
  <c r="AA43" i="32"/>
  <c r="AA61" i="32"/>
  <c r="AA5" i="32"/>
  <c r="AA22" i="32"/>
  <c r="AA15" i="32"/>
  <c r="AA51" i="32"/>
  <c r="AA21" i="32"/>
  <c r="AA40" i="32"/>
  <c r="AA8" i="32"/>
  <c r="AA19" i="32"/>
  <c r="AA34" i="32"/>
  <c r="AA47" i="32"/>
  <c r="AA60" i="32"/>
  <c r="AA20" i="32"/>
  <c r="AA13" i="32"/>
  <c r="AA18" i="32"/>
  <c r="AA42" i="32"/>
  <c r="AA28" i="32"/>
  <c r="AA23" i="32"/>
  <c r="AA49" i="32"/>
  <c r="AA55" i="32"/>
  <c r="AA36" i="32"/>
  <c r="AA32" i="32"/>
  <c r="AA17" i="32"/>
  <c r="AA46" i="32"/>
  <c r="P10" i="25"/>
  <c r="I8" i="25"/>
  <c r="B8" i="25"/>
  <c r="L8" i="26"/>
  <c r="U8" i="25"/>
  <c r="S10" i="25"/>
  <c r="M8" i="25"/>
  <c r="U10" i="25"/>
  <c r="G8" i="25"/>
  <c r="K8" i="25"/>
  <c r="S8" i="25"/>
  <c r="K6" i="25"/>
  <c r="B10" i="26"/>
  <c r="B8" i="26"/>
  <c r="P52" i="10"/>
  <c r="P14" i="11" s="1"/>
  <c r="P14" i="34" s="1"/>
  <c r="C6" i="26"/>
  <c r="G6" i="26"/>
  <c r="H10" i="26"/>
  <c r="H8" i="26"/>
  <c r="J6" i="26"/>
  <c r="F10" i="25"/>
  <c r="N52" i="10"/>
  <c r="N25" i="11" s="1"/>
  <c r="N25" i="34" s="1"/>
  <c r="F8" i="26"/>
  <c r="F10" i="26"/>
  <c r="U52" i="10"/>
  <c r="C8" i="25"/>
  <c r="C10" i="25"/>
  <c r="Z51" i="8"/>
  <c r="Y51" i="23" s="1"/>
  <c r="Y113" i="23" s="1"/>
  <c r="Z60" i="8"/>
  <c r="Y60" i="23" s="1"/>
  <c r="Y122" i="23" s="1"/>
  <c r="Z50" i="8"/>
  <c r="Y50" i="23" s="1"/>
  <c r="Y112" i="23" s="1"/>
  <c r="Z20" i="8"/>
  <c r="Y20" i="23" s="1"/>
  <c r="Y82" i="23" s="1"/>
  <c r="Z29" i="8"/>
  <c r="Y29" i="23" s="1"/>
  <c r="Y91" i="23" s="1"/>
  <c r="Z32" i="8"/>
  <c r="Y32" i="23" s="1"/>
  <c r="Y94" i="23" s="1"/>
  <c r="Z31" i="8"/>
  <c r="Y31" i="23" s="1"/>
  <c r="Y93" i="23" s="1"/>
  <c r="Z48" i="8"/>
  <c r="Y48" i="23" s="1"/>
  <c r="Y110" i="23" s="1"/>
  <c r="Z55" i="8"/>
  <c r="Y55" i="23" s="1"/>
  <c r="Y117" i="23" s="1"/>
  <c r="Z44" i="8"/>
  <c r="Y44" i="23" s="1"/>
  <c r="Y106" i="23" s="1"/>
  <c r="Z16" i="8"/>
  <c r="Y16" i="23" s="1"/>
  <c r="Y78" i="23" s="1"/>
  <c r="Z25" i="8"/>
  <c r="Y25" i="23" s="1"/>
  <c r="Y87" i="23" s="1"/>
  <c r="Z28" i="8"/>
  <c r="Y28" i="23" s="1"/>
  <c r="Y90" i="23" s="1"/>
  <c r="Z27" i="8"/>
  <c r="Y27" i="23" s="1"/>
  <c r="Y89" i="23" s="1"/>
  <c r="Z45" i="8"/>
  <c r="Y45" i="23" s="1"/>
  <c r="Y107" i="23" s="1"/>
  <c r="Z52" i="8"/>
  <c r="Y52" i="23" s="1"/>
  <c r="Y114" i="23" s="1"/>
  <c r="Z38" i="8"/>
  <c r="Y38" i="23" s="1"/>
  <c r="Y100" i="23" s="1"/>
  <c r="Z12" i="8"/>
  <c r="Y12" i="23" s="1"/>
  <c r="Y74" i="23" s="1"/>
  <c r="Z22" i="8"/>
  <c r="Y22" i="23" s="1"/>
  <c r="Y84" i="23" s="1"/>
  <c r="Z24" i="8"/>
  <c r="Y24" i="23" s="1"/>
  <c r="Y86" i="23" s="1"/>
  <c r="Z21" i="8"/>
  <c r="Y21" i="23" s="1"/>
  <c r="Y83" i="23" s="1"/>
  <c r="Z42" i="8"/>
  <c r="Y42" i="23" s="1"/>
  <c r="Y104" i="23" s="1"/>
  <c r="Z46" i="8"/>
  <c r="Y46" i="23" s="1"/>
  <c r="Y108" i="23" s="1"/>
  <c r="Z36" i="8"/>
  <c r="Y36" i="23" s="1"/>
  <c r="Y98" i="23" s="1"/>
  <c r="Z8" i="8"/>
  <c r="Y8" i="23" s="1"/>
  <c r="Y70" i="23" s="1"/>
  <c r="Z19" i="8"/>
  <c r="Y19" i="23" s="1"/>
  <c r="Y81" i="23" s="1"/>
  <c r="Z18" i="8"/>
  <c r="Y18" i="23" s="1"/>
  <c r="Y80" i="23" s="1"/>
  <c r="Z17" i="8"/>
  <c r="Y17" i="23" s="1"/>
  <c r="Y79" i="23" s="1"/>
  <c r="Z39" i="8"/>
  <c r="Y39" i="23" s="1"/>
  <c r="Y101" i="23" s="1"/>
  <c r="Z41" i="8"/>
  <c r="Y41" i="23" s="1"/>
  <c r="Y103" i="23" s="1"/>
  <c r="Z34" i="8"/>
  <c r="Y34" i="23" s="1"/>
  <c r="Y96" i="23" s="1"/>
  <c r="Z49" i="8"/>
  <c r="Y49" i="23" s="1"/>
  <c r="Y111" i="23" s="1"/>
  <c r="Z15" i="8"/>
  <c r="Y15" i="23" s="1"/>
  <c r="Y77" i="23" s="1"/>
  <c r="Z14" i="8"/>
  <c r="Y14" i="23" s="1"/>
  <c r="Y76" i="23" s="1"/>
  <c r="Z13" i="8"/>
  <c r="Y13" i="23" s="1"/>
  <c r="Y75" i="23" s="1"/>
  <c r="Z61" i="8"/>
  <c r="Y61" i="23" s="1"/>
  <c r="Y123" i="23" s="1"/>
  <c r="Z37" i="8"/>
  <c r="Y37" i="23" s="1"/>
  <c r="Y99" i="23" s="1"/>
  <c r="Z30" i="8"/>
  <c r="Y30" i="23" s="1"/>
  <c r="Y92" i="23" s="1"/>
  <c r="Z43" i="8"/>
  <c r="Y43" i="23" s="1"/>
  <c r="Y105" i="23" s="1"/>
  <c r="Z11" i="8"/>
  <c r="Y11" i="23" s="1"/>
  <c r="Y73" i="23" s="1"/>
  <c r="Z10" i="8"/>
  <c r="Y10" i="23" s="1"/>
  <c r="Y72" i="23" s="1"/>
  <c r="Z9" i="8"/>
  <c r="Y9" i="23" s="1"/>
  <c r="Y71" i="23" s="1"/>
  <c r="Z59" i="8"/>
  <c r="Y59" i="23" s="1"/>
  <c r="Y121" i="23" s="1"/>
  <c r="Z26" i="8"/>
  <c r="Y26" i="23" s="1"/>
  <c r="Y88" i="23" s="1"/>
  <c r="Z5" i="8"/>
  <c r="Z6" i="8"/>
  <c r="Y6" i="23" s="1"/>
  <c r="Y68" i="23" s="1"/>
  <c r="Z54" i="8"/>
  <c r="Y54" i="23" s="1"/>
  <c r="Y116" i="23" s="1"/>
  <c r="Z23" i="8"/>
  <c r="Y23" i="23" s="1"/>
  <c r="Y85" i="23" s="1"/>
  <c r="Z56" i="8"/>
  <c r="Y56" i="23" s="1"/>
  <c r="Y118" i="23" s="1"/>
  <c r="Z33" i="8"/>
  <c r="Y33" i="23" s="1"/>
  <c r="Y95" i="23" s="1"/>
  <c r="Z58" i="8"/>
  <c r="Y58" i="23" s="1"/>
  <c r="Y120" i="23" s="1"/>
  <c r="Z35" i="8"/>
  <c r="Y35" i="23" s="1"/>
  <c r="Y97" i="23" s="1"/>
  <c r="Z7" i="8"/>
  <c r="Y7" i="23" s="1"/>
  <c r="Y69" i="23" s="1"/>
  <c r="Z57" i="8"/>
  <c r="Y57" i="23" s="1"/>
  <c r="Y119" i="23" s="1"/>
  <c r="Z40" i="8"/>
  <c r="Y40" i="23" s="1"/>
  <c r="Y102" i="23" s="1"/>
  <c r="Z53" i="8"/>
  <c r="Y53" i="23" s="1"/>
  <c r="Y115" i="23" s="1"/>
  <c r="Z47" i="8"/>
  <c r="Y47" i="23" s="1"/>
  <c r="Y109" i="23" s="1"/>
  <c r="T10" i="25"/>
  <c r="T8" i="25"/>
  <c r="T6" i="25"/>
  <c r="W10" i="25"/>
  <c r="W6" i="25"/>
  <c r="W8" i="25"/>
  <c r="R8" i="11"/>
  <c r="R8" i="34" s="1"/>
  <c r="S8" i="34" s="1"/>
  <c r="R16" i="11"/>
  <c r="R16" i="34" s="1"/>
  <c r="S16" i="34" s="1"/>
  <c r="R21" i="11"/>
  <c r="R21" i="34" s="1"/>
  <c r="S21" i="34" s="1"/>
  <c r="R25" i="11"/>
  <c r="R25" i="34" s="1"/>
  <c r="S25" i="34" s="1"/>
  <c r="R45" i="11"/>
  <c r="R45" i="34" s="1"/>
  <c r="S45" i="34" s="1"/>
  <c r="R19" i="11"/>
  <c r="R19" i="34" s="1"/>
  <c r="S19" i="34" s="1"/>
  <c r="R7" i="11"/>
  <c r="R7" i="34" s="1"/>
  <c r="S7" i="34" s="1"/>
  <c r="R33" i="11"/>
  <c r="R33" i="34" s="1"/>
  <c r="S33" i="34" s="1"/>
  <c r="R37" i="11"/>
  <c r="R37" i="34" s="1"/>
  <c r="S37" i="34" s="1"/>
  <c r="R41" i="11"/>
  <c r="R41" i="34" s="1"/>
  <c r="S41" i="34" s="1"/>
  <c r="R30" i="11"/>
  <c r="R30" i="34" s="1"/>
  <c r="S30" i="34" s="1"/>
  <c r="R14" i="11"/>
  <c r="R14" i="34" s="1"/>
  <c r="S14" i="34" s="1"/>
  <c r="R6" i="11"/>
  <c r="R6" i="34" s="1"/>
  <c r="S6" i="34" s="1"/>
  <c r="R17" i="11"/>
  <c r="R17" i="34" s="1"/>
  <c r="S17" i="34" s="1"/>
  <c r="R22" i="11"/>
  <c r="R22" i="34" s="1"/>
  <c r="S22" i="34" s="1"/>
  <c r="R26" i="11"/>
  <c r="R26" i="34" s="1"/>
  <c r="S26" i="34" s="1"/>
  <c r="R13" i="11"/>
  <c r="R13" i="34" s="1"/>
  <c r="S13" i="34" s="1"/>
  <c r="R5" i="11"/>
  <c r="R5" i="34" s="1"/>
  <c r="R34" i="11"/>
  <c r="R34" i="34" s="1"/>
  <c r="S34" i="34" s="1"/>
  <c r="R38" i="11"/>
  <c r="R38" i="34" s="1"/>
  <c r="S38" i="34" s="1"/>
  <c r="R42" i="11"/>
  <c r="R42" i="34" s="1"/>
  <c r="S42" i="34" s="1"/>
  <c r="R11" i="11"/>
  <c r="R11" i="34" s="1"/>
  <c r="S11" i="34" s="1"/>
  <c r="R18" i="11"/>
  <c r="R18" i="34" s="1"/>
  <c r="S18" i="34" s="1"/>
  <c r="R23" i="11"/>
  <c r="R23" i="34" s="1"/>
  <c r="S23" i="34" s="1"/>
  <c r="R27" i="11"/>
  <c r="R27" i="34" s="1"/>
  <c r="S27" i="34" s="1"/>
  <c r="R31" i="11"/>
  <c r="R31" i="34" s="1"/>
  <c r="S31" i="34" s="1"/>
  <c r="R12" i="11"/>
  <c r="R12" i="34" s="1"/>
  <c r="S12" i="34" s="1"/>
  <c r="R40" i="11"/>
  <c r="R40" i="34" s="1"/>
  <c r="S40" i="34" s="1"/>
  <c r="R20" i="11"/>
  <c r="R20" i="34" s="1"/>
  <c r="S20" i="34" s="1"/>
  <c r="R10" i="11"/>
  <c r="R10" i="34" s="1"/>
  <c r="S10" i="34" s="1"/>
  <c r="R43" i="11"/>
  <c r="R43" i="34" s="1"/>
  <c r="S43" i="34" s="1"/>
  <c r="R28" i="11"/>
  <c r="R28" i="34" s="1"/>
  <c r="S28" i="34" s="1"/>
  <c r="R44" i="11"/>
  <c r="R44" i="34" s="1"/>
  <c r="S44" i="34" s="1"/>
  <c r="R9" i="11"/>
  <c r="R9" i="34" s="1"/>
  <c r="S9" i="34" s="1"/>
  <c r="R35" i="11"/>
  <c r="R35" i="34" s="1"/>
  <c r="S35" i="34" s="1"/>
  <c r="R15" i="11"/>
  <c r="R15" i="34" s="1"/>
  <c r="S15" i="34" s="1"/>
  <c r="R29" i="11"/>
  <c r="R29" i="34" s="1"/>
  <c r="S29" i="34" s="1"/>
  <c r="R39" i="11"/>
  <c r="R39" i="34" s="1"/>
  <c r="S39" i="34" s="1"/>
  <c r="R24" i="11"/>
  <c r="R24" i="34" s="1"/>
  <c r="S24" i="34" s="1"/>
  <c r="R36" i="11"/>
  <c r="R36" i="34" s="1"/>
  <c r="S36" i="34" s="1"/>
  <c r="R32" i="11"/>
  <c r="R32" i="34" s="1"/>
  <c r="S32" i="34" s="1"/>
  <c r="O51" i="11"/>
  <c r="O51" i="12"/>
  <c r="N44" i="11"/>
  <c r="N44" i="34" s="1"/>
  <c r="Q6" i="25"/>
  <c r="M51" i="12"/>
  <c r="M51" i="11"/>
  <c r="O29" i="7"/>
  <c r="O28" i="7"/>
  <c r="O24" i="7"/>
  <c r="O20" i="7"/>
  <c r="O21" i="7"/>
  <c r="O52" i="7"/>
  <c r="O45" i="7"/>
  <c r="O32" i="7"/>
  <c r="O37" i="7"/>
  <c r="O35" i="7"/>
  <c r="O18" i="7"/>
  <c r="O19" i="7"/>
  <c r="O41" i="7"/>
  <c r="O61" i="7"/>
  <c r="O49" i="7"/>
  <c r="O53" i="7"/>
  <c r="O27" i="7"/>
  <c r="O13" i="7"/>
  <c r="O17" i="7"/>
  <c r="O57" i="7"/>
  <c r="O33" i="7"/>
  <c r="O38" i="7"/>
  <c r="O42" i="7"/>
  <c r="O25" i="7"/>
  <c r="O10" i="7"/>
  <c r="O14" i="7"/>
  <c r="O46" i="7"/>
  <c r="O50" i="7"/>
  <c r="O54" i="7"/>
  <c r="O58" i="7"/>
  <c r="O23" i="7"/>
  <c r="O8" i="7"/>
  <c r="O9" i="7"/>
  <c r="O34" i="7"/>
  <c r="O39" i="7"/>
  <c r="O43" i="7"/>
  <c r="O47" i="7"/>
  <c r="O22" i="7"/>
  <c r="O6" i="7"/>
  <c r="O7" i="7"/>
  <c r="O51" i="7"/>
  <c r="O55" i="7"/>
  <c r="O59" i="7"/>
  <c r="O30" i="7"/>
  <c r="O15" i="7"/>
  <c r="O16" i="7"/>
  <c r="O5" i="7"/>
  <c r="O40" i="7"/>
  <c r="O44" i="7"/>
  <c r="O31" i="7"/>
  <c r="O36" i="7"/>
  <c r="O12" i="7"/>
  <c r="O56" i="7"/>
  <c r="O60" i="7"/>
  <c r="O48" i="7"/>
  <c r="O11" i="7"/>
  <c r="O26" i="7"/>
  <c r="AC27" i="7"/>
  <c r="AC13" i="7"/>
  <c r="AC17" i="7"/>
  <c r="AC54" i="7"/>
  <c r="AC58" i="7"/>
  <c r="AC51" i="7"/>
  <c r="AC55" i="7"/>
  <c r="AC25" i="7"/>
  <c r="AC10" i="7"/>
  <c r="AC14" i="7"/>
  <c r="AC43" i="7"/>
  <c r="AC47" i="7"/>
  <c r="AC40" i="7"/>
  <c r="AC44" i="7"/>
  <c r="AC30" i="7"/>
  <c r="AC23" i="7"/>
  <c r="AC8" i="7"/>
  <c r="AC9" i="7"/>
  <c r="AC59" i="7"/>
  <c r="AC36" i="7"/>
  <c r="AC56" i="7"/>
  <c r="AC60" i="7"/>
  <c r="AC28" i="7"/>
  <c r="AC21" i="7"/>
  <c r="AC6" i="7"/>
  <c r="AC7" i="7"/>
  <c r="AC31" i="7"/>
  <c r="AC52" i="7"/>
  <c r="AC32" i="7"/>
  <c r="AC24" i="7"/>
  <c r="AC12" i="7"/>
  <c r="AC11" i="7"/>
  <c r="AC37" i="7"/>
  <c r="AC41" i="7"/>
  <c r="AC61" i="7"/>
  <c r="AC33" i="7"/>
  <c r="AC16" i="7"/>
  <c r="AC42" i="7"/>
  <c r="AC22" i="7"/>
  <c r="AC45" i="7"/>
  <c r="AC26" i="7"/>
  <c r="AC19" i="7"/>
  <c r="AC46" i="7"/>
  <c r="AC35" i="7"/>
  <c r="AC5" i="7"/>
  <c r="AC34" i="7"/>
  <c r="AC29" i="7"/>
  <c r="AC53" i="7"/>
  <c r="AC49" i="7"/>
  <c r="AC15" i="7"/>
  <c r="AC38" i="7"/>
  <c r="AC50" i="7"/>
  <c r="AC20" i="7"/>
  <c r="AC48" i="7"/>
  <c r="AC39" i="7"/>
  <c r="AC18" i="7"/>
  <c r="AC57" i="7"/>
  <c r="U6" i="25"/>
  <c r="G6" i="25"/>
  <c r="K6" i="26"/>
  <c r="O10" i="25"/>
  <c r="O8" i="25"/>
  <c r="O6" i="25"/>
  <c r="R8" i="25"/>
  <c r="R10" i="25"/>
  <c r="R6" i="25"/>
  <c r="I6" i="25"/>
  <c r="E6" i="26"/>
  <c r="S6" i="25"/>
  <c r="Z51" i="11"/>
  <c r="Z51" i="12"/>
  <c r="I6" i="26"/>
  <c r="O52" i="10"/>
  <c r="C6" i="25"/>
  <c r="AA47" i="8"/>
  <c r="Z47" i="23" s="1"/>
  <c r="Z109" i="23" s="1"/>
  <c r="AA49" i="8"/>
  <c r="Z49" i="23" s="1"/>
  <c r="Z111" i="23" s="1"/>
  <c r="AA35" i="8"/>
  <c r="Z35" i="23" s="1"/>
  <c r="Z97" i="23" s="1"/>
  <c r="AA7" i="8"/>
  <c r="Z7" i="23" s="1"/>
  <c r="Z69" i="23" s="1"/>
  <c r="AA10" i="8"/>
  <c r="Z10" i="23" s="1"/>
  <c r="Z72" i="23" s="1"/>
  <c r="AA13" i="8"/>
  <c r="Z13" i="23" s="1"/>
  <c r="Z75" i="23" s="1"/>
  <c r="AA23" i="8"/>
  <c r="Z23" i="23" s="1"/>
  <c r="Z85" i="23" s="1"/>
  <c r="AA44" i="8"/>
  <c r="Z44" i="23" s="1"/>
  <c r="Z106" i="23" s="1"/>
  <c r="AA43" i="8"/>
  <c r="Z43" i="23" s="1"/>
  <c r="Z105" i="23" s="1"/>
  <c r="AA33" i="8"/>
  <c r="Z33" i="23" s="1"/>
  <c r="Z95" i="23" s="1"/>
  <c r="AA48" i="8"/>
  <c r="Z48" i="23" s="1"/>
  <c r="Z110" i="23" s="1"/>
  <c r="AA6" i="8"/>
  <c r="Z6" i="23" s="1"/>
  <c r="Z68" i="23" s="1"/>
  <c r="AA9" i="8"/>
  <c r="Z9" i="23" s="1"/>
  <c r="Z71" i="23" s="1"/>
  <c r="AA20" i="8"/>
  <c r="Z20" i="23" s="1"/>
  <c r="Z82" i="23" s="1"/>
  <c r="AA38" i="8"/>
  <c r="Z38" i="23" s="1"/>
  <c r="Z100" i="23" s="1"/>
  <c r="AA40" i="8"/>
  <c r="Z40" i="23" s="1"/>
  <c r="Z102" i="23" s="1"/>
  <c r="AA29" i="8"/>
  <c r="Z29" i="23" s="1"/>
  <c r="Z91" i="23" s="1"/>
  <c r="AA42" i="8"/>
  <c r="Z42" i="23" s="1"/>
  <c r="Z104" i="23" s="1"/>
  <c r="AA46" i="8"/>
  <c r="Z46" i="23" s="1"/>
  <c r="Z108" i="23" s="1"/>
  <c r="AA5" i="8"/>
  <c r="AA16" i="8"/>
  <c r="Z16" i="23" s="1"/>
  <c r="Z78" i="23" s="1"/>
  <c r="AA60" i="8"/>
  <c r="Z60" i="23" s="1"/>
  <c r="Z122" i="23" s="1"/>
  <c r="AA36" i="8"/>
  <c r="Z36" i="23" s="1"/>
  <c r="Z98" i="23" s="1"/>
  <c r="AA25" i="8"/>
  <c r="Z25" i="23" s="1"/>
  <c r="Z87" i="23" s="1"/>
  <c r="AA32" i="8"/>
  <c r="Z32" i="23" s="1"/>
  <c r="Z94" i="23" s="1"/>
  <c r="AA41" i="8"/>
  <c r="Z41" i="23" s="1"/>
  <c r="Z103" i="23" s="1"/>
  <c r="AA45" i="8"/>
  <c r="Z45" i="23" s="1"/>
  <c r="Z107" i="23" s="1"/>
  <c r="AA12" i="8"/>
  <c r="Z12" i="23" s="1"/>
  <c r="Z74" i="23" s="1"/>
  <c r="AA61" i="8"/>
  <c r="Z61" i="23" s="1"/>
  <c r="Z123" i="23" s="1"/>
  <c r="AA55" i="8"/>
  <c r="Z55" i="23" s="1"/>
  <c r="Z117" i="23" s="1"/>
  <c r="AA59" i="8"/>
  <c r="Z59" i="23" s="1"/>
  <c r="Z121" i="23" s="1"/>
  <c r="AA22" i="8"/>
  <c r="Z22" i="23" s="1"/>
  <c r="Z84" i="23" s="1"/>
  <c r="AA28" i="8"/>
  <c r="Z28" i="23" s="1"/>
  <c r="Z90" i="23" s="1"/>
  <c r="AA31" i="8"/>
  <c r="Z31" i="23" s="1"/>
  <c r="Z93" i="23" s="1"/>
  <c r="AA39" i="8"/>
  <c r="Z39" i="23" s="1"/>
  <c r="Z101" i="23" s="1"/>
  <c r="AA8" i="8"/>
  <c r="Z8" i="23" s="1"/>
  <c r="Z70" i="23" s="1"/>
  <c r="AA58" i="8"/>
  <c r="Z58" i="23" s="1"/>
  <c r="Z120" i="23" s="1"/>
  <c r="AA52" i="8"/>
  <c r="Z52" i="23" s="1"/>
  <c r="Z114" i="23" s="1"/>
  <c r="AA56" i="8"/>
  <c r="Z56" i="23" s="1"/>
  <c r="Z118" i="23" s="1"/>
  <c r="AA19" i="8"/>
  <c r="Z19" i="23" s="1"/>
  <c r="Z81" i="23" s="1"/>
  <c r="AA24" i="8"/>
  <c r="Z24" i="23" s="1"/>
  <c r="Z86" i="23" s="1"/>
  <c r="AA27" i="8"/>
  <c r="Z27" i="23" s="1"/>
  <c r="Z89" i="23" s="1"/>
  <c r="AA34" i="8"/>
  <c r="Z34" i="23" s="1"/>
  <c r="Z96" i="23" s="1"/>
  <c r="AA51" i="8"/>
  <c r="Z51" i="23" s="1"/>
  <c r="Z113" i="23" s="1"/>
  <c r="AA30" i="8"/>
  <c r="Z30" i="23" s="1"/>
  <c r="Z92" i="23" s="1"/>
  <c r="AA18" i="8"/>
  <c r="Z18" i="23" s="1"/>
  <c r="Z80" i="23" s="1"/>
  <c r="AA21" i="8"/>
  <c r="Z21" i="23" s="1"/>
  <c r="Z83" i="23" s="1"/>
  <c r="AA17" i="8"/>
  <c r="Z17" i="23" s="1"/>
  <c r="Z79" i="23" s="1"/>
  <c r="AA37" i="8"/>
  <c r="Z37" i="23" s="1"/>
  <c r="Z99" i="23" s="1"/>
  <c r="AA26" i="8"/>
  <c r="Z26" i="23" s="1"/>
  <c r="Z88" i="23" s="1"/>
  <c r="AA15" i="8"/>
  <c r="Z15" i="23" s="1"/>
  <c r="Z77" i="23" s="1"/>
  <c r="AA11" i="8"/>
  <c r="Z11" i="23" s="1"/>
  <c r="Z73" i="23" s="1"/>
  <c r="AA53" i="8"/>
  <c r="Z53" i="23" s="1"/>
  <c r="Z115" i="23" s="1"/>
  <c r="AA57" i="8"/>
  <c r="Z57" i="23" s="1"/>
  <c r="Z119" i="23" s="1"/>
  <c r="AA54" i="8"/>
  <c r="Z54" i="23" s="1"/>
  <c r="Z116" i="23" s="1"/>
  <c r="AA50" i="8"/>
  <c r="Z50" i="23" s="1"/>
  <c r="Z112" i="23" s="1"/>
  <c r="AA14" i="8"/>
  <c r="Z14" i="23" s="1"/>
  <c r="Z76" i="23" s="1"/>
  <c r="N10" i="25"/>
  <c r="N6" i="25"/>
  <c r="N8" i="25"/>
  <c r="B10" i="25"/>
  <c r="B6" i="25"/>
  <c r="D6" i="26"/>
  <c r="E10" i="25"/>
  <c r="E6" i="25"/>
  <c r="E8" i="25"/>
  <c r="M10" i="25"/>
  <c r="M6" i="25"/>
  <c r="F6" i="25"/>
  <c r="Y66" i="6"/>
  <c r="Y64" i="32" s="1"/>
  <c r="Y68" i="32" s="1"/>
  <c r="V66" i="6"/>
  <c r="V64" i="32" s="1"/>
  <c r="V68" i="32" s="1"/>
  <c r="V70" i="6"/>
  <c r="X60" i="7"/>
  <c r="X44" i="7"/>
  <c r="X28" i="7"/>
  <c r="X51" i="7"/>
  <c r="X35" i="7"/>
  <c r="X12" i="7"/>
  <c r="X22" i="7"/>
  <c r="X5" i="7"/>
  <c r="X58" i="7"/>
  <c r="X42" i="7"/>
  <c r="X26" i="7"/>
  <c r="X49" i="7"/>
  <c r="X33" i="7"/>
  <c r="X21" i="7"/>
  <c r="X16" i="7"/>
  <c r="X56" i="7"/>
  <c r="X40" i="7"/>
  <c r="X24" i="7"/>
  <c r="X47" i="7"/>
  <c r="X31" i="7"/>
  <c r="X20" i="7"/>
  <c r="X11" i="7"/>
  <c r="X54" i="7"/>
  <c r="X38" i="7"/>
  <c r="X61" i="7"/>
  <c r="X45" i="7"/>
  <c r="X29" i="7"/>
  <c r="X18" i="7"/>
  <c r="X19" i="7"/>
  <c r="X50" i="7"/>
  <c r="X34" i="7"/>
  <c r="X57" i="7"/>
  <c r="X41" i="7"/>
  <c r="X25" i="7"/>
  <c r="X10" i="7"/>
  <c r="X14" i="7"/>
  <c r="X32" i="7"/>
  <c r="X27" i="7"/>
  <c r="X7" i="7"/>
  <c r="X30" i="7"/>
  <c r="X23" i="7"/>
  <c r="X59" i="7"/>
  <c r="X15" i="7"/>
  <c r="X55" i="7"/>
  <c r="X13" i="7"/>
  <c r="X52" i="7"/>
  <c r="X53" i="7"/>
  <c r="X8" i="7"/>
  <c r="X48" i="7"/>
  <c r="X43" i="7"/>
  <c r="X6" i="7"/>
  <c r="X46" i="7"/>
  <c r="X39" i="7"/>
  <c r="X17" i="7"/>
  <c r="X36" i="7"/>
  <c r="X37" i="7"/>
  <c r="X9" i="7"/>
  <c r="W46" i="7"/>
  <c r="W30" i="7"/>
  <c r="W55" i="7"/>
  <c r="W39" i="7"/>
  <c r="W23" i="7"/>
  <c r="W15" i="7"/>
  <c r="W16" i="7"/>
  <c r="W60" i="7"/>
  <c r="W44" i="7"/>
  <c r="W28" i="7"/>
  <c r="W53" i="7"/>
  <c r="W37" i="7"/>
  <c r="W21" i="7"/>
  <c r="W12" i="7"/>
  <c r="W11" i="7"/>
  <c r="W58" i="7"/>
  <c r="W42" i="7"/>
  <c r="W26" i="7"/>
  <c r="W51" i="7"/>
  <c r="W35" i="7"/>
  <c r="W19" i="7"/>
  <c r="W20" i="7"/>
  <c r="W56" i="7"/>
  <c r="W40" i="7"/>
  <c r="W24" i="7"/>
  <c r="W49" i="7"/>
  <c r="W33" i="7"/>
  <c r="W17" i="7"/>
  <c r="W18" i="7"/>
  <c r="W52" i="7"/>
  <c r="W36" i="7"/>
  <c r="W61" i="7"/>
  <c r="W45" i="7"/>
  <c r="W29" i="7"/>
  <c r="W9" i="7"/>
  <c r="W10" i="7"/>
  <c r="W59" i="7"/>
  <c r="W14" i="7"/>
  <c r="W54" i="7"/>
  <c r="W57" i="7"/>
  <c r="W7" i="7"/>
  <c r="W50" i="7"/>
  <c r="W47" i="7"/>
  <c r="W5" i="7"/>
  <c r="W48" i="7"/>
  <c r="W43" i="7"/>
  <c r="W13" i="7"/>
  <c r="W38" i="7"/>
  <c r="W41" i="7"/>
  <c r="W8" i="7"/>
  <c r="W34" i="7"/>
  <c r="W31" i="7"/>
  <c r="W6" i="7"/>
  <c r="W32" i="7"/>
  <c r="W27" i="7"/>
  <c r="W22" i="7"/>
  <c r="W25" i="7"/>
  <c r="B6" i="26"/>
  <c r="J10" i="25"/>
  <c r="J6" i="25"/>
  <c r="Z52" i="10"/>
  <c r="M52" i="10"/>
  <c r="P27" i="7"/>
  <c r="P28" i="7"/>
  <c r="P8" i="7"/>
  <c r="P9" i="7"/>
  <c r="P56" i="7"/>
  <c r="P54" i="7"/>
  <c r="P52" i="7"/>
  <c r="P25" i="7"/>
  <c r="P26" i="7"/>
  <c r="P6" i="7"/>
  <c r="P7" i="7"/>
  <c r="P45" i="7"/>
  <c r="P43" i="7"/>
  <c r="P41" i="7"/>
  <c r="P39" i="7"/>
  <c r="P23" i="7"/>
  <c r="P24" i="7"/>
  <c r="P16" i="7"/>
  <c r="P5" i="7"/>
  <c r="P61" i="7"/>
  <c r="P59" i="7"/>
  <c r="P57" i="7"/>
  <c r="P35" i="7"/>
  <c r="P36" i="7"/>
  <c r="P20" i="7"/>
  <c r="P21" i="7"/>
  <c r="P12" i="7"/>
  <c r="P55" i="7"/>
  <c r="P53" i="7"/>
  <c r="P32" i="7"/>
  <c r="P17" i="7"/>
  <c r="P60" i="7"/>
  <c r="P30" i="7"/>
  <c r="P14" i="7"/>
  <c r="P49" i="7"/>
  <c r="P37" i="7"/>
  <c r="P22" i="7"/>
  <c r="P15" i="7"/>
  <c r="P48" i="7"/>
  <c r="P33" i="7"/>
  <c r="P18" i="7"/>
  <c r="P46" i="7"/>
  <c r="P42" i="7"/>
  <c r="P31" i="7"/>
  <c r="P13" i="7"/>
  <c r="P51" i="7"/>
  <c r="P58" i="7"/>
  <c r="P29" i="7"/>
  <c r="P10" i="7"/>
  <c r="P40" i="7"/>
  <c r="P47" i="7"/>
  <c r="P38" i="7"/>
  <c r="P11" i="7"/>
  <c r="P50" i="7"/>
  <c r="P44" i="7"/>
  <c r="P19" i="7"/>
  <c r="P34" i="7"/>
  <c r="J8" i="25"/>
  <c r="H8" i="25"/>
  <c r="H10" i="25"/>
  <c r="H6" i="25"/>
  <c r="F6" i="26"/>
  <c r="L6" i="26"/>
  <c r="P51" i="11"/>
  <c r="P51" i="12"/>
  <c r="T52" i="10"/>
  <c r="U49" i="7"/>
  <c r="U33" i="7"/>
  <c r="U58" i="7"/>
  <c r="U42" i="7"/>
  <c r="U26" i="7"/>
  <c r="U6" i="7"/>
  <c r="U5" i="7"/>
  <c r="U47" i="7"/>
  <c r="U31" i="7"/>
  <c r="U56" i="7"/>
  <c r="U40" i="7"/>
  <c r="U24" i="7"/>
  <c r="U16" i="7"/>
  <c r="U15" i="7"/>
  <c r="U61" i="7"/>
  <c r="U45" i="7"/>
  <c r="U29" i="7"/>
  <c r="U54" i="7"/>
  <c r="U38" i="7"/>
  <c r="U22" i="7"/>
  <c r="U11" i="7"/>
  <c r="U12" i="7"/>
  <c r="U59" i="7"/>
  <c r="U43" i="7"/>
  <c r="U27" i="7"/>
  <c r="U52" i="7"/>
  <c r="U36" i="7"/>
  <c r="U20" i="7"/>
  <c r="U19" i="7"/>
  <c r="U55" i="7"/>
  <c r="U39" i="7"/>
  <c r="U23" i="7"/>
  <c r="U48" i="7"/>
  <c r="U32" i="7"/>
  <c r="U13" i="7"/>
  <c r="U14" i="7"/>
  <c r="U51" i="7"/>
  <c r="U46" i="7"/>
  <c r="U17" i="7"/>
  <c r="U41" i="7"/>
  <c r="U44" i="7"/>
  <c r="U9" i="7"/>
  <c r="U37" i="7"/>
  <c r="U34" i="7"/>
  <c r="U7" i="7"/>
  <c r="U35" i="7"/>
  <c r="U30" i="7"/>
  <c r="U25" i="7"/>
  <c r="U28" i="7"/>
  <c r="U21" i="7"/>
  <c r="U18" i="7"/>
  <c r="U57" i="7"/>
  <c r="U60" i="7"/>
  <c r="U10" i="7"/>
  <c r="U53" i="7"/>
  <c r="U50" i="7"/>
  <c r="U8" i="7"/>
  <c r="L10" i="25"/>
  <c r="L6" i="25"/>
  <c r="U12" i="11"/>
  <c r="U12" i="34" s="1"/>
  <c r="U23" i="11"/>
  <c r="U23" i="34" s="1"/>
  <c r="U27" i="11"/>
  <c r="U27" i="34" s="1"/>
  <c r="U31" i="11"/>
  <c r="U31" i="34" s="1"/>
  <c r="U20" i="11"/>
  <c r="U20" i="34" s="1"/>
  <c r="U10" i="11"/>
  <c r="U10" i="34" s="1"/>
  <c r="U39" i="11"/>
  <c r="U39" i="34" s="1"/>
  <c r="U43" i="11"/>
  <c r="U43" i="34" s="1"/>
  <c r="U15" i="11"/>
  <c r="U15" i="34" s="1"/>
  <c r="U36" i="11"/>
  <c r="U36" i="34" s="1"/>
  <c r="U9" i="11"/>
  <c r="U9" i="34" s="1"/>
  <c r="U24" i="11"/>
  <c r="U24" i="34" s="1"/>
  <c r="U28" i="11"/>
  <c r="U28" i="34" s="1"/>
  <c r="U32" i="11"/>
  <c r="U32" i="34" s="1"/>
  <c r="U16" i="11"/>
  <c r="U16" i="34" s="1"/>
  <c r="U8" i="11"/>
  <c r="U8" i="34" s="1"/>
  <c r="U40" i="11"/>
  <c r="U40" i="34" s="1"/>
  <c r="U44" i="11"/>
  <c r="U44" i="34" s="1"/>
  <c r="U29" i="11"/>
  <c r="U29" i="34" s="1"/>
  <c r="U33" i="11"/>
  <c r="U33" i="34" s="1"/>
  <c r="U7" i="11"/>
  <c r="U7" i="34" s="1"/>
  <c r="U21" i="11"/>
  <c r="U21" i="34" s="1"/>
  <c r="U25" i="11"/>
  <c r="U25" i="34" s="1"/>
  <c r="U45" i="11"/>
  <c r="U45" i="34" s="1"/>
  <c r="U17" i="11"/>
  <c r="U17" i="34" s="1"/>
  <c r="U19" i="11"/>
  <c r="U19" i="34" s="1"/>
  <c r="U6" i="11"/>
  <c r="U6" i="34" s="1"/>
  <c r="U37" i="11"/>
  <c r="U37" i="34" s="1"/>
  <c r="U41" i="11"/>
  <c r="U41" i="34" s="1"/>
  <c r="U30" i="11"/>
  <c r="U30" i="34" s="1"/>
  <c r="U34" i="11"/>
  <c r="U34" i="34" s="1"/>
  <c r="U26" i="11"/>
  <c r="U26" i="34" s="1"/>
  <c r="U42" i="11"/>
  <c r="U42" i="34" s="1"/>
  <c r="U14" i="11"/>
  <c r="U14" i="34" s="1"/>
  <c r="U13" i="11"/>
  <c r="U13" i="34" s="1"/>
  <c r="U5" i="11"/>
  <c r="U5" i="34" s="1"/>
  <c r="U18" i="11"/>
  <c r="U18" i="34" s="1"/>
  <c r="U35" i="11"/>
  <c r="U35" i="34" s="1"/>
  <c r="U22" i="11"/>
  <c r="U22" i="34" s="1"/>
  <c r="U38" i="11"/>
  <c r="U38" i="34" s="1"/>
  <c r="U11" i="11"/>
  <c r="U11" i="34" s="1"/>
  <c r="P8" i="25"/>
  <c r="S30" i="7"/>
  <c r="S23" i="7"/>
  <c r="S6" i="7"/>
  <c r="S28" i="7"/>
  <c r="S15" i="7"/>
  <c r="S16" i="7"/>
  <c r="S7" i="7"/>
  <c r="S44" i="7"/>
  <c r="S31" i="7"/>
  <c r="S52" i="7"/>
  <c r="S26" i="7"/>
  <c r="S12" i="7"/>
  <c r="S11" i="7"/>
  <c r="S5" i="7"/>
  <c r="S60" i="7"/>
  <c r="S48" i="7"/>
  <c r="S45" i="7"/>
  <c r="S24" i="7"/>
  <c r="S20" i="7"/>
  <c r="S22" i="7"/>
  <c r="S32" i="7"/>
  <c r="S37" i="7"/>
  <c r="S41" i="7"/>
  <c r="S61" i="7"/>
  <c r="S29" i="7"/>
  <c r="S13" i="7"/>
  <c r="S19" i="7"/>
  <c r="S33" i="7"/>
  <c r="S38" i="7"/>
  <c r="S42" i="7"/>
  <c r="S34" i="7"/>
  <c r="S35" i="7"/>
  <c r="S14" i="7"/>
  <c r="S43" i="7"/>
  <c r="S40" i="7"/>
  <c r="S27" i="7"/>
  <c r="S9" i="7"/>
  <c r="S59" i="7"/>
  <c r="S56" i="7"/>
  <c r="S25" i="7"/>
  <c r="S49" i="7"/>
  <c r="S57" i="7"/>
  <c r="S18" i="7"/>
  <c r="S50" i="7"/>
  <c r="S58" i="7"/>
  <c r="S10" i="7"/>
  <c r="S39" i="7"/>
  <c r="S47" i="7"/>
  <c r="S8" i="7"/>
  <c r="S55" i="7"/>
  <c r="S36" i="7"/>
  <c r="S21" i="7"/>
  <c r="S53" i="7"/>
  <c r="S46" i="7"/>
  <c r="S17" i="7"/>
  <c r="S54" i="7"/>
  <c r="S51" i="7"/>
  <c r="Q8" i="25"/>
  <c r="M74" i="6"/>
  <c r="M73" i="6"/>
  <c r="D8" i="25"/>
  <c r="D10" i="25"/>
  <c r="D6" i="25"/>
  <c r="V8" i="25"/>
  <c r="V10" i="25"/>
  <c r="V6" i="25"/>
  <c r="T51" i="11"/>
  <c r="T51" i="12"/>
  <c r="N51" i="11"/>
  <c r="N51" i="12"/>
  <c r="U51" i="12"/>
  <c r="U51" i="11"/>
  <c r="P6" i="25"/>
  <c r="M65" i="6"/>
  <c r="M70" i="6" s="1"/>
  <c r="M22" i="7" s="1"/>
  <c r="R32" i="7"/>
  <c r="R35" i="7"/>
  <c r="R19" i="7"/>
  <c r="R20" i="7"/>
  <c r="R47" i="7"/>
  <c r="R57" i="7"/>
  <c r="R43" i="7"/>
  <c r="R30" i="7"/>
  <c r="R33" i="7"/>
  <c r="R17" i="7"/>
  <c r="R18" i="7"/>
  <c r="R48" i="7"/>
  <c r="R46" i="7"/>
  <c r="R59" i="7"/>
  <c r="R28" i="7"/>
  <c r="R31" i="7"/>
  <c r="R14" i="7"/>
  <c r="R13" i="7"/>
  <c r="R53" i="7"/>
  <c r="R55" i="7"/>
  <c r="R44" i="7"/>
  <c r="R26" i="7"/>
  <c r="R29" i="7"/>
  <c r="R9" i="7"/>
  <c r="R10" i="7"/>
  <c r="R42" i="7"/>
  <c r="R40" i="7"/>
  <c r="R60" i="7"/>
  <c r="R24" i="7"/>
  <c r="R27" i="7"/>
  <c r="R7" i="7"/>
  <c r="R8" i="7"/>
  <c r="R58" i="7"/>
  <c r="R56" i="7"/>
  <c r="R49" i="7"/>
  <c r="R38" i="7"/>
  <c r="R22" i="7"/>
  <c r="R25" i="7"/>
  <c r="R5" i="7"/>
  <c r="R6" i="7"/>
  <c r="R51" i="7"/>
  <c r="R45" i="7"/>
  <c r="R54" i="7"/>
  <c r="R36" i="7"/>
  <c r="R39" i="7"/>
  <c r="R23" i="7"/>
  <c r="R15" i="7"/>
  <c r="R16" i="7"/>
  <c r="R52" i="7"/>
  <c r="R61" i="7"/>
  <c r="R11" i="7"/>
  <c r="R41" i="7"/>
  <c r="R12" i="7"/>
  <c r="R50" i="7"/>
  <c r="R34" i="7"/>
  <c r="R21" i="7"/>
  <c r="R37" i="7"/>
  <c r="L34" i="7"/>
  <c r="L9" i="7"/>
  <c r="L6" i="7"/>
  <c r="L44" i="7"/>
  <c r="L29" i="7"/>
  <c r="L41" i="7"/>
  <c r="L45" i="7"/>
  <c r="L39" i="7"/>
  <c r="L32" i="7"/>
  <c r="L5" i="7"/>
  <c r="L21" i="7"/>
  <c r="L60" i="7"/>
  <c r="L53" i="7"/>
  <c r="L57" i="7"/>
  <c r="L61" i="7"/>
  <c r="L37" i="7"/>
  <c r="L26" i="7"/>
  <c r="L15" i="7"/>
  <c r="L11" i="7"/>
  <c r="L49" i="7"/>
  <c r="L17" i="7"/>
  <c r="L7" i="7"/>
  <c r="L33" i="7"/>
  <c r="L24" i="7"/>
  <c r="L20" i="7"/>
  <c r="L12" i="7"/>
  <c r="L30" i="7"/>
  <c r="L42" i="7"/>
  <c r="L46" i="7"/>
  <c r="L25" i="7"/>
  <c r="L23" i="7"/>
  <c r="L13" i="7"/>
  <c r="L50" i="7"/>
  <c r="L43" i="7"/>
  <c r="L47" i="7"/>
  <c r="L51" i="7"/>
  <c r="L16" i="7"/>
  <c r="L55" i="7"/>
  <c r="L40" i="7"/>
  <c r="L19" i="7"/>
  <c r="L54" i="7"/>
  <c r="L56" i="7"/>
  <c r="L14" i="7"/>
  <c r="L59" i="7"/>
  <c r="L18" i="7"/>
  <c r="L48" i="7"/>
  <c r="L10" i="7"/>
  <c r="L58" i="7"/>
  <c r="L31" i="7"/>
  <c r="L8" i="7"/>
  <c r="L28" i="7"/>
  <c r="L38" i="7"/>
  <c r="L22" i="7"/>
  <c r="L52" i="7"/>
  <c r="L36" i="7"/>
  <c r="L27" i="7"/>
  <c r="L35" i="7"/>
  <c r="Q39" i="7"/>
  <c r="Q34" i="7"/>
  <c r="Q5" i="7"/>
  <c r="Q29" i="7"/>
  <c r="Q7" i="7"/>
  <c r="Q52" i="7"/>
  <c r="Q56" i="7"/>
  <c r="Q60" i="7"/>
  <c r="Q37" i="7"/>
  <c r="Q32" i="7"/>
  <c r="Q15" i="7"/>
  <c r="Q53" i="7"/>
  <c r="Q11" i="7"/>
  <c r="Q21" i="7"/>
  <c r="Q12" i="7"/>
  <c r="Q33" i="7"/>
  <c r="Q26" i="7"/>
  <c r="Q20" i="7"/>
  <c r="Q30" i="7"/>
  <c r="Q41" i="7"/>
  <c r="Q45" i="7"/>
  <c r="Q49" i="7"/>
  <c r="Q25" i="7"/>
  <c r="Q16" i="7"/>
  <c r="Q13" i="7"/>
  <c r="Q43" i="7"/>
  <c r="Q42" i="7"/>
  <c r="Q46" i="7"/>
  <c r="Q50" i="7"/>
  <c r="Q14" i="7"/>
  <c r="Q48" i="7"/>
  <c r="Q51" i="7"/>
  <c r="Q9" i="7"/>
  <c r="Q17" i="7"/>
  <c r="Q40" i="7"/>
  <c r="Q31" i="7"/>
  <c r="Q18" i="7"/>
  <c r="Q57" i="7"/>
  <c r="Q22" i="7"/>
  <c r="Q23" i="7"/>
  <c r="Q10" i="7"/>
  <c r="Q58" i="7"/>
  <c r="Q35" i="7"/>
  <c r="Q38" i="7"/>
  <c r="Q8" i="7"/>
  <c r="Q47" i="7"/>
  <c r="Q55" i="7"/>
  <c r="Q36" i="7"/>
  <c r="Q6" i="7"/>
  <c r="Q28" i="7"/>
  <c r="Q44" i="7"/>
  <c r="Q24" i="7"/>
  <c r="Q54" i="7"/>
  <c r="Q61" i="7"/>
  <c r="Q59" i="7"/>
  <c r="Q19" i="7"/>
  <c r="Q27" i="7"/>
  <c r="H6" i="26"/>
  <c r="V51" i="11"/>
  <c r="V51" i="12"/>
  <c r="V52" i="10"/>
  <c r="Q10" i="25"/>
  <c r="AI58" i="7"/>
  <c r="AI43" i="7"/>
  <c r="AI39" i="7"/>
  <c r="AI31" i="7"/>
  <c r="AI47" i="7"/>
  <c r="AI54" i="7"/>
  <c r="AI50" i="7"/>
  <c r="AI51" i="7"/>
  <c r="AI44" i="7"/>
  <c r="AI38" i="7"/>
  <c r="AI33" i="7"/>
  <c r="AI34" i="7"/>
  <c r="AI45" i="7"/>
  <c r="AI57" i="7"/>
  <c r="AI53" i="7"/>
  <c r="AI46" i="7"/>
  <c r="AI60" i="7"/>
  <c r="AI61" i="7"/>
  <c r="AI56" i="7"/>
  <c r="AI52" i="7"/>
  <c r="AI40" i="7"/>
  <c r="AI49" i="7"/>
  <c r="AI35" i="7"/>
  <c r="AI12" i="7"/>
  <c r="AI59" i="7"/>
  <c r="AI29" i="7"/>
  <c r="AI9" i="7"/>
  <c r="AI41" i="7"/>
  <c r="AI27" i="7"/>
  <c r="AI7" i="7"/>
  <c r="AI36" i="7"/>
  <c r="AI30" i="7"/>
  <c r="AI25" i="7"/>
  <c r="AI5" i="7"/>
  <c r="AI55" i="7"/>
  <c r="AI28" i="7"/>
  <c r="AI23" i="7"/>
  <c r="AI32" i="7"/>
  <c r="AI37" i="7"/>
  <c r="AI42" i="7"/>
  <c r="AI21" i="7"/>
  <c r="AI13" i="7"/>
  <c r="AI18" i="7"/>
  <c r="AI19" i="7"/>
  <c r="AI8" i="7"/>
  <c r="AI17" i="7"/>
  <c r="AI15" i="7"/>
  <c r="AI10" i="7"/>
  <c r="AI24" i="7"/>
  <c r="AI22" i="7"/>
  <c r="AI6" i="7"/>
  <c r="AI14" i="7"/>
  <c r="AI48" i="7"/>
  <c r="AI11" i="7"/>
  <c r="AI16" i="7"/>
  <c r="AI26" i="7"/>
  <c r="AI20" i="7"/>
  <c r="AH26" i="7"/>
  <c r="AH12" i="7"/>
  <c r="AH16" i="7"/>
  <c r="AH45" i="7"/>
  <c r="AH32" i="7"/>
  <c r="AH53" i="7"/>
  <c r="AH57" i="7"/>
  <c r="AH35" i="7"/>
  <c r="AH24" i="7"/>
  <c r="AH9" i="7"/>
  <c r="AH13" i="7"/>
  <c r="AH61" i="7"/>
  <c r="AH49" i="7"/>
  <c r="AH42" i="7"/>
  <c r="AH46" i="7"/>
  <c r="AH29" i="7"/>
  <c r="AH22" i="7"/>
  <c r="AH7" i="7"/>
  <c r="AH8" i="7"/>
  <c r="AH33" i="7"/>
  <c r="AH38" i="7"/>
  <c r="AH58" i="7"/>
  <c r="AH25" i="7"/>
  <c r="AH11" i="7"/>
  <c r="AH15" i="7"/>
  <c r="AH39" i="7"/>
  <c r="AH43" i="7"/>
  <c r="AH47" i="7"/>
  <c r="AH51" i="7"/>
  <c r="AH30" i="7"/>
  <c r="AH20" i="7"/>
  <c r="AH44" i="7"/>
  <c r="AH52" i="7"/>
  <c r="AH28" i="7"/>
  <c r="AH18" i="7"/>
  <c r="AH60" i="7"/>
  <c r="AH41" i="7"/>
  <c r="AH14" i="7"/>
  <c r="AH6" i="7"/>
  <c r="AH54" i="7"/>
  <c r="AH21" i="7"/>
  <c r="AH55" i="7"/>
  <c r="AH31" i="7"/>
  <c r="AH19" i="7"/>
  <c r="AH40" i="7"/>
  <c r="AH48" i="7"/>
  <c r="AH17" i="7"/>
  <c r="AH56" i="7"/>
  <c r="AH37" i="7"/>
  <c r="AH27" i="7"/>
  <c r="AH5" i="7"/>
  <c r="AH50" i="7"/>
  <c r="AH34" i="7"/>
  <c r="AH59" i="7"/>
  <c r="AH36" i="7"/>
  <c r="AH23" i="7"/>
  <c r="AH10" i="7"/>
  <c r="N64" i="8"/>
  <c r="N64" i="9"/>
  <c r="N64" i="7"/>
  <c r="N44" i="12"/>
  <c r="D46" i="5"/>
  <c r="Q48" i="13"/>
  <c r="Q48" i="12"/>
  <c r="Q48" i="10"/>
  <c r="Q48" i="11"/>
  <c r="L51" i="10"/>
  <c r="D10" i="5"/>
  <c r="T66" i="6" s="1"/>
  <c r="T64" i="32" s="1"/>
  <c r="N32" i="11" l="1"/>
  <c r="N19" i="11"/>
  <c r="N23" i="11"/>
  <c r="N36" i="11"/>
  <c r="N36" i="12" s="1"/>
  <c r="N44" i="13"/>
  <c r="AH56" i="9"/>
  <c r="AI59" i="9"/>
  <c r="Q22" i="9"/>
  <c r="L27" i="9"/>
  <c r="L39" i="9"/>
  <c r="R33" i="9"/>
  <c r="X52" i="34"/>
  <c r="L51" i="34"/>
  <c r="AH10" i="9"/>
  <c r="AH37" i="9"/>
  <c r="AH21" i="9"/>
  <c r="AH52" i="9"/>
  <c r="AH15" i="9"/>
  <c r="AH24" i="9"/>
  <c r="AH26" i="9"/>
  <c r="AI22" i="9"/>
  <c r="AI61" i="9"/>
  <c r="AI38" i="9"/>
  <c r="AI43" i="9"/>
  <c r="Q19" i="9"/>
  <c r="Q36" i="9"/>
  <c r="Q23" i="9"/>
  <c r="Q51" i="9"/>
  <c r="Q16" i="9"/>
  <c r="Q33" i="9"/>
  <c r="Q60" i="9"/>
  <c r="L35" i="9"/>
  <c r="L31" i="9"/>
  <c r="L54" i="9"/>
  <c r="L50" i="9"/>
  <c r="L20" i="9"/>
  <c r="L26" i="9"/>
  <c r="L32" i="9"/>
  <c r="L34" i="9"/>
  <c r="R61" i="9"/>
  <c r="R45" i="9"/>
  <c r="R56" i="9"/>
  <c r="R42" i="9"/>
  <c r="R13" i="9"/>
  <c r="R17" i="9"/>
  <c r="R35" i="9"/>
  <c r="U8" i="9"/>
  <c r="U48" i="9"/>
  <c r="U27" i="9"/>
  <c r="U29" i="9"/>
  <c r="U31" i="9"/>
  <c r="U49" i="9"/>
  <c r="P47" i="9"/>
  <c r="P42" i="9"/>
  <c r="P49" i="9"/>
  <c r="P12" i="9"/>
  <c r="P7" i="9"/>
  <c r="P8" i="9"/>
  <c r="W25" i="9"/>
  <c r="W41" i="9"/>
  <c r="W24" i="9"/>
  <c r="W46" i="9"/>
  <c r="X43" i="9"/>
  <c r="X59" i="9"/>
  <c r="X45" i="9"/>
  <c r="X24" i="9"/>
  <c r="X44" i="9"/>
  <c r="N32" i="12"/>
  <c r="N32" i="34"/>
  <c r="AH35" i="9"/>
  <c r="Q55" i="9"/>
  <c r="L37" i="9"/>
  <c r="W22" i="9"/>
  <c r="O43" i="9"/>
  <c r="O20" i="9"/>
  <c r="Q61" i="9"/>
  <c r="Q57" i="9"/>
  <c r="R21" i="9"/>
  <c r="R9" i="9"/>
  <c r="U39" i="9"/>
  <c r="P34" i="9"/>
  <c r="P24" i="9"/>
  <c r="AH59" i="9"/>
  <c r="AH30" i="9"/>
  <c r="AH53" i="9"/>
  <c r="Q11" i="9"/>
  <c r="L48" i="9"/>
  <c r="L25" i="9"/>
  <c r="L41" i="9"/>
  <c r="R34" i="9"/>
  <c r="R15" i="9"/>
  <c r="R7" i="9"/>
  <c r="R29" i="9"/>
  <c r="R28" i="9"/>
  <c r="R43" i="9"/>
  <c r="U10" i="9"/>
  <c r="U35" i="9"/>
  <c r="U46" i="9"/>
  <c r="U55" i="9"/>
  <c r="U12" i="9"/>
  <c r="U15" i="9"/>
  <c r="U6" i="9"/>
  <c r="P19" i="9"/>
  <c r="P29" i="9"/>
  <c r="P33" i="9"/>
  <c r="P60" i="9"/>
  <c r="P36" i="9"/>
  <c r="P23" i="9"/>
  <c r="P25" i="9"/>
  <c r="W32" i="9"/>
  <c r="W14" i="9"/>
  <c r="W15" i="9"/>
  <c r="X36" i="9"/>
  <c r="X53" i="9"/>
  <c r="X7" i="9"/>
  <c r="X54" i="9"/>
  <c r="X22" i="9"/>
  <c r="O31" i="9"/>
  <c r="O55" i="9"/>
  <c r="O34" i="9"/>
  <c r="O14" i="9"/>
  <c r="O13" i="9"/>
  <c r="O35" i="9"/>
  <c r="O28" i="9"/>
  <c r="N38" i="11"/>
  <c r="N38" i="12" s="1"/>
  <c r="AI25" i="9"/>
  <c r="Q59" i="9"/>
  <c r="Q56" i="9"/>
  <c r="L19" i="9"/>
  <c r="R52" i="9"/>
  <c r="R10" i="9"/>
  <c r="P40" i="9"/>
  <c r="O30" i="9"/>
  <c r="O57" i="9"/>
  <c r="U47" i="34"/>
  <c r="P18" i="9"/>
  <c r="O59" i="9"/>
  <c r="O17" i="9"/>
  <c r="N23" i="12"/>
  <c r="N23" i="34"/>
  <c r="AI53" i="9"/>
  <c r="Q18" i="9"/>
  <c r="AH34" i="9"/>
  <c r="AH40" i="9"/>
  <c r="AH41" i="9"/>
  <c r="AH51" i="9"/>
  <c r="AH49" i="9"/>
  <c r="AH32" i="9"/>
  <c r="AI17" i="9"/>
  <c r="AI32" i="9"/>
  <c r="AI49" i="9"/>
  <c r="AI57" i="9"/>
  <c r="AI54" i="9"/>
  <c r="Q24" i="9"/>
  <c r="Q38" i="9"/>
  <c r="Q31" i="9"/>
  <c r="Q46" i="9"/>
  <c r="Q41" i="9"/>
  <c r="Q53" i="9"/>
  <c r="Q29" i="9"/>
  <c r="L22" i="9"/>
  <c r="L18" i="9"/>
  <c r="L16" i="9"/>
  <c r="L46" i="9"/>
  <c r="L17" i="9"/>
  <c r="L53" i="9"/>
  <c r="L29" i="9"/>
  <c r="R50" i="9"/>
  <c r="R23" i="9"/>
  <c r="R25" i="9"/>
  <c r="R27" i="9"/>
  <c r="R26" i="9"/>
  <c r="R59" i="9"/>
  <c r="R57" i="9"/>
  <c r="U19" i="9"/>
  <c r="U11" i="9"/>
  <c r="U16" i="9"/>
  <c r="U26" i="9"/>
  <c r="P44" i="9"/>
  <c r="P58" i="9"/>
  <c r="P48" i="9"/>
  <c r="P17" i="9"/>
  <c r="P35" i="9"/>
  <c r="P39" i="9"/>
  <c r="P52" i="9"/>
  <c r="W6" i="9"/>
  <c r="W48" i="9"/>
  <c r="W18" i="9"/>
  <c r="W23" i="9"/>
  <c r="X17" i="9"/>
  <c r="X52" i="9"/>
  <c r="X27" i="9"/>
  <c r="X12" i="9"/>
  <c r="O26" i="9"/>
  <c r="O44" i="9"/>
  <c r="O51" i="9"/>
  <c r="O9" i="9"/>
  <c r="O10" i="9"/>
  <c r="O27" i="9"/>
  <c r="O37" i="9"/>
  <c r="O29" i="9"/>
  <c r="N20" i="11"/>
  <c r="AA63" i="32"/>
  <c r="AH23" i="9"/>
  <c r="AH11" i="9"/>
  <c r="AI60" i="9"/>
  <c r="Q12" i="9"/>
  <c r="L24" i="9"/>
  <c r="R58" i="9"/>
  <c r="U45" i="9"/>
  <c r="P46" i="9"/>
  <c r="O50" i="9"/>
  <c r="AH36" i="9"/>
  <c r="Q47" i="9"/>
  <c r="L61" i="9"/>
  <c r="R16" i="9"/>
  <c r="R8" i="9"/>
  <c r="R30" i="9"/>
  <c r="U61" i="9"/>
  <c r="W56" i="9"/>
  <c r="O39" i="9"/>
  <c r="O24" i="9"/>
  <c r="S5" i="34"/>
  <c r="S47" i="34" s="1"/>
  <c r="R47" i="34"/>
  <c r="AH42" i="9"/>
  <c r="AI36" i="9"/>
  <c r="AI50" i="9"/>
  <c r="AH50" i="9"/>
  <c r="AH19" i="9"/>
  <c r="AH60" i="9"/>
  <c r="AH47" i="9"/>
  <c r="AH61" i="9"/>
  <c r="AH45" i="9"/>
  <c r="AI48" i="9"/>
  <c r="AI40" i="9"/>
  <c r="AI45" i="9"/>
  <c r="AI47" i="9"/>
  <c r="Q44" i="9"/>
  <c r="Q35" i="9"/>
  <c r="Q40" i="9"/>
  <c r="Q42" i="9"/>
  <c r="Q30" i="9"/>
  <c r="Q15" i="9"/>
  <c r="L38" i="9"/>
  <c r="L59" i="9"/>
  <c r="L51" i="9"/>
  <c r="L42" i="9"/>
  <c r="L49" i="9"/>
  <c r="L60" i="9"/>
  <c r="L44" i="9"/>
  <c r="R12" i="9"/>
  <c r="R39" i="9"/>
  <c r="R22" i="9"/>
  <c r="R24" i="9"/>
  <c r="R44" i="9"/>
  <c r="R46" i="9"/>
  <c r="R47" i="9"/>
  <c r="U57" i="9"/>
  <c r="U34" i="9"/>
  <c r="U14" i="9"/>
  <c r="U20" i="9"/>
  <c r="U22" i="9"/>
  <c r="U24" i="9"/>
  <c r="U42" i="9"/>
  <c r="P50" i="9"/>
  <c r="P51" i="9"/>
  <c r="P15" i="9"/>
  <c r="P32" i="9"/>
  <c r="P57" i="9"/>
  <c r="P41" i="9"/>
  <c r="P54" i="9"/>
  <c r="W31" i="9"/>
  <c r="W17" i="9"/>
  <c r="W39" i="9"/>
  <c r="X13" i="9"/>
  <c r="X20" i="9"/>
  <c r="X35" i="9"/>
  <c r="O11" i="9"/>
  <c r="O40" i="9"/>
  <c r="O7" i="9"/>
  <c r="O8" i="9"/>
  <c r="O25" i="9"/>
  <c r="O53" i="9"/>
  <c r="O32" i="9"/>
  <c r="N37" i="11"/>
  <c r="AH54" i="9"/>
  <c r="AI58" i="9"/>
  <c r="Q25" i="9"/>
  <c r="L13" i="9"/>
  <c r="R51" i="9"/>
  <c r="R14" i="9"/>
  <c r="P21" i="9"/>
  <c r="O12" i="9"/>
  <c r="O19" i="9"/>
  <c r="N19" i="12"/>
  <c r="AH25" i="9"/>
  <c r="AI30" i="9"/>
  <c r="AI51" i="9"/>
  <c r="L10" i="9"/>
  <c r="L40" i="9"/>
  <c r="R6" i="9"/>
  <c r="R31" i="9"/>
  <c r="O36" i="9"/>
  <c r="O18" i="9"/>
  <c r="AH31" i="9"/>
  <c r="AH16" i="9"/>
  <c r="AI41" i="9"/>
  <c r="AI34" i="9"/>
  <c r="Q58" i="9"/>
  <c r="Q43" i="9"/>
  <c r="Q32" i="9"/>
  <c r="L28" i="9"/>
  <c r="L30" i="9"/>
  <c r="L21" i="9"/>
  <c r="R36" i="9"/>
  <c r="R55" i="9"/>
  <c r="U18" i="9"/>
  <c r="U37" i="9"/>
  <c r="U13" i="9"/>
  <c r="U36" i="9"/>
  <c r="U38" i="9"/>
  <c r="U40" i="9"/>
  <c r="U58" i="9"/>
  <c r="P11" i="9"/>
  <c r="P13" i="9"/>
  <c r="P22" i="9"/>
  <c r="P53" i="9"/>
  <c r="P59" i="9"/>
  <c r="P43" i="9"/>
  <c r="P56" i="9"/>
  <c r="W47" i="9"/>
  <c r="W33" i="9"/>
  <c r="W55" i="9"/>
  <c r="X46" i="9"/>
  <c r="X31" i="9"/>
  <c r="X51" i="9"/>
  <c r="O48" i="9"/>
  <c r="O6" i="9"/>
  <c r="O23" i="9"/>
  <c r="O42" i="9"/>
  <c r="O49" i="9"/>
  <c r="O45" i="9"/>
  <c r="N36" i="13"/>
  <c r="N36" i="24" s="1"/>
  <c r="N82" i="24" s="1"/>
  <c r="N36" i="34"/>
  <c r="Z63" i="32"/>
  <c r="AH44" i="9"/>
  <c r="AI44" i="9"/>
  <c r="Q48" i="9"/>
  <c r="L58" i="9"/>
  <c r="R37" i="9"/>
  <c r="R32" i="9"/>
  <c r="M22" i="9"/>
  <c r="P10" i="9"/>
  <c r="O46" i="9"/>
  <c r="AH18" i="9"/>
  <c r="AH43" i="9"/>
  <c r="AH13" i="9"/>
  <c r="AI52" i="9"/>
  <c r="AI31" i="9"/>
  <c r="Q28" i="9"/>
  <c r="Q17" i="9"/>
  <c r="Q20" i="9"/>
  <c r="Q34" i="9"/>
  <c r="L14" i="9"/>
  <c r="L47" i="9"/>
  <c r="L11" i="9"/>
  <c r="L6" i="9"/>
  <c r="R41" i="9"/>
  <c r="R38" i="9"/>
  <c r="R60" i="9"/>
  <c r="R48" i="9"/>
  <c r="R20" i="9"/>
  <c r="AH27" i="9"/>
  <c r="AH55" i="9"/>
  <c r="AH28" i="9"/>
  <c r="AH39" i="9"/>
  <c r="AH9" i="9"/>
  <c r="AH12" i="9"/>
  <c r="AI6" i="9"/>
  <c r="AI18" i="9"/>
  <c r="AI55" i="9"/>
  <c r="AI56" i="9"/>
  <c r="AI33" i="9"/>
  <c r="AI39" i="9"/>
  <c r="Q27" i="9"/>
  <c r="Q6" i="9"/>
  <c r="Q10" i="9"/>
  <c r="Q9" i="9"/>
  <c r="Q13" i="9"/>
  <c r="Q26" i="9"/>
  <c r="Q37" i="9"/>
  <c r="Q39" i="9"/>
  <c r="L8" i="9"/>
  <c r="L56" i="9"/>
  <c r="L43" i="9"/>
  <c r="L12" i="9"/>
  <c r="L15" i="9"/>
  <c r="L9" i="9"/>
  <c r="R11" i="9"/>
  <c r="R54" i="9"/>
  <c r="R49" i="9"/>
  <c r="R40" i="9"/>
  <c r="R53" i="9"/>
  <c r="R18" i="9"/>
  <c r="R19" i="9"/>
  <c r="U21" i="9"/>
  <c r="U9" i="9"/>
  <c r="U32" i="9"/>
  <c r="U52" i="9"/>
  <c r="U54" i="9"/>
  <c r="U56" i="9"/>
  <c r="U33" i="9"/>
  <c r="P38" i="9"/>
  <c r="P31" i="9"/>
  <c r="P37" i="9"/>
  <c r="P55" i="9"/>
  <c r="P61" i="9"/>
  <c r="P45" i="9"/>
  <c r="P9" i="9"/>
  <c r="W49" i="9"/>
  <c r="W30" i="9"/>
  <c r="X6" i="9"/>
  <c r="X15" i="9"/>
  <c r="X29" i="9"/>
  <c r="X47" i="9"/>
  <c r="X28" i="9"/>
  <c r="O60" i="9"/>
  <c r="O22" i="9"/>
  <c r="O58" i="9"/>
  <c r="O61" i="9"/>
  <c r="N42" i="11"/>
  <c r="N21" i="11"/>
  <c r="N21" i="13" s="1"/>
  <c r="N9" i="11"/>
  <c r="N9" i="34" s="1"/>
  <c r="N14" i="11"/>
  <c r="N28" i="11"/>
  <c r="N28" i="34" s="1"/>
  <c r="N22" i="11"/>
  <c r="N22" i="34" s="1"/>
  <c r="N5" i="11"/>
  <c r="P37" i="11"/>
  <c r="N45" i="11"/>
  <c r="N45" i="34" s="1"/>
  <c r="N41" i="11"/>
  <c r="N41" i="13" s="1"/>
  <c r="N13" i="11"/>
  <c r="N13" i="34" s="1"/>
  <c r="P16" i="11"/>
  <c r="P16" i="12" s="1"/>
  <c r="N34" i="11"/>
  <c r="N34" i="34" s="1"/>
  <c r="N10" i="11"/>
  <c r="N10" i="34" s="1"/>
  <c r="N26" i="11"/>
  <c r="N43" i="11"/>
  <c r="N12" i="11"/>
  <c r="N40" i="11"/>
  <c r="N40" i="34" s="1"/>
  <c r="N25" i="12"/>
  <c r="N25" i="13"/>
  <c r="N7" i="11"/>
  <c r="N7" i="34" s="1"/>
  <c r="N27" i="11"/>
  <c r="N27" i="34" s="1"/>
  <c r="N33" i="11"/>
  <c r="N33" i="34" s="1"/>
  <c r="N16" i="11"/>
  <c r="N16" i="34" s="1"/>
  <c r="N15" i="11"/>
  <c r="N15" i="34" s="1"/>
  <c r="N20" i="13"/>
  <c r="N24" i="11"/>
  <c r="N35" i="11"/>
  <c r="N17" i="11"/>
  <c r="N29" i="11"/>
  <c r="N29" i="34" s="1"/>
  <c r="N8" i="11"/>
  <c r="N8" i="34" s="1"/>
  <c r="N6" i="11"/>
  <c r="N6" i="34" s="1"/>
  <c r="N11" i="11"/>
  <c r="N11" i="34" s="1"/>
  <c r="N31" i="11"/>
  <c r="N31" i="34" s="1"/>
  <c r="N18" i="11"/>
  <c r="N18" i="34" s="1"/>
  <c r="P14" i="12"/>
  <c r="P14" i="13"/>
  <c r="P9" i="11"/>
  <c r="P9" i="34" s="1"/>
  <c r="P15" i="11"/>
  <c r="P15" i="34" s="1"/>
  <c r="M10" i="26"/>
  <c r="P36" i="11"/>
  <c r="P36" i="34" s="1"/>
  <c r="P32" i="11"/>
  <c r="P30" i="11"/>
  <c r="P30" i="34" s="1"/>
  <c r="P11" i="11"/>
  <c r="P11" i="34" s="1"/>
  <c r="P26" i="11"/>
  <c r="P26" i="34" s="1"/>
  <c r="N32" i="13"/>
  <c r="N32" i="24" s="1"/>
  <c r="N78" i="24" s="1"/>
  <c r="N30" i="11"/>
  <c r="N30" i="34" s="1"/>
  <c r="N39" i="11"/>
  <c r="N39" i="34" s="1"/>
  <c r="P19" i="11"/>
  <c r="P19" i="34" s="1"/>
  <c r="P20" i="11"/>
  <c r="P20" i="34" s="1"/>
  <c r="P38" i="11"/>
  <c r="P38" i="34" s="1"/>
  <c r="P40" i="11"/>
  <c r="P40" i="34" s="1"/>
  <c r="P29" i="11"/>
  <c r="P29" i="34" s="1"/>
  <c r="P10" i="11"/>
  <c r="P10" i="34" s="1"/>
  <c r="P35" i="11"/>
  <c r="P35" i="34" s="1"/>
  <c r="P28" i="11"/>
  <c r="P28" i="34" s="1"/>
  <c r="P22" i="11"/>
  <c r="P22" i="34" s="1"/>
  <c r="P13" i="11"/>
  <c r="P13" i="34" s="1"/>
  <c r="P33" i="11"/>
  <c r="P33" i="34" s="1"/>
  <c r="P18" i="11"/>
  <c r="P18" i="34" s="1"/>
  <c r="P17" i="11"/>
  <c r="P17" i="34" s="1"/>
  <c r="P45" i="11"/>
  <c r="P45" i="34" s="1"/>
  <c r="P8" i="11"/>
  <c r="P8" i="34" s="1"/>
  <c r="P34" i="11"/>
  <c r="P34" i="34" s="1"/>
  <c r="P25" i="11"/>
  <c r="P25" i="34" s="1"/>
  <c r="P27" i="11"/>
  <c r="P27" i="34" s="1"/>
  <c r="P39" i="11"/>
  <c r="P39" i="34" s="1"/>
  <c r="P7" i="11"/>
  <c r="P7" i="34" s="1"/>
  <c r="P31" i="11"/>
  <c r="P31" i="34" s="1"/>
  <c r="P41" i="11"/>
  <c r="P41" i="34" s="1"/>
  <c r="P43" i="11"/>
  <c r="P43" i="34" s="1"/>
  <c r="P24" i="11"/>
  <c r="P24" i="34" s="1"/>
  <c r="P23" i="11"/>
  <c r="P23" i="34" s="1"/>
  <c r="P12" i="11"/>
  <c r="P12" i="34" s="1"/>
  <c r="P6" i="11"/>
  <c r="P6" i="34" s="1"/>
  <c r="P42" i="11"/>
  <c r="P42" i="34" s="1"/>
  <c r="P44" i="11"/>
  <c r="P44" i="34" s="1"/>
  <c r="P5" i="11"/>
  <c r="P5" i="34" s="1"/>
  <c r="P21" i="11"/>
  <c r="P21" i="34" s="1"/>
  <c r="M8" i="26"/>
  <c r="R32" i="12"/>
  <c r="S32" i="12" s="1"/>
  <c r="S32" i="11"/>
  <c r="R32" i="13"/>
  <c r="S32" i="13" s="1"/>
  <c r="R44" i="12"/>
  <c r="S44" i="12" s="1"/>
  <c r="S44" i="11"/>
  <c r="R44" i="13"/>
  <c r="S44" i="13" s="1"/>
  <c r="R13" i="12"/>
  <c r="S13" i="12" s="1"/>
  <c r="S13" i="11"/>
  <c r="R13" i="13"/>
  <c r="S13" i="13" s="1"/>
  <c r="R37" i="13"/>
  <c r="S37" i="13" s="1"/>
  <c r="S37" i="11"/>
  <c r="R37" i="12"/>
  <c r="S37" i="12" s="1"/>
  <c r="R8" i="13"/>
  <c r="S8" i="13" s="1"/>
  <c r="R8" i="12"/>
  <c r="S8" i="12" s="1"/>
  <c r="S8" i="11"/>
  <c r="R36" i="13"/>
  <c r="S36" i="13" s="1"/>
  <c r="S36" i="11"/>
  <c r="R36" i="12"/>
  <c r="S36" i="12" s="1"/>
  <c r="R28" i="13"/>
  <c r="S28" i="13" s="1"/>
  <c r="R28" i="12"/>
  <c r="S28" i="12" s="1"/>
  <c r="S28" i="11"/>
  <c r="S23" i="11"/>
  <c r="R23" i="13"/>
  <c r="S23" i="13" s="1"/>
  <c r="R23" i="12"/>
  <c r="S23" i="12" s="1"/>
  <c r="R26" i="12"/>
  <c r="S26" i="11"/>
  <c r="R26" i="13"/>
  <c r="S26" i="13" s="1"/>
  <c r="S33" i="11"/>
  <c r="R33" i="12"/>
  <c r="S33" i="12" s="1"/>
  <c r="R33" i="13"/>
  <c r="S33" i="13" s="1"/>
  <c r="X8" i="25"/>
  <c r="M24" i="7"/>
  <c r="Q49" i="9"/>
  <c r="L23" i="9"/>
  <c r="U41" i="12"/>
  <c r="U41" i="13"/>
  <c r="U20" i="13"/>
  <c r="U20" i="12"/>
  <c r="U41" i="9"/>
  <c r="P6" i="9"/>
  <c r="W57" i="9"/>
  <c r="M56" i="7"/>
  <c r="AH48" i="9"/>
  <c r="AH14" i="9"/>
  <c r="AH58" i="9"/>
  <c r="AI16" i="9"/>
  <c r="AI15" i="9"/>
  <c r="AI37" i="9"/>
  <c r="AI35" i="9"/>
  <c r="V12" i="11"/>
  <c r="V12" i="34" s="1"/>
  <c r="V41" i="11"/>
  <c r="V41" i="34" s="1"/>
  <c r="V45" i="11"/>
  <c r="V45" i="34" s="1"/>
  <c r="V17" i="11"/>
  <c r="V17" i="34" s="1"/>
  <c r="V38" i="11"/>
  <c r="V38" i="34" s="1"/>
  <c r="V8" i="11"/>
  <c r="V8" i="34" s="1"/>
  <c r="V23" i="11"/>
  <c r="V23" i="34" s="1"/>
  <c r="V43" i="11"/>
  <c r="V43" i="34" s="1"/>
  <c r="V15" i="11"/>
  <c r="V15" i="34" s="1"/>
  <c r="V20" i="11"/>
  <c r="V20" i="34" s="1"/>
  <c r="V10" i="11"/>
  <c r="V10" i="34" s="1"/>
  <c r="V39" i="11"/>
  <c r="V39" i="34" s="1"/>
  <c r="V16" i="11"/>
  <c r="V16" i="34" s="1"/>
  <c r="V18" i="11"/>
  <c r="V18" i="34" s="1"/>
  <c r="V9" i="11"/>
  <c r="V9" i="34" s="1"/>
  <c r="V24" i="11"/>
  <c r="V24" i="34" s="1"/>
  <c r="V33" i="11"/>
  <c r="V33" i="34" s="1"/>
  <c r="V35" i="11"/>
  <c r="V35" i="34" s="1"/>
  <c r="V19" i="11"/>
  <c r="V19" i="34" s="1"/>
  <c r="V5" i="11"/>
  <c r="V5" i="34" s="1"/>
  <c r="V30" i="11"/>
  <c r="V30" i="34" s="1"/>
  <c r="V32" i="11"/>
  <c r="V32" i="34" s="1"/>
  <c r="V13" i="11"/>
  <c r="V13" i="34" s="1"/>
  <c r="V29" i="11"/>
  <c r="V29" i="34" s="1"/>
  <c r="V22" i="11"/>
  <c r="V22" i="34" s="1"/>
  <c r="V11" i="11"/>
  <c r="V11" i="34" s="1"/>
  <c r="V27" i="11"/>
  <c r="V27" i="34" s="1"/>
  <c r="V36" i="11"/>
  <c r="V36" i="34" s="1"/>
  <c r="V26" i="11"/>
  <c r="V26" i="34" s="1"/>
  <c r="V31" i="11"/>
  <c r="V31" i="34" s="1"/>
  <c r="V42" i="11"/>
  <c r="V42" i="34" s="1"/>
  <c r="V21" i="11"/>
  <c r="V21" i="34" s="1"/>
  <c r="V14" i="11"/>
  <c r="V14" i="34" s="1"/>
  <c r="V37" i="11"/>
  <c r="V37" i="34" s="1"/>
  <c r="V7" i="11"/>
  <c r="V7" i="34" s="1"/>
  <c r="V6" i="11"/>
  <c r="V6" i="34" s="1"/>
  <c r="V25" i="11"/>
  <c r="V25" i="34" s="1"/>
  <c r="V28" i="11"/>
  <c r="V28" i="34" s="1"/>
  <c r="V34" i="11"/>
  <c r="V34" i="34" s="1"/>
  <c r="V44" i="11"/>
  <c r="V44" i="34" s="1"/>
  <c r="V40" i="11"/>
  <c r="V40" i="34" s="1"/>
  <c r="Q54" i="9"/>
  <c r="Q8" i="9"/>
  <c r="Q50" i="9"/>
  <c r="Q45" i="9"/>
  <c r="Q7" i="9"/>
  <c r="L52" i="9"/>
  <c r="L55" i="9"/>
  <c r="L7" i="9"/>
  <c r="L57" i="9"/>
  <c r="R5" i="9"/>
  <c r="R63" i="7"/>
  <c r="M33" i="7"/>
  <c r="U5" i="12"/>
  <c r="U47" i="11"/>
  <c r="U5" i="13"/>
  <c r="U37" i="13"/>
  <c r="U37" i="12"/>
  <c r="U33" i="13"/>
  <c r="U33" i="12"/>
  <c r="U24" i="12"/>
  <c r="U24" i="13"/>
  <c r="U31" i="12"/>
  <c r="U31" i="13"/>
  <c r="U53" i="9"/>
  <c r="U30" i="9"/>
  <c r="U17" i="9"/>
  <c r="U59" i="9"/>
  <c r="U5" i="9"/>
  <c r="U63" i="7"/>
  <c r="U68" i="7" s="1"/>
  <c r="U26" i="32" s="1"/>
  <c r="P30" i="9"/>
  <c r="P20" i="9"/>
  <c r="P26" i="9"/>
  <c r="P27" i="9"/>
  <c r="W27" i="9"/>
  <c r="W13" i="9"/>
  <c r="W54" i="9"/>
  <c r="W36" i="9"/>
  <c r="W11" i="9"/>
  <c r="W16" i="9"/>
  <c r="X37" i="9"/>
  <c r="X8" i="9"/>
  <c r="X30" i="9"/>
  <c r="X57" i="9"/>
  <c r="X38" i="9"/>
  <c r="X56" i="9"/>
  <c r="X5" i="9"/>
  <c r="X63" i="7"/>
  <c r="X68" i="7" s="1"/>
  <c r="X11" i="32" s="1"/>
  <c r="V61" i="7"/>
  <c r="V45" i="7"/>
  <c r="V29" i="7"/>
  <c r="V52" i="7"/>
  <c r="V36" i="7"/>
  <c r="V16" i="7"/>
  <c r="V21" i="7"/>
  <c r="V6" i="7"/>
  <c r="V55" i="7"/>
  <c r="V39" i="7"/>
  <c r="V23" i="7"/>
  <c r="V46" i="7"/>
  <c r="V30" i="7"/>
  <c r="V17" i="7"/>
  <c r="V20" i="7"/>
  <c r="V53" i="7"/>
  <c r="V33" i="7"/>
  <c r="V50" i="7"/>
  <c r="V28" i="7"/>
  <c r="V7" i="7"/>
  <c r="V51" i="7"/>
  <c r="V31" i="7"/>
  <c r="V48" i="7"/>
  <c r="V26" i="7"/>
  <c r="V5" i="7"/>
  <c r="V43" i="7"/>
  <c r="V60" i="7"/>
  <c r="V40" i="7"/>
  <c r="V41" i="7"/>
  <c r="V44" i="7"/>
  <c r="V19" i="7"/>
  <c r="V8" i="7"/>
  <c r="V37" i="7"/>
  <c r="V42" i="7"/>
  <c r="V14" i="7"/>
  <c r="V57" i="7"/>
  <c r="V58" i="7"/>
  <c r="V24" i="7"/>
  <c r="V18" i="7"/>
  <c r="V49" i="7"/>
  <c r="V56" i="7"/>
  <c r="V22" i="7"/>
  <c r="V13" i="7"/>
  <c r="V54" i="7"/>
  <c r="V10" i="7"/>
  <c r="V38" i="7"/>
  <c r="V34" i="7"/>
  <c r="V59" i="7"/>
  <c r="V32" i="7"/>
  <c r="V35" i="7"/>
  <c r="V9" i="7"/>
  <c r="V47" i="7"/>
  <c r="V11" i="7"/>
  <c r="V27" i="7"/>
  <c r="V25" i="7"/>
  <c r="V15" i="7"/>
  <c r="V12" i="7"/>
  <c r="AD20" i="7"/>
  <c r="AC20" i="9"/>
  <c r="AD20" i="9" s="1"/>
  <c r="AD5" i="7"/>
  <c r="AC63" i="7"/>
  <c r="AC68" i="7" s="1"/>
  <c r="AC35" i="32" s="1"/>
  <c r="AD35" i="32" s="1"/>
  <c r="AC5" i="9"/>
  <c r="I3" i="27"/>
  <c r="I2" i="27" s="1"/>
  <c r="AD16" i="7"/>
  <c r="AC16" i="9"/>
  <c r="AD16" i="9" s="1"/>
  <c r="AD32" i="7"/>
  <c r="AC32" i="9"/>
  <c r="AD32" i="9" s="1"/>
  <c r="AC56" i="9"/>
  <c r="AD56" i="9" s="1"/>
  <c r="AD56" i="7"/>
  <c r="AC40" i="9"/>
  <c r="AD40" i="9" s="1"/>
  <c r="AD40" i="7"/>
  <c r="AD58" i="7"/>
  <c r="AC58" i="9"/>
  <c r="AD58" i="9" s="1"/>
  <c r="O16" i="9"/>
  <c r="O38" i="9"/>
  <c r="O52" i="9"/>
  <c r="N34" i="12"/>
  <c r="N34" i="13"/>
  <c r="N9" i="12"/>
  <c r="N9" i="13"/>
  <c r="N13" i="12"/>
  <c r="N13" i="13"/>
  <c r="S27" i="11"/>
  <c r="R27" i="13"/>
  <c r="S27" i="13" s="1"/>
  <c r="R27" i="12"/>
  <c r="S27" i="12" s="1"/>
  <c r="AH17" i="9"/>
  <c r="AI12" i="9"/>
  <c r="P28" i="9"/>
  <c r="W61" i="9"/>
  <c r="W60" i="9"/>
  <c r="X23" i="9"/>
  <c r="X61" i="9"/>
  <c r="X60" i="9"/>
  <c r="AD50" i="7"/>
  <c r="AC50" i="9"/>
  <c r="AD50" i="9" s="1"/>
  <c r="AD35" i="7"/>
  <c r="AC35" i="9"/>
  <c r="AD35" i="9" s="1"/>
  <c r="AD33" i="7"/>
  <c r="AC33" i="9"/>
  <c r="AD33" i="9" s="1"/>
  <c r="AC52" i="9"/>
  <c r="AD52" i="9" s="1"/>
  <c r="AD52" i="7"/>
  <c r="AD36" i="7"/>
  <c r="AC36" i="9"/>
  <c r="AD36" i="9" s="1"/>
  <c r="AD47" i="7"/>
  <c r="AC47" i="9"/>
  <c r="AD47" i="9" s="1"/>
  <c r="AD54" i="7"/>
  <c r="AC54" i="9"/>
  <c r="AD54" i="9" s="1"/>
  <c r="O56" i="9"/>
  <c r="O15" i="9"/>
  <c r="O47" i="9"/>
  <c r="O54" i="9"/>
  <c r="O33" i="9"/>
  <c r="O41" i="9"/>
  <c r="O21" i="9"/>
  <c r="AH6" i="9"/>
  <c r="AH20" i="9"/>
  <c r="AH46" i="9"/>
  <c r="AH57" i="9"/>
  <c r="AI26" i="9"/>
  <c r="AI10" i="9"/>
  <c r="AI42" i="9"/>
  <c r="AI46" i="9"/>
  <c r="Q14" i="9"/>
  <c r="Q21" i="9"/>
  <c r="Q52" i="9"/>
  <c r="L36" i="9"/>
  <c r="L33" i="9"/>
  <c r="L45" i="9"/>
  <c r="U28" i="12"/>
  <c r="U28" i="13"/>
  <c r="U23" i="9"/>
  <c r="T7" i="11"/>
  <c r="T7" i="34" s="1"/>
  <c r="W7" i="34" s="1"/>
  <c r="T18" i="11"/>
  <c r="T18" i="34" s="1"/>
  <c r="T23" i="11"/>
  <c r="T23" i="34" s="1"/>
  <c r="W23" i="34" s="1"/>
  <c r="T43" i="11"/>
  <c r="T43" i="34" s="1"/>
  <c r="W43" i="34" s="1"/>
  <c r="T15" i="11"/>
  <c r="T15" i="34" s="1"/>
  <c r="T13" i="11"/>
  <c r="T13" i="34" s="1"/>
  <c r="T11" i="11"/>
  <c r="T11" i="34" s="1"/>
  <c r="W11" i="34" s="1"/>
  <c r="T36" i="11"/>
  <c r="T36" i="34" s="1"/>
  <c r="T40" i="11"/>
  <c r="T40" i="34" s="1"/>
  <c r="T16" i="11"/>
  <c r="T16" i="34" s="1"/>
  <c r="W16" i="34" s="1"/>
  <c r="T19" i="11"/>
  <c r="T19" i="34" s="1"/>
  <c r="W19" i="34" s="1"/>
  <c r="T21" i="11"/>
  <c r="T21" i="34" s="1"/>
  <c r="W21" i="34" s="1"/>
  <c r="T26" i="11"/>
  <c r="T26" i="34" s="1"/>
  <c r="T28" i="11"/>
  <c r="T28" i="34" s="1"/>
  <c r="T14" i="11"/>
  <c r="T14" i="34" s="1"/>
  <c r="T37" i="11"/>
  <c r="T37" i="34" s="1"/>
  <c r="T42" i="11"/>
  <c r="T42" i="34" s="1"/>
  <c r="T44" i="11"/>
  <c r="T44" i="34" s="1"/>
  <c r="T38" i="11"/>
  <c r="T38" i="34" s="1"/>
  <c r="W38" i="34" s="1"/>
  <c r="T45" i="11"/>
  <c r="T45" i="34" s="1"/>
  <c r="W45" i="34" s="1"/>
  <c r="T12" i="11"/>
  <c r="T12" i="34" s="1"/>
  <c r="T35" i="11"/>
  <c r="T35" i="34" s="1"/>
  <c r="T30" i="11"/>
  <c r="T30" i="34" s="1"/>
  <c r="T6" i="11"/>
  <c r="T6" i="34" s="1"/>
  <c r="T39" i="11"/>
  <c r="T39" i="34" s="1"/>
  <c r="W39" i="34" s="1"/>
  <c r="T34" i="11"/>
  <c r="T34" i="34" s="1"/>
  <c r="T5" i="11"/>
  <c r="T5" i="34" s="1"/>
  <c r="T24" i="11"/>
  <c r="T24" i="34" s="1"/>
  <c r="W24" i="34" s="1"/>
  <c r="T31" i="11"/>
  <c r="T31" i="34" s="1"/>
  <c r="T29" i="11"/>
  <c r="T29" i="34" s="1"/>
  <c r="T10" i="11"/>
  <c r="T10" i="34" s="1"/>
  <c r="W10" i="34" s="1"/>
  <c r="T27" i="11"/>
  <c r="T27" i="34" s="1"/>
  <c r="W27" i="34" s="1"/>
  <c r="T9" i="11"/>
  <c r="T9" i="34" s="1"/>
  <c r="T33" i="11"/>
  <c r="T33" i="34" s="1"/>
  <c r="T8" i="11"/>
  <c r="T8" i="34" s="1"/>
  <c r="W8" i="34" s="1"/>
  <c r="T17" i="11"/>
  <c r="T17" i="34" s="1"/>
  <c r="T20" i="11"/>
  <c r="T20" i="34" s="1"/>
  <c r="T25" i="11"/>
  <c r="T25" i="34" s="1"/>
  <c r="T22" i="11"/>
  <c r="T22" i="34" s="1"/>
  <c r="T41" i="11"/>
  <c r="T41" i="34" s="1"/>
  <c r="T32" i="11"/>
  <c r="T32" i="34" s="1"/>
  <c r="P14" i="9"/>
  <c r="W40" i="9"/>
  <c r="X9" i="9"/>
  <c r="X41" i="9"/>
  <c r="X58" i="9"/>
  <c r="N23" i="13"/>
  <c r="N23" i="24" s="1"/>
  <c r="N69" i="24" s="1"/>
  <c r="M25" i="7"/>
  <c r="M53" i="7"/>
  <c r="M47" i="7"/>
  <c r="M46" i="7"/>
  <c r="M30" i="7"/>
  <c r="M35" i="7"/>
  <c r="M38" i="7"/>
  <c r="M60" i="7"/>
  <c r="M5" i="7"/>
  <c r="M9" i="7"/>
  <c r="M31" i="7"/>
  <c r="M18" i="7"/>
  <c r="M13" i="7"/>
  <c r="M44" i="7"/>
  <c r="M26" i="7"/>
  <c r="M40" i="7"/>
  <c r="M48" i="7"/>
  <c r="M42" i="7"/>
  <c r="M20" i="7"/>
  <c r="M15" i="7"/>
  <c r="M45" i="7"/>
  <c r="M27" i="7"/>
  <c r="M52" i="7"/>
  <c r="M19" i="7"/>
  <c r="M32" i="7"/>
  <c r="M6" i="7"/>
  <c r="M17" i="7"/>
  <c r="M28" i="7"/>
  <c r="M39" i="7"/>
  <c r="M10" i="7"/>
  <c r="M14" i="7"/>
  <c r="M36" i="7"/>
  <c r="M23" i="7"/>
  <c r="M50" i="7"/>
  <c r="M8" i="7"/>
  <c r="M43" i="7"/>
  <c r="M58" i="7"/>
  <c r="M34" i="7"/>
  <c r="M16" i="7"/>
  <c r="M59" i="7"/>
  <c r="M7" i="7"/>
  <c r="M57" i="7"/>
  <c r="M21" i="7"/>
  <c r="M49" i="7"/>
  <c r="M11" i="7"/>
  <c r="M51" i="7"/>
  <c r="M54" i="7"/>
  <c r="M37" i="7"/>
  <c r="M55" i="7"/>
  <c r="M29" i="7"/>
  <c r="M12" i="7"/>
  <c r="M41" i="7"/>
  <c r="M61" i="7"/>
  <c r="U18" i="12"/>
  <c r="U18" i="13"/>
  <c r="U7" i="13"/>
  <c r="U7" i="12"/>
  <c r="U50" i="9"/>
  <c r="U25" i="9"/>
  <c r="U43" i="9"/>
  <c r="U47" i="9"/>
  <c r="P16" i="9"/>
  <c r="W38" i="9"/>
  <c r="W58" i="9"/>
  <c r="X48" i="9"/>
  <c r="X40" i="9"/>
  <c r="AH38" i="9"/>
  <c r="AI11" i="9"/>
  <c r="AI7" i="9"/>
  <c r="U13" i="12"/>
  <c r="U13" i="13"/>
  <c r="U6" i="13"/>
  <c r="U6" i="12"/>
  <c r="U29" i="13"/>
  <c r="U29" i="12"/>
  <c r="U9" i="12"/>
  <c r="U9" i="13"/>
  <c r="U27" i="12"/>
  <c r="U27" i="13"/>
  <c r="M12" i="11"/>
  <c r="M12" i="34" s="1"/>
  <c r="M5" i="11"/>
  <c r="M5" i="34" s="1"/>
  <c r="M44" i="11"/>
  <c r="M44" i="34" s="1"/>
  <c r="M27" i="11"/>
  <c r="M27" i="34" s="1"/>
  <c r="M15" i="11"/>
  <c r="M15" i="34" s="1"/>
  <c r="M13" i="11"/>
  <c r="M13" i="34" s="1"/>
  <c r="M18" i="11"/>
  <c r="M18" i="34" s="1"/>
  <c r="M23" i="11"/>
  <c r="M23" i="34" s="1"/>
  <c r="M43" i="11"/>
  <c r="M43" i="34" s="1"/>
  <c r="M32" i="11"/>
  <c r="M32" i="34" s="1"/>
  <c r="M11" i="11"/>
  <c r="M11" i="34" s="1"/>
  <c r="M35" i="11"/>
  <c r="M35" i="34" s="1"/>
  <c r="M39" i="11"/>
  <c r="M39" i="34" s="1"/>
  <c r="M28" i="11"/>
  <c r="M28" i="34" s="1"/>
  <c r="M29" i="11"/>
  <c r="M29" i="34" s="1"/>
  <c r="M10" i="11"/>
  <c r="M10" i="34" s="1"/>
  <c r="M20" i="11"/>
  <c r="M20" i="34" s="1"/>
  <c r="M24" i="11"/>
  <c r="M24" i="34" s="1"/>
  <c r="M25" i="11"/>
  <c r="M25" i="34" s="1"/>
  <c r="M45" i="11"/>
  <c r="M45" i="34" s="1"/>
  <c r="M9" i="11"/>
  <c r="M9" i="34" s="1"/>
  <c r="M36" i="11"/>
  <c r="M36" i="34" s="1"/>
  <c r="M21" i="11"/>
  <c r="M21" i="34" s="1"/>
  <c r="M41" i="11"/>
  <c r="M41" i="34" s="1"/>
  <c r="M26" i="11"/>
  <c r="M26" i="34" s="1"/>
  <c r="M8" i="11"/>
  <c r="M8" i="34" s="1"/>
  <c r="M16" i="11"/>
  <c r="M16" i="34" s="1"/>
  <c r="M37" i="11"/>
  <c r="M37" i="34" s="1"/>
  <c r="M22" i="11"/>
  <c r="M22" i="34" s="1"/>
  <c r="M42" i="11"/>
  <c r="M42" i="34" s="1"/>
  <c r="M33" i="11"/>
  <c r="M33" i="34" s="1"/>
  <c r="M40" i="11"/>
  <c r="M40" i="34" s="1"/>
  <c r="M30" i="11"/>
  <c r="M30" i="34" s="1"/>
  <c r="M17" i="11"/>
  <c r="M17" i="34" s="1"/>
  <c r="M34" i="11"/>
  <c r="M34" i="34" s="1"/>
  <c r="M38" i="11"/>
  <c r="M38" i="34" s="1"/>
  <c r="M7" i="11"/>
  <c r="M7" i="34" s="1"/>
  <c r="M6" i="11"/>
  <c r="M6" i="34" s="1"/>
  <c r="M19" i="11"/>
  <c r="M19" i="34" s="1"/>
  <c r="M14" i="11"/>
  <c r="M14" i="34" s="1"/>
  <c r="M31" i="11"/>
  <c r="M31" i="34" s="1"/>
  <c r="W43" i="9"/>
  <c r="W52" i="9"/>
  <c r="W20" i="9"/>
  <c r="W12" i="9"/>
  <c r="X34" i="9"/>
  <c r="X16" i="9"/>
  <c r="V64" i="9"/>
  <c r="V64" i="8"/>
  <c r="V68" i="8" s="1"/>
  <c r="V64" i="7"/>
  <c r="AD38" i="7"/>
  <c r="AC38" i="9"/>
  <c r="AD38" i="9" s="1"/>
  <c r="AD46" i="7"/>
  <c r="AC46" i="9"/>
  <c r="AD46" i="9" s="1"/>
  <c r="AD61" i="7"/>
  <c r="AC61" i="9"/>
  <c r="AD61" i="9" s="1"/>
  <c r="AC31" i="9"/>
  <c r="AD31" i="9" s="1"/>
  <c r="AD31" i="7"/>
  <c r="AC59" i="9"/>
  <c r="AD59" i="9" s="1"/>
  <c r="AD59" i="7"/>
  <c r="AC43" i="9"/>
  <c r="AD43" i="9" s="1"/>
  <c r="AD43" i="7"/>
  <c r="AD17" i="7"/>
  <c r="AC17" i="9"/>
  <c r="AD17" i="9" s="1"/>
  <c r="R24" i="12"/>
  <c r="S24" i="11"/>
  <c r="R24" i="13"/>
  <c r="S24" i="13" s="1"/>
  <c r="R43" i="13"/>
  <c r="S43" i="13" s="1"/>
  <c r="R43" i="12"/>
  <c r="S43" i="11"/>
  <c r="R18" i="12"/>
  <c r="S18" i="11"/>
  <c r="R18" i="13"/>
  <c r="S18" i="13" s="1"/>
  <c r="R22" i="13"/>
  <c r="S22" i="13" s="1"/>
  <c r="S22" i="11"/>
  <c r="R22" i="12"/>
  <c r="R7" i="13"/>
  <c r="S7" i="13" s="1"/>
  <c r="S7" i="11"/>
  <c r="R7" i="12"/>
  <c r="AH33" i="9"/>
  <c r="AI8" i="9"/>
  <c r="AI23" i="9"/>
  <c r="AI27" i="9"/>
  <c r="Q63" i="7"/>
  <c r="Q68" i="7" s="1"/>
  <c r="Q22" i="32" s="1"/>
  <c r="Q5" i="9"/>
  <c r="U14" i="12"/>
  <c r="U14" i="13"/>
  <c r="U19" i="12"/>
  <c r="U19" i="13"/>
  <c r="U44" i="12"/>
  <c r="U44" i="13"/>
  <c r="U36" i="12"/>
  <c r="U36" i="13"/>
  <c r="U23" i="12"/>
  <c r="U23" i="13"/>
  <c r="U60" i="9"/>
  <c r="U7" i="9"/>
  <c r="U51" i="9"/>
  <c r="Z8" i="11"/>
  <c r="Z8" i="34" s="1"/>
  <c r="AA8" i="34" s="1"/>
  <c r="Z44" i="11"/>
  <c r="Z44" i="34" s="1"/>
  <c r="AA44" i="34" s="1"/>
  <c r="Z29" i="11"/>
  <c r="Z29" i="34" s="1"/>
  <c r="AA29" i="34" s="1"/>
  <c r="Z33" i="11"/>
  <c r="Z33" i="34" s="1"/>
  <c r="AA33" i="34" s="1"/>
  <c r="Z37" i="11"/>
  <c r="Z37" i="34" s="1"/>
  <c r="AA37" i="34" s="1"/>
  <c r="Z14" i="11"/>
  <c r="Z14" i="34" s="1"/>
  <c r="AA14" i="34" s="1"/>
  <c r="Z5" i="11"/>
  <c r="Z5" i="34" s="1"/>
  <c r="Z26" i="11"/>
  <c r="Z26" i="34" s="1"/>
  <c r="AA26" i="34" s="1"/>
  <c r="Z18" i="11"/>
  <c r="Z18" i="34" s="1"/>
  <c r="AA18" i="34" s="1"/>
  <c r="Z23" i="11"/>
  <c r="Z23" i="34" s="1"/>
  <c r="AA23" i="34" s="1"/>
  <c r="Z13" i="11"/>
  <c r="Z13" i="34" s="1"/>
  <c r="AA13" i="34" s="1"/>
  <c r="Z43" i="11"/>
  <c r="Z43" i="34" s="1"/>
  <c r="AA43" i="34" s="1"/>
  <c r="Z45" i="11"/>
  <c r="Z45" i="34" s="1"/>
  <c r="AA45" i="34" s="1"/>
  <c r="Z39" i="11"/>
  <c r="Z39" i="34" s="1"/>
  <c r="AA39" i="34" s="1"/>
  <c r="Z12" i="11"/>
  <c r="Z12" i="34" s="1"/>
  <c r="AA12" i="34" s="1"/>
  <c r="Z28" i="11"/>
  <c r="Z28" i="34" s="1"/>
  <c r="AA28" i="34" s="1"/>
  <c r="Z30" i="11"/>
  <c r="Z30" i="34" s="1"/>
  <c r="AA30" i="34" s="1"/>
  <c r="Z24" i="11"/>
  <c r="Z24" i="34" s="1"/>
  <c r="AA24" i="34" s="1"/>
  <c r="Z19" i="11"/>
  <c r="Z19" i="34" s="1"/>
  <c r="AA19" i="34" s="1"/>
  <c r="Z41" i="11"/>
  <c r="Z41" i="34" s="1"/>
  <c r="AA41" i="34" s="1"/>
  <c r="Z16" i="11"/>
  <c r="Z16" i="34" s="1"/>
  <c r="AA16" i="34" s="1"/>
  <c r="Z10" i="11"/>
  <c r="Z10" i="34" s="1"/>
  <c r="AA10" i="34" s="1"/>
  <c r="Z42" i="11"/>
  <c r="Z42" i="34" s="1"/>
  <c r="AA42" i="34" s="1"/>
  <c r="Z17" i="11"/>
  <c r="Z17" i="34" s="1"/>
  <c r="AA17" i="34" s="1"/>
  <c r="Z11" i="11"/>
  <c r="Z11" i="34" s="1"/>
  <c r="AA11" i="34" s="1"/>
  <c r="Z35" i="11"/>
  <c r="Z35" i="34" s="1"/>
  <c r="AA35" i="34" s="1"/>
  <c r="Z22" i="11"/>
  <c r="Z22" i="34" s="1"/>
  <c r="AA22" i="34" s="1"/>
  <c r="Z27" i="11"/>
  <c r="Z27" i="34" s="1"/>
  <c r="AA27" i="34" s="1"/>
  <c r="Z20" i="11"/>
  <c r="Z20" i="34" s="1"/>
  <c r="AA20" i="34" s="1"/>
  <c r="Z38" i="11"/>
  <c r="Z38" i="34" s="1"/>
  <c r="AA38" i="34" s="1"/>
  <c r="Z25" i="11"/>
  <c r="Z25" i="34" s="1"/>
  <c r="AA25" i="34" s="1"/>
  <c r="Z31" i="11"/>
  <c r="Z31" i="34" s="1"/>
  <c r="AA31" i="34" s="1"/>
  <c r="Z15" i="11"/>
  <c r="Z15" i="34" s="1"/>
  <c r="AA15" i="34" s="1"/>
  <c r="Z32" i="11"/>
  <c r="Z32" i="34" s="1"/>
  <c r="AA32" i="34" s="1"/>
  <c r="Z9" i="11"/>
  <c r="Z9" i="34" s="1"/>
  <c r="AA9" i="34" s="1"/>
  <c r="Z34" i="11"/>
  <c r="Z34" i="34" s="1"/>
  <c r="AA34" i="34" s="1"/>
  <c r="Z21" i="11"/>
  <c r="Z21" i="34" s="1"/>
  <c r="AA21" i="34" s="1"/>
  <c r="Z7" i="11"/>
  <c r="Z7" i="34" s="1"/>
  <c r="AA7" i="34" s="1"/>
  <c r="Z6" i="11"/>
  <c r="Z6" i="34" s="1"/>
  <c r="AA6" i="34" s="1"/>
  <c r="Z36" i="11"/>
  <c r="Z36" i="34" s="1"/>
  <c r="AA36" i="34" s="1"/>
  <c r="Z40" i="11"/>
  <c r="Z40" i="34" s="1"/>
  <c r="AA40" i="34" s="1"/>
  <c r="W59" i="9"/>
  <c r="W19" i="9"/>
  <c r="W21" i="9"/>
  <c r="X50" i="9"/>
  <c r="X11" i="9"/>
  <c r="X21" i="9"/>
  <c r="Y70" i="6"/>
  <c r="Y64" i="8"/>
  <c r="Y68" i="8" s="1"/>
  <c r="Y64" i="9"/>
  <c r="Y64" i="7"/>
  <c r="AD15" i="7"/>
  <c r="AC15" i="9"/>
  <c r="AD15" i="9" s="1"/>
  <c r="AC19" i="9"/>
  <c r="AD19" i="9" s="1"/>
  <c r="AD19" i="7"/>
  <c r="AD41" i="7"/>
  <c r="AC41" i="9"/>
  <c r="AD41" i="9" s="1"/>
  <c r="AD7" i="7"/>
  <c r="AC7" i="9"/>
  <c r="AD7" i="9" s="1"/>
  <c r="AD9" i="7"/>
  <c r="AC9" i="9"/>
  <c r="AD9" i="9" s="1"/>
  <c r="AD14" i="7"/>
  <c r="AC14" i="9"/>
  <c r="AD14" i="9" s="1"/>
  <c r="AC13" i="9"/>
  <c r="AD13" i="9" s="1"/>
  <c r="AD13" i="7"/>
  <c r="S39" i="11"/>
  <c r="R39" i="12"/>
  <c r="R39" i="13"/>
  <c r="S39" i="13" s="1"/>
  <c r="R10" i="12"/>
  <c r="S10" i="11"/>
  <c r="R10" i="13"/>
  <c r="S10" i="13" s="1"/>
  <c r="R11" i="13"/>
  <c r="S11" i="13" s="1"/>
  <c r="R11" i="12"/>
  <c r="S11" i="11"/>
  <c r="S17" i="11"/>
  <c r="R17" i="12"/>
  <c r="R17" i="13"/>
  <c r="S17" i="13" s="1"/>
  <c r="R19" i="12"/>
  <c r="S19" i="11"/>
  <c r="R19" i="13"/>
  <c r="S19" i="13" s="1"/>
  <c r="Y5" i="23"/>
  <c r="Y67" i="23" s="1"/>
  <c r="Z63" i="8"/>
  <c r="AH63" i="7"/>
  <c r="AH68" i="7" s="1"/>
  <c r="AH54" i="32" s="1"/>
  <c r="AH5" i="9"/>
  <c r="AH8" i="9"/>
  <c r="AI14" i="9"/>
  <c r="AI19" i="9"/>
  <c r="AI28" i="9"/>
  <c r="U11" i="12"/>
  <c r="U11" i="13"/>
  <c r="U42" i="13"/>
  <c r="U42" i="12"/>
  <c r="U17" i="12"/>
  <c r="U17" i="13"/>
  <c r="U40" i="13"/>
  <c r="U40" i="12"/>
  <c r="U15" i="13"/>
  <c r="U15" i="12"/>
  <c r="U12" i="13"/>
  <c r="U12" i="12"/>
  <c r="W63" i="7"/>
  <c r="W68" i="7" s="1"/>
  <c r="W28" i="32" s="1"/>
  <c r="W5" i="9"/>
  <c r="W10" i="9"/>
  <c r="W35" i="9"/>
  <c r="W37" i="9"/>
  <c r="X39" i="9"/>
  <c r="X32" i="8"/>
  <c r="X32" i="9"/>
  <c r="X19" i="9"/>
  <c r="X33" i="9"/>
  <c r="X6" i="25"/>
  <c r="AD57" i="7"/>
  <c r="AC57" i="9"/>
  <c r="AD57" i="9" s="1"/>
  <c r="AD49" i="7"/>
  <c r="AC49" i="9"/>
  <c r="AD49" i="9" s="1"/>
  <c r="AC26" i="9"/>
  <c r="AD26" i="9" s="1"/>
  <c r="AD26" i="7"/>
  <c r="AD37" i="7"/>
  <c r="AC37" i="9"/>
  <c r="AD37" i="9" s="1"/>
  <c r="J3" i="27"/>
  <c r="J2" i="27" s="1"/>
  <c r="AD6" i="7"/>
  <c r="AC6" i="9"/>
  <c r="AD6" i="9" s="1"/>
  <c r="AC8" i="9"/>
  <c r="AD8" i="9" s="1"/>
  <c r="AD8" i="7"/>
  <c r="AC10" i="9"/>
  <c r="AD10" i="9" s="1"/>
  <c r="AD10" i="7"/>
  <c r="AC27" i="9"/>
  <c r="AD27" i="9" s="1"/>
  <c r="AD27" i="7"/>
  <c r="S29" i="11"/>
  <c r="R29" i="13"/>
  <c r="S29" i="13" s="1"/>
  <c r="R29" i="12"/>
  <c r="S20" i="11"/>
  <c r="R20" i="13"/>
  <c r="S20" i="13" s="1"/>
  <c r="R20" i="12"/>
  <c r="S42" i="11"/>
  <c r="R42" i="12"/>
  <c r="R42" i="13"/>
  <c r="S42" i="13" s="1"/>
  <c r="R6" i="12"/>
  <c r="R6" i="13"/>
  <c r="S6" i="13" s="1"/>
  <c r="S6" i="11"/>
  <c r="R45" i="13"/>
  <c r="S45" i="13" s="1"/>
  <c r="R45" i="12"/>
  <c r="S45" i="11"/>
  <c r="AH7" i="9"/>
  <c r="AI9" i="9"/>
  <c r="L63" i="7"/>
  <c r="L68" i="7" s="1"/>
  <c r="L48" i="32" s="1"/>
  <c r="L5" i="9"/>
  <c r="S63" i="7"/>
  <c r="U38" i="13"/>
  <c r="U38" i="12"/>
  <c r="U26" i="12"/>
  <c r="U26" i="13"/>
  <c r="U45" i="13"/>
  <c r="U45" i="12"/>
  <c r="U8" i="12"/>
  <c r="U8" i="13"/>
  <c r="U43" i="12"/>
  <c r="U43" i="13"/>
  <c r="W34" i="9"/>
  <c r="W9" i="9"/>
  <c r="W51" i="9"/>
  <c r="W53" i="9"/>
  <c r="X55" i="9"/>
  <c r="X14" i="9"/>
  <c r="X18" i="9"/>
  <c r="X49" i="9"/>
  <c r="X10" i="25"/>
  <c r="O14" i="11"/>
  <c r="O14" i="34" s="1"/>
  <c r="O5" i="11"/>
  <c r="O5" i="34" s="1"/>
  <c r="O32" i="11"/>
  <c r="O32" i="34" s="1"/>
  <c r="O31" i="11"/>
  <c r="O31" i="34" s="1"/>
  <c r="O35" i="11"/>
  <c r="O35" i="34" s="1"/>
  <c r="O13" i="11"/>
  <c r="O13" i="34" s="1"/>
  <c r="O11" i="11"/>
  <c r="O11" i="34" s="1"/>
  <c r="O45" i="11"/>
  <c r="O45" i="34" s="1"/>
  <c r="O29" i="11"/>
  <c r="O29" i="34" s="1"/>
  <c r="O16" i="11"/>
  <c r="O16" i="34" s="1"/>
  <c r="O12" i="11"/>
  <c r="O12" i="34" s="1"/>
  <c r="O23" i="11"/>
  <c r="O23" i="34" s="1"/>
  <c r="O27" i="11"/>
  <c r="O27" i="34" s="1"/>
  <c r="O26" i="11"/>
  <c r="O26" i="34" s="1"/>
  <c r="O33" i="11"/>
  <c r="O33" i="34" s="1"/>
  <c r="O10" i="11"/>
  <c r="O10" i="34" s="1"/>
  <c r="O21" i="11"/>
  <c r="O21" i="34" s="1"/>
  <c r="O25" i="11"/>
  <c r="O25" i="34" s="1"/>
  <c r="O42" i="11"/>
  <c r="O42" i="34" s="1"/>
  <c r="O30" i="11"/>
  <c r="O30" i="34" s="1"/>
  <c r="O9" i="11"/>
  <c r="O9" i="34" s="1"/>
  <c r="O37" i="11"/>
  <c r="O37" i="34" s="1"/>
  <c r="O22" i="11"/>
  <c r="O22" i="34" s="1"/>
  <c r="O39" i="11"/>
  <c r="O39" i="34" s="1"/>
  <c r="O43" i="11"/>
  <c r="O43" i="34" s="1"/>
  <c r="O8" i="11"/>
  <c r="O8" i="34" s="1"/>
  <c r="O17" i="11"/>
  <c r="O17" i="34" s="1"/>
  <c r="O38" i="11"/>
  <c r="O38" i="34" s="1"/>
  <c r="O24" i="11"/>
  <c r="O24" i="34" s="1"/>
  <c r="O28" i="11"/>
  <c r="O28" i="34" s="1"/>
  <c r="O40" i="11"/>
  <c r="O40" i="34" s="1"/>
  <c r="O19" i="11"/>
  <c r="O19" i="34" s="1"/>
  <c r="O18" i="11"/>
  <c r="O18" i="34" s="1"/>
  <c r="O41" i="11"/>
  <c r="O41" i="34" s="1"/>
  <c r="O34" i="11"/>
  <c r="O34" i="34" s="1"/>
  <c r="O36" i="11"/>
  <c r="O36" i="34" s="1"/>
  <c r="O7" i="11"/>
  <c r="O7" i="34" s="1"/>
  <c r="O44" i="11"/>
  <c r="O44" i="34" s="1"/>
  <c r="O6" i="11"/>
  <c r="O6" i="34" s="1"/>
  <c r="O20" i="11"/>
  <c r="O20" i="34" s="1"/>
  <c r="O15" i="11"/>
  <c r="O15" i="34" s="1"/>
  <c r="AD18" i="7"/>
  <c r="AC18" i="9"/>
  <c r="AD18" i="9" s="1"/>
  <c r="AC53" i="9"/>
  <c r="AD53" i="9" s="1"/>
  <c r="AD53" i="7"/>
  <c r="AD45" i="7"/>
  <c r="AC45" i="9"/>
  <c r="AD45" i="9" s="1"/>
  <c r="AD11" i="7"/>
  <c r="AC11" i="9"/>
  <c r="AD11" i="9" s="1"/>
  <c r="AC21" i="9"/>
  <c r="AD21" i="9" s="1"/>
  <c r="AD21" i="7"/>
  <c r="AD23" i="7"/>
  <c r="AC23" i="9"/>
  <c r="AD23" i="9" s="1"/>
  <c r="AD25" i="7"/>
  <c r="AC25" i="9"/>
  <c r="AD25" i="9" s="1"/>
  <c r="R15" i="12"/>
  <c r="S15" i="11"/>
  <c r="R15" i="13"/>
  <c r="S15" i="13" s="1"/>
  <c r="R40" i="12"/>
  <c r="S40" i="11"/>
  <c r="R40" i="13"/>
  <c r="S40" i="13" s="1"/>
  <c r="R38" i="12"/>
  <c r="S38" i="11"/>
  <c r="R38" i="13"/>
  <c r="S38" i="13" s="1"/>
  <c r="R14" i="12"/>
  <c r="S14" i="11"/>
  <c r="R14" i="13"/>
  <c r="S14" i="13" s="1"/>
  <c r="R25" i="12"/>
  <c r="S25" i="11"/>
  <c r="R25" i="13"/>
  <c r="S25" i="13" s="1"/>
  <c r="AH22" i="9"/>
  <c r="AI13" i="9"/>
  <c r="AI5" i="9"/>
  <c r="AI63" i="7"/>
  <c r="AI68" i="7" s="1"/>
  <c r="AI43" i="32" s="1"/>
  <c r="AI29" i="9"/>
  <c r="U22" i="13"/>
  <c r="U22" i="12"/>
  <c r="U34" i="12"/>
  <c r="U34" i="13"/>
  <c r="U25" i="13"/>
  <c r="U25" i="12"/>
  <c r="U16" i="12"/>
  <c r="U16" i="13"/>
  <c r="U39" i="13"/>
  <c r="U39" i="12"/>
  <c r="M6" i="26"/>
  <c r="W8" i="9"/>
  <c r="W50" i="9"/>
  <c r="W29" i="9"/>
  <c r="W26" i="9"/>
  <c r="W28" i="9"/>
  <c r="X10" i="9"/>
  <c r="X26" i="9"/>
  <c r="Z5" i="23"/>
  <c r="Z67" i="23" s="1"/>
  <c r="AA63" i="8"/>
  <c r="AC39" i="9"/>
  <c r="AD39" i="9" s="1"/>
  <c r="AD39" i="7"/>
  <c r="AC29" i="9"/>
  <c r="AD29" i="9" s="1"/>
  <c r="AD29" i="7"/>
  <c r="AD22" i="7"/>
  <c r="AC22" i="9"/>
  <c r="AD22" i="9" s="1"/>
  <c r="AC12" i="9"/>
  <c r="AD12" i="9" s="1"/>
  <c r="AD12" i="7"/>
  <c r="AC28" i="9"/>
  <c r="AD28" i="9" s="1"/>
  <c r="AD28" i="7"/>
  <c r="AC30" i="9"/>
  <c r="AD30" i="9" s="1"/>
  <c r="AD30" i="7"/>
  <c r="AD55" i="7"/>
  <c r="AC55" i="9"/>
  <c r="AD55" i="9" s="1"/>
  <c r="S35" i="11"/>
  <c r="R35" i="13"/>
  <c r="S35" i="13" s="1"/>
  <c r="R35" i="12"/>
  <c r="R12" i="12"/>
  <c r="R12" i="13"/>
  <c r="S12" i="13" s="1"/>
  <c r="S12" i="11"/>
  <c r="R34" i="13"/>
  <c r="S34" i="13" s="1"/>
  <c r="R34" i="12"/>
  <c r="S34" i="11"/>
  <c r="S30" i="11"/>
  <c r="R30" i="13"/>
  <c r="S30" i="13" s="1"/>
  <c r="R30" i="12"/>
  <c r="S21" i="11"/>
  <c r="R21" i="12"/>
  <c r="R21" i="13"/>
  <c r="S21" i="13" s="1"/>
  <c r="AH29" i="9"/>
  <c r="AI20" i="9"/>
  <c r="AI24" i="9"/>
  <c r="AI21" i="9"/>
  <c r="M81" i="6"/>
  <c r="U35" i="12"/>
  <c r="U35" i="13"/>
  <c r="U30" i="12"/>
  <c r="U30" i="13"/>
  <c r="U21" i="12"/>
  <c r="U21" i="13"/>
  <c r="U32" i="13"/>
  <c r="U32" i="12"/>
  <c r="U10" i="12"/>
  <c r="U10" i="13"/>
  <c r="U28" i="9"/>
  <c r="U44" i="9"/>
  <c r="P5" i="9"/>
  <c r="P63" i="7"/>
  <c r="P68" i="7" s="1"/>
  <c r="P21" i="32" s="1"/>
  <c r="W7" i="9"/>
  <c r="W45" i="9"/>
  <c r="W42" i="9"/>
  <c r="W44" i="9"/>
  <c r="X25" i="9"/>
  <c r="X42" i="9"/>
  <c r="AC48" i="9"/>
  <c r="AD48" i="9" s="1"/>
  <c r="AD48" i="7"/>
  <c r="AD34" i="7"/>
  <c r="AC34" i="9"/>
  <c r="AD34" i="9" s="1"/>
  <c r="AC42" i="9"/>
  <c r="AD42" i="9" s="1"/>
  <c r="AD42" i="7"/>
  <c r="AD24" i="7"/>
  <c r="AC24" i="9"/>
  <c r="AD24" i="9" s="1"/>
  <c r="AD60" i="7"/>
  <c r="AC60" i="9"/>
  <c r="AD60" i="9" s="1"/>
  <c r="AD44" i="7"/>
  <c r="AC44" i="9"/>
  <c r="AD44" i="9" s="1"/>
  <c r="AC51" i="9"/>
  <c r="AD51" i="9" s="1"/>
  <c r="AD51" i="7"/>
  <c r="O5" i="9"/>
  <c r="O63" i="7"/>
  <c r="O68" i="7" s="1"/>
  <c r="O58" i="32" s="1"/>
  <c r="R9" i="12"/>
  <c r="S9" i="11"/>
  <c r="R9" i="13"/>
  <c r="S9" i="13" s="1"/>
  <c r="R31" i="13"/>
  <c r="S31" i="13" s="1"/>
  <c r="R31" i="12"/>
  <c r="S31" i="11"/>
  <c r="R5" i="13"/>
  <c r="R47" i="11"/>
  <c r="R5" i="12"/>
  <c r="S5" i="11"/>
  <c r="R41" i="12"/>
  <c r="R41" i="13"/>
  <c r="S41" i="13" s="1"/>
  <c r="S41" i="11"/>
  <c r="R16" i="12"/>
  <c r="S16" i="11"/>
  <c r="R16" i="13"/>
  <c r="S16" i="13" s="1"/>
  <c r="N44" i="24"/>
  <c r="N90" i="24" s="1"/>
  <c r="T64" i="8"/>
  <c r="T64" i="9"/>
  <c r="T64" i="7"/>
  <c r="AB48" i="13"/>
  <c r="AB48" i="12"/>
  <c r="X52" i="12" s="1"/>
  <c r="AB48" i="11"/>
  <c r="AB48" i="10"/>
  <c r="N66" i="9"/>
  <c r="N66" i="8"/>
  <c r="N68" i="8" s="1"/>
  <c r="N66" i="7"/>
  <c r="N65" i="9"/>
  <c r="N65" i="8"/>
  <c r="N65" i="7"/>
  <c r="F35" i="5"/>
  <c r="L50" i="13"/>
  <c r="L50" i="12"/>
  <c r="L52" i="12" s="1"/>
  <c r="L51" i="12" s="1"/>
  <c r="L50" i="11"/>
  <c r="L50" i="10"/>
  <c r="E35" i="5"/>
  <c r="L49" i="13"/>
  <c r="L49" i="12"/>
  <c r="L49" i="11"/>
  <c r="L52" i="11" s="1"/>
  <c r="L51" i="11" s="1"/>
  <c r="L49" i="10"/>
  <c r="L52" i="10"/>
  <c r="E10" i="5"/>
  <c r="N67" i="6"/>
  <c r="F10" i="5"/>
  <c r="N68" i="6"/>
  <c r="D47" i="5"/>
  <c r="D29" i="5"/>
  <c r="F29" i="5"/>
  <c r="W12" i="34" l="1"/>
  <c r="W15" i="34"/>
  <c r="W33" i="34"/>
  <c r="N19" i="34"/>
  <c r="N19" i="13"/>
  <c r="N19" i="24" s="1"/>
  <c r="N65" i="24" s="1"/>
  <c r="W22" i="34"/>
  <c r="W14" i="34"/>
  <c r="W32" i="34"/>
  <c r="W18" i="34"/>
  <c r="N25" i="24"/>
  <c r="N71" i="24" s="1"/>
  <c r="U60" i="8"/>
  <c r="W30" i="34"/>
  <c r="W25" i="34"/>
  <c r="W28" i="34"/>
  <c r="W31" i="34"/>
  <c r="W26" i="34"/>
  <c r="W35" i="34"/>
  <c r="N13" i="24"/>
  <c r="N59" i="24" s="1"/>
  <c r="W20" i="34"/>
  <c r="AC60" i="32"/>
  <c r="AD60" i="32" s="1"/>
  <c r="O52" i="32"/>
  <c r="W40" i="34"/>
  <c r="U6" i="32"/>
  <c r="W41" i="34"/>
  <c r="W37" i="34"/>
  <c r="P14" i="24"/>
  <c r="P60" i="24" s="1"/>
  <c r="P38" i="32"/>
  <c r="L59" i="32"/>
  <c r="O37" i="32"/>
  <c r="AC21" i="32"/>
  <c r="AD21" i="32" s="1"/>
  <c r="AH32" i="32"/>
  <c r="AC33" i="32"/>
  <c r="AD33" i="32" s="1"/>
  <c r="W6" i="34"/>
  <c r="W36" i="34"/>
  <c r="O61" i="32"/>
  <c r="P61" i="32"/>
  <c r="O49" i="32"/>
  <c r="U13" i="32"/>
  <c r="Q7" i="32"/>
  <c r="W57" i="32"/>
  <c r="Q53" i="32"/>
  <c r="Q57" i="32"/>
  <c r="P12" i="32"/>
  <c r="Q6" i="32"/>
  <c r="W23" i="32"/>
  <c r="W17" i="34"/>
  <c r="O16" i="32"/>
  <c r="W11" i="32"/>
  <c r="O60" i="32"/>
  <c r="Q37" i="32"/>
  <c r="P57" i="32"/>
  <c r="Q18" i="32"/>
  <c r="O55" i="32"/>
  <c r="O47" i="32"/>
  <c r="X13" i="32"/>
  <c r="AH20" i="8"/>
  <c r="AD20" i="23" s="1"/>
  <c r="AD82" i="23" s="1"/>
  <c r="AH24" i="32"/>
  <c r="AH46" i="32"/>
  <c r="AH58" i="32"/>
  <c r="AH51" i="32"/>
  <c r="AH36" i="32"/>
  <c r="AH61" i="32"/>
  <c r="AH25" i="32"/>
  <c r="AH27" i="32"/>
  <c r="AH56" i="32"/>
  <c r="AH21" i="32"/>
  <c r="AH59" i="32"/>
  <c r="AH29" i="32"/>
  <c r="AH38" i="32"/>
  <c r="AH20" i="32"/>
  <c r="AH19" i="32"/>
  <c r="AH16" i="32"/>
  <c r="AH44" i="32"/>
  <c r="AH13" i="32"/>
  <c r="AH9" i="32"/>
  <c r="AH26" i="32"/>
  <c r="AH34" i="32"/>
  <c r="AH57" i="32"/>
  <c r="AH45" i="32"/>
  <c r="AH52" i="32"/>
  <c r="AH30" i="32"/>
  <c r="AH49" i="32"/>
  <c r="AH60" i="32"/>
  <c r="AH5" i="32"/>
  <c r="AH12" i="32"/>
  <c r="AH6" i="32"/>
  <c r="AH40" i="32"/>
  <c r="AH23" i="32"/>
  <c r="AH14" i="32"/>
  <c r="AH28" i="32"/>
  <c r="AH37" i="32"/>
  <c r="AH17" i="32"/>
  <c r="AH48" i="32"/>
  <c r="AH50" i="32"/>
  <c r="AH8" i="32"/>
  <c r="AH43" i="32"/>
  <c r="AH7" i="32"/>
  <c r="M50" i="9"/>
  <c r="M9" i="9"/>
  <c r="N5" i="12"/>
  <c r="N5" i="34"/>
  <c r="X10" i="8"/>
  <c r="W54" i="8"/>
  <c r="V54" i="23" s="1"/>
  <c r="V116" i="23" s="1"/>
  <c r="W7" i="32"/>
  <c r="W14" i="32"/>
  <c r="W59" i="32"/>
  <c r="W35" i="32"/>
  <c r="W9" i="32"/>
  <c r="W50" i="32"/>
  <c r="W61" i="32"/>
  <c r="W45" i="32"/>
  <c r="W52" i="32"/>
  <c r="W27" i="32"/>
  <c r="W37" i="32"/>
  <c r="W29" i="32"/>
  <c r="W20" i="32"/>
  <c r="W18" i="32"/>
  <c r="W33" i="32"/>
  <c r="W24" i="32"/>
  <c r="W12" i="32"/>
  <c r="W54" i="32"/>
  <c r="W19" i="32"/>
  <c r="W56" i="32"/>
  <c r="W31" i="32"/>
  <c r="W39" i="32"/>
  <c r="W51" i="32"/>
  <c r="W49" i="32"/>
  <c r="W42" i="32"/>
  <c r="W40" i="32"/>
  <c r="W21" i="32"/>
  <c r="W5" i="32"/>
  <c r="W53" i="32"/>
  <c r="W41" i="32"/>
  <c r="W46" i="32"/>
  <c r="W48" i="32"/>
  <c r="W60" i="32"/>
  <c r="W17" i="32"/>
  <c r="W58" i="32"/>
  <c r="W47" i="32"/>
  <c r="X50" i="8"/>
  <c r="M47" i="34"/>
  <c r="M41" i="9"/>
  <c r="M49" i="9"/>
  <c r="M15" i="9"/>
  <c r="M18" i="9"/>
  <c r="M46" i="9"/>
  <c r="M56" i="9"/>
  <c r="N12" i="12"/>
  <c r="N12" i="34"/>
  <c r="N42" i="13"/>
  <c r="N42" i="34"/>
  <c r="N42" i="12"/>
  <c r="AC20" i="32"/>
  <c r="AD20" i="32" s="1"/>
  <c r="W30" i="32"/>
  <c r="P45" i="32"/>
  <c r="U52" i="32"/>
  <c r="Q10" i="32"/>
  <c r="Q20" i="32"/>
  <c r="Q48" i="32"/>
  <c r="AC44" i="32"/>
  <c r="AD44" i="32" s="1"/>
  <c r="W13" i="32"/>
  <c r="AI24" i="32"/>
  <c r="AI8" i="32"/>
  <c r="O50" i="32"/>
  <c r="L29" i="32"/>
  <c r="AI11" i="32"/>
  <c r="X5" i="32"/>
  <c r="X41" i="32"/>
  <c r="W32" i="32"/>
  <c r="X38" i="32"/>
  <c r="W22" i="32"/>
  <c r="O54" i="32"/>
  <c r="AI5" i="32"/>
  <c r="M17" i="9"/>
  <c r="P37" i="12"/>
  <c r="P37" i="34"/>
  <c r="L55" i="8"/>
  <c r="L27" i="32"/>
  <c r="L33" i="32"/>
  <c r="L7" i="32"/>
  <c r="L55" i="32"/>
  <c r="L51" i="32"/>
  <c r="L44" i="32"/>
  <c r="L30" i="32"/>
  <c r="L58" i="32"/>
  <c r="L12" i="32"/>
  <c r="L54" i="32"/>
  <c r="L32" i="32"/>
  <c r="L37" i="32"/>
  <c r="L57" i="32"/>
  <c r="L19" i="32"/>
  <c r="L22" i="32"/>
  <c r="L17" i="32"/>
  <c r="L23" i="32"/>
  <c r="L10" i="32"/>
  <c r="L14" i="32"/>
  <c r="L39" i="32"/>
  <c r="L42" i="32"/>
  <c r="L21" i="32"/>
  <c r="L50" i="32"/>
  <c r="L34" i="32"/>
  <c r="L52" i="32"/>
  <c r="L41" i="32"/>
  <c r="L18" i="32"/>
  <c r="L53" i="32"/>
  <c r="L61" i="32"/>
  <c r="L40" i="32"/>
  <c r="L47" i="32"/>
  <c r="L5" i="32"/>
  <c r="L24" i="32"/>
  <c r="L38" i="32"/>
  <c r="L49" i="32"/>
  <c r="L13" i="32"/>
  <c r="L45" i="32"/>
  <c r="L31" i="32"/>
  <c r="L26" i="32"/>
  <c r="L36" i="32"/>
  <c r="L25" i="32"/>
  <c r="L46" i="32"/>
  <c r="L6" i="32"/>
  <c r="M6" i="9"/>
  <c r="M53" i="9"/>
  <c r="W5" i="34"/>
  <c r="T47" i="34"/>
  <c r="AH18" i="32"/>
  <c r="L28" i="32"/>
  <c r="P30" i="8"/>
  <c r="P30" i="23" s="1"/>
  <c r="P92" i="23" s="1"/>
  <c r="P16" i="32"/>
  <c r="P47" i="32"/>
  <c r="P30" i="32"/>
  <c r="P11" i="32"/>
  <c r="P59" i="32"/>
  <c r="P55" i="32"/>
  <c r="P7" i="32"/>
  <c r="P29" i="32"/>
  <c r="P23" i="32"/>
  <c r="P18" i="32"/>
  <c r="P58" i="32"/>
  <c r="P39" i="32"/>
  <c r="P15" i="32"/>
  <c r="P54" i="32"/>
  <c r="P42" i="32"/>
  <c r="P34" i="32"/>
  <c r="P40" i="32"/>
  <c r="P27" i="32"/>
  <c r="P13" i="32"/>
  <c r="P43" i="32"/>
  <c r="P8" i="32"/>
  <c r="P14" i="32"/>
  <c r="P33" i="32"/>
  <c r="P25" i="32"/>
  <c r="P28" i="32"/>
  <c r="P48" i="32"/>
  <c r="P52" i="32"/>
  <c r="P32" i="32"/>
  <c r="P10" i="32"/>
  <c r="P49" i="32"/>
  <c r="P24" i="32"/>
  <c r="P46" i="32"/>
  <c r="P20" i="32"/>
  <c r="P22" i="32"/>
  <c r="P56" i="32"/>
  <c r="P26" i="32"/>
  <c r="P5" i="32"/>
  <c r="P19" i="32"/>
  <c r="P36" i="32"/>
  <c r="P44" i="32"/>
  <c r="P35" i="32"/>
  <c r="P51" i="32"/>
  <c r="P41" i="32"/>
  <c r="M55" i="9"/>
  <c r="M7" i="9"/>
  <c r="M25" i="9"/>
  <c r="W34" i="34"/>
  <c r="W44" i="34"/>
  <c r="X60" i="8"/>
  <c r="U5" i="8"/>
  <c r="T5" i="23" s="1"/>
  <c r="T67" i="23" s="1"/>
  <c r="U27" i="32"/>
  <c r="U39" i="32"/>
  <c r="U43" i="32"/>
  <c r="U41" i="32"/>
  <c r="U36" i="32"/>
  <c r="U32" i="32"/>
  <c r="U33" i="32"/>
  <c r="U10" i="32"/>
  <c r="U12" i="32"/>
  <c r="U11" i="32"/>
  <c r="U34" i="32"/>
  <c r="U24" i="32"/>
  <c r="U17" i="32"/>
  <c r="U8" i="32"/>
  <c r="U29" i="32"/>
  <c r="U23" i="32"/>
  <c r="U45" i="32"/>
  <c r="U18" i="32"/>
  <c r="U38" i="32"/>
  <c r="U28" i="32"/>
  <c r="U35" i="32"/>
  <c r="U15" i="32"/>
  <c r="U60" i="32"/>
  <c r="U16" i="32"/>
  <c r="U14" i="32"/>
  <c r="U42" i="32"/>
  <c r="U25" i="32"/>
  <c r="U59" i="32"/>
  <c r="U44" i="32"/>
  <c r="U31" i="32"/>
  <c r="U7" i="32"/>
  <c r="U37" i="32"/>
  <c r="U40" i="32"/>
  <c r="U47" i="32"/>
  <c r="U55" i="32"/>
  <c r="U5" i="32"/>
  <c r="U19" i="32"/>
  <c r="U61" i="32"/>
  <c r="U57" i="32"/>
  <c r="U22" i="32"/>
  <c r="X29" i="32"/>
  <c r="W26" i="32"/>
  <c r="U9" i="32"/>
  <c r="Q26" i="32"/>
  <c r="AI9" i="32"/>
  <c r="L11" i="32"/>
  <c r="AI21" i="32"/>
  <c r="X49" i="32"/>
  <c r="W34" i="32"/>
  <c r="AH31" i="32"/>
  <c r="O11" i="32"/>
  <c r="U20" i="32"/>
  <c r="AI47" i="32"/>
  <c r="AC9" i="32"/>
  <c r="AD9" i="32" s="1"/>
  <c r="P6" i="32"/>
  <c r="AH11" i="32"/>
  <c r="AC11" i="32"/>
  <c r="AD11" i="32" s="1"/>
  <c r="P17" i="32"/>
  <c r="U53" i="32"/>
  <c r="AI35" i="32"/>
  <c r="W44" i="32"/>
  <c r="AH10" i="32"/>
  <c r="M12" i="9"/>
  <c r="X57" i="32"/>
  <c r="M29" i="9"/>
  <c r="AH39" i="32"/>
  <c r="L35" i="32"/>
  <c r="X34" i="8"/>
  <c r="M37" i="9"/>
  <c r="M59" i="9"/>
  <c r="M36" i="9"/>
  <c r="M19" i="9"/>
  <c r="M40" i="9"/>
  <c r="W9" i="34"/>
  <c r="W42" i="34"/>
  <c r="AC47" i="8"/>
  <c r="AC36" i="32"/>
  <c r="AD36" i="32" s="1"/>
  <c r="AC10" i="32"/>
  <c r="AD10" i="32" s="1"/>
  <c r="AC14" i="32"/>
  <c r="AD14" i="32" s="1"/>
  <c r="AC25" i="32"/>
  <c r="AD25" i="32" s="1"/>
  <c r="AC22" i="32"/>
  <c r="AD22" i="32" s="1"/>
  <c r="AC7" i="32"/>
  <c r="AD7" i="32" s="1"/>
  <c r="AC13" i="32"/>
  <c r="AD13" i="32" s="1"/>
  <c r="AC56" i="32"/>
  <c r="AD56" i="32" s="1"/>
  <c r="AC47" i="32"/>
  <c r="AD47" i="32" s="1"/>
  <c r="AC38" i="32"/>
  <c r="AD38" i="32" s="1"/>
  <c r="AC27" i="32"/>
  <c r="AD27" i="32" s="1"/>
  <c r="AC12" i="32"/>
  <c r="AD12" i="32" s="1"/>
  <c r="AC31" i="32"/>
  <c r="AD31" i="32" s="1"/>
  <c r="AC48" i="32"/>
  <c r="AD48" i="32" s="1"/>
  <c r="AC40" i="32"/>
  <c r="AD40" i="32" s="1"/>
  <c r="AC54" i="32"/>
  <c r="AD54" i="32" s="1"/>
  <c r="AC43" i="32"/>
  <c r="AD43" i="32" s="1"/>
  <c r="AC57" i="32"/>
  <c r="AD57" i="32" s="1"/>
  <c r="AC18" i="32"/>
  <c r="AD18" i="32" s="1"/>
  <c r="AC28" i="32"/>
  <c r="AD28" i="32" s="1"/>
  <c r="AC34" i="32"/>
  <c r="AD34" i="32" s="1"/>
  <c r="AC49" i="32"/>
  <c r="AD49" i="32" s="1"/>
  <c r="AC53" i="32"/>
  <c r="AD53" i="32" s="1"/>
  <c r="AC61" i="32"/>
  <c r="AD61" i="32" s="1"/>
  <c r="AC30" i="32"/>
  <c r="AD30" i="32" s="1"/>
  <c r="AC42" i="32"/>
  <c r="AD42" i="32" s="1"/>
  <c r="AC50" i="32"/>
  <c r="AD50" i="32" s="1"/>
  <c r="AC26" i="32"/>
  <c r="AD26" i="32" s="1"/>
  <c r="AC45" i="32"/>
  <c r="AD45" i="32" s="1"/>
  <c r="AC17" i="32"/>
  <c r="AD17" i="32" s="1"/>
  <c r="AC55" i="32"/>
  <c r="AD55" i="32" s="1"/>
  <c r="AC24" i="32"/>
  <c r="AD24" i="32" s="1"/>
  <c r="AC52" i="32"/>
  <c r="AD52" i="32" s="1"/>
  <c r="AC41" i="32"/>
  <c r="AD41" i="32" s="1"/>
  <c r="AC8" i="32"/>
  <c r="AD8" i="32" s="1"/>
  <c r="AC59" i="32"/>
  <c r="AD59" i="32" s="1"/>
  <c r="AC19" i="32"/>
  <c r="AD19" i="32" s="1"/>
  <c r="AC23" i="32"/>
  <c r="AD23" i="32" s="1"/>
  <c r="AC29" i="32"/>
  <c r="AD29" i="32" s="1"/>
  <c r="AC51" i="32"/>
  <c r="AD51" i="32" s="1"/>
  <c r="AC15" i="32"/>
  <c r="AD15" i="32" s="1"/>
  <c r="M33" i="9"/>
  <c r="N5" i="13"/>
  <c r="N5" i="24" s="1"/>
  <c r="N51" i="24" s="1"/>
  <c r="P32" i="12"/>
  <c r="P32" i="34"/>
  <c r="N35" i="12"/>
  <c r="N35" i="34"/>
  <c r="O38" i="32"/>
  <c r="AC58" i="32"/>
  <c r="AD58" i="32" s="1"/>
  <c r="U56" i="32"/>
  <c r="L56" i="32"/>
  <c r="Q27" i="32"/>
  <c r="O46" i="32"/>
  <c r="O23" i="32"/>
  <c r="X31" i="32"/>
  <c r="U58" i="32"/>
  <c r="O19" i="32"/>
  <c r="L60" i="32"/>
  <c r="AH33" i="32"/>
  <c r="AI49" i="32"/>
  <c r="O35" i="32"/>
  <c r="AC6" i="32"/>
  <c r="AD6" i="32" s="1"/>
  <c r="W15" i="32"/>
  <c r="AH53" i="32"/>
  <c r="O20" i="32"/>
  <c r="AH35" i="32"/>
  <c r="U48" i="32"/>
  <c r="M31" i="9"/>
  <c r="AI15" i="8"/>
  <c r="AE15" i="23" s="1"/>
  <c r="AE77" i="23" s="1"/>
  <c r="AI17" i="32"/>
  <c r="AI60" i="32"/>
  <c r="AI58" i="32"/>
  <c r="AI39" i="32"/>
  <c r="AI61" i="32"/>
  <c r="AI26" i="32"/>
  <c r="AI16" i="32"/>
  <c r="AI54" i="32"/>
  <c r="AI36" i="32"/>
  <c r="AI40" i="32"/>
  <c r="AI10" i="32"/>
  <c r="AI55" i="32"/>
  <c r="AI20" i="32"/>
  <c r="AI12" i="32"/>
  <c r="AI37" i="32"/>
  <c r="AI32" i="32"/>
  <c r="AI19" i="32"/>
  <c r="AI38" i="32"/>
  <c r="AI25" i="32"/>
  <c r="AI7" i="32"/>
  <c r="AI42" i="32"/>
  <c r="AI50" i="32"/>
  <c r="AI45" i="32"/>
  <c r="AI30" i="32"/>
  <c r="AI28" i="32"/>
  <c r="AI59" i="32"/>
  <c r="AI22" i="32"/>
  <c r="AI53" i="32"/>
  <c r="AI46" i="32"/>
  <c r="AI48" i="32"/>
  <c r="AI41" i="32"/>
  <c r="AI44" i="32"/>
  <c r="AI29" i="32"/>
  <c r="AI57" i="32"/>
  <c r="AI15" i="32"/>
  <c r="AI27" i="32"/>
  <c r="AI31" i="32"/>
  <c r="AI18" i="32"/>
  <c r="Q54" i="8"/>
  <c r="Q54" i="23" s="1"/>
  <c r="Q116" i="23" s="1"/>
  <c r="Q50" i="32"/>
  <c r="Q52" i="32"/>
  <c r="Q58" i="32"/>
  <c r="Q9" i="32"/>
  <c r="Q39" i="32"/>
  <c r="Q36" i="32"/>
  <c r="Q33" i="32"/>
  <c r="Q46" i="32"/>
  <c r="Q35" i="32"/>
  <c r="Q15" i="32"/>
  <c r="Q28" i="32"/>
  <c r="Q11" i="32"/>
  <c r="Q12" i="32"/>
  <c r="Q5" i="32"/>
  <c r="Q25" i="32"/>
  <c r="Q43" i="32"/>
  <c r="Q23" i="32"/>
  <c r="Q60" i="32"/>
  <c r="Q24" i="32"/>
  <c r="Q41" i="32"/>
  <c r="Q40" i="32"/>
  <c r="Q17" i="32"/>
  <c r="Q61" i="32"/>
  <c r="Q8" i="32"/>
  <c r="Q32" i="32"/>
  <c r="Q19" i="32"/>
  <c r="Q16" i="32"/>
  <c r="Q55" i="32"/>
  <c r="Q54" i="32"/>
  <c r="Q56" i="32"/>
  <c r="Q45" i="32"/>
  <c r="Q31" i="32"/>
  <c r="Q29" i="32"/>
  <c r="Q49" i="32"/>
  <c r="Q44" i="32"/>
  <c r="Q30" i="32"/>
  <c r="Q21" i="32"/>
  <c r="Q34" i="32"/>
  <c r="M54" i="9"/>
  <c r="M16" i="9"/>
  <c r="M14" i="9"/>
  <c r="M52" i="9"/>
  <c r="M26" i="9"/>
  <c r="P37" i="13"/>
  <c r="V47" i="34"/>
  <c r="N24" i="13"/>
  <c r="N24" i="34"/>
  <c r="P16" i="13"/>
  <c r="P16" i="24" s="1"/>
  <c r="P62" i="24" s="1"/>
  <c r="P16" i="34"/>
  <c r="N14" i="12"/>
  <c r="N14" i="34"/>
  <c r="AC32" i="32"/>
  <c r="AD32" i="32" s="1"/>
  <c r="X10" i="32"/>
  <c r="W8" i="32"/>
  <c r="P37" i="32"/>
  <c r="U21" i="32"/>
  <c r="L9" i="32"/>
  <c r="Q13" i="32"/>
  <c r="AH55" i="32"/>
  <c r="AI52" i="32"/>
  <c r="AC39" i="32"/>
  <c r="AD39" i="32" s="1"/>
  <c r="W10" i="32"/>
  <c r="AH47" i="32"/>
  <c r="AH42" i="32"/>
  <c r="Q47" i="32"/>
  <c r="U51" i="32"/>
  <c r="L16" i="32"/>
  <c r="AH41" i="32"/>
  <c r="AC37" i="32"/>
  <c r="AD37" i="32" s="1"/>
  <c r="P60" i="32"/>
  <c r="L20" i="32"/>
  <c r="AH22" i="32"/>
  <c r="X5" i="8"/>
  <c r="W5" i="23" s="1"/>
  <c r="W67" i="23" s="1"/>
  <c r="X24" i="32"/>
  <c r="X60" i="32"/>
  <c r="X17" i="32"/>
  <c r="X48" i="32"/>
  <c r="X19" i="32"/>
  <c r="X23" i="32"/>
  <c r="X46" i="32"/>
  <c r="X51" i="32"/>
  <c r="X47" i="32"/>
  <c r="X43" i="32"/>
  <c r="X42" i="32"/>
  <c r="X53" i="32"/>
  <c r="X22" i="32"/>
  <c r="X12" i="32"/>
  <c r="X40" i="32"/>
  <c r="X55" i="32"/>
  <c r="X6" i="32"/>
  <c r="X26" i="32"/>
  <c r="X52" i="32"/>
  <c r="X58" i="32"/>
  <c r="X20" i="32"/>
  <c r="X14" i="32"/>
  <c r="X59" i="32"/>
  <c r="X44" i="32"/>
  <c r="X7" i="32"/>
  <c r="X33" i="32"/>
  <c r="X18" i="32"/>
  <c r="X15" i="32"/>
  <c r="X28" i="32"/>
  <c r="X25" i="32"/>
  <c r="X34" i="32"/>
  <c r="X37" i="32"/>
  <c r="X27" i="32"/>
  <c r="X30" i="32"/>
  <c r="X39" i="32"/>
  <c r="X61" i="32"/>
  <c r="X36" i="32"/>
  <c r="X16" i="32"/>
  <c r="X21" i="32"/>
  <c r="X32" i="32"/>
  <c r="X56" i="32"/>
  <c r="AI56" i="32"/>
  <c r="AI13" i="32"/>
  <c r="O47" i="34"/>
  <c r="N26" i="12"/>
  <c r="N26" i="34"/>
  <c r="L43" i="32"/>
  <c r="O16" i="8"/>
  <c r="O16" i="23" s="1"/>
  <c r="O78" i="23" s="1"/>
  <c r="O41" i="32"/>
  <c r="O9" i="32"/>
  <c r="O29" i="32"/>
  <c r="O40" i="32"/>
  <c r="O53" i="32"/>
  <c r="O42" i="32"/>
  <c r="O21" i="32"/>
  <c r="O14" i="32"/>
  <c r="O30" i="32"/>
  <c r="O24" i="32"/>
  <c r="O48" i="32"/>
  <c r="O59" i="32"/>
  <c r="O26" i="32"/>
  <c r="O10" i="32"/>
  <c r="O7" i="32"/>
  <c r="O32" i="32"/>
  <c r="O36" i="32"/>
  <c r="O5" i="32"/>
  <c r="O56" i="32"/>
  <c r="O31" i="32"/>
  <c r="O13" i="32"/>
  <c r="O57" i="32"/>
  <c r="O12" i="32"/>
  <c r="O15" i="32"/>
  <c r="O43" i="32"/>
  <c r="O17" i="32"/>
  <c r="O44" i="32"/>
  <c r="O27" i="32"/>
  <c r="O8" i="32"/>
  <c r="O18" i="32"/>
  <c r="O6" i="32"/>
  <c r="O45" i="32"/>
  <c r="O33" i="32"/>
  <c r="O34" i="32"/>
  <c r="O28" i="32"/>
  <c r="O39" i="32"/>
  <c r="M51" i="9"/>
  <c r="M27" i="9"/>
  <c r="M44" i="9"/>
  <c r="M35" i="9"/>
  <c r="X58" i="8"/>
  <c r="W58" i="23" s="1"/>
  <c r="W120" i="23" s="1"/>
  <c r="R63" i="9"/>
  <c r="AC16" i="32"/>
  <c r="AD16" i="32" s="1"/>
  <c r="P9" i="32"/>
  <c r="U54" i="32"/>
  <c r="L8" i="32"/>
  <c r="AI6" i="32"/>
  <c r="X8" i="32"/>
  <c r="Q14" i="32"/>
  <c r="O25" i="32"/>
  <c r="X35" i="32"/>
  <c r="P50" i="32"/>
  <c r="Q42" i="32"/>
  <c r="U30" i="32"/>
  <c r="O51" i="32"/>
  <c r="X50" i="32"/>
  <c r="W6" i="32"/>
  <c r="X45" i="32"/>
  <c r="W25" i="32"/>
  <c r="AH15" i="32"/>
  <c r="M21" i="9"/>
  <c r="M20" i="9"/>
  <c r="N43" i="12"/>
  <c r="N43" i="34"/>
  <c r="X39" i="8"/>
  <c r="W39" i="23" s="1"/>
  <c r="W101" i="23" s="1"/>
  <c r="X48" i="8"/>
  <c r="M57" i="9"/>
  <c r="M42" i="9"/>
  <c r="M24" i="9"/>
  <c r="X18" i="8"/>
  <c r="W18" i="23" s="1"/>
  <c r="W80" i="23" s="1"/>
  <c r="AA5" i="34"/>
  <c r="AA47" i="34" s="1"/>
  <c r="Z47" i="34"/>
  <c r="M61" i="9"/>
  <c r="M11" i="9"/>
  <c r="M58" i="9"/>
  <c r="M39" i="9"/>
  <c r="M45" i="9"/>
  <c r="M13" i="9"/>
  <c r="M30" i="9"/>
  <c r="W29" i="34"/>
  <c r="W13" i="34"/>
  <c r="N14" i="13"/>
  <c r="N41" i="12"/>
  <c r="N41" i="24" s="1"/>
  <c r="N87" i="24" s="1"/>
  <c r="N41" i="34"/>
  <c r="N21" i="12"/>
  <c r="N21" i="24" s="1"/>
  <c r="N67" i="24" s="1"/>
  <c r="N21" i="34"/>
  <c r="O22" i="32"/>
  <c r="AC5" i="32"/>
  <c r="P31" i="32"/>
  <c r="L15" i="32"/>
  <c r="AI33" i="32"/>
  <c r="AI14" i="32"/>
  <c r="W36" i="32"/>
  <c r="W55" i="32"/>
  <c r="P53" i="32"/>
  <c r="AI34" i="32"/>
  <c r="W16" i="32"/>
  <c r="AI51" i="32"/>
  <c r="W38" i="32"/>
  <c r="AI23" i="32"/>
  <c r="Q38" i="32"/>
  <c r="AC46" i="32"/>
  <c r="AD46" i="32" s="1"/>
  <c r="Q59" i="32"/>
  <c r="X54" i="32"/>
  <c r="W43" i="32"/>
  <c r="U46" i="32"/>
  <c r="X9" i="32"/>
  <c r="U49" i="32"/>
  <c r="Q51" i="32"/>
  <c r="U50" i="32"/>
  <c r="N17" i="12"/>
  <c r="N17" i="34"/>
  <c r="N37" i="34"/>
  <c r="N37" i="12"/>
  <c r="N37" i="24" s="1"/>
  <c r="N83" i="24" s="1"/>
  <c r="N37" i="13"/>
  <c r="N20" i="12"/>
  <c r="N20" i="24" s="1"/>
  <c r="N66" i="24" s="1"/>
  <c r="N20" i="34"/>
  <c r="N38" i="13"/>
  <c r="N38" i="24" s="1"/>
  <c r="N84" i="24" s="1"/>
  <c r="N38" i="34"/>
  <c r="W10" i="23"/>
  <c r="W72" i="23" s="1"/>
  <c r="S37" i="24"/>
  <c r="S83" i="24" s="1"/>
  <c r="S10" i="24"/>
  <c r="S56" i="24" s="1"/>
  <c r="N12" i="13"/>
  <c r="N12" i="24" s="1"/>
  <c r="N58" i="24" s="1"/>
  <c r="N10" i="13"/>
  <c r="N10" i="12"/>
  <c r="N22" i="13"/>
  <c r="N22" i="12"/>
  <c r="N45" i="13"/>
  <c r="N45" i="12"/>
  <c r="N28" i="13"/>
  <c r="N28" i="12"/>
  <c r="N43" i="13"/>
  <c r="W60" i="23"/>
  <c r="W122" i="23" s="1"/>
  <c r="N34" i="24"/>
  <c r="N80" i="24" s="1"/>
  <c r="N35" i="13"/>
  <c r="N26" i="13"/>
  <c r="N26" i="24" s="1"/>
  <c r="N72" i="24" s="1"/>
  <c r="N40" i="13"/>
  <c r="N40" i="12"/>
  <c r="W50" i="23"/>
  <c r="W112" i="23" s="1"/>
  <c r="P32" i="13"/>
  <c r="N17" i="13"/>
  <c r="S36" i="24"/>
  <c r="S82" i="24" s="1"/>
  <c r="S33" i="24"/>
  <c r="S79" i="24" s="1"/>
  <c r="N29" i="13"/>
  <c r="N29" i="12"/>
  <c r="N15" i="12"/>
  <c r="N15" i="13"/>
  <c r="N8" i="13"/>
  <c r="N8" i="12"/>
  <c r="S23" i="24"/>
  <c r="S69" i="24" s="1"/>
  <c r="S14" i="24"/>
  <c r="S60" i="24" s="1"/>
  <c r="N16" i="12"/>
  <c r="N16" i="13"/>
  <c r="U43" i="8"/>
  <c r="T43" i="23" s="1"/>
  <c r="T105" i="23" s="1"/>
  <c r="U23" i="8"/>
  <c r="T23" i="23" s="1"/>
  <c r="T85" i="23" s="1"/>
  <c r="U25" i="8"/>
  <c r="N33" i="13"/>
  <c r="N33" i="12"/>
  <c r="U28" i="8"/>
  <c r="T28" i="23" s="1"/>
  <c r="T90" i="23" s="1"/>
  <c r="U51" i="8"/>
  <c r="T51" i="23" s="1"/>
  <c r="T113" i="23" s="1"/>
  <c r="N18" i="13"/>
  <c r="N18" i="12"/>
  <c r="N27" i="13"/>
  <c r="N27" i="12"/>
  <c r="U50" i="8"/>
  <c r="T50" i="23" s="1"/>
  <c r="T112" i="23" s="1"/>
  <c r="N31" i="12"/>
  <c r="N31" i="13"/>
  <c r="N7" i="12"/>
  <c r="N7" i="13"/>
  <c r="U44" i="8"/>
  <c r="T44" i="23" s="1"/>
  <c r="T106" i="23" s="1"/>
  <c r="U7" i="8"/>
  <c r="T7" i="23" s="1"/>
  <c r="T69" i="23" s="1"/>
  <c r="N24" i="12"/>
  <c r="N24" i="24" s="1"/>
  <c r="N70" i="24" s="1"/>
  <c r="N11" i="12"/>
  <c r="N11" i="13"/>
  <c r="S45" i="24"/>
  <c r="S91" i="24" s="1"/>
  <c r="L55" i="23"/>
  <c r="L117" i="23" s="1"/>
  <c r="S6" i="24"/>
  <c r="S52" i="24" s="1"/>
  <c r="U47" i="8"/>
  <c r="T47" i="23" s="1"/>
  <c r="T109" i="23" s="1"/>
  <c r="N9" i="24"/>
  <c r="N55" i="24" s="1"/>
  <c r="N6" i="13"/>
  <c r="N6" i="12"/>
  <c r="P15" i="13"/>
  <c r="P15" i="12"/>
  <c r="P30" i="12"/>
  <c r="P30" i="13"/>
  <c r="P26" i="12"/>
  <c r="P26" i="13"/>
  <c r="S25" i="24"/>
  <c r="S71" i="24" s="1"/>
  <c r="X14" i="8"/>
  <c r="W14" i="23" s="1"/>
  <c r="W76" i="23" s="1"/>
  <c r="S11" i="24"/>
  <c r="S57" i="24" s="1"/>
  <c r="X41" i="8"/>
  <c r="W41" i="23" s="1"/>
  <c r="W103" i="23" s="1"/>
  <c r="P11" i="12"/>
  <c r="P11" i="13"/>
  <c r="AH29" i="8"/>
  <c r="AD29" i="23" s="1"/>
  <c r="AD91" i="23" s="1"/>
  <c r="S35" i="24"/>
  <c r="S81" i="24" s="1"/>
  <c r="X55" i="8"/>
  <c r="X33" i="8"/>
  <c r="W33" i="23" s="1"/>
  <c r="W95" i="23" s="1"/>
  <c r="X23" i="8"/>
  <c r="W23" i="23" s="1"/>
  <c r="W85" i="23" s="1"/>
  <c r="O38" i="8"/>
  <c r="O38" i="23" s="1"/>
  <c r="O100" i="23" s="1"/>
  <c r="Q32" i="24"/>
  <c r="Q78" i="24" s="1"/>
  <c r="S26" i="24"/>
  <c r="S72" i="24" s="1"/>
  <c r="W48" i="23"/>
  <c r="W110" i="23" s="1"/>
  <c r="X19" i="8"/>
  <c r="W19" i="23" s="1"/>
  <c r="W81" i="23" s="1"/>
  <c r="X16" i="8"/>
  <c r="X9" i="8"/>
  <c r="W9" i="23" s="1"/>
  <c r="W71" i="23" s="1"/>
  <c r="AC32" i="8"/>
  <c r="X21" i="8"/>
  <c r="W21" i="23" s="1"/>
  <c r="W83" i="23" s="1"/>
  <c r="X40" i="8"/>
  <c r="W40" i="23" s="1"/>
  <c r="W102" i="23" s="1"/>
  <c r="P36" i="13"/>
  <c r="P36" i="12"/>
  <c r="AH7" i="8"/>
  <c r="AD7" i="23" s="1"/>
  <c r="AD69" i="23" s="1"/>
  <c r="P9" i="12"/>
  <c r="P9" i="13"/>
  <c r="X42" i="8"/>
  <c r="W42" i="23" s="1"/>
  <c r="W104" i="23" s="1"/>
  <c r="X26" i="8"/>
  <c r="W26" i="23" s="1"/>
  <c r="W88" i="23" s="1"/>
  <c r="AH22" i="8"/>
  <c r="AD22" i="23" s="1"/>
  <c r="AD84" i="23" s="1"/>
  <c r="X25" i="8"/>
  <c r="W25" i="23" s="1"/>
  <c r="W87" i="23" s="1"/>
  <c r="X49" i="8"/>
  <c r="W49" i="23" s="1"/>
  <c r="W111" i="23" s="1"/>
  <c r="X11" i="8"/>
  <c r="W11" i="23" s="1"/>
  <c r="W73" i="23" s="1"/>
  <c r="S20" i="24"/>
  <c r="S66" i="24" s="1"/>
  <c r="AD47" i="8"/>
  <c r="AA47" i="23"/>
  <c r="AA109" i="23" s="1"/>
  <c r="L38" i="8"/>
  <c r="L38" i="23" s="1"/>
  <c r="L100" i="23" s="1"/>
  <c r="S16" i="24"/>
  <c r="S62" i="24" s="1"/>
  <c r="S38" i="24"/>
  <c r="S84" i="24" s="1"/>
  <c r="S44" i="24"/>
  <c r="S90" i="24" s="1"/>
  <c r="S29" i="24"/>
  <c r="S75" i="24" s="1"/>
  <c r="AH57" i="8"/>
  <c r="AD57" i="23" s="1"/>
  <c r="AD119" i="23" s="1"/>
  <c r="AC5" i="8"/>
  <c r="AD5" i="8" s="1"/>
  <c r="P24" i="12"/>
  <c r="P24" i="13"/>
  <c r="P34" i="12"/>
  <c r="P34" i="13"/>
  <c r="P28" i="12"/>
  <c r="P28" i="13"/>
  <c r="N39" i="13"/>
  <c r="N39" i="12"/>
  <c r="P21" i="13"/>
  <c r="P21" i="12"/>
  <c r="P43" i="12"/>
  <c r="P43" i="13"/>
  <c r="P8" i="12"/>
  <c r="P8" i="13"/>
  <c r="N30" i="12"/>
  <c r="N30" i="13"/>
  <c r="P5" i="13"/>
  <c r="P5" i="12"/>
  <c r="P41" i="12"/>
  <c r="P41" i="13"/>
  <c r="P45" i="13"/>
  <c r="P45" i="12"/>
  <c r="P10" i="13"/>
  <c r="P10" i="12"/>
  <c r="N47" i="11"/>
  <c r="P35" i="12"/>
  <c r="P35" i="13"/>
  <c r="P63" i="9"/>
  <c r="AC52" i="8"/>
  <c r="AD52" i="8" s="1"/>
  <c r="S31" i="24"/>
  <c r="S77" i="24" s="1"/>
  <c r="Q13" i="24"/>
  <c r="Q59" i="24" s="1"/>
  <c r="P44" i="12"/>
  <c r="P44" i="13"/>
  <c r="P31" i="13"/>
  <c r="P31" i="12"/>
  <c r="P17" i="13"/>
  <c r="P17" i="12"/>
  <c r="P29" i="12"/>
  <c r="P29" i="13"/>
  <c r="S41" i="24"/>
  <c r="S87" i="24" s="1"/>
  <c r="Q8" i="24"/>
  <c r="Q54" i="24" s="1"/>
  <c r="P42" i="12"/>
  <c r="P42" i="13"/>
  <c r="P7" i="12"/>
  <c r="P7" i="13"/>
  <c r="P18" i="12"/>
  <c r="P18" i="13"/>
  <c r="P40" i="12"/>
  <c r="P40" i="13"/>
  <c r="S21" i="24"/>
  <c r="S67" i="24" s="1"/>
  <c r="S17" i="24"/>
  <c r="S63" i="24" s="1"/>
  <c r="Q63" i="9"/>
  <c r="S7" i="24"/>
  <c r="S53" i="24" s="1"/>
  <c r="S28" i="24"/>
  <c r="S74" i="24" s="1"/>
  <c r="Q28" i="24"/>
  <c r="Q74" i="24" s="1"/>
  <c r="P6" i="12"/>
  <c r="P6" i="13"/>
  <c r="P39" i="12"/>
  <c r="P39" i="13"/>
  <c r="P33" i="12"/>
  <c r="P33" i="13"/>
  <c r="P38" i="13"/>
  <c r="P38" i="12"/>
  <c r="P47" i="11"/>
  <c r="W32" i="23"/>
  <c r="W94" i="23" s="1"/>
  <c r="S12" i="24"/>
  <c r="S58" i="24" s="1"/>
  <c r="Q27" i="24"/>
  <c r="Q73" i="24" s="1"/>
  <c r="P27" i="8"/>
  <c r="P27" i="23" s="1"/>
  <c r="P89" i="23" s="1"/>
  <c r="P12" i="12"/>
  <c r="P12" i="13"/>
  <c r="P27" i="12"/>
  <c r="P27" i="13"/>
  <c r="P13" i="12"/>
  <c r="P13" i="13"/>
  <c r="P20" i="12"/>
  <c r="P20" i="13"/>
  <c r="V49" i="9"/>
  <c r="V8" i="9"/>
  <c r="V26" i="9"/>
  <c r="V53" i="9"/>
  <c r="V6" i="9"/>
  <c r="P23" i="13"/>
  <c r="P23" i="12"/>
  <c r="P25" i="12"/>
  <c r="P25" i="13"/>
  <c r="P22" i="12"/>
  <c r="P22" i="13"/>
  <c r="P19" i="13"/>
  <c r="P19" i="12"/>
  <c r="O7" i="13"/>
  <c r="O7" i="12"/>
  <c r="O35" i="12"/>
  <c r="O35" i="13"/>
  <c r="O11" i="25"/>
  <c r="O9" i="25"/>
  <c r="O14" i="25" s="1"/>
  <c r="O7" i="25"/>
  <c r="AA12" i="11"/>
  <c r="Z12" i="12"/>
  <c r="AA12" i="12" s="1"/>
  <c r="Z12" i="13"/>
  <c r="AA12" i="13" s="1"/>
  <c r="M28" i="13"/>
  <c r="M28" i="12"/>
  <c r="U47" i="12"/>
  <c r="S5" i="24"/>
  <c r="S51" i="24" s="1"/>
  <c r="V34" i="12"/>
  <c r="V34" i="13"/>
  <c r="V9" i="12"/>
  <c r="V9" i="13"/>
  <c r="AI16" i="8"/>
  <c r="AE16" i="23" s="1"/>
  <c r="AE78" i="23" s="1"/>
  <c r="Q49" i="8"/>
  <c r="Q49" i="23" s="1"/>
  <c r="Q111" i="23" s="1"/>
  <c r="S47" i="11"/>
  <c r="W42" i="8"/>
  <c r="V42" i="23" s="1"/>
  <c r="V104" i="23" s="1"/>
  <c r="S30" i="12"/>
  <c r="Q30" i="24"/>
  <c r="Q76" i="24" s="1"/>
  <c r="S12" i="12"/>
  <c r="Q12" i="24"/>
  <c r="Q58" i="24" s="1"/>
  <c r="AI63" i="9"/>
  <c r="S25" i="12"/>
  <c r="Q25" i="24"/>
  <c r="Q71" i="24" s="1"/>
  <c r="O36" i="12"/>
  <c r="O36" i="13"/>
  <c r="O38" i="12"/>
  <c r="O38" i="13"/>
  <c r="O30" i="12"/>
  <c r="O30" i="13"/>
  <c r="O23" i="12"/>
  <c r="O23" i="13"/>
  <c r="O31" i="13"/>
  <c r="O31" i="12"/>
  <c r="S8" i="24"/>
  <c r="S54" i="24" s="1"/>
  <c r="L63" i="9"/>
  <c r="S45" i="12"/>
  <c r="Q45" i="24"/>
  <c r="Q91" i="24" s="1"/>
  <c r="S20" i="12"/>
  <c r="Q20" i="24"/>
  <c r="Q66" i="24" s="1"/>
  <c r="S42" i="24"/>
  <c r="S88" i="24" s="1"/>
  <c r="AI14" i="8"/>
  <c r="AE14" i="23" s="1"/>
  <c r="AE76" i="23" s="1"/>
  <c r="Y25" i="7"/>
  <c r="Y20" i="7"/>
  <c r="Y19" i="7"/>
  <c r="Y34" i="7"/>
  <c r="Y55" i="7"/>
  <c r="Y59" i="7"/>
  <c r="Y31" i="7"/>
  <c r="Y23" i="7"/>
  <c r="Y18" i="7"/>
  <c r="Y17" i="7"/>
  <c r="Y51" i="7"/>
  <c r="Y40" i="7"/>
  <c r="Y44" i="7"/>
  <c r="Y48" i="7"/>
  <c r="Y21" i="7"/>
  <c r="Y13" i="7"/>
  <c r="Y14" i="7"/>
  <c r="Y36" i="7"/>
  <c r="Y56" i="7"/>
  <c r="Y60" i="7"/>
  <c r="Y37" i="7"/>
  <c r="Y30" i="7"/>
  <c r="Y10" i="7"/>
  <c r="Y9" i="7"/>
  <c r="Y52" i="7"/>
  <c r="Y45" i="7"/>
  <c r="Y32" i="7"/>
  <c r="Y53" i="7"/>
  <c r="AB53" i="7" s="1"/>
  <c r="Y28" i="7"/>
  <c r="Y8" i="7"/>
  <c r="Y7" i="7"/>
  <c r="Y41" i="7"/>
  <c r="Y35" i="7"/>
  <c r="Y26" i="7"/>
  <c r="Y6" i="7"/>
  <c r="Y5" i="7"/>
  <c r="Y57" i="7"/>
  <c r="Y33" i="7"/>
  <c r="Y38" i="7"/>
  <c r="Y58" i="7"/>
  <c r="Y24" i="7"/>
  <c r="Y61" i="7"/>
  <c r="Y49" i="7"/>
  <c r="Y22" i="7"/>
  <c r="Y50" i="7"/>
  <c r="Y11" i="7"/>
  <c r="Y15" i="7"/>
  <c r="Y54" i="7"/>
  <c r="Y39" i="7"/>
  <c r="Y16" i="7"/>
  <c r="Y43" i="7"/>
  <c r="Y12" i="7"/>
  <c r="AB12" i="7" s="1"/>
  <c r="Y47" i="7"/>
  <c r="Y29" i="7"/>
  <c r="AB29" i="7" s="1"/>
  <c r="Y46" i="7"/>
  <c r="Y42" i="7"/>
  <c r="Y27" i="7"/>
  <c r="W21" i="8"/>
  <c r="V21" i="23" s="1"/>
  <c r="V83" i="23" s="1"/>
  <c r="AA7" i="11"/>
  <c r="Z7" i="13"/>
  <c r="AA7" i="13" s="1"/>
  <c r="Z7" i="12"/>
  <c r="AA38" i="11"/>
  <c r="Z38" i="13"/>
  <c r="AA38" i="13" s="1"/>
  <c r="Z38" i="12"/>
  <c r="Z10" i="13"/>
  <c r="AA10" i="13" s="1"/>
  <c r="AA10" i="11"/>
  <c r="Z10" i="12"/>
  <c r="AA39" i="11"/>
  <c r="Z39" i="12"/>
  <c r="Z39" i="13"/>
  <c r="AA39" i="13" s="1"/>
  <c r="Z14" i="12"/>
  <c r="Z14" i="13"/>
  <c r="AA14" i="13" s="1"/>
  <c r="AA14" i="11"/>
  <c r="S7" i="12"/>
  <c r="Q7" i="24"/>
  <c r="Q53" i="24" s="1"/>
  <c r="S18" i="12"/>
  <c r="Q18" i="24"/>
  <c r="Q64" i="24" s="1"/>
  <c r="W16" i="23"/>
  <c r="W78" i="23" s="1"/>
  <c r="M7" i="13"/>
  <c r="M7" i="12"/>
  <c r="M22" i="12"/>
  <c r="M22" i="13"/>
  <c r="M9" i="13"/>
  <c r="M9" i="12"/>
  <c r="M39" i="12"/>
  <c r="M39" i="13"/>
  <c r="M15" i="12"/>
  <c r="M15" i="13"/>
  <c r="S9" i="24"/>
  <c r="S55" i="24" s="1"/>
  <c r="W25" i="11"/>
  <c r="T25" i="13"/>
  <c r="T25" i="12"/>
  <c r="W29" i="11"/>
  <c r="T29" i="12"/>
  <c r="T29" i="13"/>
  <c r="W35" i="11"/>
  <c r="T35" i="12"/>
  <c r="T35" i="13"/>
  <c r="W28" i="11"/>
  <c r="T28" i="12"/>
  <c r="T28" i="13"/>
  <c r="W13" i="11"/>
  <c r="T13" i="13"/>
  <c r="T13" i="12"/>
  <c r="Q52" i="8"/>
  <c r="Q52" i="23" s="1"/>
  <c r="Q114" i="23" s="1"/>
  <c r="AI42" i="8"/>
  <c r="AE42" i="23" s="1"/>
  <c r="AE104" i="23" s="1"/>
  <c r="O21" i="8"/>
  <c r="O21" i="23" s="1"/>
  <c r="O83" i="23" s="1"/>
  <c r="O47" i="8"/>
  <c r="O47" i="23" s="1"/>
  <c r="O109" i="23" s="1"/>
  <c r="Q36" i="24"/>
  <c r="Q82" i="24" s="1"/>
  <c r="AI12" i="8"/>
  <c r="AE12" i="23" s="1"/>
  <c r="AE74" i="23" s="1"/>
  <c r="V25" i="9"/>
  <c r="V34" i="9"/>
  <c r="V18" i="9"/>
  <c r="V19" i="9"/>
  <c r="V48" i="9"/>
  <c r="V20" i="9"/>
  <c r="V21" i="9"/>
  <c r="X28" i="8"/>
  <c r="W28" i="23" s="1"/>
  <c r="W90" i="23" s="1"/>
  <c r="X24" i="8"/>
  <c r="W24" i="23" s="1"/>
  <c r="W86" i="23" s="1"/>
  <c r="X36" i="8"/>
  <c r="W36" i="23" s="1"/>
  <c r="W98" i="23" s="1"/>
  <c r="X53" i="8"/>
  <c r="W53" i="23" s="1"/>
  <c r="W115" i="23" s="1"/>
  <c r="X59" i="8"/>
  <c r="W59" i="23" s="1"/>
  <c r="W121" i="23" s="1"/>
  <c r="X17" i="8"/>
  <c r="W17" i="23" s="1"/>
  <c r="W79" i="23" s="1"/>
  <c r="X43" i="8"/>
  <c r="W43" i="23" s="1"/>
  <c r="W105" i="23" s="1"/>
  <c r="X54" i="8"/>
  <c r="W54" i="23" s="1"/>
  <c r="W116" i="23" s="1"/>
  <c r="X35" i="8"/>
  <c r="W35" i="23" s="1"/>
  <c r="W97" i="23" s="1"/>
  <c r="X12" i="8"/>
  <c r="W12" i="23" s="1"/>
  <c r="W74" i="23" s="1"/>
  <c r="X46" i="8"/>
  <c r="W46" i="23" s="1"/>
  <c r="W108" i="23" s="1"/>
  <c r="X27" i="8"/>
  <c r="W27" i="23" s="1"/>
  <c r="W89" i="23" s="1"/>
  <c r="X29" i="8"/>
  <c r="W29" i="23" s="1"/>
  <c r="W91" i="23" s="1"/>
  <c r="X44" i="8"/>
  <c r="W44" i="23" s="1"/>
  <c r="W106" i="23" s="1"/>
  <c r="X13" i="8"/>
  <c r="W13" i="23" s="1"/>
  <c r="W75" i="23" s="1"/>
  <c r="X51" i="8"/>
  <c r="W51" i="23" s="1"/>
  <c r="W113" i="23" s="1"/>
  <c r="X20" i="8"/>
  <c r="W20" i="23" s="1"/>
  <c r="W82" i="23" s="1"/>
  <c r="X7" i="8"/>
  <c r="W7" i="23" s="1"/>
  <c r="W69" i="23" s="1"/>
  <c r="X47" i="8"/>
  <c r="W47" i="23" s="1"/>
  <c r="W109" i="23" s="1"/>
  <c r="X6" i="8"/>
  <c r="W6" i="23" s="1"/>
  <c r="W68" i="23" s="1"/>
  <c r="X31" i="8"/>
  <c r="W31" i="23" s="1"/>
  <c r="W93" i="23" s="1"/>
  <c r="X15" i="8"/>
  <c r="W15" i="23" s="1"/>
  <c r="W77" i="23" s="1"/>
  <c r="X22" i="8"/>
  <c r="W22" i="23" s="1"/>
  <c r="W84" i="23" s="1"/>
  <c r="X45" i="8"/>
  <c r="W45" i="23" s="1"/>
  <c r="W107" i="23" s="1"/>
  <c r="X52" i="8"/>
  <c r="W52" i="23" s="1"/>
  <c r="W114" i="23" s="1"/>
  <c r="W16" i="8"/>
  <c r="V16" i="23" s="1"/>
  <c r="V78" i="23" s="1"/>
  <c r="U10" i="8"/>
  <c r="T10" i="23" s="1"/>
  <c r="T72" i="23" s="1"/>
  <c r="U20" i="8"/>
  <c r="T20" i="23" s="1"/>
  <c r="T82" i="23" s="1"/>
  <c r="U58" i="8"/>
  <c r="T58" i="23" s="1"/>
  <c r="T120" i="23" s="1"/>
  <c r="U48" i="8"/>
  <c r="T48" i="23" s="1"/>
  <c r="T110" i="23" s="1"/>
  <c r="U31" i="8"/>
  <c r="T31" i="23" s="1"/>
  <c r="T93" i="23" s="1"/>
  <c r="U19" i="8"/>
  <c r="T19" i="23" s="1"/>
  <c r="T81" i="23" s="1"/>
  <c r="U42" i="8"/>
  <c r="T42" i="23" s="1"/>
  <c r="T104" i="23" s="1"/>
  <c r="U13" i="8"/>
  <c r="T13" i="23" s="1"/>
  <c r="T75" i="23" s="1"/>
  <c r="U54" i="8"/>
  <c r="T54" i="23" s="1"/>
  <c r="T116" i="23" s="1"/>
  <c r="U29" i="8"/>
  <c r="T29" i="23" s="1"/>
  <c r="T91" i="23" s="1"/>
  <c r="U40" i="8"/>
  <c r="T40" i="23" s="1"/>
  <c r="T102" i="23" s="1"/>
  <c r="U26" i="8"/>
  <c r="T26" i="23" s="1"/>
  <c r="T88" i="23" s="1"/>
  <c r="U15" i="8"/>
  <c r="T15" i="23" s="1"/>
  <c r="T77" i="23" s="1"/>
  <c r="U46" i="8"/>
  <c r="T46" i="23" s="1"/>
  <c r="T108" i="23" s="1"/>
  <c r="U38" i="8"/>
  <c r="T38" i="23" s="1"/>
  <c r="T100" i="23" s="1"/>
  <c r="U35" i="8"/>
  <c r="T35" i="23" s="1"/>
  <c r="T97" i="23" s="1"/>
  <c r="U34" i="8"/>
  <c r="T34" i="23" s="1"/>
  <c r="T96" i="23" s="1"/>
  <c r="U6" i="8"/>
  <c r="T6" i="23" s="1"/>
  <c r="T68" i="23" s="1"/>
  <c r="U22" i="8"/>
  <c r="T22" i="23" s="1"/>
  <c r="T84" i="23" s="1"/>
  <c r="U8" i="8"/>
  <c r="T8" i="23" s="1"/>
  <c r="T70" i="23" s="1"/>
  <c r="U18" i="8"/>
  <c r="T18" i="23" s="1"/>
  <c r="T80" i="23" s="1"/>
  <c r="U27" i="8"/>
  <c r="T27" i="23" s="1"/>
  <c r="T89" i="23" s="1"/>
  <c r="U24" i="8"/>
  <c r="T24" i="23" s="1"/>
  <c r="T86" i="23" s="1"/>
  <c r="U12" i="8"/>
  <c r="T12" i="23" s="1"/>
  <c r="T74" i="23" s="1"/>
  <c r="U16" i="8"/>
  <c r="T16" i="23" s="1"/>
  <c r="T78" i="23" s="1"/>
  <c r="U49" i="8"/>
  <c r="T49" i="23" s="1"/>
  <c r="T111" i="23" s="1"/>
  <c r="U55" i="8"/>
  <c r="T55" i="23" s="1"/>
  <c r="T117" i="23" s="1"/>
  <c r="U32" i="8"/>
  <c r="T32" i="23" s="1"/>
  <c r="T94" i="23" s="1"/>
  <c r="U39" i="8"/>
  <c r="T39" i="23" s="1"/>
  <c r="T101" i="23" s="1"/>
  <c r="U11" i="8"/>
  <c r="T11" i="23" s="1"/>
  <c r="T73" i="23" s="1"/>
  <c r="U33" i="8"/>
  <c r="T33" i="23" s="1"/>
  <c r="T95" i="23" s="1"/>
  <c r="U56" i="8"/>
  <c r="T56" i="23" s="1"/>
  <c r="T118" i="23" s="1"/>
  <c r="U45" i="8"/>
  <c r="T45" i="23" s="1"/>
  <c r="T107" i="23" s="1"/>
  <c r="U9" i="8"/>
  <c r="T9" i="23" s="1"/>
  <c r="T71" i="23" s="1"/>
  <c r="U52" i="8"/>
  <c r="T52" i="23" s="1"/>
  <c r="T114" i="23" s="1"/>
  <c r="U14" i="8"/>
  <c r="T14" i="23" s="1"/>
  <c r="T76" i="23" s="1"/>
  <c r="U21" i="8"/>
  <c r="T21" i="23" s="1"/>
  <c r="T83" i="23" s="1"/>
  <c r="U61" i="8"/>
  <c r="T61" i="23" s="1"/>
  <c r="T123" i="23" s="1"/>
  <c r="U37" i="8"/>
  <c r="T37" i="23" s="1"/>
  <c r="T99" i="23" s="1"/>
  <c r="U36" i="8"/>
  <c r="T36" i="23" s="1"/>
  <c r="T98" i="23" s="1"/>
  <c r="U57" i="8"/>
  <c r="T57" i="23" s="1"/>
  <c r="T119" i="23" s="1"/>
  <c r="U53" i="8"/>
  <c r="T53" i="23" s="1"/>
  <c r="T115" i="23" s="1"/>
  <c r="V28" i="13"/>
  <c r="V28" i="12"/>
  <c r="V31" i="13"/>
  <c r="V31" i="12"/>
  <c r="W32" i="11"/>
  <c r="V32" i="12"/>
  <c r="V32" i="13"/>
  <c r="V18" i="13"/>
  <c r="V18" i="12"/>
  <c r="V8" i="12"/>
  <c r="V8" i="13"/>
  <c r="AI37" i="8"/>
  <c r="AE37" i="23" s="1"/>
  <c r="AE99" i="23" s="1"/>
  <c r="W13" i="8"/>
  <c r="V13" i="23" s="1"/>
  <c r="V75" i="23" s="1"/>
  <c r="W48" i="8"/>
  <c r="V48" i="23" s="1"/>
  <c r="V110" i="23" s="1"/>
  <c r="W49" i="8"/>
  <c r="V49" i="23" s="1"/>
  <c r="V111" i="23" s="1"/>
  <c r="W32" i="8"/>
  <c r="V32" i="23" s="1"/>
  <c r="V94" i="23" s="1"/>
  <c r="W46" i="8"/>
  <c r="V46" i="23" s="1"/>
  <c r="V108" i="23" s="1"/>
  <c r="W5" i="8"/>
  <c r="W41" i="8"/>
  <c r="V41" i="23" s="1"/>
  <c r="V103" i="23" s="1"/>
  <c r="W30" i="8"/>
  <c r="V30" i="23" s="1"/>
  <c r="V92" i="23" s="1"/>
  <c r="W6" i="8"/>
  <c r="V6" i="23" s="1"/>
  <c r="V68" i="23" s="1"/>
  <c r="W33" i="8"/>
  <c r="V33" i="23" s="1"/>
  <c r="V95" i="23" s="1"/>
  <c r="W24" i="8"/>
  <c r="V24" i="23" s="1"/>
  <c r="V86" i="23" s="1"/>
  <c r="W25" i="8"/>
  <c r="V25" i="23" s="1"/>
  <c r="V87" i="23" s="1"/>
  <c r="W39" i="8"/>
  <c r="V39" i="23" s="1"/>
  <c r="V101" i="23" s="1"/>
  <c r="W31" i="8"/>
  <c r="V31" i="23" s="1"/>
  <c r="V93" i="23" s="1"/>
  <c r="W47" i="8"/>
  <c r="V47" i="23" s="1"/>
  <c r="V109" i="23" s="1"/>
  <c r="W18" i="8"/>
  <c r="V18" i="23" s="1"/>
  <c r="V80" i="23" s="1"/>
  <c r="W55" i="8"/>
  <c r="V55" i="23" s="1"/>
  <c r="V117" i="23" s="1"/>
  <c r="W14" i="8"/>
  <c r="V14" i="23" s="1"/>
  <c r="V76" i="23" s="1"/>
  <c r="W56" i="8"/>
  <c r="V56" i="23" s="1"/>
  <c r="V118" i="23" s="1"/>
  <c r="W17" i="8"/>
  <c r="V17" i="23" s="1"/>
  <c r="V79" i="23" s="1"/>
  <c r="W23" i="8"/>
  <c r="V23" i="23" s="1"/>
  <c r="V85" i="23" s="1"/>
  <c r="W15" i="8"/>
  <c r="V15" i="23" s="1"/>
  <c r="V77" i="23" s="1"/>
  <c r="S11" i="12"/>
  <c r="Q11" i="24"/>
  <c r="Q57" i="24" s="1"/>
  <c r="M6" i="13"/>
  <c r="M6" i="12"/>
  <c r="M8" i="9"/>
  <c r="M47" i="9"/>
  <c r="T10" i="12"/>
  <c r="W10" i="11"/>
  <c r="T10" i="13"/>
  <c r="W11" i="11"/>
  <c r="T11" i="12"/>
  <c r="T11" i="13"/>
  <c r="Q50" i="8"/>
  <c r="Q50" i="23" s="1"/>
  <c r="Q112" i="23" s="1"/>
  <c r="V23" i="12"/>
  <c r="V23" i="13"/>
  <c r="Q5" i="24"/>
  <c r="Q51" i="24" s="1"/>
  <c r="S5" i="12"/>
  <c r="R47" i="12"/>
  <c r="S9" i="12"/>
  <c r="Q9" i="24"/>
  <c r="Q55" i="24" s="1"/>
  <c r="AI24" i="8"/>
  <c r="AE24" i="23" s="1"/>
  <c r="AE86" i="23" s="1"/>
  <c r="Q35" i="24"/>
  <c r="Q81" i="24" s="1"/>
  <c r="S35" i="12"/>
  <c r="W28" i="8"/>
  <c r="V28" i="23" s="1"/>
  <c r="V90" i="23" s="1"/>
  <c r="W8" i="8"/>
  <c r="V8" i="23" s="1"/>
  <c r="V70" i="23" s="1"/>
  <c r="AI13" i="8"/>
  <c r="AE13" i="23" s="1"/>
  <c r="AE75" i="23" s="1"/>
  <c r="S40" i="12"/>
  <c r="Q40" i="24"/>
  <c r="Q86" i="24" s="1"/>
  <c r="O34" i="12"/>
  <c r="O34" i="13"/>
  <c r="O17" i="13"/>
  <c r="O17" i="12"/>
  <c r="O42" i="13"/>
  <c r="O42" i="12"/>
  <c r="O12" i="12"/>
  <c r="O12" i="13"/>
  <c r="O32" i="12"/>
  <c r="O32" i="13"/>
  <c r="L40" i="8"/>
  <c r="L40" i="23" s="1"/>
  <c r="L102" i="23" s="1"/>
  <c r="L32" i="8"/>
  <c r="L32" i="23" s="1"/>
  <c r="L94" i="23" s="1"/>
  <c r="L13" i="8"/>
  <c r="L13" i="23" s="1"/>
  <c r="L75" i="23" s="1"/>
  <c r="L12" i="8"/>
  <c r="L12" i="23" s="1"/>
  <c r="L74" i="23" s="1"/>
  <c r="L9" i="8"/>
  <c r="L9" i="23" s="1"/>
  <c r="L71" i="23" s="1"/>
  <c r="L11" i="8"/>
  <c r="L11" i="23" s="1"/>
  <c r="L73" i="23" s="1"/>
  <c r="L18" i="8"/>
  <c r="L18" i="23" s="1"/>
  <c r="L80" i="23" s="1"/>
  <c r="L35" i="8"/>
  <c r="L35" i="23" s="1"/>
  <c r="L97" i="23" s="1"/>
  <c r="L50" i="8"/>
  <c r="L50" i="23" s="1"/>
  <c r="L112" i="23" s="1"/>
  <c r="L19" i="8"/>
  <c r="L19" i="23" s="1"/>
  <c r="L81" i="23" s="1"/>
  <c r="L30" i="8"/>
  <c r="L30" i="23" s="1"/>
  <c r="L92" i="23" s="1"/>
  <c r="L6" i="8"/>
  <c r="L6" i="23" s="1"/>
  <c r="L68" i="23" s="1"/>
  <c r="L49" i="8"/>
  <c r="L49" i="23" s="1"/>
  <c r="L111" i="23" s="1"/>
  <c r="L5" i="8"/>
  <c r="L14" i="8"/>
  <c r="L14" i="23" s="1"/>
  <c r="L76" i="23" s="1"/>
  <c r="L22" i="8"/>
  <c r="L22" i="23" s="1"/>
  <c r="L84" i="23" s="1"/>
  <c r="L59" i="8"/>
  <c r="L59" i="23" s="1"/>
  <c r="L121" i="23" s="1"/>
  <c r="L43" i="8"/>
  <c r="L43" i="23" s="1"/>
  <c r="L105" i="23" s="1"/>
  <c r="L42" i="8"/>
  <c r="L42" i="23" s="1"/>
  <c r="L104" i="23" s="1"/>
  <c r="L44" i="8"/>
  <c r="L44" i="23" s="1"/>
  <c r="L106" i="23" s="1"/>
  <c r="L17" i="8"/>
  <c r="L17" i="23" s="1"/>
  <c r="L79" i="23" s="1"/>
  <c r="L21" i="8"/>
  <c r="L21" i="23" s="1"/>
  <c r="L83" i="23" s="1"/>
  <c r="L8" i="8"/>
  <c r="L8" i="23" s="1"/>
  <c r="L70" i="23" s="1"/>
  <c r="L54" i="8"/>
  <c r="L54" i="23" s="1"/>
  <c r="L116" i="23" s="1"/>
  <c r="L28" i="8"/>
  <c r="L28" i="23" s="1"/>
  <c r="L90" i="23" s="1"/>
  <c r="L47" i="8"/>
  <c r="L47" i="23" s="1"/>
  <c r="L109" i="23" s="1"/>
  <c r="L46" i="8"/>
  <c r="L46" i="23" s="1"/>
  <c r="L108" i="23" s="1"/>
  <c r="L29" i="8"/>
  <c r="L29" i="23" s="1"/>
  <c r="L91" i="23" s="1"/>
  <c r="L60" i="8"/>
  <c r="L60" i="23" s="1"/>
  <c r="L122" i="23" s="1"/>
  <c r="L58" i="8"/>
  <c r="L58" i="23" s="1"/>
  <c r="L120" i="23" s="1"/>
  <c r="L51" i="8"/>
  <c r="L51" i="23" s="1"/>
  <c r="L113" i="23" s="1"/>
  <c r="L26" i="8"/>
  <c r="L26" i="23" s="1"/>
  <c r="L88" i="23" s="1"/>
  <c r="L34" i="8"/>
  <c r="L34" i="23" s="1"/>
  <c r="L96" i="23" s="1"/>
  <c r="L25" i="8"/>
  <c r="L25" i="23" s="1"/>
  <c r="L87" i="23" s="1"/>
  <c r="L39" i="8"/>
  <c r="L39" i="23" s="1"/>
  <c r="L101" i="23" s="1"/>
  <c r="L61" i="8"/>
  <c r="L61" i="23" s="1"/>
  <c r="L123" i="23" s="1"/>
  <c r="L37" i="8"/>
  <c r="L37" i="23" s="1"/>
  <c r="L99" i="23" s="1"/>
  <c r="L53" i="8"/>
  <c r="L53" i="23" s="1"/>
  <c r="L115" i="23" s="1"/>
  <c r="L27" i="8"/>
  <c r="L27" i="23" s="1"/>
  <c r="L89" i="23" s="1"/>
  <c r="L56" i="8"/>
  <c r="L56" i="23" s="1"/>
  <c r="L118" i="23" s="1"/>
  <c r="L15" i="8"/>
  <c r="L15" i="23" s="1"/>
  <c r="L77" i="23" s="1"/>
  <c r="L31" i="8"/>
  <c r="L31" i="23" s="1"/>
  <c r="L93" i="23" s="1"/>
  <c r="L24" i="8"/>
  <c r="L24" i="23" s="1"/>
  <c r="L86" i="23" s="1"/>
  <c r="L48" i="8"/>
  <c r="L48" i="23" s="1"/>
  <c r="L110" i="23" s="1"/>
  <c r="L16" i="8"/>
  <c r="L16" i="23" s="1"/>
  <c r="L78" i="23" s="1"/>
  <c r="L20" i="8"/>
  <c r="L20" i="23" s="1"/>
  <c r="L82" i="23" s="1"/>
  <c r="W37" i="8"/>
  <c r="V37" i="23" s="1"/>
  <c r="V99" i="23" s="1"/>
  <c r="AA21" i="11"/>
  <c r="Z21" i="13"/>
  <c r="AA21" i="13" s="1"/>
  <c r="Z21" i="12"/>
  <c r="Z20" i="12"/>
  <c r="AA20" i="11"/>
  <c r="Z20" i="13"/>
  <c r="AA20" i="13" s="1"/>
  <c r="AA16" i="11"/>
  <c r="Z16" i="12"/>
  <c r="Z16" i="13"/>
  <c r="AA16" i="13" s="1"/>
  <c r="Z45" i="13"/>
  <c r="AA45" i="13" s="1"/>
  <c r="AA45" i="11"/>
  <c r="Z45" i="12"/>
  <c r="Z37" i="13"/>
  <c r="AA37" i="13" s="1"/>
  <c r="AA37" i="11"/>
  <c r="Z37" i="12"/>
  <c r="AI27" i="8"/>
  <c r="AE27" i="23" s="1"/>
  <c r="AE89" i="23" s="1"/>
  <c r="W52" i="8"/>
  <c r="V52" i="23" s="1"/>
  <c r="V114" i="23" s="1"/>
  <c r="M38" i="13"/>
  <c r="M38" i="12"/>
  <c r="M37" i="13"/>
  <c r="M37" i="12"/>
  <c r="M45" i="13"/>
  <c r="M45" i="12"/>
  <c r="M35" i="12"/>
  <c r="M35" i="13"/>
  <c r="M27" i="12"/>
  <c r="M27" i="13"/>
  <c r="AI11" i="8"/>
  <c r="AE11" i="23" s="1"/>
  <c r="AE73" i="23" s="1"/>
  <c r="Q61" i="8"/>
  <c r="Q61" i="23" s="1"/>
  <c r="Q123" i="23" s="1"/>
  <c r="M23" i="9"/>
  <c r="M32" i="9"/>
  <c r="M48" i="9"/>
  <c r="M5" i="9"/>
  <c r="M63" i="7"/>
  <c r="M68" i="7" s="1"/>
  <c r="M5" i="32" s="1"/>
  <c r="W40" i="8"/>
  <c r="V40" i="23" s="1"/>
  <c r="V102" i="23" s="1"/>
  <c r="W20" i="11"/>
  <c r="T20" i="13"/>
  <c r="T20" i="12"/>
  <c r="T31" i="12"/>
  <c r="T31" i="13"/>
  <c r="W31" i="11"/>
  <c r="W12" i="11"/>
  <c r="T12" i="12"/>
  <c r="T12" i="13"/>
  <c r="W26" i="11"/>
  <c r="T26" i="13"/>
  <c r="T26" i="12"/>
  <c r="W15" i="11"/>
  <c r="T15" i="12"/>
  <c r="T15" i="13"/>
  <c r="AH46" i="8"/>
  <c r="AD46" i="23" s="1"/>
  <c r="AD108" i="23" s="1"/>
  <c r="AH17" i="8"/>
  <c r="AD17" i="23" s="1"/>
  <c r="AD79" i="23" s="1"/>
  <c r="AD5" i="9"/>
  <c r="AD63" i="9" s="1"/>
  <c r="AC63" i="9"/>
  <c r="V27" i="9"/>
  <c r="V38" i="9"/>
  <c r="V24" i="9"/>
  <c r="V44" i="9"/>
  <c r="V31" i="9"/>
  <c r="V17" i="9"/>
  <c r="V16" i="9"/>
  <c r="X63" i="9"/>
  <c r="X57" i="8"/>
  <c r="W57" i="23" s="1"/>
  <c r="W119" i="23" s="1"/>
  <c r="P26" i="8"/>
  <c r="P26" i="23" s="1"/>
  <c r="P88" i="23" s="1"/>
  <c r="U63" i="9"/>
  <c r="S68" i="7"/>
  <c r="R68" i="7"/>
  <c r="L52" i="8"/>
  <c r="L52" i="23" s="1"/>
  <c r="L114" i="23" s="1"/>
  <c r="Q8" i="8"/>
  <c r="Q8" i="23" s="1"/>
  <c r="Q70" i="23" s="1"/>
  <c r="V25" i="12"/>
  <c r="V25" i="13"/>
  <c r="V26" i="12"/>
  <c r="V26" i="13"/>
  <c r="V30" i="13"/>
  <c r="V30" i="12"/>
  <c r="V16" i="13"/>
  <c r="V16" i="12"/>
  <c r="W38" i="11"/>
  <c r="V38" i="12"/>
  <c r="V38" i="13"/>
  <c r="AH58" i="8"/>
  <c r="AD58" i="23" s="1"/>
  <c r="AD120" i="23" s="1"/>
  <c r="AA6" i="11"/>
  <c r="Z6" i="13"/>
  <c r="AA6" i="13" s="1"/>
  <c r="Z6" i="12"/>
  <c r="AA6" i="12" s="1"/>
  <c r="AA42" i="11"/>
  <c r="Z42" i="12"/>
  <c r="AA42" i="12" s="1"/>
  <c r="Z42" i="13"/>
  <c r="AA42" i="13" s="1"/>
  <c r="AA5" i="11"/>
  <c r="Z5" i="12"/>
  <c r="Z5" i="13"/>
  <c r="Z47" i="11"/>
  <c r="M42" i="13"/>
  <c r="M42" i="12"/>
  <c r="V15" i="9"/>
  <c r="V13" i="12"/>
  <c r="V13" i="13"/>
  <c r="O59" i="8"/>
  <c r="O59" i="23" s="1"/>
  <c r="O121" i="23" s="1"/>
  <c r="O25" i="8"/>
  <c r="O25" i="23" s="1"/>
  <c r="O87" i="23" s="1"/>
  <c r="O39" i="8"/>
  <c r="O39" i="23" s="1"/>
  <c r="O101" i="23" s="1"/>
  <c r="O29" i="8"/>
  <c r="O29" i="23" s="1"/>
  <c r="O91" i="23" s="1"/>
  <c r="O40" i="8"/>
  <c r="O40" i="23" s="1"/>
  <c r="O102" i="23" s="1"/>
  <c r="O20" i="8"/>
  <c r="O20" i="23" s="1"/>
  <c r="O82" i="23" s="1"/>
  <c r="O10" i="8"/>
  <c r="O10" i="23" s="1"/>
  <c r="O72" i="23" s="1"/>
  <c r="O43" i="8"/>
  <c r="O43" i="23" s="1"/>
  <c r="O105" i="23" s="1"/>
  <c r="O18" i="8"/>
  <c r="O18" i="23" s="1"/>
  <c r="O80" i="23" s="1"/>
  <c r="O44" i="8"/>
  <c r="O44" i="23" s="1"/>
  <c r="O106" i="23" s="1"/>
  <c r="O24" i="8"/>
  <c r="O24" i="23" s="1"/>
  <c r="O86" i="23" s="1"/>
  <c r="O14" i="8"/>
  <c r="O14" i="23" s="1"/>
  <c r="O76" i="23" s="1"/>
  <c r="O19" i="8"/>
  <c r="O19" i="23" s="1"/>
  <c r="O81" i="23" s="1"/>
  <c r="O31" i="8"/>
  <c r="O31" i="23" s="1"/>
  <c r="O93" i="23" s="1"/>
  <c r="O12" i="8"/>
  <c r="O12" i="23" s="1"/>
  <c r="O74" i="23" s="1"/>
  <c r="O26" i="8"/>
  <c r="O26" i="23" s="1"/>
  <c r="O88" i="23" s="1"/>
  <c r="O57" i="8"/>
  <c r="O57" i="23" s="1"/>
  <c r="O119" i="23" s="1"/>
  <c r="O46" i="8"/>
  <c r="O46" i="23" s="1"/>
  <c r="O108" i="23" s="1"/>
  <c r="O30" i="8"/>
  <c r="O30" i="23" s="1"/>
  <c r="O92" i="23" s="1"/>
  <c r="O11" i="8"/>
  <c r="O11" i="23" s="1"/>
  <c r="O73" i="23" s="1"/>
  <c r="O27" i="8"/>
  <c r="O27" i="23" s="1"/>
  <c r="O89" i="23" s="1"/>
  <c r="O50" i="8"/>
  <c r="O50" i="23" s="1"/>
  <c r="O112" i="23" s="1"/>
  <c r="O13" i="8"/>
  <c r="O13" i="23" s="1"/>
  <c r="O75" i="23" s="1"/>
  <c r="O8" i="8"/>
  <c r="O8" i="23" s="1"/>
  <c r="O70" i="23" s="1"/>
  <c r="O49" i="8"/>
  <c r="O49" i="23" s="1"/>
  <c r="O111" i="23" s="1"/>
  <c r="O37" i="8"/>
  <c r="O37" i="23" s="1"/>
  <c r="O99" i="23" s="1"/>
  <c r="O9" i="8"/>
  <c r="O9" i="23" s="1"/>
  <c r="O71" i="23" s="1"/>
  <c r="O53" i="8"/>
  <c r="O53" i="23" s="1"/>
  <c r="O115" i="23" s="1"/>
  <c r="O55" i="8"/>
  <c r="O55" i="23" s="1"/>
  <c r="O117" i="23" s="1"/>
  <c r="O45" i="8"/>
  <c r="O45" i="23" s="1"/>
  <c r="O107" i="23" s="1"/>
  <c r="O28" i="8"/>
  <c r="O28" i="23" s="1"/>
  <c r="O90" i="23" s="1"/>
  <c r="O34" i="8"/>
  <c r="O34" i="23" s="1"/>
  <c r="O96" i="23" s="1"/>
  <c r="O35" i="8"/>
  <c r="O35" i="23" s="1"/>
  <c r="O97" i="23" s="1"/>
  <c r="O5" i="8"/>
  <c r="O58" i="8"/>
  <c r="O58" i="23" s="1"/>
  <c r="O120" i="23" s="1"/>
  <c r="O23" i="8"/>
  <c r="O23" i="23" s="1"/>
  <c r="O85" i="23" s="1"/>
  <c r="O48" i="8"/>
  <c r="O48" i="23" s="1"/>
  <c r="O110" i="23" s="1"/>
  <c r="O32" i="8"/>
  <c r="O32" i="23" s="1"/>
  <c r="O94" i="23" s="1"/>
  <c r="O22" i="8"/>
  <c r="O22" i="23" s="1"/>
  <c r="O84" i="23" s="1"/>
  <c r="O7" i="8"/>
  <c r="O7" i="23" s="1"/>
  <c r="O69" i="23" s="1"/>
  <c r="O61" i="8"/>
  <c r="O61" i="23" s="1"/>
  <c r="O123" i="23" s="1"/>
  <c r="O51" i="8"/>
  <c r="O51" i="23" s="1"/>
  <c r="O113" i="23" s="1"/>
  <c r="O17" i="8"/>
  <c r="O17" i="23" s="1"/>
  <c r="O79" i="23" s="1"/>
  <c r="O36" i="8"/>
  <c r="O36" i="23" s="1"/>
  <c r="O98" i="23" s="1"/>
  <c r="O6" i="8"/>
  <c r="O6" i="23" s="1"/>
  <c r="O68" i="23" s="1"/>
  <c r="O42" i="8"/>
  <c r="O42" i="23" s="1"/>
  <c r="O104" i="23" s="1"/>
  <c r="O60" i="8"/>
  <c r="O60" i="23" s="1"/>
  <c r="O122" i="23" s="1"/>
  <c r="W26" i="8"/>
  <c r="V26" i="23" s="1"/>
  <c r="V88" i="23" s="1"/>
  <c r="S34" i="24"/>
  <c r="S80" i="24" s="1"/>
  <c r="O41" i="13"/>
  <c r="O41" i="12"/>
  <c r="O8" i="13"/>
  <c r="O8" i="12"/>
  <c r="O25" i="13"/>
  <c r="O25" i="12"/>
  <c r="O16" i="12"/>
  <c r="O16" i="13"/>
  <c r="O5" i="13"/>
  <c r="O47" i="11"/>
  <c r="O5" i="12"/>
  <c r="W9" i="8"/>
  <c r="V9" i="23" s="1"/>
  <c r="V71" i="23" s="1"/>
  <c r="W35" i="8"/>
  <c r="V35" i="23" s="1"/>
  <c r="V97" i="23" s="1"/>
  <c r="S15" i="24"/>
  <c r="S61" i="24" s="1"/>
  <c r="S19" i="12"/>
  <c r="Q19" i="24"/>
  <c r="Q65" i="24" s="1"/>
  <c r="W19" i="8"/>
  <c r="V19" i="23" s="1"/>
  <c r="V81" i="23" s="1"/>
  <c r="AA34" i="11"/>
  <c r="Z34" i="12"/>
  <c r="Z34" i="13"/>
  <c r="AA34" i="13" s="1"/>
  <c r="AA27" i="11"/>
  <c r="Z27" i="12"/>
  <c r="Z27" i="13"/>
  <c r="AA27" i="13" s="1"/>
  <c r="AA41" i="11"/>
  <c r="Z41" i="12"/>
  <c r="Z41" i="13"/>
  <c r="AA41" i="13" s="1"/>
  <c r="AA43" i="11"/>
  <c r="Z43" i="12"/>
  <c r="Z43" i="13"/>
  <c r="AA43" i="13" s="1"/>
  <c r="AA33" i="11"/>
  <c r="Z33" i="12"/>
  <c r="Z33" i="13"/>
  <c r="AA33" i="13" s="1"/>
  <c r="AI23" i="8"/>
  <c r="AE23" i="23" s="1"/>
  <c r="AE85" i="23" s="1"/>
  <c r="S43" i="12"/>
  <c r="Q43" i="24"/>
  <c r="Q89" i="24" s="1"/>
  <c r="W43" i="8"/>
  <c r="V43" i="23" s="1"/>
  <c r="V105" i="23" s="1"/>
  <c r="M34" i="12"/>
  <c r="M34" i="13"/>
  <c r="M16" i="12"/>
  <c r="M16" i="13"/>
  <c r="M25" i="13"/>
  <c r="M25" i="12"/>
  <c r="M11" i="13"/>
  <c r="M11" i="12"/>
  <c r="M44" i="12"/>
  <c r="M44" i="13"/>
  <c r="L10" i="8"/>
  <c r="L10" i="23" s="1"/>
  <c r="L72" i="23" s="1"/>
  <c r="W58" i="8"/>
  <c r="V58" i="23" s="1"/>
  <c r="V120" i="23" s="1"/>
  <c r="M60" i="9"/>
  <c r="T17" i="12"/>
  <c r="T17" i="13"/>
  <c r="W24" i="11"/>
  <c r="T24" i="12"/>
  <c r="T24" i="13"/>
  <c r="W45" i="11"/>
  <c r="T45" i="13"/>
  <c r="T45" i="12"/>
  <c r="W21" i="11"/>
  <c r="T21" i="12"/>
  <c r="T21" i="13"/>
  <c r="T43" i="12"/>
  <c r="T43" i="13"/>
  <c r="W43" i="11"/>
  <c r="L45" i="8"/>
  <c r="L45" i="23" s="1"/>
  <c r="L107" i="23" s="1"/>
  <c r="Q21" i="8"/>
  <c r="Q21" i="23" s="1"/>
  <c r="Q83" i="23" s="1"/>
  <c r="AI10" i="8"/>
  <c r="AE10" i="23" s="1"/>
  <c r="AE72" i="23" s="1"/>
  <c r="O41" i="8"/>
  <c r="O41" i="23" s="1"/>
  <c r="O103" i="23" s="1"/>
  <c r="O15" i="8"/>
  <c r="O15" i="23" s="1"/>
  <c r="O77" i="23" s="1"/>
  <c r="W60" i="8"/>
  <c r="V60" i="23" s="1"/>
  <c r="V122" i="23" s="1"/>
  <c r="AC34" i="8"/>
  <c r="AC17" i="8"/>
  <c r="AC55" i="8"/>
  <c r="AC49" i="8"/>
  <c r="AC46" i="8"/>
  <c r="AC12" i="8"/>
  <c r="AC9" i="8"/>
  <c r="AC29" i="8"/>
  <c r="AC27" i="8"/>
  <c r="AC43" i="8"/>
  <c r="AC19" i="8"/>
  <c r="AC44" i="8"/>
  <c r="AC60" i="8"/>
  <c r="AC45" i="8"/>
  <c r="AC42" i="8"/>
  <c r="AC51" i="8"/>
  <c r="AC30" i="8"/>
  <c r="AC26" i="8"/>
  <c r="AC8" i="8"/>
  <c r="AC37" i="8"/>
  <c r="AC28" i="8"/>
  <c r="AC14" i="8"/>
  <c r="AC22" i="8"/>
  <c r="AC16" i="8"/>
  <c r="AC59" i="8"/>
  <c r="AC23" i="8"/>
  <c r="AC6" i="8"/>
  <c r="AC41" i="8"/>
  <c r="AC56" i="8"/>
  <c r="AC31" i="8"/>
  <c r="AC24" i="8"/>
  <c r="AC18" i="8"/>
  <c r="AC11" i="8"/>
  <c r="AC38" i="8"/>
  <c r="AC10" i="8"/>
  <c r="AC39" i="8"/>
  <c r="AC48" i="8"/>
  <c r="AC21" i="8"/>
  <c r="AC20" i="8"/>
  <c r="AC53" i="8"/>
  <c r="AC61" i="8"/>
  <c r="AC33" i="8"/>
  <c r="AC35" i="8"/>
  <c r="AC58" i="8"/>
  <c r="AC7" i="8"/>
  <c r="AC15" i="8"/>
  <c r="AC57" i="8"/>
  <c r="AC25" i="8"/>
  <c r="AC50" i="8"/>
  <c r="AC13" i="8"/>
  <c r="V11" i="9"/>
  <c r="V10" i="9"/>
  <c r="V58" i="9"/>
  <c r="V41" i="9"/>
  <c r="V51" i="9"/>
  <c r="V30" i="9"/>
  <c r="V36" i="9"/>
  <c r="X56" i="8"/>
  <c r="W56" i="23" s="1"/>
  <c r="W118" i="23" s="1"/>
  <c r="X30" i="8"/>
  <c r="W30" i="23" s="1"/>
  <c r="W92" i="23" s="1"/>
  <c r="U59" i="8"/>
  <c r="T59" i="23" s="1"/>
  <c r="T121" i="23" s="1"/>
  <c r="V6" i="12"/>
  <c r="V6" i="13"/>
  <c r="V36" i="13"/>
  <c r="V36" i="12"/>
  <c r="V5" i="13"/>
  <c r="V5" i="12"/>
  <c r="V47" i="11"/>
  <c r="V39" i="12"/>
  <c r="V39" i="13"/>
  <c r="W17" i="11"/>
  <c r="V17" i="12"/>
  <c r="V17" i="13"/>
  <c r="AH14" i="8"/>
  <c r="AD14" i="23" s="1"/>
  <c r="AD76" i="23" s="1"/>
  <c r="W57" i="8"/>
  <c r="V57" i="23" s="1"/>
  <c r="V119" i="23" s="1"/>
  <c r="O9" i="13"/>
  <c r="O9" i="12"/>
  <c r="O13" i="25"/>
  <c r="AI19" i="8"/>
  <c r="AE19" i="23" s="1"/>
  <c r="AE81" i="23" s="1"/>
  <c r="M36" i="13"/>
  <c r="M36" i="12"/>
  <c r="M13" i="13"/>
  <c r="M13" i="12"/>
  <c r="AI7" i="8"/>
  <c r="AE7" i="23" s="1"/>
  <c r="AE69" i="23" s="1"/>
  <c r="W22" i="11"/>
  <c r="T22" i="12"/>
  <c r="T22" i="13"/>
  <c r="T30" i="12"/>
  <c r="T30" i="13"/>
  <c r="W30" i="11"/>
  <c r="V59" i="9"/>
  <c r="V42" i="13"/>
  <c r="V42" i="12"/>
  <c r="S5" i="13"/>
  <c r="S47" i="13" s="1"/>
  <c r="R47" i="13"/>
  <c r="O63" i="9"/>
  <c r="W45" i="8"/>
  <c r="V45" i="23" s="1"/>
  <c r="V107" i="23" s="1"/>
  <c r="S30" i="24"/>
  <c r="S76" i="24" s="1"/>
  <c r="AI20" i="8"/>
  <c r="AE20" i="23" s="1"/>
  <c r="AE82" i="23" s="1"/>
  <c r="P9" i="25"/>
  <c r="P15" i="25" s="1"/>
  <c r="P11" i="25"/>
  <c r="P7" i="25"/>
  <c r="P13" i="25" s="1"/>
  <c r="S39" i="24"/>
  <c r="S85" i="24" s="1"/>
  <c r="S22" i="24"/>
  <c r="S68" i="24" s="1"/>
  <c r="S14" i="12"/>
  <c r="Q14" i="24"/>
  <c r="Q60" i="24" s="1"/>
  <c r="O15" i="12"/>
  <c r="O15" i="13"/>
  <c r="O18" i="12"/>
  <c r="O18" i="13"/>
  <c r="O43" i="12"/>
  <c r="O43" i="13"/>
  <c r="O21" i="12"/>
  <c r="O21" i="13"/>
  <c r="O29" i="13"/>
  <c r="O29" i="12"/>
  <c r="O14" i="13"/>
  <c r="O14" i="12"/>
  <c r="W55" i="23"/>
  <c r="W117" i="23" s="1"/>
  <c r="W34" i="8"/>
  <c r="V34" i="23" s="1"/>
  <c r="V96" i="23" s="1"/>
  <c r="AI9" i="8"/>
  <c r="AE9" i="23" s="1"/>
  <c r="AE71" i="23" s="1"/>
  <c r="S29" i="12"/>
  <c r="Q29" i="24"/>
  <c r="Q75" i="24" s="1"/>
  <c r="AH8" i="8"/>
  <c r="AD8" i="23" s="1"/>
  <c r="AD70" i="23" s="1"/>
  <c r="S10" i="12"/>
  <c r="Q10" i="24"/>
  <c r="Q56" i="24" s="1"/>
  <c r="Z9" i="12"/>
  <c r="AA9" i="11"/>
  <c r="Z9" i="13"/>
  <c r="AA9" i="13" s="1"/>
  <c r="AA22" i="11"/>
  <c r="Z22" i="12"/>
  <c r="Z22" i="13"/>
  <c r="AA22" i="13" s="1"/>
  <c r="AA19" i="11"/>
  <c r="Z19" i="12"/>
  <c r="Z19" i="13"/>
  <c r="AA19" i="13" s="1"/>
  <c r="AA13" i="11"/>
  <c r="Z13" i="12"/>
  <c r="Z13" i="13"/>
  <c r="AA13" i="13" s="1"/>
  <c r="AA29" i="11"/>
  <c r="Z29" i="12"/>
  <c r="Z29" i="13"/>
  <c r="AA29" i="13" s="1"/>
  <c r="T60" i="23"/>
  <c r="T122" i="23" s="1"/>
  <c r="S19" i="24"/>
  <c r="S65" i="24" s="1"/>
  <c r="S22" i="12"/>
  <c r="Q22" i="24"/>
  <c r="Q68" i="24" s="1"/>
  <c r="W34" i="23"/>
  <c r="W96" i="23" s="1"/>
  <c r="M17" i="12"/>
  <c r="M17" i="13"/>
  <c r="M8" i="13"/>
  <c r="M8" i="12"/>
  <c r="M24" i="13"/>
  <c r="M24" i="12"/>
  <c r="M32" i="13"/>
  <c r="M32" i="12"/>
  <c r="M5" i="12"/>
  <c r="M5" i="13"/>
  <c r="M47" i="11"/>
  <c r="AH38" i="8"/>
  <c r="AD38" i="23" s="1"/>
  <c r="AD100" i="23" s="1"/>
  <c r="P40" i="8"/>
  <c r="P40" i="23" s="1"/>
  <c r="P102" i="23" s="1"/>
  <c r="M38" i="9"/>
  <c r="L41" i="8"/>
  <c r="L41" i="23" s="1"/>
  <c r="L103" i="23" s="1"/>
  <c r="P14" i="8"/>
  <c r="P14" i="23" s="1"/>
  <c r="P76" i="23" s="1"/>
  <c r="W8" i="11"/>
  <c r="T8" i="12"/>
  <c r="T8" i="13"/>
  <c r="W5" i="11"/>
  <c r="T5" i="12"/>
  <c r="T47" i="11"/>
  <c r="T5" i="13"/>
  <c r="T38" i="12"/>
  <c r="T38" i="13"/>
  <c r="W38" i="13" s="1"/>
  <c r="T19" i="12"/>
  <c r="W19" i="11"/>
  <c r="T19" i="13"/>
  <c r="W23" i="11"/>
  <c r="T23" i="12"/>
  <c r="T23" i="13"/>
  <c r="AD63" i="7"/>
  <c r="V47" i="9"/>
  <c r="V54" i="9"/>
  <c r="V57" i="9"/>
  <c r="V40" i="9"/>
  <c r="V7" i="9"/>
  <c r="V46" i="9"/>
  <c r="V52" i="9"/>
  <c r="W11" i="8"/>
  <c r="V11" i="23" s="1"/>
  <c r="V73" i="23" s="1"/>
  <c r="P20" i="8"/>
  <c r="P20" i="23" s="1"/>
  <c r="P82" i="23" s="1"/>
  <c r="L57" i="8"/>
  <c r="L57" i="23" s="1"/>
  <c r="L119" i="23" s="1"/>
  <c r="Q7" i="8"/>
  <c r="Q7" i="23" s="1"/>
  <c r="Q69" i="23" s="1"/>
  <c r="V7" i="13"/>
  <c r="V7" i="12"/>
  <c r="V27" i="12"/>
  <c r="V27" i="13"/>
  <c r="V19" i="12"/>
  <c r="V19" i="13"/>
  <c r="V10" i="12"/>
  <c r="V10" i="13"/>
  <c r="V45" i="12"/>
  <c r="V45" i="13"/>
  <c r="S41" i="12"/>
  <c r="Q41" i="24"/>
  <c r="Q87" i="24" s="1"/>
  <c r="Q44" i="8"/>
  <c r="Q44" i="23" s="1"/>
  <c r="Q106" i="23" s="1"/>
  <c r="Q37" i="8"/>
  <c r="Q37" i="23" s="1"/>
  <c r="Q99" i="23" s="1"/>
  <c r="Q22" i="8"/>
  <c r="Q22" i="23" s="1"/>
  <c r="Q84" i="23" s="1"/>
  <c r="Q46" i="8"/>
  <c r="Q46" i="23" s="1"/>
  <c r="Q108" i="23" s="1"/>
  <c r="Q38" i="8"/>
  <c r="Q38" i="23" s="1"/>
  <c r="Q100" i="23" s="1"/>
  <c r="Q34" i="8"/>
  <c r="Q34" i="23" s="1"/>
  <c r="Q96" i="23" s="1"/>
  <c r="Q32" i="8"/>
  <c r="Q32" i="23" s="1"/>
  <c r="Q94" i="23" s="1"/>
  <c r="Q23" i="8"/>
  <c r="Q23" i="23" s="1"/>
  <c r="Q85" i="23" s="1"/>
  <c r="Q39" i="8"/>
  <c r="Q39" i="23" s="1"/>
  <c r="Q101" i="23" s="1"/>
  <c r="Q29" i="8"/>
  <c r="Q29" i="23" s="1"/>
  <c r="Q91" i="23" s="1"/>
  <c r="Q25" i="8"/>
  <c r="Q25" i="23" s="1"/>
  <c r="Q87" i="23" s="1"/>
  <c r="Q15" i="8"/>
  <c r="Q15" i="23" s="1"/>
  <c r="Q77" i="23" s="1"/>
  <c r="Q31" i="8"/>
  <c r="Q31" i="23" s="1"/>
  <c r="Q93" i="23" s="1"/>
  <c r="Q19" i="8"/>
  <c r="Q19" i="23" s="1"/>
  <c r="Q81" i="23" s="1"/>
  <c r="Q33" i="8"/>
  <c r="Q33" i="23" s="1"/>
  <c r="Q95" i="23" s="1"/>
  <c r="Q16" i="8"/>
  <c r="Q16" i="23" s="1"/>
  <c r="Q78" i="23" s="1"/>
  <c r="Q53" i="8"/>
  <c r="Q53" i="23" s="1"/>
  <c r="Q115" i="23" s="1"/>
  <c r="Q24" i="8"/>
  <c r="Q24" i="23" s="1"/>
  <c r="Q86" i="23" s="1"/>
  <c r="Q48" i="8"/>
  <c r="Q48" i="23" s="1"/>
  <c r="Q110" i="23" s="1"/>
  <c r="Q26" i="8"/>
  <c r="Q26" i="23" s="1"/>
  <c r="Q88" i="23" s="1"/>
  <c r="Q56" i="8"/>
  <c r="Q56" i="23" s="1"/>
  <c r="Q118" i="23" s="1"/>
  <c r="Q20" i="8"/>
  <c r="Q20" i="23" s="1"/>
  <c r="Q82" i="23" s="1"/>
  <c r="Q13" i="8"/>
  <c r="Q13" i="23" s="1"/>
  <c r="Q75" i="23" s="1"/>
  <c r="Q51" i="8"/>
  <c r="Q51" i="23" s="1"/>
  <c r="Q113" i="23" s="1"/>
  <c r="Q58" i="8"/>
  <c r="Q58" i="23" s="1"/>
  <c r="Q120" i="23" s="1"/>
  <c r="Q42" i="8"/>
  <c r="Q42" i="23" s="1"/>
  <c r="Q104" i="23" s="1"/>
  <c r="Q35" i="8"/>
  <c r="Q35" i="23" s="1"/>
  <c r="Q97" i="23" s="1"/>
  <c r="Q6" i="8"/>
  <c r="Q6" i="23" s="1"/>
  <c r="Q68" i="23" s="1"/>
  <c r="Q36" i="8"/>
  <c r="Q36" i="23" s="1"/>
  <c r="Q98" i="23" s="1"/>
  <c r="Q9" i="8"/>
  <c r="Q9" i="23" s="1"/>
  <c r="Q71" i="23" s="1"/>
  <c r="Q57" i="8"/>
  <c r="Q57" i="23" s="1"/>
  <c r="Q119" i="23" s="1"/>
  <c r="Q27" i="8"/>
  <c r="Q27" i="23" s="1"/>
  <c r="Q89" i="23" s="1"/>
  <c r="Q60" i="8"/>
  <c r="Q60" i="23" s="1"/>
  <c r="Q122" i="23" s="1"/>
  <c r="Q30" i="8"/>
  <c r="Q30" i="23" s="1"/>
  <c r="Q92" i="23" s="1"/>
  <c r="Q47" i="8"/>
  <c r="Q47" i="23" s="1"/>
  <c r="Q109" i="23" s="1"/>
  <c r="Q17" i="8"/>
  <c r="Q17" i="23" s="1"/>
  <c r="Q79" i="23" s="1"/>
  <c r="Q41" i="8"/>
  <c r="Q41" i="23" s="1"/>
  <c r="Q103" i="23" s="1"/>
  <c r="Q55" i="8"/>
  <c r="Q55" i="23" s="1"/>
  <c r="Q117" i="23" s="1"/>
  <c r="Q10" i="8"/>
  <c r="Q10" i="23" s="1"/>
  <c r="Q72" i="23" s="1"/>
  <c r="Q28" i="8"/>
  <c r="Q28" i="23" s="1"/>
  <c r="Q90" i="23" s="1"/>
  <c r="Q40" i="8"/>
  <c r="Q40" i="23" s="1"/>
  <c r="Q102" i="23" s="1"/>
  <c r="Q43" i="8"/>
  <c r="Q43" i="23" s="1"/>
  <c r="Q105" i="23" s="1"/>
  <c r="Q11" i="8"/>
  <c r="Q11" i="23" s="1"/>
  <c r="Q73" i="23" s="1"/>
  <c r="Q18" i="8"/>
  <c r="Q18" i="23" s="1"/>
  <c r="Q80" i="23" s="1"/>
  <c r="Q59" i="8"/>
  <c r="Q59" i="23" s="1"/>
  <c r="Q121" i="23" s="1"/>
  <c r="Q12" i="8"/>
  <c r="Q12" i="23" s="1"/>
  <c r="Q74" i="23" s="1"/>
  <c r="W14" i="11"/>
  <c r="T14" i="13"/>
  <c r="T14" i="12"/>
  <c r="T13" i="24"/>
  <c r="T59" i="24" s="1"/>
  <c r="S16" i="12"/>
  <c r="Q16" i="24"/>
  <c r="Q62" i="24" s="1"/>
  <c r="S34" i="12"/>
  <c r="Q34" i="24"/>
  <c r="Q80" i="24" s="1"/>
  <c r="S15" i="12"/>
  <c r="Q15" i="24"/>
  <c r="Q61" i="24" s="1"/>
  <c r="O20" i="13"/>
  <c r="O20" i="12"/>
  <c r="O19" i="12"/>
  <c r="O19" i="13"/>
  <c r="O39" i="13"/>
  <c r="O39" i="12"/>
  <c r="O10" i="13"/>
  <c r="O10" i="12"/>
  <c r="O45" i="12"/>
  <c r="O45" i="13"/>
  <c r="Q6" i="24"/>
  <c r="Q52" i="24" s="1"/>
  <c r="S6" i="12"/>
  <c r="S40" i="24"/>
  <c r="S86" i="24" s="1"/>
  <c r="AH63" i="9"/>
  <c r="S17" i="12"/>
  <c r="Q17" i="24"/>
  <c r="Q63" i="24" s="1"/>
  <c r="W59" i="8"/>
  <c r="V59" i="23" s="1"/>
  <c r="V121" i="23" s="1"/>
  <c r="Z32" i="12"/>
  <c r="Z32" i="13"/>
  <c r="AA32" i="13" s="1"/>
  <c r="AA32" i="11"/>
  <c r="Z35" i="12"/>
  <c r="Z35" i="13"/>
  <c r="AA35" i="13" s="1"/>
  <c r="AA35" i="11"/>
  <c r="Z24" i="13"/>
  <c r="AA24" i="13" s="1"/>
  <c r="Z24" i="12"/>
  <c r="AA24" i="11"/>
  <c r="Z23" i="13"/>
  <c r="AA23" i="13" s="1"/>
  <c r="AA23" i="11"/>
  <c r="Z23" i="12"/>
  <c r="AA44" i="11"/>
  <c r="Z44" i="12"/>
  <c r="Z44" i="13"/>
  <c r="AA44" i="13" s="1"/>
  <c r="M31" i="12"/>
  <c r="M31" i="13"/>
  <c r="M30" i="12"/>
  <c r="M30" i="13"/>
  <c r="M26" i="13"/>
  <c r="M26" i="12"/>
  <c r="M20" i="13"/>
  <c r="M20" i="12"/>
  <c r="M43" i="12"/>
  <c r="M43" i="13"/>
  <c r="M12" i="12"/>
  <c r="M12" i="13"/>
  <c r="W38" i="8"/>
  <c r="V38" i="23" s="1"/>
  <c r="V100" i="23" s="1"/>
  <c r="T25" i="23"/>
  <c r="T87" i="23" s="1"/>
  <c r="S18" i="24"/>
  <c r="S64" i="24" s="1"/>
  <c r="M34" i="9"/>
  <c r="M10" i="9"/>
  <c r="P46" i="8"/>
  <c r="P46" i="23" s="1"/>
  <c r="P108" i="23" s="1"/>
  <c r="W33" i="11"/>
  <c r="T33" i="12"/>
  <c r="T33" i="13"/>
  <c r="T34" i="13"/>
  <c r="W34" i="11"/>
  <c r="T34" i="12"/>
  <c r="W44" i="11"/>
  <c r="T44" i="13"/>
  <c r="T44" i="12"/>
  <c r="W16" i="11"/>
  <c r="T16" i="13"/>
  <c r="T16" i="12"/>
  <c r="W18" i="11"/>
  <c r="T18" i="12"/>
  <c r="T18" i="13"/>
  <c r="W18" i="13" s="1"/>
  <c r="L33" i="8"/>
  <c r="L33" i="23" s="1"/>
  <c r="L95" i="23" s="1"/>
  <c r="Q14" i="8"/>
  <c r="Q14" i="23" s="1"/>
  <c r="Q76" i="23" s="1"/>
  <c r="O33" i="8"/>
  <c r="O33" i="23" s="1"/>
  <c r="O95" i="23" s="1"/>
  <c r="O56" i="8"/>
  <c r="O56" i="23" s="1"/>
  <c r="O118" i="23" s="1"/>
  <c r="AC36" i="8"/>
  <c r="X61" i="8"/>
  <c r="W61" i="23" s="1"/>
  <c r="W123" i="23" s="1"/>
  <c r="W61" i="8"/>
  <c r="V61" i="23" s="1"/>
  <c r="V123" i="23" s="1"/>
  <c r="V9" i="9"/>
  <c r="V13" i="9"/>
  <c r="AB13" i="7"/>
  <c r="V14" i="9"/>
  <c r="V60" i="9"/>
  <c r="V28" i="9"/>
  <c r="V23" i="9"/>
  <c r="V29" i="9"/>
  <c r="U17" i="8"/>
  <c r="T17" i="23" s="1"/>
  <c r="T79" i="23" s="1"/>
  <c r="V37" i="12"/>
  <c r="V37" i="13"/>
  <c r="V11" i="13"/>
  <c r="V11" i="12"/>
  <c r="V35" i="12"/>
  <c r="V35" i="13"/>
  <c r="V20" i="12"/>
  <c r="V20" i="13"/>
  <c r="V41" i="12"/>
  <c r="V41" i="13"/>
  <c r="P6" i="8"/>
  <c r="P6" i="23" s="1"/>
  <c r="P68" i="23" s="1"/>
  <c r="Q26" i="24"/>
  <c r="Q72" i="24" s="1"/>
  <c r="S26" i="12"/>
  <c r="Q37" i="24"/>
  <c r="Q83" i="24" s="1"/>
  <c r="Q44" i="24"/>
  <c r="Q90" i="24" s="1"/>
  <c r="AI17" i="8"/>
  <c r="AE17" i="23" s="1"/>
  <c r="AE79" i="23" s="1"/>
  <c r="AI5" i="8"/>
  <c r="AI60" i="8"/>
  <c r="AE60" i="23" s="1"/>
  <c r="AE122" i="23" s="1"/>
  <c r="AI43" i="8"/>
  <c r="AE43" i="23" s="1"/>
  <c r="AE105" i="23" s="1"/>
  <c r="AI6" i="8"/>
  <c r="AE6" i="23" s="1"/>
  <c r="AE68" i="23" s="1"/>
  <c r="AI38" i="8"/>
  <c r="AE38" i="23" s="1"/>
  <c r="AE100" i="23" s="1"/>
  <c r="AI39" i="8"/>
  <c r="AE39" i="23" s="1"/>
  <c r="AE101" i="23" s="1"/>
  <c r="AI31" i="8"/>
  <c r="AE31" i="23" s="1"/>
  <c r="AE93" i="23" s="1"/>
  <c r="AI55" i="8"/>
  <c r="AE55" i="23" s="1"/>
  <c r="AE117" i="23" s="1"/>
  <c r="AI49" i="8"/>
  <c r="AE49" i="23" s="1"/>
  <c r="AE111" i="23" s="1"/>
  <c r="AI44" i="8"/>
  <c r="AE44" i="23" s="1"/>
  <c r="AE106" i="23" s="1"/>
  <c r="AI54" i="8"/>
  <c r="AE54" i="23" s="1"/>
  <c r="AE116" i="23" s="1"/>
  <c r="AI41" i="8"/>
  <c r="AE41" i="23" s="1"/>
  <c r="AE103" i="23" s="1"/>
  <c r="AI52" i="8"/>
  <c r="AE52" i="23" s="1"/>
  <c r="AE114" i="23" s="1"/>
  <c r="AI34" i="8"/>
  <c r="AE34" i="23" s="1"/>
  <c r="AE96" i="23" s="1"/>
  <c r="AI58" i="8"/>
  <c r="AE58" i="23" s="1"/>
  <c r="AE120" i="23" s="1"/>
  <c r="AI57" i="8"/>
  <c r="AE57" i="23" s="1"/>
  <c r="AE119" i="23" s="1"/>
  <c r="AI32" i="8"/>
  <c r="AE32" i="23" s="1"/>
  <c r="AE94" i="23" s="1"/>
  <c r="AI22" i="8"/>
  <c r="AE22" i="23" s="1"/>
  <c r="AE84" i="23" s="1"/>
  <c r="AI48" i="8"/>
  <c r="AE48" i="23" s="1"/>
  <c r="AE110" i="23" s="1"/>
  <c r="AI18" i="8"/>
  <c r="AE18" i="23" s="1"/>
  <c r="AE80" i="23" s="1"/>
  <c r="AI40" i="8"/>
  <c r="AE40" i="23" s="1"/>
  <c r="AE102" i="23" s="1"/>
  <c r="AI50" i="8"/>
  <c r="AE50" i="23" s="1"/>
  <c r="AE112" i="23" s="1"/>
  <c r="AI59" i="8"/>
  <c r="AE59" i="23" s="1"/>
  <c r="AE121" i="23" s="1"/>
  <c r="AI47" i="8"/>
  <c r="AE47" i="23" s="1"/>
  <c r="AE109" i="23" s="1"/>
  <c r="AI45" i="8"/>
  <c r="AE45" i="23" s="1"/>
  <c r="AE107" i="23" s="1"/>
  <c r="AI30" i="8"/>
  <c r="AE30" i="23" s="1"/>
  <c r="AE92" i="23" s="1"/>
  <c r="AI56" i="8"/>
  <c r="AE56" i="23" s="1"/>
  <c r="AE118" i="23" s="1"/>
  <c r="AI61" i="8"/>
  <c r="AE61" i="23" s="1"/>
  <c r="AE123" i="23" s="1"/>
  <c r="AI53" i="8"/>
  <c r="AE53" i="23" s="1"/>
  <c r="AE115" i="23" s="1"/>
  <c r="AI36" i="8"/>
  <c r="AE36" i="23" s="1"/>
  <c r="AE98" i="23" s="1"/>
  <c r="AI25" i="8"/>
  <c r="AE25" i="23" s="1"/>
  <c r="AE87" i="23" s="1"/>
  <c r="AI33" i="8"/>
  <c r="AE33" i="23" s="1"/>
  <c r="AE95" i="23" s="1"/>
  <c r="AI51" i="8"/>
  <c r="AE51" i="23" s="1"/>
  <c r="AE113" i="23" s="1"/>
  <c r="S31" i="12"/>
  <c r="Q31" i="24"/>
  <c r="Q77" i="24" s="1"/>
  <c r="W7" i="8"/>
  <c r="V7" i="23" s="1"/>
  <c r="V69" i="23" s="1"/>
  <c r="W29" i="8"/>
  <c r="V29" i="23" s="1"/>
  <c r="V91" i="23" s="1"/>
  <c r="Q5" i="8"/>
  <c r="O6" i="12"/>
  <c r="O6" i="13"/>
  <c r="O40" i="12"/>
  <c r="O40" i="13"/>
  <c r="O22" i="12"/>
  <c r="O22" i="13"/>
  <c r="O33" i="12"/>
  <c r="O33" i="13"/>
  <c r="O11" i="13"/>
  <c r="O11" i="12"/>
  <c r="W53" i="8"/>
  <c r="V53" i="23" s="1"/>
  <c r="V115" i="23" s="1"/>
  <c r="W10" i="8"/>
  <c r="V10" i="23" s="1"/>
  <c r="V72" i="23" s="1"/>
  <c r="AI28" i="8"/>
  <c r="AE28" i="23" s="1"/>
  <c r="AE90" i="23" s="1"/>
  <c r="AH36" i="8"/>
  <c r="AD36" i="23" s="1"/>
  <c r="AD98" i="23" s="1"/>
  <c r="AH34" i="8"/>
  <c r="AD34" i="23" s="1"/>
  <c r="AD96" i="23" s="1"/>
  <c r="AH37" i="8"/>
  <c r="AD37" i="23" s="1"/>
  <c r="AD99" i="23" s="1"/>
  <c r="AH11" i="8"/>
  <c r="AD11" i="23" s="1"/>
  <c r="AD73" i="23" s="1"/>
  <c r="AH40" i="8"/>
  <c r="AD40" i="23" s="1"/>
  <c r="AD102" i="23" s="1"/>
  <c r="AH35" i="8"/>
  <c r="AD35" i="23" s="1"/>
  <c r="AD97" i="23" s="1"/>
  <c r="AH41" i="8"/>
  <c r="AD41" i="23" s="1"/>
  <c r="AD103" i="23" s="1"/>
  <c r="AH15" i="8"/>
  <c r="AD15" i="23" s="1"/>
  <c r="AD77" i="23" s="1"/>
  <c r="AH44" i="8"/>
  <c r="AD44" i="23" s="1"/>
  <c r="AD106" i="23" s="1"/>
  <c r="AH26" i="8"/>
  <c r="AD26" i="23" s="1"/>
  <c r="AD88" i="23" s="1"/>
  <c r="AH24" i="8"/>
  <c r="AD24" i="23" s="1"/>
  <c r="AD86" i="23" s="1"/>
  <c r="AH39" i="8"/>
  <c r="AD39" i="23" s="1"/>
  <c r="AD101" i="23" s="1"/>
  <c r="AH12" i="8"/>
  <c r="AD12" i="23" s="1"/>
  <c r="AD74" i="23" s="1"/>
  <c r="AH9" i="8"/>
  <c r="AD9" i="23" s="1"/>
  <c r="AD71" i="23" s="1"/>
  <c r="AH43" i="8"/>
  <c r="AD43" i="23" s="1"/>
  <c r="AD105" i="23" s="1"/>
  <c r="AH52" i="8"/>
  <c r="AD52" i="23" s="1"/>
  <c r="AD114" i="23" s="1"/>
  <c r="AH5" i="8"/>
  <c r="AH16" i="8"/>
  <c r="AD16" i="23" s="1"/>
  <c r="AD78" i="23" s="1"/>
  <c r="AH45" i="8"/>
  <c r="AD45" i="23" s="1"/>
  <c r="AD107" i="23" s="1"/>
  <c r="AH61" i="8"/>
  <c r="AD61" i="23" s="1"/>
  <c r="AD123" i="23" s="1"/>
  <c r="AH18" i="8"/>
  <c r="AD18" i="23" s="1"/>
  <c r="AD80" i="23" s="1"/>
  <c r="AH51" i="8"/>
  <c r="AD51" i="23" s="1"/>
  <c r="AD113" i="23" s="1"/>
  <c r="AH27" i="8"/>
  <c r="AD27" i="23" s="1"/>
  <c r="AD89" i="23" s="1"/>
  <c r="AH50" i="8"/>
  <c r="AD50" i="23" s="1"/>
  <c r="AD112" i="23" s="1"/>
  <c r="AH28" i="8"/>
  <c r="AD28" i="23" s="1"/>
  <c r="AD90" i="23" s="1"/>
  <c r="AH56" i="8"/>
  <c r="AD56" i="23" s="1"/>
  <c r="AD118" i="23" s="1"/>
  <c r="AH21" i="8"/>
  <c r="AD21" i="23" s="1"/>
  <c r="AD83" i="23" s="1"/>
  <c r="AH30" i="8"/>
  <c r="AD30" i="23" s="1"/>
  <c r="AD92" i="23" s="1"/>
  <c r="AH42" i="8"/>
  <c r="AD42" i="23" s="1"/>
  <c r="AD104" i="23" s="1"/>
  <c r="AH54" i="8"/>
  <c r="AD54" i="23" s="1"/>
  <c r="AD116" i="23" s="1"/>
  <c r="AH13" i="8"/>
  <c r="AD13" i="23" s="1"/>
  <c r="AD75" i="23" s="1"/>
  <c r="AH60" i="8"/>
  <c r="AD60" i="23" s="1"/>
  <c r="AD122" i="23" s="1"/>
  <c r="AH10" i="8"/>
  <c r="AD10" i="23" s="1"/>
  <c r="AD72" i="23" s="1"/>
  <c r="AH55" i="8"/>
  <c r="AD55" i="23" s="1"/>
  <c r="AD117" i="23" s="1"/>
  <c r="AH59" i="8"/>
  <c r="AD59" i="23" s="1"/>
  <c r="AD121" i="23" s="1"/>
  <c r="AH19" i="8"/>
  <c r="AD19" i="23" s="1"/>
  <c r="AD81" i="23" s="1"/>
  <c r="AH31" i="8"/>
  <c r="AD31" i="23" s="1"/>
  <c r="AD93" i="23" s="1"/>
  <c r="AH53" i="8"/>
  <c r="AD53" i="23" s="1"/>
  <c r="AD115" i="23" s="1"/>
  <c r="AH49" i="8"/>
  <c r="AD49" i="23" s="1"/>
  <c r="AD111" i="23" s="1"/>
  <c r="AH23" i="8"/>
  <c r="AD23" i="23" s="1"/>
  <c r="AD85" i="23" s="1"/>
  <c r="AH47" i="8"/>
  <c r="AD47" i="23" s="1"/>
  <c r="AD109" i="23" s="1"/>
  <c r="AH32" i="8"/>
  <c r="AD32" i="23" s="1"/>
  <c r="AD94" i="23" s="1"/>
  <c r="AH25" i="8"/>
  <c r="AD25" i="23" s="1"/>
  <c r="AD87" i="23" s="1"/>
  <c r="Q39" i="24"/>
  <c r="Q85" i="24" s="1"/>
  <c r="S39" i="12"/>
  <c r="Z40" i="13"/>
  <c r="AA40" i="13" s="1"/>
  <c r="AA40" i="11"/>
  <c r="Z40" i="12"/>
  <c r="AA15" i="11"/>
  <c r="Z15" i="12"/>
  <c r="Z15" i="13"/>
  <c r="AA15" i="13" s="1"/>
  <c r="AA11" i="11"/>
  <c r="Z11" i="12"/>
  <c r="Z11" i="13"/>
  <c r="AA11" i="13" s="1"/>
  <c r="Z30" i="12"/>
  <c r="Z30" i="13"/>
  <c r="AA30" i="13" s="1"/>
  <c r="AA30" i="11"/>
  <c r="Z18" i="12"/>
  <c r="AA18" i="11"/>
  <c r="Z18" i="13"/>
  <c r="AA18" i="13" s="1"/>
  <c r="Z8" i="13"/>
  <c r="AA8" i="13" s="1"/>
  <c r="Z8" i="12"/>
  <c r="AA8" i="11"/>
  <c r="AI8" i="8"/>
  <c r="AE8" i="23" s="1"/>
  <c r="AE70" i="23" s="1"/>
  <c r="W12" i="8"/>
  <c r="V12" i="23" s="1"/>
  <c r="V74" i="23" s="1"/>
  <c r="M14" i="12"/>
  <c r="M14" i="13"/>
  <c r="M40" i="13"/>
  <c r="M40" i="12"/>
  <c r="M41" i="13"/>
  <c r="M41" i="12"/>
  <c r="M10" i="13"/>
  <c r="M10" i="12"/>
  <c r="M23" i="13"/>
  <c r="M23" i="12"/>
  <c r="T32" i="13"/>
  <c r="T32" i="12"/>
  <c r="W9" i="11"/>
  <c r="T9" i="12"/>
  <c r="T9" i="13"/>
  <c r="W39" i="11"/>
  <c r="T39" i="12"/>
  <c r="T39" i="13"/>
  <c r="W42" i="11"/>
  <c r="T42" i="12"/>
  <c r="T42" i="13"/>
  <c r="W40" i="11"/>
  <c r="T40" i="12"/>
  <c r="T40" i="13"/>
  <c r="W7" i="11"/>
  <c r="T7" i="12"/>
  <c r="T7" i="13"/>
  <c r="AI26" i="8"/>
  <c r="AE26" i="23" s="1"/>
  <c r="AE88" i="23" s="1"/>
  <c r="P28" i="8"/>
  <c r="P28" i="23" s="1"/>
  <c r="P90" i="23" s="1"/>
  <c r="O52" i="8"/>
  <c r="O52" i="23" s="1"/>
  <c r="O114" i="23" s="1"/>
  <c r="AC40" i="8"/>
  <c r="V35" i="9"/>
  <c r="V22" i="9"/>
  <c r="V42" i="9"/>
  <c r="V43" i="9"/>
  <c r="V50" i="9"/>
  <c r="V39" i="9"/>
  <c r="V45" i="9"/>
  <c r="X38" i="8"/>
  <c r="W38" i="23" s="1"/>
  <c r="W100" i="23" s="1"/>
  <c r="X8" i="8"/>
  <c r="W8" i="23" s="1"/>
  <c r="W70" i="23" s="1"/>
  <c r="U47" i="13"/>
  <c r="L7" i="8"/>
  <c r="L7" i="23" s="1"/>
  <c r="L69" i="23" s="1"/>
  <c r="Q45" i="8"/>
  <c r="Q45" i="23" s="1"/>
  <c r="Q107" i="23" s="1"/>
  <c r="V40" i="12"/>
  <c r="V40" i="13"/>
  <c r="V14" i="13"/>
  <c r="V14" i="12"/>
  <c r="V22" i="13"/>
  <c r="V22" i="12"/>
  <c r="V33" i="12"/>
  <c r="V33" i="13"/>
  <c r="V15" i="12"/>
  <c r="V15" i="13"/>
  <c r="V12" i="12"/>
  <c r="V12" i="13"/>
  <c r="AH48" i="8"/>
  <c r="AD48" i="23" s="1"/>
  <c r="AD110" i="23" s="1"/>
  <c r="L23" i="8"/>
  <c r="L23" i="23" s="1"/>
  <c r="L85" i="23" s="1"/>
  <c r="Q23" i="24"/>
  <c r="Q69" i="24" s="1"/>
  <c r="W44" i="8"/>
  <c r="V44" i="23" s="1"/>
  <c r="V106" i="23" s="1"/>
  <c r="AI21" i="8"/>
  <c r="AE21" i="23" s="1"/>
  <c r="AE83" i="23" s="1"/>
  <c r="W50" i="8"/>
  <c r="V50" i="23" s="1"/>
  <c r="V112" i="23" s="1"/>
  <c r="O24" i="12"/>
  <c r="O24" i="13"/>
  <c r="O27" i="13"/>
  <c r="O27" i="12"/>
  <c r="W51" i="8"/>
  <c r="V51" i="23" s="1"/>
  <c r="V113" i="23" s="1"/>
  <c r="AA25" i="11"/>
  <c r="Z25" i="12"/>
  <c r="AA25" i="12" s="1"/>
  <c r="Z25" i="13"/>
  <c r="AA25" i="13" s="1"/>
  <c r="P42" i="8"/>
  <c r="P42" i="23" s="1"/>
  <c r="P104" i="23" s="1"/>
  <c r="P32" i="8"/>
  <c r="P12" i="8"/>
  <c r="P12" i="23" s="1"/>
  <c r="P74" i="23" s="1"/>
  <c r="P47" i="8"/>
  <c r="P47" i="23" s="1"/>
  <c r="P109" i="23" s="1"/>
  <c r="P13" i="8"/>
  <c r="P13" i="23" s="1"/>
  <c r="P75" i="23" s="1"/>
  <c r="P37" i="8"/>
  <c r="P55" i="8"/>
  <c r="P55" i="23" s="1"/>
  <c r="P117" i="23" s="1"/>
  <c r="P25" i="8"/>
  <c r="P25" i="23" s="1"/>
  <c r="P87" i="23" s="1"/>
  <c r="P5" i="8"/>
  <c r="P17" i="8"/>
  <c r="P17" i="23" s="1"/>
  <c r="P79" i="23" s="1"/>
  <c r="P38" i="8"/>
  <c r="P53" i="8"/>
  <c r="P53" i="23" s="1"/>
  <c r="P115" i="23" s="1"/>
  <c r="P39" i="8"/>
  <c r="P29" i="8"/>
  <c r="P29" i="23" s="1"/>
  <c r="P91" i="23" s="1"/>
  <c r="P8" i="8"/>
  <c r="P8" i="23" s="1"/>
  <c r="P70" i="23" s="1"/>
  <c r="P22" i="8"/>
  <c r="P22" i="23" s="1"/>
  <c r="P84" i="23" s="1"/>
  <c r="P23" i="8"/>
  <c r="P23" i="23" s="1"/>
  <c r="P85" i="23" s="1"/>
  <c r="P11" i="8"/>
  <c r="P11" i="23" s="1"/>
  <c r="P73" i="23" s="1"/>
  <c r="P15" i="8"/>
  <c r="P15" i="23" s="1"/>
  <c r="P77" i="23" s="1"/>
  <c r="P60" i="8"/>
  <c r="P60" i="23" s="1"/>
  <c r="P122" i="23" s="1"/>
  <c r="P45" i="8"/>
  <c r="P45" i="23" s="1"/>
  <c r="P107" i="23" s="1"/>
  <c r="P59" i="8"/>
  <c r="P59" i="23" s="1"/>
  <c r="P121" i="23" s="1"/>
  <c r="P54" i="8"/>
  <c r="P54" i="23" s="1"/>
  <c r="P116" i="23" s="1"/>
  <c r="P51" i="8"/>
  <c r="P51" i="23" s="1"/>
  <c r="P113" i="23" s="1"/>
  <c r="P35" i="8"/>
  <c r="P35" i="23" s="1"/>
  <c r="P97" i="23" s="1"/>
  <c r="P56" i="8"/>
  <c r="P56" i="23" s="1"/>
  <c r="P118" i="23" s="1"/>
  <c r="P19" i="8"/>
  <c r="P19" i="23" s="1"/>
  <c r="P81" i="23" s="1"/>
  <c r="P58" i="8"/>
  <c r="P58" i="23" s="1"/>
  <c r="P120" i="23" s="1"/>
  <c r="P24" i="8"/>
  <c r="P24" i="23" s="1"/>
  <c r="P86" i="23" s="1"/>
  <c r="P36" i="8"/>
  <c r="P52" i="8"/>
  <c r="P52" i="23" s="1"/>
  <c r="P114" i="23" s="1"/>
  <c r="P10" i="8"/>
  <c r="P10" i="23" s="1"/>
  <c r="P72" i="23" s="1"/>
  <c r="P44" i="8"/>
  <c r="P44" i="23" s="1"/>
  <c r="P106" i="23" s="1"/>
  <c r="P48" i="8"/>
  <c r="P48" i="23" s="1"/>
  <c r="P110" i="23" s="1"/>
  <c r="P7" i="8"/>
  <c r="P7" i="23" s="1"/>
  <c r="P69" i="23" s="1"/>
  <c r="P49" i="8"/>
  <c r="P49" i="23" s="1"/>
  <c r="P111" i="23" s="1"/>
  <c r="P18" i="8"/>
  <c r="P18" i="23" s="1"/>
  <c r="P80" i="23" s="1"/>
  <c r="P50" i="8"/>
  <c r="P50" i="23" s="1"/>
  <c r="P112" i="23" s="1"/>
  <c r="P31" i="8"/>
  <c r="P43" i="8"/>
  <c r="P43" i="23" s="1"/>
  <c r="P105" i="23" s="1"/>
  <c r="P33" i="8"/>
  <c r="P57" i="8"/>
  <c r="P57" i="23" s="1"/>
  <c r="P119" i="23" s="1"/>
  <c r="P9" i="8"/>
  <c r="P9" i="23" s="1"/>
  <c r="P71" i="23" s="1"/>
  <c r="P21" i="8"/>
  <c r="P21" i="23" s="1"/>
  <c r="P83" i="23" s="1"/>
  <c r="P41" i="8"/>
  <c r="P41" i="23" s="1"/>
  <c r="P103" i="23" s="1"/>
  <c r="P61" i="8"/>
  <c r="P61" i="23" s="1"/>
  <c r="P123" i="23" s="1"/>
  <c r="P34" i="8"/>
  <c r="S32" i="24"/>
  <c r="S78" i="24" s="1"/>
  <c r="S21" i="12"/>
  <c r="Q21" i="24"/>
  <c r="Q67" i="24" s="1"/>
  <c r="AI29" i="8"/>
  <c r="AE29" i="23" s="1"/>
  <c r="AE91" i="23" s="1"/>
  <c r="S38" i="12"/>
  <c r="Q38" i="24"/>
  <c r="Q84" i="24" s="1"/>
  <c r="O44" i="13"/>
  <c r="O44" i="12"/>
  <c r="O28" i="13"/>
  <c r="O28" i="12"/>
  <c r="O37" i="13"/>
  <c r="O37" i="12"/>
  <c r="O26" i="13"/>
  <c r="O26" i="12"/>
  <c r="O13" i="12"/>
  <c r="O13" i="13"/>
  <c r="S43" i="24"/>
  <c r="S89" i="24" s="1"/>
  <c r="S42" i="12"/>
  <c r="Q42" i="24"/>
  <c r="Q88" i="24" s="1"/>
  <c r="W63" i="9"/>
  <c r="Z36" i="12"/>
  <c r="AA36" i="11"/>
  <c r="Z36" i="13"/>
  <c r="AA36" i="13" s="1"/>
  <c r="Z31" i="12"/>
  <c r="AA31" i="11"/>
  <c r="Z31" i="13"/>
  <c r="AA31" i="13" s="1"/>
  <c r="Z17" i="13"/>
  <c r="AA17" i="13" s="1"/>
  <c r="AA17" i="11"/>
  <c r="Z17" i="12"/>
  <c r="AA28" i="11"/>
  <c r="Z28" i="12"/>
  <c r="Z28" i="13"/>
  <c r="AA28" i="13" s="1"/>
  <c r="AA26" i="11"/>
  <c r="Z26" i="12"/>
  <c r="Z26" i="13"/>
  <c r="AA26" i="13" s="1"/>
  <c r="AH33" i="8"/>
  <c r="AD33" i="23" s="1"/>
  <c r="AD95" i="23" s="1"/>
  <c r="S24" i="12"/>
  <c r="Q24" i="24"/>
  <c r="Q70" i="24" s="1"/>
  <c r="W20" i="8"/>
  <c r="V20" i="23" s="1"/>
  <c r="V82" i="23" s="1"/>
  <c r="M19" i="12"/>
  <c r="M19" i="13"/>
  <c r="M33" i="13"/>
  <c r="M33" i="12"/>
  <c r="M33" i="24" s="1"/>
  <c r="M79" i="24" s="1"/>
  <c r="M21" i="12"/>
  <c r="M21" i="13"/>
  <c r="M29" i="12"/>
  <c r="M29" i="13"/>
  <c r="M18" i="12"/>
  <c r="M18" i="13"/>
  <c r="S27" i="24"/>
  <c r="S73" i="24" s="1"/>
  <c r="S13" i="24"/>
  <c r="S59" i="24" s="1"/>
  <c r="P16" i="8"/>
  <c r="P16" i="23" s="1"/>
  <c r="P78" i="23" s="1"/>
  <c r="M43" i="9"/>
  <c r="M28" i="9"/>
  <c r="W22" i="8"/>
  <c r="V22" i="23" s="1"/>
  <c r="V84" i="23" s="1"/>
  <c r="T41" i="12"/>
  <c r="T41" i="13"/>
  <c r="W41" i="11"/>
  <c r="W27" i="11"/>
  <c r="T27" i="13"/>
  <c r="T27" i="12"/>
  <c r="T6" i="13"/>
  <c r="W6" i="13" s="1"/>
  <c r="W6" i="11"/>
  <c r="T6" i="12"/>
  <c r="W37" i="11"/>
  <c r="T37" i="13"/>
  <c r="T37" i="12"/>
  <c r="T36" i="13"/>
  <c r="T36" i="12"/>
  <c r="W36" i="11"/>
  <c r="L36" i="8"/>
  <c r="L36" i="23" s="1"/>
  <c r="L98" i="23" s="1"/>
  <c r="AI46" i="8"/>
  <c r="AE46" i="23" s="1"/>
  <c r="AE108" i="23" s="1"/>
  <c r="AH6" i="8"/>
  <c r="AD6" i="23" s="1"/>
  <c r="AD68" i="23" s="1"/>
  <c r="O54" i="8"/>
  <c r="O54" i="23" s="1"/>
  <c r="O116" i="23" s="1"/>
  <c r="AC54" i="8"/>
  <c r="V12" i="9"/>
  <c r="V32" i="9"/>
  <c r="V56" i="9"/>
  <c r="V37" i="9"/>
  <c r="V63" i="7"/>
  <c r="V68" i="7" s="1"/>
  <c r="V15" i="8" s="1"/>
  <c r="V5" i="9"/>
  <c r="V33" i="9"/>
  <c r="V55" i="9"/>
  <c r="V61" i="9"/>
  <c r="X37" i="8"/>
  <c r="W37" i="23" s="1"/>
  <c r="W99" i="23" s="1"/>
  <c r="W36" i="8"/>
  <c r="V36" i="23" s="1"/>
  <c r="V98" i="23" s="1"/>
  <c r="W27" i="8"/>
  <c r="V27" i="23" s="1"/>
  <c r="V89" i="23" s="1"/>
  <c r="U30" i="8"/>
  <c r="T30" i="23" s="1"/>
  <c r="T92" i="23" s="1"/>
  <c r="S24" i="24"/>
  <c r="S70" i="24" s="1"/>
  <c r="V44" i="12"/>
  <c r="V44" i="13"/>
  <c r="V21" i="13"/>
  <c r="V21" i="12"/>
  <c r="V29" i="13"/>
  <c r="V29" i="12"/>
  <c r="V24" i="13"/>
  <c r="V24" i="12"/>
  <c r="V43" i="12"/>
  <c r="V43" i="13"/>
  <c r="AI35" i="8"/>
  <c r="AE35" i="23" s="1"/>
  <c r="AE97" i="23" s="1"/>
  <c r="U41" i="8"/>
  <c r="T41" i="23" s="1"/>
  <c r="T103" i="23" s="1"/>
  <c r="Q33" i="24"/>
  <c r="Q79" i="24" s="1"/>
  <c r="E42" i="5"/>
  <c r="E21" i="5"/>
  <c r="T68" i="6"/>
  <c r="T66" i="9"/>
  <c r="T66" i="8"/>
  <c r="T66" i="7"/>
  <c r="T67" i="6"/>
  <c r="T65" i="9"/>
  <c r="T65" i="8"/>
  <c r="T65" i="7"/>
  <c r="Q49" i="13"/>
  <c r="Q49" i="12"/>
  <c r="Q49" i="10"/>
  <c r="Q49" i="11"/>
  <c r="AM68" i="6"/>
  <c r="AM66" i="9"/>
  <c r="AM66" i="8"/>
  <c r="AM66" i="7"/>
  <c r="L19" i="11"/>
  <c r="L19" i="34" s="1"/>
  <c r="Q19" i="34" s="1"/>
  <c r="L14" i="11"/>
  <c r="L14" i="34" s="1"/>
  <c r="Q14" i="34" s="1"/>
  <c r="L13" i="11"/>
  <c r="L13" i="34" s="1"/>
  <c r="Q13" i="34" s="1"/>
  <c r="L11" i="11"/>
  <c r="L11" i="34" s="1"/>
  <c r="Q11" i="34" s="1"/>
  <c r="L10" i="11"/>
  <c r="L10" i="34" s="1"/>
  <c r="Q10" i="34" s="1"/>
  <c r="L9" i="11"/>
  <c r="L9" i="34" s="1"/>
  <c r="Q9" i="34" s="1"/>
  <c r="L8" i="11"/>
  <c r="L8" i="34" s="1"/>
  <c r="Q8" i="34" s="1"/>
  <c r="L7" i="11"/>
  <c r="L7" i="34" s="1"/>
  <c r="Q7" i="34" s="1"/>
  <c r="L6" i="11"/>
  <c r="L6" i="34" s="1"/>
  <c r="Q6" i="34" s="1"/>
  <c r="L5" i="11"/>
  <c r="L5" i="34" s="1"/>
  <c r="L12" i="11"/>
  <c r="L12" i="34" s="1"/>
  <c r="L16" i="11"/>
  <c r="L16" i="34" s="1"/>
  <c r="L33" i="11"/>
  <c r="L33" i="34" s="1"/>
  <c r="Q33" i="34" s="1"/>
  <c r="L17" i="11"/>
  <c r="L17" i="34" s="1"/>
  <c r="L34" i="11"/>
  <c r="L34" i="34" s="1"/>
  <c r="Q34" i="34" s="1"/>
  <c r="L31" i="11"/>
  <c r="L31" i="34" s="1"/>
  <c r="Q31" i="34" s="1"/>
  <c r="L28" i="11"/>
  <c r="L28" i="34" s="1"/>
  <c r="Q28" i="34" s="1"/>
  <c r="L44" i="11"/>
  <c r="L44" i="34" s="1"/>
  <c r="Q44" i="34" s="1"/>
  <c r="L21" i="11"/>
  <c r="L21" i="34" s="1"/>
  <c r="Q21" i="34" s="1"/>
  <c r="L37" i="11"/>
  <c r="L37" i="34" s="1"/>
  <c r="L22" i="11"/>
  <c r="L22" i="34" s="1"/>
  <c r="Q22" i="34" s="1"/>
  <c r="L38" i="11"/>
  <c r="L38" i="34" s="1"/>
  <c r="L18" i="11"/>
  <c r="L18" i="34" s="1"/>
  <c r="Q18" i="34" s="1"/>
  <c r="L35" i="11"/>
  <c r="L35" i="34" s="1"/>
  <c r="L15" i="11"/>
  <c r="L15" i="34" s="1"/>
  <c r="Q15" i="34" s="1"/>
  <c r="L32" i="11"/>
  <c r="L32" i="34" s="1"/>
  <c r="Q32" i="34" s="1"/>
  <c r="L25" i="11"/>
  <c r="L25" i="34" s="1"/>
  <c r="Q25" i="34" s="1"/>
  <c r="L41" i="11"/>
  <c r="L41" i="34" s="1"/>
  <c r="Q41" i="34" s="1"/>
  <c r="L26" i="11"/>
  <c r="L26" i="34" s="1"/>
  <c r="L42" i="11"/>
  <c r="L42" i="34" s="1"/>
  <c r="L23" i="11"/>
  <c r="L23" i="34" s="1"/>
  <c r="Q23" i="34" s="1"/>
  <c r="L39" i="11"/>
  <c r="L39" i="34" s="1"/>
  <c r="Q39" i="34" s="1"/>
  <c r="L20" i="11"/>
  <c r="L20" i="34" s="1"/>
  <c r="Q20" i="34" s="1"/>
  <c r="L36" i="11"/>
  <c r="L36" i="34" s="1"/>
  <c r="Q36" i="34" s="1"/>
  <c r="L29" i="11"/>
  <c r="L29" i="34" s="1"/>
  <c r="Q29" i="34" s="1"/>
  <c r="L45" i="11"/>
  <c r="L45" i="34" s="1"/>
  <c r="Q45" i="34" s="1"/>
  <c r="L30" i="11"/>
  <c r="L30" i="34" s="1"/>
  <c r="Q30" i="34" s="1"/>
  <c r="L27" i="11"/>
  <c r="L27" i="34" s="1"/>
  <c r="Q27" i="34" s="1"/>
  <c r="L43" i="11"/>
  <c r="L43" i="34" s="1"/>
  <c r="Q43" i="34" s="1"/>
  <c r="L24" i="11"/>
  <c r="L24" i="34" s="1"/>
  <c r="L40" i="11"/>
  <c r="L40" i="34" s="1"/>
  <c r="Q40" i="34" s="1"/>
  <c r="F46" i="5"/>
  <c r="Q50" i="13"/>
  <c r="Q50" i="12"/>
  <c r="Q50" i="11"/>
  <c r="Q50" i="10"/>
  <c r="AM66" i="6"/>
  <c r="AM64" i="9"/>
  <c r="AM64" i="7"/>
  <c r="F47" i="5"/>
  <c r="M30" i="24" l="1"/>
  <c r="M76" i="24" s="1"/>
  <c r="O19" i="24"/>
  <c r="O65" i="24" s="1"/>
  <c r="P37" i="24"/>
  <c r="P83" i="24" s="1"/>
  <c r="Q35" i="34"/>
  <c r="Q38" i="34"/>
  <c r="W39" i="13"/>
  <c r="N17" i="24"/>
  <c r="N63" i="24" s="1"/>
  <c r="N43" i="24"/>
  <c r="N89" i="24" s="1"/>
  <c r="M28" i="8"/>
  <c r="Q37" i="34"/>
  <c r="Q16" i="34"/>
  <c r="O27" i="24"/>
  <c r="O73" i="24" s="1"/>
  <c r="M8" i="24"/>
  <c r="M54" i="24" s="1"/>
  <c r="O18" i="24"/>
  <c r="O64" i="24" s="1"/>
  <c r="M17" i="8"/>
  <c r="M17" i="23" s="1"/>
  <c r="M79" i="23" s="1"/>
  <c r="N18" i="24"/>
  <c r="N64" i="24" s="1"/>
  <c r="N7" i="24"/>
  <c r="N53" i="24" s="1"/>
  <c r="N16" i="24"/>
  <c r="N62" i="24" s="1"/>
  <c r="N35" i="24"/>
  <c r="N81" i="24" s="1"/>
  <c r="W23" i="13"/>
  <c r="Q42" i="34"/>
  <c r="P26" i="24"/>
  <c r="P72" i="24" s="1"/>
  <c r="Q26" i="34"/>
  <c r="O11" i="24"/>
  <c r="O57" i="24" s="1"/>
  <c r="O6" i="24"/>
  <c r="O52" i="24" s="1"/>
  <c r="P47" i="34"/>
  <c r="V25" i="32"/>
  <c r="O35" i="24"/>
  <c r="O81" i="24" s="1"/>
  <c r="P25" i="24"/>
  <c r="P71" i="24" s="1"/>
  <c r="O7" i="24"/>
  <c r="O53" i="24" s="1"/>
  <c r="P23" i="24"/>
  <c r="P69" i="24" s="1"/>
  <c r="V44" i="32"/>
  <c r="V39" i="32"/>
  <c r="V57" i="32"/>
  <c r="V58" i="32"/>
  <c r="V29" i="32"/>
  <c r="V37" i="32"/>
  <c r="M38" i="8"/>
  <c r="S45" i="32"/>
  <c r="S15" i="32"/>
  <c r="S29" i="32"/>
  <c r="S8" i="32"/>
  <c r="S11" i="32"/>
  <c r="S40" i="32"/>
  <c r="S13" i="32"/>
  <c r="S27" i="32"/>
  <c r="S57" i="32"/>
  <c r="S22" i="32"/>
  <c r="S14" i="32"/>
  <c r="S41" i="32"/>
  <c r="S19" i="32"/>
  <c r="S21" i="32"/>
  <c r="S5" i="32"/>
  <c r="S23" i="32"/>
  <c r="S12" i="32"/>
  <c r="S46" i="32"/>
  <c r="S31" i="32"/>
  <c r="S56" i="32"/>
  <c r="S28" i="32"/>
  <c r="S52" i="32"/>
  <c r="S26" i="32"/>
  <c r="S30" i="32"/>
  <c r="S24" i="32"/>
  <c r="S53" i="32"/>
  <c r="S33" i="32"/>
  <c r="S17" i="32"/>
  <c r="S47" i="32"/>
  <c r="S36" i="32"/>
  <c r="S42" i="32"/>
  <c r="S35" i="32"/>
  <c r="S10" i="32"/>
  <c r="S50" i="32"/>
  <c r="S58" i="32"/>
  <c r="S6" i="32"/>
  <c r="S55" i="32"/>
  <c r="S60" i="32"/>
  <c r="S7" i="32"/>
  <c r="S59" i="32"/>
  <c r="S18" i="32"/>
  <c r="S20" i="32"/>
  <c r="S9" i="32"/>
  <c r="S38" i="32"/>
  <c r="S37" i="32"/>
  <c r="S16" i="32"/>
  <c r="S34" i="32"/>
  <c r="S25" i="32"/>
  <c r="S43" i="32"/>
  <c r="S44" i="32"/>
  <c r="S51" i="32"/>
  <c r="S32" i="32"/>
  <c r="S48" i="32"/>
  <c r="S61" i="32"/>
  <c r="S39" i="32"/>
  <c r="S49" i="32"/>
  <c r="S54" i="32"/>
  <c r="N45" i="24"/>
  <c r="N91" i="24" s="1"/>
  <c r="V45" i="32"/>
  <c r="M57" i="32"/>
  <c r="V15" i="32"/>
  <c r="M34" i="32"/>
  <c r="V40" i="32"/>
  <c r="M52" i="32"/>
  <c r="Q63" i="32"/>
  <c r="V48" i="32"/>
  <c r="M31" i="32"/>
  <c r="V41" i="32"/>
  <c r="M60" i="32"/>
  <c r="V31" i="32"/>
  <c r="M25" i="32"/>
  <c r="M55" i="32"/>
  <c r="P63" i="32"/>
  <c r="V21" i="32"/>
  <c r="V5" i="32"/>
  <c r="Y12" i="9"/>
  <c r="M30" i="32"/>
  <c r="M20" i="32"/>
  <c r="M51" i="32"/>
  <c r="M40" i="32"/>
  <c r="U63" i="32"/>
  <c r="AI63" i="32"/>
  <c r="M15" i="32"/>
  <c r="N47" i="34"/>
  <c r="Q12" i="34"/>
  <c r="M43" i="8"/>
  <c r="M43" i="23" s="1"/>
  <c r="M105" i="23" s="1"/>
  <c r="W30" i="13"/>
  <c r="Y49" i="9"/>
  <c r="AB49" i="9" s="1"/>
  <c r="Y6" i="9"/>
  <c r="O30" i="24"/>
  <c r="O76" i="24" s="1"/>
  <c r="N22" i="24"/>
  <c r="N68" i="24" s="1"/>
  <c r="V50" i="32"/>
  <c r="M24" i="32"/>
  <c r="V23" i="32"/>
  <c r="V54" i="32"/>
  <c r="M14" i="32"/>
  <c r="V10" i="32"/>
  <c r="V53" i="32"/>
  <c r="V24" i="32"/>
  <c r="V56" i="32"/>
  <c r="M47" i="8"/>
  <c r="M22" i="32"/>
  <c r="AD5" i="32"/>
  <c r="AD63" i="32" s="1"/>
  <c r="AC63" i="32"/>
  <c r="M58" i="32"/>
  <c r="M35" i="32"/>
  <c r="M37" i="32"/>
  <c r="Q5" i="34"/>
  <c r="L47" i="34"/>
  <c r="Y45" i="9"/>
  <c r="V43" i="32"/>
  <c r="M13" i="32"/>
  <c r="M11" i="32"/>
  <c r="M21" i="32"/>
  <c r="V28" i="32"/>
  <c r="M44" i="32"/>
  <c r="V47" i="32"/>
  <c r="M33" i="32"/>
  <c r="V11" i="32"/>
  <c r="M19" i="32"/>
  <c r="V59" i="32"/>
  <c r="V38" i="32"/>
  <c r="M48" i="32"/>
  <c r="W47" i="34"/>
  <c r="L63" i="32"/>
  <c r="M56" i="32"/>
  <c r="V32" i="32"/>
  <c r="M28" i="32"/>
  <c r="W63" i="32"/>
  <c r="V19" i="32"/>
  <c r="V6" i="32"/>
  <c r="P32" i="24"/>
  <c r="P78" i="24" s="1"/>
  <c r="V42" i="32"/>
  <c r="V20" i="32"/>
  <c r="V60" i="32"/>
  <c r="M16" i="32"/>
  <c r="M47" i="32"/>
  <c r="V27" i="32"/>
  <c r="M32" i="32"/>
  <c r="M53" i="32"/>
  <c r="V12" i="32"/>
  <c r="M43" i="32"/>
  <c r="M9" i="32"/>
  <c r="V49" i="32"/>
  <c r="M21" i="8"/>
  <c r="M21" i="23" s="1"/>
  <c r="M83" i="23" s="1"/>
  <c r="Y13" i="9"/>
  <c r="AB13" i="9" s="1"/>
  <c r="N15" i="24"/>
  <c r="N61" i="24" s="1"/>
  <c r="V22" i="32"/>
  <c r="M45" i="32"/>
  <c r="M61" i="32"/>
  <c r="V34" i="32"/>
  <c r="V14" i="32"/>
  <c r="M27" i="32"/>
  <c r="O63" i="32"/>
  <c r="V52" i="32"/>
  <c r="M38" i="32"/>
  <c r="V36" i="32"/>
  <c r="M36" i="32"/>
  <c r="M12" i="32"/>
  <c r="M23" i="32"/>
  <c r="V61" i="32"/>
  <c r="M46" i="32"/>
  <c r="M49" i="32"/>
  <c r="AH63" i="32"/>
  <c r="M8" i="32"/>
  <c r="Y53" i="9"/>
  <c r="AB53" i="9" s="1"/>
  <c r="AM64" i="8"/>
  <c r="AM64" i="32"/>
  <c r="M34" i="8"/>
  <c r="AA5" i="23"/>
  <c r="AA67" i="23" s="1"/>
  <c r="Y15" i="9"/>
  <c r="P13" i="24"/>
  <c r="P59" i="24" s="1"/>
  <c r="N40" i="24"/>
  <c r="N86" i="24" s="1"/>
  <c r="N28" i="24"/>
  <c r="N74" i="24" s="1"/>
  <c r="V35" i="32"/>
  <c r="M42" i="32"/>
  <c r="V13" i="32"/>
  <c r="N14" i="24"/>
  <c r="N60" i="24" s="1"/>
  <c r="V46" i="32"/>
  <c r="M26" i="32"/>
  <c r="M54" i="32"/>
  <c r="V30" i="32"/>
  <c r="V18" i="32"/>
  <c r="V16" i="32"/>
  <c r="M7" i="32"/>
  <c r="M6" i="32"/>
  <c r="V8" i="32"/>
  <c r="N42" i="24"/>
  <c r="N88" i="24" s="1"/>
  <c r="V55" i="32"/>
  <c r="M50" i="32"/>
  <c r="M10" i="8"/>
  <c r="Q24" i="34"/>
  <c r="Q17" i="34"/>
  <c r="R35" i="32"/>
  <c r="R50" i="32"/>
  <c r="R27" i="32"/>
  <c r="R22" i="32"/>
  <c r="R55" i="32"/>
  <c r="R60" i="32"/>
  <c r="R45" i="32"/>
  <c r="R15" i="32"/>
  <c r="R29" i="32"/>
  <c r="R8" i="32"/>
  <c r="R46" i="32"/>
  <c r="R31" i="32"/>
  <c r="R40" i="32"/>
  <c r="R13" i="32"/>
  <c r="R57" i="32"/>
  <c r="R14" i="32"/>
  <c r="R21" i="32"/>
  <c r="R5" i="32"/>
  <c r="R23" i="32"/>
  <c r="R12" i="32"/>
  <c r="R37" i="32"/>
  <c r="R48" i="32"/>
  <c r="R54" i="32"/>
  <c r="R56" i="32"/>
  <c r="R28" i="32"/>
  <c r="R52" i="32"/>
  <c r="R26" i="32"/>
  <c r="R30" i="32"/>
  <c r="R24" i="32"/>
  <c r="R38" i="32"/>
  <c r="R43" i="32"/>
  <c r="R59" i="32"/>
  <c r="R44" i="32"/>
  <c r="R51" i="32"/>
  <c r="R11" i="32"/>
  <c r="R61" i="32"/>
  <c r="R39" i="32"/>
  <c r="R49" i="32"/>
  <c r="R19" i="32"/>
  <c r="R58" i="32"/>
  <c r="R36" i="32"/>
  <c r="R18" i="32"/>
  <c r="R9" i="32"/>
  <c r="R6" i="32"/>
  <c r="R32" i="32"/>
  <c r="R53" i="32"/>
  <c r="R16" i="32"/>
  <c r="R42" i="32"/>
  <c r="R34" i="32"/>
  <c r="R25" i="32"/>
  <c r="R10" i="32"/>
  <c r="R33" i="32"/>
  <c r="R17" i="32"/>
  <c r="R7" i="32"/>
  <c r="R47" i="32"/>
  <c r="R41" i="32"/>
  <c r="R20" i="32"/>
  <c r="Y29" i="9"/>
  <c r="Y8" i="9"/>
  <c r="Y30" i="9"/>
  <c r="Y59" i="9"/>
  <c r="AB59" i="9" s="1"/>
  <c r="M39" i="32"/>
  <c r="V26" i="32"/>
  <c r="V9" i="32"/>
  <c r="M10" i="32"/>
  <c r="V7" i="32"/>
  <c r="V51" i="32"/>
  <c r="M59" i="32"/>
  <c r="M29" i="32"/>
  <c r="V17" i="32"/>
  <c r="M17" i="32"/>
  <c r="X63" i="32"/>
  <c r="V33" i="32"/>
  <c r="M18" i="32"/>
  <c r="M41" i="32"/>
  <c r="O15" i="25"/>
  <c r="T15" i="24"/>
  <c r="T61" i="24" s="1"/>
  <c r="T40" i="24"/>
  <c r="T86" i="24" s="1"/>
  <c r="M24" i="24"/>
  <c r="M70" i="24" s="1"/>
  <c r="M36" i="24"/>
  <c r="M82" i="24" s="1"/>
  <c r="N10" i="24"/>
  <c r="N56" i="24" s="1"/>
  <c r="M35" i="24"/>
  <c r="M81" i="24" s="1"/>
  <c r="T23" i="24"/>
  <c r="T69" i="24" s="1"/>
  <c r="M9" i="24"/>
  <c r="M55" i="24" s="1"/>
  <c r="P9" i="24"/>
  <c r="P55" i="24" s="1"/>
  <c r="N31" i="24"/>
  <c r="N77" i="24" s="1"/>
  <c r="M25" i="24"/>
  <c r="M71" i="24" s="1"/>
  <c r="O8" i="24"/>
  <c r="O54" i="24" s="1"/>
  <c r="P36" i="24"/>
  <c r="P82" i="24" s="1"/>
  <c r="W37" i="13"/>
  <c r="P7" i="24"/>
  <c r="P53" i="24" s="1"/>
  <c r="W41" i="13"/>
  <c r="O33" i="24"/>
  <c r="O79" i="24" s="1"/>
  <c r="W8" i="13"/>
  <c r="O41" i="24"/>
  <c r="O87" i="24" s="1"/>
  <c r="O42" i="24"/>
  <c r="O88" i="24" s="1"/>
  <c r="N33" i="24"/>
  <c r="N79" i="24" s="1"/>
  <c r="R18" i="24"/>
  <c r="R64" i="24" s="1"/>
  <c r="AB30" i="7"/>
  <c r="N8" i="24"/>
  <c r="N54" i="24" s="1"/>
  <c r="O22" i="24"/>
  <c r="O68" i="24" s="1"/>
  <c r="P11" i="24"/>
  <c r="P57" i="24" s="1"/>
  <c r="AB8" i="7"/>
  <c r="W34" i="13"/>
  <c r="AB59" i="7"/>
  <c r="R22" i="24"/>
  <c r="R68" i="24" s="1"/>
  <c r="W31" i="13"/>
  <c r="AA52" i="23"/>
  <c r="AA114" i="23" s="1"/>
  <c r="M45" i="24"/>
  <c r="M91" i="24" s="1"/>
  <c r="O32" i="24"/>
  <c r="O78" i="24" s="1"/>
  <c r="O34" i="24"/>
  <c r="O80" i="24" s="1"/>
  <c r="P8" i="24"/>
  <c r="P54" i="24" s="1"/>
  <c r="T39" i="24"/>
  <c r="T85" i="24" s="1"/>
  <c r="N11" i="24"/>
  <c r="N57" i="24" s="1"/>
  <c r="M37" i="24"/>
  <c r="M83" i="24" s="1"/>
  <c r="M7" i="24"/>
  <c r="M53" i="24" s="1"/>
  <c r="P33" i="24"/>
  <c r="P79" i="24" s="1"/>
  <c r="N27" i="24"/>
  <c r="N73" i="24" s="1"/>
  <c r="M31" i="24"/>
  <c r="M77" i="24" s="1"/>
  <c r="T19" i="24"/>
  <c r="T65" i="24" s="1"/>
  <c r="M16" i="24"/>
  <c r="M62" i="24" s="1"/>
  <c r="M29" i="24"/>
  <c r="M75" i="24" s="1"/>
  <c r="O40" i="24"/>
  <c r="O86" i="24" s="1"/>
  <c r="V42" i="24"/>
  <c r="V88" i="24" s="1"/>
  <c r="O17" i="24"/>
  <c r="O63" i="24" s="1"/>
  <c r="T28" i="24"/>
  <c r="T74" i="24" s="1"/>
  <c r="P15" i="24"/>
  <c r="P61" i="24" s="1"/>
  <c r="U15" i="23"/>
  <c r="U77" i="23" s="1"/>
  <c r="O16" i="24"/>
  <c r="O62" i="24" s="1"/>
  <c r="N29" i="24"/>
  <c r="N75" i="24" s="1"/>
  <c r="T29" i="24"/>
  <c r="T75" i="24" s="1"/>
  <c r="O26" i="24"/>
  <c r="O72" i="24" s="1"/>
  <c r="M26" i="24"/>
  <c r="M72" i="24" s="1"/>
  <c r="T7" i="24"/>
  <c r="T53" i="24" s="1"/>
  <c r="P38" i="24"/>
  <c r="P84" i="24" s="1"/>
  <c r="P21" i="24"/>
  <c r="P67" i="24" s="1"/>
  <c r="N6" i="24"/>
  <c r="N52" i="24" s="1"/>
  <c r="M15" i="24"/>
  <c r="M61" i="24" s="1"/>
  <c r="O38" i="24"/>
  <c r="O84" i="24" s="1"/>
  <c r="W36" i="13"/>
  <c r="M10" i="24"/>
  <c r="M56" i="24" s="1"/>
  <c r="W19" i="13"/>
  <c r="O9" i="24"/>
  <c r="O55" i="24" s="1"/>
  <c r="M34" i="24"/>
  <c r="M80" i="24" s="1"/>
  <c r="M38" i="24"/>
  <c r="M84" i="24" s="1"/>
  <c r="P28" i="24"/>
  <c r="P74" i="24" s="1"/>
  <c r="AB15" i="7"/>
  <c r="P47" i="13"/>
  <c r="W9" i="13"/>
  <c r="O13" i="24"/>
  <c r="O59" i="24" s="1"/>
  <c r="M41" i="24"/>
  <c r="M87" i="24" s="1"/>
  <c r="O45" i="24"/>
  <c r="O91" i="24" s="1"/>
  <c r="M60" i="8"/>
  <c r="M60" i="23" s="1"/>
  <c r="M122" i="23" s="1"/>
  <c r="O23" i="24"/>
  <c r="O69" i="24" s="1"/>
  <c r="T34" i="24"/>
  <c r="T80" i="24" s="1"/>
  <c r="P6" i="24"/>
  <c r="P52" i="24" s="1"/>
  <c r="P31" i="24"/>
  <c r="P77" i="24" s="1"/>
  <c r="P41" i="24"/>
  <c r="P87" i="24" s="1"/>
  <c r="P43" i="24"/>
  <c r="P89" i="24" s="1"/>
  <c r="P34" i="24"/>
  <c r="P80" i="24" s="1"/>
  <c r="P30" i="24"/>
  <c r="P76" i="24" s="1"/>
  <c r="W42" i="13"/>
  <c r="AB6" i="9"/>
  <c r="AA32" i="23"/>
  <c r="AA94" i="23" s="1"/>
  <c r="AD32" i="8"/>
  <c r="W16" i="13"/>
  <c r="M18" i="24"/>
  <c r="M64" i="24" s="1"/>
  <c r="M17" i="24"/>
  <c r="M63" i="24" s="1"/>
  <c r="O15" i="24"/>
  <c r="O61" i="24" s="1"/>
  <c r="T36" i="24"/>
  <c r="T82" i="24" s="1"/>
  <c r="R11" i="24"/>
  <c r="R57" i="24" s="1"/>
  <c r="M22" i="24"/>
  <c r="M68" i="24" s="1"/>
  <c r="O24" i="24"/>
  <c r="O70" i="24" s="1"/>
  <c r="T12" i="24"/>
  <c r="T58" i="24" s="1"/>
  <c r="AB45" i="7"/>
  <c r="M14" i="24"/>
  <c r="M60" i="24" s="1"/>
  <c r="T41" i="24"/>
  <c r="T87" i="24" s="1"/>
  <c r="T37" i="24"/>
  <c r="T83" i="24" s="1"/>
  <c r="O10" i="24"/>
  <c r="O56" i="24" s="1"/>
  <c r="O43" i="24"/>
  <c r="O89" i="24" s="1"/>
  <c r="W30" i="12"/>
  <c r="O25" i="24"/>
  <c r="O71" i="24" s="1"/>
  <c r="M47" i="23"/>
  <c r="M109" i="23" s="1"/>
  <c r="M27" i="24"/>
  <c r="M73" i="24" s="1"/>
  <c r="P24" i="24"/>
  <c r="P70" i="24" s="1"/>
  <c r="AB6" i="7"/>
  <c r="P12" i="24"/>
  <c r="P58" i="24" s="1"/>
  <c r="P40" i="24"/>
  <c r="P86" i="24" s="1"/>
  <c r="P44" i="24"/>
  <c r="P90" i="24" s="1"/>
  <c r="P10" i="24"/>
  <c r="P56" i="24" s="1"/>
  <c r="N47" i="13"/>
  <c r="N39" i="24"/>
  <c r="N85" i="24" s="1"/>
  <c r="M21" i="24"/>
  <c r="M67" i="24" s="1"/>
  <c r="P42" i="24"/>
  <c r="P88" i="24" s="1"/>
  <c r="M19" i="24"/>
  <c r="M65" i="24" s="1"/>
  <c r="O37" i="24"/>
  <c r="O83" i="24" s="1"/>
  <c r="T20" i="24"/>
  <c r="T66" i="24" s="1"/>
  <c r="M12" i="24"/>
  <c r="M58" i="24" s="1"/>
  <c r="O39" i="24"/>
  <c r="O85" i="24" s="1"/>
  <c r="V26" i="8"/>
  <c r="U26" i="23" s="1"/>
  <c r="U88" i="23" s="1"/>
  <c r="M5" i="24"/>
  <c r="M51" i="24" s="1"/>
  <c r="T38" i="24"/>
  <c r="T84" i="24" s="1"/>
  <c r="N47" i="12"/>
  <c r="N30" i="24"/>
  <c r="N76" i="24" s="1"/>
  <c r="AB49" i="7"/>
  <c r="O12" i="24"/>
  <c r="O58" i="24" s="1"/>
  <c r="P27" i="24"/>
  <c r="P73" i="24" s="1"/>
  <c r="P5" i="24"/>
  <c r="P51" i="24" s="1"/>
  <c r="P47" i="12"/>
  <c r="V50" i="8"/>
  <c r="W14" i="12"/>
  <c r="M44" i="24"/>
  <c r="M90" i="24" s="1"/>
  <c r="T8" i="24"/>
  <c r="T54" i="24" s="1"/>
  <c r="AB8" i="9"/>
  <c r="O31" i="24"/>
  <c r="O77" i="24" s="1"/>
  <c r="T9" i="24"/>
  <c r="T55" i="24" s="1"/>
  <c r="P20" i="24"/>
  <c r="P66" i="24" s="1"/>
  <c r="P18" i="24"/>
  <c r="P64" i="24" s="1"/>
  <c r="P29" i="24"/>
  <c r="P75" i="24" s="1"/>
  <c r="P45" i="24"/>
  <c r="P91" i="24" s="1"/>
  <c r="O21" i="24"/>
  <c r="O67" i="24" s="1"/>
  <c r="P22" i="24"/>
  <c r="P68" i="24" s="1"/>
  <c r="P35" i="24"/>
  <c r="P81" i="24" s="1"/>
  <c r="O28" i="24"/>
  <c r="O74" i="24" s="1"/>
  <c r="T33" i="24"/>
  <c r="T79" i="24" s="1"/>
  <c r="T35" i="24"/>
  <c r="T81" i="24" s="1"/>
  <c r="M34" i="23"/>
  <c r="M96" i="23" s="1"/>
  <c r="M43" i="24"/>
  <c r="M89" i="24" s="1"/>
  <c r="M32" i="24"/>
  <c r="M78" i="24" s="1"/>
  <c r="O29" i="24"/>
  <c r="O75" i="24" s="1"/>
  <c r="W17" i="13"/>
  <c r="M42" i="24"/>
  <c r="M88" i="24" s="1"/>
  <c r="T16" i="24"/>
  <c r="T62" i="24" s="1"/>
  <c r="M23" i="8"/>
  <c r="M23" i="23" s="1"/>
  <c r="M85" i="23" s="1"/>
  <c r="O36" i="24"/>
  <c r="O82" i="24" s="1"/>
  <c r="P19" i="24"/>
  <c r="P65" i="24" s="1"/>
  <c r="P39" i="24"/>
  <c r="P85" i="24" s="1"/>
  <c r="P17" i="24"/>
  <c r="P63" i="24" s="1"/>
  <c r="T24" i="24"/>
  <c r="T70" i="24" s="1"/>
  <c r="W7" i="13"/>
  <c r="W32" i="13"/>
  <c r="M40" i="24"/>
  <c r="M86" i="24" s="1"/>
  <c r="M20" i="24"/>
  <c r="M66" i="24" s="1"/>
  <c r="P14" i="25"/>
  <c r="M38" i="23"/>
  <c r="M100" i="23" s="1"/>
  <c r="J9" i="25"/>
  <c r="J15" i="25" s="1"/>
  <c r="M7" i="25"/>
  <c r="M13" i="25" s="1"/>
  <c r="AA44" i="12"/>
  <c r="V44" i="24"/>
  <c r="V90" i="24" s="1"/>
  <c r="R26" i="24"/>
  <c r="R72" i="24" s="1"/>
  <c r="W26" i="12"/>
  <c r="G11" i="26"/>
  <c r="G7" i="26"/>
  <c r="G13" i="26" s="1"/>
  <c r="R13" i="24"/>
  <c r="R59" i="24" s="1"/>
  <c r="W13" i="12"/>
  <c r="AA39" i="12"/>
  <c r="V39" i="24"/>
  <c r="V85" i="24" s="1"/>
  <c r="AA7" i="12"/>
  <c r="V7" i="24"/>
  <c r="V53" i="24" s="1"/>
  <c r="Y47" i="9"/>
  <c r="AB47" i="9" s="1"/>
  <c r="AB47" i="7"/>
  <c r="AB50" i="7"/>
  <c r="Y50" i="9"/>
  <c r="AB50" i="9" s="1"/>
  <c r="Y57" i="9"/>
  <c r="AB57" i="9" s="1"/>
  <c r="AB57" i="7"/>
  <c r="Y28" i="9"/>
  <c r="AB28" i="9" s="1"/>
  <c r="AB28" i="7"/>
  <c r="AB37" i="7"/>
  <c r="Y37" i="9"/>
  <c r="AB37" i="9" s="1"/>
  <c r="Y44" i="9"/>
  <c r="AB44" i="9" s="1"/>
  <c r="AB44" i="7"/>
  <c r="Y55" i="9"/>
  <c r="AB55" i="9" s="1"/>
  <c r="AB55" i="7"/>
  <c r="R6" i="24"/>
  <c r="R52" i="24" s="1"/>
  <c r="W6" i="12"/>
  <c r="W41" i="12"/>
  <c r="R41" i="24"/>
  <c r="R87" i="24" s="1"/>
  <c r="W40" i="13"/>
  <c r="W44" i="13"/>
  <c r="V49" i="8"/>
  <c r="U49" i="23" s="1"/>
  <c r="U111" i="23" s="1"/>
  <c r="T10" i="24"/>
  <c r="T56" i="24" s="1"/>
  <c r="W22" i="13"/>
  <c r="AD7" i="8"/>
  <c r="AA7" i="23"/>
  <c r="AA69" i="23" s="1"/>
  <c r="AD48" i="8"/>
  <c r="AA48" i="23"/>
  <c r="AA110" i="23" s="1"/>
  <c r="AD56" i="8"/>
  <c r="AA56" i="23"/>
  <c r="AA118" i="23" s="1"/>
  <c r="AD28" i="8"/>
  <c r="AA28" i="23"/>
  <c r="AA90" i="23" s="1"/>
  <c r="AD60" i="8"/>
  <c r="AA60" i="23"/>
  <c r="AA122" i="23" s="1"/>
  <c r="AD46" i="8"/>
  <c r="AA46" i="23"/>
  <c r="AA108" i="23" s="1"/>
  <c r="W17" i="12"/>
  <c r="R17" i="24"/>
  <c r="R63" i="24" s="1"/>
  <c r="M11" i="24"/>
  <c r="M57" i="24" s="1"/>
  <c r="AA27" i="12"/>
  <c r="V27" i="24"/>
  <c r="V73" i="24" s="1"/>
  <c r="W26" i="13"/>
  <c r="W20" i="12"/>
  <c r="R20" i="24"/>
  <c r="R66" i="24" s="1"/>
  <c r="M32" i="8"/>
  <c r="M32" i="23" s="1"/>
  <c r="M94" i="23" s="1"/>
  <c r="M12" i="8"/>
  <c r="M12" i="23" s="1"/>
  <c r="M74" i="23" s="1"/>
  <c r="T31" i="24"/>
  <c r="T77" i="24" s="1"/>
  <c r="W13" i="13"/>
  <c r="W29" i="13"/>
  <c r="AB12" i="9"/>
  <c r="AB22" i="7"/>
  <c r="Y22" i="9"/>
  <c r="AB22" i="9" s="1"/>
  <c r="AB5" i="7"/>
  <c r="Y5" i="9"/>
  <c r="Y63" i="7"/>
  <c r="Y68" i="7" s="1"/>
  <c r="Y55" i="8" s="1"/>
  <c r="Y60" i="9"/>
  <c r="AB60" i="9" s="1"/>
  <c r="AB60" i="7"/>
  <c r="AB40" i="7"/>
  <c r="Y40" i="9"/>
  <c r="AB40" i="9" s="1"/>
  <c r="Y34" i="9"/>
  <c r="AB34" i="9" s="1"/>
  <c r="AB34" i="7"/>
  <c r="M11" i="25"/>
  <c r="AE5" i="23"/>
  <c r="AE67" i="23" s="1"/>
  <c r="AI63" i="8"/>
  <c r="AD14" i="8"/>
  <c r="AA14" i="23"/>
  <c r="AA76" i="23" s="1"/>
  <c r="L5" i="23"/>
  <c r="L67" i="23" s="1"/>
  <c r="L63" i="8"/>
  <c r="W10" i="13"/>
  <c r="T21" i="24"/>
  <c r="T67" i="24" s="1"/>
  <c r="AA17" i="12"/>
  <c r="V17" i="24"/>
  <c r="V63" i="24" s="1"/>
  <c r="AA36" i="12"/>
  <c r="V36" i="24"/>
  <c r="V82" i="24" s="1"/>
  <c r="AA40" i="23"/>
  <c r="AA102" i="23" s="1"/>
  <c r="AD40" i="8"/>
  <c r="R40" i="24"/>
  <c r="R86" i="24" s="1"/>
  <c r="W40" i="12"/>
  <c r="M10" i="23"/>
  <c r="M72" i="23" s="1"/>
  <c r="AA23" i="12"/>
  <c r="V23" i="24"/>
  <c r="V69" i="24" s="1"/>
  <c r="AA35" i="12"/>
  <c r="V35" i="24"/>
  <c r="V81" i="24" s="1"/>
  <c r="U63" i="8"/>
  <c r="W19" i="12"/>
  <c r="R19" i="24"/>
  <c r="R65" i="24" s="1"/>
  <c r="W8" i="12"/>
  <c r="R8" i="24"/>
  <c r="R54" i="24" s="1"/>
  <c r="AA13" i="12"/>
  <c r="V13" i="24"/>
  <c r="V59" i="24" s="1"/>
  <c r="W42" i="12"/>
  <c r="W22" i="12"/>
  <c r="T5" i="24"/>
  <c r="T51" i="24" s="1"/>
  <c r="V47" i="12"/>
  <c r="AD58" i="8"/>
  <c r="AA58" i="23"/>
  <c r="AA120" i="23" s="1"/>
  <c r="AD39" i="8"/>
  <c r="AA39" i="23"/>
  <c r="AA101" i="23" s="1"/>
  <c r="AD41" i="8"/>
  <c r="AA41" i="23"/>
  <c r="AA103" i="23" s="1"/>
  <c r="AD37" i="8"/>
  <c r="AA37" i="23"/>
  <c r="AA99" i="23" s="1"/>
  <c r="AD44" i="8"/>
  <c r="AA44" i="23"/>
  <c r="AA106" i="23" s="1"/>
  <c r="AA49" i="23"/>
  <c r="AA111" i="23" s="1"/>
  <c r="AD49" i="8"/>
  <c r="W45" i="12"/>
  <c r="R45" i="24"/>
  <c r="R91" i="24" s="1"/>
  <c r="O47" i="13"/>
  <c r="V6" i="8"/>
  <c r="T30" i="24"/>
  <c r="T76" i="24" s="1"/>
  <c r="R59" i="8"/>
  <c r="R59" i="23" s="1"/>
  <c r="R121" i="23" s="1"/>
  <c r="R25" i="8"/>
  <c r="R25" i="23" s="1"/>
  <c r="R87" i="23" s="1"/>
  <c r="R7" i="8"/>
  <c r="R7" i="23" s="1"/>
  <c r="R69" i="23" s="1"/>
  <c r="R27" i="8"/>
  <c r="R27" i="23" s="1"/>
  <c r="R89" i="23" s="1"/>
  <c r="R44" i="8"/>
  <c r="R44" i="23" s="1"/>
  <c r="R106" i="23" s="1"/>
  <c r="R10" i="8"/>
  <c r="R10" i="23" s="1"/>
  <c r="R72" i="23" s="1"/>
  <c r="R52" i="8"/>
  <c r="R52" i="23" s="1"/>
  <c r="R114" i="23" s="1"/>
  <c r="R54" i="8"/>
  <c r="R54" i="23" s="1"/>
  <c r="R116" i="23" s="1"/>
  <c r="R47" i="8"/>
  <c r="R47" i="23" s="1"/>
  <c r="R109" i="23" s="1"/>
  <c r="R20" i="8"/>
  <c r="R20" i="23" s="1"/>
  <c r="R82" i="23" s="1"/>
  <c r="R42" i="8"/>
  <c r="R42" i="23" s="1"/>
  <c r="R104" i="23" s="1"/>
  <c r="R45" i="8"/>
  <c r="R45" i="23" s="1"/>
  <c r="R107" i="23" s="1"/>
  <c r="R33" i="8"/>
  <c r="R19" i="8"/>
  <c r="R19" i="23" s="1"/>
  <c r="R81" i="23" s="1"/>
  <c r="R35" i="8"/>
  <c r="R35" i="23" s="1"/>
  <c r="R97" i="23" s="1"/>
  <c r="R61" i="8"/>
  <c r="R61" i="23" s="1"/>
  <c r="R123" i="23" s="1"/>
  <c r="R12" i="8"/>
  <c r="R12" i="23" s="1"/>
  <c r="R74" i="23" s="1"/>
  <c r="R16" i="8"/>
  <c r="R16" i="23" s="1"/>
  <c r="R78" i="23" s="1"/>
  <c r="R28" i="8"/>
  <c r="R28" i="23" s="1"/>
  <c r="R90" i="23" s="1"/>
  <c r="R46" i="8"/>
  <c r="R46" i="23" s="1"/>
  <c r="R108" i="23" s="1"/>
  <c r="R22" i="8"/>
  <c r="R22" i="23" s="1"/>
  <c r="R84" i="23" s="1"/>
  <c r="R17" i="8"/>
  <c r="R17" i="23" s="1"/>
  <c r="R79" i="23" s="1"/>
  <c r="R24" i="8"/>
  <c r="R24" i="23" s="1"/>
  <c r="R86" i="23" s="1"/>
  <c r="R53" i="8"/>
  <c r="R53" i="23" s="1"/>
  <c r="R115" i="23" s="1"/>
  <c r="R9" i="8"/>
  <c r="R9" i="23" s="1"/>
  <c r="R71" i="23" s="1"/>
  <c r="R13" i="8"/>
  <c r="R13" i="23" s="1"/>
  <c r="R75" i="23" s="1"/>
  <c r="R51" i="8"/>
  <c r="R51" i="23" s="1"/>
  <c r="R113" i="23" s="1"/>
  <c r="R38" i="8"/>
  <c r="R30" i="8"/>
  <c r="R30" i="23" s="1"/>
  <c r="R92" i="23" s="1"/>
  <c r="R32" i="8"/>
  <c r="R15" i="8"/>
  <c r="R15" i="23" s="1"/>
  <c r="R77" i="23" s="1"/>
  <c r="R21" i="8"/>
  <c r="R21" i="23" s="1"/>
  <c r="R83" i="23" s="1"/>
  <c r="R14" i="8"/>
  <c r="R14" i="23" s="1"/>
  <c r="R76" i="23" s="1"/>
  <c r="R29" i="8"/>
  <c r="R29" i="23" s="1"/>
  <c r="R91" i="23" s="1"/>
  <c r="R48" i="8"/>
  <c r="R48" i="23" s="1"/>
  <c r="R110" i="23" s="1"/>
  <c r="R49" i="8"/>
  <c r="R49" i="23" s="1"/>
  <c r="R111" i="23" s="1"/>
  <c r="R56" i="8"/>
  <c r="R56" i="23" s="1"/>
  <c r="R118" i="23" s="1"/>
  <c r="R50" i="8"/>
  <c r="R50" i="23" s="1"/>
  <c r="R112" i="23" s="1"/>
  <c r="R36" i="8"/>
  <c r="R37" i="8"/>
  <c r="R23" i="8"/>
  <c r="R23" i="23" s="1"/>
  <c r="R85" i="23" s="1"/>
  <c r="R6" i="8"/>
  <c r="R6" i="23" s="1"/>
  <c r="R68" i="23" s="1"/>
  <c r="R43" i="8"/>
  <c r="R43" i="23" s="1"/>
  <c r="R105" i="23" s="1"/>
  <c r="R57" i="8"/>
  <c r="R57" i="23" s="1"/>
  <c r="R119" i="23" s="1"/>
  <c r="R40" i="8"/>
  <c r="R40" i="23" s="1"/>
  <c r="R102" i="23" s="1"/>
  <c r="R60" i="8"/>
  <c r="R60" i="23" s="1"/>
  <c r="R122" i="23" s="1"/>
  <c r="R26" i="8"/>
  <c r="R26" i="23" s="1"/>
  <c r="R88" i="23" s="1"/>
  <c r="R31" i="8"/>
  <c r="R5" i="8"/>
  <c r="R55" i="8"/>
  <c r="R55" i="23" s="1"/>
  <c r="R117" i="23" s="1"/>
  <c r="R18" i="8"/>
  <c r="R18" i="23" s="1"/>
  <c r="R80" i="23" s="1"/>
  <c r="R58" i="8"/>
  <c r="R58" i="23" s="1"/>
  <c r="R120" i="23" s="1"/>
  <c r="R8" i="8"/>
  <c r="R8" i="23" s="1"/>
  <c r="R70" i="23" s="1"/>
  <c r="R11" i="8"/>
  <c r="R11" i="23" s="1"/>
  <c r="R73" i="23" s="1"/>
  <c r="R41" i="8"/>
  <c r="R41" i="23" s="1"/>
  <c r="R103" i="23" s="1"/>
  <c r="R34" i="8"/>
  <c r="R39" i="8"/>
  <c r="W20" i="13"/>
  <c r="AA45" i="12"/>
  <c r="V45" i="24"/>
  <c r="V91" i="24" s="1"/>
  <c r="AA20" i="12"/>
  <c r="V20" i="24"/>
  <c r="V66" i="24" s="1"/>
  <c r="R10" i="24"/>
  <c r="R56" i="24" s="1"/>
  <c r="W10" i="12"/>
  <c r="W29" i="12"/>
  <c r="R29" i="24"/>
  <c r="R75" i="24" s="1"/>
  <c r="AA10" i="12"/>
  <c r="V10" i="24"/>
  <c r="V56" i="24" s="1"/>
  <c r="AB43" i="7"/>
  <c r="Y43" i="9"/>
  <c r="AB43" i="9" s="1"/>
  <c r="Y32" i="9"/>
  <c r="AB32" i="9" s="1"/>
  <c r="AB32" i="7"/>
  <c r="Y56" i="9"/>
  <c r="AB56" i="9" s="1"/>
  <c r="AB56" i="7"/>
  <c r="Y51" i="9"/>
  <c r="AB51" i="9" s="1"/>
  <c r="AB51" i="7"/>
  <c r="Y19" i="9"/>
  <c r="AB19" i="9" s="1"/>
  <c r="AB19" i="7"/>
  <c r="M31" i="8"/>
  <c r="M31" i="23" s="1"/>
  <c r="M93" i="23" s="1"/>
  <c r="J7" i="25"/>
  <c r="J13" i="25" s="1"/>
  <c r="W39" i="12"/>
  <c r="R39" i="24"/>
  <c r="R85" i="24" s="1"/>
  <c r="AA11" i="12"/>
  <c r="V11" i="24"/>
  <c r="V57" i="24" s="1"/>
  <c r="AA22" i="12"/>
  <c r="V22" i="24"/>
  <c r="V68" i="24" s="1"/>
  <c r="AD21" i="8"/>
  <c r="AA21" i="23"/>
  <c r="AA83" i="23" s="1"/>
  <c r="AA12" i="23"/>
  <c r="AA74" i="23" s="1"/>
  <c r="AD12" i="8"/>
  <c r="W21" i="12"/>
  <c r="R21" i="24"/>
  <c r="R67" i="24" s="1"/>
  <c r="M28" i="23"/>
  <c r="M90" i="23" s="1"/>
  <c r="P5" i="23"/>
  <c r="P67" i="23" s="1"/>
  <c r="P63" i="8"/>
  <c r="U50" i="23"/>
  <c r="U112" i="23" s="1"/>
  <c r="R9" i="24"/>
  <c r="R55" i="24" s="1"/>
  <c r="W9" i="12"/>
  <c r="AA18" i="12"/>
  <c r="V18" i="24"/>
  <c r="V64" i="24" s="1"/>
  <c r="AA15" i="12"/>
  <c r="V15" i="24"/>
  <c r="V61" i="24" s="1"/>
  <c r="R34" i="24"/>
  <c r="R80" i="24" s="1"/>
  <c r="W34" i="12"/>
  <c r="O20" i="24"/>
  <c r="O66" i="24" s="1"/>
  <c r="V47" i="13"/>
  <c r="V11" i="8"/>
  <c r="U11" i="23" s="1"/>
  <c r="U73" i="23" s="1"/>
  <c r="AA35" i="23"/>
  <c r="AA97" i="23" s="1"/>
  <c r="AD35" i="8"/>
  <c r="AD10" i="8"/>
  <c r="AA10" i="23"/>
  <c r="AA72" i="23" s="1"/>
  <c r="AD6" i="8"/>
  <c r="AC63" i="8"/>
  <c r="AA6" i="23"/>
  <c r="AA68" i="23" s="1"/>
  <c r="AD8" i="8"/>
  <c r="AA8" i="23"/>
  <c r="AA70" i="23" s="1"/>
  <c r="AA19" i="23"/>
  <c r="AA81" i="23" s="1"/>
  <c r="AD19" i="8"/>
  <c r="AD55" i="8"/>
  <c r="AA55" i="23"/>
  <c r="AA117" i="23" s="1"/>
  <c r="W45" i="13"/>
  <c r="AA43" i="12"/>
  <c r="V43" i="24"/>
  <c r="V89" i="24" s="1"/>
  <c r="AA5" i="13"/>
  <c r="AA47" i="13" s="1"/>
  <c r="Z47" i="13"/>
  <c r="S57" i="8"/>
  <c r="S33" i="8"/>
  <c r="S19" i="8"/>
  <c r="S37" i="8"/>
  <c r="S23" i="8"/>
  <c r="S44" i="8"/>
  <c r="S46" i="8"/>
  <c r="S7" i="8"/>
  <c r="S8" i="8"/>
  <c r="S22" i="8"/>
  <c r="S60" i="8"/>
  <c r="S26" i="8"/>
  <c r="S31" i="8"/>
  <c r="S61" i="8"/>
  <c r="S51" i="8"/>
  <c r="S56" i="8"/>
  <c r="S14" i="8"/>
  <c r="S20" i="8"/>
  <c r="S38" i="8"/>
  <c r="S41" i="8"/>
  <c r="S34" i="8"/>
  <c r="S39" i="8"/>
  <c r="S53" i="8"/>
  <c r="S48" i="8"/>
  <c r="S45" i="8"/>
  <c r="S27" i="8"/>
  <c r="S49" i="8"/>
  <c r="S42" i="8"/>
  <c r="S55" i="8"/>
  <c r="S28" i="8"/>
  <c r="S15" i="8"/>
  <c r="S6" i="8"/>
  <c r="S17" i="8"/>
  <c r="S58" i="8"/>
  <c r="S16" i="8"/>
  <c r="S54" i="8"/>
  <c r="S21" i="8"/>
  <c r="S35" i="8"/>
  <c r="S43" i="8"/>
  <c r="S10" i="8"/>
  <c r="S52" i="8"/>
  <c r="S50" i="8"/>
  <c r="S36" i="8"/>
  <c r="S18" i="8"/>
  <c r="S24" i="8"/>
  <c r="S12" i="8"/>
  <c r="S40" i="8"/>
  <c r="S5" i="8"/>
  <c r="S25" i="8"/>
  <c r="S29" i="8"/>
  <c r="S30" i="8"/>
  <c r="S32" i="8"/>
  <c r="S47" i="8"/>
  <c r="S9" i="8"/>
  <c r="S13" i="8"/>
  <c r="S11" i="8"/>
  <c r="S59" i="8"/>
  <c r="W12" i="13"/>
  <c r="AA21" i="12"/>
  <c r="V21" i="24"/>
  <c r="V67" i="24" s="1"/>
  <c r="V5" i="23"/>
  <c r="V67" i="23" s="1"/>
  <c r="W63" i="8"/>
  <c r="W28" i="13"/>
  <c r="AB16" i="7"/>
  <c r="Y16" i="9"/>
  <c r="AB16" i="9" s="1"/>
  <c r="AB61" i="7"/>
  <c r="Y61" i="9"/>
  <c r="AB61" i="9" s="1"/>
  <c r="AB26" i="7"/>
  <c r="Y26" i="9"/>
  <c r="AB26" i="9" s="1"/>
  <c r="AB45" i="9"/>
  <c r="Y36" i="9"/>
  <c r="AB36" i="9" s="1"/>
  <c r="AB36" i="7"/>
  <c r="Y17" i="9"/>
  <c r="AB17" i="9" s="1"/>
  <c r="AB17" i="7"/>
  <c r="Y20" i="9"/>
  <c r="AB20" i="9" s="1"/>
  <c r="AB20" i="7"/>
  <c r="I7" i="26"/>
  <c r="I13" i="26" s="1"/>
  <c r="I9" i="26"/>
  <c r="I11" i="26"/>
  <c r="R14" i="24"/>
  <c r="R60" i="24" s="1"/>
  <c r="R36" i="24"/>
  <c r="R82" i="24" s="1"/>
  <c r="W36" i="12"/>
  <c r="G9" i="26"/>
  <c r="R30" i="24"/>
  <c r="R76" i="24" s="1"/>
  <c r="W14" i="13"/>
  <c r="W38" i="12"/>
  <c r="R38" i="24"/>
  <c r="R84" i="24" s="1"/>
  <c r="M47" i="13"/>
  <c r="AA9" i="12"/>
  <c r="V9" i="24"/>
  <c r="V55" i="24" s="1"/>
  <c r="AA13" i="23"/>
  <c r="AA75" i="23" s="1"/>
  <c r="AD13" i="8"/>
  <c r="AD33" i="8"/>
  <c r="AA33" i="23"/>
  <c r="AA95" i="23" s="1"/>
  <c r="AD38" i="8"/>
  <c r="AA38" i="23"/>
  <c r="AA100" i="23" s="1"/>
  <c r="AD23" i="8"/>
  <c r="AA23" i="23"/>
  <c r="AA85" i="23" s="1"/>
  <c r="AD26" i="8"/>
  <c r="AA26" i="23"/>
  <c r="AA88" i="23" s="1"/>
  <c r="AA43" i="23"/>
  <c r="AA105" i="23" s="1"/>
  <c r="AD43" i="8"/>
  <c r="AD17" i="8"/>
  <c r="AA17" i="23"/>
  <c r="AA79" i="23" s="1"/>
  <c r="AA34" i="12"/>
  <c r="V34" i="24"/>
  <c r="V80" i="24" s="1"/>
  <c r="V5" i="24"/>
  <c r="V51" i="24" s="1"/>
  <c r="AA5" i="12"/>
  <c r="Z47" i="12"/>
  <c r="W12" i="12"/>
  <c r="R12" i="24"/>
  <c r="R58" i="24" s="1"/>
  <c r="W18" i="12"/>
  <c r="T18" i="24"/>
  <c r="T64" i="24" s="1"/>
  <c r="W28" i="12"/>
  <c r="R28" i="24"/>
  <c r="R74" i="24" s="1"/>
  <c r="W25" i="12"/>
  <c r="R25" i="24"/>
  <c r="R71" i="24" s="1"/>
  <c r="AB27" i="7"/>
  <c r="Y27" i="9"/>
  <c r="AB27" i="9" s="1"/>
  <c r="Y39" i="9"/>
  <c r="AB39" i="9" s="1"/>
  <c r="AB39" i="7"/>
  <c r="Y24" i="9"/>
  <c r="AB24" i="9" s="1"/>
  <c r="AB24" i="7"/>
  <c r="Y35" i="9"/>
  <c r="AB35" i="9" s="1"/>
  <c r="AB35" i="7"/>
  <c r="Y52" i="9"/>
  <c r="AB52" i="9" s="1"/>
  <c r="AB52" i="7"/>
  <c r="Y14" i="9"/>
  <c r="AB14" i="9" s="1"/>
  <c r="AB14" i="7"/>
  <c r="AB18" i="7"/>
  <c r="Y18" i="9"/>
  <c r="AB18" i="9" s="1"/>
  <c r="Y25" i="9"/>
  <c r="AB25" i="9" s="1"/>
  <c r="AB25" i="7"/>
  <c r="V8" i="8"/>
  <c r="U8" i="23" s="1"/>
  <c r="U70" i="23" s="1"/>
  <c r="W47" i="11"/>
  <c r="AD15" i="8"/>
  <c r="AA15" i="23"/>
  <c r="AA77" i="23" s="1"/>
  <c r="AA45" i="23"/>
  <c r="AA107" i="23" s="1"/>
  <c r="AD45" i="8"/>
  <c r="AA33" i="12"/>
  <c r="V33" i="24"/>
  <c r="V79" i="24" s="1"/>
  <c r="R31" i="24"/>
  <c r="R77" i="24" s="1"/>
  <c r="W31" i="12"/>
  <c r="T43" i="24"/>
  <c r="T89" i="24" s="1"/>
  <c r="T44" i="24"/>
  <c r="T90" i="24" s="1"/>
  <c r="AD54" i="8"/>
  <c r="AA54" i="23"/>
  <c r="AA116" i="23" s="1"/>
  <c r="W27" i="13"/>
  <c r="AA26" i="12"/>
  <c r="V26" i="24"/>
  <c r="V72" i="24" s="1"/>
  <c r="O44" i="24"/>
  <c r="O90" i="24" s="1"/>
  <c r="V53" i="8"/>
  <c r="U53" i="23" s="1"/>
  <c r="U115" i="23" s="1"/>
  <c r="T22" i="24"/>
  <c r="T68" i="24" s="1"/>
  <c r="R42" i="24"/>
  <c r="R88" i="24" s="1"/>
  <c r="W32" i="12"/>
  <c r="R32" i="24"/>
  <c r="R78" i="24" s="1"/>
  <c r="AA40" i="12"/>
  <c r="V40" i="24"/>
  <c r="V86" i="24" s="1"/>
  <c r="V12" i="24"/>
  <c r="V58" i="24" s="1"/>
  <c r="T11" i="24"/>
  <c r="T57" i="24" s="1"/>
  <c r="AD36" i="8"/>
  <c r="AA36" i="23"/>
  <c r="AA98" i="23" s="1"/>
  <c r="W16" i="12"/>
  <c r="R16" i="24"/>
  <c r="R62" i="24" s="1"/>
  <c r="AA32" i="12"/>
  <c r="V32" i="24"/>
  <c r="V78" i="24" s="1"/>
  <c r="T27" i="24"/>
  <c r="T73" i="24" s="1"/>
  <c r="T47" i="13"/>
  <c r="W5" i="13"/>
  <c r="M47" i="12"/>
  <c r="AA19" i="12"/>
  <c r="V19" i="24"/>
  <c r="V65" i="24" s="1"/>
  <c r="O14" i="24"/>
  <c r="O60" i="24" s="1"/>
  <c r="V59" i="8"/>
  <c r="U59" i="23" s="1"/>
  <c r="U121" i="23" s="1"/>
  <c r="M13" i="24"/>
  <c r="M59" i="24" s="1"/>
  <c r="T17" i="24"/>
  <c r="T63" i="24" s="1"/>
  <c r="AD50" i="8"/>
  <c r="AA50" i="23"/>
  <c r="AA112" i="23" s="1"/>
  <c r="AD61" i="8"/>
  <c r="AA61" i="23"/>
  <c r="AA123" i="23" s="1"/>
  <c r="AD11" i="8"/>
  <c r="AA11" i="23"/>
  <c r="AA73" i="23" s="1"/>
  <c r="AD59" i="8"/>
  <c r="AA59" i="23"/>
  <c r="AA121" i="23" s="1"/>
  <c r="AD30" i="8"/>
  <c r="AA30" i="23"/>
  <c r="AA92" i="23" s="1"/>
  <c r="AD27" i="8"/>
  <c r="AA27" i="23"/>
  <c r="AA89" i="23" s="1"/>
  <c r="AA34" i="23"/>
  <c r="AA96" i="23" s="1"/>
  <c r="AD34" i="8"/>
  <c r="W43" i="13"/>
  <c r="W24" i="13"/>
  <c r="AA47" i="11"/>
  <c r="T26" i="24"/>
  <c r="T72" i="24" s="1"/>
  <c r="W15" i="13"/>
  <c r="M58" i="8"/>
  <c r="M58" i="23" s="1"/>
  <c r="M120" i="23" s="1"/>
  <c r="M39" i="8"/>
  <c r="M39" i="23" s="1"/>
  <c r="M101" i="23" s="1"/>
  <c r="M52" i="8"/>
  <c r="M52" i="23" s="1"/>
  <c r="M114" i="23" s="1"/>
  <c r="M54" i="8"/>
  <c r="M54" i="23" s="1"/>
  <c r="M116" i="23" s="1"/>
  <c r="M36" i="8"/>
  <c r="M36" i="23" s="1"/>
  <c r="M98" i="23" s="1"/>
  <c r="M15" i="8"/>
  <c r="M15" i="23" s="1"/>
  <c r="M77" i="23" s="1"/>
  <c r="M37" i="8"/>
  <c r="M37" i="23" s="1"/>
  <c r="M99" i="23" s="1"/>
  <c r="M46" i="8"/>
  <c r="M46" i="23" s="1"/>
  <c r="M108" i="23" s="1"/>
  <c r="M18" i="8"/>
  <c r="M18" i="23" s="1"/>
  <c r="M80" i="23" s="1"/>
  <c r="M57" i="8"/>
  <c r="M57" i="23" s="1"/>
  <c r="M119" i="23" s="1"/>
  <c r="M59" i="8"/>
  <c r="M59" i="23" s="1"/>
  <c r="M121" i="23" s="1"/>
  <c r="M40" i="8"/>
  <c r="M40" i="23" s="1"/>
  <c r="M102" i="23" s="1"/>
  <c r="M49" i="8"/>
  <c r="M49" i="23" s="1"/>
  <c r="M111" i="23" s="1"/>
  <c r="M14" i="8"/>
  <c r="M14" i="23" s="1"/>
  <c r="M76" i="23" s="1"/>
  <c r="M44" i="8"/>
  <c r="M44" i="23" s="1"/>
  <c r="M106" i="23" s="1"/>
  <c r="M51" i="8"/>
  <c r="M51" i="23" s="1"/>
  <c r="M113" i="23" s="1"/>
  <c r="M16" i="8"/>
  <c r="M16" i="23" s="1"/>
  <c r="M78" i="23" s="1"/>
  <c r="M45" i="8"/>
  <c r="M45" i="23" s="1"/>
  <c r="M107" i="23" s="1"/>
  <c r="M13" i="8"/>
  <c r="M13" i="23" s="1"/>
  <c r="M75" i="23" s="1"/>
  <c r="M27" i="8"/>
  <c r="M27" i="23" s="1"/>
  <c r="M89" i="23" s="1"/>
  <c r="M50" i="8"/>
  <c r="M50" i="23" s="1"/>
  <c r="M112" i="23" s="1"/>
  <c r="M30" i="8"/>
  <c r="M30" i="23" s="1"/>
  <c r="M92" i="23" s="1"/>
  <c r="M29" i="8"/>
  <c r="M29" i="23" s="1"/>
  <c r="M91" i="23" s="1"/>
  <c r="M7" i="8"/>
  <c r="M7" i="23" s="1"/>
  <c r="M69" i="23" s="1"/>
  <c r="M41" i="8"/>
  <c r="M41" i="23" s="1"/>
  <c r="M103" i="23" s="1"/>
  <c r="M25" i="8"/>
  <c r="M25" i="23" s="1"/>
  <c r="M87" i="23" s="1"/>
  <c r="M26" i="8"/>
  <c r="M26" i="23" s="1"/>
  <c r="M88" i="23" s="1"/>
  <c r="M53" i="8"/>
  <c r="M53" i="23" s="1"/>
  <c r="M115" i="23" s="1"/>
  <c r="M33" i="8"/>
  <c r="M33" i="23" s="1"/>
  <c r="M95" i="23" s="1"/>
  <c r="M11" i="8"/>
  <c r="M11" i="23" s="1"/>
  <c r="M73" i="23" s="1"/>
  <c r="M9" i="8"/>
  <c r="M9" i="23" s="1"/>
  <c r="M71" i="23" s="1"/>
  <c r="M24" i="8"/>
  <c r="M24" i="23" s="1"/>
  <c r="M86" i="23" s="1"/>
  <c r="M56" i="8"/>
  <c r="M56" i="23" s="1"/>
  <c r="M118" i="23" s="1"/>
  <c r="M6" i="8"/>
  <c r="M6" i="23" s="1"/>
  <c r="M68" i="23" s="1"/>
  <c r="M35" i="8"/>
  <c r="M35" i="23" s="1"/>
  <c r="M97" i="23" s="1"/>
  <c r="M55" i="8"/>
  <c r="M55" i="23" s="1"/>
  <c r="M117" i="23" s="1"/>
  <c r="M61" i="8"/>
  <c r="M61" i="23" s="1"/>
  <c r="M123" i="23" s="1"/>
  <c r="M19" i="8"/>
  <c r="M19" i="23" s="1"/>
  <c r="M81" i="23" s="1"/>
  <c r="M5" i="8"/>
  <c r="M22" i="8"/>
  <c r="M22" i="23" s="1"/>
  <c r="M84" i="23" s="1"/>
  <c r="M42" i="8"/>
  <c r="M42" i="23" s="1"/>
  <c r="M104" i="23" s="1"/>
  <c r="W11" i="13"/>
  <c r="M8" i="8"/>
  <c r="M8" i="23" s="1"/>
  <c r="M70" i="23" s="1"/>
  <c r="J11" i="25"/>
  <c r="M9" i="25"/>
  <c r="W25" i="13"/>
  <c r="M39" i="24"/>
  <c r="M85" i="24" s="1"/>
  <c r="AA38" i="12"/>
  <c r="V38" i="24"/>
  <c r="V84" i="24" s="1"/>
  <c r="Y42" i="9"/>
  <c r="AB42" i="9" s="1"/>
  <c r="AB42" i="7"/>
  <c r="AB54" i="7"/>
  <c r="Y54" i="9"/>
  <c r="AB54" i="9" s="1"/>
  <c r="Y58" i="9"/>
  <c r="AB58" i="9" s="1"/>
  <c r="AB58" i="7"/>
  <c r="AB41" i="7"/>
  <c r="Y41" i="9"/>
  <c r="AB41" i="9" s="1"/>
  <c r="AB9" i="7"/>
  <c r="Y9" i="9"/>
  <c r="AB9" i="9" s="1"/>
  <c r="Y23" i="9"/>
  <c r="AB23" i="9" s="1"/>
  <c r="AB23" i="7"/>
  <c r="M28" i="24"/>
  <c r="M74" i="24" s="1"/>
  <c r="T42" i="24"/>
  <c r="T88" i="24" s="1"/>
  <c r="AA28" i="12"/>
  <c r="V28" i="24"/>
  <c r="V74" i="24" s="1"/>
  <c r="AD31" i="8"/>
  <c r="AA31" i="23"/>
  <c r="AA93" i="23" s="1"/>
  <c r="R27" i="24"/>
  <c r="R73" i="24" s="1"/>
  <c r="W27" i="12"/>
  <c r="AD5" i="23"/>
  <c r="AD67" i="23" s="1"/>
  <c r="AH63" i="8"/>
  <c r="V63" i="9"/>
  <c r="W37" i="12"/>
  <c r="R37" i="24"/>
  <c r="R83" i="24" s="1"/>
  <c r="V43" i="8"/>
  <c r="U43" i="23" s="1"/>
  <c r="U105" i="23" s="1"/>
  <c r="AA30" i="12"/>
  <c r="V30" i="24"/>
  <c r="V76" i="24" s="1"/>
  <c r="Q5" i="23"/>
  <c r="Q67" i="23" s="1"/>
  <c r="Q63" i="8"/>
  <c r="X63" i="8"/>
  <c r="W33" i="13"/>
  <c r="AA24" i="12"/>
  <c r="V24" i="24"/>
  <c r="V70" i="24" s="1"/>
  <c r="R23" i="24"/>
  <c r="R69" i="24" s="1"/>
  <c r="W23" i="12"/>
  <c r="AD25" i="8"/>
  <c r="AA25" i="23"/>
  <c r="AA87" i="23" s="1"/>
  <c r="AD53" i="8"/>
  <c r="AA53" i="23"/>
  <c r="AA115" i="23" s="1"/>
  <c r="AD18" i="8"/>
  <c r="AA18" i="23"/>
  <c r="AA80" i="23" s="1"/>
  <c r="AD16" i="8"/>
  <c r="AA16" i="23"/>
  <c r="AA78" i="23" s="1"/>
  <c r="AD51" i="8"/>
  <c r="AA51" i="23"/>
  <c r="AA113" i="23" s="1"/>
  <c r="AA29" i="23"/>
  <c r="AA91" i="23" s="1"/>
  <c r="AD29" i="8"/>
  <c r="W43" i="12"/>
  <c r="R43" i="24"/>
  <c r="R89" i="24" s="1"/>
  <c r="W24" i="12"/>
  <c r="R24" i="24"/>
  <c r="R70" i="24" s="1"/>
  <c r="AA41" i="12"/>
  <c r="V41" i="24"/>
  <c r="V87" i="24" s="1"/>
  <c r="O5" i="23"/>
  <c r="O67" i="23" s="1"/>
  <c r="O63" i="8"/>
  <c r="W15" i="12"/>
  <c r="R15" i="24"/>
  <c r="R61" i="24" s="1"/>
  <c r="M63" i="9"/>
  <c r="AA16" i="12"/>
  <c r="V16" i="24"/>
  <c r="V62" i="24" s="1"/>
  <c r="W11" i="12"/>
  <c r="W35" i="13"/>
  <c r="AA14" i="12"/>
  <c r="V14" i="24"/>
  <c r="V60" i="24" s="1"/>
  <c r="AB46" i="7"/>
  <c r="Y46" i="9"/>
  <c r="AB46" i="9" s="1"/>
  <c r="AB15" i="9"/>
  <c r="AB38" i="7"/>
  <c r="Y38" i="9"/>
  <c r="AB38" i="9" s="1"/>
  <c r="Y7" i="9"/>
  <c r="AB7" i="9" s="1"/>
  <c r="AB7" i="7"/>
  <c r="AB10" i="7"/>
  <c r="Y10" i="9"/>
  <c r="AB10" i="9" s="1"/>
  <c r="AB21" i="7"/>
  <c r="Y21" i="9"/>
  <c r="AB21" i="9" s="1"/>
  <c r="AB31" i="7"/>
  <c r="Y31" i="9"/>
  <c r="AB31" i="9" s="1"/>
  <c r="V25" i="24"/>
  <c r="V71" i="24" s="1"/>
  <c r="R44" i="24"/>
  <c r="R90" i="24" s="1"/>
  <c r="W44" i="12"/>
  <c r="O47" i="12"/>
  <c r="V17" i="8"/>
  <c r="U17" i="23" s="1"/>
  <c r="U79" i="23" s="1"/>
  <c r="V58" i="8"/>
  <c r="U58" i="23" s="1"/>
  <c r="U120" i="23" s="1"/>
  <c r="V54" i="8"/>
  <c r="U54" i="23" s="1"/>
  <c r="U116" i="23" s="1"/>
  <c r="V48" i="8"/>
  <c r="U48" i="23" s="1"/>
  <c r="U110" i="23" s="1"/>
  <c r="V52" i="8"/>
  <c r="U52" i="23" s="1"/>
  <c r="U114" i="23" s="1"/>
  <c r="V42" i="8"/>
  <c r="U42" i="23" s="1"/>
  <c r="U104" i="23" s="1"/>
  <c r="V32" i="8"/>
  <c r="V37" i="8"/>
  <c r="U37" i="23" s="1"/>
  <c r="U99" i="23" s="1"/>
  <c r="V36" i="8"/>
  <c r="U36" i="23" s="1"/>
  <c r="U98" i="23" s="1"/>
  <c r="V35" i="8"/>
  <c r="U35" i="23" s="1"/>
  <c r="U97" i="23" s="1"/>
  <c r="V19" i="8"/>
  <c r="U19" i="23" s="1"/>
  <c r="U81" i="23" s="1"/>
  <c r="V47" i="8"/>
  <c r="U47" i="23" s="1"/>
  <c r="U109" i="23" s="1"/>
  <c r="V60" i="8"/>
  <c r="U60" i="23" s="1"/>
  <c r="U122" i="23" s="1"/>
  <c r="V16" i="8"/>
  <c r="U16" i="23" s="1"/>
  <c r="U78" i="23" s="1"/>
  <c r="V55" i="8"/>
  <c r="U55" i="23" s="1"/>
  <c r="U117" i="23" s="1"/>
  <c r="V9" i="8"/>
  <c r="U9" i="23" s="1"/>
  <c r="U71" i="23" s="1"/>
  <c r="V24" i="8"/>
  <c r="U24" i="23" s="1"/>
  <c r="U86" i="23" s="1"/>
  <c r="V12" i="8"/>
  <c r="U12" i="23" s="1"/>
  <c r="U74" i="23" s="1"/>
  <c r="V22" i="8"/>
  <c r="U22" i="23" s="1"/>
  <c r="U84" i="23" s="1"/>
  <c r="V20" i="8"/>
  <c r="V44" i="8"/>
  <c r="U44" i="23" s="1"/>
  <c r="U106" i="23" s="1"/>
  <c r="V21" i="8"/>
  <c r="U21" i="23" s="1"/>
  <c r="U83" i="23" s="1"/>
  <c r="V39" i="8"/>
  <c r="U39" i="23" s="1"/>
  <c r="U101" i="23" s="1"/>
  <c r="V46" i="8"/>
  <c r="U46" i="23" s="1"/>
  <c r="U108" i="23" s="1"/>
  <c r="V56" i="8"/>
  <c r="U56" i="23" s="1"/>
  <c r="U118" i="23" s="1"/>
  <c r="V13" i="8"/>
  <c r="U13" i="23" s="1"/>
  <c r="U75" i="23" s="1"/>
  <c r="V38" i="8"/>
  <c r="U38" i="23" s="1"/>
  <c r="U100" i="23" s="1"/>
  <c r="V28" i="8"/>
  <c r="U28" i="23" s="1"/>
  <c r="U90" i="23" s="1"/>
  <c r="V23" i="8"/>
  <c r="U23" i="23" s="1"/>
  <c r="U85" i="23" s="1"/>
  <c r="V25" i="8"/>
  <c r="U25" i="23" s="1"/>
  <c r="U87" i="23" s="1"/>
  <c r="V10" i="8"/>
  <c r="U10" i="23" s="1"/>
  <c r="U72" i="23" s="1"/>
  <c r="V33" i="8"/>
  <c r="U33" i="23" s="1"/>
  <c r="U95" i="23" s="1"/>
  <c r="V57" i="8"/>
  <c r="U57" i="23" s="1"/>
  <c r="U119" i="23" s="1"/>
  <c r="V14" i="8"/>
  <c r="U14" i="23" s="1"/>
  <c r="U76" i="23" s="1"/>
  <c r="V5" i="8"/>
  <c r="V61" i="8"/>
  <c r="U61" i="23" s="1"/>
  <c r="U123" i="23" s="1"/>
  <c r="V31" i="8"/>
  <c r="U31" i="23" s="1"/>
  <c r="U93" i="23" s="1"/>
  <c r="V51" i="8"/>
  <c r="U51" i="23" s="1"/>
  <c r="U113" i="23" s="1"/>
  <c r="V7" i="8"/>
  <c r="U7" i="23" s="1"/>
  <c r="U69" i="23" s="1"/>
  <c r="V41" i="8"/>
  <c r="U41" i="23" s="1"/>
  <c r="U103" i="23" s="1"/>
  <c r="V18" i="8"/>
  <c r="U18" i="23" s="1"/>
  <c r="U80" i="23" s="1"/>
  <c r="V45" i="8"/>
  <c r="U45" i="23" s="1"/>
  <c r="U107" i="23" s="1"/>
  <c r="V30" i="8"/>
  <c r="U30" i="23" s="1"/>
  <c r="U92" i="23" s="1"/>
  <c r="V29" i="8"/>
  <c r="U29" i="23" s="1"/>
  <c r="U91" i="23" s="1"/>
  <c r="AA31" i="12"/>
  <c r="V31" i="24"/>
  <c r="V77" i="24" s="1"/>
  <c r="T14" i="24"/>
  <c r="T60" i="24" s="1"/>
  <c r="R7" i="24"/>
  <c r="R53" i="24" s="1"/>
  <c r="W7" i="12"/>
  <c r="M23" i="24"/>
  <c r="M69" i="24" s="1"/>
  <c r="AA8" i="12"/>
  <c r="V8" i="24"/>
  <c r="V54" i="24" s="1"/>
  <c r="R33" i="24"/>
  <c r="R79" i="24" s="1"/>
  <c r="W33" i="12"/>
  <c r="T45" i="24"/>
  <c r="T91" i="24" s="1"/>
  <c r="V40" i="8"/>
  <c r="U40" i="23" s="1"/>
  <c r="U102" i="23" s="1"/>
  <c r="W5" i="12"/>
  <c r="T47" i="12"/>
  <c r="R5" i="24"/>
  <c r="R51" i="24" s="1"/>
  <c r="AA29" i="12"/>
  <c r="V29" i="24"/>
  <c r="V75" i="24" s="1"/>
  <c r="T6" i="24"/>
  <c r="T52" i="24" s="1"/>
  <c r="AD57" i="8"/>
  <c r="AA57" i="23"/>
  <c r="AA119" i="23" s="1"/>
  <c r="AD20" i="8"/>
  <c r="AA20" i="23"/>
  <c r="AA82" i="23" s="1"/>
  <c r="AA24" i="23"/>
  <c r="AA86" i="23" s="1"/>
  <c r="AD24" i="8"/>
  <c r="AD22" i="8"/>
  <c r="AA22" i="23"/>
  <c r="AA84" i="23" s="1"/>
  <c r="AD42" i="8"/>
  <c r="AA42" i="23"/>
  <c r="AA104" i="23" s="1"/>
  <c r="AA9" i="23"/>
  <c r="AA71" i="23" s="1"/>
  <c r="AD9" i="8"/>
  <c r="W21" i="13"/>
  <c r="O5" i="24"/>
  <c r="O51" i="24" s="1"/>
  <c r="T25" i="24"/>
  <c r="T71" i="24" s="1"/>
  <c r="V27" i="8"/>
  <c r="U27" i="23" s="1"/>
  <c r="U89" i="23" s="1"/>
  <c r="M48" i="8"/>
  <c r="M48" i="23" s="1"/>
  <c r="M110" i="23" s="1"/>
  <c r="AA37" i="12"/>
  <c r="V37" i="24"/>
  <c r="V83" i="24" s="1"/>
  <c r="S47" i="12"/>
  <c r="M6" i="24"/>
  <c r="M52" i="24" s="1"/>
  <c r="T32" i="24"/>
  <c r="T78" i="24" s="1"/>
  <c r="V34" i="8"/>
  <c r="U34" i="23" s="1"/>
  <c r="U96" i="23" s="1"/>
  <c r="W35" i="12"/>
  <c r="R35" i="24"/>
  <c r="R81" i="24" s="1"/>
  <c r="AB29" i="9"/>
  <c r="Y11" i="9"/>
  <c r="AB11" i="9" s="1"/>
  <c r="AB11" i="7"/>
  <c r="Y33" i="9"/>
  <c r="AB33" i="9" s="1"/>
  <c r="AB33" i="7"/>
  <c r="AB30" i="9"/>
  <c r="Y48" i="9"/>
  <c r="AB48" i="9" s="1"/>
  <c r="AB48" i="7"/>
  <c r="M20" i="8"/>
  <c r="M20" i="23" s="1"/>
  <c r="M82" i="23" s="1"/>
  <c r="V6" i="24"/>
  <c r="V52" i="24" s="1"/>
  <c r="L27" i="12"/>
  <c r="Q27" i="12" s="1"/>
  <c r="L27" i="13"/>
  <c r="Q27" i="13" s="1"/>
  <c r="Q27" i="11"/>
  <c r="AB27" i="11" s="1"/>
  <c r="L36" i="12"/>
  <c r="Q36" i="12" s="1"/>
  <c r="L36" i="13"/>
  <c r="Q36" i="13" s="1"/>
  <c r="Q36" i="11"/>
  <c r="AB36" i="11" s="1"/>
  <c r="L42" i="12"/>
  <c r="Q42" i="12" s="1"/>
  <c r="L42" i="13"/>
  <c r="Q42" i="13" s="1"/>
  <c r="Q42" i="11"/>
  <c r="AB42" i="11" s="1"/>
  <c r="L32" i="12"/>
  <c r="Q32" i="12" s="1"/>
  <c r="L32" i="13"/>
  <c r="Q32" i="13" s="1"/>
  <c r="Q32" i="11"/>
  <c r="AB32" i="11" s="1"/>
  <c r="L38" i="12"/>
  <c r="Q38" i="12" s="1"/>
  <c r="L38" i="13"/>
  <c r="Q38" i="13" s="1"/>
  <c r="Q38" i="11"/>
  <c r="AB38" i="11" s="1"/>
  <c r="L44" i="12"/>
  <c r="Q44" i="12" s="1"/>
  <c r="L44" i="13"/>
  <c r="Q44" i="13" s="1"/>
  <c r="Q44" i="11"/>
  <c r="AB44" i="11" s="1"/>
  <c r="L17" i="12"/>
  <c r="Q17" i="12" s="1"/>
  <c r="L17" i="13"/>
  <c r="Q17" i="13" s="1"/>
  <c r="Q17" i="11"/>
  <c r="AB17" i="11" s="1"/>
  <c r="L5" i="12"/>
  <c r="L5" i="13"/>
  <c r="L47" i="11"/>
  <c r="Q5" i="11"/>
  <c r="L9" i="12"/>
  <c r="Q9" i="12" s="1"/>
  <c r="L9" i="13"/>
  <c r="Q9" i="13" s="1"/>
  <c r="Q9" i="11"/>
  <c r="AB9" i="11" s="1"/>
  <c r="L14" i="12"/>
  <c r="Q14" i="12" s="1"/>
  <c r="L14" i="13"/>
  <c r="Q14" i="13" s="1"/>
  <c r="Q14" i="11"/>
  <c r="AB14" i="11" s="1"/>
  <c r="AB50" i="13"/>
  <c r="AB50" i="12"/>
  <c r="AB50" i="11"/>
  <c r="AB50" i="10"/>
  <c r="L40" i="12"/>
  <c r="Q40" i="12" s="1"/>
  <c r="L40" i="13"/>
  <c r="Q40" i="13" s="1"/>
  <c r="Q40" i="11"/>
  <c r="AB40" i="11" s="1"/>
  <c r="L30" i="12"/>
  <c r="Q30" i="12" s="1"/>
  <c r="L30" i="13"/>
  <c r="Q30" i="13" s="1"/>
  <c r="Q30" i="11"/>
  <c r="AB30" i="11" s="1"/>
  <c r="L20" i="12"/>
  <c r="Q20" i="12" s="1"/>
  <c r="L20" i="13"/>
  <c r="Q20" i="13" s="1"/>
  <c r="Q20" i="11"/>
  <c r="AB20" i="11" s="1"/>
  <c r="L26" i="12"/>
  <c r="Q26" i="12" s="1"/>
  <c r="L26" i="13"/>
  <c r="Q26" i="13" s="1"/>
  <c r="Q26" i="11"/>
  <c r="AB26" i="11" s="1"/>
  <c r="L15" i="12"/>
  <c r="Q15" i="12" s="1"/>
  <c r="L15" i="13"/>
  <c r="Q15" i="13" s="1"/>
  <c r="Q15" i="11"/>
  <c r="AB15" i="11" s="1"/>
  <c r="L22" i="12"/>
  <c r="Q22" i="12" s="1"/>
  <c r="L22" i="13"/>
  <c r="Q22" i="13" s="1"/>
  <c r="Q22" i="11"/>
  <c r="AB22" i="11" s="1"/>
  <c r="L28" i="12"/>
  <c r="Q28" i="12" s="1"/>
  <c r="L28" i="13"/>
  <c r="Q28" i="13" s="1"/>
  <c r="Q28" i="11"/>
  <c r="AB28" i="11" s="1"/>
  <c r="L33" i="12"/>
  <c r="Q33" i="12" s="1"/>
  <c r="L33" i="13"/>
  <c r="Q33" i="13" s="1"/>
  <c r="Q33" i="11"/>
  <c r="AB33" i="11" s="1"/>
  <c r="L6" i="12"/>
  <c r="Q6" i="12" s="1"/>
  <c r="L6" i="13"/>
  <c r="Q6" i="13" s="1"/>
  <c r="Q6" i="11"/>
  <c r="AB6" i="11" s="1"/>
  <c r="L10" i="12"/>
  <c r="Q10" i="12" s="1"/>
  <c r="L10" i="13"/>
  <c r="Q10" i="13" s="1"/>
  <c r="Q10" i="11"/>
  <c r="AB10" i="11" s="1"/>
  <c r="L19" i="12"/>
  <c r="Q19" i="12" s="1"/>
  <c r="L19" i="13"/>
  <c r="Q19" i="13" s="1"/>
  <c r="Q19" i="11"/>
  <c r="AB19" i="11" s="1"/>
  <c r="L24" i="12"/>
  <c r="Q24" i="12" s="1"/>
  <c r="L24" i="13"/>
  <c r="Q24" i="13" s="1"/>
  <c r="Q24" i="11"/>
  <c r="AB24" i="11" s="1"/>
  <c r="L45" i="12"/>
  <c r="Q45" i="12" s="1"/>
  <c r="L45" i="13"/>
  <c r="Q45" i="13" s="1"/>
  <c r="Q45" i="11"/>
  <c r="AB45" i="11" s="1"/>
  <c r="L39" i="12"/>
  <c r="Q39" i="12" s="1"/>
  <c r="L39" i="13"/>
  <c r="Q39" i="13" s="1"/>
  <c r="Q39" i="11"/>
  <c r="AB39" i="11" s="1"/>
  <c r="L41" i="12"/>
  <c r="Q41" i="12" s="1"/>
  <c r="L41" i="13"/>
  <c r="Q41" i="13" s="1"/>
  <c r="Q41" i="11"/>
  <c r="AB41" i="11" s="1"/>
  <c r="L35" i="12"/>
  <c r="Q35" i="12" s="1"/>
  <c r="L35" i="13"/>
  <c r="Q35" i="13" s="1"/>
  <c r="Q35" i="11"/>
  <c r="AB35" i="11" s="1"/>
  <c r="L37" i="12"/>
  <c r="Q37" i="12" s="1"/>
  <c r="L37" i="13"/>
  <c r="Q37" i="13" s="1"/>
  <c r="Q37" i="11"/>
  <c r="AB37" i="11" s="1"/>
  <c r="L31" i="12"/>
  <c r="Q31" i="12" s="1"/>
  <c r="L31" i="13"/>
  <c r="Q31" i="13" s="1"/>
  <c r="Q31" i="11"/>
  <c r="AB31" i="11" s="1"/>
  <c r="L16" i="12"/>
  <c r="Q16" i="12" s="1"/>
  <c r="L16" i="13"/>
  <c r="Q16" i="13" s="1"/>
  <c r="Q16" i="11"/>
  <c r="AB16" i="11" s="1"/>
  <c r="L7" i="12"/>
  <c r="Q7" i="12" s="1"/>
  <c r="L7" i="13"/>
  <c r="Q7" i="13" s="1"/>
  <c r="Q7" i="11"/>
  <c r="AB7" i="11" s="1"/>
  <c r="L11" i="12"/>
  <c r="Q11" i="12" s="1"/>
  <c r="L11" i="13"/>
  <c r="Q11" i="13" s="1"/>
  <c r="Q11" i="11"/>
  <c r="AB11" i="11" s="1"/>
  <c r="AE65" i="9"/>
  <c r="AE65" i="8"/>
  <c r="AO64" i="8" s="1"/>
  <c r="AE65" i="7"/>
  <c r="E43" i="5"/>
  <c r="X49" i="13"/>
  <c r="X49" i="12"/>
  <c r="X49" i="11"/>
  <c r="X52" i="11" s="1"/>
  <c r="X49" i="10"/>
  <c r="L43" i="12"/>
  <c r="Q43" i="12" s="1"/>
  <c r="L43" i="13"/>
  <c r="Q43" i="13" s="1"/>
  <c r="Q43" i="11"/>
  <c r="AB43" i="11" s="1"/>
  <c r="L29" i="12"/>
  <c r="Q29" i="12" s="1"/>
  <c r="L29" i="13"/>
  <c r="Q29" i="13" s="1"/>
  <c r="Q29" i="11"/>
  <c r="AB29" i="11" s="1"/>
  <c r="L23" i="12"/>
  <c r="Q23" i="12" s="1"/>
  <c r="L23" i="13"/>
  <c r="Q23" i="13" s="1"/>
  <c r="Q23" i="11"/>
  <c r="AB23" i="11" s="1"/>
  <c r="L25" i="12"/>
  <c r="Q25" i="12" s="1"/>
  <c r="L25" i="13"/>
  <c r="Q25" i="13" s="1"/>
  <c r="Q25" i="11"/>
  <c r="AB25" i="11" s="1"/>
  <c r="L18" i="12"/>
  <c r="Q18" i="12" s="1"/>
  <c r="L18" i="13"/>
  <c r="Q18" i="13" s="1"/>
  <c r="Q18" i="11"/>
  <c r="AB18" i="11" s="1"/>
  <c r="L21" i="12"/>
  <c r="Q21" i="12" s="1"/>
  <c r="L21" i="13"/>
  <c r="Q21" i="13" s="1"/>
  <c r="Q21" i="11"/>
  <c r="AB21" i="11" s="1"/>
  <c r="L34" i="12"/>
  <c r="Q34" i="12" s="1"/>
  <c r="L34" i="13"/>
  <c r="Q34" i="13" s="1"/>
  <c r="Q34" i="11"/>
  <c r="AB34" i="11" s="1"/>
  <c r="L12" i="12"/>
  <c r="Q12" i="12" s="1"/>
  <c r="L12" i="13"/>
  <c r="Q12" i="13" s="1"/>
  <c r="Q12" i="11"/>
  <c r="AB12" i="11" s="1"/>
  <c r="L8" i="12"/>
  <c r="Q8" i="12" s="1"/>
  <c r="L8" i="13"/>
  <c r="Q8" i="13" s="1"/>
  <c r="Q8" i="11"/>
  <c r="AB8" i="11" s="1"/>
  <c r="L13" i="12"/>
  <c r="Q13" i="12" s="1"/>
  <c r="L13" i="13"/>
  <c r="Q13" i="13" s="1"/>
  <c r="Q13" i="11"/>
  <c r="AB13" i="11" s="1"/>
  <c r="E23" i="5"/>
  <c r="E47" i="5" s="1"/>
  <c r="H47" i="5" s="1"/>
  <c r="AE67" i="6"/>
  <c r="Y52" i="32" l="1"/>
  <c r="AB52" i="32" s="1"/>
  <c r="M63" i="32"/>
  <c r="Y26" i="32"/>
  <c r="Y42" i="32"/>
  <c r="AB42" i="32" s="1"/>
  <c r="Y40" i="32"/>
  <c r="AB40" i="32" s="1"/>
  <c r="Y33" i="32"/>
  <c r="AB33" i="32" s="1"/>
  <c r="Y49" i="32"/>
  <c r="AB49" i="32" s="1"/>
  <c r="Y28" i="32"/>
  <c r="AB28" i="32" s="1"/>
  <c r="V29" i="28"/>
  <c r="X41" i="34"/>
  <c r="Y41" i="34" s="1"/>
  <c r="V30" i="28"/>
  <c r="X43" i="34"/>
  <c r="Y43" i="34" s="1"/>
  <c r="X21" i="34"/>
  <c r="Y21" i="34" s="1"/>
  <c r="X18" i="34"/>
  <c r="Y18" i="34" s="1"/>
  <c r="X31" i="34"/>
  <c r="Y31" i="34" s="1"/>
  <c r="X10" i="34"/>
  <c r="Y10" i="34" s="1"/>
  <c r="V19" i="28"/>
  <c r="X30" i="34"/>
  <c r="Y30" i="34" s="1"/>
  <c r="V31" i="28"/>
  <c r="X42" i="34"/>
  <c r="Y42" i="34" s="1"/>
  <c r="X55" i="23"/>
  <c r="X117" i="23" s="1"/>
  <c r="Y15" i="32"/>
  <c r="AB15" i="32" s="1"/>
  <c r="Y54" i="32"/>
  <c r="AB54" i="32" s="1"/>
  <c r="Y14" i="32"/>
  <c r="AB14" i="32" s="1"/>
  <c r="Y37" i="32"/>
  <c r="AB37" i="32" s="1"/>
  <c r="V7" i="28"/>
  <c r="X13" i="34"/>
  <c r="Y13" i="34" s="1"/>
  <c r="V24" i="28"/>
  <c r="X34" i="34"/>
  <c r="Y34" i="34" s="1"/>
  <c r="X7" i="34"/>
  <c r="Y7" i="34" s="1"/>
  <c r="V12" i="28"/>
  <c r="X24" i="34"/>
  <c r="Y24" i="34" s="1"/>
  <c r="V14" i="28"/>
  <c r="X26" i="34"/>
  <c r="Y26" i="34" s="1"/>
  <c r="V9" i="28"/>
  <c r="X14" i="34"/>
  <c r="Y14" i="34" s="1"/>
  <c r="X38" i="34"/>
  <c r="Y38" i="34" s="1"/>
  <c r="Y59" i="32"/>
  <c r="AB59" i="32" s="1"/>
  <c r="Y11" i="32"/>
  <c r="AB11" i="32" s="1"/>
  <c r="Y46" i="32"/>
  <c r="AB46" i="32" s="1"/>
  <c r="Y23" i="32"/>
  <c r="AB23" i="32" s="1"/>
  <c r="Y35" i="32"/>
  <c r="AB35" i="32" s="1"/>
  <c r="Y61" i="32"/>
  <c r="AB61" i="32" s="1"/>
  <c r="Y34" i="32"/>
  <c r="AB34" i="32" s="1"/>
  <c r="Y57" i="32"/>
  <c r="AB57" i="32" s="1"/>
  <c r="V17" i="28"/>
  <c r="X28" i="34"/>
  <c r="Y28" i="34" s="1"/>
  <c r="X37" i="34"/>
  <c r="Y37" i="34" s="1"/>
  <c r="X6" i="34"/>
  <c r="Y6" i="34" s="1"/>
  <c r="V28" i="28"/>
  <c r="X40" i="34"/>
  <c r="Y40" i="34" s="1"/>
  <c r="X36" i="34"/>
  <c r="Y36" i="34" s="1"/>
  <c r="Y29" i="32"/>
  <c r="AB29" i="32" s="1"/>
  <c r="Y31" i="32"/>
  <c r="AB31" i="32" s="1"/>
  <c r="Y13" i="32"/>
  <c r="AB13" i="32" s="1"/>
  <c r="Y24" i="32"/>
  <c r="AB24" i="32" s="1"/>
  <c r="Y16" i="32"/>
  <c r="AB16" i="32" s="1"/>
  <c r="Y19" i="32"/>
  <c r="AB19" i="32" s="1"/>
  <c r="Y43" i="32"/>
  <c r="AB43" i="32" s="1"/>
  <c r="Y60" i="32"/>
  <c r="AB60" i="32" s="1"/>
  <c r="Y50" i="32"/>
  <c r="AB50" i="32" s="1"/>
  <c r="X17" i="34"/>
  <c r="Y17" i="34" s="1"/>
  <c r="Y48" i="32"/>
  <c r="AB48" i="32" s="1"/>
  <c r="R63" i="32"/>
  <c r="S68" i="32" s="1"/>
  <c r="Y21" i="32"/>
  <c r="AB21" i="32" s="1"/>
  <c r="Y39" i="32"/>
  <c r="AB39" i="32" s="1"/>
  <c r="Y20" i="32"/>
  <c r="AB20" i="32" s="1"/>
  <c r="Y51" i="32"/>
  <c r="AB51" i="32" s="1"/>
  <c r="Y12" i="32"/>
  <c r="AB12" i="32" s="1"/>
  <c r="Y47" i="32"/>
  <c r="AB47" i="32" s="1"/>
  <c r="V18" i="28"/>
  <c r="X29" i="34"/>
  <c r="Y29" i="34" s="1"/>
  <c r="V13" i="28"/>
  <c r="X25" i="34"/>
  <c r="Y25" i="34" s="1"/>
  <c r="X22" i="34"/>
  <c r="Y22" i="34" s="1"/>
  <c r="V8" i="28"/>
  <c r="X19" i="34"/>
  <c r="Y19" i="34" s="1"/>
  <c r="V10" i="28"/>
  <c r="X20" i="34"/>
  <c r="Y20" i="34" s="1"/>
  <c r="X9" i="34"/>
  <c r="Y9" i="34" s="1"/>
  <c r="V22" i="28"/>
  <c r="X32" i="34"/>
  <c r="Y32" i="34" s="1"/>
  <c r="Y30" i="32"/>
  <c r="AB30" i="32" s="1"/>
  <c r="Y10" i="32"/>
  <c r="AB10" i="32" s="1"/>
  <c r="Y9" i="32"/>
  <c r="AB9" i="32" s="1"/>
  <c r="Y27" i="32"/>
  <c r="AB27" i="32" s="1"/>
  <c r="Y17" i="32"/>
  <c r="AB17" i="32" s="1"/>
  <c r="Q47" i="34"/>
  <c r="Y56" i="32"/>
  <c r="AB56" i="32" s="1"/>
  <c r="X8" i="34"/>
  <c r="Y8" i="34" s="1"/>
  <c r="X16" i="34"/>
  <c r="Y16" i="34" s="1"/>
  <c r="X35" i="34"/>
  <c r="Y35" i="34" s="1"/>
  <c r="V23" i="28"/>
  <c r="X33" i="34"/>
  <c r="Y33" i="34" s="1"/>
  <c r="X27" i="34"/>
  <c r="Y27" i="34" s="1"/>
  <c r="Y7" i="32"/>
  <c r="AB7" i="32" s="1"/>
  <c r="Y41" i="32"/>
  <c r="AB41" i="32" s="1"/>
  <c r="Y25" i="32"/>
  <c r="AB25" i="32" s="1"/>
  <c r="Y5" i="32"/>
  <c r="Y36" i="32"/>
  <c r="AB36" i="32" s="1"/>
  <c r="Y22" i="32"/>
  <c r="AB22" i="32" s="1"/>
  <c r="Y32" i="32"/>
  <c r="AB32" i="32" s="1"/>
  <c r="V63" i="32"/>
  <c r="Y55" i="32"/>
  <c r="AB55" i="32" s="1"/>
  <c r="V27" i="28"/>
  <c r="X39" i="34"/>
  <c r="Y39" i="34" s="1"/>
  <c r="X23" i="34"/>
  <c r="Y23" i="34" s="1"/>
  <c r="V6" i="28"/>
  <c r="X12" i="34"/>
  <c r="Y12" i="34" s="1"/>
  <c r="V5" i="28"/>
  <c r="X11" i="34"/>
  <c r="Y11" i="34" s="1"/>
  <c r="V33" i="28"/>
  <c r="X45" i="34"/>
  <c r="Y45" i="34" s="1"/>
  <c r="V11" i="28"/>
  <c r="X15" i="34"/>
  <c r="Y15" i="34" s="1"/>
  <c r="V32" i="28"/>
  <c r="X44" i="34"/>
  <c r="Y44" i="34" s="1"/>
  <c r="AB26" i="32"/>
  <c r="Y8" i="32"/>
  <c r="AB8" i="32" s="1"/>
  <c r="Y38" i="32"/>
  <c r="AB38" i="32" s="1"/>
  <c r="Y53" i="32"/>
  <c r="AB53" i="32" s="1"/>
  <c r="Y58" i="32"/>
  <c r="AB58" i="32" s="1"/>
  <c r="Y18" i="32"/>
  <c r="AB18" i="32" s="1"/>
  <c r="Y45" i="32"/>
  <c r="AB45" i="32" s="1"/>
  <c r="Y6" i="32"/>
  <c r="AB6" i="32" s="1"/>
  <c r="Y44" i="32"/>
  <c r="AB44" i="32" s="1"/>
  <c r="S63" i="32"/>
  <c r="Y50" i="8"/>
  <c r="AB50" i="8" s="1"/>
  <c r="Y44" i="8"/>
  <c r="X44" i="23" s="1"/>
  <c r="X106" i="23" s="1"/>
  <c r="Y57" i="8"/>
  <c r="X57" i="23" s="1"/>
  <c r="X119" i="23" s="1"/>
  <c r="Y28" i="8"/>
  <c r="AB28" i="8" s="1"/>
  <c r="J14" i="25"/>
  <c r="D9" i="26"/>
  <c r="D11" i="26"/>
  <c r="Y47" i="8"/>
  <c r="AB47" i="8" s="1"/>
  <c r="F7" i="26"/>
  <c r="F13" i="26" s="1"/>
  <c r="F11" i="26"/>
  <c r="C7" i="26"/>
  <c r="C13" i="26" s="1"/>
  <c r="D7" i="26"/>
  <c r="D13" i="26" s="1"/>
  <c r="F9" i="26"/>
  <c r="U32" i="23"/>
  <c r="U94" i="23" s="1"/>
  <c r="E11" i="26"/>
  <c r="E7" i="26"/>
  <c r="E13" i="26" s="1"/>
  <c r="E9" i="26"/>
  <c r="U20" i="23"/>
  <c r="U82" i="23" s="1"/>
  <c r="W47" i="13"/>
  <c r="L11" i="26"/>
  <c r="L7" i="26"/>
  <c r="L13" i="26" s="1"/>
  <c r="L9" i="26"/>
  <c r="G15" i="26"/>
  <c r="G14" i="26"/>
  <c r="Q11" i="25"/>
  <c r="Q9" i="25"/>
  <c r="Q7" i="25"/>
  <c r="Q13" i="25" s="1"/>
  <c r="U11" i="25"/>
  <c r="U7" i="25"/>
  <c r="U13" i="25" s="1"/>
  <c r="U9" i="25"/>
  <c r="Y32" i="8"/>
  <c r="X32" i="23" s="1"/>
  <c r="X94" i="23" s="1"/>
  <c r="Y25" i="8"/>
  <c r="Y8" i="8"/>
  <c r="Y34" i="8"/>
  <c r="Y21" i="8"/>
  <c r="Y51" i="8"/>
  <c r="Y13" i="8"/>
  <c r="Y56" i="8"/>
  <c r="Y38" i="8"/>
  <c r="X38" i="23" s="1"/>
  <c r="X100" i="23" s="1"/>
  <c r="Y39" i="8"/>
  <c r="X39" i="23" s="1"/>
  <c r="X101" i="23" s="1"/>
  <c r="Y41" i="8"/>
  <c r="Y61" i="8"/>
  <c r="Y17" i="8"/>
  <c r="Y16" i="8"/>
  <c r="X16" i="23" s="1"/>
  <c r="X78" i="23" s="1"/>
  <c r="Y36" i="8"/>
  <c r="X36" i="23" s="1"/>
  <c r="X98" i="23" s="1"/>
  <c r="Y29" i="8"/>
  <c r="Y24" i="8"/>
  <c r="Y59" i="8"/>
  <c r="Y42" i="8"/>
  <c r="Y5" i="8"/>
  <c r="AB5" i="8" s="1"/>
  <c r="Y60" i="8"/>
  <c r="X60" i="23" s="1"/>
  <c r="X122" i="23" s="1"/>
  <c r="Y58" i="8"/>
  <c r="Y15" i="8"/>
  <c r="Y14" i="8"/>
  <c r="Y35" i="8"/>
  <c r="Y46" i="8"/>
  <c r="Y6" i="8"/>
  <c r="X6" i="23" s="1"/>
  <c r="X68" i="23" s="1"/>
  <c r="Y37" i="8"/>
  <c r="Y18" i="8"/>
  <c r="X18" i="23" s="1"/>
  <c r="X80" i="23" s="1"/>
  <c r="Y19" i="8"/>
  <c r="Y11" i="8"/>
  <c r="X11" i="23" s="1"/>
  <c r="X73" i="23" s="1"/>
  <c r="Y30" i="8"/>
  <c r="X30" i="23" s="1"/>
  <c r="X92" i="23" s="1"/>
  <c r="Y54" i="8"/>
  <c r="Y27" i="8"/>
  <c r="Y20" i="8"/>
  <c r="X20" i="23" s="1"/>
  <c r="X82" i="23" s="1"/>
  <c r="Y53" i="8"/>
  <c r="Y48" i="8"/>
  <c r="X48" i="23" s="1"/>
  <c r="X110" i="23" s="1"/>
  <c r="Y52" i="8"/>
  <c r="X52" i="23" s="1"/>
  <c r="X114" i="23" s="1"/>
  <c r="Y26" i="8"/>
  <c r="Y10" i="8"/>
  <c r="X10" i="23" s="1"/>
  <c r="X72" i="23" s="1"/>
  <c r="Y22" i="8"/>
  <c r="X22" i="23" s="1"/>
  <c r="X84" i="23" s="1"/>
  <c r="Y31" i="8"/>
  <c r="Y45" i="8"/>
  <c r="Y23" i="8"/>
  <c r="Y49" i="8"/>
  <c r="Y7" i="8"/>
  <c r="X7" i="23" s="1"/>
  <c r="X69" i="23" s="1"/>
  <c r="Y40" i="8"/>
  <c r="Y33" i="8"/>
  <c r="Y43" i="8"/>
  <c r="Y12" i="8"/>
  <c r="Y9" i="8"/>
  <c r="I14" i="26"/>
  <c r="I15" i="26"/>
  <c r="M15" i="25"/>
  <c r="M14" i="25"/>
  <c r="H9" i="26"/>
  <c r="H11" i="26"/>
  <c r="H7" i="26"/>
  <c r="H13" i="26" s="1"/>
  <c r="U5" i="23"/>
  <c r="U67" i="23" s="1"/>
  <c r="V63" i="8"/>
  <c r="G9" i="25"/>
  <c r="G11" i="25"/>
  <c r="G7" i="25"/>
  <c r="G13" i="25" s="1"/>
  <c r="AB5" i="9"/>
  <c r="AB63" i="9" s="1"/>
  <c r="Y63" i="9"/>
  <c r="J9" i="26"/>
  <c r="J11" i="26"/>
  <c r="J7" i="26"/>
  <c r="J13" i="26" s="1"/>
  <c r="AD63" i="8"/>
  <c r="AB63" i="7"/>
  <c r="C9" i="26"/>
  <c r="T7" i="25"/>
  <c r="T13" i="25" s="1"/>
  <c r="T9" i="25"/>
  <c r="T11" i="25"/>
  <c r="AA47" i="12"/>
  <c r="AB55" i="8"/>
  <c r="W47" i="12"/>
  <c r="S63" i="8"/>
  <c r="R5" i="23"/>
  <c r="R67" i="23" s="1"/>
  <c r="R63" i="8"/>
  <c r="S68" i="8" s="1"/>
  <c r="C11" i="26"/>
  <c r="AB7" i="8"/>
  <c r="E11" i="25"/>
  <c r="E7" i="25"/>
  <c r="E13" i="25" s="1"/>
  <c r="E9" i="25"/>
  <c r="AB48" i="8"/>
  <c r="AB36" i="8"/>
  <c r="AB18" i="8"/>
  <c r="B9" i="25"/>
  <c r="B11" i="25"/>
  <c r="B7" i="25"/>
  <c r="B13" i="25" s="1"/>
  <c r="M5" i="23"/>
  <c r="M67" i="23" s="1"/>
  <c r="M63" i="8"/>
  <c r="U6" i="23"/>
  <c r="U68" i="23" s="1"/>
  <c r="AB11" i="8"/>
  <c r="L7" i="25"/>
  <c r="L13" i="25" s="1"/>
  <c r="L11" i="25"/>
  <c r="L9" i="25"/>
  <c r="F9" i="25"/>
  <c r="F11" i="25"/>
  <c r="F7" i="25"/>
  <c r="F13" i="25" s="1"/>
  <c r="J11" i="28"/>
  <c r="J6" i="28"/>
  <c r="V15" i="28"/>
  <c r="V25" i="28"/>
  <c r="V20" i="28"/>
  <c r="J21" i="28"/>
  <c r="J16" i="28"/>
  <c r="V16" i="28"/>
  <c r="V21" i="28"/>
  <c r="V26" i="28"/>
  <c r="J22" i="28"/>
  <c r="J17" i="28"/>
  <c r="L36" i="24"/>
  <c r="L82" i="24" s="1"/>
  <c r="L30" i="24"/>
  <c r="L76" i="24" s="1"/>
  <c r="L34" i="24"/>
  <c r="L80" i="24" s="1"/>
  <c r="L27" i="24"/>
  <c r="L73" i="24" s="1"/>
  <c r="L16" i="24"/>
  <c r="L62" i="24" s="1"/>
  <c r="L10" i="24"/>
  <c r="L56" i="24" s="1"/>
  <c r="L5" i="24"/>
  <c r="L51" i="24" s="1"/>
  <c r="L41" i="24"/>
  <c r="L87" i="24" s="1"/>
  <c r="L22" i="24"/>
  <c r="L68" i="24" s="1"/>
  <c r="L19" i="24"/>
  <c r="L65" i="24" s="1"/>
  <c r="L28" i="24"/>
  <c r="L74" i="24" s="1"/>
  <c r="L20" i="24"/>
  <c r="L66" i="24" s="1"/>
  <c r="L9" i="24"/>
  <c r="L55" i="24" s="1"/>
  <c r="L13" i="24"/>
  <c r="L59" i="24" s="1"/>
  <c r="L18" i="24"/>
  <c r="L64" i="24" s="1"/>
  <c r="L17" i="24"/>
  <c r="L63" i="24" s="1"/>
  <c r="L21" i="24"/>
  <c r="L67" i="24" s="1"/>
  <c r="L31" i="24"/>
  <c r="L77" i="24" s="1"/>
  <c r="L39" i="24"/>
  <c r="L85" i="24" s="1"/>
  <c r="L44" i="24"/>
  <c r="L90" i="24" s="1"/>
  <c r="L8" i="24"/>
  <c r="L54" i="24" s="1"/>
  <c r="L23" i="24"/>
  <c r="L69" i="24" s="1"/>
  <c r="L6" i="24"/>
  <c r="L52" i="24" s="1"/>
  <c r="L15" i="24"/>
  <c r="L61" i="24" s="1"/>
  <c r="L40" i="24"/>
  <c r="L86" i="24" s="1"/>
  <c r="L38" i="24"/>
  <c r="L84" i="24" s="1"/>
  <c r="L25" i="24"/>
  <c r="L71" i="24" s="1"/>
  <c r="L7" i="24"/>
  <c r="L53" i="24" s="1"/>
  <c r="L35" i="24"/>
  <c r="L81" i="24" s="1"/>
  <c r="L24" i="24"/>
  <c r="L70" i="24" s="1"/>
  <c r="L11" i="24"/>
  <c r="L57" i="24" s="1"/>
  <c r="L37" i="24"/>
  <c r="L83" i="24" s="1"/>
  <c r="L45" i="24"/>
  <c r="L91" i="24" s="1"/>
  <c r="L32" i="24"/>
  <c r="L78" i="24" s="1"/>
  <c r="L12" i="24"/>
  <c r="L58" i="24" s="1"/>
  <c r="L43" i="24"/>
  <c r="L89" i="24" s="1"/>
  <c r="L33" i="24"/>
  <c r="L79" i="24" s="1"/>
  <c r="L26" i="24"/>
  <c r="L72" i="24" s="1"/>
  <c r="L14" i="24"/>
  <c r="L60" i="24" s="1"/>
  <c r="L42" i="24"/>
  <c r="L88" i="24" s="1"/>
  <c r="L29" i="24"/>
  <c r="L75" i="24" s="1"/>
  <c r="X8" i="12"/>
  <c r="Y8" i="12" s="1"/>
  <c r="AB8" i="12" s="1"/>
  <c r="X8" i="13"/>
  <c r="X11" i="12"/>
  <c r="Y11" i="12" s="1"/>
  <c r="AB11" i="12" s="1"/>
  <c r="X11" i="13"/>
  <c r="X37" i="12"/>
  <c r="Y37" i="12" s="1"/>
  <c r="AB37" i="12" s="1"/>
  <c r="X37" i="13"/>
  <c r="X45" i="12"/>
  <c r="Y45" i="12" s="1"/>
  <c r="AB45" i="12" s="1"/>
  <c r="X45" i="13"/>
  <c r="X33" i="12"/>
  <c r="Y33" i="12" s="1"/>
  <c r="AB33" i="12" s="1"/>
  <c r="X33" i="13"/>
  <c r="X26" i="12"/>
  <c r="Y26" i="12" s="1"/>
  <c r="AB26" i="12" s="1"/>
  <c r="X26" i="13"/>
  <c r="X9" i="12"/>
  <c r="Y9" i="12" s="1"/>
  <c r="AB9" i="12" s="1"/>
  <c r="X9" i="13"/>
  <c r="X32" i="12"/>
  <c r="Y32" i="12" s="1"/>
  <c r="AB32" i="12" s="1"/>
  <c r="X32" i="13"/>
  <c r="E29" i="5"/>
  <c r="X21" i="12"/>
  <c r="Y21" i="12" s="1"/>
  <c r="AB21" i="12" s="1"/>
  <c r="X21" i="13"/>
  <c r="X29" i="12"/>
  <c r="Y29" i="12" s="1"/>
  <c r="AB29" i="12" s="1"/>
  <c r="X29" i="13"/>
  <c r="X31" i="12"/>
  <c r="Y31" i="12" s="1"/>
  <c r="AB31" i="12" s="1"/>
  <c r="X31" i="13"/>
  <c r="X39" i="12"/>
  <c r="Y39" i="12" s="1"/>
  <c r="AB39" i="12" s="1"/>
  <c r="X39" i="13"/>
  <c r="X6" i="12"/>
  <c r="Y6" i="12" s="1"/>
  <c r="AB6" i="12" s="1"/>
  <c r="X6" i="13"/>
  <c r="X15" i="12"/>
  <c r="Y15" i="12" s="1"/>
  <c r="AB15" i="12" s="1"/>
  <c r="X15" i="13"/>
  <c r="X40" i="12"/>
  <c r="Y40" i="12" s="1"/>
  <c r="AB40" i="12" s="1"/>
  <c r="X40" i="13"/>
  <c r="X14" i="12"/>
  <c r="Y14" i="12" s="1"/>
  <c r="AB14" i="12" s="1"/>
  <c r="X14" i="13"/>
  <c r="Q5" i="13"/>
  <c r="L47" i="13"/>
  <c r="X38" i="12"/>
  <c r="Y38" i="12" s="1"/>
  <c r="AB38" i="12" s="1"/>
  <c r="X38" i="13"/>
  <c r="X27" i="12"/>
  <c r="Y27" i="12" s="1"/>
  <c r="X27" i="13"/>
  <c r="X43" i="12"/>
  <c r="Y43" i="12" s="1"/>
  <c r="AB43" i="12" s="1"/>
  <c r="X43" i="13"/>
  <c r="X13" i="12"/>
  <c r="Y13" i="12" s="1"/>
  <c r="AB13" i="12" s="1"/>
  <c r="X13" i="13"/>
  <c r="X34" i="12"/>
  <c r="Y34" i="12" s="1"/>
  <c r="AB34" i="12" s="1"/>
  <c r="X34" i="13"/>
  <c r="X23" i="12"/>
  <c r="Y23" i="12" s="1"/>
  <c r="AB23" i="12" s="1"/>
  <c r="X23" i="13"/>
  <c r="X16" i="12"/>
  <c r="Y16" i="12" s="1"/>
  <c r="AB16" i="12" s="1"/>
  <c r="X16" i="13"/>
  <c r="X41" i="12"/>
  <c r="Y41" i="12" s="1"/>
  <c r="AB41" i="12" s="1"/>
  <c r="X41" i="13"/>
  <c r="X10" i="12"/>
  <c r="Y10" i="12" s="1"/>
  <c r="AB10" i="12" s="1"/>
  <c r="X10" i="13"/>
  <c r="X22" i="12"/>
  <c r="Y22" i="12" s="1"/>
  <c r="AB22" i="12" s="1"/>
  <c r="X22" i="13"/>
  <c r="X30" i="12"/>
  <c r="Y30" i="12" s="1"/>
  <c r="AB30" i="12" s="1"/>
  <c r="X30" i="13"/>
  <c r="Q5" i="12"/>
  <c r="L47" i="12"/>
  <c r="X44" i="12"/>
  <c r="Y44" i="12" s="1"/>
  <c r="AB44" i="12" s="1"/>
  <c r="X44" i="13"/>
  <c r="X36" i="12"/>
  <c r="Y36" i="12" s="1"/>
  <c r="AB36" i="12" s="1"/>
  <c r="X36" i="13"/>
  <c r="AG67" i="6"/>
  <c r="AG65" i="9"/>
  <c r="AG65" i="8"/>
  <c r="AG65" i="7"/>
  <c r="X18" i="12"/>
  <c r="Y18" i="12" s="1"/>
  <c r="AB18" i="12" s="1"/>
  <c r="X18" i="13"/>
  <c r="X12" i="12"/>
  <c r="Y12" i="12" s="1"/>
  <c r="AB12" i="12" s="1"/>
  <c r="X12" i="13"/>
  <c r="X25" i="12"/>
  <c r="Y25" i="12" s="1"/>
  <c r="AB25" i="12" s="1"/>
  <c r="X25" i="13"/>
  <c r="E46" i="5"/>
  <c r="Y49" i="13"/>
  <c r="Y49" i="12"/>
  <c r="Y49" i="11"/>
  <c r="Y49" i="10"/>
  <c r="X7" i="12"/>
  <c r="Y7" i="12" s="1"/>
  <c r="AB7" i="12" s="1"/>
  <c r="X7" i="13"/>
  <c r="X35" i="12"/>
  <c r="Y35" i="12" s="1"/>
  <c r="AB35" i="12" s="1"/>
  <c r="X35" i="13"/>
  <c r="X24" i="12"/>
  <c r="Y24" i="12" s="1"/>
  <c r="AB24" i="12" s="1"/>
  <c r="X24" i="13"/>
  <c r="X19" i="12"/>
  <c r="Y19" i="12" s="1"/>
  <c r="AB19" i="12" s="1"/>
  <c r="X19" i="13"/>
  <c r="X28" i="12"/>
  <c r="Y28" i="12" s="1"/>
  <c r="AB28" i="12" s="1"/>
  <c r="X28" i="13"/>
  <c r="X20" i="12"/>
  <c r="Y20" i="12" s="1"/>
  <c r="AB20" i="12" s="1"/>
  <c r="X20" i="13"/>
  <c r="Q47" i="11"/>
  <c r="AB5" i="11"/>
  <c r="X17" i="12"/>
  <c r="Y17" i="12" s="1"/>
  <c r="AB17" i="12" s="1"/>
  <c r="X17" i="13"/>
  <c r="X42" i="12"/>
  <c r="Y42" i="12" s="1"/>
  <c r="AB42" i="12" s="1"/>
  <c r="X42" i="13"/>
  <c r="AB27" i="12"/>
  <c r="X5" i="34" l="1"/>
  <c r="X50" i="23"/>
  <c r="X112" i="23" s="1"/>
  <c r="AB57" i="8"/>
  <c r="Y63" i="32"/>
  <c r="AB5" i="32"/>
  <c r="AB63" i="32" s="1"/>
  <c r="X28" i="23"/>
  <c r="X90" i="23" s="1"/>
  <c r="AB60" i="8"/>
  <c r="AB44" i="8"/>
  <c r="AB10" i="8"/>
  <c r="AB30" i="8"/>
  <c r="D15" i="26"/>
  <c r="D14" i="26"/>
  <c r="X47" i="23"/>
  <c r="X109" i="23" s="1"/>
  <c r="AB52" i="8"/>
  <c r="AB16" i="8"/>
  <c r="AB38" i="8"/>
  <c r="AB6" i="8"/>
  <c r="F15" i="26"/>
  <c r="F14" i="26"/>
  <c r="AB31" i="8"/>
  <c r="X31" i="23"/>
  <c r="X93" i="23" s="1"/>
  <c r="AB25" i="8"/>
  <c r="X25" i="23"/>
  <c r="X87" i="23" s="1"/>
  <c r="E15" i="25"/>
  <c r="E14" i="25"/>
  <c r="H11" i="25"/>
  <c r="H9" i="25"/>
  <c r="H7" i="25"/>
  <c r="H13" i="25" s="1"/>
  <c r="C14" i="26"/>
  <c r="C15" i="26"/>
  <c r="X9" i="23"/>
  <c r="X71" i="23" s="1"/>
  <c r="AB9" i="8"/>
  <c r="X45" i="23"/>
  <c r="X107" i="23" s="1"/>
  <c r="AB45" i="8"/>
  <c r="AB42" i="8"/>
  <c r="X42" i="23"/>
  <c r="X104" i="23" s="1"/>
  <c r="AB41" i="8"/>
  <c r="X41" i="23"/>
  <c r="X103" i="23" s="1"/>
  <c r="X8" i="23"/>
  <c r="X70" i="23" s="1"/>
  <c r="AB8" i="8"/>
  <c r="Q14" i="25"/>
  <c r="Q15" i="25"/>
  <c r="AB20" i="8"/>
  <c r="X27" i="23"/>
  <c r="X89" i="23" s="1"/>
  <c r="AB27" i="8"/>
  <c r="AB46" i="8"/>
  <c r="X46" i="23"/>
  <c r="X108" i="23" s="1"/>
  <c r="H15" i="26"/>
  <c r="H14" i="26"/>
  <c r="X43" i="23"/>
  <c r="X105" i="23" s="1"/>
  <c r="AB43" i="8"/>
  <c r="AB54" i="8"/>
  <c r="X54" i="23"/>
  <c r="X116" i="23" s="1"/>
  <c r="AB35" i="8"/>
  <c r="X35" i="23"/>
  <c r="X97" i="23" s="1"/>
  <c r="X24" i="23"/>
  <c r="X86" i="23" s="1"/>
  <c r="AB24" i="8"/>
  <c r="E15" i="26"/>
  <c r="E14" i="26"/>
  <c r="F15" i="25"/>
  <c r="F14" i="25"/>
  <c r="AB33" i="8"/>
  <c r="X33" i="23"/>
  <c r="X95" i="23" s="1"/>
  <c r="AB14" i="8"/>
  <c r="X14" i="23"/>
  <c r="X76" i="23" s="1"/>
  <c r="AB29" i="8"/>
  <c r="X29" i="23"/>
  <c r="X91" i="23" s="1"/>
  <c r="AB56" i="8"/>
  <c r="X56" i="23"/>
  <c r="X118" i="23" s="1"/>
  <c r="U15" i="25"/>
  <c r="U14" i="25"/>
  <c r="L15" i="25"/>
  <c r="L14" i="25"/>
  <c r="AB40" i="8"/>
  <c r="X40" i="23"/>
  <c r="X102" i="23" s="1"/>
  <c r="AB26" i="8"/>
  <c r="X26" i="23"/>
  <c r="X88" i="23" s="1"/>
  <c r="X15" i="23"/>
  <c r="X77" i="23" s="1"/>
  <c r="AB15" i="8"/>
  <c r="AB13" i="8"/>
  <c r="X13" i="23"/>
  <c r="X75" i="23" s="1"/>
  <c r="L15" i="26"/>
  <c r="L14" i="26"/>
  <c r="B14" i="25"/>
  <c r="B15" i="25"/>
  <c r="G15" i="25"/>
  <c r="G14" i="25"/>
  <c r="X19" i="23"/>
  <c r="X81" i="23" s="1"/>
  <c r="AB19" i="8"/>
  <c r="AB58" i="8"/>
  <c r="X58" i="23"/>
  <c r="X120" i="23" s="1"/>
  <c r="X51" i="23"/>
  <c r="X113" i="23" s="1"/>
  <c r="AB51" i="8"/>
  <c r="AB39" i="8"/>
  <c r="C9" i="25"/>
  <c r="C11" i="25"/>
  <c r="C7" i="25"/>
  <c r="C13" i="25" s="1"/>
  <c r="T14" i="25"/>
  <c r="T15" i="25"/>
  <c r="AB49" i="8"/>
  <c r="X49" i="23"/>
  <c r="X111" i="23" s="1"/>
  <c r="X17" i="23"/>
  <c r="X79" i="23" s="1"/>
  <c r="AB17" i="8"/>
  <c r="X21" i="23"/>
  <c r="X83" i="23" s="1"/>
  <c r="AB21" i="8"/>
  <c r="AB32" i="8"/>
  <c r="AB12" i="8"/>
  <c r="X12" i="23"/>
  <c r="X74" i="23" s="1"/>
  <c r="X59" i="23"/>
  <c r="X121" i="23" s="1"/>
  <c r="AB59" i="8"/>
  <c r="AB22" i="8"/>
  <c r="S61" i="9"/>
  <c r="S61" i="23" s="1"/>
  <c r="S123" i="23" s="1"/>
  <c r="S46" i="9"/>
  <c r="S46" i="23" s="1"/>
  <c r="S108" i="23" s="1"/>
  <c r="S49" i="9"/>
  <c r="S49" i="23" s="1"/>
  <c r="S111" i="23" s="1"/>
  <c r="S32" i="9"/>
  <c r="S32" i="23" s="1"/>
  <c r="S94" i="23" s="1"/>
  <c r="S24" i="9"/>
  <c r="S24" i="23" s="1"/>
  <c r="S86" i="23" s="1"/>
  <c r="S34" i="9"/>
  <c r="S34" i="23" s="1"/>
  <c r="S96" i="23" s="1"/>
  <c r="S28" i="9"/>
  <c r="S28" i="23" s="1"/>
  <c r="S90" i="23" s="1"/>
  <c r="S40" i="9"/>
  <c r="S40" i="23" s="1"/>
  <c r="S102" i="23" s="1"/>
  <c r="S16" i="9"/>
  <c r="S16" i="23" s="1"/>
  <c r="S78" i="23" s="1"/>
  <c r="S48" i="9"/>
  <c r="S48" i="23" s="1"/>
  <c r="S110" i="23" s="1"/>
  <c r="S58" i="9"/>
  <c r="S58" i="23" s="1"/>
  <c r="S120" i="23" s="1"/>
  <c r="S22" i="9"/>
  <c r="S22" i="23" s="1"/>
  <c r="S84" i="23" s="1"/>
  <c r="S41" i="9"/>
  <c r="S41" i="23" s="1"/>
  <c r="S103" i="23" s="1"/>
  <c r="S53" i="9"/>
  <c r="S53" i="23" s="1"/>
  <c r="S115" i="23" s="1"/>
  <c r="S23" i="9"/>
  <c r="S23" i="23" s="1"/>
  <c r="S85" i="23" s="1"/>
  <c r="S30" i="9"/>
  <c r="S30" i="23" s="1"/>
  <c r="S92" i="23" s="1"/>
  <c r="S13" i="9"/>
  <c r="S13" i="23" s="1"/>
  <c r="S75" i="23" s="1"/>
  <c r="S60" i="9"/>
  <c r="S60" i="23" s="1"/>
  <c r="S122" i="23" s="1"/>
  <c r="S51" i="9"/>
  <c r="S51" i="23" s="1"/>
  <c r="S113" i="23" s="1"/>
  <c r="S50" i="9"/>
  <c r="S50" i="23" s="1"/>
  <c r="S112" i="23" s="1"/>
  <c r="S36" i="9"/>
  <c r="S36" i="23" s="1"/>
  <c r="S98" i="23" s="1"/>
  <c r="S11" i="9"/>
  <c r="S11" i="23" s="1"/>
  <c r="S73" i="23" s="1"/>
  <c r="S18" i="9"/>
  <c r="S18" i="23" s="1"/>
  <c r="S80" i="23" s="1"/>
  <c r="S8" i="9"/>
  <c r="S8" i="23" s="1"/>
  <c r="S70" i="23" s="1"/>
  <c r="S42" i="9"/>
  <c r="S42" i="23" s="1"/>
  <c r="S104" i="23" s="1"/>
  <c r="S29" i="9"/>
  <c r="S29" i="23" s="1"/>
  <c r="S91" i="23" s="1"/>
  <c r="S17" i="9"/>
  <c r="S17" i="23" s="1"/>
  <c r="S79" i="23" s="1"/>
  <c r="S19" i="9"/>
  <c r="S19" i="23" s="1"/>
  <c r="S81" i="23" s="1"/>
  <c r="S9" i="9"/>
  <c r="S9" i="23" s="1"/>
  <c r="S71" i="23" s="1"/>
  <c r="S14" i="9"/>
  <c r="S14" i="23" s="1"/>
  <c r="S76" i="23" s="1"/>
  <c r="S44" i="9"/>
  <c r="S44" i="23" s="1"/>
  <c r="S106" i="23" s="1"/>
  <c r="S54" i="9"/>
  <c r="S54" i="23" s="1"/>
  <c r="S116" i="23" s="1"/>
  <c r="S38" i="9"/>
  <c r="S38" i="23" s="1"/>
  <c r="S100" i="23" s="1"/>
  <c r="S35" i="9"/>
  <c r="S35" i="23" s="1"/>
  <c r="S97" i="23" s="1"/>
  <c r="S39" i="9"/>
  <c r="S39" i="23" s="1"/>
  <c r="S101" i="23" s="1"/>
  <c r="S10" i="9"/>
  <c r="S10" i="23" s="1"/>
  <c r="S72" i="23" s="1"/>
  <c r="S59" i="9"/>
  <c r="S59" i="23" s="1"/>
  <c r="S121" i="23" s="1"/>
  <c r="S5" i="9"/>
  <c r="S20" i="9"/>
  <c r="S20" i="23" s="1"/>
  <c r="S82" i="23" s="1"/>
  <c r="S43" i="9"/>
  <c r="S43" i="23" s="1"/>
  <c r="S105" i="23" s="1"/>
  <c r="S12" i="9"/>
  <c r="S12" i="23" s="1"/>
  <c r="S74" i="23" s="1"/>
  <c r="S15" i="9"/>
  <c r="S15" i="23" s="1"/>
  <c r="S77" i="23" s="1"/>
  <c r="S37" i="9"/>
  <c r="S37" i="23" s="1"/>
  <c r="S99" i="23" s="1"/>
  <c r="S45" i="9"/>
  <c r="S45" i="23" s="1"/>
  <c r="S107" i="23" s="1"/>
  <c r="S56" i="9"/>
  <c r="S56" i="23" s="1"/>
  <c r="S118" i="23" s="1"/>
  <c r="S7" i="9"/>
  <c r="S7" i="23" s="1"/>
  <c r="S69" i="23" s="1"/>
  <c r="S25" i="9"/>
  <c r="S25" i="23" s="1"/>
  <c r="S87" i="23" s="1"/>
  <c r="S26" i="9"/>
  <c r="S26" i="23" s="1"/>
  <c r="S88" i="23" s="1"/>
  <c r="S6" i="9"/>
  <c r="S6" i="23" s="1"/>
  <c r="S68" i="23" s="1"/>
  <c r="S33" i="9"/>
  <c r="S33" i="23" s="1"/>
  <c r="S95" i="23" s="1"/>
  <c r="S27" i="9"/>
  <c r="S27" i="23" s="1"/>
  <c r="S89" i="23" s="1"/>
  <c r="S47" i="9"/>
  <c r="S47" i="23" s="1"/>
  <c r="S109" i="23" s="1"/>
  <c r="S21" i="9"/>
  <c r="S21" i="23" s="1"/>
  <c r="S83" i="23" s="1"/>
  <c r="S31" i="9"/>
  <c r="S31" i="23" s="1"/>
  <c r="S93" i="23" s="1"/>
  <c r="S55" i="9"/>
  <c r="S55" i="23" s="1"/>
  <c r="S117" i="23" s="1"/>
  <c r="S57" i="9"/>
  <c r="S57" i="23" s="1"/>
  <c r="S119" i="23" s="1"/>
  <c r="S52" i="9"/>
  <c r="S52" i="23" s="1"/>
  <c r="S114" i="23" s="1"/>
  <c r="J15" i="26"/>
  <c r="J14" i="26"/>
  <c r="K9" i="25"/>
  <c r="K11" i="25"/>
  <c r="K7" i="25"/>
  <c r="K13" i="25" s="1"/>
  <c r="X23" i="23"/>
  <c r="X85" i="23" s="1"/>
  <c r="AB23" i="8"/>
  <c r="AB53" i="8"/>
  <c r="X53" i="23"/>
  <c r="X115" i="23" s="1"/>
  <c r="AB37" i="8"/>
  <c r="X37" i="23"/>
  <c r="X99" i="23" s="1"/>
  <c r="X5" i="23"/>
  <c r="X67" i="23" s="1"/>
  <c r="Y63" i="8"/>
  <c r="X61" i="23"/>
  <c r="X123" i="23" s="1"/>
  <c r="AB61" i="8"/>
  <c r="AB34" i="8"/>
  <c r="X34" i="23"/>
  <c r="X96" i="23" s="1"/>
  <c r="J10" i="28"/>
  <c r="J5" i="28"/>
  <c r="B9" i="26"/>
  <c r="B15" i="26" s="1"/>
  <c r="B7" i="26"/>
  <c r="B13" i="26" s="1"/>
  <c r="B11" i="26"/>
  <c r="Y9" i="13"/>
  <c r="AB9" i="13" s="1"/>
  <c r="AF9" i="34" s="1"/>
  <c r="U9" i="24"/>
  <c r="U55" i="24" s="1"/>
  <c r="Y33" i="13"/>
  <c r="AB33" i="13" s="1"/>
  <c r="S23" i="28" s="1"/>
  <c r="U33" i="24"/>
  <c r="U79" i="24" s="1"/>
  <c r="Y37" i="13"/>
  <c r="AB37" i="13" s="1"/>
  <c r="AF37" i="34" s="1"/>
  <c r="U37" i="24"/>
  <c r="U83" i="24" s="1"/>
  <c r="Y28" i="13"/>
  <c r="AB28" i="13" s="1"/>
  <c r="S17" i="28" s="1"/>
  <c r="U28" i="24"/>
  <c r="U74" i="24" s="1"/>
  <c r="Y18" i="13"/>
  <c r="AB18" i="13" s="1"/>
  <c r="AA249" i="17" s="1"/>
  <c r="U18" i="24"/>
  <c r="U64" i="24" s="1"/>
  <c r="Y34" i="13"/>
  <c r="AB34" i="13" s="1"/>
  <c r="S24" i="28" s="1"/>
  <c r="U34" i="24"/>
  <c r="U80" i="24" s="1"/>
  <c r="Y17" i="13"/>
  <c r="AB17" i="13" s="1"/>
  <c r="AA214" i="17" s="1"/>
  <c r="U17" i="24"/>
  <c r="U63" i="24" s="1"/>
  <c r="Y44" i="13"/>
  <c r="AB44" i="13" s="1"/>
  <c r="AF44" i="34" s="1"/>
  <c r="U44" i="24"/>
  <c r="U90" i="24" s="1"/>
  <c r="Y22" i="13"/>
  <c r="AB22" i="13" s="1"/>
  <c r="AF22" i="34" s="1"/>
  <c r="U22" i="24"/>
  <c r="U68" i="24" s="1"/>
  <c r="Y38" i="13"/>
  <c r="AB38" i="13" s="1"/>
  <c r="AF38" i="34" s="1"/>
  <c r="U38" i="24"/>
  <c r="U84" i="24" s="1"/>
  <c r="Y15" i="13"/>
  <c r="AB15" i="13" s="1"/>
  <c r="AF15" i="34" s="1"/>
  <c r="U15" i="24"/>
  <c r="U61" i="24" s="1"/>
  <c r="Y39" i="13"/>
  <c r="AB39" i="13" s="1"/>
  <c r="AF39" i="34" s="1"/>
  <c r="U39" i="24"/>
  <c r="U85" i="24" s="1"/>
  <c r="Y29" i="13"/>
  <c r="AB29" i="13" s="1"/>
  <c r="U29" i="24"/>
  <c r="U75" i="24" s="1"/>
  <c r="Y42" i="13"/>
  <c r="AB42" i="13" s="1"/>
  <c r="AF42" i="34" s="1"/>
  <c r="U42" i="24"/>
  <c r="U88" i="24" s="1"/>
  <c r="Y20" i="13"/>
  <c r="AB20" i="13" s="1"/>
  <c r="S10" i="28" s="1"/>
  <c r="U20" i="24"/>
  <c r="U66" i="24" s="1"/>
  <c r="Y19" i="13"/>
  <c r="AB19" i="13" s="1"/>
  <c r="U19" i="24"/>
  <c r="U65" i="24" s="1"/>
  <c r="Y7" i="13"/>
  <c r="AB7" i="13" s="1"/>
  <c r="AF7" i="34" s="1"/>
  <c r="U7" i="24"/>
  <c r="U53" i="24" s="1"/>
  <c r="Y25" i="13"/>
  <c r="AB25" i="13" s="1"/>
  <c r="S13" i="28" s="1"/>
  <c r="U25" i="24"/>
  <c r="U71" i="24" s="1"/>
  <c r="Y36" i="13"/>
  <c r="AB36" i="13" s="1"/>
  <c r="AF36" i="34" s="1"/>
  <c r="U36" i="24"/>
  <c r="U82" i="24" s="1"/>
  <c r="Y30" i="13"/>
  <c r="AB30" i="13" s="1"/>
  <c r="U30" i="24"/>
  <c r="U76" i="24" s="1"/>
  <c r="Y16" i="13"/>
  <c r="AB16" i="13" s="1"/>
  <c r="AF16" i="34" s="1"/>
  <c r="U16" i="24"/>
  <c r="U62" i="24" s="1"/>
  <c r="Y23" i="13"/>
  <c r="AB23" i="13" s="1"/>
  <c r="AF23" i="34" s="1"/>
  <c r="U23" i="24"/>
  <c r="U69" i="24" s="1"/>
  <c r="Y8" i="13"/>
  <c r="AB8" i="13" s="1"/>
  <c r="AF8" i="34" s="1"/>
  <c r="U8" i="24"/>
  <c r="U54" i="24" s="1"/>
  <c r="Y24" i="13"/>
  <c r="AB24" i="13" s="1"/>
  <c r="S12" i="28" s="1"/>
  <c r="U24" i="24"/>
  <c r="U70" i="24" s="1"/>
  <c r="Y10" i="13"/>
  <c r="AB10" i="13" s="1"/>
  <c r="AF10" i="34" s="1"/>
  <c r="U10" i="24"/>
  <c r="U56" i="24" s="1"/>
  <c r="Y12" i="13"/>
  <c r="AB12" i="13" s="1"/>
  <c r="AF12" i="34" s="1"/>
  <c r="U12" i="24"/>
  <c r="U58" i="24" s="1"/>
  <c r="Y43" i="13"/>
  <c r="AB43" i="13" s="1"/>
  <c r="S30" i="28" s="1"/>
  <c r="U43" i="24"/>
  <c r="U89" i="24" s="1"/>
  <c r="Y14" i="13"/>
  <c r="AB14" i="13" s="1"/>
  <c r="AF14" i="34" s="1"/>
  <c r="U14" i="24"/>
  <c r="U60" i="24" s="1"/>
  <c r="Y35" i="13"/>
  <c r="AB35" i="13" s="1"/>
  <c r="AF35" i="34" s="1"/>
  <c r="U35" i="24"/>
  <c r="U81" i="24" s="1"/>
  <c r="Y41" i="13"/>
  <c r="AB41" i="13" s="1"/>
  <c r="AF41" i="34" s="1"/>
  <c r="U41" i="24"/>
  <c r="U87" i="24" s="1"/>
  <c r="Y13" i="13"/>
  <c r="AB13" i="13" s="1"/>
  <c r="AF13" i="34" s="1"/>
  <c r="U13" i="24"/>
  <c r="U59" i="24" s="1"/>
  <c r="Y27" i="13"/>
  <c r="AB27" i="13" s="1"/>
  <c r="AF27" i="34" s="1"/>
  <c r="U27" i="24"/>
  <c r="U73" i="24" s="1"/>
  <c r="Y40" i="13"/>
  <c r="AB40" i="13" s="1"/>
  <c r="AF40" i="34" s="1"/>
  <c r="U40" i="24"/>
  <c r="U86" i="24" s="1"/>
  <c r="Y6" i="13"/>
  <c r="AB6" i="13" s="1"/>
  <c r="AF6" i="34" s="1"/>
  <c r="U6" i="24"/>
  <c r="U52" i="24" s="1"/>
  <c r="Y31" i="13"/>
  <c r="AB31" i="13" s="1"/>
  <c r="AF31" i="34" s="1"/>
  <c r="U31" i="24"/>
  <c r="U77" i="24" s="1"/>
  <c r="Y21" i="13"/>
  <c r="AB21" i="13" s="1"/>
  <c r="AF21" i="34" s="1"/>
  <c r="U21" i="24"/>
  <c r="U67" i="24" s="1"/>
  <c r="Y32" i="13"/>
  <c r="AB32" i="13" s="1"/>
  <c r="S22" i="28" s="1"/>
  <c r="U32" i="24"/>
  <c r="U78" i="24" s="1"/>
  <c r="Y26" i="13"/>
  <c r="AB26" i="13" s="1"/>
  <c r="S14" i="28" s="1"/>
  <c r="U26" i="24"/>
  <c r="U72" i="24" s="1"/>
  <c r="Y45" i="13"/>
  <c r="AB45" i="13" s="1"/>
  <c r="S33" i="28" s="1"/>
  <c r="U45" i="24"/>
  <c r="U91" i="24" s="1"/>
  <c r="Y11" i="13"/>
  <c r="AB11" i="13" s="1"/>
  <c r="AF11" i="34" s="1"/>
  <c r="U11" i="24"/>
  <c r="U57" i="24" s="1"/>
  <c r="AA584" i="16"/>
  <c r="AG584" i="16" s="1"/>
  <c r="AB49" i="13"/>
  <c r="AB49" i="12"/>
  <c r="AB49" i="11"/>
  <c r="AB49" i="10"/>
  <c r="Q47" i="12"/>
  <c r="AM67" i="6"/>
  <c r="AM65" i="9"/>
  <c r="AM65" i="8"/>
  <c r="AM65" i="7"/>
  <c r="X5" i="12"/>
  <c r="X5" i="13"/>
  <c r="AB47" i="11"/>
  <c r="Q47" i="13"/>
  <c r="AF33" i="34" l="1"/>
  <c r="AF24" i="34"/>
  <c r="AF34" i="34"/>
  <c r="S18" i="28"/>
  <c r="AF29" i="34"/>
  <c r="AF26" i="34"/>
  <c r="AF45" i="34"/>
  <c r="S19" i="28"/>
  <c r="AF30" i="34"/>
  <c r="S8" i="28"/>
  <c r="AF19" i="34"/>
  <c r="AF43" i="34"/>
  <c r="AF20" i="34"/>
  <c r="AF18" i="34"/>
  <c r="AF25" i="34"/>
  <c r="AF28" i="34"/>
  <c r="AF17" i="34"/>
  <c r="AF32" i="34"/>
  <c r="Y5" i="34"/>
  <c r="Y47" i="34" s="1"/>
  <c r="X47" i="34"/>
  <c r="AA186" i="16"/>
  <c r="G23" i="29"/>
  <c r="I23" i="29" s="1"/>
  <c r="G18" i="29"/>
  <c r="I18" i="29" s="1"/>
  <c r="G9" i="29"/>
  <c r="I9" i="29" s="1"/>
  <c r="G14" i="29"/>
  <c r="I14" i="29" s="1"/>
  <c r="AA266" i="16"/>
  <c r="AG266" i="16" s="1"/>
  <c r="G24" i="29"/>
  <c r="I24" i="29" s="1"/>
  <c r="G19" i="29"/>
  <c r="I19" i="29" s="1"/>
  <c r="AA222" i="17"/>
  <c r="AA511" i="16"/>
  <c r="AA731" i="16"/>
  <c r="AG731" i="16" s="1"/>
  <c r="AA230" i="17"/>
  <c r="AA109" i="16"/>
  <c r="AG109" i="16" s="1"/>
  <c r="AA756" i="16"/>
  <c r="AG756" i="16" s="1"/>
  <c r="AA200" i="16"/>
  <c r="L200" i="21" s="1"/>
  <c r="O200" i="21" s="1"/>
  <c r="AA250" i="16"/>
  <c r="AG250" i="16" s="1"/>
  <c r="AA743" i="16"/>
  <c r="AG743" i="16" s="1"/>
  <c r="AA233" i="17"/>
  <c r="AA722" i="16"/>
  <c r="AG722" i="16" s="1"/>
  <c r="AA241" i="17"/>
  <c r="AA265" i="16"/>
  <c r="AG265" i="16" s="1"/>
  <c r="AA168" i="16"/>
  <c r="AG168" i="16" s="1"/>
  <c r="AA717" i="16"/>
  <c r="AG717" i="16" s="1"/>
  <c r="AA205" i="16"/>
  <c r="AG205" i="16" s="1"/>
  <c r="AA49" i="17"/>
  <c r="K15" i="25"/>
  <c r="K14" i="25"/>
  <c r="H14" i="25"/>
  <c r="H15" i="25"/>
  <c r="AB63" i="8"/>
  <c r="C15" i="25"/>
  <c r="C14" i="25"/>
  <c r="AA452" i="16"/>
  <c r="AG452" i="16" s="1"/>
  <c r="S5" i="23"/>
  <c r="S67" i="23" s="1"/>
  <c r="S63" i="9"/>
  <c r="N7" i="25"/>
  <c r="N13" i="25" s="1"/>
  <c r="N11" i="25"/>
  <c r="N9" i="25"/>
  <c r="S7" i="28"/>
  <c r="S6" i="28"/>
  <c r="AA204" i="17"/>
  <c r="AA250" i="17"/>
  <c r="S28" i="28"/>
  <c r="AA715" i="16"/>
  <c r="AG715" i="16" s="1"/>
  <c r="AA195" i="17"/>
  <c r="AA705" i="16"/>
  <c r="AG705" i="16" s="1"/>
  <c r="AA710" i="16"/>
  <c r="AG710" i="16" s="1"/>
  <c r="AA203" i="17"/>
  <c r="S11" i="28"/>
  <c r="AA179" i="17"/>
  <c r="AA689" i="16"/>
  <c r="AG689" i="16" s="1"/>
  <c r="AA682" i="16"/>
  <c r="AG682" i="16" s="1"/>
  <c r="AA229" i="17"/>
  <c r="AA225" i="17"/>
  <c r="AA221" i="17"/>
  <c r="AA217" i="17"/>
  <c r="AA213" i="17"/>
  <c r="AA729" i="16"/>
  <c r="AG729" i="16" s="1"/>
  <c r="AA736" i="16"/>
  <c r="AG736" i="16" s="1"/>
  <c r="AA720" i="16"/>
  <c r="AG720" i="16" s="1"/>
  <c r="AA727" i="16"/>
  <c r="AG727" i="16" s="1"/>
  <c r="AA718" i="16"/>
  <c r="AG718" i="16" s="1"/>
  <c r="AA228" i="17"/>
  <c r="AA224" i="17"/>
  <c r="AA220" i="17"/>
  <c r="AA216" i="17"/>
  <c r="AA212" i="17"/>
  <c r="AA725" i="16"/>
  <c r="AG725" i="16" s="1"/>
  <c r="AA732" i="16"/>
  <c r="AG732" i="16" s="1"/>
  <c r="AA716" i="16"/>
  <c r="AG716" i="16" s="1"/>
  <c r="AA723" i="16"/>
  <c r="AG723" i="16" s="1"/>
  <c r="AA726" i="16"/>
  <c r="AG726" i="16" s="1"/>
  <c r="AA550" i="16"/>
  <c r="AG550" i="16" s="1"/>
  <c r="G22" i="28"/>
  <c r="G17" i="28"/>
  <c r="AA546" i="16"/>
  <c r="AG546" i="16" s="1"/>
  <c r="AA549" i="16"/>
  <c r="AG549" i="16" s="1"/>
  <c r="AA581" i="16"/>
  <c r="AG581" i="16" s="1"/>
  <c r="AA57" i="17"/>
  <c r="AA582" i="16"/>
  <c r="AG582" i="16" s="1"/>
  <c r="AA228" i="16"/>
  <c r="AG228" i="16" s="1"/>
  <c r="AA145" i="17"/>
  <c r="AA514" i="16"/>
  <c r="L514" i="21" s="1"/>
  <c r="O514" i="21" s="1"/>
  <c r="AA439" i="16"/>
  <c r="L439" i="21" s="1"/>
  <c r="O439" i="21" s="1"/>
  <c r="AA509" i="16"/>
  <c r="AG509" i="16" s="1"/>
  <c r="AA369" i="16"/>
  <c r="AG369" i="16" s="1"/>
  <c r="AA262" i="16"/>
  <c r="AG262" i="16" s="1"/>
  <c r="AA508" i="16"/>
  <c r="AG508" i="16" s="1"/>
  <c r="AA445" i="16"/>
  <c r="AG445" i="16" s="1"/>
  <c r="AA368" i="16"/>
  <c r="AG368" i="16" s="1"/>
  <c r="AA261" i="16"/>
  <c r="AG261" i="16" s="1"/>
  <c r="AA372" i="16"/>
  <c r="AG372" i="16" s="1"/>
  <c r="AA207" i="16"/>
  <c r="AG207" i="16" s="1"/>
  <c r="AA160" i="16"/>
  <c r="AG160" i="16" s="1"/>
  <c r="AA95" i="16"/>
  <c r="AG95" i="16" s="1"/>
  <c r="AA154" i="16"/>
  <c r="L154" i="21" s="1"/>
  <c r="O154" i="21" s="1"/>
  <c r="AA366" i="16"/>
  <c r="L366" i="21" s="1"/>
  <c r="O366" i="21" s="1"/>
  <c r="AA246" i="16"/>
  <c r="AG246" i="16" s="1"/>
  <c r="AA166" i="16"/>
  <c r="AG166" i="16" s="1"/>
  <c r="AA101" i="16"/>
  <c r="AG101" i="16" s="1"/>
  <c r="AA204" i="16"/>
  <c r="AG204" i="16" s="1"/>
  <c r="AA456" i="16"/>
  <c r="AG456" i="16" s="1"/>
  <c r="AA254" i="16"/>
  <c r="L254" i="21" s="1"/>
  <c r="O254" i="21" s="1"/>
  <c r="AA201" i="16"/>
  <c r="AG201" i="16" s="1"/>
  <c r="AA115" i="16"/>
  <c r="AG115" i="16" s="1"/>
  <c r="AA248" i="16"/>
  <c r="AG248" i="16" s="1"/>
  <c r="AA151" i="17"/>
  <c r="AA541" i="16"/>
  <c r="AG541" i="16" s="1"/>
  <c r="AA543" i="16"/>
  <c r="AG543" i="16" s="1"/>
  <c r="AA55" i="17"/>
  <c r="AA574" i="16"/>
  <c r="AG574" i="16" s="1"/>
  <c r="AA226" i="16"/>
  <c r="AG226" i="16" s="1"/>
  <c r="AA116" i="17"/>
  <c r="AA506" i="16"/>
  <c r="AG506" i="16" s="1"/>
  <c r="AA365" i="16"/>
  <c r="AG365" i="16" s="1"/>
  <c r="AA454" i="16"/>
  <c r="L454" i="21" s="1"/>
  <c r="O454" i="21" s="1"/>
  <c r="AA356" i="16"/>
  <c r="AG356" i="16" s="1"/>
  <c r="AA258" i="16"/>
  <c r="AG258" i="16" s="1"/>
  <c r="AA457" i="16"/>
  <c r="AG457" i="16" s="1"/>
  <c r="AA441" i="16"/>
  <c r="AG441" i="16" s="1"/>
  <c r="AA362" i="16"/>
  <c r="AG362" i="16" s="1"/>
  <c r="AA257" i="16"/>
  <c r="L257" i="21" s="1"/>
  <c r="O257" i="21" s="1"/>
  <c r="AA256" i="16"/>
  <c r="L256" i="21" s="1"/>
  <c r="O256" i="21" s="1"/>
  <c r="AA203" i="16"/>
  <c r="L203" i="21" s="1"/>
  <c r="O203" i="21" s="1"/>
  <c r="AA152" i="16"/>
  <c r="L152" i="21" s="1"/>
  <c r="O152" i="21" s="1"/>
  <c r="AA352" i="16"/>
  <c r="AG352" i="16" s="1"/>
  <c r="AA97" i="16"/>
  <c r="AG97" i="16" s="1"/>
  <c r="AA264" i="16"/>
  <c r="AG264" i="16" s="1"/>
  <c r="AA206" i="16"/>
  <c r="L206" i="21" s="1"/>
  <c r="O206" i="21" s="1"/>
  <c r="AA158" i="16"/>
  <c r="AG158" i="16" s="1"/>
  <c r="AA93" i="16"/>
  <c r="AG93" i="16" s="1"/>
  <c r="AA170" i="16"/>
  <c r="L170" i="21" s="1"/>
  <c r="O170" i="21" s="1"/>
  <c r="AA440" i="16"/>
  <c r="AG440" i="16" s="1"/>
  <c r="AA249" i="16"/>
  <c r="AG249" i="16" s="1"/>
  <c r="AA172" i="16"/>
  <c r="AG172" i="16" s="1"/>
  <c r="AA107" i="16"/>
  <c r="L107" i="21" s="1"/>
  <c r="O107" i="21" s="1"/>
  <c r="AA208" i="16"/>
  <c r="AG208" i="16" s="1"/>
  <c r="AA143" i="17"/>
  <c r="AA115" i="17"/>
  <c r="AA146" i="17"/>
  <c r="AA53" i="17"/>
  <c r="AA232" i="16"/>
  <c r="AG232" i="16" s="1"/>
  <c r="AA224" i="16"/>
  <c r="AG224" i="16" s="1"/>
  <c r="AA108" i="17"/>
  <c r="AA455" i="16"/>
  <c r="AG455" i="16" s="1"/>
  <c r="AA350" i="16"/>
  <c r="AG350" i="16" s="1"/>
  <c r="AA446" i="16"/>
  <c r="L446" i="21" s="1"/>
  <c r="O446" i="21" s="1"/>
  <c r="AA348" i="16"/>
  <c r="AG348" i="16" s="1"/>
  <c r="AA516" i="16"/>
  <c r="AG516" i="16" s="1"/>
  <c r="AA453" i="16"/>
  <c r="AG453" i="16" s="1"/>
  <c r="AA437" i="16"/>
  <c r="L437" i="21" s="1"/>
  <c r="O437" i="21" s="1"/>
  <c r="AA354" i="16"/>
  <c r="AG354" i="16" s="1"/>
  <c r="AA253" i="16"/>
  <c r="AG253" i="16" s="1"/>
  <c r="AA251" i="16"/>
  <c r="AG251" i="16" s="1"/>
  <c r="AA698" i="16"/>
  <c r="AG698" i="16" s="1"/>
  <c r="AA709" i="16"/>
  <c r="AG709" i="16" s="1"/>
  <c r="AA735" i="16"/>
  <c r="AG735" i="16" s="1"/>
  <c r="AA223" i="17"/>
  <c r="AA747" i="16"/>
  <c r="AG747" i="16" s="1"/>
  <c r="AA234" i="17"/>
  <c r="AA209" i="16"/>
  <c r="AG209" i="16" s="1"/>
  <c r="AA255" i="16"/>
  <c r="AG255" i="16" s="1"/>
  <c r="AA199" i="16"/>
  <c r="L199" i="21" s="1"/>
  <c r="O199" i="21" s="1"/>
  <c r="AA438" i="16"/>
  <c r="AG438" i="16" s="1"/>
  <c r="AA117" i="17"/>
  <c r="AA730" i="16"/>
  <c r="AG730" i="16" s="1"/>
  <c r="AA247" i="16"/>
  <c r="AG247" i="16" s="1"/>
  <c r="G21" i="28"/>
  <c r="G16" i="28"/>
  <c r="AA210" i="17"/>
  <c r="AA206" i="17"/>
  <c r="AA202" i="17"/>
  <c r="AA198" i="17"/>
  <c r="AA194" i="17"/>
  <c r="AA190" i="17"/>
  <c r="AA701" i="16"/>
  <c r="AG701" i="16" s="1"/>
  <c r="AA704" i="16"/>
  <c r="AG704" i="16" s="1"/>
  <c r="AA711" i="16"/>
  <c r="AG711" i="16" s="1"/>
  <c r="AA695" i="16"/>
  <c r="AG695" i="16" s="1"/>
  <c r="AA706" i="16"/>
  <c r="AG706" i="16" s="1"/>
  <c r="AA209" i="17"/>
  <c r="AA205" i="17"/>
  <c r="AA201" i="17"/>
  <c r="AA197" i="17"/>
  <c r="AA193" i="17"/>
  <c r="AA713" i="16"/>
  <c r="AG713" i="16" s="1"/>
  <c r="AA697" i="16"/>
  <c r="AG697" i="16" s="1"/>
  <c r="AA700" i="16"/>
  <c r="AG700" i="16" s="1"/>
  <c r="AA707" i="16"/>
  <c r="AG707" i="16" s="1"/>
  <c r="AA714" i="16"/>
  <c r="AG714" i="16" s="1"/>
  <c r="AA702" i="16"/>
  <c r="AG702" i="16" s="1"/>
  <c r="S25" i="28"/>
  <c r="S15" i="28"/>
  <c r="S20" i="28"/>
  <c r="AA252" i="17"/>
  <c r="AA248" i="17"/>
  <c r="AA244" i="17"/>
  <c r="AA240" i="17"/>
  <c r="AA236" i="17"/>
  <c r="AA232" i="17"/>
  <c r="AA745" i="16"/>
  <c r="AG745" i="16" s="1"/>
  <c r="AA752" i="16"/>
  <c r="AG752" i="16" s="1"/>
  <c r="AA755" i="16"/>
  <c r="AG755" i="16" s="1"/>
  <c r="AA739" i="16"/>
  <c r="AG739" i="16" s="1"/>
  <c r="AA738" i="16"/>
  <c r="AG738" i="16" s="1"/>
  <c r="AA251" i="17"/>
  <c r="AA247" i="17"/>
  <c r="AA243" i="17"/>
  <c r="AA239" i="17"/>
  <c r="AA235" i="17"/>
  <c r="AA757" i="16"/>
  <c r="AG757" i="16" s="1"/>
  <c r="AA741" i="16"/>
  <c r="AG741" i="16" s="1"/>
  <c r="AA748" i="16"/>
  <c r="AG748" i="16" s="1"/>
  <c r="AA751" i="16"/>
  <c r="AG751" i="16" s="1"/>
  <c r="AA746" i="16"/>
  <c r="AG746" i="16" s="1"/>
  <c r="AA750" i="16"/>
  <c r="AG750" i="16" s="1"/>
  <c r="AA696" i="16"/>
  <c r="AG696" i="16" s="1"/>
  <c r="AA196" i="17"/>
  <c r="AA734" i="16"/>
  <c r="AG734" i="16" s="1"/>
  <c r="AA721" i="16"/>
  <c r="AG721" i="16" s="1"/>
  <c r="AA215" i="17"/>
  <c r="AA231" i="17"/>
  <c r="AA737" i="16"/>
  <c r="L743" i="21" s="1"/>
  <c r="AA242" i="17"/>
  <c r="AA99" i="16"/>
  <c r="L99" i="21" s="1"/>
  <c r="O99" i="21" s="1"/>
  <c r="AA113" i="16"/>
  <c r="AG113" i="16" s="1"/>
  <c r="AA150" i="16"/>
  <c r="AG150" i="16" s="1"/>
  <c r="AA252" i="16"/>
  <c r="AG252" i="16" s="1"/>
  <c r="AA374" i="16"/>
  <c r="L374" i="21" s="1"/>
  <c r="O374" i="21" s="1"/>
  <c r="AA183" i="17"/>
  <c r="AA699" i="16"/>
  <c r="AG699" i="16" s="1"/>
  <c r="AA708" i="16"/>
  <c r="AG708" i="16" s="1"/>
  <c r="AA191" i="17"/>
  <c r="AA199" i="17"/>
  <c r="AA207" i="17"/>
  <c r="AA724" i="16"/>
  <c r="AG724" i="16" s="1"/>
  <c r="AA733" i="16"/>
  <c r="AG733" i="16" s="1"/>
  <c r="AA218" i="17"/>
  <c r="AA226" i="17"/>
  <c r="AA754" i="16"/>
  <c r="AG754" i="16" s="1"/>
  <c r="AA740" i="16"/>
  <c r="AG740" i="16" s="1"/>
  <c r="AA749" i="16"/>
  <c r="AG749" i="16" s="1"/>
  <c r="AA237" i="17"/>
  <c r="AA245" i="17"/>
  <c r="AA105" i="16"/>
  <c r="AG105" i="16" s="1"/>
  <c r="AA156" i="16"/>
  <c r="AG156" i="16" s="1"/>
  <c r="AA260" i="16"/>
  <c r="AG260" i="16" s="1"/>
  <c r="AA259" i="16"/>
  <c r="L259" i="21" s="1"/>
  <c r="O259" i="21" s="1"/>
  <c r="AA198" i="16"/>
  <c r="AG198" i="16" s="1"/>
  <c r="AA444" i="16"/>
  <c r="L444" i="21" s="1"/>
  <c r="O444" i="21" s="1"/>
  <c r="AA103" i="16"/>
  <c r="AG103" i="16" s="1"/>
  <c r="AA449" i="16"/>
  <c r="L449" i="21" s="1"/>
  <c r="O449" i="21" s="1"/>
  <c r="AA517" i="16"/>
  <c r="L585" i="21" s="1"/>
  <c r="AA222" i="16"/>
  <c r="AG222" i="16" s="1"/>
  <c r="AA107" i="17"/>
  <c r="AA703" i="16"/>
  <c r="AG703" i="16" s="1"/>
  <c r="AA712" i="16"/>
  <c r="AG712" i="16" s="1"/>
  <c r="AA192" i="17"/>
  <c r="AA200" i="17"/>
  <c r="AA208" i="17"/>
  <c r="AA719" i="16"/>
  <c r="AG719" i="16" s="1"/>
  <c r="AA728" i="16"/>
  <c r="AG728" i="16" s="1"/>
  <c r="AA211" i="17"/>
  <c r="AA219" i="17"/>
  <c r="AA227" i="17"/>
  <c r="AA742" i="16"/>
  <c r="AG742" i="16" s="1"/>
  <c r="AA744" i="16"/>
  <c r="AG744" i="16" s="1"/>
  <c r="AA753" i="16"/>
  <c r="AG753" i="16" s="1"/>
  <c r="AA238" i="17"/>
  <c r="AA246" i="17"/>
  <c r="AA162" i="16"/>
  <c r="L162" i="21" s="1"/>
  <c r="O162" i="21" s="1"/>
  <c r="AA164" i="16"/>
  <c r="AG164" i="16" s="1"/>
  <c r="AA360" i="16"/>
  <c r="AG360" i="16" s="1"/>
  <c r="AA507" i="16"/>
  <c r="AG507" i="16" s="1"/>
  <c r="AA202" i="16"/>
  <c r="L202" i="21" s="1"/>
  <c r="O202" i="21" s="1"/>
  <c r="AA515" i="16"/>
  <c r="AG515" i="16" s="1"/>
  <c r="AA111" i="16"/>
  <c r="AG111" i="16" s="1"/>
  <c r="AA448" i="16"/>
  <c r="AG448" i="16" s="1"/>
  <c r="AA512" i="16"/>
  <c r="AG512" i="16" s="1"/>
  <c r="AA447" i="16"/>
  <c r="L447" i="21" s="1"/>
  <c r="O447" i="21" s="1"/>
  <c r="AA230" i="16"/>
  <c r="AG230" i="16" s="1"/>
  <c r="AA579" i="16"/>
  <c r="AG579" i="16" s="1"/>
  <c r="AA639" i="16"/>
  <c r="L639" i="21" s="1"/>
  <c r="O639" i="21" s="1"/>
  <c r="S5" i="28"/>
  <c r="AA54" i="16"/>
  <c r="AG54" i="16" s="1"/>
  <c r="G6" i="28"/>
  <c r="G11" i="28"/>
  <c r="AA271" i="17"/>
  <c r="S21" i="28"/>
  <c r="S16" i="28"/>
  <c r="S26" i="28"/>
  <c r="AA836" i="16"/>
  <c r="AG836" i="16" s="1"/>
  <c r="S29" i="28"/>
  <c r="AA673" i="16"/>
  <c r="AG673" i="16" s="1"/>
  <c r="S9" i="28"/>
  <c r="AA293" i="17"/>
  <c r="S31" i="28"/>
  <c r="AA854" i="16"/>
  <c r="AG854" i="16" s="1"/>
  <c r="S27" i="28"/>
  <c r="AA981" i="16"/>
  <c r="AG981" i="16" s="1"/>
  <c r="S32" i="28"/>
  <c r="AA429" i="16"/>
  <c r="L429" i="21" s="1"/>
  <c r="O429" i="21" s="1"/>
  <c r="AA121" i="16"/>
  <c r="L121" i="21" s="1"/>
  <c r="O121" i="21" s="1"/>
  <c r="AA684" i="16"/>
  <c r="AG684" i="16" s="1"/>
  <c r="AA187" i="17"/>
  <c r="AA298" i="16"/>
  <c r="AG298" i="16" s="1"/>
  <c r="AA493" i="16"/>
  <c r="AG493" i="16" s="1"/>
  <c r="AA496" i="16"/>
  <c r="AG496" i="16" s="1"/>
  <c r="AA486" i="16"/>
  <c r="L486" i="21" s="1"/>
  <c r="O486" i="21" s="1"/>
  <c r="AA190" i="16"/>
  <c r="AG190" i="16" s="1"/>
  <c r="AA311" i="16"/>
  <c r="AG311" i="16" s="1"/>
  <c r="AA301" i="16"/>
  <c r="AG301" i="16" s="1"/>
  <c r="AA213" i="16"/>
  <c r="L213" i="21" s="1"/>
  <c r="O213" i="21" s="1"/>
  <c r="AA176" i="16"/>
  <c r="AG176" i="16" s="1"/>
  <c r="AA304" i="16"/>
  <c r="AG304" i="16" s="1"/>
  <c r="AA618" i="16"/>
  <c r="L618" i="21" s="1"/>
  <c r="O618" i="21" s="1"/>
  <c r="AA139" i="16"/>
  <c r="AG139" i="16" s="1"/>
  <c r="AA125" i="16"/>
  <c r="AG125" i="16" s="1"/>
  <c r="AA491" i="16"/>
  <c r="AG491" i="16" s="1"/>
  <c r="AA295" i="16"/>
  <c r="AG295" i="16" s="1"/>
  <c r="AA536" i="16"/>
  <c r="L536" i="21" s="1"/>
  <c r="O536" i="21" s="1"/>
  <c r="AA533" i="16"/>
  <c r="AG533" i="16" s="1"/>
  <c r="AA502" i="16"/>
  <c r="AG502" i="16" s="1"/>
  <c r="AA417" i="16"/>
  <c r="AG417" i="16" s="1"/>
  <c r="AA306" i="16"/>
  <c r="AG306" i="16" s="1"/>
  <c r="AA215" i="16"/>
  <c r="AG215" i="16" s="1"/>
  <c r="AA431" i="16"/>
  <c r="AG431" i="16" s="1"/>
  <c r="AA426" i="16"/>
  <c r="AG426" i="16" s="1"/>
  <c r="AA415" i="16"/>
  <c r="AG415" i="16" s="1"/>
  <c r="AA617" i="16"/>
  <c r="AG617" i="16" s="1"/>
  <c r="AA813" i="16"/>
  <c r="AG813" i="16" s="1"/>
  <c r="AA123" i="16"/>
  <c r="AG123" i="16" s="1"/>
  <c r="AA221" i="16"/>
  <c r="AG221" i="16" s="1"/>
  <c r="AA435" i="16"/>
  <c r="AG435" i="16" s="1"/>
  <c r="AA214" i="16"/>
  <c r="AG214" i="16" s="1"/>
  <c r="AA212" i="16"/>
  <c r="AG212" i="16" s="1"/>
  <c r="AA192" i="16"/>
  <c r="L192" i="21" s="1"/>
  <c r="O192" i="21" s="1"/>
  <c r="AA503" i="16"/>
  <c r="AG503" i="16" s="1"/>
  <c r="AA419" i="16"/>
  <c r="AA504" i="16"/>
  <c r="AG504" i="16" s="1"/>
  <c r="AA413" i="16"/>
  <c r="AG413" i="16" s="1"/>
  <c r="AA501" i="16"/>
  <c r="AG501" i="16" s="1"/>
  <c r="AA309" i="16"/>
  <c r="AG309" i="16" s="1"/>
  <c r="AA494" i="16"/>
  <c r="AG494" i="16" s="1"/>
  <c r="AA612" i="16"/>
  <c r="AG612" i="16" s="1"/>
  <c r="AA686" i="16"/>
  <c r="AG686" i="16" s="1"/>
  <c r="AA692" i="16"/>
  <c r="AG692" i="16" s="1"/>
  <c r="AA181" i="17"/>
  <c r="AA189" i="17"/>
  <c r="AA194" i="16"/>
  <c r="AG194" i="16" s="1"/>
  <c r="AA188" i="16"/>
  <c r="AG188" i="16" s="1"/>
  <c r="AA539" i="16"/>
  <c r="AG539" i="16" s="1"/>
  <c r="AA174" i="16"/>
  <c r="AG174" i="16" s="1"/>
  <c r="AA483" i="16"/>
  <c r="AG483" i="16" s="1"/>
  <c r="AA127" i="16"/>
  <c r="AG127" i="16" s="1"/>
  <c r="AA294" i="16"/>
  <c r="AG294" i="16" s="1"/>
  <c r="AA303" i="16"/>
  <c r="AG303" i="16" s="1"/>
  <c r="AA488" i="16"/>
  <c r="L488" i="21" s="1"/>
  <c r="O488" i="21" s="1"/>
  <c r="AA296" i="16"/>
  <c r="AG296" i="16" s="1"/>
  <c r="AA485" i="16"/>
  <c r="AG485" i="16" s="1"/>
  <c r="AA293" i="16"/>
  <c r="AG293" i="16" s="1"/>
  <c r="AA428" i="16"/>
  <c r="AG428" i="16" s="1"/>
  <c r="AA534" i="16"/>
  <c r="AG534" i="16" s="1"/>
  <c r="AA842" i="16"/>
  <c r="L842" i="21" s="1"/>
  <c r="O842" i="21" s="1"/>
  <c r="AA687" i="16"/>
  <c r="AG687" i="16" s="1"/>
  <c r="AA177" i="17"/>
  <c r="AA185" i="17"/>
  <c r="AA544" i="16"/>
  <c r="AG544" i="16" s="1"/>
  <c r="AA51" i="17"/>
  <c r="AA109" i="17"/>
  <c r="AA551" i="16"/>
  <c r="AG551" i="16" s="1"/>
  <c r="AA144" i="17"/>
  <c r="AA110" i="17"/>
  <c r="AA576" i="16"/>
  <c r="AG576" i="16" s="1"/>
  <c r="AA610" i="16"/>
  <c r="AG610" i="16" s="1"/>
  <c r="AA615" i="16"/>
  <c r="L615" i="21" s="1"/>
  <c r="O615" i="21" s="1"/>
  <c r="AA620" i="16"/>
  <c r="AG620" i="16" s="1"/>
  <c r="AA850" i="16"/>
  <c r="AG850" i="16" s="1"/>
  <c r="AA847" i="16"/>
  <c r="L847" i="21" s="1"/>
  <c r="O847" i="21" s="1"/>
  <c r="AA375" i="16"/>
  <c r="L375" i="21" s="1"/>
  <c r="O375" i="21" s="1"/>
  <c r="AA450" i="16"/>
  <c r="AG450" i="16" s="1"/>
  <c r="AA513" i="16"/>
  <c r="L513" i="21" s="1"/>
  <c r="O513" i="21" s="1"/>
  <c r="AA358" i="16"/>
  <c r="AG358" i="16" s="1"/>
  <c r="AA443" i="16"/>
  <c r="L443" i="21" s="1"/>
  <c r="O443" i="21" s="1"/>
  <c r="AA459" i="16"/>
  <c r="AG459" i="16" s="1"/>
  <c r="AA129" i="16"/>
  <c r="L129" i="21" s="1"/>
  <c r="O129" i="21" s="1"/>
  <c r="AA535" i="16"/>
  <c r="AG535" i="16" s="1"/>
  <c r="AA180" i="16"/>
  <c r="AG180" i="16" s="1"/>
  <c r="AA217" i="16"/>
  <c r="AG217" i="16" s="1"/>
  <c r="AA495" i="16"/>
  <c r="AG495" i="16" s="1"/>
  <c r="AA216" i="16"/>
  <c r="L216" i="21" s="1"/>
  <c r="O216" i="21" s="1"/>
  <c r="AA133" i="16"/>
  <c r="AG133" i="16" s="1"/>
  <c r="AA210" i="16"/>
  <c r="AG210" i="16" s="1"/>
  <c r="AA423" i="16"/>
  <c r="AG423" i="16" s="1"/>
  <c r="AA178" i="16"/>
  <c r="AA119" i="16"/>
  <c r="AG119" i="16" s="1"/>
  <c r="AA184" i="16"/>
  <c r="AG184" i="16" s="1"/>
  <c r="AA219" i="16"/>
  <c r="AG219" i="16" s="1"/>
  <c r="AA487" i="16"/>
  <c r="AG487" i="16" s="1"/>
  <c r="AA299" i="16"/>
  <c r="AG299" i="16" s="1"/>
  <c r="AA411" i="16"/>
  <c r="AG411" i="16" s="1"/>
  <c r="AA484" i="16"/>
  <c r="AG484" i="16" s="1"/>
  <c r="AA500" i="16"/>
  <c r="L500" i="21" s="1"/>
  <c r="O500" i="21" s="1"/>
  <c r="AA540" i="16"/>
  <c r="L601" i="21" s="1"/>
  <c r="AA308" i="16"/>
  <c r="AG308" i="16" s="1"/>
  <c r="AA432" i="16"/>
  <c r="L432" i="21" s="1"/>
  <c r="O432" i="21" s="1"/>
  <c r="AA497" i="16"/>
  <c r="AG497" i="16" s="1"/>
  <c r="AA537" i="16"/>
  <c r="AA305" i="16"/>
  <c r="L305" i="21" s="1"/>
  <c r="O305" i="21" s="1"/>
  <c r="AA422" i="16"/>
  <c r="AG422" i="16" s="1"/>
  <c r="AA490" i="16"/>
  <c r="AG490" i="16" s="1"/>
  <c r="AA530" i="16"/>
  <c r="AG530" i="16" s="1"/>
  <c r="AA614" i="16"/>
  <c r="L614" i="21" s="1"/>
  <c r="O614" i="21" s="1"/>
  <c r="AA619" i="16"/>
  <c r="L619" i="21" s="1"/>
  <c r="O619" i="21" s="1"/>
  <c r="AA613" i="16"/>
  <c r="AA806" i="16"/>
  <c r="L806" i="21" s="1"/>
  <c r="O806" i="21" s="1"/>
  <c r="AA804" i="16"/>
  <c r="L804" i="21" s="1"/>
  <c r="O804" i="21" s="1"/>
  <c r="AA694" i="16"/>
  <c r="AG694" i="16" s="1"/>
  <c r="AA691" i="16"/>
  <c r="AG691" i="16" s="1"/>
  <c r="AA685" i="16"/>
  <c r="AG685" i="16" s="1"/>
  <c r="AA178" i="17"/>
  <c r="AA182" i="17"/>
  <c r="AA186" i="17"/>
  <c r="AA47" i="17"/>
  <c r="AA141" i="17"/>
  <c r="AA223" i="16"/>
  <c r="AG223" i="16" s="1"/>
  <c r="AA227" i="16"/>
  <c r="AG227" i="16" s="1"/>
  <c r="AA231" i="16"/>
  <c r="AG231" i="16" s="1"/>
  <c r="AA548" i="16"/>
  <c r="AG548" i="16" s="1"/>
  <c r="AA48" i="17"/>
  <c r="AA52" i="17"/>
  <c r="AA56" i="17"/>
  <c r="AA113" i="17"/>
  <c r="AA150" i="17"/>
  <c r="AA577" i="16"/>
  <c r="AG577" i="16" s="1"/>
  <c r="AA111" i="17"/>
  <c r="AA148" i="17"/>
  <c r="AA575" i="16"/>
  <c r="AG575" i="16" s="1"/>
  <c r="AA114" i="17"/>
  <c r="AA542" i="16"/>
  <c r="AG542" i="16" s="1"/>
  <c r="AA580" i="16"/>
  <c r="AG580" i="16" s="1"/>
  <c r="AA363" i="16"/>
  <c r="AG363" i="16" s="1"/>
  <c r="AA442" i="16"/>
  <c r="L442" i="21" s="1"/>
  <c r="O442" i="21" s="1"/>
  <c r="AA458" i="16"/>
  <c r="L458" i="21" s="1"/>
  <c r="O458" i="21" s="1"/>
  <c r="AA263" i="16"/>
  <c r="AG263" i="16" s="1"/>
  <c r="AA371" i="16"/>
  <c r="AG371" i="16" s="1"/>
  <c r="AA451" i="16"/>
  <c r="L451" i="21" s="1"/>
  <c r="O451" i="21" s="1"/>
  <c r="AA510" i="16"/>
  <c r="AG510" i="16" s="1"/>
  <c r="AA220" i="16"/>
  <c r="AG220" i="16" s="1"/>
  <c r="AA131" i="16"/>
  <c r="AG131" i="16" s="1"/>
  <c r="AA196" i="16"/>
  <c r="AG196" i="16" s="1"/>
  <c r="AA302" i="16"/>
  <c r="AG302" i="16" s="1"/>
  <c r="AA137" i="16"/>
  <c r="AG137" i="16" s="1"/>
  <c r="AA117" i="16"/>
  <c r="AG117" i="16" s="1"/>
  <c r="AA182" i="16"/>
  <c r="L182" i="21" s="1"/>
  <c r="O182" i="21" s="1"/>
  <c r="AA218" i="16"/>
  <c r="AG218" i="16" s="1"/>
  <c r="AA499" i="16"/>
  <c r="AG499" i="16" s="1"/>
  <c r="AA409" i="16"/>
  <c r="AG409" i="16" s="1"/>
  <c r="AA135" i="16"/>
  <c r="AG135" i="16" s="1"/>
  <c r="AA211" i="16"/>
  <c r="AA310" i="16"/>
  <c r="AG310" i="16" s="1"/>
  <c r="AA531" i="16"/>
  <c r="L531" i="21" s="1"/>
  <c r="O531" i="21" s="1"/>
  <c r="AA307" i="16"/>
  <c r="AA425" i="16"/>
  <c r="L425" i="21" s="1"/>
  <c r="O425" i="21" s="1"/>
  <c r="AA492" i="16"/>
  <c r="L492" i="21" s="1"/>
  <c r="O492" i="21" s="1"/>
  <c r="AA532" i="16"/>
  <c r="AG532" i="16" s="1"/>
  <c r="AA300" i="16"/>
  <c r="L300" i="21" s="1"/>
  <c r="O300" i="21" s="1"/>
  <c r="AA420" i="16"/>
  <c r="AG420" i="16" s="1"/>
  <c r="AA489" i="16"/>
  <c r="AG489" i="16" s="1"/>
  <c r="AA505" i="16"/>
  <c r="AG505" i="16" s="1"/>
  <c r="AA297" i="16"/>
  <c r="AG297" i="16" s="1"/>
  <c r="AA407" i="16"/>
  <c r="AA434" i="16"/>
  <c r="L434" i="21" s="1"/>
  <c r="O434" i="21" s="1"/>
  <c r="AA498" i="16"/>
  <c r="AG498" i="16" s="1"/>
  <c r="AA538" i="16"/>
  <c r="L538" i="21" s="1"/>
  <c r="O538" i="21" s="1"/>
  <c r="AA611" i="16"/>
  <c r="AG611" i="16" s="1"/>
  <c r="AA616" i="16"/>
  <c r="AG616" i="16" s="1"/>
  <c r="AA621" i="16"/>
  <c r="AG621" i="16" s="1"/>
  <c r="AA815" i="16"/>
  <c r="AG815" i="16" s="1"/>
  <c r="AA690" i="16"/>
  <c r="AG690" i="16" s="1"/>
  <c r="AA683" i="16"/>
  <c r="AG683" i="16" s="1"/>
  <c r="AA688" i="16"/>
  <c r="AG688" i="16" s="1"/>
  <c r="AA693" i="16"/>
  <c r="AG693" i="16" s="1"/>
  <c r="AA180" i="17"/>
  <c r="AA184" i="17"/>
  <c r="AA188" i="17"/>
  <c r="AA112" i="17"/>
  <c r="AA149" i="17"/>
  <c r="AA225" i="16"/>
  <c r="AG225" i="16" s="1"/>
  <c r="AA229" i="16"/>
  <c r="AG229" i="16" s="1"/>
  <c r="AA233" i="16"/>
  <c r="AG233" i="16" s="1"/>
  <c r="AA578" i="16"/>
  <c r="AG578" i="16" s="1"/>
  <c r="AA50" i="17"/>
  <c r="AA54" i="17"/>
  <c r="AA58" i="17"/>
  <c r="AA142" i="17"/>
  <c r="AA547" i="16"/>
  <c r="AG547" i="16" s="1"/>
  <c r="AA585" i="16"/>
  <c r="AG585" i="16" s="1"/>
  <c r="AA140" i="17"/>
  <c r="AA545" i="16"/>
  <c r="AG545" i="16" s="1"/>
  <c r="AA583" i="16"/>
  <c r="AG583" i="16" s="1"/>
  <c r="AA147" i="17"/>
  <c r="AA240" i="16"/>
  <c r="AG240" i="16" s="1"/>
  <c r="AA807" i="16"/>
  <c r="L807" i="21" s="1"/>
  <c r="O807" i="21" s="1"/>
  <c r="AA848" i="16"/>
  <c r="AG848" i="16" s="1"/>
  <c r="AA846" i="16"/>
  <c r="AG846" i="16" s="1"/>
  <c r="AA803" i="16"/>
  <c r="AG803" i="16" s="1"/>
  <c r="AA843" i="16"/>
  <c r="L843" i="21" s="1"/>
  <c r="O843" i="21" s="1"/>
  <c r="AA812" i="16"/>
  <c r="AG812" i="16" s="1"/>
  <c r="AA845" i="16"/>
  <c r="AG845" i="16" s="1"/>
  <c r="AA814" i="16"/>
  <c r="L814" i="21" s="1"/>
  <c r="O814" i="21" s="1"/>
  <c r="AA810" i="16"/>
  <c r="AG810" i="16" s="1"/>
  <c r="AA811" i="16"/>
  <c r="AG811" i="16" s="1"/>
  <c r="AA851" i="16"/>
  <c r="AG851" i="16" s="1"/>
  <c r="AA805" i="16"/>
  <c r="L805" i="21" s="1"/>
  <c r="O805" i="21" s="1"/>
  <c r="AA601" i="16"/>
  <c r="AG601" i="16" s="1"/>
  <c r="AA844" i="16"/>
  <c r="AG844" i="16" s="1"/>
  <c r="AA809" i="16"/>
  <c r="AG809" i="16" s="1"/>
  <c r="AA849" i="16"/>
  <c r="AA59" i="17"/>
  <c r="AA881" i="16"/>
  <c r="AG881" i="16" s="1"/>
  <c r="AA808" i="16"/>
  <c r="AG808" i="16" s="1"/>
  <c r="AA852" i="16"/>
  <c r="AA841" i="16"/>
  <c r="AG841" i="16" s="1"/>
  <c r="AA70" i="17"/>
  <c r="AA62" i="17"/>
  <c r="AA987" i="16"/>
  <c r="AG987" i="16" s="1"/>
  <c r="AA782" i="16"/>
  <c r="AG782" i="16" s="1"/>
  <c r="AA799" i="16"/>
  <c r="AG799" i="16" s="1"/>
  <c r="AA598" i="16"/>
  <c r="AG598" i="16" s="1"/>
  <c r="AA136" i="17"/>
  <c r="AA255" i="17"/>
  <c r="AA878" i="16"/>
  <c r="L878" i="21" s="1"/>
  <c r="O878" i="21" s="1"/>
  <c r="AA955" i="16"/>
  <c r="AG955" i="16" s="1"/>
  <c r="AA169" i="17"/>
  <c r="AA569" i="16"/>
  <c r="AG569" i="16" s="1"/>
  <c r="AA572" i="16"/>
  <c r="AG572" i="16" s="1"/>
  <c r="B14" i="26"/>
  <c r="AA238" i="16"/>
  <c r="AG238" i="16" s="1"/>
  <c r="AA66" i="17"/>
  <c r="AA567" i="16"/>
  <c r="AG567" i="16" s="1"/>
  <c r="AA608" i="16"/>
  <c r="AG608" i="16" s="1"/>
  <c r="U5" i="24"/>
  <c r="U51" i="24" s="1"/>
  <c r="K9" i="26" s="1"/>
  <c r="AA131" i="17"/>
  <c r="AA137" i="17"/>
  <c r="AA243" i="16"/>
  <c r="AG243" i="16" s="1"/>
  <c r="AA170" i="17"/>
  <c r="AA168" i="17"/>
  <c r="AA167" i="17"/>
  <c r="AA641" i="16"/>
  <c r="L641" i="21" s="1"/>
  <c r="O641" i="21" s="1"/>
  <c r="AA640" i="16"/>
  <c r="AG640" i="16" s="1"/>
  <c r="AA635" i="16"/>
  <c r="AG635" i="16" s="1"/>
  <c r="AA637" i="16"/>
  <c r="AG637" i="16" s="1"/>
  <c r="AA645" i="16"/>
  <c r="L645" i="21" s="1"/>
  <c r="O645" i="21" s="1"/>
  <c r="AA636" i="16"/>
  <c r="AG636" i="16" s="1"/>
  <c r="AA634" i="16"/>
  <c r="AG634" i="16" s="1"/>
  <c r="AA643" i="16"/>
  <c r="AG643" i="16" s="1"/>
  <c r="AA638" i="16"/>
  <c r="AG638" i="16" s="1"/>
  <c r="AA52" i="16"/>
  <c r="L52" i="21" s="1"/>
  <c r="O52" i="21" s="1"/>
  <c r="AA51" i="16"/>
  <c r="L51" i="21" s="1"/>
  <c r="O51" i="21" s="1"/>
  <c r="AA62" i="16"/>
  <c r="AG62" i="16" s="1"/>
  <c r="AA57" i="16"/>
  <c r="AG57" i="16" s="1"/>
  <c r="AA2" i="16"/>
  <c r="AG2" i="16" s="1"/>
  <c r="AA61" i="16"/>
  <c r="AG61" i="16" s="1"/>
  <c r="AA58" i="16"/>
  <c r="AG58" i="16" s="1"/>
  <c r="AA55" i="16"/>
  <c r="AG55" i="16" s="1"/>
  <c r="AA4" i="16"/>
  <c r="AG4" i="16" s="1"/>
  <c r="AA60" i="16"/>
  <c r="L60" i="21" s="1"/>
  <c r="O60" i="21" s="1"/>
  <c r="AA53" i="16"/>
  <c r="AG53" i="16" s="1"/>
  <c r="AA56" i="16"/>
  <c r="L56" i="21" s="1"/>
  <c r="O56" i="21" s="1"/>
  <c r="AA3" i="16"/>
  <c r="L3" i="21" s="1"/>
  <c r="O3" i="21" s="1"/>
  <c r="AA966" i="16"/>
  <c r="AG966" i="16" s="1"/>
  <c r="AA973" i="16"/>
  <c r="AG973" i="16" s="1"/>
  <c r="AA289" i="17"/>
  <c r="AA967" i="16"/>
  <c r="AG967" i="16" s="1"/>
  <c r="AA972" i="16"/>
  <c r="AG972" i="16" s="1"/>
  <c r="AA290" i="17"/>
  <c r="AA957" i="16"/>
  <c r="AG957" i="16" s="1"/>
  <c r="AA941" i="16"/>
  <c r="L941" i="21" s="1"/>
  <c r="O941" i="21" s="1"/>
  <c r="AA925" i="16"/>
  <c r="AG925" i="16" s="1"/>
  <c r="AA909" i="16"/>
  <c r="L909" i="21" s="1"/>
  <c r="O909" i="21" s="1"/>
  <c r="AA893" i="16"/>
  <c r="L893" i="21" s="1"/>
  <c r="O893" i="21" s="1"/>
  <c r="AA877" i="16"/>
  <c r="AG877" i="16" s="1"/>
  <c r="AA960" i="16"/>
  <c r="AG960" i="16" s="1"/>
  <c r="AA944" i="16"/>
  <c r="AG944" i="16" s="1"/>
  <c r="AA928" i="16"/>
  <c r="AG928" i="16" s="1"/>
  <c r="AA912" i="16"/>
  <c r="AG912" i="16" s="1"/>
  <c r="AA896" i="16"/>
  <c r="AG896" i="16" s="1"/>
  <c r="AA880" i="16"/>
  <c r="AG880" i="16" s="1"/>
  <c r="AA951" i="16"/>
  <c r="AG951" i="16" s="1"/>
  <c r="AA935" i="16"/>
  <c r="L935" i="21" s="1"/>
  <c r="O935" i="21" s="1"/>
  <c r="AA919" i="16"/>
  <c r="AG919" i="16" s="1"/>
  <c r="AA903" i="16"/>
  <c r="AG903" i="16" s="1"/>
  <c r="AA887" i="16"/>
  <c r="AG887" i="16" s="1"/>
  <c r="AA871" i="16"/>
  <c r="AA938" i="16"/>
  <c r="AG938" i="16" s="1"/>
  <c r="AA874" i="16"/>
  <c r="AG874" i="16" s="1"/>
  <c r="AA950" i="16"/>
  <c r="AG950" i="16" s="1"/>
  <c r="AA886" i="16"/>
  <c r="AG886" i="16" s="1"/>
  <c r="AA962" i="16"/>
  <c r="L962" i="21" s="1"/>
  <c r="O962" i="21" s="1"/>
  <c r="AA898" i="16"/>
  <c r="AG898" i="16" s="1"/>
  <c r="AA296" i="17"/>
  <c r="AA969" i="16"/>
  <c r="AG969" i="16" s="1"/>
  <c r="AA285" i="17"/>
  <c r="AA295" i="17"/>
  <c r="AA968" i="16"/>
  <c r="AG968" i="16" s="1"/>
  <c r="AA286" i="17"/>
  <c r="AA953" i="16"/>
  <c r="AG953" i="16" s="1"/>
  <c r="AA937" i="16"/>
  <c r="AG937" i="16" s="1"/>
  <c r="AA921" i="16"/>
  <c r="AG921" i="16" s="1"/>
  <c r="AA905" i="16"/>
  <c r="AG905" i="16" s="1"/>
  <c r="AA889" i="16"/>
  <c r="AG889" i="16" s="1"/>
  <c r="AA873" i="16"/>
  <c r="AG873" i="16" s="1"/>
  <c r="AA956" i="16"/>
  <c r="AG956" i="16" s="1"/>
  <c r="AA940" i="16"/>
  <c r="AG940" i="16" s="1"/>
  <c r="AA924" i="16"/>
  <c r="AG924" i="16" s="1"/>
  <c r="AA908" i="16"/>
  <c r="AG908" i="16" s="1"/>
  <c r="AA892" i="16"/>
  <c r="AG892" i="16" s="1"/>
  <c r="AA876" i="16"/>
  <c r="AG876" i="16" s="1"/>
  <c r="AA963" i="16"/>
  <c r="AA947" i="16"/>
  <c r="L947" i="21" s="1"/>
  <c r="O947" i="21" s="1"/>
  <c r="AA931" i="16"/>
  <c r="AG931" i="16" s="1"/>
  <c r="AA915" i="16"/>
  <c r="AG915" i="16" s="1"/>
  <c r="AA899" i="16"/>
  <c r="AG899" i="16" s="1"/>
  <c r="AA883" i="16"/>
  <c r="L883" i="21" s="1"/>
  <c r="O883" i="21" s="1"/>
  <c r="AA867" i="16"/>
  <c r="AG867" i="16" s="1"/>
  <c r="AA922" i="16"/>
  <c r="AG922" i="16" s="1"/>
  <c r="AA958" i="16"/>
  <c r="L958" i="21" s="1"/>
  <c r="O958" i="21" s="1"/>
  <c r="AA934" i="16"/>
  <c r="L934" i="21" s="1"/>
  <c r="O934" i="21" s="1"/>
  <c r="AA870" i="16"/>
  <c r="AG870" i="16" s="1"/>
  <c r="AA946" i="16"/>
  <c r="AG946" i="16" s="1"/>
  <c r="AA882" i="16"/>
  <c r="AG882" i="16" s="1"/>
  <c r="AA292" i="17"/>
  <c r="AA975" i="16"/>
  <c r="AG975" i="16" s="1"/>
  <c r="AA964" i="16"/>
  <c r="AG964" i="16" s="1"/>
  <c r="AA933" i="16"/>
  <c r="AG933" i="16" s="1"/>
  <c r="AA901" i="16"/>
  <c r="L901" i="21" s="1"/>
  <c r="O901" i="21" s="1"/>
  <c r="AA869" i="16"/>
  <c r="AG869" i="16" s="1"/>
  <c r="AA936" i="16"/>
  <c r="AA904" i="16"/>
  <c r="AG904" i="16" s="1"/>
  <c r="AA872" i="16"/>
  <c r="AG872" i="16" s="1"/>
  <c r="AA943" i="16"/>
  <c r="L943" i="21" s="1"/>
  <c r="O943" i="21" s="1"/>
  <c r="AA911" i="16"/>
  <c r="AG911" i="16" s="1"/>
  <c r="AA879" i="16"/>
  <c r="L879" i="21" s="1"/>
  <c r="O879" i="21" s="1"/>
  <c r="AA906" i="16"/>
  <c r="L906" i="21" s="1"/>
  <c r="O906" i="21" s="1"/>
  <c r="AA918" i="16"/>
  <c r="L918" i="21" s="1"/>
  <c r="O918" i="21" s="1"/>
  <c r="AA930" i="16"/>
  <c r="AG930" i="16" s="1"/>
  <c r="AA965" i="16"/>
  <c r="AG965" i="16" s="1"/>
  <c r="AA949" i="16"/>
  <c r="AG949" i="16" s="1"/>
  <c r="AA885" i="16"/>
  <c r="L885" i="21" s="1"/>
  <c r="O885" i="21" s="1"/>
  <c r="AA288" i="17"/>
  <c r="AA971" i="16"/>
  <c r="AG971" i="16" s="1"/>
  <c r="AA294" i="17"/>
  <c r="AA961" i="16"/>
  <c r="AG961" i="16" s="1"/>
  <c r="AA929" i="16"/>
  <c r="AG929" i="16" s="1"/>
  <c r="AA897" i="16"/>
  <c r="AG897" i="16" s="1"/>
  <c r="AA865" i="16"/>
  <c r="AG865" i="16" s="1"/>
  <c r="AA932" i="16"/>
  <c r="L932" i="21" s="1"/>
  <c r="O932" i="21" s="1"/>
  <c r="AA900" i="16"/>
  <c r="AG900" i="16" s="1"/>
  <c r="AA868" i="16"/>
  <c r="L868" i="21" s="1"/>
  <c r="O868" i="21" s="1"/>
  <c r="AA939" i="16"/>
  <c r="L939" i="21" s="1"/>
  <c r="O939" i="21" s="1"/>
  <c r="AA907" i="16"/>
  <c r="L907" i="21" s="1"/>
  <c r="O907" i="21" s="1"/>
  <c r="AA875" i="16"/>
  <c r="AA890" i="16"/>
  <c r="L890" i="21" s="1"/>
  <c r="O890" i="21" s="1"/>
  <c r="AA902" i="16"/>
  <c r="AG902" i="16" s="1"/>
  <c r="AA914" i="16"/>
  <c r="L914" i="21" s="1"/>
  <c r="O914" i="21" s="1"/>
  <c r="AA974" i="16"/>
  <c r="AG974" i="16" s="1"/>
  <c r="AA291" i="17"/>
  <c r="AA917" i="16"/>
  <c r="AG917" i="16" s="1"/>
  <c r="AA952" i="16"/>
  <c r="AG952" i="16" s="1"/>
  <c r="AA920" i="16"/>
  <c r="AG920" i="16" s="1"/>
  <c r="AA888" i="16"/>
  <c r="AG888" i="16" s="1"/>
  <c r="AA959" i="16"/>
  <c r="L959" i="21" s="1"/>
  <c r="O959" i="21" s="1"/>
  <c r="AA927" i="16"/>
  <c r="AG927" i="16" s="1"/>
  <c r="AA895" i="16"/>
  <c r="AA910" i="16"/>
  <c r="AG910" i="16" s="1"/>
  <c r="AA926" i="16"/>
  <c r="AG926" i="16" s="1"/>
  <c r="AA866" i="16"/>
  <c r="AG866" i="16" s="1"/>
  <c r="AA767" i="16"/>
  <c r="AG767" i="16" s="1"/>
  <c r="AA263" i="17"/>
  <c r="AA59" i="16"/>
  <c r="AG59" i="16" s="1"/>
  <c r="AA954" i="16"/>
  <c r="AG954" i="16" s="1"/>
  <c r="AA884" i="16"/>
  <c r="AG884" i="16" s="1"/>
  <c r="AA913" i="16"/>
  <c r="AG913" i="16" s="1"/>
  <c r="AA659" i="16"/>
  <c r="AG659" i="16" s="1"/>
  <c r="AA970" i="16"/>
  <c r="AG970" i="16" s="1"/>
  <c r="AA837" i="16"/>
  <c r="AG837" i="16" s="1"/>
  <c r="AA797" i="16"/>
  <c r="AG797" i="16" s="1"/>
  <c r="AA832" i="16"/>
  <c r="AG832" i="16" s="1"/>
  <c r="AA839" i="16"/>
  <c r="AG839" i="16" s="1"/>
  <c r="AA795" i="16"/>
  <c r="L795" i="21" s="1"/>
  <c r="O795" i="21" s="1"/>
  <c r="AA798" i="16"/>
  <c r="AG798" i="16" s="1"/>
  <c r="AA802" i="16"/>
  <c r="AG802" i="16" s="1"/>
  <c r="AA833" i="16"/>
  <c r="AG833" i="16" s="1"/>
  <c r="AA793" i="16"/>
  <c r="AG793" i="16" s="1"/>
  <c r="AA800" i="16"/>
  <c r="AG800" i="16" s="1"/>
  <c r="AA835" i="16"/>
  <c r="L835" i="21" s="1"/>
  <c r="O835" i="21" s="1"/>
  <c r="AA791" i="16"/>
  <c r="AG791" i="16" s="1"/>
  <c r="AA838" i="16"/>
  <c r="L838" i="21" s="1"/>
  <c r="O838" i="21" s="1"/>
  <c r="AA829" i="16"/>
  <c r="AG829" i="16" s="1"/>
  <c r="AA796" i="16"/>
  <c r="L796" i="21" s="1"/>
  <c r="O796" i="21" s="1"/>
  <c r="AA794" i="16"/>
  <c r="L794" i="21" s="1"/>
  <c r="O794" i="21" s="1"/>
  <c r="AA801" i="16"/>
  <c r="L801" i="21" s="1"/>
  <c r="O801" i="21" s="1"/>
  <c r="AA792" i="16"/>
  <c r="AG792" i="16" s="1"/>
  <c r="AA830" i="16"/>
  <c r="AG830" i="16" s="1"/>
  <c r="AA840" i="16"/>
  <c r="L840" i="21" s="1"/>
  <c r="O840" i="21" s="1"/>
  <c r="AA831" i="16"/>
  <c r="L831" i="21" s="1"/>
  <c r="O831" i="21" s="1"/>
  <c r="AA790" i="16"/>
  <c r="AG790" i="16" s="1"/>
  <c r="AA632" i="16"/>
  <c r="AG632" i="16" s="1"/>
  <c r="AA627" i="16"/>
  <c r="AG627" i="16" s="1"/>
  <c r="AA626" i="16"/>
  <c r="AG626" i="16" s="1"/>
  <c r="AA628" i="16"/>
  <c r="L628" i="21" s="1"/>
  <c r="O628" i="21" s="1"/>
  <c r="AA622" i="16"/>
  <c r="AG622" i="16" s="1"/>
  <c r="AA633" i="16"/>
  <c r="AG633" i="16" s="1"/>
  <c r="AA624" i="16"/>
  <c r="AG624" i="16" s="1"/>
  <c r="AA630" i="16"/>
  <c r="AG630" i="16" s="1"/>
  <c r="AA629" i="16"/>
  <c r="L629" i="21" s="1"/>
  <c r="O629" i="21" s="1"/>
  <c r="AA631" i="16"/>
  <c r="AG631" i="16" s="1"/>
  <c r="AA825" i="16"/>
  <c r="L825" i="21" s="1"/>
  <c r="O825" i="21" s="1"/>
  <c r="AA860" i="16"/>
  <c r="AG860" i="16" s="1"/>
  <c r="AA820" i="16"/>
  <c r="AG820" i="16" s="1"/>
  <c r="AA855" i="16"/>
  <c r="AG855" i="16" s="1"/>
  <c r="AA858" i="16"/>
  <c r="AG858" i="16" s="1"/>
  <c r="AA818" i="16"/>
  <c r="AA861" i="16"/>
  <c r="AG861" i="16" s="1"/>
  <c r="AA821" i="16"/>
  <c r="AG821" i="16" s="1"/>
  <c r="AA856" i="16"/>
  <c r="AG856" i="16" s="1"/>
  <c r="AA816" i="16"/>
  <c r="AG816" i="16" s="1"/>
  <c r="AA827" i="16"/>
  <c r="AG827" i="16" s="1"/>
  <c r="AA826" i="16"/>
  <c r="L826" i="21" s="1"/>
  <c r="O826" i="21" s="1"/>
  <c r="AA862" i="16"/>
  <c r="L862" i="21" s="1"/>
  <c r="O862" i="21" s="1"/>
  <c r="AA864" i="16"/>
  <c r="AA859" i="16"/>
  <c r="AG859" i="16" s="1"/>
  <c r="AA822" i="16"/>
  <c r="AG822" i="16" s="1"/>
  <c r="AA857" i="16"/>
  <c r="AG857" i="16" s="1"/>
  <c r="AA828" i="16"/>
  <c r="L828" i="21" s="1"/>
  <c r="O828" i="21" s="1"/>
  <c r="AA823" i="16"/>
  <c r="AG823" i="16" s="1"/>
  <c r="AA853" i="16"/>
  <c r="L853" i="21" s="1"/>
  <c r="O853" i="21" s="1"/>
  <c r="AA824" i="16"/>
  <c r="AG824" i="16" s="1"/>
  <c r="AA819" i="16"/>
  <c r="AG819" i="16" s="1"/>
  <c r="AA984" i="16"/>
  <c r="L984" i="21" s="1"/>
  <c r="O984" i="21" s="1"/>
  <c r="AA983" i="16"/>
  <c r="L983" i="21" s="1"/>
  <c r="O983" i="21" s="1"/>
  <c r="AA978" i="16"/>
  <c r="AG978" i="16" s="1"/>
  <c r="AA977" i="16"/>
  <c r="AG977" i="16" s="1"/>
  <c r="AA979" i="16"/>
  <c r="L979" i="21" s="1"/>
  <c r="O979" i="21" s="1"/>
  <c r="AA982" i="16"/>
  <c r="L982" i="21" s="1"/>
  <c r="O982" i="21" s="1"/>
  <c r="AA980" i="16"/>
  <c r="AG980" i="16" s="1"/>
  <c r="AA986" i="16"/>
  <c r="AA985" i="16"/>
  <c r="L985" i="21" s="1"/>
  <c r="O985" i="21" s="1"/>
  <c r="AA976" i="16"/>
  <c r="AG976" i="16" s="1"/>
  <c r="AA644" i="16"/>
  <c r="AG644" i="16" s="1"/>
  <c r="AA623" i="16"/>
  <c r="AG623" i="16" s="1"/>
  <c r="AA863" i="16"/>
  <c r="AG863" i="16" s="1"/>
  <c r="AA768" i="16"/>
  <c r="AG768" i="16" s="1"/>
  <c r="AA942" i="16"/>
  <c r="AG942" i="16" s="1"/>
  <c r="AA891" i="16"/>
  <c r="AG891" i="16" s="1"/>
  <c r="AA916" i="16"/>
  <c r="AG916" i="16" s="1"/>
  <c r="AA945" i="16"/>
  <c r="AG945" i="16" s="1"/>
  <c r="AA281" i="17"/>
  <c r="AA277" i="17"/>
  <c r="AA273" i="17"/>
  <c r="AA269" i="17"/>
  <c r="AA265" i="17"/>
  <c r="AA261" i="17"/>
  <c r="AA257" i="17"/>
  <c r="AA253" i="17"/>
  <c r="AA777" i="16"/>
  <c r="AG777" i="16" s="1"/>
  <c r="AA761" i="16"/>
  <c r="AG761" i="16" s="1"/>
  <c r="AA776" i="16"/>
  <c r="AG776" i="16" s="1"/>
  <c r="AA760" i="16"/>
  <c r="AG760" i="16" s="1"/>
  <c r="AA775" i="16"/>
  <c r="AG775" i="16" s="1"/>
  <c r="AA759" i="16"/>
  <c r="AG759" i="16" s="1"/>
  <c r="AA774" i="16"/>
  <c r="AG774" i="16" s="1"/>
  <c r="AA770" i="16"/>
  <c r="AG770" i="16" s="1"/>
  <c r="AA284" i="17"/>
  <c r="AA280" i="17"/>
  <c r="AA276" i="17"/>
  <c r="AA272" i="17"/>
  <c r="AA268" i="17"/>
  <c r="AA264" i="17"/>
  <c r="AA260" i="17"/>
  <c r="AA256" i="17"/>
  <c r="AA789" i="16"/>
  <c r="AG789" i="16" s="1"/>
  <c r="AA773" i="16"/>
  <c r="AG773" i="16" s="1"/>
  <c r="AA788" i="16"/>
  <c r="AG788" i="16" s="1"/>
  <c r="AA772" i="16"/>
  <c r="AG772" i="16" s="1"/>
  <c r="AA787" i="16"/>
  <c r="AG787" i="16" s="1"/>
  <c r="AA771" i="16"/>
  <c r="AG771" i="16" s="1"/>
  <c r="AA778" i="16"/>
  <c r="AG778" i="16" s="1"/>
  <c r="AA758" i="16"/>
  <c r="AG758" i="16" s="1"/>
  <c r="AA278" i="17"/>
  <c r="AA270" i="17"/>
  <c r="AA262" i="17"/>
  <c r="AA254" i="17"/>
  <c r="AA765" i="16"/>
  <c r="AG765" i="16" s="1"/>
  <c r="AA764" i="16"/>
  <c r="AG764" i="16" s="1"/>
  <c r="AA763" i="16"/>
  <c r="AG763" i="16" s="1"/>
  <c r="AA786" i="16"/>
  <c r="AG786" i="16" s="1"/>
  <c r="AA283" i="17"/>
  <c r="AA275" i="17"/>
  <c r="AA267" i="17"/>
  <c r="AA259" i="17"/>
  <c r="AA785" i="16"/>
  <c r="AG785" i="16" s="1"/>
  <c r="AA784" i="16"/>
  <c r="AG784" i="16" s="1"/>
  <c r="AA783" i="16"/>
  <c r="AG783" i="16" s="1"/>
  <c r="AA762" i="16"/>
  <c r="AG762" i="16" s="1"/>
  <c r="AA282" i="17"/>
  <c r="AA274" i="17"/>
  <c r="AA266" i="17"/>
  <c r="AA258" i="17"/>
  <c r="AA781" i="16"/>
  <c r="AG781" i="16" s="1"/>
  <c r="AA780" i="16"/>
  <c r="AG780" i="16" s="1"/>
  <c r="AA779" i="16"/>
  <c r="AG779" i="16" s="1"/>
  <c r="AA766" i="16"/>
  <c r="AG766" i="16" s="1"/>
  <c r="AA661" i="16"/>
  <c r="AG661" i="16" s="1"/>
  <c r="AA656" i="16"/>
  <c r="AG656" i="16" s="1"/>
  <c r="AA647" i="16"/>
  <c r="AG647" i="16" s="1"/>
  <c r="AA653" i="16"/>
  <c r="AG653" i="16" s="1"/>
  <c r="AA679" i="16"/>
  <c r="AG679" i="16" s="1"/>
  <c r="AA670" i="16"/>
  <c r="AG670" i="16" s="1"/>
  <c r="AA676" i="16"/>
  <c r="AG676" i="16" s="1"/>
  <c r="AA662" i="16"/>
  <c r="AG662" i="16" s="1"/>
  <c r="AA176" i="17"/>
  <c r="AA664" i="16"/>
  <c r="AG664" i="16" s="1"/>
  <c r="AA658" i="16"/>
  <c r="L658" i="21" s="1"/>
  <c r="O658" i="21" s="1"/>
  <c r="AA667" i="16"/>
  <c r="L667" i="21" s="1"/>
  <c r="O667" i="21" s="1"/>
  <c r="AA642" i="16"/>
  <c r="AG642" i="16" s="1"/>
  <c r="AA625" i="16"/>
  <c r="L625" i="21" s="1"/>
  <c r="O625" i="21" s="1"/>
  <c r="AA817" i="16"/>
  <c r="L817" i="21" s="1"/>
  <c r="O817" i="21" s="1"/>
  <c r="AA769" i="16"/>
  <c r="AG769" i="16" s="1"/>
  <c r="AA279" i="17"/>
  <c r="AA834" i="16"/>
  <c r="AG834" i="16" s="1"/>
  <c r="AA894" i="16"/>
  <c r="AG894" i="16" s="1"/>
  <c r="AA923" i="16"/>
  <c r="AG923" i="16" s="1"/>
  <c r="AA948" i="16"/>
  <c r="AG948" i="16" s="1"/>
  <c r="AA287" i="17"/>
  <c r="AA235" i="16"/>
  <c r="AG235" i="16" s="1"/>
  <c r="AA566" i="16"/>
  <c r="AG566" i="16" s="1"/>
  <c r="AA134" i="17"/>
  <c r="AA64" i="17"/>
  <c r="AA603" i="16"/>
  <c r="AG603" i="16" s="1"/>
  <c r="AA175" i="17"/>
  <c r="AA674" i="16"/>
  <c r="AG674" i="16" s="1"/>
  <c r="AA666" i="16"/>
  <c r="AG666" i="16" s="1"/>
  <c r="AA663" i="16"/>
  <c r="AG663" i="16" s="1"/>
  <c r="AA648" i="16"/>
  <c r="L648" i="21" s="1"/>
  <c r="O648" i="21" s="1"/>
  <c r="AA672" i="16"/>
  <c r="AG672" i="16" s="1"/>
  <c r="AA657" i="16"/>
  <c r="AG657" i="16" s="1"/>
  <c r="AA677" i="16"/>
  <c r="AG677" i="16" s="1"/>
  <c r="AA69" i="17"/>
  <c r="AA165" i="17"/>
  <c r="AA236" i="16"/>
  <c r="AG236" i="16" s="1"/>
  <c r="AA242" i="16"/>
  <c r="AG242" i="16" s="1"/>
  <c r="AA570" i="16"/>
  <c r="AG570" i="16" s="1"/>
  <c r="AA60" i="17"/>
  <c r="AA166" i="17"/>
  <c r="AA573" i="16"/>
  <c r="AG573" i="16" s="1"/>
  <c r="AA68" i="17"/>
  <c r="AA563" i="16"/>
  <c r="AG563" i="16" s="1"/>
  <c r="AA607" i="16"/>
  <c r="AG607" i="16" s="1"/>
  <c r="AA135" i="17"/>
  <c r="AA568" i="16"/>
  <c r="AG568" i="16" s="1"/>
  <c r="AA654" i="16"/>
  <c r="L654" i="21" s="1"/>
  <c r="O654" i="21" s="1"/>
  <c r="AA678" i="16"/>
  <c r="AG678" i="16" s="1"/>
  <c r="AA651" i="16"/>
  <c r="L651" i="21" s="1"/>
  <c r="O651" i="21" s="1"/>
  <c r="AA675" i="16"/>
  <c r="AG675" i="16" s="1"/>
  <c r="AA660" i="16"/>
  <c r="AG660" i="16" s="1"/>
  <c r="AA680" i="16"/>
  <c r="AG680" i="16" s="1"/>
  <c r="AA669" i="16"/>
  <c r="AG669" i="16" s="1"/>
  <c r="AA129" i="17"/>
  <c r="AA234" i="16"/>
  <c r="AG234" i="16" s="1"/>
  <c r="AA239" i="16"/>
  <c r="AG239" i="16" s="1"/>
  <c r="AA244" i="16"/>
  <c r="AG244" i="16" s="1"/>
  <c r="AA606" i="16"/>
  <c r="AG606" i="16" s="1"/>
  <c r="AA130" i="17"/>
  <c r="AA174" i="17"/>
  <c r="AA609" i="16"/>
  <c r="AG609" i="16" s="1"/>
  <c r="AA164" i="17"/>
  <c r="AA571" i="16"/>
  <c r="AG571" i="16" s="1"/>
  <c r="AA67" i="17"/>
  <c r="AA171" i="17"/>
  <c r="AA600" i="16"/>
  <c r="AG600" i="16" s="1"/>
  <c r="AA646" i="16"/>
  <c r="L783" i="21" s="1"/>
  <c r="AA650" i="16"/>
  <c r="AG650" i="16" s="1"/>
  <c r="AA655" i="16"/>
  <c r="AG655" i="16" s="1"/>
  <c r="AA671" i="16"/>
  <c r="L671" i="21" s="1"/>
  <c r="O671" i="21" s="1"/>
  <c r="AA652" i="16"/>
  <c r="AG652" i="16" s="1"/>
  <c r="AA668" i="16"/>
  <c r="AG668" i="16" s="1"/>
  <c r="AA649" i="16"/>
  <c r="L649" i="21" s="1"/>
  <c r="O649" i="21" s="1"/>
  <c r="AA665" i="16"/>
  <c r="L665" i="21" s="1"/>
  <c r="O665" i="21" s="1"/>
  <c r="AA681" i="16"/>
  <c r="AG681" i="16" s="1"/>
  <c r="AA65" i="17"/>
  <c r="AA133" i="17"/>
  <c r="AA173" i="17"/>
  <c r="AA237" i="16"/>
  <c r="AG237" i="16" s="1"/>
  <c r="AA241" i="16"/>
  <c r="AG241" i="16" s="1"/>
  <c r="AA245" i="16"/>
  <c r="AG245" i="16" s="1"/>
  <c r="AA602" i="16"/>
  <c r="AG602" i="16" s="1"/>
  <c r="AA61" i="17"/>
  <c r="AA138" i="17"/>
  <c r="AA565" i="16"/>
  <c r="AG565" i="16" s="1"/>
  <c r="AA605" i="16"/>
  <c r="AG605" i="16" s="1"/>
  <c r="AA132" i="17"/>
  <c r="AA172" i="17"/>
  <c r="AA599" i="16"/>
  <c r="AG599" i="16" s="1"/>
  <c r="AA63" i="17"/>
  <c r="AA139" i="17"/>
  <c r="AA564" i="16"/>
  <c r="AG564" i="16" s="1"/>
  <c r="AA604" i="16"/>
  <c r="AG604" i="16" s="1"/>
  <c r="L493" i="21"/>
  <c r="O493" i="21" s="1"/>
  <c r="AG538" i="16"/>
  <c r="L105" i="21"/>
  <c r="O105" i="21" s="1"/>
  <c r="AG511" i="16"/>
  <c r="L511" i="21"/>
  <c r="O511" i="21" s="1"/>
  <c r="AG202" i="16"/>
  <c r="AG186" i="16"/>
  <c r="L186" i="21"/>
  <c r="O186" i="21" s="1"/>
  <c r="L720" i="21"/>
  <c r="L103" i="21"/>
  <c r="O103" i="21" s="1"/>
  <c r="L484" i="21"/>
  <c r="O484" i="21" s="1"/>
  <c r="Y5" i="13"/>
  <c r="X47" i="13"/>
  <c r="Y5" i="12"/>
  <c r="X47" i="12"/>
  <c r="L93" i="21" l="1"/>
  <c r="L261" i="21"/>
  <c r="O261" i="21" s="1"/>
  <c r="AG199" i="16"/>
  <c r="AG446" i="16"/>
  <c r="L150" i="21"/>
  <c r="O150" i="21" s="1"/>
  <c r="L135" i="21"/>
  <c r="O135" i="21" s="1"/>
  <c r="AG442" i="16"/>
  <c r="L196" i="21"/>
  <c r="O196" i="21" s="1"/>
  <c r="AG256" i="16"/>
  <c r="AG831" i="16"/>
  <c r="AG941" i="16"/>
  <c r="L365" i="21"/>
  <c r="O365" i="21" s="1"/>
  <c r="L166" i="21"/>
  <c r="O166" i="21" s="1"/>
  <c r="AG639" i="16"/>
  <c r="L876" i="21"/>
  <c r="O876" i="21" s="1"/>
  <c r="AG514" i="16"/>
  <c r="L609" i="21"/>
  <c r="AG429" i="16"/>
  <c r="L266" i="21"/>
  <c r="O266" i="21" s="1"/>
  <c r="L258" i="21"/>
  <c r="O258" i="21" s="1"/>
  <c r="L168" i="21"/>
  <c r="O168" i="21" s="1"/>
  <c r="L262" i="21"/>
  <c r="O262" i="21" s="1"/>
  <c r="AG200" i="16"/>
  <c r="H30" i="29"/>
  <c r="I30" i="29" s="1"/>
  <c r="D30" i="29"/>
  <c r="F30" i="29" s="1"/>
  <c r="L250" i="21"/>
  <c r="O250" i="21" s="1"/>
  <c r="L265" i="21"/>
  <c r="O265" i="21" s="1"/>
  <c r="L352" i="21"/>
  <c r="O352" i="21" s="1"/>
  <c r="AG513" i="16"/>
  <c r="L109" i="21"/>
  <c r="O109" i="21" s="1"/>
  <c r="L249" i="21"/>
  <c r="O249" i="21" s="1"/>
  <c r="L215" i="21"/>
  <c r="O215" i="21" s="1"/>
  <c r="L205" i="21"/>
  <c r="O205" i="21" s="1"/>
  <c r="AG257" i="16"/>
  <c r="AG444" i="16"/>
  <c r="L452" i="21"/>
  <c r="O452" i="21" s="1"/>
  <c r="L368" i="21"/>
  <c r="O368" i="21" s="1"/>
  <c r="L854" i="21"/>
  <c r="O854" i="21" s="1"/>
  <c r="L503" i="21"/>
  <c r="O503" i="21" s="1"/>
  <c r="L246" i="21"/>
  <c r="O246" i="21" s="1"/>
  <c r="L298" i="21"/>
  <c r="O298" i="21" s="1"/>
  <c r="L507" i="21"/>
  <c r="O507" i="21" s="1"/>
  <c r="L176" i="21"/>
  <c r="O176" i="21" s="1"/>
  <c r="AG826" i="16"/>
  <c r="L533" i="21"/>
  <c r="O533" i="21" s="1"/>
  <c r="L839" i="21"/>
  <c r="O839" i="21" s="1"/>
  <c r="AG840" i="16"/>
  <c r="L158" i="21"/>
  <c r="O158" i="21" s="1"/>
  <c r="L506" i="21"/>
  <c r="O506" i="21" s="1"/>
  <c r="L113" i="21"/>
  <c r="O113" i="21" s="1"/>
  <c r="O743" i="21"/>
  <c r="L423" i="21"/>
  <c r="O423" i="21" s="1"/>
  <c r="L251" i="21"/>
  <c r="O251" i="21" s="1"/>
  <c r="AG645" i="16"/>
  <c r="AG932" i="16"/>
  <c r="L850" i="21"/>
  <c r="O850" i="21" s="1"/>
  <c r="L617" i="21"/>
  <c r="O617" i="21" s="1"/>
  <c r="L350" i="21"/>
  <c r="O350" i="21" s="1"/>
  <c r="AG129" i="16"/>
  <c r="L248" i="21"/>
  <c r="O248" i="21" s="1"/>
  <c r="L255" i="21"/>
  <c r="O255" i="21" s="1"/>
  <c r="AG853" i="16"/>
  <c r="L101" i="21"/>
  <c r="O101" i="21" s="1"/>
  <c r="N15" i="25"/>
  <c r="N14" i="25"/>
  <c r="AG536" i="16"/>
  <c r="L164" i="21"/>
  <c r="O164" i="21" s="1"/>
  <c r="I11" i="25"/>
  <c r="I7" i="25"/>
  <c r="I13" i="25" s="1"/>
  <c r="I9" i="25"/>
  <c r="L736" i="21"/>
  <c r="O736" i="21" s="1"/>
  <c r="L453" i="21"/>
  <c r="O453" i="21" s="1"/>
  <c r="AG794" i="16"/>
  <c r="L190" i="21"/>
  <c r="O190" i="21" s="1"/>
  <c r="L746" i="21"/>
  <c r="O746" i="21" s="1"/>
  <c r="L156" i="21"/>
  <c r="O156" i="21" s="1"/>
  <c r="L703" i="21"/>
  <c r="O703" i="21" s="1"/>
  <c r="L448" i="21"/>
  <c r="O448" i="21" s="1"/>
  <c r="AG488" i="16"/>
  <c r="L435" i="21"/>
  <c r="O435" i="21" s="1"/>
  <c r="AG619" i="16"/>
  <c r="L456" i="21"/>
  <c r="O456" i="21" s="1"/>
  <c r="L125" i="21"/>
  <c r="O125" i="21" s="1"/>
  <c r="L117" i="21"/>
  <c r="O117" i="21" s="1"/>
  <c r="L501" i="21"/>
  <c r="O501" i="21" s="1"/>
  <c r="L160" i="21"/>
  <c r="O160" i="21" s="1"/>
  <c r="AG641" i="16"/>
  <c r="AG432" i="16"/>
  <c r="L369" i="21"/>
  <c r="O369" i="21" s="1"/>
  <c r="L673" i="21"/>
  <c r="O673" i="21" s="1"/>
  <c r="L725" i="21"/>
  <c r="O725" i="21" s="1"/>
  <c r="L747" i="21"/>
  <c r="O747" i="21" s="1"/>
  <c r="L662" i="21"/>
  <c r="O662" i="21" s="1"/>
  <c r="L748" i="21"/>
  <c r="O748" i="21" s="1"/>
  <c r="L688" i="21"/>
  <c r="O688" i="21" s="1"/>
  <c r="L752" i="21"/>
  <c r="O752" i="21" s="1"/>
  <c r="L750" i="21"/>
  <c r="O750" i="21" s="1"/>
  <c r="L754" i="21"/>
  <c r="L707" i="21"/>
  <c r="O707" i="21" s="1"/>
  <c r="L727" i="21"/>
  <c r="O727" i="21" s="1"/>
  <c r="L749" i="21"/>
  <c r="O749" i="21" s="1"/>
  <c r="L716" i="21"/>
  <c r="O716" i="21" s="1"/>
  <c r="L687" i="21"/>
  <c r="O687" i="21" s="1"/>
  <c r="L751" i="21"/>
  <c r="O751" i="21" s="1"/>
  <c r="L247" i="21"/>
  <c r="O247" i="21" s="1"/>
  <c r="L685" i="21"/>
  <c r="O685" i="21" s="1"/>
  <c r="AG254" i="16"/>
  <c r="AG162" i="16"/>
  <c r="L740" i="21"/>
  <c r="O740" i="21" s="1"/>
  <c r="L742" i="21"/>
  <c r="O742" i="21" s="1"/>
  <c r="L690" i="21"/>
  <c r="O690" i="21" s="1"/>
  <c r="L691" i="21"/>
  <c r="O691" i="21" s="1"/>
  <c r="L711" i="21"/>
  <c r="O711" i="21" s="1"/>
  <c r="L733" i="21"/>
  <c r="O733" i="21" s="1"/>
  <c r="L755" i="21"/>
  <c r="O755" i="21" s="1"/>
  <c r="L886" i="21"/>
  <c r="O886" i="21" s="1"/>
  <c r="L172" i="21"/>
  <c r="O172" i="21" s="1"/>
  <c r="L728" i="21"/>
  <c r="O728" i="21" s="1"/>
  <c r="L709" i="21"/>
  <c r="O709" i="21" s="1"/>
  <c r="L731" i="21"/>
  <c r="O731" i="21" s="1"/>
  <c r="L684" i="21"/>
  <c r="O684" i="21" s="1"/>
  <c r="L708" i="21"/>
  <c r="L686" i="21"/>
  <c r="O686" i="21" s="1"/>
  <c r="L698" i="21"/>
  <c r="O698" i="21" s="1"/>
  <c r="L693" i="21"/>
  <c r="O693" i="21" s="1"/>
  <c r="L715" i="21"/>
  <c r="O715" i="21" s="1"/>
  <c r="L735" i="21"/>
  <c r="O735" i="21" s="1"/>
  <c r="L757" i="21"/>
  <c r="O757" i="21" s="1"/>
  <c r="L457" i="21"/>
  <c r="O457" i="21" s="1"/>
  <c r="L512" i="21"/>
  <c r="O512" i="21" s="1"/>
  <c r="L644" i="21"/>
  <c r="O644" i="21" s="1"/>
  <c r="L97" i="21"/>
  <c r="O97" i="21" s="1"/>
  <c r="L702" i="21"/>
  <c r="O702" i="21" s="1"/>
  <c r="L682" i="21"/>
  <c r="O682" i="21" s="1"/>
  <c r="L700" i="21"/>
  <c r="O700" i="21" s="1"/>
  <c r="L714" i="21"/>
  <c r="O714" i="21" s="1"/>
  <c r="L695" i="21"/>
  <c r="O695" i="21" s="1"/>
  <c r="L717" i="21"/>
  <c r="O717" i="21" s="1"/>
  <c r="L739" i="21"/>
  <c r="O739" i="21" s="1"/>
  <c r="AG737" i="16"/>
  <c r="L95" i="21"/>
  <c r="O95" i="21" s="1"/>
  <c r="AG216" i="16"/>
  <c r="L696" i="21"/>
  <c r="O696" i="21" s="1"/>
  <c r="L722" i="21"/>
  <c r="O722" i="21" s="1"/>
  <c r="L719" i="21"/>
  <c r="O719" i="21" s="1"/>
  <c r="AG654" i="16"/>
  <c r="L712" i="21"/>
  <c r="O712" i="21" s="1"/>
  <c r="L704" i="21"/>
  <c r="O704" i="21" s="1"/>
  <c r="L699" i="21"/>
  <c r="O699" i="21" s="1"/>
  <c r="L741" i="21"/>
  <c r="O741" i="21" s="1"/>
  <c r="AG182" i="16"/>
  <c r="AG935" i="16"/>
  <c r="L694" i="21"/>
  <c r="O694" i="21" s="1"/>
  <c r="L710" i="21"/>
  <c r="O710" i="21" s="1"/>
  <c r="L732" i="21"/>
  <c r="O732" i="21" s="1"/>
  <c r="L730" i="21"/>
  <c r="O730" i="21" s="1"/>
  <c r="L701" i="21"/>
  <c r="O701" i="21" s="1"/>
  <c r="L723" i="21"/>
  <c r="O723" i="21" s="1"/>
  <c r="AG437" i="16"/>
  <c r="L946" i="21"/>
  <c r="O946" i="21" s="1"/>
  <c r="AG665" i="16"/>
  <c r="AG667" i="16"/>
  <c r="AG671" i="16"/>
  <c r="O585" i="21"/>
  <c r="L547" i="21"/>
  <c r="O547" i="21" s="1"/>
  <c r="L308" i="21"/>
  <c r="O308" i="21" s="1"/>
  <c r="L607" i="21"/>
  <c r="O607" i="21" s="1"/>
  <c r="AG517" i="16"/>
  <c r="L208" i="21"/>
  <c r="O208" i="21" s="1"/>
  <c r="L836" i="21"/>
  <c r="O836" i="21" s="1"/>
  <c r="AG259" i="16"/>
  <c r="AG425" i="16"/>
  <c r="AG447" i="16"/>
  <c r="L354" i="21"/>
  <c r="O354" i="21" s="1"/>
  <c r="L133" i="21"/>
  <c r="O133" i="21" s="1"/>
  <c r="AG806" i="16"/>
  <c r="L604" i="21"/>
  <c r="O604" i="21" s="1"/>
  <c r="AG454" i="16"/>
  <c r="L981" i="21"/>
  <c r="O981" i="21" s="1"/>
  <c r="AG615" i="16"/>
  <c r="AG962" i="16"/>
  <c r="AG203" i="16"/>
  <c r="L235" i="21"/>
  <c r="O235" i="21" s="1"/>
  <c r="AG152" i="16"/>
  <c r="L303" i="21"/>
  <c r="O303" i="21" s="1"/>
  <c r="L237" i="21"/>
  <c r="O237" i="21" s="1"/>
  <c r="AG374" i="16"/>
  <c r="L222" i="21"/>
  <c r="O222" i="21" s="1"/>
  <c r="L53" i="21"/>
  <c r="O53" i="21" s="1"/>
  <c r="AG305" i="16"/>
  <c r="L578" i="21"/>
  <c r="O578" i="21" s="1"/>
  <c r="AG213" i="16"/>
  <c r="L823" i="21"/>
  <c r="O823" i="21" s="1"/>
  <c r="L517" i="21"/>
  <c r="O517" i="21" s="1"/>
  <c r="L574" i="21"/>
  <c r="O574" i="21" s="1"/>
  <c r="AG206" i="16"/>
  <c r="L360" i="21"/>
  <c r="O360" i="21" s="1"/>
  <c r="L204" i="21"/>
  <c r="O204" i="21" s="1"/>
  <c r="AG804" i="16"/>
  <c r="L499" i="21"/>
  <c r="O499" i="21" s="1"/>
  <c r="L620" i="21"/>
  <c r="O620" i="21" s="1"/>
  <c r="AG192" i="16"/>
  <c r="L234" i="21"/>
  <c r="O234" i="21" s="1"/>
  <c r="L227" i="21"/>
  <c r="O227" i="21" s="1"/>
  <c r="AG486" i="16"/>
  <c r="L115" i="21"/>
  <c r="O115" i="21" s="1"/>
  <c r="AG99" i="16"/>
  <c r="AG614" i="16"/>
  <c r="L455" i="21"/>
  <c r="O455" i="21" s="1"/>
  <c r="L579" i="21"/>
  <c r="O579" i="21" s="1"/>
  <c r="L549" i="21"/>
  <c r="O549" i="21" s="1"/>
  <c r="AG366" i="16"/>
  <c r="L210" i="21"/>
  <c r="O210" i="21" s="1"/>
  <c r="L612" i="21"/>
  <c r="O612" i="21" s="1"/>
  <c r="L207" i="21"/>
  <c r="O207" i="21" s="1"/>
  <c r="L253" i="21"/>
  <c r="O253" i="21" s="1"/>
  <c r="L459" i="21"/>
  <c r="O459" i="21" s="1"/>
  <c r="L233" i="21"/>
  <c r="O233" i="21" s="1"/>
  <c r="L54" i="21"/>
  <c r="O54" i="21" s="1"/>
  <c r="L411" i="21"/>
  <c r="O411" i="21" s="1"/>
  <c r="L184" i="21"/>
  <c r="O184" i="21" s="1"/>
  <c r="L217" i="21"/>
  <c r="O217" i="21" s="1"/>
  <c r="L583" i="21"/>
  <c r="O583" i="21" s="1"/>
  <c r="L551" i="21"/>
  <c r="O551" i="21" s="1"/>
  <c r="L576" i="21"/>
  <c r="O576" i="21" s="1"/>
  <c r="L580" i="21"/>
  <c r="O580" i="21" s="1"/>
  <c r="L582" i="21"/>
  <c r="O582" i="21" s="1"/>
  <c r="L577" i="21"/>
  <c r="O577" i="21" s="1"/>
  <c r="L440" i="21"/>
  <c r="O440" i="21" s="1"/>
  <c r="L415" i="21"/>
  <c r="O415" i="21" s="1"/>
  <c r="L413" i="21"/>
  <c r="O413" i="21" s="1"/>
  <c r="L306" i="21"/>
  <c r="O306" i="21" s="1"/>
  <c r="L139" i="21"/>
  <c r="O139" i="21" s="1"/>
  <c r="L450" i="21"/>
  <c r="O450" i="21" s="1"/>
  <c r="L362" i="21"/>
  <c r="O362" i="21" s="1"/>
  <c r="L174" i="21"/>
  <c r="O174" i="21" s="1"/>
  <c r="L137" i="21"/>
  <c r="O137" i="21" s="1"/>
  <c r="L198" i="21"/>
  <c r="O198" i="21" s="1"/>
  <c r="L241" i="21"/>
  <c r="O241" i="21" s="1"/>
  <c r="L239" i="21"/>
  <c r="O239" i="21" s="1"/>
  <c r="L238" i="21"/>
  <c r="O238" i="21" s="1"/>
  <c r="L223" i="21"/>
  <c r="O223" i="21" s="1"/>
  <c r="L232" i="21"/>
  <c r="O232" i="21" s="1"/>
  <c r="L226" i="21"/>
  <c r="O226" i="21" s="1"/>
  <c r="L575" i="21"/>
  <c r="O575" i="21" s="1"/>
  <c r="L584" i="21"/>
  <c r="O584" i="21" s="1"/>
  <c r="L546" i="21"/>
  <c r="O546" i="21" s="1"/>
  <c r="L542" i="21"/>
  <c r="O542" i="21" s="1"/>
  <c r="L541" i="21"/>
  <c r="O541" i="21" s="1"/>
  <c r="L581" i="21"/>
  <c r="O581" i="21" s="1"/>
  <c r="L356" i="21"/>
  <c r="O356" i="21" s="1"/>
  <c r="L445" i="21"/>
  <c r="O445" i="21" s="1"/>
  <c r="L293" i="21"/>
  <c r="O293" i="21" s="1"/>
  <c r="L848" i="21"/>
  <c r="O848" i="21" s="1"/>
  <c r="AG434" i="16"/>
  <c r="AG492" i="16"/>
  <c r="L509" i="21"/>
  <c r="O509" i="21" s="1"/>
  <c r="L516" i="21"/>
  <c r="O516" i="21" s="1"/>
  <c r="AG878" i="16"/>
  <c r="L310" i="21"/>
  <c r="O310" i="21" s="1"/>
  <c r="L221" i="21"/>
  <c r="O221" i="21" s="1"/>
  <c r="L245" i="21"/>
  <c r="O245" i="21" s="1"/>
  <c r="L244" i="21"/>
  <c r="O244" i="21" s="1"/>
  <c r="L242" i="21"/>
  <c r="O242" i="21" s="1"/>
  <c r="L111" i="21"/>
  <c r="O111" i="21" s="1"/>
  <c r="L209" i="21"/>
  <c r="O209" i="21" s="1"/>
  <c r="L229" i="21"/>
  <c r="O229" i="21" s="1"/>
  <c r="L224" i="21"/>
  <c r="O224" i="21" s="1"/>
  <c r="L230" i="21"/>
  <c r="O230" i="21" s="1"/>
  <c r="L659" i="21"/>
  <c r="O659" i="21" s="1"/>
  <c r="L616" i="21"/>
  <c r="O616" i="21" s="1"/>
  <c r="AG817" i="16"/>
  <c r="L544" i="21"/>
  <c r="O544" i="21" s="1"/>
  <c r="L543" i="21"/>
  <c r="O543" i="21" s="1"/>
  <c r="L548" i="21"/>
  <c r="O548" i="21" s="1"/>
  <c r="L550" i="21"/>
  <c r="O550" i="21" s="1"/>
  <c r="L545" i="21"/>
  <c r="O545" i="21" s="1"/>
  <c r="AG658" i="16"/>
  <c r="AG959" i="16"/>
  <c r="L243" i="21"/>
  <c r="O243" i="21" s="1"/>
  <c r="L236" i="21"/>
  <c r="O236" i="21" s="1"/>
  <c r="L240" i="21"/>
  <c r="O240" i="21" s="1"/>
  <c r="L228" i="21"/>
  <c r="O228" i="21" s="1"/>
  <c r="L225" i="21"/>
  <c r="O225" i="21" s="1"/>
  <c r="L231" i="21"/>
  <c r="O231" i="21" s="1"/>
  <c r="O601" i="21"/>
  <c r="L438" i="21"/>
  <c r="O438" i="21" s="1"/>
  <c r="O708" i="21"/>
  <c r="O720" i="21"/>
  <c r="AG458" i="16"/>
  <c r="AG843" i="16"/>
  <c r="L485" i="21"/>
  <c r="O485" i="21" s="1"/>
  <c r="L302" i="21"/>
  <c r="O302" i="21" s="1"/>
  <c r="L603" i="21"/>
  <c r="O603" i="21" s="1"/>
  <c r="L888" i="21"/>
  <c r="O888" i="21" s="1"/>
  <c r="AG60" i="16"/>
  <c r="L420" i="21"/>
  <c r="O420" i="21" s="1"/>
  <c r="L563" i="21"/>
  <c r="O563" i="21" s="1"/>
  <c r="L608" i="21"/>
  <c r="O608" i="21" s="1"/>
  <c r="L508" i="21"/>
  <c r="O508" i="21" s="1"/>
  <c r="L496" i="21"/>
  <c r="O496" i="21" s="1"/>
  <c r="L510" i="21"/>
  <c r="O510" i="21" s="1"/>
  <c r="AG375" i="16"/>
  <c r="L441" i="21"/>
  <c r="O441" i="21" s="1"/>
  <c r="L201" i="21"/>
  <c r="O201" i="21" s="1"/>
  <c r="AG107" i="16"/>
  <c r="L953" i="21"/>
  <c r="O953" i="21" s="1"/>
  <c r="L599" i="21"/>
  <c r="O599" i="21" s="1"/>
  <c r="AG807" i="16"/>
  <c r="AG828" i="16"/>
  <c r="L530" i="21"/>
  <c r="O530" i="21" s="1"/>
  <c r="L540" i="21"/>
  <c r="O540" i="21" s="1"/>
  <c r="L602" i="21"/>
  <c r="O602" i="21" s="1"/>
  <c r="AG439" i="16"/>
  <c r="L252" i="21"/>
  <c r="O252" i="21" s="1"/>
  <c r="L348" i="21"/>
  <c r="O348" i="21" s="1"/>
  <c r="L372" i="21"/>
  <c r="O372" i="21" s="1"/>
  <c r="AG986" i="16"/>
  <c r="L986" i="21"/>
  <c r="O986" i="21" s="1"/>
  <c r="L864" i="21"/>
  <c r="O864" i="21" s="1"/>
  <c r="AG864" i="16"/>
  <c r="AG818" i="16"/>
  <c r="L818" i="21"/>
  <c r="O818" i="21" s="1"/>
  <c r="L967" i="21"/>
  <c r="O967" i="21" s="1"/>
  <c r="L966" i="21"/>
  <c r="O966" i="21" s="1"/>
  <c r="AG407" i="16"/>
  <c r="L407" i="21"/>
  <c r="O407" i="21" s="1"/>
  <c r="AG211" i="16"/>
  <c r="L211" i="21"/>
  <c r="O211" i="21" s="1"/>
  <c r="AG537" i="16"/>
  <c r="L537" i="21"/>
  <c r="O537" i="21" s="1"/>
  <c r="L605" i="21"/>
  <c r="O605" i="21" s="1"/>
  <c r="L565" i="21"/>
  <c r="O565" i="21" s="1"/>
  <c r="L566" i="21"/>
  <c r="O566" i="21" s="1"/>
  <c r="L598" i="21"/>
  <c r="O598" i="21" s="1"/>
  <c r="L567" i="21"/>
  <c r="O567" i="21" s="1"/>
  <c r="L572" i="21"/>
  <c r="O572" i="21" s="1"/>
  <c r="L776" i="21"/>
  <c r="O776" i="21" s="1"/>
  <c r="L777" i="21"/>
  <c r="O777" i="21" s="1"/>
  <c r="L895" i="21"/>
  <c r="O895" i="21" s="1"/>
  <c r="AG895" i="16"/>
  <c r="AG875" i="16"/>
  <c r="L875" i="21"/>
  <c r="O875" i="21" s="1"/>
  <c r="AG936" i="16"/>
  <c r="L936" i="21"/>
  <c r="O936" i="21" s="1"/>
  <c r="L871" i="21"/>
  <c r="O871" i="21" s="1"/>
  <c r="AG871" i="16"/>
  <c r="AG852" i="16"/>
  <c r="L852" i="21"/>
  <c r="O852" i="21" s="1"/>
  <c r="L613" i="21"/>
  <c r="O613" i="21" s="1"/>
  <c r="AG613" i="16"/>
  <c r="AG178" i="16"/>
  <c r="L178" i="21"/>
  <c r="O178" i="21" s="1"/>
  <c r="AG419" i="16"/>
  <c r="L419" i="21"/>
  <c r="O419" i="21" s="1"/>
  <c r="L753" i="21"/>
  <c r="O753" i="21" s="1"/>
  <c r="L745" i="21"/>
  <c r="O745" i="21" s="1"/>
  <c r="L737" i="21"/>
  <c r="O737" i="21" s="1"/>
  <c r="L729" i="21"/>
  <c r="O729" i="21" s="1"/>
  <c r="L721" i="21"/>
  <c r="O721" i="21" s="1"/>
  <c r="L713" i="21"/>
  <c r="O713" i="21" s="1"/>
  <c r="L705" i="21"/>
  <c r="O705" i="21" s="1"/>
  <c r="L697" i="21"/>
  <c r="O697" i="21" s="1"/>
  <c r="L689" i="21"/>
  <c r="O689" i="21" s="1"/>
  <c r="L738" i="21"/>
  <c r="O738" i="21" s="1"/>
  <c r="L706" i="21"/>
  <c r="O706" i="21" s="1"/>
  <c r="L683" i="21"/>
  <c r="O683" i="21" s="1"/>
  <c r="L718" i="21"/>
  <c r="O718" i="21" s="1"/>
  <c r="L756" i="21"/>
  <c r="O756" i="21" s="1"/>
  <c r="L724" i="21"/>
  <c r="O724" i="21" s="1"/>
  <c r="L744" i="21"/>
  <c r="O744" i="21" s="1"/>
  <c r="L726" i="21"/>
  <c r="O726" i="21" s="1"/>
  <c r="L734" i="21"/>
  <c r="O734" i="21" s="1"/>
  <c r="L692" i="21"/>
  <c r="O692" i="21" s="1"/>
  <c r="L815" i="21"/>
  <c r="O815" i="21" s="1"/>
  <c r="L849" i="21"/>
  <c r="O849" i="21" s="1"/>
  <c r="AG849" i="16"/>
  <c r="AG307" i="16"/>
  <c r="L307" i="21"/>
  <c r="O307" i="21" s="1"/>
  <c r="L666" i="21"/>
  <c r="O666" i="21" s="1"/>
  <c r="L905" i="21"/>
  <c r="O905" i="21" s="1"/>
  <c r="L930" i="21"/>
  <c r="O930" i="21" s="1"/>
  <c r="AG805" i="16"/>
  <c r="L568" i="21"/>
  <c r="O568" i="21" s="1"/>
  <c r="L564" i="21"/>
  <c r="O564" i="21" s="1"/>
  <c r="L606" i="21"/>
  <c r="O606" i="21" s="1"/>
  <c r="L569" i="21"/>
  <c r="O569" i="21" s="1"/>
  <c r="AG540" i="16"/>
  <c r="L299" i="21"/>
  <c r="O299" i="21" s="1"/>
  <c r="L294" i="21"/>
  <c r="O294" i="21" s="1"/>
  <c r="L119" i="21"/>
  <c r="O119" i="21" s="1"/>
  <c r="L539" i="21"/>
  <c r="O539" i="21" s="1"/>
  <c r="L180" i="21"/>
  <c r="O180" i="21" s="1"/>
  <c r="O754" i="21"/>
  <c r="AG814" i="16"/>
  <c r="L218" i="21"/>
  <c r="O218" i="21" s="1"/>
  <c r="L264" i="21"/>
  <c r="O264" i="21" s="1"/>
  <c r="L260" i="21"/>
  <c r="O260" i="21" s="1"/>
  <c r="L810" i="21"/>
  <c r="O810" i="21" s="1"/>
  <c r="AG154" i="16"/>
  <c r="L297" i="21"/>
  <c r="O297" i="21" s="1"/>
  <c r="L515" i="21"/>
  <c r="O515" i="21" s="1"/>
  <c r="L920" i="21"/>
  <c r="O920" i="21" s="1"/>
  <c r="L611" i="21"/>
  <c r="O611" i="21" s="1"/>
  <c r="AG300" i="16"/>
  <c r="L570" i="21"/>
  <c r="O570" i="21" s="1"/>
  <c r="L571" i="21"/>
  <c r="O571" i="21" s="1"/>
  <c r="L600" i="21"/>
  <c r="O600" i="21" s="1"/>
  <c r="L573" i="21"/>
  <c r="O573" i="21" s="1"/>
  <c r="L987" i="21"/>
  <c r="O987" i="21" s="1"/>
  <c r="L188" i="21"/>
  <c r="O188" i="21" s="1"/>
  <c r="AG449" i="16"/>
  <c r="L900" i="21"/>
  <c r="O900" i="21" s="1"/>
  <c r="L311" i="21"/>
  <c r="O311" i="21" s="1"/>
  <c r="AG451" i="16"/>
  <c r="AG443" i="16"/>
  <c r="AG842" i="16"/>
  <c r="AG170" i="16"/>
  <c r="AG121" i="16"/>
  <c r="L631" i="21"/>
  <c r="O631" i="21" s="1"/>
  <c r="L829" i="21"/>
  <c r="O829" i="21" s="1"/>
  <c r="L59" i="21"/>
  <c r="O59" i="21" s="1"/>
  <c r="L422" i="21"/>
  <c r="O422" i="21" s="1"/>
  <c r="L489" i="21"/>
  <c r="O489" i="21" s="1"/>
  <c r="L194" i="21"/>
  <c r="O194" i="21" s="1"/>
  <c r="AG901" i="16"/>
  <c r="AG947" i="16"/>
  <c r="L495" i="21"/>
  <c r="O495" i="21" s="1"/>
  <c r="L263" i="21"/>
  <c r="O263" i="21" s="1"/>
  <c r="AG984" i="16"/>
  <c r="AG939" i="16"/>
  <c r="L309" i="21"/>
  <c r="O309" i="21" s="1"/>
  <c r="L304" i="21"/>
  <c r="O304" i="21" s="1"/>
  <c r="L812" i="21"/>
  <c r="O812" i="21" s="1"/>
  <c r="L219" i="21"/>
  <c r="O219" i="21" s="1"/>
  <c r="L483" i="21"/>
  <c r="O483" i="21" s="1"/>
  <c r="AG883" i="16"/>
  <c r="L799" i="21"/>
  <c r="O799" i="21" s="1"/>
  <c r="L502" i="21"/>
  <c r="O502" i="21" s="1"/>
  <c r="L431" i="21"/>
  <c r="O431" i="21" s="1"/>
  <c r="L491" i="21"/>
  <c r="O491" i="21" s="1"/>
  <c r="L844" i="21"/>
  <c r="O844" i="21" s="1"/>
  <c r="L881" i="21"/>
  <c r="O881" i="21" s="1"/>
  <c r="AG906" i="16"/>
  <c r="L813" i="21"/>
  <c r="O813" i="21" s="1"/>
  <c r="L214" i="21"/>
  <c r="O214" i="21" s="1"/>
  <c r="AG985" i="16"/>
  <c r="L811" i="21"/>
  <c r="O811" i="21" s="1"/>
  <c r="L428" i="21"/>
  <c r="O428" i="21" s="1"/>
  <c r="L220" i="21"/>
  <c r="O220" i="21" s="1"/>
  <c r="L902" i="21"/>
  <c r="O902" i="21" s="1"/>
  <c r="L863" i="21"/>
  <c r="O863" i="21" s="1"/>
  <c r="AG909" i="16"/>
  <c r="AG56" i="16"/>
  <c r="AG934" i="16"/>
  <c r="AG52" i="16"/>
  <c r="AG979" i="16"/>
  <c r="AG847" i="16"/>
  <c r="AG982" i="16"/>
  <c r="AG835" i="16"/>
  <c r="AG618" i="16"/>
  <c r="L670" i="21"/>
  <c r="O670" i="21" s="1"/>
  <c r="L532" i="21"/>
  <c r="O532" i="21" s="1"/>
  <c r="L417" i="21"/>
  <c r="O417" i="21" s="1"/>
  <c r="L490" i="21"/>
  <c r="O490" i="21" s="1"/>
  <c r="AG500" i="16"/>
  <c r="L426" i="21"/>
  <c r="O426" i="21" s="1"/>
  <c r="L301" i="21"/>
  <c r="O301" i="21" s="1"/>
  <c r="L296" i="21"/>
  <c r="O296" i="21" s="1"/>
  <c r="L212" i="21"/>
  <c r="O212" i="21" s="1"/>
  <c r="AG918" i="16"/>
  <c r="AG531" i="16"/>
  <c r="AG628" i="16"/>
  <c r="L494" i="21"/>
  <c r="O494" i="21" s="1"/>
  <c r="L830" i="21"/>
  <c r="O830" i="21" s="1"/>
  <c r="L487" i="21"/>
  <c r="O487" i="21" s="1"/>
  <c r="AG893" i="16"/>
  <c r="L858" i="21"/>
  <c r="O858" i="21" s="1"/>
  <c r="L498" i="21"/>
  <c r="O498" i="21" s="1"/>
  <c r="L131" i="21"/>
  <c r="O131" i="21" s="1"/>
  <c r="L856" i="21"/>
  <c r="O856" i="21" s="1"/>
  <c r="L621" i="21"/>
  <c r="O621" i="21" s="1"/>
  <c r="AG625" i="16"/>
  <c r="L610" i="21"/>
  <c r="O610" i="21" s="1"/>
  <c r="L867" i="21"/>
  <c r="O867" i="21" s="1"/>
  <c r="AG983" i="16"/>
  <c r="L534" i="21"/>
  <c r="O534" i="21" s="1"/>
  <c r="L127" i="21"/>
  <c r="O127" i="21" s="1"/>
  <c r="L123" i="21"/>
  <c r="O123" i="21" s="1"/>
  <c r="L363" i="21"/>
  <c r="O363" i="21" s="1"/>
  <c r="L961" i="21"/>
  <c r="O961" i="21" s="1"/>
  <c r="AG943" i="16"/>
  <c r="L504" i="21"/>
  <c r="O504" i="21" s="1"/>
  <c r="L851" i="21"/>
  <c r="O851" i="21" s="1"/>
  <c r="L358" i="21"/>
  <c r="O358" i="21" s="1"/>
  <c r="L808" i="21"/>
  <c r="O808" i="21" s="1"/>
  <c r="L846" i="21"/>
  <c r="O846" i="21" s="1"/>
  <c r="L295" i="21"/>
  <c r="O295" i="21" s="1"/>
  <c r="L535" i="21"/>
  <c r="O535" i="21" s="1"/>
  <c r="L371" i="21"/>
  <c r="O371" i="21" s="1"/>
  <c r="AG51" i="16"/>
  <c r="L497" i="21"/>
  <c r="O497" i="21" s="1"/>
  <c r="L409" i="21"/>
  <c r="O409" i="21" s="1"/>
  <c r="L809" i="21"/>
  <c r="O809" i="21" s="1"/>
  <c r="L845" i="21"/>
  <c r="O845" i="21" s="1"/>
  <c r="L505" i="21"/>
  <c r="O505" i="21" s="1"/>
  <c r="L656" i="21"/>
  <c r="O656" i="21" s="1"/>
  <c r="AG796" i="16"/>
  <c r="AG862" i="16"/>
  <c r="AG885" i="16"/>
  <c r="AG914" i="16"/>
  <c r="AG3" i="16"/>
  <c r="AG907" i="16"/>
  <c r="L2" i="21"/>
  <c r="O2" i="21" s="1"/>
  <c r="AG825" i="16"/>
  <c r="L643" i="21"/>
  <c r="O643" i="21" s="1"/>
  <c r="AG629" i="16"/>
  <c r="L647" i="21"/>
  <c r="O647" i="21" s="1"/>
  <c r="L676" i="21"/>
  <c r="O676" i="21" s="1"/>
  <c r="L816" i="21"/>
  <c r="O816" i="21" s="1"/>
  <c r="L769" i="21"/>
  <c r="O769" i="21" s="1"/>
  <c r="L766" i="21"/>
  <c r="O766" i="21" s="1"/>
  <c r="L942" i="21"/>
  <c r="O942" i="21" s="1"/>
  <c r="L819" i="21"/>
  <c r="O819" i="21" s="1"/>
  <c r="L632" i="21"/>
  <c r="O632" i="21" s="1"/>
  <c r="L978" i="21"/>
  <c r="O978" i="21" s="1"/>
  <c r="L657" i="21"/>
  <c r="O657" i="21" s="1"/>
  <c r="L622" i="21"/>
  <c r="O622" i="21" s="1"/>
  <c r="L929" i="21"/>
  <c r="O929" i="21" s="1"/>
  <c r="L912" i="21"/>
  <c r="O912" i="21" s="1"/>
  <c r="L911" i="21"/>
  <c r="O911" i="21" s="1"/>
  <c r="L860" i="21"/>
  <c r="O860" i="21" s="1"/>
  <c r="K11" i="26"/>
  <c r="M11" i="26" s="1"/>
  <c r="L940" i="21"/>
  <c r="O940" i="21" s="1"/>
  <c r="L62" i="21"/>
  <c r="O62" i="21" s="1"/>
  <c r="L980" i="21"/>
  <c r="O980" i="21" s="1"/>
  <c r="L638" i="21"/>
  <c r="O638" i="21" s="1"/>
  <c r="L660" i="21"/>
  <c r="O660" i="21" s="1"/>
  <c r="L877" i="21"/>
  <c r="O877" i="21" s="1"/>
  <c r="L791" i="21"/>
  <c r="O791" i="21" s="1"/>
  <c r="L61" i="21"/>
  <c r="O61" i="21" s="1"/>
  <c r="K7" i="26"/>
  <c r="K13" i="26" s="1"/>
  <c r="L833" i="21"/>
  <c r="O833" i="21" s="1"/>
  <c r="L773" i="21"/>
  <c r="O773" i="21" s="1"/>
  <c r="L788" i="21"/>
  <c r="O788" i="21" s="1"/>
  <c r="L884" i="21"/>
  <c r="O884" i="21" s="1"/>
  <c r="L915" i="21"/>
  <c r="O915" i="21" s="1"/>
  <c r="L922" i="21"/>
  <c r="O922" i="21" s="1"/>
  <c r="L894" i="21"/>
  <c r="O894" i="21" s="1"/>
  <c r="L803" i="21"/>
  <c r="O803" i="21" s="1"/>
  <c r="AG649" i="16"/>
  <c r="L772" i="21"/>
  <c r="O772" i="21" s="1"/>
  <c r="L767" i="21"/>
  <c r="O767" i="21" s="1"/>
  <c r="L977" i="21"/>
  <c r="O977" i="21" s="1"/>
  <c r="L668" i="21"/>
  <c r="O668" i="21" s="1"/>
  <c r="L965" i="21"/>
  <c r="O965" i="21" s="1"/>
  <c r="L841" i="21"/>
  <c r="O841" i="21" s="1"/>
  <c r="AG838" i="16"/>
  <c r="L913" i="21"/>
  <c r="O913" i="21" s="1"/>
  <c r="AG879" i="16"/>
  <c r="L820" i="21"/>
  <c r="O820" i="21" s="1"/>
  <c r="L623" i="21"/>
  <c r="O623" i="21" s="1"/>
  <c r="L663" i="21"/>
  <c r="O663" i="21" s="1"/>
  <c r="AG890" i="16"/>
  <c r="L971" i="21"/>
  <c r="O971" i="21" s="1"/>
  <c r="L899" i="21"/>
  <c r="O899" i="21" s="1"/>
  <c r="L896" i="21"/>
  <c r="O896" i="21" s="1"/>
  <c r="L938" i="21"/>
  <c r="O938" i="21" s="1"/>
  <c r="L653" i="21"/>
  <c r="O653" i="21" s="1"/>
  <c r="L640" i="21"/>
  <c r="O640" i="21" s="1"/>
  <c r="L650" i="21"/>
  <c r="O650" i="21" s="1"/>
  <c r="AG868" i="16"/>
  <c r="AG958" i="16"/>
  <c r="AG801" i="16"/>
  <c r="L924" i="21"/>
  <c r="O924" i="21" s="1"/>
  <c r="L677" i="21"/>
  <c r="O677" i="21" s="1"/>
  <c r="AG795" i="16"/>
  <c r="L633" i="21"/>
  <c r="O633" i="21" s="1"/>
  <c r="L921" i="21"/>
  <c r="O921" i="21" s="1"/>
  <c r="L952" i="21"/>
  <c r="O952" i="21" s="1"/>
  <c r="L951" i="21"/>
  <c r="O951" i="21" s="1"/>
  <c r="L887" i="21"/>
  <c r="O887" i="21" s="1"/>
  <c r="L857" i="21"/>
  <c r="O857" i="21" s="1"/>
  <c r="O783" i="21"/>
  <c r="L869" i="21"/>
  <c r="O869" i="21" s="1"/>
  <c r="L950" i="21"/>
  <c r="O950" i="21" s="1"/>
  <c r="L4" i="21"/>
  <c r="O4" i="21" s="1"/>
  <c r="L957" i="21"/>
  <c r="O957" i="21" s="1"/>
  <c r="L956" i="21"/>
  <c r="O956" i="21" s="1"/>
  <c r="L954" i="21"/>
  <c r="O954" i="21" s="1"/>
  <c r="L664" i="21"/>
  <c r="O664" i="21" s="1"/>
  <c r="L928" i="21"/>
  <c r="O928" i="21" s="1"/>
  <c r="L927" i="21"/>
  <c r="O927" i="21" s="1"/>
  <c r="L832" i="21"/>
  <c r="O832" i="21" s="1"/>
  <c r="L672" i="21"/>
  <c r="O672" i="21" s="1"/>
  <c r="L675" i="21"/>
  <c r="O675" i="21" s="1"/>
  <c r="L866" i="21"/>
  <c r="O866" i="21" s="1"/>
  <c r="L630" i="21"/>
  <c r="O630" i="21" s="1"/>
  <c r="L955" i="21"/>
  <c r="O955" i="21" s="1"/>
  <c r="L931" i="21"/>
  <c r="O931" i="21" s="1"/>
  <c r="L834" i="21"/>
  <c r="O834" i="21" s="1"/>
  <c r="L824" i="21"/>
  <c r="O824" i="21" s="1"/>
  <c r="L892" i="21"/>
  <c r="O892" i="21" s="1"/>
  <c r="L674" i="21"/>
  <c r="O674" i="21" s="1"/>
  <c r="L945" i="21"/>
  <c r="O945" i="21" s="1"/>
  <c r="L870" i="21"/>
  <c r="O870" i="21" s="1"/>
  <c r="L802" i="21"/>
  <c r="O802" i="21" s="1"/>
  <c r="L637" i="21"/>
  <c r="O637" i="21" s="1"/>
  <c r="L976" i="21"/>
  <c r="O976" i="21" s="1"/>
  <c r="L889" i="21"/>
  <c r="O889" i="21" s="1"/>
  <c r="L904" i="21"/>
  <c r="O904" i="21" s="1"/>
  <c r="L919" i="21"/>
  <c r="O919" i="21" s="1"/>
  <c r="L891" i="21"/>
  <c r="O891" i="21" s="1"/>
  <c r="L58" i="21"/>
  <c r="O58" i="21" s="1"/>
  <c r="L963" i="21"/>
  <c r="O963" i="21" s="1"/>
  <c r="L968" i="21"/>
  <c r="O968" i="21" s="1"/>
  <c r="L970" i="21"/>
  <c r="O970" i="21" s="1"/>
  <c r="L975" i="21"/>
  <c r="O975" i="21" s="1"/>
  <c r="L859" i="21"/>
  <c r="O859" i="21" s="1"/>
  <c r="L627" i="21"/>
  <c r="O627" i="21" s="1"/>
  <c r="L882" i="21"/>
  <c r="O882" i="21" s="1"/>
  <c r="AG651" i="16"/>
  <c r="L837" i="21"/>
  <c r="O837" i="21" s="1"/>
  <c r="L678" i="21"/>
  <c r="O678" i="21" s="1"/>
  <c r="L933" i="21"/>
  <c r="O933" i="21" s="1"/>
  <c r="L969" i="21"/>
  <c r="O969" i="21" s="1"/>
  <c r="L972" i="21"/>
  <c r="O972" i="21" s="1"/>
  <c r="L973" i="21"/>
  <c r="O973" i="21" s="1"/>
  <c r="AG963" i="16"/>
  <c r="L636" i="21"/>
  <c r="O636" i="21" s="1"/>
  <c r="L680" i="21"/>
  <c r="O680" i="21" s="1"/>
  <c r="AG648" i="16"/>
  <c r="L897" i="21"/>
  <c r="O897" i="21" s="1"/>
  <c r="L960" i="21"/>
  <c r="O960" i="21" s="1"/>
  <c r="L910" i="21"/>
  <c r="O910" i="21" s="1"/>
  <c r="L57" i="21"/>
  <c r="O57" i="21" s="1"/>
  <c r="L925" i="21"/>
  <c r="O925" i="21" s="1"/>
  <c r="L923" i="21"/>
  <c r="O923" i="21" s="1"/>
  <c r="L793" i="21"/>
  <c r="O793" i="21" s="1"/>
  <c r="L861" i="21"/>
  <c r="O861" i="21" s="1"/>
  <c r="L827" i="21"/>
  <c r="O827" i="21" s="1"/>
  <c r="L964" i="21"/>
  <c r="O964" i="21" s="1"/>
  <c r="L974" i="21"/>
  <c r="O974" i="21" s="1"/>
  <c r="AP5" i="16"/>
  <c r="AQ5" i="16" s="1"/>
  <c r="O609" i="21"/>
  <c r="L635" i="21"/>
  <c r="O635" i="21" s="1"/>
  <c r="AC10" i="21"/>
  <c r="L655" i="21"/>
  <c r="O655" i="21" s="1"/>
  <c r="L949" i="21"/>
  <c r="O949" i="21" s="1"/>
  <c r="L917" i="21"/>
  <c r="O917" i="21" s="1"/>
  <c r="L948" i="21"/>
  <c r="O948" i="21" s="1"/>
  <c r="L916" i="21"/>
  <c r="O916" i="21" s="1"/>
  <c r="L792" i="21"/>
  <c r="O792" i="21" s="1"/>
  <c r="L55" i="21"/>
  <c r="O55" i="21" s="1"/>
  <c r="L822" i="21"/>
  <c r="O822" i="21" s="1"/>
  <c r="L626" i="21"/>
  <c r="O626" i="21" s="1"/>
  <c r="L634" i="21"/>
  <c r="O634" i="21" s="1"/>
  <c r="L679" i="21"/>
  <c r="O679" i="21" s="1"/>
  <c r="L800" i="21"/>
  <c r="O800" i="21" s="1"/>
  <c r="L821" i="21"/>
  <c r="O821" i="21" s="1"/>
  <c r="L661" i="21"/>
  <c r="O661" i="21" s="1"/>
  <c r="L865" i="21"/>
  <c r="O865" i="21" s="1"/>
  <c r="L944" i="21"/>
  <c r="O944" i="21" s="1"/>
  <c r="L880" i="21"/>
  <c r="O880" i="21" s="1"/>
  <c r="L898" i="21"/>
  <c r="O898" i="21" s="1"/>
  <c r="L797" i="21"/>
  <c r="O797" i="21" s="1"/>
  <c r="L798" i="21"/>
  <c r="O798" i="21" s="1"/>
  <c r="L855" i="21"/>
  <c r="O855" i="21" s="1"/>
  <c r="L908" i="21"/>
  <c r="O908" i="21" s="1"/>
  <c r="L624" i="21"/>
  <c r="O624" i="21" s="1"/>
  <c r="L642" i="21"/>
  <c r="O642" i="21" s="1"/>
  <c r="L872" i="21"/>
  <c r="O872" i="21" s="1"/>
  <c r="L903" i="21"/>
  <c r="O903" i="21" s="1"/>
  <c r="L790" i="21"/>
  <c r="O790" i="21" s="1"/>
  <c r="L669" i="21"/>
  <c r="O669" i="21" s="1"/>
  <c r="L937" i="21"/>
  <c r="O937" i="21" s="1"/>
  <c r="L873" i="21"/>
  <c r="O873" i="21" s="1"/>
  <c r="L874" i="21"/>
  <c r="O874" i="21" s="1"/>
  <c r="L926" i="21"/>
  <c r="O926" i="21" s="1"/>
  <c r="L681" i="21"/>
  <c r="O681" i="21" s="1"/>
  <c r="L652" i="21"/>
  <c r="O652" i="21" s="1"/>
  <c r="L774" i="21"/>
  <c r="O774" i="21" s="1"/>
  <c r="L787" i="21"/>
  <c r="O787" i="21" s="1"/>
  <c r="L782" i="21"/>
  <c r="O782" i="21" s="1"/>
  <c r="L646" i="21"/>
  <c r="O646" i="21" s="1"/>
  <c r="L778" i="21"/>
  <c r="O778" i="21" s="1"/>
  <c r="L779" i="21"/>
  <c r="O779" i="21" s="1"/>
  <c r="L789" i="21"/>
  <c r="O789" i="21" s="1"/>
  <c r="L768" i="21"/>
  <c r="O768" i="21" s="1"/>
  <c r="L784" i="21"/>
  <c r="O784" i="21" s="1"/>
  <c r="L765" i="21"/>
  <c r="O765" i="21" s="1"/>
  <c r="L764" i="21"/>
  <c r="O764" i="21" s="1"/>
  <c r="L762" i="21"/>
  <c r="O762" i="21" s="1"/>
  <c r="L758" i="21"/>
  <c r="O758" i="21" s="1"/>
  <c r="L780" i="21"/>
  <c r="O780" i="21" s="1"/>
  <c r="L785" i="21"/>
  <c r="O785" i="21" s="1"/>
  <c r="L759" i="21"/>
  <c r="O759" i="21" s="1"/>
  <c r="L775" i="21"/>
  <c r="O775" i="21" s="1"/>
  <c r="AG646" i="16"/>
  <c r="L761" i="21"/>
  <c r="O761" i="21" s="1"/>
  <c r="L770" i="21"/>
  <c r="O770" i="21" s="1"/>
  <c r="L763" i="21"/>
  <c r="O763" i="21" s="1"/>
  <c r="L771" i="21"/>
  <c r="O771" i="21" s="1"/>
  <c r="L781" i="21"/>
  <c r="O781" i="21" s="1"/>
  <c r="L786" i="21"/>
  <c r="O786" i="21" s="1"/>
  <c r="L760" i="21"/>
  <c r="O760" i="21" s="1"/>
  <c r="M9" i="26"/>
  <c r="K15" i="26"/>
  <c r="K14" i="26"/>
  <c r="O93" i="21"/>
  <c r="Y47" i="12"/>
  <c r="AB5" i="12"/>
  <c r="Y47" i="13"/>
  <c r="AB5" i="13"/>
  <c r="AC12" i="21" l="1"/>
  <c r="AB47" i="12"/>
  <c r="AF5" i="34"/>
  <c r="G13" i="29"/>
  <c r="I13" i="29" s="1"/>
  <c r="H29" i="29" s="1"/>
  <c r="I29" i="29" s="1"/>
  <c r="G8" i="29"/>
  <c r="I8" i="29" s="1"/>
  <c r="D29" i="29" s="1"/>
  <c r="F29" i="29" s="1"/>
  <c r="I15" i="25"/>
  <c r="I14" i="25"/>
  <c r="M7" i="26"/>
  <c r="M13" i="26" s="1"/>
  <c r="AC7" i="21"/>
  <c r="AP3" i="16"/>
  <c r="AQ3" i="16" s="1"/>
  <c r="G5" i="28"/>
  <c r="G10" i="28"/>
  <c r="AP6" i="16"/>
  <c r="AQ6" i="16" s="1"/>
  <c r="AP7" i="16"/>
  <c r="AQ7" i="16" s="1"/>
  <c r="T7" i="21"/>
  <c r="T12" i="21"/>
  <c r="AC11" i="21"/>
  <c r="AP4" i="16"/>
  <c r="AQ4" i="16" s="1"/>
  <c r="W12" i="21"/>
  <c r="W7" i="21"/>
  <c r="T10" i="21"/>
  <c r="W9" i="21"/>
  <c r="W11" i="21"/>
  <c r="T11" i="21"/>
  <c r="T9" i="21"/>
  <c r="AC9" i="21"/>
  <c r="W10" i="21"/>
  <c r="M15" i="26"/>
  <c r="M14" i="26"/>
  <c r="AB47" i="13"/>
  <c r="AA90" i="16"/>
  <c r="AA86" i="16"/>
  <c r="AA82" i="16"/>
  <c r="AA12" i="16"/>
  <c r="AA83" i="16"/>
  <c r="AA13" i="16"/>
  <c r="AA89" i="16"/>
  <c r="AA85" i="16"/>
  <c r="AA81" i="16"/>
  <c r="AA11" i="16"/>
  <c r="AA91" i="16"/>
  <c r="AA92" i="16"/>
  <c r="AA88" i="16"/>
  <c r="AA84" i="16"/>
  <c r="AA14" i="16"/>
  <c r="AA87" i="16"/>
  <c r="Z12" i="21" l="1"/>
  <c r="AH12" i="21" s="1"/>
  <c r="AP9" i="16"/>
  <c r="AQ9" i="16" s="1"/>
  <c r="Z7" i="21"/>
  <c r="AH7" i="21" s="1"/>
  <c r="Z11" i="21"/>
  <c r="AH11" i="21" s="1"/>
  <c r="Z10" i="21"/>
  <c r="AH10" i="21" s="1"/>
  <c r="Z9" i="21"/>
  <c r="AH9" i="21" s="1"/>
  <c r="AG91" i="16"/>
  <c r="L91" i="21"/>
  <c r="O91" i="21" s="1"/>
  <c r="AG89" i="16"/>
  <c r="L89" i="21"/>
  <c r="O89" i="21" s="1"/>
  <c r="AG82" i="16"/>
  <c r="L82" i="21"/>
  <c r="O82" i="21" s="1"/>
  <c r="AG84" i="16"/>
  <c r="L84" i="21"/>
  <c r="O84" i="21" s="1"/>
  <c r="AG11" i="16"/>
  <c r="L11" i="21"/>
  <c r="AG13" i="16"/>
  <c r="L13" i="21"/>
  <c r="O13" i="21" s="1"/>
  <c r="AG86" i="16"/>
  <c r="L86" i="21"/>
  <c r="O86" i="21" s="1"/>
  <c r="AG88" i="16"/>
  <c r="L88" i="21"/>
  <c r="O88" i="21" s="1"/>
  <c r="AG81" i="16"/>
  <c r="L81" i="21"/>
  <c r="O81" i="21" s="1"/>
  <c r="AG83" i="16"/>
  <c r="L83" i="21"/>
  <c r="O83" i="21" s="1"/>
  <c r="AG90" i="16"/>
  <c r="L90" i="21"/>
  <c r="O90" i="21" s="1"/>
  <c r="AG14" i="16"/>
  <c r="L14" i="21"/>
  <c r="O14" i="21" s="1"/>
  <c r="AG87" i="16"/>
  <c r="L87" i="21"/>
  <c r="O87" i="21" s="1"/>
  <c r="AG92" i="16"/>
  <c r="L92" i="21"/>
  <c r="O92" i="21" s="1"/>
  <c r="AG85" i="16"/>
  <c r="L85" i="21"/>
  <c r="O85" i="21" s="1"/>
  <c r="AG12" i="16"/>
  <c r="L12" i="21"/>
  <c r="O12" i="21" s="1"/>
  <c r="AP2" i="16"/>
  <c r="AC6" i="21" l="1"/>
  <c r="O11" i="21"/>
  <c r="W6" i="21" s="1"/>
  <c r="T6" i="21"/>
  <c r="AP8" i="16"/>
  <c r="AQ2" i="16"/>
  <c r="Z6" i="21" l="1"/>
  <c r="AH6" i="21" s="1"/>
  <c r="AQ8" i="16"/>
  <c r="AP10" i="16"/>
  <c r="AQ10" i="16" s="1"/>
  <c r="K2" i="21" l="1"/>
  <c r="N2" i="21"/>
  <c r="K3" i="21"/>
  <c r="N3" i="21"/>
  <c r="K4" i="21"/>
  <c r="N4" i="21"/>
  <c r="J5" i="21"/>
  <c r="M5" i="21"/>
  <c r="J6" i="21"/>
  <c r="M6" i="21"/>
  <c r="R6" i="21"/>
  <c r="S6" i="21"/>
  <c r="U6" i="21"/>
  <c r="V6" i="21"/>
  <c r="X6" i="21"/>
  <c r="Y6" i="21"/>
  <c r="AA6" i="21"/>
  <c r="AB6" i="21"/>
  <c r="AD6" i="21"/>
  <c r="AE6" i="21"/>
  <c r="AF6" i="21"/>
  <c r="AG6" i="21"/>
  <c r="AI6" i="21"/>
  <c r="AJ6" i="21"/>
  <c r="J7" i="21"/>
  <c r="M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M8" i="21"/>
  <c r="J9" i="21"/>
  <c r="M9" i="21"/>
  <c r="S9" i="21"/>
  <c r="V9" i="21"/>
  <c r="Y9" i="21"/>
  <c r="AB9" i="21"/>
  <c r="AE9" i="21"/>
  <c r="AG9" i="21"/>
  <c r="AJ9" i="21"/>
  <c r="J10" i="21"/>
  <c r="M10" i="21"/>
  <c r="S10" i="21"/>
  <c r="V10" i="21"/>
  <c r="Y10" i="21"/>
  <c r="AB10" i="21"/>
  <c r="AE10" i="21"/>
  <c r="AG10" i="21"/>
  <c r="AJ10" i="21"/>
  <c r="K11" i="21"/>
  <c r="N11" i="21"/>
  <c r="S11" i="21"/>
  <c r="V11" i="21"/>
  <c r="Y11" i="21"/>
  <c r="AB11" i="21"/>
  <c r="AE11" i="21"/>
  <c r="AG11" i="21"/>
  <c r="AJ11" i="21"/>
  <c r="K12" i="21"/>
  <c r="N12" i="21"/>
  <c r="S12" i="21"/>
  <c r="V12" i="21"/>
  <c r="Y12" i="21"/>
  <c r="AB12" i="21"/>
  <c r="AG12" i="21"/>
  <c r="AJ12" i="21"/>
  <c r="K13" i="21"/>
  <c r="N13" i="21"/>
  <c r="K14" i="21"/>
  <c r="N14" i="21"/>
  <c r="K15" i="21"/>
  <c r="N15" i="21"/>
  <c r="K16" i="21"/>
  <c r="N16" i="21"/>
  <c r="K17" i="21"/>
  <c r="N17" i="21"/>
  <c r="K18" i="21"/>
  <c r="N18" i="21"/>
  <c r="K19" i="21"/>
  <c r="N19" i="21"/>
  <c r="K20" i="21"/>
  <c r="N20" i="21"/>
  <c r="K21" i="21"/>
  <c r="N21" i="21"/>
  <c r="K22" i="21"/>
  <c r="N22" i="21"/>
  <c r="K23" i="21"/>
  <c r="N23" i="21"/>
  <c r="K24" i="21"/>
  <c r="N24" i="21"/>
  <c r="K25" i="21"/>
  <c r="N25" i="21"/>
  <c r="K26" i="21"/>
  <c r="N26" i="21"/>
  <c r="J27" i="21"/>
  <c r="M27" i="21"/>
  <c r="J28" i="21"/>
  <c r="M28" i="21"/>
  <c r="J29" i="21"/>
  <c r="M29" i="21"/>
  <c r="J30" i="21"/>
  <c r="M30" i="21"/>
  <c r="J31" i="21"/>
  <c r="M31" i="21"/>
  <c r="J32" i="21"/>
  <c r="M32" i="21"/>
  <c r="J33" i="21"/>
  <c r="M33" i="21"/>
  <c r="J34" i="21"/>
  <c r="M34" i="21"/>
  <c r="J35" i="21"/>
  <c r="M35" i="21"/>
  <c r="J36" i="21"/>
  <c r="M36" i="21"/>
  <c r="J37" i="21"/>
  <c r="M37" i="21"/>
  <c r="J38" i="21"/>
  <c r="M38" i="21"/>
  <c r="K39" i="21"/>
  <c r="N39" i="21"/>
  <c r="K40" i="21"/>
  <c r="N40" i="21"/>
  <c r="K41" i="21"/>
  <c r="N41" i="21"/>
  <c r="K42" i="21"/>
  <c r="N42" i="21"/>
  <c r="K43" i="21"/>
  <c r="N43" i="21"/>
  <c r="K44" i="21"/>
  <c r="N44" i="21"/>
  <c r="K45" i="21"/>
  <c r="N45" i="21"/>
  <c r="K46" i="21"/>
  <c r="N46" i="21"/>
  <c r="K47" i="21"/>
  <c r="N47" i="21"/>
  <c r="K48" i="21"/>
  <c r="N48" i="21"/>
  <c r="K49" i="21"/>
  <c r="N49" i="21"/>
  <c r="K50" i="21"/>
  <c r="N50" i="21"/>
  <c r="K51" i="21"/>
  <c r="N51" i="21"/>
  <c r="K52" i="21"/>
  <c r="N52" i="21"/>
  <c r="K53" i="21"/>
  <c r="N53" i="21"/>
  <c r="K54" i="21"/>
  <c r="N54" i="21"/>
  <c r="K55" i="21"/>
  <c r="N55" i="21"/>
  <c r="K56" i="21"/>
  <c r="N56" i="21"/>
  <c r="K57" i="21"/>
  <c r="N57" i="21"/>
  <c r="K58" i="21"/>
  <c r="N58" i="21"/>
  <c r="K59" i="21"/>
  <c r="N59" i="21"/>
  <c r="K60" i="21"/>
  <c r="N60" i="21"/>
  <c r="K61" i="21"/>
  <c r="N61" i="21"/>
  <c r="K62" i="21"/>
  <c r="N62" i="21"/>
  <c r="J63" i="21"/>
  <c r="M63" i="21"/>
  <c r="J64" i="21"/>
  <c r="M64" i="21"/>
  <c r="J65" i="21"/>
  <c r="M65" i="21"/>
  <c r="J66" i="21"/>
  <c r="M66" i="21"/>
  <c r="J67" i="21"/>
  <c r="M67" i="21"/>
  <c r="J68" i="21"/>
  <c r="M68" i="21"/>
  <c r="J69" i="21"/>
  <c r="M69" i="21"/>
  <c r="J70" i="21"/>
  <c r="M70" i="21"/>
  <c r="J71" i="21"/>
  <c r="M71" i="21"/>
  <c r="J72" i="21"/>
  <c r="M72" i="21"/>
  <c r="J73" i="21"/>
  <c r="M73" i="21"/>
  <c r="J74" i="21"/>
  <c r="M74" i="21"/>
  <c r="J75" i="21"/>
  <c r="M75" i="21"/>
  <c r="J76" i="21"/>
  <c r="M76" i="21"/>
  <c r="J77" i="21"/>
  <c r="M77" i="21"/>
  <c r="J78" i="21"/>
  <c r="M78" i="21"/>
  <c r="J79" i="21"/>
  <c r="M79" i="21"/>
  <c r="J80" i="21"/>
  <c r="M80" i="21"/>
  <c r="K81" i="21"/>
  <c r="N81" i="21"/>
  <c r="K82" i="21"/>
  <c r="N82" i="21"/>
  <c r="K83" i="21"/>
  <c r="N83" i="21"/>
  <c r="K84" i="21"/>
  <c r="N84" i="21"/>
  <c r="K85" i="21"/>
  <c r="N85" i="21"/>
  <c r="K86" i="21"/>
  <c r="N86" i="21"/>
  <c r="K87" i="21"/>
  <c r="N87" i="21"/>
  <c r="K88" i="21"/>
  <c r="N88" i="21"/>
  <c r="K89" i="21"/>
  <c r="N89" i="21"/>
  <c r="K90" i="21"/>
  <c r="N90" i="21"/>
  <c r="K91" i="21"/>
  <c r="N91" i="21"/>
  <c r="K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J136" i="21"/>
  <c r="K136" i="21"/>
  <c r="M136" i="21"/>
  <c r="N136" i="21"/>
  <c r="J137" i="21"/>
  <c r="K137" i="21"/>
  <c r="M137" i="21"/>
  <c r="N137" i="21"/>
  <c r="J138" i="21"/>
  <c r="K138" i="21"/>
  <c r="M138" i="21"/>
  <c r="N138" i="21"/>
  <c r="J139" i="21"/>
  <c r="K139" i="21"/>
  <c r="M139" i="21"/>
  <c r="N139" i="21"/>
  <c r="J140" i="21"/>
  <c r="K140" i="21"/>
  <c r="M140" i="21"/>
  <c r="N140" i="21"/>
  <c r="J141" i="21"/>
  <c r="K141" i="21"/>
  <c r="M141" i="21"/>
  <c r="N141" i="21"/>
  <c r="J142" i="21"/>
  <c r="K142" i="21"/>
  <c r="M142" i="21"/>
  <c r="N142" i="21"/>
  <c r="J143" i="21"/>
  <c r="K143" i="21"/>
  <c r="M143" i="21"/>
  <c r="N143" i="21"/>
  <c r="K144" i="21"/>
  <c r="N144" i="21"/>
  <c r="K145" i="21"/>
  <c r="N145" i="21"/>
  <c r="K146" i="21"/>
  <c r="N146" i="21"/>
  <c r="J147" i="21"/>
  <c r="K147" i="21"/>
  <c r="M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K184" i="21"/>
  <c r="M184" i="21"/>
  <c r="N184" i="21"/>
  <c r="J185" i="21"/>
  <c r="K185" i="21"/>
  <c r="M185" i="21"/>
  <c r="N185" i="21"/>
  <c r="J186" i="21"/>
  <c r="K186" i="21"/>
  <c r="M186" i="21"/>
  <c r="N186" i="21"/>
  <c r="J187" i="21"/>
  <c r="K187" i="21"/>
  <c r="M187" i="21"/>
  <c r="N187" i="21"/>
  <c r="J188" i="21"/>
  <c r="K188" i="21"/>
  <c r="M188" i="21"/>
  <c r="N188" i="21"/>
  <c r="J189" i="21"/>
  <c r="K189" i="21"/>
  <c r="M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J215" i="21"/>
  <c r="K215" i="21"/>
  <c r="M215" i="21"/>
  <c r="N215" i="21"/>
  <c r="J216" i="21"/>
  <c r="K216" i="21"/>
  <c r="M216" i="21"/>
  <c r="N216" i="21"/>
  <c r="J217" i="21"/>
  <c r="K217" i="21"/>
  <c r="M217" i="21"/>
  <c r="N217" i="21"/>
  <c r="J218" i="21"/>
  <c r="K218" i="21"/>
  <c r="M218" i="21"/>
  <c r="N218" i="21"/>
  <c r="J219" i="21"/>
  <c r="K219" i="21"/>
  <c r="M219" i="21"/>
  <c r="N219" i="21"/>
  <c r="J220" i="21"/>
  <c r="K220" i="21"/>
  <c r="M220" i="21"/>
  <c r="N220" i="21"/>
  <c r="J221" i="21"/>
  <c r="K221" i="21"/>
  <c r="M221" i="21"/>
  <c r="N221" i="21"/>
  <c r="J222" i="21"/>
  <c r="K222" i="21"/>
  <c r="M222" i="21"/>
  <c r="N222" i="21"/>
  <c r="J223" i="21"/>
  <c r="K223" i="21"/>
  <c r="M223" i="21"/>
  <c r="N223" i="21"/>
  <c r="J224" i="21"/>
  <c r="K224" i="21"/>
  <c r="M224" i="21"/>
  <c r="N224" i="21"/>
  <c r="J225" i="21"/>
  <c r="K225" i="21"/>
  <c r="M225" i="21"/>
  <c r="N225" i="21"/>
  <c r="J226" i="21"/>
  <c r="K226" i="21"/>
  <c r="M226" i="21"/>
  <c r="N226" i="21"/>
  <c r="J227" i="21"/>
  <c r="K227" i="21"/>
  <c r="M227" i="21"/>
  <c r="N227" i="21"/>
  <c r="J228" i="21"/>
  <c r="K228" i="21"/>
  <c r="M228" i="21"/>
  <c r="N228" i="21"/>
  <c r="J229" i="21"/>
  <c r="K229" i="21"/>
  <c r="M229" i="21"/>
  <c r="N229" i="21"/>
  <c r="J230" i="21"/>
  <c r="K230" i="21"/>
  <c r="M230" i="21"/>
  <c r="N230" i="21"/>
  <c r="J231" i="21"/>
  <c r="K231" i="21"/>
  <c r="M231" i="21"/>
  <c r="N231" i="21"/>
  <c r="J232" i="21"/>
  <c r="K232" i="21"/>
  <c r="M232" i="21"/>
  <c r="N232" i="21"/>
  <c r="J233" i="21"/>
  <c r="K233" i="21"/>
  <c r="M233" i="21"/>
  <c r="N233" i="21"/>
  <c r="J234" i="21"/>
  <c r="K234" i="21"/>
  <c r="M234" i="21"/>
  <c r="N234" i="21"/>
  <c r="J235" i="21"/>
  <c r="K235" i="21"/>
  <c r="M235" i="21"/>
  <c r="N235" i="21"/>
  <c r="J236" i="21"/>
  <c r="K236" i="21"/>
  <c r="M236" i="21"/>
  <c r="N236" i="21"/>
  <c r="J237" i="21"/>
  <c r="K237" i="21"/>
  <c r="M237" i="21"/>
  <c r="N237" i="21"/>
  <c r="J238" i="21"/>
  <c r="K238" i="21"/>
  <c r="M238" i="21"/>
  <c r="N238" i="21"/>
  <c r="J239" i="21"/>
  <c r="K239" i="21"/>
  <c r="M239" i="21"/>
  <c r="N239" i="21"/>
  <c r="J240" i="21"/>
  <c r="K240" i="21"/>
  <c r="M240" i="21"/>
  <c r="N240" i="21"/>
  <c r="J241" i="21"/>
  <c r="K241" i="21"/>
  <c r="M241" i="21"/>
  <c r="N241" i="21"/>
  <c r="J242" i="21"/>
  <c r="K242" i="21"/>
  <c r="M242" i="21"/>
  <c r="N242" i="21"/>
  <c r="J243" i="21"/>
  <c r="K243" i="21"/>
  <c r="M243" i="21"/>
  <c r="N243" i="21"/>
  <c r="J244" i="21"/>
  <c r="K244" i="21"/>
  <c r="M244" i="21"/>
  <c r="N244" i="21"/>
  <c r="J245" i="21"/>
  <c r="K245" i="21"/>
  <c r="M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K254" i="21"/>
  <c r="N254" i="21"/>
  <c r="K255" i="21"/>
  <c r="N255" i="21"/>
  <c r="K256" i="21"/>
  <c r="N256" i="21"/>
  <c r="K257" i="21"/>
  <c r="N257" i="21"/>
  <c r="K258" i="21"/>
  <c r="N258" i="21"/>
  <c r="K259" i="21"/>
  <c r="N259" i="21"/>
  <c r="K260" i="21"/>
  <c r="N260" i="21"/>
  <c r="K261" i="21"/>
  <c r="N261" i="21"/>
  <c r="K262" i="21"/>
  <c r="N262" i="21"/>
  <c r="K263" i="21"/>
  <c r="N263" i="21"/>
  <c r="K264" i="21"/>
  <c r="N264" i="21"/>
  <c r="K265" i="21"/>
  <c r="N265" i="21"/>
  <c r="K266" i="21"/>
  <c r="N266" i="21"/>
  <c r="J267" i="21"/>
  <c r="M267" i="21"/>
  <c r="J268" i="21"/>
  <c r="M268" i="21"/>
  <c r="J269" i="21"/>
  <c r="M269" i="21"/>
  <c r="J270" i="21"/>
  <c r="M270" i="21"/>
  <c r="J271" i="21"/>
  <c r="M271" i="21"/>
  <c r="J272" i="21"/>
  <c r="M272" i="21"/>
  <c r="J273" i="21"/>
  <c r="M273" i="21"/>
  <c r="J274" i="21"/>
  <c r="M274" i="21"/>
  <c r="J275" i="21"/>
  <c r="M275" i="21"/>
  <c r="J276" i="21"/>
  <c r="M276" i="21"/>
  <c r="J277" i="21"/>
  <c r="M277" i="21"/>
  <c r="J278" i="21"/>
  <c r="M278" i="21"/>
  <c r="J279" i="21"/>
  <c r="M279" i="21"/>
  <c r="J280" i="21"/>
  <c r="M280" i="21"/>
  <c r="J281" i="21"/>
  <c r="M281" i="21"/>
  <c r="J282" i="21"/>
  <c r="M282" i="21"/>
  <c r="J283" i="21"/>
  <c r="M283" i="21"/>
  <c r="J284" i="21"/>
  <c r="M284" i="21"/>
  <c r="J285" i="21"/>
  <c r="M285" i="21"/>
  <c r="J286" i="21"/>
  <c r="M286" i="21"/>
  <c r="J287" i="21"/>
  <c r="M287" i="21"/>
  <c r="J288" i="21"/>
  <c r="M288" i="21"/>
  <c r="J289" i="21"/>
  <c r="M289" i="21"/>
  <c r="J290" i="21"/>
  <c r="M290" i="21"/>
  <c r="J291" i="21"/>
  <c r="M291" i="21"/>
  <c r="J292" i="21"/>
  <c r="M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K322" i="21"/>
  <c r="N322" i="21"/>
  <c r="K323" i="21"/>
  <c r="N323" i="21"/>
  <c r="J324" i="21"/>
  <c r="M324" i="21"/>
  <c r="J325" i="21"/>
  <c r="M325" i="21"/>
  <c r="J326" i="21"/>
  <c r="M326" i="21"/>
  <c r="J327" i="21"/>
  <c r="M327" i="21"/>
  <c r="J328" i="21"/>
  <c r="M328" i="21"/>
  <c r="J329" i="21"/>
  <c r="M329" i="21"/>
  <c r="J330" i="21"/>
  <c r="M330" i="21"/>
  <c r="J331" i="21"/>
  <c r="M331" i="21"/>
  <c r="J332" i="21"/>
  <c r="M332" i="21"/>
  <c r="J333" i="21"/>
  <c r="M333" i="21"/>
  <c r="J334" i="21"/>
  <c r="M334" i="21"/>
  <c r="J335" i="21"/>
  <c r="M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J377" i="21"/>
  <c r="M377" i="21"/>
  <c r="J378" i="21"/>
  <c r="M378" i="21"/>
  <c r="J379" i="21"/>
  <c r="M379" i="21"/>
  <c r="J380" i="21"/>
  <c r="M380" i="21"/>
  <c r="J381" i="21"/>
  <c r="M381" i="21"/>
  <c r="J382" i="21"/>
  <c r="M382" i="21"/>
  <c r="J383" i="21"/>
  <c r="M383" i="21"/>
  <c r="J384" i="21"/>
  <c r="M384" i="21"/>
  <c r="J385" i="21"/>
  <c r="M385" i="21"/>
  <c r="J386" i="21"/>
  <c r="M386" i="21"/>
  <c r="J387" i="21"/>
  <c r="M387" i="21"/>
  <c r="J388" i="21"/>
  <c r="M388" i="21"/>
  <c r="J389" i="21"/>
  <c r="M389" i="21"/>
  <c r="J390" i="21"/>
  <c r="M390" i="21"/>
  <c r="J391" i="21"/>
  <c r="M391" i="21"/>
  <c r="J392" i="21"/>
  <c r="M392" i="21"/>
  <c r="J393" i="21"/>
  <c r="M393" i="21"/>
  <c r="J394" i="21"/>
  <c r="M394" i="21"/>
  <c r="J395" i="21"/>
  <c r="M395" i="21"/>
  <c r="J396" i="21"/>
  <c r="M396" i="21"/>
  <c r="J397" i="21"/>
  <c r="M397" i="21"/>
  <c r="J398" i="21"/>
  <c r="M398" i="21"/>
  <c r="J399" i="21"/>
  <c r="M399" i="21"/>
  <c r="J400" i="21"/>
  <c r="M400" i="21"/>
  <c r="J401" i="21"/>
  <c r="M401" i="21"/>
  <c r="J402" i="21"/>
  <c r="M402" i="21"/>
  <c r="J403" i="21"/>
  <c r="M403" i="21"/>
  <c r="J404" i="21"/>
  <c r="M404" i="21"/>
  <c r="J405" i="21"/>
  <c r="M405" i="21"/>
  <c r="J406" i="21"/>
  <c r="M406" i="21"/>
  <c r="K407" i="21"/>
  <c r="N407" i="21"/>
  <c r="K408" i="21"/>
  <c r="N408" i="21"/>
  <c r="K409" i="21"/>
  <c r="N409" i="21"/>
  <c r="K410" i="21"/>
  <c r="N410" i="21"/>
  <c r="K411" i="21"/>
  <c r="N411" i="21"/>
  <c r="K412" i="21"/>
  <c r="N412" i="21"/>
  <c r="K413" i="21"/>
  <c r="N413" i="21"/>
  <c r="K414" i="21"/>
  <c r="N414" i="21"/>
  <c r="K415" i="21"/>
  <c r="N415" i="21"/>
  <c r="K416" i="21"/>
  <c r="N416" i="21"/>
  <c r="K417" i="21"/>
  <c r="N417" i="21"/>
  <c r="K418" i="21"/>
  <c r="N418" i="21"/>
  <c r="K419" i="21"/>
  <c r="N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J460" i="21"/>
  <c r="M460" i="21"/>
  <c r="J461" i="21"/>
  <c r="M461" i="21"/>
  <c r="J462" i="21"/>
  <c r="M462" i="21"/>
  <c r="J463" i="21"/>
  <c r="M463" i="21"/>
  <c r="J464" i="21"/>
  <c r="M464" i="21"/>
  <c r="J465" i="21"/>
  <c r="M465" i="21"/>
  <c r="J466" i="21"/>
  <c r="M466" i="21"/>
  <c r="J467" i="21"/>
  <c r="M467" i="21"/>
  <c r="J468" i="21"/>
  <c r="M468" i="21"/>
  <c r="J469" i="21"/>
  <c r="M469" i="21"/>
  <c r="J470" i="21"/>
  <c r="M470" i="21"/>
  <c r="J471" i="21"/>
  <c r="M471" i="21"/>
  <c r="J472" i="21"/>
  <c r="M472" i="21"/>
  <c r="J473" i="21"/>
  <c r="M473" i="21"/>
  <c r="J474" i="21"/>
  <c r="M474" i="21"/>
  <c r="J475" i="21"/>
  <c r="M475" i="21"/>
  <c r="J476" i="21"/>
  <c r="M476" i="21"/>
  <c r="J477" i="21"/>
  <c r="M477" i="21"/>
  <c r="J478" i="21"/>
  <c r="M478" i="21"/>
  <c r="J479" i="21"/>
  <c r="M479" i="21"/>
  <c r="J480" i="21"/>
  <c r="M480" i="21"/>
  <c r="J481" i="21"/>
  <c r="M481" i="21"/>
  <c r="J482" i="21"/>
  <c r="M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J518" i="21"/>
  <c r="M518" i="21"/>
  <c r="J519" i="21"/>
  <c r="M519" i="21"/>
  <c r="J520" i="21"/>
  <c r="M520" i="21"/>
  <c r="J521" i="21"/>
  <c r="M521" i="21"/>
  <c r="J522" i="21"/>
  <c r="M522" i="21"/>
  <c r="J523" i="21"/>
  <c r="M523" i="21"/>
  <c r="J524" i="21"/>
  <c r="M524" i="21"/>
  <c r="J525" i="21"/>
  <c r="M525" i="21"/>
  <c r="J526" i="21"/>
  <c r="M526" i="21"/>
  <c r="J527" i="21"/>
  <c r="M527" i="21"/>
  <c r="J528" i="21"/>
  <c r="M528" i="21"/>
  <c r="J529" i="21"/>
  <c r="M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J552" i="21"/>
  <c r="M552" i="21"/>
  <c r="J553" i="21"/>
  <c r="M553" i="21"/>
  <c r="J554" i="21"/>
  <c r="M554" i="21"/>
  <c r="J555" i="21"/>
  <c r="M555" i="21"/>
  <c r="J556" i="21"/>
  <c r="M556" i="21"/>
  <c r="J557" i="21"/>
  <c r="M557" i="21"/>
  <c r="J558" i="21"/>
  <c r="M558" i="21"/>
  <c r="J559" i="21"/>
  <c r="M559" i="21"/>
  <c r="J560" i="21"/>
  <c r="M560" i="21"/>
  <c r="J561" i="21"/>
  <c r="M561" i="21"/>
  <c r="J562" i="21"/>
  <c r="M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J586" i="21"/>
  <c r="M586" i="21"/>
  <c r="J587" i="21"/>
  <c r="M587" i="21"/>
  <c r="J588" i="21"/>
  <c r="M588" i="21"/>
  <c r="J589" i="21"/>
  <c r="M589" i="21"/>
  <c r="J590" i="21"/>
  <c r="M590" i="21"/>
  <c r="J591" i="21"/>
  <c r="M591" i="21"/>
  <c r="J592" i="21"/>
  <c r="M592" i="21"/>
  <c r="J593" i="21"/>
  <c r="M593" i="21"/>
  <c r="J594" i="21"/>
  <c r="M594" i="21"/>
  <c r="J595" i="21"/>
  <c r="M595" i="21"/>
  <c r="J596" i="21"/>
  <c r="M596" i="21"/>
  <c r="J597" i="21"/>
  <c r="M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K899" i="21"/>
  <c r="N899" i="21"/>
  <c r="K900" i="21"/>
  <c r="N900" i="21"/>
  <c r="K901" i="21"/>
  <c r="N901" i="21"/>
  <c r="K902" i="21"/>
  <c r="N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D48" i="5"/>
  <c r="E48" i="5"/>
  <c r="F48" i="5"/>
  <c r="I48" i="5"/>
  <c r="D49" i="5"/>
  <c r="E49" i="5"/>
  <c r="F49" i="5"/>
  <c r="D51" i="5"/>
  <c r="D52" i="5"/>
  <c r="D53" i="5"/>
  <c r="D54" i="5"/>
  <c r="D55" i="5"/>
  <c r="Z2" i="16"/>
  <c r="AF2" i="16"/>
  <c r="AK2" i="16"/>
  <c r="AL2" i="16"/>
  <c r="AU2" i="16"/>
  <c r="AV2" i="16"/>
  <c r="Z3" i="16"/>
  <c r="AF3" i="16"/>
  <c r="AK3" i="16"/>
  <c r="AL3" i="16"/>
  <c r="AU3" i="16"/>
  <c r="AV3" i="16"/>
  <c r="Z4" i="16"/>
  <c r="AF4" i="16"/>
  <c r="AK4" i="16"/>
  <c r="AL4" i="16"/>
  <c r="AU4" i="16"/>
  <c r="AV4" i="16"/>
  <c r="Y5" i="16"/>
  <c r="AE5" i="16"/>
  <c r="AK5" i="16"/>
  <c r="AL5" i="16"/>
  <c r="AU5" i="16"/>
  <c r="AV5" i="16"/>
  <c r="Y6" i="16"/>
  <c r="AE6" i="16"/>
  <c r="AK6" i="16"/>
  <c r="AL6" i="16"/>
  <c r="AU6" i="16"/>
  <c r="AV6" i="16"/>
  <c r="Y7" i="16"/>
  <c r="AE7" i="16"/>
  <c r="AK7" i="16"/>
  <c r="AL7" i="16"/>
  <c r="AU7" i="16"/>
  <c r="AV7" i="16"/>
  <c r="Y8" i="16"/>
  <c r="AE8" i="16"/>
  <c r="AK8" i="16"/>
  <c r="AL8" i="16"/>
  <c r="AU8" i="16"/>
  <c r="AV8" i="16"/>
  <c r="Y9" i="16"/>
  <c r="AE9" i="16"/>
  <c r="AK9" i="16"/>
  <c r="AL9" i="16"/>
  <c r="AU9" i="16"/>
  <c r="AV9" i="16"/>
  <c r="Y10" i="16"/>
  <c r="AE10" i="16"/>
  <c r="AK10" i="16"/>
  <c r="AL10" i="16"/>
  <c r="AU10" i="16"/>
  <c r="AV10" i="16"/>
  <c r="Z11" i="16"/>
  <c r="AF11" i="16"/>
  <c r="Z12" i="16"/>
  <c r="AF12" i="16"/>
  <c r="AT12" i="16"/>
  <c r="Z13" i="16"/>
  <c r="AF13" i="16"/>
  <c r="AT13" i="16"/>
  <c r="AU13" i="16"/>
  <c r="Z14" i="16"/>
  <c r="AF14" i="16"/>
  <c r="AT14" i="16"/>
  <c r="Z15" i="16"/>
  <c r="AF15" i="16"/>
  <c r="AU15" i="16"/>
  <c r="Z16" i="16"/>
  <c r="AF16" i="16"/>
  <c r="Z17" i="16"/>
  <c r="AF17" i="16"/>
  <c r="Z18" i="16"/>
  <c r="AF18" i="16"/>
  <c r="AU18" i="16"/>
  <c r="Z19" i="16"/>
  <c r="AF19" i="16"/>
  <c r="Z20" i="16"/>
  <c r="AF20" i="16"/>
  <c r="Z21" i="16"/>
  <c r="AF21" i="16"/>
  <c r="Z22" i="16"/>
  <c r="AF22" i="16"/>
  <c r="Z23" i="16"/>
  <c r="AF23" i="16"/>
  <c r="Z24" i="16"/>
  <c r="AF24" i="16"/>
  <c r="Z25" i="16"/>
  <c r="AF25" i="16"/>
  <c r="Z26" i="16"/>
  <c r="AF26" i="16"/>
  <c r="Y27" i="16"/>
  <c r="AE27" i="16"/>
  <c r="Y28" i="16"/>
  <c r="AE28" i="16"/>
  <c r="Y29" i="16"/>
  <c r="AE29" i="16"/>
  <c r="Y30" i="16"/>
  <c r="AE30" i="16"/>
  <c r="Y31" i="16"/>
  <c r="AE31" i="16"/>
  <c r="Y32" i="16"/>
  <c r="AE32" i="16"/>
  <c r="Y33" i="16"/>
  <c r="AE33" i="16"/>
  <c r="Y34" i="16"/>
  <c r="AE34" i="16"/>
  <c r="Y35" i="16"/>
  <c r="AE35" i="16"/>
  <c r="Y36" i="16"/>
  <c r="AE36" i="16"/>
  <c r="Y37" i="16"/>
  <c r="AE37" i="16"/>
  <c r="Y38" i="16"/>
  <c r="AE38" i="16"/>
  <c r="Z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Z50" i="16"/>
  <c r="AF50" i="16"/>
  <c r="Z51" i="16"/>
  <c r="AF51" i="16"/>
  <c r="Z52" i="16"/>
  <c r="AF52" i="16"/>
  <c r="Z53" i="16"/>
  <c r="AF53" i="16"/>
  <c r="Z54" i="16"/>
  <c r="AF54" i="16"/>
  <c r="Z55" i="16"/>
  <c r="AF55" i="16"/>
  <c r="Z56" i="16"/>
  <c r="AF56" i="16"/>
  <c r="Z57" i="16"/>
  <c r="AF57" i="16"/>
  <c r="Z58" i="16"/>
  <c r="AF58" i="16"/>
  <c r="Z59" i="16"/>
  <c r="AF59" i="16"/>
  <c r="Z60" i="16"/>
  <c r="AF60" i="16"/>
  <c r="Z61" i="16"/>
  <c r="AF61" i="16"/>
  <c r="Z62" i="16"/>
  <c r="AF62" i="16"/>
  <c r="Y63" i="16"/>
  <c r="AE63" i="16"/>
  <c r="Y64" i="16"/>
  <c r="AE64" i="16"/>
  <c r="Y65" i="16"/>
  <c r="AE65" i="16"/>
  <c r="Y66" i="16"/>
  <c r="AE66" i="16"/>
  <c r="Y67" i="16"/>
  <c r="AE67" i="16"/>
  <c r="Y68" i="16"/>
  <c r="AE68" i="16"/>
  <c r="Y69" i="16"/>
  <c r="AE69" i="16"/>
  <c r="Y70" i="16"/>
  <c r="AE70" i="16"/>
  <c r="Y71" i="16"/>
  <c r="AE71" i="16"/>
  <c r="Y72" i="16"/>
  <c r="AE72" i="16"/>
  <c r="Y73" i="16"/>
  <c r="AE73" i="16"/>
  <c r="Y74" i="16"/>
  <c r="AE74" i="16"/>
  <c r="Y75" i="16"/>
  <c r="AE75" i="16"/>
  <c r="Y76" i="16"/>
  <c r="AE76" i="16"/>
  <c r="Y77" i="16"/>
  <c r="AE77" i="16"/>
  <c r="Y78" i="16"/>
  <c r="AE78" i="16"/>
  <c r="Y79" i="16"/>
  <c r="AE79" i="16"/>
  <c r="Y80" i="16"/>
  <c r="AE80" i="16"/>
  <c r="Z81" i="16"/>
  <c r="AF81" i="16"/>
  <c r="Z82" i="16"/>
  <c r="AF82" i="16"/>
  <c r="Z83" i="16"/>
  <c r="AF83" i="16"/>
  <c r="Z84" i="16"/>
  <c r="AF84" i="16"/>
  <c r="Z85" i="16"/>
  <c r="AF85" i="16"/>
  <c r="Z86" i="16"/>
  <c r="AF86" i="16"/>
  <c r="Z87" i="16"/>
  <c r="AF87" i="16"/>
  <c r="Z88" i="16"/>
  <c r="AF88" i="16"/>
  <c r="Z89" i="16"/>
  <c r="AF89" i="16"/>
  <c r="Z90" i="16"/>
  <c r="AF90" i="16"/>
  <c r="Z91" i="16"/>
  <c r="AF91" i="16"/>
  <c r="Z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Z144" i="16"/>
  <c r="AF144" i="16"/>
  <c r="Z145" i="16"/>
  <c r="AF145" i="16"/>
  <c r="Z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Y232" i="16"/>
  <c r="Z232" i="16"/>
  <c r="AE232" i="16"/>
  <c r="AF232" i="16"/>
  <c r="Y233" i="16"/>
  <c r="Z233" i="16"/>
  <c r="AE233" i="16"/>
  <c r="AF233" i="16"/>
  <c r="Y234" i="16"/>
  <c r="Z234" i="16"/>
  <c r="AE234" i="16"/>
  <c r="AF234" i="16"/>
  <c r="Y235" i="16"/>
  <c r="Z235" i="16"/>
  <c r="AE235" i="16"/>
  <c r="AF235" i="16"/>
  <c r="Y236" i="16"/>
  <c r="Z236" i="16"/>
  <c r="AE236" i="16"/>
  <c r="AF236" i="16"/>
  <c r="Y237" i="16"/>
  <c r="Z237" i="16"/>
  <c r="AE237" i="16"/>
  <c r="AF237" i="16"/>
  <c r="Y238" i="16"/>
  <c r="Z238" i="16"/>
  <c r="AE238" i="16"/>
  <c r="AF238" i="16"/>
  <c r="Y239" i="16"/>
  <c r="Z239" i="16"/>
  <c r="AE239" i="16"/>
  <c r="AF239" i="16"/>
  <c r="Y240" i="16"/>
  <c r="Z240" i="16"/>
  <c r="AE240" i="16"/>
  <c r="AF240" i="16"/>
  <c r="Y241" i="16"/>
  <c r="Z241" i="16"/>
  <c r="AE241" i="16"/>
  <c r="AF241" i="16"/>
  <c r="Y242" i="16"/>
  <c r="Z242" i="16"/>
  <c r="AE242" i="16"/>
  <c r="AF242" i="16"/>
  <c r="Y243" i="16"/>
  <c r="Z243" i="16"/>
  <c r="AE243" i="16"/>
  <c r="AF243" i="16"/>
  <c r="Y244" i="16"/>
  <c r="Z244" i="16"/>
  <c r="AE244" i="16"/>
  <c r="AF244" i="16"/>
  <c r="Y245" i="16"/>
  <c r="Z245" i="16"/>
  <c r="AE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Z266" i="16"/>
  <c r="AF266" i="16"/>
  <c r="Y267" i="16"/>
  <c r="AE267" i="16"/>
  <c r="Y268" i="16"/>
  <c r="AE268" i="16"/>
  <c r="Y269" i="16"/>
  <c r="AE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Y276" i="16"/>
  <c r="AE276" i="16"/>
  <c r="Y277" i="16"/>
  <c r="AE277" i="16"/>
  <c r="Y278" i="16"/>
  <c r="AE278" i="16"/>
  <c r="Y279" i="16"/>
  <c r="AE279" i="16"/>
  <c r="Y280" i="16"/>
  <c r="AE280" i="16"/>
  <c r="Y281" i="16"/>
  <c r="AE281" i="16"/>
  <c r="Y282" i="16"/>
  <c r="AE282" i="16"/>
  <c r="Y283" i="16"/>
  <c r="AE283" i="16"/>
  <c r="Y284" i="16"/>
  <c r="AE284" i="16"/>
  <c r="Y285" i="16"/>
  <c r="AE285" i="16"/>
  <c r="Y286" i="16"/>
  <c r="AE286" i="16"/>
  <c r="Y287" i="16"/>
  <c r="AE287" i="16"/>
  <c r="Y288" i="16"/>
  <c r="AE288" i="16"/>
  <c r="Y289" i="16"/>
  <c r="AE289" i="16"/>
  <c r="Y290" i="16"/>
  <c r="AE290" i="16"/>
  <c r="Y291" i="16"/>
  <c r="AE291" i="16"/>
  <c r="Y292" i="16"/>
  <c r="AE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Y324" i="16"/>
  <c r="AE324" i="16"/>
  <c r="Y325" i="16"/>
  <c r="AE325" i="16"/>
  <c r="Y326" i="16"/>
  <c r="AE326" i="16"/>
  <c r="Y327" i="16"/>
  <c r="AE327" i="16"/>
  <c r="Y328" i="16"/>
  <c r="AE328" i="16"/>
  <c r="Y329" i="16"/>
  <c r="AE329" i="16"/>
  <c r="Y330" i="16"/>
  <c r="AE330" i="16"/>
  <c r="Y331" i="16"/>
  <c r="AE331" i="16"/>
  <c r="Y332" i="16"/>
  <c r="AE332" i="16"/>
  <c r="Y333" i="16"/>
  <c r="AE333" i="16"/>
  <c r="Y334" i="16"/>
  <c r="AE334" i="16"/>
  <c r="Y335" i="16"/>
  <c r="AE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Y377" i="16"/>
  <c r="AE377" i="16"/>
  <c r="Y378" i="16"/>
  <c r="AE378" i="16"/>
  <c r="Y379" i="16"/>
  <c r="AE379" i="16"/>
  <c r="Y380" i="16"/>
  <c r="AE380" i="16"/>
  <c r="Y381" i="16"/>
  <c r="AE381" i="16"/>
  <c r="Y382" i="16"/>
  <c r="AE382" i="16"/>
  <c r="Y383" i="16"/>
  <c r="AE383" i="16"/>
  <c r="Y384" i="16"/>
  <c r="AE384" i="16"/>
  <c r="Y385" i="16"/>
  <c r="AE385" i="16"/>
  <c r="Y386" i="16"/>
  <c r="AE386" i="16"/>
  <c r="Y387" i="16"/>
  <c r="AE387" i="16"/>
  <c r="Y388" i="16"/>
  <c r="AE388" i="16"/>
  <c r="Y389" i="16"/>
  <c r="AE389" i="16"/>
  <c r="Y390" i="16"/>
  <c r="AE390" i="16"/>
  <c r="Y391" i="16"/>
  <c r="AE391" i="16"/>
  <c r="Y392" i="16"/>
  <c r="AE392" i="16"/>
  <c r="Y393" i="16"/>
  <c r="AE393" i="16"/>
  <c r="Y394" i="16"/>
  <c r="AE394" i="16"/>
  <c r="Y395" i="16"/>
  <c r="AE395" i="16"/>
  <c r="Y396" i="16"/>
  <c r="AE396" i="16"/>
  <c r="Y397" i="16"/>
  <c r="AE397" i="16"/>
  <c r="Y398" i="16"/>
  <c r="AE398" i="16"/>
  <c r="Y399" i="16"/>
  <c r="AE399" i="16"/>
  <c r="Y400" i="16"/>
  <c r="AE400" i="16"/>
  <c r="Y401" i="16"/>
  <c r="AE401" i="16"/>
  <c r="Y402" i="16"/>
  <c r="AE402" i="16"/>
  <c r="Y403" i="16"/>
  <c r="AE403" i="16"/>
  <c r="Y404" i="16"/>
  <c r="AE404" i="16"/>
  <c r="Y405" i="16"/>
  <c r="AE405" i="16"/>
  <c r="Y406" i="16"/>
  <c r="AE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Y460" i="16"/>
  <c r="AE460" i="16"/>
  <c r="Y461" i="16"/>
  <c r="AE461" i="16"/>
  <c r="Y462" i="16"/>
  <c r="AE462" i="16"/>
  <c r="Y463" i="16"/>
  <c r="AE463" i="16"/>
  <c r="Y464" i="16"/>
  <c r="AE464" i="16"/>
  <c r="Y465" i="16"/>
  <c r="AE465" i="16"/>
  <c r="Y466" i="16"/>
  <c r="AE466" i="16"/>
  <c r="Y467" i="16"/>
  <c r="AE467" i="16"/>
  <c r="Y468" i="16"/>
  <c r="AE468" i="16"/>
  <c r="Y469" i="16"/>
  <c r="AE469" i="16"/>
  <c r="Y470" i="16"/>
  <c r="AE470" i="16"/>
  <c r="Y471" i="16"/>
  <c r="AE471" i="16"/>
  <c r="Y472" i="16"/>
  <c r="AE472" i="16"/>
  <c r="Y473" i="16"/>
  <c r="AE473" i="16"/>
  <c r="Y474" i="16"/>
  <c r="AE474" i="16"/>
  <c r="Y475" i="16"/>
  <c r="AE475" i="16"/>
  <c r="Y476" i="16"/>
  <c r="AE476" i="16"/>
  <c r="Y477" i="16"/>
  <c r="AE477" i="16"/>
  <c r="Y478" i="16"/>
  <c r="AE478" i="16"/>
  <c r="Y479" i="16"/>
  <c r="AE479" i="16"/>
  <c r="Y480" i="16"/>
  <c r="AE480" i="16"/>
  <c r="Y481" i="16"/>
  <c r="AE481" i="16"/>
  <c r="Y482" i="16"/>
  <c r="AE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Y518" i="16"/>
  <c r="AE518" i="16"/>
  <c r="Y519" i="16"/>
  <c r="AE519" i="16"/>
  <c r="Y520" i="16"/>
  <c r="AE520" i="16"/>
  <c r="Y521" i="16"/>
  <c r="AE521" i="16"/>
  <c r="Y522" i="16"/>
  <c r="AE522" i="16"/>
  <c r="Y523" i="16"/>
  <c r="AE523" i="16"/>
  <c r="Y524" i="16"/>
  <c r="AE524" i="16"/>
  <c r="Y525" i="16"/>
  <c r="AE525" i="16"/>
  <c r="Y526" i="16"/>
  <c r="AE526" i="16"/>
  <c r="Y527" i="16"/>
  <c r="AE527" i="16"/>
  <c r="Y528" i="16"/>
  <c r="AE528" i="16"/>
  <c r="Y529" i="16"/>
  <c r="AE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Y552" i="16"/>
  <c r="AE552" i="16"/>
  <c r="Y553" i="16"/>
  <c r="AE553" i="16"/>
  <c r="Y554" i="16"/>
  <c r="AE554" i="16"/>
  <c r="Y555" i="16"/>
  <c r="AE555" i="16"/>
  <c r="Y556" i="16"/>
  <c r="AE556" i="16"/>
  <c r="Y557" i="16"/>
  <c r="AE557" i="16"/>
  <c r="Y558" i="16"/>
  <c r="AE558" i="16"/>
  <c r="Y559" i="16"/>
  <c r="AE559" i="16"/>
  <c r="Y560" i="16"/>
  <c r="AE560" i="16"/>
  <c r="Y561" i="16"/>
  <c r="AE561" i="16"/>
  <c r="Y562" i="16"/>
  <c r="AE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Y586" i="16"/>
  <c r="AE586" i="16"/>
  <c r="Y587" i="16"/>
  <c r="AE587" i="16"/>
  <c r="Y588" i="16"/>
  <c r="AE588" i="16"/>
  <c r="Y589" i="16"/>
  <c r="AE589" i="16"/>
  <c r="Y590" i="16"/>
  <c r="AE590" i="16"/>
  <c r="Y591" i="16"/>
  <c r="AE591" i="16"/>
  <c r="Y592" i="16"/>
  <c r="AE592" i="16"/>
  <c r="Y593" i="16"/>
  <c r="AE593" i="16"/>
  <c r="Y594" i="16"/>
  <c r="AE594" i="16"/>
  <c r="Y595" i="16"/>
  <c r="AE595" i="16"/>
  <c r="Y596" i="16"/>
  <c r="AE596" i="16"/>
  <c r="Y597" i="16"/>
  <c r="AE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Z899" i="16"/>
  <c r="AF899" i="16"/>
  <c r="Z900" i="16"/>
  <c r="AF900" i="16"/>
  <c r="Z901" i="16"/>
  <c r="AF901" i="16"/>
  <c r="Z902" i="16"/>
  <c r="AF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2" i="30"/>
  <c r="AA2" i="30"/>
  <c r="AF2" i="30"/>
  <c r="AG2" i="30"/>
  <c r="AK2" i="30"/>
  <c r="AL2" i="30"/>
  <c r="AP2" i="30"/>
  <c r="AQ2" i="30"/>
  <c r="AU2" i="30"/>
  <c r="AV2" i="30"/>
  <c r="Z3" i="30"/>
  <c r="AA3" i="30"/>
  <c r="AF3" i="30"/>
  <c r="AG3" i="30"/>
  <c r="AK3" i="30"/>
  <c r="AL3" i="30"/>
  <c r="AP3" i="30"/>
  <c r="AQ3" i="30"/>
  <c r="AU3" i="30"/>
  <c r="AV3" i="30"/>
  <c r="Z4" i="30"/>
  <c r="AA4" i="30"/>
  <c r="AF4" i="30"/>
  <c r="AG4" i="30"/>
  <c r="AK4" i="30"/>
  <c r="AL4" i="30"/>
  <c r="AP4" i="30"/>
  <c r="AQ4" i="30"/>
  <c r="AU4" i="30"/>
  <c r="AV4" i="30"/>
  <c r="Y5" i="30"/>
  <c r="AE5" i="30"/>
  <c r="AK5" i="30"/>
  <c r="AL5" i="30"/>
  <c r="AP5" i="30"/>
  <c r="AQ5" i="30"/>
  <c r="AU5" i="30"/>
  <c r="AV5" i="30"/>
  <c r="Y6" i="30"/>
  <c r="AE6" i="30"/>
  <c r="AK6" i="30"/>
  <c r="AL6" i="30"/>
  <c r="AP6" i="30"/>
  <c r="AQ6" i="30"/>
  <c r="AU6" i="30"/>
  <c r="AV6" i="30"/>
  <c r="Y7" i="30"/>
  <c r="AE7" i="30"/>
  <c r="AK7" i="30"/>
  <c r="AL7" i="30"/>
  <c r="AP7" i="30"/>
  <c r="AQ7" i="30"/>
  <c r="AU7" i="30"/>
  <c r="AV7" i="30"/>
  <c r="Y8" i="30"/>
  <c r="AE8" i="30"/>
  <c r="AK8" i="30"/>
  <c r="AL8" i="30"/>
  <c r="AP8" i="30"/>
  <c r="AQ8" i="30"/>
  <c r="AU8" i="30"/>
  <c r="AV8" i="30"/>
  <c r="AY8" i="30"/>
  <c r="Y9" i="30"/>
  <c r="AE9" i="30"/>
  <c r="AK9" i="30"/>
  <c r="AL9" i="30"/>
  <c r="AP9" i="30"/>
  <c r="AQ9" i="30"/>
  <c r="AU9" i="30"/>
  <c r="AV9" i="30"/>
  <c r="AY9" i="30"/>
  <c r="Y10" i="30"/>
  <c r="AE10" i="30"/>
  <c r="AK10" i="30"/>
  <c r="AL10" i="30"/>
  <c r="AP10" i="30"/>
  <c r="AQ10" i="30"/>
  <c r="AU10" i="30"/>
  <c r="AV10" i="30"/>
  <c r="AY10" i="30"/>
  <c r="Z11" i="30"/>
  <c r="AA11" i="30"/>
  <c r="AF11" i="30"/>
  <c r="AG11" i="30"/>
  <c r="Z12" i="30"/>
  <c r="AA12" i="30"/>
  <c r="AF12" i="30"/>
  <c r="AG12" i="30"/>
  <c r="Z13" i="30"/>
  <c r="AA13" i="30"/>
  <c r="AF13" i="30"/>
  <c r="AG13" i="30"/>
  <c r="Z14" i="30"/>
  <c r="AA14" i="30"/>
  <c r="AF14" i="30"/>
  <c r="AG14" i="30"/>
  <c r="AM14" i="30"/>
  <c r="AR14" i="30"/>
  <c r="AW14" i="30"/>
  <c r="Z15" i="30"/>
  <c r="AF15" i="30"/>
  <c r="AM15" i="30"/>
  <c r="AR15" i="30"/>
  <c r="AW15" i="30"/>
  <c r="Z16" i="30"/>
  <c r="AF16" i="30"/>
  <c r="AM16" i="30"/>
  <c r="AR16" i="30"/>
  <c r="AW16" i="30"/>
  <c r="Z17" i="30"/>
  <c r="AF17" i="30"/>
  <c r="AM17" i="30"/>
  <c r="AR17" i="30"/>
  <c r="AW17" i="30"/>
  <c r="Z18" i="30"/>
  <c r="AF18" i="30"/>
  <c r="AM18" i="30"/>
  <c r="AR18" i="30"/>
  <c r="AW18" i="30"/>
  <c r="Z19" i="30"/>
  <c r="AF19" i="30"/>
  <c r="AM19" i="30"/>
  <c r="AR19" i="30"/>
  <c r="AW19" i="30"/>
  <c r="Z20" i="30"/>
  <c r="AF20" i="30"/>
  <c r="AM20" i="30"/>
  <c r="AR20" i="30"/>
  <c r="AW20" i="30"/>
  <c r="Z21" i="30"/>
  <c r="AF21" i="30"/>
  <c r="Z22" i="30"/>
  <c r="AF22" i="30"/>
  <c r="AU22" i="30"/>
  <c r="Z23" i="30"/>
  <c r="AF23" i="30"/>
  <c r="AU23" i="30"/>
  <c r="Z24" i="30"/>
  <c r="AF24" i="30"/>
  <c r="AU24" i="30"/>
  <c r="Z25" i="30"/>
  <c r="AF25" i="30"/>
  <c r="Z26" i="30"/>
  <c r="AF26" i="30"/>
  <c r="Y27" i="30"/>
  <c r="AE27" i="30"/>
  <c r="Y28" i="30"/>
  <c r="AE28" i="30"/>
  <c r="Y29" i="30"/>
  <c r="AE29" i="30"/>
  <c r="Y30" i="30"/>
  <c r="AE30" i="30"/>
  <c r="Y31" i="30"/>
  <c r="AE31" i="30"/>
  <c r="Y32" i="30"/>
  <c r="AE32" i="30"/>
  <c r="Y33" i="30"/>
  <c r="AE33" i="30"/>
  <c r="Y34" i="30"/>
  <c r="AE34" i="30"/>
  <c r="Y35" i="30"/>
  <c r="AE35" i="30"/>
  <c r="Y36" i="30"/>
  <c r="AE36" i="30"/>
  <c r="Y37" i="30"/>
  <c r="AE37" i="30"/>
  <c r="Y38" i="30"/>
  <c r="AE38" i="30"/>
  <c r="Z39" i="30"/>
  <c r="AF39" i="30"/>
  <c r="Z40" i="30"/>
  <c r="AF40" i="30"/>
  <c r="Z41" i="30"/>
  <c r="AF41" i="30"/>
  <c r="Z42" i="30"/>
  <c r="AF42" i="30"/>
  <c r="Z43" i="30"/>
  <c r="AF43" i="30"/>
  <c r="Z44" i="30"/>
  <c r="AF44" i="30"/>
  <c r="Z45" i="30"/>
  <c r="AF45" i="30"/>
  <c r="Z46" i="30"/>
  <c r="AF46" i="30"/>
  <c r="Z47" i="30"/>
  <c r="AF47" i="30"/>
  <c r="Z48" i="30"/>
  <c r="AF48" i="30"/>
  <c r="Z49" i="30"/>
  <c r="AF49" i="30"/>
  <c r="Z50" i="30"/>
  <c r="AF50" i="30"/>
  <c r="Z51" i="30"/>
  <c r="AA51" i="30"/>
  <c r="AF51" i="30"/>
  <c r="AG51" i="30"/>
  <c r="Z52" i="30"/>
  <c r="AA52" i="30"/>
  <c r="AF52" i="30"/>
  <c r="AG52" i="30"/>
  <c r="Z53" i="30"/>
  <c r="AA53" i="30"/>
  <c r="AF53" i="30"/>
  <c r="AG53" i="30"/>
  <c r="Z54" i="30"/>
  <c r="AA54" i="30"/>
  <c r="AF54" i="30"/>
  <c r="AG54" i="30"/>
  <c r="Z55" i="30"/>
  <c r="AA55" i="30"/>
  <c r="AF55" i="30"/>
  <c r="AG55" i="30"/>
  <c r="Z56" i="30"/>
  <c r="AA56" i="30"/>
  <c r="AF56" i="30"/>
  <c r="AG56" i="30"/>
  <c r="Z57" i="30"/>
  <c r="AA57" i="30"/>
  <c r="AF57" i="30"/>
  <c r="AG57" i="30"/>
  <c r="Z58" i="30"/>
  <c r="AA58" i="30"/>
  <c r="AF58" i="30"/>
  <c r="AG58" i="30"/>
  <c r="Z59" i="30"/>
  <c r="AA59" i="30"/>
  <c r="AF59" i="30"/>
  <c r="AG59" i="30"/>
  <c r="Z60" i="30"/>
  <c r="AA60" i="30"/>
  <c r="AF60" i="30"/>
  <c r="AG60" i="30"/>
  <c r="Z61" i="30"/>
  <c r="AA61" i="30"/>
  <c r="AF61" i="30"/>
  <c r="AG61" i="30"/>
  <c r="Z62" i="30"/>
  <c r="AA62" i="30"/>
  <c r="AF62" i="30"/>
  <c r="AG62" i="30"/>
  <c r="Y63" i="30"/>
  <c r="AE63" i="30"/>
  <c r="Y64" i="30"/>
  <c r="AE64" i="30"/>
  <c r="Y65" i="30"/>
  <c r="AE65" i="30"/>
  <c r="Y66" i="30"/>
  <c r="AE66" i="30"/>
  <c r="Y67" i="30"/>
  <c r="AE67" i="30"/>
  <c r="Y68" i="30"/>
  <c r="AE68" i="30"/>
  <c r="Y69" i="30"/>
  <c r="AE69" i="30"/>
  <c r="Y70" i="30"/>
  <c r="AE70" i="30"/>
  <c r="Y71" i="30"/>
  <c r="AE71" i="30"/>
  <c r="Y72" i="30"/>
  <c r="AE72" i="30"/>
  <c r="Y73" i="30"/>
  <c r="AE73" i="30"/>
  <c r="Y74" i="30"/>
  <c r="AE74" i="30"/>
  <c r="Y75" i="30"/>
  <c r="AE75" i="30"/>
  <c r="Y76" i="30"/>
  <c r="AE76" i="30"/>
  <c r="Y77" i="30"/>
  <c r="AE77" i="30"/>
  <c r="Y78" i="30"/>
  <c r="AE78" i="30"/>
  <c r="Y79" i="30"/>
  <c r="AE79" i="30"/>
  <c r="Y80" i="30"/>
  <c r="AE80" i="30"/>
  <c r="Z81" i="30"/>
  <c r="AA81" i="30"/>
  <c r="AF81" i="30"/>
  <c r="AG81" i="30"/>
  <c r="Z82" i="30"/>
  <c r="AA82" i="30"/>
  <c r="AF82" i="30"/>
  <c r="AG82" i="30"/>
  <c r="Z83" i="30"/>
  <c r="AA83" i="30"/>
  <c r="AF83" i="30"/>
  <c r="AG83" i="30"/>
  <c r="Z84" i="30"/>
  <c r="AA84" i="30"/>
  <c r="AF84" i="30"/>
  <c r="AG84" i="30"/>
  <c r="Z85" i="30"/>
  <c r="AA85" i="30"/>
  <c r="AF85" i="30"/>
  <c r="AG85" i="30"/>
  <c r="Z86" i="30"/>
  <c r="AA86" i="30"/>
  <c r="AF86" i="30"/>
  <c r="AG86" i="30"/>
  <c r="Z87" i="30"/>
  <c r="AA87" i="30"/>
  <c r="AF87" i="30"/>
  <c r="AG87" i="30"/>
  <c r="Z88" i="30"/>
  <c r="AA88" i="30"/>
  <c r="AF88" i="30"/>
  <c r="AG88" i="30"/>
  <c r="Z89" i="30"/>
  <c r="AA89" i="30"/>
  <c r="AF89" i="30"/>
  <c r="AG89" i="30"/>
  <c r="Z90" i="30"/>
  <c r="AA90" i="30"/>
  <c r="AF90" i="30"/>
  <c r="AG90" i="30"/>
  <c r="Z91" i="30"/>
  <c r="AA91" i="30"/>
  <c r="AF91" i="30"/>
  <c r="AG91" i="30"/>
  <c r="Z92" i="30"/>
  <c r="AA92" i="30"/>
  <c r="AF92" i="30"/>
  <c r="AG92" i="30"/>
  <c r="Y93" i="30"/>
  <c r="Z93" i="30"/>
  <c r="AA93" i="30"/>
  <c r="AE93" i="30"/>
  <c r="AF93" i="30"/>
  <c r="AG93" i="30"/>
  <c r="Y94" i="30"/>
  <c r="Z94" i="30"/>
  <c r="AE94" i="30"/>
  <c r="AF94" i="30"/>
  <c r="Y95" i="30"/>
  <c r="Z95" i="30"/>
  <c r="AA95" i="30"/>
  <c r="AE95" i="30"/>
  <c r="AF95" i="30"/>
  <c r="AG95" i="30"/>
  <c r="Y96" i="30"/>
  <c r="Z96" i="30"/>
  <c r="AE96" i="30"/>
  <c r="AF96" i="30"/>
  <c r="Y97" i="30"/>
  <c r="Z97" i="30"/>
  <c r="AA97" i="30"/>
  <c r="AE97" i="30"/>
  <c r="AF97" i="30"/>
  <c r="AG97" i="30"/>
  <c r="Y98" i="30"/>
  <c r="Z98" i="30"/>
  <c r="AE98" i="30"/>
  <c r="AF98" i="30"/>
  <c r="Y99" i="30"/>
  <c r="Z99" i="30"/>
  <c r="AA99" i="30"/>
  <c r="AE99" i="30"/>
  <c r="AF99" i="30"/>
  <c r="AG99" i="30"/>
  <c r="Y100" i="30"/>
  <c r="Z100" i="30"/>
  <c r="AE100" i="30"/>
  <c r="AF100" i="30"/>
  <c r="Y101" i="30"/>
  <c r="Z101" i="30"/>
  <c r="AA101" i="30"/>
  <c r="AE101" i="30"/>
  <c r="AF101" i="30"/>
  <c r="AG101" i="30"/>
  <c r="Y102" i="30"/>
  <c r="Z102" i="30"/>
  <c r="AE102" i="30"/>
  <c r="AF102" i="30"/>
  <c r="Y103" i="30"/>
  <c r="Z103" i="30"/>
  <c r="AA103" i="30"/>
  <c r="AE103" i="30"/>
  <c r="AF103" i="30"/>
  <c r="AG103" i="30"/>
  <c r="Y104" i="30"/>
  <c r="Z104" i="30"/>
  <c r="AE104" i="30"/>
  <c r="AF104" i="30"/>
  <c r="Y105" i="30"/>
  <c r="Z105" i="30"/>
  <c r="AA105" i="30"/>
  <c r="AE105" i="30"/>
  <c r="AF105" i="30"/>
  <c r="AG105" i="30"/>
  <c r="Y106" i="30"/>
  <c r="Z106" i="30"/>
  <c r="AE106" i="30"/>
  <c r="AF106" i="30"/>
  <c r="Y107" i="30"/>
  <c r="Z107" i="30"/>
  <c r="AA107" i="30"/>
  <c r="AE107" i="30"/>
  <c r="AF107" i="30"/>
  <c r="AG107" i="30"/>
  <c r="Y108" i="30"/>
  <c r="Z108" i="30"/>
  <c r="AE108" i="30"/>
  <c r="AF108" i="30"/>
  <c r="Y109" i="30"/>
  <c r="Z109" i="30"/>
  <c r="AA109" i="30"/>
  <c r="AE109" i="30"/>
  <c r="AF109" i="30"/>
  <c r="AG109" i="30"/>
  <c r="Y110" i="30"/>
  <c r="Z110" i="30"/>
  <c r="AE110" i="30"/>
  <c r="AF110" i="30"/>
  <c r="Y111" i="30"/>
  <c r="Z111" i="30"/>
  <c r="AA111" i="30"/>
  <c r="AE111" i="30"/>
  <c r="AF111" i="30"/>
  <c r="AG111" i="30"/>
  <c r="Y112" i="30"/>
  <c r="Z112" i="30"/>
  <c r="AE112" i="30"/>
  <c r="AF112" i="30"/>
  <c r="Y113" i="30"/>
  <c r="Z113" i="30"/>
  <c r="AA113" i="30"/>
  <c r="AE113" i="30"/>
  <c r="AF113" i="30"/>
  <c r="AG113" i="30"/>
  <c r="Y114" i="30"/>
  <c r="Z114" i="30"/>
  <c r="AE114" i="30"/>
  <c r="AF114" i="30"/>
  <c r="Y115" i="30"/>
  <c r="Z115" i="30"/>
  <c r="AA115" i="30"/>
  <c r="AE115" i="30"/>
  <c r="AF115" i="30"/>
  <c r="AG115" i="30"/>
  <c r="Y116" i="30"/>
  <c r="Z116" i="30"/>
  <c r="AE116" i="30"/>
  <c r="AF116" i="30"/>
  <c r="Y117" i="30"/>
  <c r="Z117" i="30"/>
  <c r="AA117" i="30"/>
  <c r="AE117" i="30"/>
  <c r="AF117" i="30"/>
  <c r="AG117" i="30"/>
  <c r="Y118" i="30"/>
  <c r="Z118" i="30"/>
  <c r="AE118" i="30"/>
  <c r="AF118" i="30"/>
  <c r="Y119" i="30"/>
  <c r="Z119" i="30"/>
  <c r="AA119" i="30"/>
  <c r="AE119" i="30"/>
  <c r="AF119" i="30"/>
  <c r="AG119" i="30"/>
  <c r="Y120" i="30"/>
  <c r="Z120" i="30"/>
  <c r="AE120" i="30"/>
  <c r="AF120" i="30"/>
  <c r="Y121" i="30"/>
  <c r="Z121" i="30"/>
  <c r="AA121" i="30"/>
  <c r="AE121" i="30"/>
  <c r="AF121" i="30"/>
  <c r="AG121" i="30"/>
  <c r="Y122" i="30"/>
  <c r="Z122" i="30"/>
  <c r="AE122" i="30"/>
  <c r="AF122" i="30"/>
  <c r="Y123" i="30"/>
  <c r="Z123" i="30"/>
  <c r="AA123" i="30"/>
  <c r="AE123" i="30"/>
  <c r="AF123" i="30"/>
  <c r="AG123" i="30"/>
  <c r="Y124" i="30"/>
  <c r="Z124" i="30"/>
  <c r="AE124" i="30"/>
  <c r="AF124" i="30"/>
  <c r="Y125" i="30"/>
  <c r="Z125" i="30"/>
  <c r="AA125" i="30"/>
  <c r="AE125" i="30"/>
  <c r="AF125" i="30"/>
  <c r="AG125" i="30"/>
  <c r="Y126" i="30"/>
  <c r="Z126" i="30"/>
  <c r="AE126" i="30"/>
  <c r="AF126" i="30"/>
  <c r="Y127" i="30"/>
  <c r="Z127" i="30"/>
  <c r="AA127" i="30"/>
  <c r="AE127" i="30"/>
  <c r="AF127" i="30"/>
  <c r="AG127" i="30"/>
  <c r="Y128" i="30"/>
  <c r="Z128" i="30"/>
  <c r="AE128" i="30"/>
  <c r="AF128" i="30"/>
  <c r="Y129" i="30"/>
  <c r="Z129" i="30"/>
  <c r="AA129" i="30"/>
  <c r="AE129" i="30"/>
  <c r="AF129" i="30"/>
  <c r="AG129" i="30"/>
  <c r="Y130" i="30"/>
  <c r="Z130" i="30"/>
  <c r="AE130" i="30"/>
  <c r="AF130" i="30"/>
  <c r="Y131" i="30"/>
  <c r="Z131" i="30"/>
  <c r="AA131" i="30"/>
  <c r="AE131" i="30"/>
  <c r="AF131" i="30"/>
  <c r="AG131" i="30"/>
  <c r="Y132" i="30"/>
  <c r="Z132" i="30"/>
  <c r="AE132" i="30"/>
  <c r="AF132" i="30"/>
  <c r="Y133" i="30"/>
  <c r="Z133" i="30"/>
  <c r="AA133" i="30"/>
  <c r="AE133" i="30"/>
  <c r="AF133" i="30"/>
  <c r="AG133" i="30"/>
  <c r="Y134" i="30"/>
  <c r="Z134" i="30"/>
  <c r="AE134" i="30"/>
  <c r="AF134" i="30"/>
  <c r="Y135" i="30"/>
  <c r="Z135" i="30"/>
  <c r="AA135" i="30"/>
  <c r="AE135" i="30"/>
  <c r="AF135" i="30"/>
  <c r="AG135" i="30"/>
  <c r="Y136" i="30"/>
  <c r="Z136" i="30"/>
  <c r="AE136" i="30"/>
  <c r="AF136" i="30"/>
  <c r="Y137" i="30"/>
  <c r="Z137" i="30"/>
  <c r="AA137" i="30"/>
  <c r="AE137" i="30"/>
  <c r="AF137" i="30"/>
  <c r="AG137" i="30"/>
  <c r="Y138" i="30"/>
  <c r="Z138" i="30"/>
  <c r="AE138" i="30"/>
  <c r="AF138" i="30"/>
  <c r="Y139" i="30"/>
  <c r="Z139" i="30"/>
  <c r="AA139" i="30"/>
  <c r="AE139" i="30"/>
  <c r="AF139" i="30"/>
  <c r="AG139" i="30"/>
  <c r="Y140" i="30"/>
  <c r="Z140" i="30"/>
  <c r="AE140" i="30"/>
  <c r="AF140" i="30"/>
  <c r="Y141" i="30"/>
  <c r="Z141" i="30"/>
  <c r="AE141" i="30"/>
  <c r="AF141" i="30"/>
  <c r="Y142" i="30"/>
  <c r="Z142" i="30"/>
  <c r="AE142" i="30"/>
  <c r="AF142" i="30"/>
  <c r="Y143" i="30"/>
  <c r="Z143" i="30"/>
  <c r="AE143" i="30"/>
  <c r="AF143" i="30"/>
  <c r="Z144" i="30"/>
  <c r="AF144" i="30"/>
  <c r="Z145" i="30"/>
  <c r="AF145" i="30"/>
  <c r="Z146" i="30"/>
  <c r="AF146" i="30"/>
  <c r="Y147" i="30"/>
  <c r="Z147" i="30"/>
  <c r="AE147" i="30"/>
  <c r="AF147" i="30"/>
  <c r="Y148" i="30"/>
  <c r="Z148" i="30"/>
  <c r="AE148" i="30"/>
  <c r="AF148" i="30"/>
  <c r="Y149" i="30"/>
  <c r="Z149" i="30"/>
  <c r="AE149" i="30"/>
  <c r="AF149" i="30"/>
  <c r="Y150" i="30"/>
  <c r="Z150" i="30"/>
  <c r="AA150" i="30"/>
  <c r="AE150" i="30"/>
  <c r="AF150" i="30"/>
  <c r="AG150" i="30"/>
  <c r="Y151" i="30"/>
  <c r="Z151" i="30"/>
  <c r="AE151" i="30"/>
  <c r="AF151" i="30"/>
  <c r="Y152" i="30"/>
  <c r="Z152" i="30"/>
  <c r="AA152" i="30"/>
  <c r="AE152" i="30"/>
  <c r="AF152" i="30"/>
  <c r="AG152" i="30"/>
  <c r="Y153" i="30"/>
  <c r="Z153" i="30"/>
  <c r="AE153" i="30"/>
  <c r="AF153" i="30"/>
  <c r="Y154" i="30"/>
  <c r="Z154" i="30"/>
  <c r="AA154" i="30"/>
  <c r="AE154" i="30"/>
  <c r="AF154" i="30"/>
  <c r="AG154" i="30"/>
  <c r="Y155" i="30"/>
  <c r="Z155" i="30"/>
  <c r="AE155" i="30"/>
  <c r="AF155" i="30"/>
  <c r="Y156" i="30"/>
  <c r="Z156" i="30"/>
  <c r="AA156" i="30"/>
  <c r="AE156" i="30"/>
  <c r="AF156" i="30"/>
  <c r="AG156" i="30"/>
  <c r="Y157" i="30"/>
  <c r="Z157" i="30"/>
  <c r="AE157" i="30"/>
  <c r="AF157" i="30"/>
  <c r="Y158" i="30"/>
  <c r="Z158" i="30"/>
  <c r="AA158" i="30"/>
  <c r="AE158" i="30"/>
  <c r="AF158" i="30"/>
  <c r="AG158" i="30"/>
  <c r="Y159" i="30"/>
  <c r="Z159" i="30"/>
  <c r="AE159" i="30"/>
  <c r="AF159" i="30"/>
  <c r="Y160" i="30"/>
  <c r="Z160" i="30"/>
  <c r="AA160" i="30"/>
  <c r="AE160" i="30"/>
  <c r="AF160" i="30"/>
  <c r="AG160" i="30"/>
  <c r="Y161" i="30"/>
  <c r="Z161" i="30"/>
  <c r="AE161" i="30"/>
  <c r="AF161" i="30"/>
  <c r="Y162" i="30"/>
  <c r="Z162" i="30"/>
  <c r="AA162" i="30"/>
  <c r="AE162" i="30"/>
  <c r="AF162" i="30"/>
  <c r="AG162" i="30"/>
  <c r="Y163" i="30"/>
  <c r="Z163" i="30"/>
  <c r="AE163" i="30"/>
  <c r="AF163" i="30"/>
  <c r="Y164" i="30"/>
  <c r="Z164" i="30"/>
  <c r="AA164" i="30"/>
  <c r="AE164" i="30"/>
  <c r="AF164" i="30"/>
  <c r="AG164" i="30"/>
  <c r="Y165" i="30"/>
  <c r="Z165" i="30"/>
  <c r="AE165" i="30"/>
  <c r="AF165" i="30"/>
  <c r="Y166" i="30"/>
  <c r="Z166" i="30"/>
  <c r="AA166" i="30"/>
  <c r="AE166" i="30"/>
  <c r="AF166" i="30"/>
  <c r="AG166" i="30"/>
  <c r="Y167" i="30"/>
  <c r="Z167" i="30"/>
  <c r="AE167" i="30"/>
  <c r="AF167" i="30"/>
  <c r="Y168" i="30"/>
  <c r="Z168" i="30"/>
  <c r="AA168" i="30"/>
  <c r="AE168" i="30"/>
  <c r="AF168" i="30"/>
  <c r="AG168" i="30"/>
  <c r="Y169" i="30"/>
  <c r="Z169" i="30"/>
  <c r="AE169" i="30"/>
  <c r="AF169" i="30"/>
  <c r="Y170" i="30"/>
  <c r="Z170" i="30"/>
  <c r="AA170" i="30"/>
  <c r="AE170" i="30"/>
  <c r="AF170" i="30"/>
  <c r="AG170" i="30"/>
  <c r="Y171" i="30"/>
  <c r="Z171" i="30"/>
  <c r="AE171" i="30"/>
  <c r="AF171" i="30"/>
  <c r="Y172" i="30"/>
  <c r="Z172" i="30"/>
  <c r="AA172" i="30"/>
  <c r="AE172" i="30"/>
  <c r="AF172" i="30"/>
  <c r="AG172" i="30"/>
  <c r="Y173" i="30"/>
  <c r="Z173" i="30"/>
  <c r="AE173" i="30"/>
  <c r="AF173" i="30"/>
  <c r="Y174" i="30"/>
  <c r="Z174" i="30"/>
  <c r="AA174" i="30"/>
  <c r="AE174" i="30"/>
  <c r="AF174" i="30"/>
  <c r="AG174" i="30"/>
  <c r="Y175" i="30"/>
  <c r="Z175" i="30"/>
  <c r="AE175" i="30"/>
  <c r="AF175" i="30"/>
  <c r="Y176" i="30"/>
  <c r="Z176" i="30"/>
  <c r="AA176" i="30"/>
  <c r="AE176" i="30"/>
  <c r="AF176" i="30"/>
  <c r="AG176" i="30"/>
  <c r="Y177" i="30"/>
  <c r="Z177" i="30"/>
  <c r="AE177" i="30"/>
  <c r="AF177" i="30"/>
  <c r="Y178" i="30"/>
  <c r="Z178" i="30"/>
  <c r="AA178" i="30"/>
  <c r="AE178" i="30"/>
  <c r="AF178" i="30"/>
  <c r="AG178" i="30"/>
  <c r="Y179" i="30"/>
  <c r="Z179" i="30"/>
  <c r="AE179" i="30"/>
  <c r="AF179" i="30"/>
  <c r="Y180" i="30"/>
  <c r="Z180" i="30"/>
  <c r="AA180" i="30"/>
  <c r="AE180" i="30"/>
  <c r="AF180" i="30"/>
  <c r="AG180" i="30"/>
  <c r="Y181" i="30"/>
  <c r="Z181" i="30"/>
  <c r="AE181" i="30"/>
  <c r="AF181" i="30"/>
  <c r="Y182" i="30"/>
  <c r="Z182" i="30"/>
  <c r="AA182" i="30"/>
  <c r="AE182" i="30"/>
  <c r="AF182" i="30"/>
  <c r="AG182" i="30"/>
  <c r="Y183" i="30"/>
  <c r="Z183" i="30"/>
  <c r="AE183" i="30"/>
  <c r="AF183" i="30"/>
  <c r="Y184" i="30"/>
  <c r="Z184" i="30"/>
  <c r="AA184" i="30"/>
  <c r="AE184" i="30"/>
  <c r="AF184" i="30"/>
  <c r="AG184" i="30"/>
  <c r="Y185" i="30"/>
  <c r="Z185" i="30"/>
  <c r="AE185" i="30"/>
  <c r="AF185" i="30"/>
  <c r="Y186" i="30"/>
  <c r="Z186" i="30"/>
  <c r="AA186" i="30"/>
  <c r="AE186" i="30"/>
  <c r="AF186" i="30"/>
  <c r="AG186" i="30"/>
  <c r="Y187" i="30"/>
  <c r="Z187" i="30"/>
  <c r="AE187" i="30"/>
  <c r="AF187" i="30"/>
  <c r="Y188" i="30"/>
  <c r="Z188" i="30"/>
  <c r="AA188" i="30"/>
  <c r="AE188" i="30"/>
  <c r="AF188" i="30"/>
  <c r="AG188" i="30"/>
  <c r="Y189" i="30"/>
  <c r="Z189" i="30"/>
  <c r="AE189" i="30"/>
  <c r="AF189" i="30"/>
  <c r="Y190" i="30"/>
  <c r="Z190" i="30"/>
  <c r="AA190" i="30"/>
  <c r="AE190" i="30"/>
  <c r="AF190" i="30"/>
  <c r="AG190" i="30"/>
  <c r="Y191" i="30"/>
  <c r="Z191" i="30"/>
  <c r="AE191" i="30"/>
  <c r="AF191" i="30"/>
  <c r="Y192" i="30"/>
  <c r="Z192" i="30"/>
  <c r="AA192" i="30"/>
  <c r="AE192" i="30"/>
  <c r="AF192" i="30"/>
  <c r="AG192" i="30"/>
  <c r="Y193" i="30"/>
  <c r="Z193" i="30"/>
  <c r="AE193" i="30"/>
  <c r="AF193" i="30"/>
  <c r="Y194" i="30"/>
  <c r="Z194" i="30"/>
  <c r="AA194" i="30"/>
  <c r="AE194" i="30"/>
  <c r="AF194" i="30"/>
  <c r="AG194" i="30"/>
  <c r="Y195" i="30"/>
  <c r="Z195" i="30"/>
  <c r="AE195" i="30"/>
  <c r="AF195" i="30"/>
  <c r="Y196" i="30"/>
  <c r="Z196" i="30"/>
  <c r="AA196" i="30"/>
  <c r="AE196" i="30"/>
  <c r="AF196" i="30"/>
  <c r="AG196" i="30"/>
  <c r="Y197" i="30"/>
  <c r="Z197" i="30"/>
  <c r="AE197" i="30"/>
  <c r="AF197" i="30"/>
  <c r="Y198" i="30"/>
  <c r="Z198" i="30"/>
  <c r="AA198" i="30"/>
  <c r="AE198" i="30"/>
  <c r="AF198" i="30"/>
  <c r="AG198" i="30"/>
  <c r="Y199" i="30"/>
  <c r="Z199" i="30"/>
  <c r="AA199" i="30"/>
  <c r="AE199" i="30"/>
  <c r="AF199" i="30"/>
  <c r="AG199" i="30"/>
  <c r="Y200" i="30"/>
  <c r="Z200" i="30"/>
  <c r="AA200" i="30"/>
  <c r="AE200" i="30"/>
  <c r="AF200" i="30"/>
  <c r="AG200" i="30"/>
  <c r="Y201" i="30"/>
  <c r="Z201" i="30"/>
  <c r="AA201" i="30"/>
  <c r="AE201" i="30"/>
  <c r="AF201" i="30"/>
  <c r="AG201" i="30"/>
  <c r="Y202" i="30"/>
  <c r="Z202" i="30"/>
  <c r="AA202" i="30"/>
  <c r="AE202" i="30"/>
  <c r="AF202" i="30"/>
  <c r="AG202" i="30"/>
  <c r="Y203" i="30"/>
  <c r="Z203" i="30"/>
  <c r="AA203" i="30"/>
  <c r="AE203" i="30"/>
  <c r="AF203" i="30"/>
  <c r="AG203" i="30"/>
  <c r="Y204" i="30"/>
  <c r="Z204" i="30"/>
  <c r="AA204" i="30"/>
  <c r="AE204" i="30"/>
  <c r="AF204" i="30"/>
  <c r="AG204" i="30"/>
  <c r="Y205" i="30"/>
  <c r="Z205" i="30"/>
  <c r="AA205" i="30"/>
  <c r="AE205" i="30"/>
  <c r="AF205" i="30"/>
  <c r="AG205" i="30"/>
  <c r="Y206" i="30"/>
  <c r="Z206" i="30"/>
  <c r="AA206" i="30"/>
  <c r="AE206" i="30"/>
  <c r="AF206" i="30"/>
  <c r="AG206" i="30"/>
  <c r="Y207" i="30"/>
  <c r="Z207" i="30"/>
  <c r="AA207" i="30"/>
  <c r="AE207" i="30"/>
  <c r="AF207" i="30"/>
  <c r="AG207" i="30"/>
  <c r="Y208" i="30"/>
  <c r="Z208" i="30"/>
  <c r="AA208" i="30"/>
  <c r="AE208" i="30"/>
  <c r="AF208" i="30"/>
  <c r="AG208" i="30"/>
  <c r="Y209" i="30"/>
  <c r="Z209" i="30"/>
  <c r="AA209" i="30"/>
  <c r="AE209" i="30"/>
  <c r="AF209" i="30"/>
  <c r="AG209" i="30"/>
  <c r="Y210" i="30"/>
  <c r="Z210" i="30"/>
  <c r="AA210" i="30"/>
  <c r="AE210" i="30"/>
  <c r="AF210" i="30"/>
  <c r="AG210" i="30"/>
  <c r="Y211" i="30"/>
  <c r="Z211" i="30"/>
  <c r="AA211" i="30"/>
  <c r="AE211" i="30"/>
  <c r="AF211" i="30"/>
  <c r="AG211" i="30"/>
  <c r="Y212" i="30"/>
  <c r="Z212" i="30"/>
  <c r="AA212" i="30"/>
  <c r="AE212" i="30"/>
  <c r="AF212" i="30"/>
  <c r="AG212" i="30"/>
  <c r="Y213" i="30"/>
  <c r="Z213" i="30"/>
  <c r="AA213" i="30"/>
  <c r="AE213" i="30"/>
  <c r="AF213" i="30"/>
  <c r="AG213" i="30"/>
  <c r="Y214" i="30"/>
  <c r="Z214" i="30"/>
  <c r="AA214" i="30"/>
  <c r="AE214" i="30"/>
  <c r="AF214" i="30"/>
  <c r="AG214" i="30"/>
  <c r="Y215" i="30"/>
  <c r="Z215" i="30"/>
  <c r="AA215" i="30"/>
  <c r="AE215" i="30"/>
  <c r="AF215" i="30"/>
  <c r="AG215" i="30"/>
  <c r="Y216" i="30"/>
  <c r="Z216" i="30"/>
  <c r="AA216" i="30"/>
  <c r="AE216" i="30"/>
  <c r="AF216" i="30"/>
  <c r="AG216" i="30"/>
  <c r="Y217" i="30"/>
  <c r="Z217" i="30"/>
  <c r="AA217" i="30"/>
  <c r="AE217" i="30"/>
  <c r="AF217" i="30"/>
  <c r="AG217" i="30"/>
  <c r="Y218" i="30"/>
  <c r="Z218" i="30"/>
  <c r="AA218" i="30"/>
  <c r="AE218" i="30"/>
  <c r="AF218" i="30"/>
  <c r="AG218" i="30"/>
  <c r="Y219" i="30"/>
  <c r="Z219" i="30"/>
  <c r="AA219" i="30"/>
  <c r="AE219" i="30"/>
  <c r="AF219" i="30"/>
  <c r="AG219" i="30"/>
  <c r="Y220" i="30"/>
  <c r="Z220" i="30"/>
  <c r="AA220" i="30"/>
  <c r="AE220" i="30"/>
  <c r="AF220" i="30"/>
  <c r="AG220" i="30"/>
  <c r="Y221" i="30"/>
  <c r="Z221" i="30"/>
  <c r="AA221" i="30"/>
  <c r="AE221" i="30"/>
  <c r="AF221" i="30"/>
  <c r="AG221" i="30"/>
  <c r="Y222" i="30"/>
  <c r="Z222" i="30"/>
  <c r="AA222" i="30"/>
  <c r="AE222" i="30"/>
  <c r="AF222" i="30"/>
  <c r="AG222" i="30"/>
  <c r="Y223" i="30"/>
  <c r="Z223" i="30"/>
  <c r="AA223" i="30"/>
  <c r="AE223" i="30"/>
  <c r="AF223" i="30"/>
  <c r="AG223" i="30"/>
  <c r="Y224" i="30"/>
  <c r="Z224" i="30"/>
  <c r="AA224" i="30"/>
  <c r="AE224" i="30"/>
  <c r="AF224" i="30"/>
  <c r="AG224" i="30"/>
  <c r="Y225" i="30"/>
  <c r="Z225" i="30"/>
  <c r="AA225" i="30"/>
  <c r="AE225" i="30"/>
  <c r="AF225" i="30"/>
  <c r="AG225" i="30"/>
  <c r="Y226" i="30"/>
  <c r="Z226" i="30"/>
  <c r="AA226" i="30"/>
  <c r="AE226" i="30"/>
  <c r="AF226" i="30"/>
  <c r="AG226" i="30"/>
  <c r="Y227" i="30"/>
  <c r="Z227" i="30"/>
  <c r="AA227" i="30"/>
  <c r="AE227" i="30"/>
  <c r="AF227" i="30"/>
  <c r="AG227" i="30"/>
  <c r="Y228" i="30"/>
  <c r="Z228" i="30"/>
  <c r="AA228" i="30"/>
  <c r="AE228" i="30"/>
  <c r="AF228" i="30"/>
  <c r="AG228" i="30"/>
  <c r="Y229" i="30"/>
  <c r="Z229" i="30"/>
  <c r="AA229" i="30"/>
  <c r="AE229" i="30"/>
  <c r="AF229" i="30"/>
  <c r="AG229" i="30"/>
  <c r="Y230" i="30"/>
  <c r="Z230" i="30"/>
  <c r="AA230" i="30"/>
  <c r="AE230" i="30"/>
  <c r="AF230" i="30"/>
  <c r="AG230" i="30"/>
  <c r="Y231" i="30"/>
  <c r="Z231" i="30"/>
  <c r="AA231" i="30"/>
  <c r="AE231" i="30"/>
  <c r="AF231" i="30"/>
  <c r="AG231" i="30"/>
  <c r="Y232" i="30"/>
  <c r="Z232" i="30"/>
  <c r="AA232" i="30"/>
  <c r="AE232" i="30"/>
  <c r="AF232" i="30"/>
  <c r="AG232" i="30"/>
  <c r="Y233" i="30"/>
  <c r="Z233" i="30"/>
  <c r="AA233" i="30"/>
  <c r="AE233" i="30"/>
  <c r="AF233" i="30"/>
  <c r="AG233" i="30"/>
  <c r="Y234" i="30"/>
  <c r="Z234" i="30"/>
  <c r="AA234" i="30"/>
  <c r="AE234" i="30"/>
  <c r="AF234" i="30"/>
  <c r="AG234" i="30"/>
  <c r="Y235" i="30"/>
  <c r="Z235" i="30"/>
  <c r="AA235" i="30"/>
  <c r="AE235" i="30"/>
  <c r="AF235" i="30"/>
  <c r="AG235" i="30"/>
  <c r="Y236" i="30"/>
  <c r="Z236" i="30"/>
  <c r="AA236" i="30"/>
  <c r="AE236" i="30"/>
  <c r="AF236" i="30"/>
  <c r="AG236" i="30"/>
  <c r="Y237" i="30"/>
  <c r="Z237" i="30"/>
  <c r="AA237" i="30"/>
  <c r="AE237" i="30"/>
  <c r="AF237" i="30"/>
  <c r="AG237" i="30"/>
  <c r="Y238" i="30"/>
  <c r="Z238" i="30"/>
  <c r="AA238" i="30"/>
  <c r="AE238" i="30"/>
  <c r="AF238" i="30"/>
  <c r="AG238" i="30"/>
  <c r="Y239" i="30"/>
  <c r="Z239" i="30"/>
  <c r="AA239" i="30"/>
  <c r="AE239" i="30"/>
  <c r="AF239" i="30"/>
  <c r="AG239" i="30"/>
  <c r="Y240" i="30"/>
  <c r="Z240" i="30"/>
  <c r="AA240" i="30"/>
  <c r="AE240" i="30"/>
  <c r="AF240" i="30"/>
  <c r="AG240" i="30"/>
  <c r="Y241" i="30"/>
  <c r="Z241" i="30"/>
  <c r="AA241" i="30"/>
  <c r="AE241" i="30"/>
  <c r="AF241" i="30"/>
  <c r="AG241" i="30"/>
  <c r="Y242" i="30"/>
  <c r="Z242" i="30"/>
  <c r="AA242" i="30"/>
  <c r="AE242" i="30"/>
  <c r="AF242" i="30"/>
  <c r="AG242" i="30"/>
  <c r="Y243" i="30"/>
  <c r="Z243" i="30"/>
  <c r="AA243" i="30"/>
  <c r="AE243" i="30"/>
  <c r="AF243" i="30"/>
  <c r="AG243" i="30"/>
  <c r="Y244" i="30"/>
  <c r="Z244" i="30"/>
  <c r="AA244" i="30"/>
  <c r="AE244" i="30"/>
  <c r="AF244" i="30"/>
  <c r="AG244" i="30"/>
  <c r="Y245" i="30"/>
  <c r="Z245" i="30"/>
  <c r="AA245" i="30"/>
  <c r="AE245" i="30"/>
  <c r="AF245" i="30"/>
  <c r="AG245" i="30"/>
  <c r="Z246" i="30"/>
  <c r="AA246" i="30"/>
  <c r="AF246" i="30"/>
  <c r="AG246" i="30"/>
  <c r="Z247" i="30"/>
  <c r="AA247" i="30"/>
  <c r="AF247" i="30"/>
  <c r="AG247" i="30"/>
  <c r="Z248" i="30"/>
  <c r="AA248" i="30"/>
  <c r="AF248" i="30"/>
  <c r="AG248" i="30"/>
  <c r="Z249" i="30"/>
  <c r="AA249" i="30"/>
  <c r="AF249" i="30"/>
  <c r="AG249" i="30"/>
  <c r="Z250" i="30"/>
  <c r="AA250" i="30"/>
  <c r="AF250" i="30"/>
  <c r="AG250" i="30"/>
  <c r="Z251" i="30"/>
  <c r="AA251" i="30"/>
  <c r="AF251" i="30"/>
  <c r="AG251" i="30"/>
  <c r="Z252" i="30"/>
  <c r="AA252" i="30"/>
  <c r="AF252" i="30"/>
  <c r="AG252" i="30"/>
  <c r="Z253" i="30"/>
  <c r="AA253" i="30"/>
  <c r="AF253" i="30"/>
  <c r="AG253" i="30"/>
  <c r="Z254" i="30"/>
  <c r="AA254" i="30"/>
  <c r="AF254" i="30"/>
  <c r="AG254" i="30"/>
  <c r="Z255" i="30"/>
  <c r="AA255" i="30"/>
  <c r="AF255" i="30"/>
  <c r="AG255" i="30"/>
  <c r="Z256" i="30"/>
  <c r="AA256" i="30"/>
  <c r="AF256" i="30"/>
  <c r="AG256" i="30"/>
  <c r="Z257" i="30"/>
  <c r="AA257" i="30"/>
  <c r="AF257" i="30"/>
  <c r="AG257" i="30"/>
  <c r="Z258" i="30"/>
  <c r="AA258" i="30"/>
  <c r="AF258" i="30"/>
  <c r="AG258" i="30"/>
  <c r="Z259" i="30"/>
  <c r="AA259" i="30"/>
  <c r="AF259" i="30"/>
  <c r="AG259" i="30"/>
  <c r="Z260" i="30"/>
  <c r="AA260" i="30"/>
  <c r="AF260" i="30"/>
  <c r="AG260" i="30"/>
  <c r="Z261" i="30"/>
  <c r="AA261" i="30"/>
  <c r="AF261" i="30"/>
  <c r="AG261" i="30"/>
  <c r="Z262" i="30"/>
  <c r="AA262" i="30"/>
  <c r="AF262" i="30"/>
  <c r="AG262" i="30"/>
  <c r="Z263" i="30"/>
  <c r="AA263" i="30"/>
  <c r="AF263" i="30"/>
  <c r="AG263" i="30"/>
  <c r="Z264" i="30"/>
  <c r="AA264" i="30"/>
  <c r="AF264" i="30"/>
  <c r="AG264" i="30"/>
  <c r="Z265" i="30"/>
  <c r="AA265" i="30"/>
  <c r="AF265" i="30"/>
  <c r="AG265" i="30"/>
  <c r="Z266" i="30"/>
  <c r="AA266" i="30"/>
  <c r="AF266" i="30"/>
  <c r="AG266" i="30"/>
  <c r="Y267" i="30"/>
  <c r="AE267" i="30"/>
  <c r="Y268" i="30"/>
  <c r="AE268" i="30"/>
  <c r="Y269" i="30"/>
  <c r="AE269" i="30"/>
  <c r="Y270" i="30"/>
  <c r="AE270" i="30"/>
  <c r="Y271" i="30"/>
  <c r="AE271" i="30"/>
  <c r="Y272" i="30"/>
  <c r="AE272" i="30"/>
  <c r="Y273" i="30"/>
  <c r="AE273" i="30"/>
  <c r="Y274" i="30"/>
  <c r="AE274" i="30"/>
  <c r="Y275" i="30"/>
  <c r="AE275" i="30"/>
  <c r="Y276" i="30"/>
  <c r="AE276" i="30"/>
  <c r="Y277" i="30"/>
  <c r="AE277" i="30"/>
  <c r="Y278" i="30"/>
  <c r="AE278" i="30"/>
  <c r="Y279" i="30"/>
  <c r="AE279" i="30"/>
  <c r="Y280" i="30"/>
  <c r="AE280" i="30"/>
  <c r="Y281" i="30"/>
  <c r="AE281" i="30"/>
  <c r="Y282" i="30"/>
  <c r="AE282" i="30"/>
  <c r="Y283" i="30"/>
  <c r="AE283" i="30"/>
  <c r="Y284" i="30"/>
  <c r="AE284" i="30"/>
  <c r="Y285" i="30"/>
  <c r="AE285" i="30"/>
  <c r="Y286" i="30"/>
  <c r="AE286" i="30"/>
  <c r="Y287" i="30"/>
  <c r="AE287" i="30"/>
  <c r="Y288" i="30"/>
  <c r="AE288" i="30"/>
  <c r="Y289" i="30"/>
  <c r="AE289" i="30"/>
  <c r="Y290" i="30"/>
  <c r="AE290" i="30"/>
  <c r="Y291" i="30"/>
  <c r="AE291" i="30"/>
  <c r="Y292" i="30"/>
  <c r="AE292" i="30"/>
  <c r="Z293" i="30"/>
  <c r="AA293" i="30"/>
  <c r="AF293" i="30"/>
  <c r="AG293" i="30"/>
  <c r="Z294" i="30"/>
  <c r="AA294" i="30"/>
  <c r="AF294" i="30"/>
  <c r="AG294" i="30"/>
  <c r="Z295" i="30"/>
  <c r="AA295" i="30"/>
  <c r="AF295" i="30"/>
  <c r="AG295" i="30"/>
  <c r="Z296" i="30"/>
  <c r="AA296" i="30"/>
  <c r="AF296" i="30"/>
  <c r="AG296" i="30"/>
  <c r="Z297" i="30"/>
  <c r="AA297" i="30"/>
  <c r="AF297" i="30"/>
  <c r="AG297" i="30"/>
  <c r="Z298" i="30"/>
  <c r="AA298" i="30"/>
  <c r="AF298" i="30"/>
  <c r="AG298" i="30"/>
  <c r="Z299" i="30"/>
  <c r="AA299" i="30"/>
  <c r="AF299" i="30"/>
  <c r="AG299" i="30"/>
  <c r="Z300" i="30"/>
  <c r="AA300" i="30"/>
  <c r="AF300" i="30"/>
  <c r="AG300" i="30"/>
  <c r="Z301" i="30"/>
  <c r="AA301" i="30"/>
  <c r="AF301" i="30"/>
  <c r="AG301" i="30"/>
  <c r="Z302" i="30"/>
  <c r="AA302" i="30"/>
  <c r="AF302" i="30"/>
  <c r="AG302" i="30"/>
  <c r="Z303" i="30"/>
  <c r="AA303" i="30"/>
  <c r="AF303" i="30"/>
  <c r="AG303" i="30"/>
  <c r="Z304" i="30"/>
  <c r="AA304" i="30"/>
  <c r="AF304" i="30"/>
  <c r="AG304" i="30"/>
  <c r="Z305" i="30"/>
  <c r="AA305" i="30"/>
  <c r="AF305" i="30"/>
  <c r="AG305" i="30"/>
  <c r="Z306" i="30"/>
  <c r="AA306" i="30"/>
  <c r="AF306" i="30"/>
  <c r="AG306" i="30"/>
  <c r="Z307" i="30"/>
  <c r="AA307" i="30"/>
  <c r="AF307" i="30"/>
  <c r="AG307" i="30"/>
  <c r="Z308" i="30"/>
  <c r="AA308" i="30"/>
  <c r="AF308" i="30"/>
  <c r="AG308" i="30"/>
  <c r="Z309" i="30"/>
  <c r="AA309" i="30"/>
  <c r="AF309" i="30"/>
  <c r="AG309" i="30"/>
  <c r="Z310" i="30"/>
  <c r="AA310" i="30"/>
  <c r="AF310" i="30"/>
  <c r="AG310" i="30"/>
  <c r="Z311" i="30"/>
  <c r="AA311" i="30"/>
  <c r="AF311" i="30"/>
  <c r="AG311" i="30"/>
  <c r="Z312" i="30"/>
  <c r="AF312" i="30"/>
  <c r="Z313" i="30"/>
  <c r="AF313" i="30"/>
  <c r="Z314" i="30"/>
  <c r="AF314" i="30"/>
  <c r="Z315" i="30"/>
  <c r="AF315" i="30"/>
  <c r="Z316" i="30"/>
  <c r="AF316" i="30"/>
  <c r="Z317" i="30"/>
  <c r="AF317" i="30"/>
  <c r="Z318" i="30"/>
  <c r="AF318" i="30"/>
  <c r="Z319" i="30"/>
  <c r="AF319" i="30"/>
  <c r="Z320" i="30"/>
  <c r="AF320" i="30"/>
  <c r="Z321" i="30"/>
  <c r="AF321" i="30"/>
  <c r="Z322" i="30"/>
  <c r="AF322" i="30"/>
  <c r="Z323" i="30"/>
  <c r="AF323" i="30"/>
  <c r="Y324" i="30"/>
  <c r="AE324" i="30"/>
  <c r="Y325" i="30"/>
  <c r="AE325" i="30"/>
  <c r="Y326" i="30"/>
  <c r="AE326" i="30"/>
  <c r="Y327" i="30"/>
  <c r="AE327" i="30"/>
  <c r="Y328" i="30"/>
  <c r="AE328" i="30"/>
  <c r="Y329" i="30"/>
  <c r="AE329" i="30"/>
  <c r="Y330" i="30"/>
  <c r="AE330" i="30"/>
  <c r="Y331" i="30"/>
  <c r="AE331" i="30"/>
  <c r="Y332" i="30"/>
  <c r="AE332" i="30"/>
  <c r="Y333" i="30"/>
  <c r="AE333" i="30"/>
  <c r="Y334" i="30"/>
  <c r="AE334" i="30"/>
  <c r="Y335" i="30"/>
  <c r="AE335" i="30"/>
  <c r="Z336" i="30"/>
  <c r="AF336" i="30"/>
  <c r="Z337" i="30"/>
  <c r="AF337" i="30"/>
  <c r="Z338" i="30"/>
  <c r="AF338" i="30"/>
  <c r="Z339" i="30"/>
  <c r="AF339" i="30"/>
  <c r="Z340" i="30"/>
  <c r="AF340" i="30"/>
  <c r="Z341" i="30"/>
  <c r="AF341" i="30"/>
  <c r="Z342" i="30"/>
  <c r="AF342" i="30"/>
  <c r="Z343" i="30"/>
  <c r="AF343" i="30"/>
  <c r="Z344" i="30"/>
  <c r="AF344" i="30"/>
  <c r="Z345" i="30"/>
  <c r="AF345" i="30"/>
  <c r="Z346" i="30"/>
  <c r="AF346" i="30"/>
  <c r="Z347" i="30"/>
  <c r="AF347" i="30"/>
  <c r="Z348" i="30"/>
  <c r="AA348" i="30"/>
  <c r="AF348" i="30"/>
  <c r="AG348" i="30"/>
  <c r="Z349" i="30"/>
  <c r="AF349" i="30"/>
  <c r="Z350" i="30"/>
  <c r="AA350" i="30"/>
  <c r="AF350" i="30"/>
  <c r="AG350" i="30"/>
  <c r="Z351" i="30"/>
  <c r="AF351" i="30"/>
  <c r="Z352" i="30"/>
  <c r="AA352" i="30"/>
  <c r="AF352" i="30"/>
  <c r="AG352" i="30"/>
  <c r="Z353" i="30"/>
  <c r="AF353" i="30"/>
  <c r="Z354" i="30"/>
  <c r="AA354" i="30"/>
  <c r="AF354" i="30"/>
  <c r="AG354" i="30"/>
  <c r="Z355" i="30"/>
  <c r="AF355" i="30"/>
  <c r="Z356" i="30"/>
  <c r="AA356" i="30"/>
  <c r="AF356" i="30"/>
  <c r="AG356" i="30"/>
  <c r="Z357" i="30"/>
  <c r="AF357" i="30"/>
  <c r="Z358" i="30"/>
  <c r="AA358" i="30"/>
  <c r="AF358" i="30"/>
  <c r="AG358" i="30"/>
  <c r="Z359" i="30"/>
  <c r="AF359" i="30"/>
  <c r="Z360" i="30"/>
  <c r="AA360" i="30"/>
  <c r="AF360" i="30"/>
  <c r="AG360" i="30"/>
  <c r="Z361" i="30"/>
  <c r="AF361" i="30"/>
  <c r="Z362" i="30"/>
  <c r="AA362" i="30"/>
  <c r="AF362" i="30"/>
  <c r="AG362" i="30"/>
  <c r="Z363" i="30"/>
  <c r="AA363" i="30"/>
  <c r="AF363" i="30"/>
  <c r="AG363" i="30"/>
  <c r="Z364" i="30"/>
  <c r="AF364" i="30"/>
  <c r="Z365" i="30"/>
  <c r="AA365" i="30"/>
  <c r="AF365" i="30"/>
  <c r="AG365" i="30"/>
  <c r="Z366" i="30"/>
  <c r="AA366" i="30"/>
  <c r="AF366" i="30"/>
  <c r="AG366" i="30"/>
  <c r="Z367" i="30"/>
  <c r="AF367" i="30"/>
  <c r="Z368" i="30"/>
  <c r="AA368" i="30"/>
  <c r="AF368" i="30"/>
  <c r="AG368" i="30"/>
  <c r="Z369" i="30"/>
  <c r="AA369" i="30"/>
  <c r="AF369" i="30"/>
  <c r="AG369" i="30"/>
  <c r="Z370" i="30"/>
  <c r="AF370" i="30"/>
  <c r="Z371" i="30"/>
  <c r="AA371" i="30"/>
  <c r="AF371" i="30"/>
  <c r="AG371" i="30"/>
  <c r="Z372" i="30"/>
  <c r="AA372" i="30"/>
  <c r="AF372" i="30"/>
  <c r="AG372" i="30"/>
  <c r="Z373" i="30"/>
  <c r="AF373" i="30"/>
  <c r="Z374" i="30"/>
  <c r="AA374" i="30"/>
  <c r="AF374" i="30"/>
  <c r="AG374" i="30"/>
  <c r="Z375" i="30"/>
  <c r="AA375" i="30"/>
  <c r="AF375" i="30"/>
  <c r="AG375" i="30"/>
  <c r="Z376" i="30"/>
  <c r="AF376" i="30"/>
  <c r="Y377" i="30"/>
  <c r="AE377" i="30"/>
  <c r="Y378" i="30"/>
  <c r="AE378" i="30"/>
  <c r="Y379" i="30"/>
  <c r="AE379" i="30"/>
  <c r="Y380" i="30"/>
  <c r="AE380" i="30"/>
  <c r="Y381" i="30"/>
  <c r="AE381" i="30"/>
  <c r="Y382" i="30"/>
  <c r="AE382" i="30"/>
  <c r="Y383" i="30"/>
  <c r="AE383" i="30"/>
  <c r="Y384" i="30"/>
  <c r="AE384" i="30"/>
  <c r="Y385" i="30"/>
  <c r="AE385" i="30"/>
  <c r="Y386" i="30"/>
  <c r="AE386" i="30"/>
  <c r="Y387" i="30"/>
  <c r="AE387" i="30"/>
  <c r="Y388" i="30"/>
  <c r="AE388" i="30"/>
  <c r="Y389" i="30"/>
  <c r="AE389" i="30"/>
  <c r="Y390" i="30"/>
  <c r="AE390" i="30"/>
  <c r="Y391" i="30"/>
  <c r="AE391" i="30"/>
  <c r="Y392" i="30"/>
  <c r="AE392" i="30"/>
  <c r="Y393" i="30"/>
  <c r="AE393" i="30"/>
  <c r="Y394" i="30"/>
  <c r="AE394" i="30"/>
  <c r="Y395" i="30"/>
  <c r="AE395" i="30"/>
  <c r="Y396" i="30"/>
  <c r="AE396" i="30"/>
  <c r="Y397" i="30"/>
  <c r="AE397" i="30"/>
  <c r="Y398" i="30"/>
  <c r="AE398" i="30"/>
  <c r="Y399" i="30"/>
  <c r="AE399" i="30"/>
  <c r="Y400" i="30"/>
  <c r="AE400" i="30"/>
  <c r="Y401" i="30"/>
  <c r="AE401" i="30"/>
  <c r="Y402" i="30"/>
  <c r="AE402" i="30"/>
  <c r="Y403" i="30"/>
  <c r="AE403" i="30"/>
  <c r="Y404" i="30"/>
  <c r="AE404" i="30"/>
  <c r="Y405" i="30"/>
  <c r="AE405" i="30"/>
  <c r="Y406" i="30"/>
  <c r="AE406" i="30"/>
  <c r="Z407" i="30"/>
  <c r="AA407" i="30"/>
  <c r="AF407" i="30"/>
  <c r="AG407" i="30"/>
  <c r="Z408" i="30"/>
  <c r="AF408" i="30"/>
  <c r="Z409" i="30"/>
  <c r="AA409" i="30"/>
  <c r="AF409" i="30"/>
  <c r="AG409" i="30"/>
  <c r="Z410" i="30"/>
  <c r="AF410" i="30"/>
  <c r="Z411" i="30"/>
  <c r="AA411" i="30"/>
  <c r="AF411" i="30"/>
  <c r="AG411" i="30"/>
  <c r="Z412" i="30"/>
  <c r="AF412" i="30"/>
  <c r="Z413" i="30"/>
  <c r="AA413" i="30"/>
  <c r="AF413" i="30"/>
  <c r="AG413" i="30"/>
  <c r="Z414" i="30"/>
  <c r="AF414" i="30"/>
  <c r="Z415" i="30"/>
  <c r="AA415" i="30"/>
  <c r="AF415" i="30"/>
  <c r="AG415" i="30"/>
  <c r="Z416" i="30"/>
  <c r="AF416" i="30"/>
  <c r="Z417" i="30"/>
  <c r="AA417" i="30"/>
  <c r="AF417" i="30"/>
  <c r="AG417" i="30"/>
  <c r="Z418" i="30"/>
  <c r="AF418" i="30"/>
  <c r="Z419" i="30"/>
  <c r="AA419" i="30"/>
  <c r="AF419" i="30"/>
  <c r="AG419" i="30"/>
  <c r="Z420" i="30"/>
  <c r="AA420" i="30"/>
  <c r="AF420" i="30"/>
  <c r="AG420" i="30"/>
  <c r="Z421" i="30"/>
  <c r="AF421" i="30"/>
  <c r="Z422" i="30"/>
  <c r="AA422" i="30"/>
  <c r="AF422" i="30"/>
  <c r="AG422" i="30"/>
  <c r="Z423" i="30"/>
  <c r="AA423" i="30"/>
  <c r="AF423" i="30"/>
  <c r="AG423" i="30"/>
  <c r="Z424" i="30"/>
  <c r="AF424" i="30"/>
  <c r="Z425" i="30"/>
  <c r="AA425" i="30"/>
  <c r="AF425" i="30"/>
  <c r="AG425" i="30"/>
  <c r="Z426" i="30"/>
  <c r="AA426" i="30"/>
  <c r="AF426" i="30"/>
  <c r="AG426" i="30"/>
  <c r="Z427" i="30"/>
  <c r="AF427" i="30"/>
  <c r="Z428" i="30"/>
  <c r="AA428" i="30"/>
  <c r="AF428" i="30"/>
  <c r="AG428" i="30"/>
  <c r="Z429" i="30"/>
  <c r="AA429" i="30"/>
  <c r="AF429" i="30"/>
  <c r="AG429" i="30"/>
  <c r="Z430" i="30"/>
  <c r="AF430" i="30"/>
  <c r="Z431" i="30"/>
  <c r="AA431" i="30"/>
  <c r="AF431" i="30"/>
  <c r="AG431" i="30"/>
  <c r="Z432" i="30"/>
  <c r="AA432" i="30"/>
  <c r="AF432" i="30"/>
  <c r="AG432" i="30"/>
  <c r="Z433" i="30"/>
  <c r="AF433" i="30"/>
  <c r="Z434" i="30"/>
  <c r="AA434" i="30"/>
  <c r="AF434" i="30"/>
  <c r="AG434" i="30"/>
  <c r="Z435" i="30"/>
  <c r="AA435" i="30"/>
  <c r="AF435" i="30"/>
  <c r="AG435" i="30"/>
  <c r="Z436" i="30"/>
  <c r="AF436" i="30"/>
  <c r="Z437" i="30"/>
  <c r="AA437" i="30"/>
  <c r="AF437" i="30"/>
  <c r="AG437" i="30"/>
  <c r="Z438" i="30"/>
  <c r="AA438" i="30"/>
  <c r="AF438" i="30"/>
  <c r="AG438" i="30"/>
  <c r="Z439" i="30"/>
  <c r="AA439" i="30"/>
  <c r="AF439" i="30"/>
  <c r="AG439" i="30"/>
  <c r="Z440" i="30"/>
  <c r="AA440" i="30"/>
  <c r="AF440" i="30"/>
  <c r="AG440" i="30"/>
  <c r="Z441" i="30"/>
  <c r="AA441" i="30"/>
  <c r="AF441" i="30"/>
  <c r="AG441" i="30"/>
  <c r="Z442" i="30"/>
  <c r="AA442" i="30"/>
  <c r="AF442" i="30"/>
  <c r="AG442" i="30"/>
  <c r="Z443" i="30"/>
  <c r="AA443" i="30"/>
  <c r="AF443" i="30"/>
  <c r="AG443" i="30"/>
  <c r="Z444" i="30"/>
  <c r="AA444" i="30"/>
  <c r="AF444" i="30"/>
  <c r="AG444" i="30"/>
  <c r="Z445" i="30"/>
  <c r="AA445" i="30"/>
  <c r="AF445" i="30"/>
  <c r="AG445" i="30"/>
  <c r="Z446" i="30"/>
  <c r="AA446" i="30"/>
  <c r="AF446" i="30"/>
  <c r="AG446" i="30"/>
  <c r="Z447" i="30"/>
  <c r="AA447" i="30"/>
  <c r="AF447" i="30"/>
  <c r="AG447" i="30"/>
  <c r="Z448" i="30"/>
  <c r="AA448" i="30"/>
  <c r="AF448" i="30"/>
  <c r="AG448" i="30"/>
  <c r="Z449" i="30"/>
  <c r="AA449" i="30"/>
  <c r="AF449" i="30"/>
  <c r="AG449" i="30"/>
  <c r="Z450" i="30"/>
  <c r="AA450" i="30"/>
  <c r="AF450" i="30"/>
  <c r="AG450" i="30"/>
  <c r="Z451" i="30"/>
  <c r="AA451" i="30"/>
  <c r="AF451" i="30"/>
  <c r="AG451" i="30"/>
  <c r="Z452" i="30"/>
  <c r="AA452" i="30"/>
  <c r="AF452" i="30"/>
  <c r="AG452" i="30"/>
  <c r="Z453" i="30"/>
  <c r="AA453" i="30"/>
  <c r="AF453" i="30"/>
  <c r="AG453" i="30"/>
  <c r="Z454" i="30"/>
  <c r="AA454" i="30"/>
  <c r="AF454" i="30"/>
  <c r="AG454" i="30"/>
  <c r="Z455" i="30"/>
  <c r="AA455" i="30"/>
  <c r="AF455" i="30"/>
  <c r="AG455" i="30"/>
  <c r="Z456" i="30"/>
  <c r="AA456" i="30"/>
  <c r="AF456" i="30"/>
  <c r="AG456" i="30"/>
  <c r="Z457" i="30"/>
  <c r="AA457" i="30"/>
  <c r="AF457" i="30"/>
  <c r="AG457" i="30"/>
  <c r="Z458" i="30"/>
  <c r="AA458" i="30"/>
  <c r="AF458" i="30"/>
  <c r="AG458" i="30"/>
  <c r="Z459" i="30"/>
  <c r="AA459" i="30"/>
  <c r="AF459" i="30"/>
  <c r="AG459" i="30"/>
  <c r="Y460" i="30"/>
  <c r="AE460" i="30"/>
  <c r="Y461" i="30"/>
  <c r="AE461" i="30"/>
  <c r="Y462" i="30"/>
  <c r="AE462" i="30"/>
  <c r="Y463" i="30"/>
  <c r="AE463" i="30"/>
  <c r="Y464" i="30"/>
  <c r="AE464" i="30"/>
  <c r="Y465" i="30"/>
  <c r="AE465" i="30"/>
  <c r="Y466" i="30"/>
  <c r="AE466" i="30"/>
  <c r="Y467" i="30"/>
  <c r="AE467" i="30"/>
  <c r="Y468" i="30"/>
  <c r="AE468" i="30"/>
  <c r="Y469" i="30"/>
  <c r="AE469" i="30"/>
  <c r="Y470" i="30"/>
  <c r="AE470" i="30"/>
  <c r="Y471" i="30"/>
  <c r="AE471" i="30"/>
  <c r="Y472" i="30"/>
  <c r="AE472" i="30"/>
  <c r="Y473" i="30"/>
  <c r="AE473" i="30"/>
  <c r="Y474" i="30"/>
  <c r="AE474" i="30"/>
  <c r="Y475" i="30"/>
  <c r="AE475" i="30"/>
  <c r="Y476" i="30"/>
  <c r="AE476" i="30"/>
  <c r="Y477" i="30"/>
  <c r="AE477" i="30"/>
  <c r="Y478" i="30"/>
  <c r="AE478" i="30"/>
  <c r="Y479" i="30"/>
  <c r="AE479" i="30"/>
  <c r="Y480" i="30"/>
  <c r="AE480" i="30"/>
  <c r="Y481" i="30"/>
  <c r="AE481" i="30"/>
  <c r="Y482" i="30"/>
  <c r="AE482" i="30"/>
  <c r="Z483" i="30"/>
  <c r="AA483" i="30"/>
  <c r="AF483" i="30"/>
  <c r="AG483" i="30"/>
  <c r="Z484" i="30"/>
  <c r="AA484" i="30"/>
  <c r="AF484" i="30"/>
  <c r="AG484" i="30"/>
  <c r="Z485" i="30"/>
  <c r="AA485" i="30"/>
  <c r="AF485" i="30"/>
  <c r="AG485" i="30"/>
  <c r="Z486" i="30"/>
  <c r="AA486" i="30"/>
  <c r="AF486" i="30"/>
  <c r="AG486" i="30"/>
  <c r="Z487" i="30"/>
  <c r="AA487" i="30"/>
  <c r="AF487" i="30"/>
  <c r="AG487" i="30"/>
  <c r="Z488" i="30"/>
  <c r="AA488" i="30"/>
  <c r="AF488" i="30"/>
  <c r="AG488" i="30"/>
  <c r="Z489" i="30"/>
  <c r="AA489" i="30"/>
  <c r="AF489" i="30"/>
  <c r="AG489" i="30"/>
  <c r="Z490" i="30"/>
  <c r="AA490" i="30"/>
  <c r="AF490" i="30"/>
  <c r="AG490" i="30"/>
  <c r="Z491" i="30"/>
  <c r="AA491" i="30"/>
  <c r="AF491" i="30"/>
  <c r="AG491" i="30"/>
  <c r="Z492" i="30"/>
  <c r="AA492" i="30"/>
  <c r="AF492" i="30"/>
  <c r="AG492" i="30"/>
  <c r="Z493" i="30"/>
  <c r="AA493" i="30"/>
  <c r="AF493" i="30"/>
  <c r="AG493" i="30"/>
  <c r="Z494" i="30"/>
  <c r="AA494" i="30"/>
  <c r="AF494" i="30"/>
  <c r="AG494" i="30"/>
  <c r="Z495" i="30"/>
  <c r="AA495" i="30"/>
  <c r="AF495" i="30"/>
  <c r="AG495" i="30"/>
  <c r="Z496" i="30"/>
  <c r="AA496" i="30"/>
  <c r="AF496" i="30"/>
  <c r="AG496" i="30"/>
  <c r="Z497" i="30"/>
  <c r="AA497" i="30"/>
  <c r="AF497" i="30"/>
  <c r="AG497" i="30"/>
  <c r="Z498" i="30"/>
  <c r="AA498" i="30"/>
  <c r="AF498" i="30"/>
  <c r="AG498" i="30"/>
  <c r="Z499" i="30"/>
  <c r="AA499" i="30"/>
  <c r="AF499" i="30"/>
  <c r="AG499" i="30"/>
  <c r="Z500" i="30"/>
  <c r="AA500" i="30"/>
  <c r="AF500" i="30"/>
  <c r="AG500" i="30"/>
  <c r="Z501" i="30"/>
  <c r="AA501" i="30"/>
  <c r="AF501" i="30"/>
  <c r="AG501" i="30"/>
  <c r="Z502" i="30"/>
  <c r="AA502" i="30"/>
  <c r="AF502" i="30"/>
  <c r="AG502" i="30"/>
  <c r="Z503" i="30"/>
  <c r="AA503" i="30"/>
  <c r="AF503" i="30"/>
  <c r="AG503" i="30"/>
  <c r="Z504" i="30"/>
  <c r="AA504" i="30"/>
  <c r="AF504" i="30"/>
  <c r="AG504" i="30"/>
  <c r="Z505" i="30"/>
  <c r="AA505" i="30"/>
  <c r="AF505" i="30"/>
  <c r="AG505" i="30"/>
  <c r="Z506" i="30"/>
  <c r="AA506" i="30"/>
  <c r="AF506" i="30"/>
  <c r="AG506" i="30"/>
  <c r="Z507" i="30"/>
  <c r="AA507" i="30"/>
  <c r="AF507" i="30"/>
  <c r="AG507" i="30"/>
  <c r="Z508" i="30"/>
  <c r="AA508" i="30"/>
  <c r="AF508" i="30"/>
  <c r="AG508" i="30"/>
  <c r="Z509" i="30"/>
  <c r="AA509" i="30"/>
  <c r="AF509" i="30"/>
  <c r="AG509" i="30"/>
  <c r="Z510" i="30"/>
  <c r="AA510" i="30"/>
  <c r="AF510" i="30"/>
  <c r="AG510" i="30"/>
  <c r="Z511" i="30"/>
  <c r="AA511" i="30"/>
  <c r="AF511" i="30"/>
  <c r="AG511" i="30"/>
  <c r="Z512" i="30"/>
  <c r="AA512" i="30"/>
  <c r="AF512" i="30"/>
  <c r="AG512" i="30"/>
  <c r="Z513" i="30"/>
  <c r="AA513" i="30"/>
  <c r="AF513" i="30"/>
  <c r="AG513" i="30"/>
  <c r="Z514" i="30"/>
  <c r="AA514" i="30"/>
  <c r="AF514" i="30"/>
  <c r="AG514" i="30"/>
  <c r="Z515" i="30"/>
  <c r="AA515" i="30"/>
  <c r="AF515" i="30"/>
  <c r="AG515" i="30"/>
  <c r="Z516" i="30"/>
  <c r="AA516" i="30"/>
  <c r="AF516" i="30"/>
  <c r="AG516" i="30"/>
  <c r="Z517" i="30"/>
  <c r="AA517" i="30"/>
  <c r="AF517" i="30"/>
  <c r="AG517" i="30"/>
  <c r="Y518" i="30"/>
  <c r="AE518" i="30"/>
  <c r="Y519" i="30"/>
  <c r="AE519" i="30"/>
  <c r="Y520" i="30"/>
  <c r="AE520" i="30"/>
  <c r="Y521" i="30"/>
  <c r="AE521" i="30"/>
  <c r="Y522" i="30"/>
  <c r="AE522" i="30"/>
  <c r="Y523" i="30"/>
  <c r="AE523" i="30"/>
  <c r="Y524" i="30"/>
  <c r="AE524" i="30"/>
  <c r="Y525" i="30"/>
  <c r="AE525" i="30"/>
  <c r="Y526" i="30"/>
  <c r="AE526" i="30"/>
  <c r="Y527" i="30"/>
  <c r="AE527" i="30"/>
  <c r="Y528" i="30"/>
  <c r="AE528" i="30"/>
  <c r="Y529" i="30"/>
  <c r="AE529" i="30"/>
  <c r="Z530" i="30"/>
  <c r="AA530" i="30"/>
  <c r="AF530" i="30"/>
  <c r="AG530" i="30"/>
  <c r="Z531" i="30"/>
  <c r="AA531" i="30"/>
  <c r="AF531" i="30"/>
  <c r="AG531" i="30"/>
  <c r="Z532" i="30"/>
  <c r="AA532" i="30"/>
  <c r="AF532" i="30"/>
  <c r="AG532" i="30"/>
  <c r="Z533" i="30"/>
  <c r="AA533" i="30"/>
  <c r="AF533" i="30"/>
  <c r="AG533" i="30"/>
  <c r="Z534" i="30"/>
  <c r="AA534" i="30"/>
  <c r="AF534" i="30"/>
  <c r="AG534" i="30"/>
  <c r="Z535" i="30"/>
  <c r="AA535" i="30"/>
  <c r="AF535" i="30"/>
  <c r="AG535" i="30"/>
  <c r="Z536" i="30"/>
  <c r="AA536" i="30"/>
  <c r="AF536" i="30"/>
  <c r="AG536" i="30"/>
  <c r="Z537" i="30"/>
  <c r="AA537" i="30"/>
  <c r="AF537" i="30"/>
  <c r="AG537" i="30"/>
  <c r="Z538" i="30"/>
  <c r="AA538" i="30"/>
  <c r="AF538" i="30"/>
  <c r="AG538" i="30"/>
  <c r="Z539" i="30"/>
  <c r="AA539" i="30"/>
  <c r="AF539" i="30"/>
  <c r="AG539" i="30"/>
  <c r="Z540" i="30"/>
  <c r="AA540" i="30"/>
  <c r="AF540" i="30"/>
  <c r="AG540" i="30"/>
  <c r="Z541" i="30"/>
  <c r="AA541" i="30"/>
  <c r="AF541" i="30"/>
  <c r="AG541" i="30"/>
  <c r="Z542" i="30"/>
  <c r="AA542" i="30"/>
  <c r="AF542" i="30"/>
  <c r="AG542" i="30"/>
  <c r="Z543" i="30"/>
  <c r="AA543" i="30"/>
  <c r="AF543" i="30"/>
  <c r="AG543" i="30"/>
  <c r="Z544" i="30"/>
  <c r="AA544" i="30"/>
  <c r="AF544" i="30"/>
  <c r="AG544" i="30"/>
  <c r="Z545" i="30"/>
  <c r="AA545" i="30"/>
  <c r="AF545" i="30"/>
  <c r="AG545" i="30"/>
  <c r="Z546" i="30"/>
  <c r="AA546" i="30"/>
  <c r="AF546" i="30"/>
  <c r="AG546" i="30"/>
  <c r="Z547" i="30"/>
  <c r="AA547" i="30"/>
  <c r="AF547" i="30"/>
  <c r="AG547" i="30"/>
  <c r="Z548" i="30"/>
  <c r="AA548" i="30"/>
  <c r="AF548" i="30"/>
  <c r="AG548" i="30"/>
  <c r="Z549" i="30"/>
  <c r="AA549" i="30"/>
  <c r="AF549" i="30"/>
  <c r="AG549" i="30"/>
  <c r="Z550" i="30"/>
  <c r="AA550" i="30"/>
  <c r="AF550" i="30"/>
  <c r="AG550" i="30"/>
  <c r="Z551" i="30"/>
  <c r="AA551" i="30"/>
  <c r="AF551" i="30"/>
  <c r="AG551" i="30"/>
  <c r="Y552" i="30"/>
  <c r="AE552" i="30"/>
  <c r="Y553" i="30"/>
  <c r="AE553" i="30"/>
  <c r="Y554" i="30"/>
  <c r="AE554" i="30"/>
  <c r="Y555" i="30"/>
  <c r="AE555" i="30"/>
  <c r="Y556" i="30"/>
  <c r="AE556" i="30"/>
  <c r="Y557" i="30"/>
  <c r="AE557" i="30"/>
  <c r="Y558" i="30"/>
  <c r="AE558" i="30"/>
  <c r="Y559" i="30"/>
  <c r="AE559" i="30"/>
  <c r="Y560" i="30"/>
  <c r="AE560" i="30"/>
  <c r="Y561" i="30"/>
  <c r="AE561" i="30"/>
  <c r="Y562" i="30"/>
  <c r="AE562" i="30"/>
  <c r="Z563" i="30"/>
  <c r="AA563" i="30"/>
  <c r="AF563" i="30"/>
  <c r="AG563" i="30"/>
  <c r="Z564" i="30"/>
  <c r="AA564" i="30"/>
  <c r="AF564" i="30"/>
  <c r="AG564" i="30"/>
  <c r="Z565" i="30"/>
  <c r="AA565" i="30"/>
  <c r="AF565" i="30"/>
  <c r="AG565" i="30"/>
  <c r="Z566" i="30"/>
  <c r="AA566" i="30"/>
  <c r="AF566" i="30"/>
  <c r="AG566" i="30"/>
  <c r="Z567" i="30"/>
  <c r="AA567" i="30"/>
  <c r="AF567" i="30"/>
  <c r="AG567" i="30"/>
  <c r="Z568" i="30"/>
  <c r="AA568" i="30"/>
  <c r="AF568" i="30"/>
  <c r="AG568" i="30"/>
  <c r="Z569" i="30"/>
  <c r="AA569" i="30"/>
  <c r="AF569" i="30"/>
  <c r="AG569" i="30"/>
  <c r="Z570" i="30"/>
  <c r="AA570" i="30"/>
  <c r="AF570" i="30"/>
  <c r="AG570" i="30"/>
  <c r="Z571" i="30"/>
  <c r="AA571" i="30"/>
  <c r="AF571" i="30"/>
  <c r="AG571" i="30"/>
  <c r="Z572" i="30"/>
  <c r="AA572" i="30"/>
  <c r="AF572" i="30"/>
  <c r="AG572" i="30"/>
  <c r="Z573" i="30"/>
  <c r="AA573" i="30"/>
  <c r="AF573" i="30"/>
  <c r="AG573" i="30"/>
  <c r="Z574" i="30"/>
  <c r="AA574" i="30"/>
  <c r="AF574" i="30"/>
  <c r="AG574" i="30"/>
  <c r="Z575" i="30"/>
  <c r="AA575" i="30"/>
  <c r="AF575" i="30"/>
  <c r="AG575" i="30"/>
  <c r="Z576" i="30"/>
  <c r="AA576" i="30"/>
  <c r="AF576" i="30"/>
  <c r="AG576" i="30"/>
  <c r="Z577" i="30"/>
  <c r="AA577" i="30"/>
  <c r="AF577" i="30"/>
  <c r="AG577" i="30"/>
  <c r="Z578" i="30"/>
  <c r="AA578" i="30"/>
  <c r="AF578" i="30"/>
  <c r="AG578" i="30"/>
  <c r="Z579" i="30"/>
  <c r="AA579" i="30"/>
  <c r="AF579" i="30"/>
  <c r="AG579" i="30"/>
  <c r="Z580" i="30"/>
  <c r="AA580" i="30"/>
  <c r="AF580" i="30"/>
  <c r="AG580" i="30"/>
  <c r="Z581" i="30"/>
  <c r="AA581" i="30"/>
  <c r="AF581" i="30"/>
  <c r="AG581" i="30"/>
  <c r="Z582" i="30"/>
  <c r="AA582" i="30"/>
  <c r="AF582" i="30"/>
  <c r="AG582" i="30"/>
  <c r="Z583" i="30"/>
  <c r="AA583" i="30"/>
  <c r="AF583" i="30"/>
  <c r="AG583" i="30"/>
  <c r="Z584" i="30"/>
  <c r="AA584" i="30"/>
  <c r="AF584" i="30"/>
  <c r="AG584" i="30"/>
  <c r="Z585" i="30"/>
  <c r="AA585" i="30"/>
  <c r="AF585" i="30"/>
  <c r="AG585" i="30"/>
  <c r="Y586" i="30"/>
  <c r="AE586" i="30"/>
  <c r="Y587" i="30"/>
  <c r="AE587" i="30"/>
  <c r="Y588" i="30"/>
  <c r="AE588" i="30"/>
  <c r="Y589" i="30"/>
  <c r="AE589" i="30"/>
  <c r="Y590" i="30"/>
  <c r="AE590" i="30"/>
  <c r="Y591" i="30"/>
  <c r="AE591" i="30"/>
  <c r="Y592" i="30"/>
  <c r="AE592" i="30"/>
  <c r="Y593" i="30"/>
  <c r="AE593" i="30"/>
  <c r="Y594" i="30"/>
  <c r="AE594" i="30"/>
  <c r="Y595" i="30"/>
  <c r="AE595" i="30"/>
  <c r="Y596" i="30"/>
  <c r="AE596" i="30"/>
  <c r="Y597" i="30"/>
  <c r="AE597" i="30"/>
  <c r="Z598" i="30"/>
  <c r="AA598" i="30"/>
  <c r="AF598" i="30"/>
  <c r="AG598" i="30"/>
  <c r="Z599" i="30"/>
  <c r="AA599" i="30"/>
  <c r="AF599" i="30"/>
  <c r="AG599" i="30"/>
  <c r="Z600" i="30"/>
  <c r="AA600" i="30"/>
  <c r="AF600" i="30"/>
  <c r="AG600" i="30"/>
  <c r="Z601" i="30"/>
  <c r="AA601" i="30"/>
  <c r="AF601" i="30"/>
  <c r="AG601" i="30"/>
  <c r="Z602" i="30"/>
  <c r="AA602" i="30"/>
  <c r="AF602" i="30"/>
  <c r="AG602" i="30"/>
  <c r="Z603" i="30"/>
  <c r="AA603" i="30"/>
  <c r="AF603" i="30"/>
  <c r="AG603" i="30"/>
  <c r="Z604" i="30"/>
  <c r="AA604" i="30"/>
  <c r="AF604" i="30"/>
  <c r="AG604" i="30"/>
  <c r="Z605" i="30"/>
  <c r="AA605" i="30"/>
  <c r="AF605" i="30"/>
  <c r="AG605" i="30"/>
  <c r="Z606" i="30"/>
  <c r="AA606" i="30"/>
  <c r="AF606" i="30"/>
  <c r="AG606" i="30"/>
  <c r="Z607" i="30"/>
  <c r="AA607" i="30"/>
  <c r="AF607" i="30"/>
  <c r="AG607" i="30"/>
  <c r="Z608" i="30"/>
  <c r="AA608" i="30"/>
  <c r="AF608" i="30"/>
  <c r="AG608" i="30"/>
  <c r="Z609" i="30"/>
  <c r="AA609" i="30"/>
  <c r="AF609" i="30"/>
  <c r="AG609" i="30"/>
  <c r="Z610" i="30"/>
  <c r="AA610" i="30"/>
  <c r="AF610" i="30"/>
  <c r="AG610" i="30"/>
  <c r="Z611" i="30"/>
  <c r="AA611" i="30"/>
  <c r="AF611" i="30"/>
  <c r="AG611" i="30"/>
  <c r="Z612" i="30"/>
  <c r="AA612" i="30"/>
  <c r="AF612" i="30"/>
  <c r="AG612" i="30"/>
  <c r="Z613" i="30"/>
  <c r="AA613" i="30"/>
  <c r="AF613" i="30"/>
  <c r="AG613" i="30"/>
  <c r="Z614" i="30"/>
  <c r="AA614" i="30"/>
  <c r="AF614" i="30"/>
  <c r="AG614" i="30"/>
  <c r="Z615" i="30"/>
  <c r="AA615" i="30"/>
  <c r="AF615" i="30"/>
  <c r="AG615" i="30"/>
  <c r="Z616" i="30"/>
  <c r="AA616" i="30"/>
  <c r="AF616" i="30"/>
  <c r="AG616" i="30"/>
  <c r="Z617" i="30"/>
  <c r="AA617" i="30"/>
  <c r="AF617" i="30"/>
  <c r="AG617" i="30"/>
  <c r="Z618" i="30"/>
  <c r="AA618" i="30"/>
  <c r="AF618" i="30"/>
  <c r="AG618" i="30"/>
  <c r="Z619" i="30"/>
  <c r="AA619" i="30"/>
  <c r="AF619" i="30"/>
  <c r="AG619" i="30"/>
  <c r="Z620" i="30"/>
  <c r="AA620" i="30"/>
  <c r="AF620" i="30"/>
  <c r="AG620" i="30"/>
  <c r="Z621" i="30"/>
  <c r="AA621" i="30"/>
  <c r="AF621" i="30"/>
  <c r="AG621" i="30"/>
  <c r="Z622" i="30"/>
  <c r="AA622" i="30"/>
  <c r="AF622" i="30"/>
  <c r="AG622" i="30"/>
  <c r="Z623" i="30"/>
  <c r="AA623" i="30"/>
  <c r="AF623" i="30"/>
  <c r="AG623" i="30"/>
  <c r="Z624" i="30"/>
  <c r="AA624" i="30"/>
  <c r="AF624" i="30"/>
  <c r="AG624" i="30"/>
  <c r="Z625" i="30"/>
  <c r="AA625" i="30"/>
  <c r="AF625" i="30"/>
  <c r="AG625" i="30"/>
  <c r="Z626" i="30"/>
  <c r="AA626" i="30"/>
  <c r="AF626" i="30"/>
  <c r="AG626" i="30"/>
  <c r="Z627" i="30"/>
  <c r="AA627" i="30"/>
  <c r="AF627" i="30"/>
  <c r="AG627" i="30"/>
  <c r="Z628" i="30"/>
  <c r="AA628" i="30"/>
  <c r="AF628" i="30"/>
  <c r="AG628" i="30"/>
  <c r="Z629" i="30"/>
  <c r="AA629" i="30"/>
  <c r="AF629" i="30"/>
  <c r="AG629" i="30"/>
  <c r="Z630" i="30"/>
  <c r="AA630" i="30"/>
  <c r="AF630" i="30"/>
  <c r="AG630" i="30"/>
  <c r="Z631" i="30"/>
  <c r="AA631" i="30"/>
  <c r="AF631" i="30"/>
  <c r="AG631" i="30"/>
  <c r="Z632" i="30"/>
  <c r="AA632" i="30"/>
  <c r="AF632" i="30"/>
  <c r="AG632" i="30"/>
  <c r="Z633" i="30"/>
  <c r="AA633" i="30"/>
  <c r="AF633" i="30"/>
  <c r="AG633" i="30"/>
  <c r="Z634" i="30"/>
  <c r="AA634" i="30"/>
  <c r="AF634" i="30"/>
  <c r="AG634" i="30"/>
  <c r="Z635" i="30"/>
  <c r="AA635" i="30"/>
  <c r="AF635" i="30"/>
  <c r="AG635" i="30"/>
  <c r="Z636" i="30"/>
  <c r="AA636" i="30"/>
  <c r="AF636" i="30"/>
  <c r="AG636" i="30"/>
  <c r="Z637" i="30"/>
  <c r="AA637" i="30"/>
  <c r="AF637" i="30"/>
  <c r="AG637" i="30"/>
  <c r="Z638" i="30"/>
  <c r="AA638" i="30"/>
  <c r="AF638" i="30"/>
  <c r="AG638" i="30"/>
  <c r="Z639" i="30"/>
  <c r="AA639" i="30"/>
  <c r="AF639" i="30"/>
  <c r="AG639" i="30"/>
  <c r="Z640" i="30"/>
  <c r="AA640" i="30"/>
  <c r="AF640" i="30"/>
  <c r="AG640" i="30"/>
  <c r="Z641" i="30"/>
  <c r="AA641" i="30"/>
  <c r="AF641" i="30"/>
  <c r="AG641" i="30"/>
  <c r="Z642" i="30"/>
  <c r="AA642" i="30"/>
  <c r="AF642" i="30"/>
  <c r="AG642" i="30"/>
  <c r="Z643" i="30"/>
  <c r="AA643" i="30"/>
  <c r="AF643" i="30"/>
  <c r="AG643" i="30"/>
  <c r="Z644" i="30"/>
  <c r="AA644" i="30"/>
  <c r="AF644" i="30"/>
  <c r="AG644" i="30"/>
  <c r="Z645" i="30"/>
  <c r="AA645" i="30"/>
  <c r="AF645" i="30"/>
  <c r="AG645" i="30"/>
  <c r="Z646" i="30"/>
  <c r="AA646" i="30"/>
  <c r="AF646" i="30"/>
  <c r="AG646" i="30"/>
  <c r="Z647" i="30"/>
  <c r="AA647" i="30"/>
  <c r="AF647" i="30"/>
  <c r="AG647" i="30"/>
  <c r="Z648" i="30"/>
  <c r="AA648" i="30"/>
  <c r="AF648" i="30"/>
  <c r="AG648" i="30"/>
  <c r="Z649" i="30"/>
  <c r="AA649" i="30"/>
  <c r="AF649" i="30"/>
  <c r="AG649" i="30"/>
  <c r="Z650" i="30"/>
  <c r="AA650" i="30"/>
  <c r="AF650" i="30"/>
  <c r="AG650" i="30"/>
  <c r="Z651" i="30"/>
  <c r="AA651" i="30"/>
  <c r="AF651" i="30"/>
  <c r="AG651" i="30"/>
  <c r="Z652" i="30"/>
  <c r="AA652" i="30"/>
  <c r="AF652" i="30"/>
  <c r="AG652" i="30"/>
  <c r="Z653" i="30"/>
  <c r="AA653" i="30"/>
  <c r="AF653" i="30"/>
  <c r="AG653" i="30"/>
  <c r="Z654" i="30"/>
  <c r="AA654" i="30"/>
  <c r="AF654" i="30"/>
  <c r="AG654" i="30"/>
  <c r="Z655" i="30"/>
  <c r="AA655" i="30"/>
  <c r="AF655" i="30"/>
  <c r="AG655" i="30"/>
  <c r="Z656" i="30"/>
  <c r="AA656" i="30"/>
  <c r="AF656" i="30"/>
  <c r="AG656" i="30"/>
  <c r="Z657" i="30"/>
  <c r="AA657" i="30"/>
  <c r="AF657" i="30"/>
  <c r="AG657" i="30"/>
  <c r="Z658" i="30"/>
  <c r="AA658" i="30"/>
  <c r="AF658" i="30"/>
  <c r="AG658" i="30"/>
  <c r="Z659" i="30"/>
  <c r="AA659" i="30"/>
  <c r="AF659" i="30"/>
  <c r="AG659" i="30"/>
  <c r="Z660" i="30"/>
  <c r="AA660" i="30"/>
  <c r="AF660" i="30"/>
  <c r="AG660" i="30"/>
  <c r="Z661" i="30"/>
  <c r="AA661" i="30"/>
  <c r="AF661" i="30"/>
  <c r="AG661" i="30"/>
  <c r="Z662" i="30"/>
  <c r="AA662" i="30"/>
  <c r="AF662" i="30"/>
  <c r="AG662" i="30"/>
  <c r="Z663" i="30"/>
  <c r="AA663" i="30"/>
  <c r="AF663" i="30"/>
  <c r="AG663" i="30"/>
  <c r="Z664" i="30"/>
  <c r="AA664" i="30"/>
  <c r="AF664" i="30"/>
  <c r="AG664" i="30"/>
  <c r="Z665" i="30"/>
  <c r="AA665" i="30"/>
  <c r="AF665" i="30"/>
  <c r="AG665" i="30"/>
  <c r="Z666" i="30"/>
  <c r="AA666" i="30"/>
  <c r="AF666" i="30"/>
  <c r="AG666" i="30"/>
  <c r="Z667" i="30"/>
  <c r="AA667" i="30"/>
  <c r="AF667" i="30"/>
  <c r="AG667" i="30"/>
  <c r="Z668" i="30"/>
  <c r="AA668" i="30"/>
  <c r="AF668" i="30"/>
  <c r="AG668" i="30"/>
  <c r="Z669" i="30"/>
  <c r="AA669" i="30"/>
  <c r="AF669" i="30"/>
  <c r="AG669" i="30"/>
  <c r="Z670" i="30"/>
  <c r="AA670" i="30"/>
  <c r="AF670" i="30"/>
  <c r="AG670" i="30"/>
  <c r="Z671" i="30"/>
  <c r="AA671" i="30"/>
  <c r="AF671" i="30"/>
  <c r="AG671" i="30"/>
  <c r="Z672" i="30"/>
  <c r="AA672" i="30"/>
  <c r="AF672" i="30"/>
  <c r="AG672" i="30"/>
  <c r="Z673" i="30"/>
  <c r="AA673" i="30"/>
  <c r="AF673" i="30"/>
  <c r="AG673" i="30"/>
  <c r="Z674" i="30"/>
  <c r="AA674" i="30"/>
  <c r="AF674" i="30"/>
  <c r="AG674" i="30"/>
  <c r="Z675" i="30"/>
  <c r="AA675" i="30"/>
  <c r="AF675" i="30"/>
  <c r="AG675" i="30"/>
  <c r="Z676" i="30"/>
  <c r="AA676" i="30"/>
  <c r="AF676" i="30"/>
  <c r="AG676" i="30"/>
  <c r="Z677" i="30"/>
  <c r="AA677" i="30"/>
  <c r="AF677" i="30"/>
  <c r="AG677" i="30"/>
  <c r="Z678" i="30"/>
  <c r="AA678" i="30"/>
  <c r="AF678" i="30"/>
  <c r="AG678" i="30"/>
  <c r="Z679" i="30"/>
  <c r="AA679" i="30"/>
  <c r="AF679" i="30"/>
  <c r="AG679" i="30"/>
  <c r="Z680" i="30"/>
  <c r="AA680" i="30"/>
  <c r="AF680" i="30"/>
  <c r="AG680" i="30"/>
  <c r="Z681" i="30"/>
  <c r="AA681" i="30"/>
  <c r="AF681" i="30"/>
  <c r="AG681" i="30"/>
  <c r="Z682" i="30"/>
  <c r="AA682" i="30"/>
  <c r="AF682" i="30"/>
  <c r="AG682" i="30"/>
  <c r="Z683" i="30"/>
  <c r="AA683" i="30"/>
  <c r="AF683" i="30"/>
  <c r="AG683" i="30"/>
  <c r="Z684" i="30"/>
  <c r="AA684" i="30"/>
  <c r="AF684" i="30"/>
  <c r="AG684" i="30"/>
  <c r="Z685" i="30"/>
  <c r="AA685" i="30"/>
  <c r="AF685" i="30"/>
  <c r="AG685" i="30"/>
  <c r="Z686" i="30"/>
  <c r="AA686" i="30"/>
  <c r="AF686" i="30"/>
  <c r="AG686" i="30"/>
  <c r="Z687" i="30"/>
  <c r="AA687" i="30"/>
  <c r="AF687" i="30"/>
  <c r="AG687" i="30"/>
  <c r="Z688" i="30"/>
  <c r="AA688" i="30"/>
  <c r="AF688" i="30"/>
  <c r="AG688" i="30"/>
  <c r="Z689" i="30"/>
  <c r="AA689" i="30"/>
  <c r="AF689" i="30"/>
  <c r="AG689" i="30"/>
  <c r="Z690" i="30"/>
  <c r="AA690" i="30"/>
  <c r="AF690" i="30"/>
  <c r="AG690" i="30"/>
  <c r="Z691" i="30"/>
  <c r="AA691" i="30"/>
  <c r="AF691" i="30"/>
  <c r="AG691" i="30"/>
  <c r="Z692" i="30"/>
  <c r="AA692" i="30"/>
  <c r="AF692" i="30"/>
  <c r="AG692" i="30"/>
  <c r="Z693" i="30"/>
  <c r="AA693" i="30"/>
  <c r="AF693" i="30"/>
  <c r="AG693" i="30"/>
  <c r="Z694" i="30"/>
  <c r="AA694" i="30"/>
  <c r="AF694" i="30"/>
  <c r="AG694" i="30"/>
  <c r="Z695" i="30"/>
  <c r="AA695" i="30"/>
  <c r="AF695" i="30"/>
  <c r="AG695" i="30"/>
  <c r="Z696" i="30"/>
  <c r="AA696" i="30"/>
  <c r="AF696" i="30"/>
  <c r="AG696" i="30"/>
  <c r="Z697" i="30"/>
  <c r="AA697" i="30"/>
  <c r="AF697" i="30"/>
  <c r="AG697" i="30"/>
  <c r="Z698" i="30"/>
  <c r="AA698" i="30"/>
  <c r="AF698" i="30"/>
  <c r="AG698" i="30"/>
  <c r="Z699" i="30"/>
  <c r="AA699" i="30"/>
  <c r="AF699" i="30"/>
  <c r="AG699" i="30"/>
  <c r="Z700" i="30"/>
  <c r="AA700" i="30"/>
  <c r="AF700" i="30"/>
  <c r="AG700" i="30"/>
  <c r="Z701" i="30"/>
  <c r="AA701" i="30"/>
  <c r="AF701" i="30"/>
  <c r="AG701" i="30"/>
  <c r="Z702" i="30"/>
  <c r="AA702" i="30"/>
  <c r="AF702" i="30"/>
  <c r="AG702" i="30"/>
  <c r="Z703" i="30"/>
  <c r="AA703" i="30"/>
  <c r="AF703" i="30"/>
  <c r="AG703" i="30"/>
  <c r="Z704" i="30"/>
  <c r="AA704" i="30"/>
  <c r="AF704" i="30"/>
  <c r="AG704" i="30"/>
  <c r="Z705" i="30"/>
  <c r="AA705" i="30"/>
  <c r="AF705" i="30"/>
  <c r="AG705" i="30"/>
  <c r="Z706" i="30"/>
  <c r="AA706" i="30"/>
  <c r="AF706" i="30"/>
  <c r="AG706" i="30"/>
  <c r="Z707" i="30"/>
  <c r="AA707" i="30"/>
  <c r="AF707" i="30"/>
  <c r="AG707" i="30"/>
  <c r="Z708" i="30"/>
  <c r="AA708" i="30"/>
  <c r="AF708" i="30"/>
  <c r="AG708" i="30"/>
  <c r="Z709" i="30"/>
  <c r="AA709" i="30"/>
  <c r="AF709" i="30"/>
  <c r="AG709" i="30"/>
  <c r="Z710" i="30"/>
  <c r="AA710" i="30"/>
  <c r="AF710" i="30"/>
  <c r="AG710" i="30"/>
  <c r="Z711" i="30"/>
  <c r="AA711" i="30"/>
  <c r="AF711" i="30"/>
  <c r="AG711" i="30"/>
  <c r="Z712" i="30"/>
  <c r="AA712" i="30"/>
  <c r="AF712" i="30"/>
  <c r="AG712" i="30"/>
  <c r="Z713" i="30"/>
  <c r="AA713" i="30"/>
  <c r="AF713" i="30"/>
  <c r="AG713" i="30"/>
  <c r="Z714" i="30"/>
  <c r="AA714" i="30"/>
  <c r="AF714" i="30"/>
  <c r="AG714" i="30"/>
  <c r="Z715" i="30"/>
  <c r="AA715" i="30"/>
  <c r="AF715" i="30"/>
  <c r="AG715" i="30"/>
  <c r="Z716" i="30"/>
  <c r="AA716" i="30"/>
  <c r="AF716" i="30"/>
  <c r="AG716" i="30"/>
  <c r="Z717" i="30"/>
  <c r="AA717" i="30"/>
  <c r="AF717" i="30"/>
  <c r="AG717" i="30"/>
  <c r="Z718" i="30"/>
  <c r="AA718" i="30"/>
  <c r="AF718" i="30"/>
  <c r="AG718" i="30"/>
  <c r="Z719" i="30"/>
  <c r="AA719" i="30"/>
  <c r="AF719" i="30"/>
  <c r="AG719" i="30"/>
  <c r="Z720" i="30"/>
  <c r="AA720" i="30"/>
  <c r="AF720" i="30"/>
  <c r="AG720" i="30"/>
  <c r="Z721" i="30"/>
  <c r="AA721" i="30"/>
  <c r="AF721" i="30"/>
  <c r="AG721" i="30"/>
  <c r="Z722" i="30"/>
  <c r="AA722" i="30"/>
  <c r="AF722" i="30"/>
  <c r="AG722" i="30"/>
  <c r="Z723" i="30"/>
  <c r="AA723" i="30"/>
  <c r="AF723" i="30"/>
  <c r="AG723" i="30"/>
  <c r="Z724" i="30"/>
  <c r="AA724" i="30"/>
  <c r="AF724" i="30"/>
  <c r="AG724" i="30"/>
  <c r="Z725" i="30"/>
  <c r="AA725" i="30"/>
  <c r="AF725" i="30"/>
  <c r="AG725" i="30"/>
  <c r="Z726" i="30"/>
  <c r="AA726" i="30"/>
  <c r="AF726" i="30"/>
  <c r="AG726" i="30"/>
  <c r="Z727" i="30"/>
  <c r="AA727" i="30"/>
  <c r="AF727" i="30"/>
  <c r="AG727" i="30"/>
  <c r="Z728" i="30"/>
  <c r="AA728" i="30"/>
  <c r="AF728" i="30"/>
  <c r="AG728" i="30"/>
  <c r="Z729" i="30"/>
  <c r="AA729" i="30"/>
  <c r="AF729" i="30"/>
  <c r="AG729" i="30"/>
  <c r="Z730" i="30"/>
  <c r="AA730" i="30"/>
  <c r="AF730" i="30"/>
  <c r="AG730" i="30"/>
  <c r="Z731" i="30"/>
  <c r="AA731" i="30"/>
  <c r="AF731" i="30"/>
  <c r="AG731" i="30"/>
  <c r="Z732" i="30"/>
  <c r="AA732" i="30"/>
  <c r="AF732" i="30"/>
  <c r="AG732" i="30"/>
  <c r="Z733" i="30"/>
  <c r="AA733" i="30"/>
  <c r="AF733" i="30"/>
  <c r="AG733" i="30"/>
  <c r="Z734" i="30"/>
  <c r="AA734" i="30"/>
  <c r="AF734" i="30"/>
  <c r="AG734" i="30"/>
  <c r="Z735" i="30"/>
  <c r="AA735" i="30"/>
  <c r="AF735" i="30"/>
  <c r="AG735" i="30"/>
  <c r="Z736" i="30"/>
  <c r="AA736" i="30"/>
  <c r="AF736" i="30"/>
  <c r="AG736" i="30"/>
  <c r="Z737" i="30"/>
  <c r="AA737" i="30"/>
  <c r="AF737" i="30"/>
  <c r="AG737" i="30"/>
  <c r="Z738" i="30"/>
  <c r="AA738" i="30"/>
  <c r="AF738" i="30"/>
  <c r="AG738" i="30"/>
  <c r="Z739" i="30"/>
  <c r="AA739" i="30"/>
  <c r="AF739" i="30"/>
  <c r="AG739" i="30"/>
  <c r="Z740" i="30"/>
  <c r="AA740" i="30"/>
  <c r="AF740" i="30"/>
  <c r="AG740" i="30"/>
  <c r="Z741" i="30"/>
  <c r="AA741" i="30"/>
  <c r="AF741" i="30"/>
  <c r="AG741" i="30"/>
  <c r="Z742" i="30"/>
  <c r="AA742" i="30"/>
  <c r="AF742" i="30"/>
  <c r="AG742" i="30"/>
  <c r="Z743" i="30"/>
  <c r="AA743" i="30"/>
  <c r="AF743" i="30"/>
  <c r="AG743" i="30"/>
  <c r="Z744" i="30"/>
  <c r="AA744" i="30"/>
  <c r="AF744" i="30"/>
  <c r="AG744" i="30"/>
  <c r="Z745" i="30"/>
  <c r="AA745" i="30"/>
  <c r="AF745" i="30"/>
  <c r="AG745" i="30"/>
  <c r="Z746" i="30"/>
  <c r="AA746" i="30"/>
  <c r="AF746" i="30"/>
  <c r="AG746" i="30"/>
  <c r="Z747" i="30"/>
  <c r="AA747" i="30"/>
  <c r="AF747" i="30"/>
  <c r="AG747" i="30"/>
  <c r="Z748" i="30"/>
  <c r="AA748" i="30"/>
  <c r="AF748" i="30"/>
  <c r="AG748" i="30"/>
  <c r="Z749" i="30"/>
  <c r="AA749" i="30"/>
  <c r="AF749" i="30"/>
  <c r="AG749" i="30"/>
  <c r="Z750" i="30"/>
  <c r="AA750" i="30"/>
  <c r="AF750" i="30"/>
  <c r="AG750" i="30"/>
  <c r="Z751" i="30"/>
  <c r="AA751" i="30"/>
  <c r="AF751" i="30"/>
  <c r="AG751" i="30"/>
  <c r="Z752" i="30"/>
  <c r="AA752" i="30"/>
  <c r="AF752" i="30"/>
  <c r="AG752" i="30"/>
  <c r="Z753" i="30"/>
  <c r="AA753" i="30"/>
  <c r="AF753" i="30"/>
  <c r="AG753" i="30"/>
  <c r="Z754" i="30"/>
  <c r="AA754" i="30"/>
  <c r="AF754" i="30"/>
  <c r="AG754" i="30"/>
  <c r="Z755" i="30"/>
  <c r="AA755" i="30"/>
  <c r="AF755" i="30"/>
  <c r="AG755" i="30"/>
  <c r="Z756" i="30"/>
  <c r="AA756" i="30"/>
  <c r="AF756" i="30"/>
  <c r="AG756" i="30"/>
  <c r="Z757" i="30"/>
  <c r="AA757" i="30"/>
  <c r="AF757" i="30"/>
  <c r="AG757" i="30"/>
  <c r="Z758" i="30"/>
  <c r="AA758" i="30"/>
  <c r="AF758" i="30"/>
  <c r="AG758" i="30"/>
  <c r="Z759" i="30"/>
  <c r="AA759" i="30"/>
  <c r="AF759" i="30"/>
  <c r="AG759" i="30"/>
  <c r="Z760" i="30"/>
  <c r="AA760" i="30"/>
  <c r="AF760" i="30"/>
  <c r="AG760" i="30"/>
  <c r="Z761" i="30"/>
  <c r="AA761" i="30"/>
  <c r="AF761" i="30"/>
  <c r="AG761" i="30"/>
  <c r="Z762" i="30"/>
  <c r="AA762" i="30"/>
  <c r="AF762" i="30"/>
  <c r="AG762" i="30"/>
  <c r="Z763" i="30"/>
  <c r="AA763" i="30"/>
  <c r="AF763" i="30"/>
  <c r="AG763" i="30"/>
  <c r="Z764" i="30"/>
  <c r="AA764" i="30"/>
  <c r="AF764" i="30"/>
  <c r="AG764" i="30"/>
  <c r="Z765" i="30"/>
  <c r="AA765" i="30"/>
  <c r="AF765" i="30"/>
  <c r="AG765" i="30"/>
  <c r="Z766" i="30"/>
  <c r="AA766" i="30"/>
  <c r="AF766" i="30"/>
  <c r="AG766" i="30"/>
  <c r="Z767" i="30"/>
  <c r="AA767" i="30"/>
  <c r="AF767" i="30"/>
  <c r="AG767" i="30"/>
  <c r="Z768" i="30"/>
  <c r="AA768" i="30"/>
  <c r="AF768" i="30"/>
  <c r="AG768" i="30"/>
  <c r="Z769" i="30"/>
  <c r="AA769" i="30"/>
  <c r="AF769" i="30"/>
  <c r="AG769" i="30"/>
  <c r="Z770" i="30"/>
  <c r="AA770" i="30"/>
  <c r="AF770" i="30"/>
  <c r="AG770" i="30"/>
  <c r="Z771" i="30"/>
  <c r="AA771" i="30"/>
  <c r="AF771" i="30"/>
  <c r="AG771" i="30"/>
  <c r="Z772" i="30"/>
  <c r="AA772" i="30"/>
  <c r="AF772" i="30"/>
  <c r="AG772" i="30"/>
  <c r="Z773" i="30"/>
  <c r="AA773" i="30"/>
  <c r="AF773" i="30"/>
  <c r="AG773" i="30"/>
  <c r="Z774" i="30"/>
  <c r="AA774" i="30"/>
  <c r="AF774" i="30"/>
  <c r="AG774" i="30"/>
  <c r="Z775" i="30"/>
  <c r="AA775" i="30"/>
  <c r="AF775" i="30"/>
  <c r="AG775" i="30"/>
  <c r="Z776" i="30"/>
  <c r="AA776" i="30"/>
  <c r="AF776" i="30"/>
  <c r="AG776" i="30"/>
  <c r="Z777" i="30"/>
  <c r="AA777" i="30"/>
  <c r="AF777" i="30"/>
  <c r="AG777" i="30"/>
  <c r="Z778" i="30"/>
  <c r="AA778" i="30"/>
  <c r="AF778" i="30"/>
  <c r="AG778" i="30"/>
  <c r="Z779" i="30"/>
  <c r="AA779" i="30"/>
  <c r="AF779" i="30"/>
  <c r="AG779" i="30"/>
  <c r="Z780" i="30"/>
  <c r="AA780" i="30"/>
  <c r="AF780" i="30"/>
  <c r="AG780" i="30"/>
  <c r="Z781" i="30"/>
  <c r="AA781" i="30"/>
  <c r="AF781" i="30"/>
  <c r="AG781" i="30"/>
  <c r="Z782" i="30"/>
  <c r="AA782" i="30"/>
  <c r="AF782" i="30"/>
  <c r="AG782" i="30"/>
  <c r="Z783" i="30"/>
  <c r="AA783" i="30"/>
  <c r="AF783" i="30"/>
  <c r="AG783" i="30"/>
  <c r="Z784" i="30"/>
  <c r="AA784" i="30"/>
  <c r="AF784" i="30"/>
  <c r="AG784" i="30"/>
  <c r="Z785" i="30"/>
  <c r="AA785" i="30"/>
  <c r="AF785" i="30"/>
  <c r="AG785" i="30"/>
  <c r="Z786" i="30"/>
  <c r="AA786" i="30"/>
  <c r="AF786" i="30"/>
  <c r="AG786" i="30"/>
  <c r="Z787" i="30"/>
  <c r="AA787" i="30"/>
  <c r="AF787" i="30"/>
  <c r="AG787" i="30"/>
  <c r="Z788" i="30"/>
  <c r="AA788" i="30"/>
  <c r="AF788" i="30"/>
  <c r="AG788" i="30"/>
  <c r="Z789" i="30"/>
  <c r="AA789" i="30"/>
  <c r="AF789" i="30"/>
  <c r="AG789" i="30"/>
  <c r="Z790" i="30"/>
  <c r="AA790" i="30"/>
  <c r="AF790" i="30"/>
  <c r="AG790" i="30"/>
  <c r="Z791" i="30"/>
  <c r="AA791" i="30"/>
  <c r="AF791" i="30"/>
  <c r="AG791" i="30"/>
  <c r="Z792" i="30"/>
  <c r="AA792" i="30"/>
  <c r="AF792" i="30"/>
  <c r="AG792" i="30"/>
  <c r="Z793" i="30"/>
  <c r="AA793" i="30"/>
  <c r="AF793" i="30"/>
  <c r="AG793" i="30"/>
  <c r="Z794" i="30"/>
  <c r="AA794" i="30"/>
  <c r="AF794" i="30"/>
  <c r="AG794" i="30"/>
  <c r="Z795" i="30"/>
  <c r="AA795" i="30"/>
  <c r="AF795" i="30"/>
  <c r="AG795" i="30"/>
  <c r="Z796" i="30"/>
  <c r="AA796" i="30"/>
  <c r="AF796" i="30"/>
  <c r="AG796" i="30"/>
  <c r="Z797" i="30"/>
  <c r="AA797" i="30"/>
  <c r="AF797" i="30"/>
  <c r="AG797" i="30"/>
  <c r="Z798" i="30"/>
  <c r="AA798" i="30"/>
  <c r="AF798" i="30"/>
  <c r="AG798" i="30"/>
  <c r="Z799" i="30"/>
  <c r="AA799" i="30"/>
  <c r="AF799" i="30"/>
  <c r="AG799" i="30"/>
  <c r="Z800" i="30"/>
  <c r="AA800" i="30"/>
  <c r="AF800" i="30"/>
  <c r="AG800" i="30"/>
  <c r="Z801" i="30"/>
  <c r="AA801" i="30"/>
  <c r="AF801" i="30"/>
  <c r="AG801" i="30"/>
  <c r="Z802" i="30"/>
  <c r="AA802" i="30"/>
  <c r="AF802" i="30"/>
  <c r="AG802" i="30"/>
  <c r="Z803" i="30"/>
  <c r="AA803" i="30"/>
  <c r="AF803" i="30"/>
  <c r="AG803" i="30"/>
  <c r="Z804" i="30"/>
  <c r="AA804" i="30"/>
  <c r="AF804" i="30"/>
  <c r="AG804" i="30"/>
  <c r="Z805" i="30"/>
  <c r="AA805" i="30"/>
  <c r="AF805" i="30"/>
  <c r="AG805" i="30"/>
  <c r="Z806" i="30"/>
  <c r="AA806" i="30"/>
  <c r="AF806" i="30"/>
  <c r="AG806" i="30"/>
  <c r="Z807" i="30"/>
  <c r="AA807" i="30"/>
  <c r="AF807" i="30"/>
  <c r="AG807" i="30"/>
  <c r="Z808" i="30"/>
  <c r="AA808" i="30"/>
  <c r="AF808" i="30"/>
  <c r="AG808" i="30"/>
  <c r="Z809" i="30"/>
  <c r="AA809" i="30"/>
  <c r="AF809" i="30"/>
  <c r="AG809" i="30"/>
  <c r="Z810" i="30"/>
  <c r="AA810" i="30"/>
  <c r="AF810" i="30"/>
  <c r="AG810" i="30"/>
  <c r="Z811" i="30"/>
  <c r="AA811" i="30"/>
  <c r="AF811" i="30"/>
  <c r="AG811" i="30"/>
  <c r="Z812" i="30"/>
  <c r="AA812" i="30"/>
  <c r="AF812" i="30"/>
  <c r="AG812" i="30"/>
  <c r="Z813" i="30"/>
  <c r="AA813" i="30"/>
  <c r="AF813" i="30"/>
  <c r="AG813" i="30"/>
  <c r="Z814" i="30"/>
  <c r="AA814" i="30"/>
  <c r="AF814" i="30"/>
  <c r="AG814" i="30"/>
  <c r="Z815" i="30"/>
  <c r="AA815" i="30"/>
  <c r="AF815" i="30"/>
  <c r="AG815" i="30"/>
  <c r="Z816" i="30"/>
  <c r="AA816" i="30"/>
  <c r="AF816" i="30"/>
  <c r="AG816" i="30"/>
  <c r="Z817" i="30"/>
  <c r="AA817" i="30"/>
  <c r="AF817" i="30"/>
  <c r="AG817" i="30"/>
  <c r="Z818" i="30"/>
  <c r="AA818" i="30"/>
  <c r="AF818" i="30"/>
  <c r="AG818" i="30"/>
  <c r="Z819" i="30"/>
  <c r="AA819" i="30"/>
  <c r="AF819" i="30"/>
  <c r="AG819" i="30"/>
  <c r="Z820" i="30"/>
  <c r="AA820" i="30"/>
  <c r="AF820" i="30"/>
  <c r="AG820" i="30"/>
  <c r="Z821" i="30"/>
  <c r="AA821" i="30"/>
  <c r="AF821" i="30"/>
  <c r="AG821" i="30"/>
  <c r="Z822" i="30"/>
  <c r="AA822" i="30"/>
  <c r="AF822" i="30"/>
  <c r="AG822" i="30"/>
  <c r="Z823" i="30"/>
  <c r="AA823" i="30"/>
  <c r="AF823" i="30"/>
  <c r="AG823" i="30"/>
  <c r="Z824" i="30"/>
  <c r="AA824" i="30"/>
  <c r="AF824" i="30"/>
  <c r="AG824" i="30"/>
  <c r="Z825" i="30"/>
  <c r="AA825" i="30"/>
  <c r="AF825" i="30"/>
  <c r="AG825" i="30"/>
  <c r="Z826" i="30"/>
  <c r="AA826" i="30"/>
  <c r="AF826" i="30"/>
  <c r="AG826" i="30"/>
  <c r="Z827" i="30"/>
  <c r="AA827" i="30"/>
  <c r="AF827" i="30"/>
  <c r="AG827" i="30"/>
  <c r="Z828" i="30"/>
  <c r="AA828" i="30"/>
  <c r="AF828" i="30"/>
  <c r="AG828" i="30"/>
  <c r="Z829" i="30"/>
  <c r="AA829" i="30"/>
  <c r="AF829" i="30"/>
  <c r="AG829" i="30"/>
  <c r="Z830" i="30"/>
  <c r="AA830" i="30"/>
  <c r="AF830" i="30"/>
  <c r="AG830" i="30"/>
  <c r="Z831" i="30"/>
  <c r="AA831" i="30"/>
  <c r="AF831" i="30"/>
  <c r="AG831" i="30"/>
  <c r="Z832" i="30"/>
  <c r="AA832" i="30"/>
  <c r="AF832" i="30"/>
  <c r="AG832" i="30"/>
  <c r="Z833" i="30"/>
  <c r="AA833" i="30"/>
  <c r="AF833" i="30"/>
  <c r="AG833" i="30"/>
  <c r="Z834" i="30"/>
  <c r="AA834" i="30"/>
  <c r="AF834" i="30"/>
  <c r="AG834" i="30"/>
  <c r="Z835" i="30"/>
  <c r="AA835" i="30"/>
  <c r="AF835" i="30"/>
  <c r="AG835" i="30"/>
  <c r="Z836" i="30"/>
  <c r="AA836" i="30"/>
  <c r="AF836" i="30"/>
  <c r="AG836" i="30"/>
  <c r="Z837" i="30"/>
  <c r="AA837" i="30"/>
  <c r="AF837" i="30"/>
  <c r="AG837" i="30"/>
  <c r="Z838" i="30"/>
  <c r="AA838" i="30"/>
  <c r="AF838" i="30"/>
  <c r="AG838" i="30"/>
  <c r="Z839" i="30"/>
  <c r="AA839" i="30"/>
  <c r="AF839" i="30"/>
  <c r="AG839" i="30"/>
  <c r="Z840" i="30"/>
  <c r="AA840" i="30"/>
  <c r="AF840" i="30"/>
  <c r="AG840" i="30"/>
  <c r="Z841" i="30"/>
  <c r="AA841" i="30"/>
  <c r="AF841" i="30"/>
  <c r="AG841" i="30"/>
  <c r="Z842" i="30"/>
  <c r="AA842" i="30"/>
  <c r="AF842" i="30"/>
  <c r="AG842" i="30"/>
  <c r="Z843" i="30"/>
  <c r="AA843" i="30"/>
  <c r="AF843" i="30"/>
  <c r="AG843" i="30"/>
  <c r="Z844" i="30"/>
  <c r="AA844" i="30"/>
  <c r="AF844" i="30"/>
  <c r="AG844" i="30"/>
  <c r="Z845" i="30"/>
  <c r="AA845" i="30"/>
  <c r="AF845" i="30"/>
  <c r="AG845" i="30"/>
  <c r="Z846" i="30"/>
  <c r="AA846" i="30"/>
  <c r="AF846" i="30"/>
  <c r="AG846" i="30"/>
  <c r="Z847" i="30"/>
  <c r="AA847" i="30"/>
  <c r="AF847" i="30"/>
  <c r="AG847" i="30"/>
  <c r="Z848" i="30"/>
  <c r="AA848" i="30"/>
  <c r="AF848" i="30"/>
  <c r="AG848" i="30"/>
  <c r="Z849" i="30"/>
  <c r="AA849" i="30"/>
  <c r="AF849" i="30"/>
  <c r="AG849" i="30"/>
  <c r="Z850" i="30"/>
  <c r="AA850" i="30"/>
  <c r="AF850" i="30"/>
  <c r="AG850" i="30"/>
  <c r="Z851" i="30"/>
  <c r="AA851" i="30"/>
  <c r="AF851" i="30"/>
  <c r="AG851" i="30"/>
  <c r="Z852" i="30"/>
  <c r="AA852" i="30"/>
  <c r="AF852" i="30"/>
  <c r="AG852" i="30"/>
  <c r="Z853" i="30"/>
  <c r="AA853" i="30"/>
  <c r="AF853" i="30"/>
  <c r="AG853" i="30"/>
  <c r="Z854" i="30"/>
  <c r="AA854" i="30"/>
  <c r="AF854" i="30"/>
  <c r="AG854" i="30"/>
  <c r="Z855" i="30"/>
  <c r="AA855" i="30"/>
  <c r="AF855" i="30"/>
  <c r="AG855" i="30"/>
  <c r="Z856" i="30"/>
  <c r="AA856" i="30"/>
  <c r="AF856" i="30"/>
  <c r="AG856" i="30"/>
  <c r="Z857" i="30"/>
  <c r="AA857" i="30"/>
  <c r="AF857" i="30"/>
  <c r="AG857" i="30"/>
  <c r="Z858" i="30"/>
  <c r="AA858" i="30"/>
  <c r="AF858" i="30"/>
  <c r="AG858" i="30"/>
  <c r="Z859" i="30"/>
  <c r="AA859" i="30"/>
  <c r="AF859" i="30"/>
  <c r="AG859" i="30"/>
  <c r="Z860" i="30"/>
  <c r="AA860" i="30"/>
  <c r="AF860" i="30"/>
  <c r="AG860" i="30"/>
  <c r="Z861" i="30"/>
  <c r="AA861" i="30"/>
  <c r="AF861" i="30"/>
  <c r="AG861" i="30"/>
  <c r="Z862" i="30"/>
  <c r="AA862" i="30"/>
  <c r="AF862" i="30"/>
  <c r="AG862" i="30"/>
  <c r="Z863" i="30"/>
  <c r="AA863" i="30"/>
  <c r="AF863" i="30"/>
  <c r="AG863" i="30"/>
  <c r="Z864" i="30"/>
  <c r="AA864" i="30"/>
  <c r="AF864" i="30"/>
  <c r="AG864" i="30"/>
  <c r="Z865" i="30"/>
  <c r="AA865" i="30"/>
  <c r="AF865" i="30"/>
  <c r="AG865" i="30"/>
  <c r="Z866" i="30"/>
  <c r="AA866" i="30"/>
  <c r="AF866" i="30"/>
  <c r="AG866" i="30"/>
  <c r="Z867" i="30"/>
  <c r="AA867" i="30"/>
  <c r="AF867" i="30"/>
  <c r="AG867" i="30"/>
  <c r="Z868" i="30"/>
  <c r="AA868" i="30"/>
  <c r="AF868" i="30"/>
  <c r="AG868" i="30"/>
  <c r="Z869" i="30"/>
  <c r="AA869" i="30"/>
  <c r="AF869" i="30"/>
  <c r="AG869" i="30"/>
  <c r="Z870" i="30"/>
  <c r="AA870" i="30"/>
  <c r="AF870" i="30"/>
  <c r="AG870" i="30"/>
  <c r="Z871" i="30"/>
  <c r="AA871" i="30"/>
  <c r="AF871" i="30"/>
  <c r="AG871" i="30"/>
  <c r="Z872" i="30"/>
  <c r="AA872" i="30"/>
  <c r="AF872" i="30"/>
  <c r="AG872" i="30"/>
  <c r="Z873" i="30"/>
  <c r="AA873" i="30"/>
  <c r="AF873" i="30"/>
  <c r="AG873" i="30"/>
  <c r="Z874" i="30"/>
  <c r="AA874" i="30"/>
  <c r="AF874" i="30"/>
  <c r="AG874" i="30"/>
  <c r="Z875" i="30"/>
  <c r="AA875" i="30"/>
  <c r="AF875" i="30"/>
  <c r="AG875" i="30"/>
  <c r="Z876" i="30"/>
  <c r="AA876" i="30"/>
  <c r="AF876" i="30"/>
  <c r="AG876" i="30"/>
  <c r="Z877" i="30"/>
  <c r="AA877" i="30"/>
  <c r="AF877" i="30"/>
  <c r="AG877" i="30"/>
  <c r="Z878" i="30"/>
  <c r="AA878" i="30"/>
  <c r="AF878" i="30"/>
  <c r="AG878" i="30"/>
  <c r="Z879" i="30"/>
  <c r="AA879" i="30"/>
  <c r="AF879" i="30"/>
  <c r="AG879" i="30"/>
  <c r="Z880" i="30"/>
  <c r="AA880" i="30"/>
  <c r="AF880" i="30"/>
  <c r="AG880" i="30"/>
  <c r="Z881" i="30"/>
  <c r="AA881" i="30"/>
  <c r="AF881" i="30"/>
  <c r="AG881" i="30"/>
  <c r="Z882" i="30"/>
  <c r="AA882" i="30"/>
  <c r="AF882" i="30"/>
  <c r="AG882" i="30"/>
  <c r="Z883" i="30"/>
  <c r="AA883" i="30"/>
  <c r="AF883" i="30"/>
  <c r="AG883" i="30"/>
  <c r="Z884" i="30"/>
  <c r="AA884" i="30"/>
  <c r="AF884" i="30"/>
  <c r="AG884" i="30"/>
  <c r="Z885" i="30"/>
  <c r="AA885" i="30"/>
  <c r="AF885" i="30"/>
  <c r="AG885" i="30"/>
  <c r="Z886" i="30"/>
  <c r="AA886" i="30"/>
  <c r="AF886" i="30"/>
  <c r="AG886" i="30"/>
  <c r="Z887" i="30"/>
  <c r="AA887" i="30"/>
  <c r="AF887" i="30"/>
  <c r="AG887" i="30"/>
  <c r="Z888" i="30"/>
  <c r="AA888" i="30"/>
  <c r="AF888" i="30"/>
  <c r="AG888" i="30"/>
  <c r="Z889" i="30"/>
  <c r="AA889" i="30"/>
  <c r="AF889" i="30"/>
  <c r="AG889" i="30"/>
  <c r="Z890" i="30"/>
  <c r="AA890" i="30"/>
  <c r="AF890" i="30"/>
  <c r="AG890" i="30"/>
  <c r="Z891" i="30"/>
  <c r="AA891" i="30"/>
  <c r="AF891" i="30"/>
  <c r="AG891" i="30"/>
  <c r="Z892" i="30"/>
  <c r="AA892" i="30"/>
  <c r="AF892" i="30"/>
  <c r="AG892" i="30"/>
  <c r="Z893" i="30"/>
  <c r="AA893" i="30"/>
  <c r="AF893" i="30"/>
  <c r="AG893" i="30"/>
  <c r="Z894" i="30"/>
  <c r="AA894" i="30"/>
  <c r="AF894" i="30"/>
  <c r="AG894" i="30"/>
  <c r="Z895" i="30"/>
  <c r="AA895" i="30"/>
  <c r="AF895" i="30"/>
  <c r="AG895" i="30"/>
  <c r="Z896" i="30"/>
  <c r="AA896" i="30"/>
  <c r="AF896" i="30"/>
  <c r="AG896" i="30"/>
  <c r="Z897" i="30"/>
  <c r="AA897" i="30"/>
  <c r="AF897" i="30"/>
  <c r="AG897" i="30"/>
  <c r="Z898" i="30"/>
  <c r="AA898" i="30"/>
  <c r="AF898" i="30"/>
  <c r="AG898" i="30"/>
  <c r="Z899" i="30"/>
  <c r="AA899" i="30"/>
  <c r="AF899" i="30"/>
  <c r="AG899" i="30"/>
  <c r="Z900" i="30"/>
  <c r="AA900" i="30"/>
  <c r="AF900" i="30"/>
  <c r="AG900" i="30"/>
  <c r="Z901" i="30"/>
  <c r="AA901" i="30"/>
  <c r="AF901" i="30"/>
  <c r="AG901" i="30"/>
  <c r="Z902" i="30"/>
  <c r="AA902" i="30"/>
  <c r="AF902" i="30"/>
  <c r="AG902" i="30"/>
  <c r="Z903" i="30"/>
  <c r="AA903" i="30"/>
  <c r="AF903" i="30"/>
  <c r="AG903" i="30"/>
  <c r="Z904" i="30"/>
  <c r="AA904" i="30"/>
  <c r="AF904" i="30"/>
  <c r="AG904" i="30"/>
  <c r="Z905" i="30"/>
  <c r="AA905" i="30"/>
  <c r="AF905" i="30"/>
  <c r="AG905" i="30"/>
  <c r="Z906" i="30"/>
  <c r="AA906" i="30"/>
  <c r="AF906" i="30"/>
  <c r="AG906" i="30"/>
  <c r="Z907" i="30"/>
  <c r="AA907" i="30"/>
  <c r="AF907" i="30"/>
  <c r="AG907" i="30"/>
  <c r="Z908" i="30"/>
  <c r="AA908" i="30"/>
  <c r="AF908" i="30"/>
  <c r="AG908" i="30"/>
  <c r="Z909" i="30"/>
  <c r="AA909" i="30"/>
  <c r="AF909" i="30"/>
  <c r="AG909" i="30"/>
  <c r="Z910" i="30"/>
  <c r="AA910" i="30"/>
  <c r="AF910" i="30"/>
  <c r="AG910" i="30"/>
  <c r="Z911" i="30"/>
  <c r="AA911" i="30"/>
  <c r="AF911" i="30"/>
  <c r="AG911" i="30"/>
  <c r="Z912" i="30"/>
  <c r="AA912" i="30"/>
  <c r="AF912" i="30"/>
  <c r="AG912" i="30"/>
  <c r="Z913" i="30"/>
  <c r="AA913" i="30"/>
  <c r="AF913" i="30"/>
  <c r="AG913" i="30"/>
  <c r="Z914" i="30"/>
  <c r="AA914" i="30"/>
  <c r="AF914" i="30"/>
  <c r="AG914" i="30"/>
  <c r="Z915" i="30"/>
  <c r="AA915" i="30"/>
  <c r="AF915" i="30"/>
  <c r="AG915" i="30"/>
  <c r="Z916" i="30"/>
  <c r="AA916" i="30"/>
  <c r="AF916" i="30"/>
  <c r="AG916" i="30"/>
  <c r="Z917" i="30"/>
  <c r="AA917" i="30"/>
  <c r="AF917" i="30"/>
  <c r="AG917" i="30"/>
  <c r="Z918" i="30"/>
  <c r="AA918" i="30"/>
  <c r="AF918" i="30"/>
  <c r="AG918" i="30"/>
  <c r="Z919" i="30"/>
  <c r="AA919" i="30"/>
  <c r="AF919" i="30"/>
  <c r="AG919" i="30"/>
  <c r="Z920" i="30"/>
  <c r="AA920" i="30"/>
  <c r="AF920" i="30"/>
  <c r="AG920" i="30"/>
  <c r="Z921" i="30"/>
  <c r="AA921" i="30"/>
  <c r="AF921" i="30"/>
  <c r="AG921" i="30"/>
  <c r="Z922" i="30"/>
  <c r="AA922" i="30"/>
  <c r="AF922" i="30"/>
  <c r="AG922" i="30"/>
  <c r="Z923" i="30"/>
  <c r="AA923" i="30"/>
  <c r="AF923" i="30"/>
  <c r="AG923" i="30"/>
  <c r="Z924" i="30"/>
  <c r="AA924" i="30"/>
  <c r="AF924" i="30"/>
  <c r="AG924" i="30"/>
  <c r="Z925" i="30"/>
  <c r="AA925" i="30"/>
  <c r="AF925" i="30"/>
  <c r="AG925" i="30"/>
  <c r="Z926" i="30"/>
  <c r="AA926" i="30"/>
  <c r="AF926" i="30"/>
  <c r="AG926" i="30"/>
  <c r="Z927" i="30"/>
  <c r="AA927" i="30"/>
  <c r="AF927" i="30"/>
  <c r="AG927" i="30"/>
  <c r="Z928" i="30"/>
  <c r="AA928" i="30"/>
  <c r="AF928" i="30"/>
  <c r="AG928" i="30"/>
  <c r="Z929" i="30"/>
  <c r="AA929" i="30"/>
  <c r="AF929" i="30"/>
  <c r="AG929" i="30"/>
  <c r="Z930" i="30"/>
  <c r="AA930" i="30"/>
  <c r="AF930" i="30"/>
  <c r="AG930" i="30"/>
  <c r="Z931" i="30"/>
  <c r="AA931" i="30"/>
  <c r="AF931" i="30"/>
  <c r="AG931" i="30"/>
  <c r="Z932" i="30"/>
  <c r="AA932" i="30"/>
  <c r="AF932" i="30"/>
  <c r="AG932" i="30"/>
  <c r="Z933" i="30"/>
  <c r="AA933" i="30"/>
  <c r="AF933" i="30"/>
  <c r="AG933" i="30"/>
  <c r="Z934" i="30"/>
  <c r="AA934" i="30"/>
  <c r="AF934" i="30"/>
  <c r="AG934" i="30"/>
  <c r="Z935" i="30"/>
  <c r="AA935" i="30"/>
  <c r="AF935" i="30"/>
  <c r="AG935" i="30"/>
  <c r="Z936" i="30"/>
  <c r="AA936" i="30"/>
  <c r="AF936" i="30"/>
  <c r="AG936" i="30"/>
  <c r="Z937" i="30"/>
  <c r="AA937" i="30"/>
  <c r="AF937" i="30"/>
  <c r="AG937" i="30"/>
  <c r="Z938" i="30"/>
  <c r="AA938" i="30"/>
  <c r="AF938" i="30"/>
  <c r="AG938" i="30"/>
  <c r="Z939" i="30"/>
  <c r="AA939" i="30"/>
  <c r="AF939" i="30"/>
  <c r="AG939" i="30"/>
  <c r="Z940" i="30"/>
  <c r="AA940" i="30"/>
  <c r="AF940" i="30"/>
  <c r="AG940" i="30"/>
  <c r="Z941" i="30"/>
  <c r="AA941" i="30"/>
  <c r="AF941" i="30"/>
  <c r="AG941" i="30"/>
  <c r="Z942" i="30"/>
  <c r="AA942" i="30"/>
  <c r="AF942" i="30"/>
  <c r="AG942" i="30"/>
  <c r="Z943" i="30"/>
  <c r="AA943" i="30"/>
  <c r="AF943" i="30"/>
  <c r="AG943" i="30"/>
  <c r="Z944" i="30"/>
  <c r="AA944" i="30"/>
  <c r="AF944" i="30"/>
  <c r="AG944" i="30"/>
  <c r="Z945" i="30"/>
  <c r="AA945" i="30"/>
  <c r="AF945" i="30"/>
  <c r="AG945" i="30"/>
  <c r="Z946" i="30"/>
  <c r="AA946" i="30"/>
  <c r="AF946" i="30"/>
  <c r="AG946" i="30"/>
  <c r="Z947" i="30"/>
  <c r="AA947" i="30"/>
  <c r="AF947" i="30"/>
  <c r="AG947" i="30"/>
  <c r="Z948" i="30"/>
  <c r="AA948" i="30"/>
  <c r="AF948" i="30"/>
  <c r="AG948" i="30"/>
  <c r="Z949" i="30"/>
  <c r="AA949" i="30"/>
  <c r="AF949" i="30"/>
  <c r="AG949" i="30"/>
  <c r="Z950" i="30"/>
  <c r="AA950" i="30"/>
  <c r="AF950" i="30"/>
  <c r="AG950" i="30"/>
  <c r="Z951" i="30"/>
  <c r="AA951" i="30"/>
  <c r="AF951" i="30"/>
  <c r="AG951" i="30"/>
  <c r="Z952" i="30"/>
  <c r="AA952" i="30"/>
  <c r="AF952" i="30"/>
  <c r="AG952" i="30"/>
  <c r="Z953" i="30"/>
  <c r="AA953" i="30"/>
  <c r="AF953" i="30"/>
  <c r="AG953" i="30"/>
  <c r="Z954" i="30"/>
  <c r="AA954" i="30"/>
  <c r="AF954" i="30"/>
  <c r="AG954" i="30"/>
  <c r="Z955" i="30"/>
  <c r="AA955" i="30"/>
  <c r="AF955" i="30"/>
  <c r="AG955" i="30"/>
  <c r="Z956" i="30"/>
  <c r="AA956" i="30"/>
  <c r="AF956" i="30"/>
  <c r="AG956" i="30"/>
  <c r="Z957" i="30"/>
  <c r="AA957" i="30"/>
  <c r="AF957" i="30"/>
  <c r="AG957" i="30"/>
  <c r="Z958" i="30"/>
  <c r="AA958" i="30"/>
  <c r="AF958" i="30"/>
  <c r="AG958" i="30"/>
  <c r="Z959" i="30"/>
  <c r="AA959" i="30"/>
  <c r="AF959" i="30"/>
  <c r="AG959" i="30"/>
  <c r="Z960" i="30"/>
  <c r="AA960" i="30"/>
  <c r="AF960" i="30"/>
  <c r="AG960" i="30"/>
  <c r="Z961" i="30"/>
  <c r="AA961" i="30"/>
  <c r="AF961" i="30"/>
  <c r="AG961" i="30"/>
  <c r="Z962" i="30"/>
  <c r="AA962" i="30"/>
  <c r="AF962" i="30"/>
  <c r="AG962" i="30"/>
  <c r="Z963" i="30"/>
  <c r="AA963" i="30"/>
  <c r="AF963" i="30"/>
  <c r="AG963" i="30"/>
  <c r="Z964" i="30"/>
  <c r="AA964" i="30"/>
  <c r="AF964" i="30"/>
  <c r="AG964" i="30"/>
  <c r="Z965" i="30"/>
  <c r="AA965" i="30"/>
  <c r="AF965" i="30"/>
  <c r="AG965" i="30"/>
  <c r="Z966" i="30"/>
  <c r="AA966" i="30"/>
  <c r="AF966" i="30"/>
  <c r="AG966" i="30"/>
  <c r="Z967" i="30"/>
  <c r="AA967" i="30"/>
  <c r="AF967" i="30"/>
  <c r="AG967" i="30"/>
  <c r="Z968" i="30"/>
  <c r="AA968" i="30"/>
  <c r="AF968" i="30"/>
  <c r="AG968" i="30"/>
  <c r="Z969" i="30"/>
  <c r="AA969" i="30"/>
  <c r="AF969" i="30"/>
  <c r="AG969" i="30"/>
  <c r="Z970" i="30"/>
  <c r="AA970" i="30"/>
  <c r="AF970" i="30"/>
  <c r="AG970" i="30"/>
  <c r="Z971" i="30"/>
  <c r="AA971" i="30"/>
  <c r="AF971" i="30"/>
  <c r="AG971" i="30"/>
  <c r="Z972" i="30"/>
  <c r="AA972" i="30"/>
  <c r="AF972" i="30"/>
  <c r="AG972" i="30"/>
  <c r="Z973" i="30"/>
  <c r="AA973" i="30"/>
  <c r="AF973" i="30"/>
  <c r="AG973" i="30"/>
  <c r="Z974" i="30"/>
  <c r="AA974" i="30"/>
  <c r="AF974" i="30"/>
  <c r="AG974" i="30"/>
  <c r="Z975" i="30"/>
  <c r="AA975" i="30"/>
  <c r="AF975" i="30"/>
  <c r="AG975" i="30"/>
  <c r="Z976" i="30"/>
  <c r="AA976" i="30"/>
  <c r="AF976" i="30"/>
  <c r="AG976" i="30"/>
  <c r="Z977" i="30"/>
  <c r="AA977" i="30"/>
  <c r="AF977" i="30"/>
  <c r="AG977" i="30"/>
  <c r="Z978" i="30"/>
  <c r="AA978" i="30"/>
  <c r="AF978" i="30"/>
  <c r="AG978" i="30"/>
  <c r="Z979" i="30"/>
  <c r="AA979" i="30"/>
  <c r="AF979" i="30"/>
  <c r="AG979" i="30"/>
  <c r="Z980" i="30"/>
  <c r="AA980" i="30"/>
  <c r="AF980" i="30"/>
  <c r="AG980" i="30"/>
  <c r="Z981" i="30"/>
  <c r="AA981" i="30"/>
  <c r="AF981" i="30"/>
  <c r="AG981" i="30"/>
  <c r="Z982" i="30"/>
  <c r="AA982" i="30"/>
  <c r="AF982" i="30"/>
  <c r="AG982" i="30"/>
  <c r="Z983" i="30"/>
  <c r="AA983" i="30"/>
  <c r="AF983" i="30"/>
  <c r="AG983" i="30"/>
  <c r="Z984" i="30"/>
  <c r="AA984" i="30"/>
  <c r="AF984" i="30"/>
  <c r="AG984" i="30"/>
  <c r="Z985" i="30"/>
  <c r="AA985" i="30"/>
  <c r="AF985" i="30"/>
  <c r="AG985" i="30"/>
  <c r="Z986" i="30"/>
  <c r="AA986" i="30"/>
  <c r="AF986" i="30"/>
  <c r="AG986" i="30"/>
  <c r="Z987" i="30"/>
  <c r="AA987" i="30"/>
  <c r="AF987" i="30"/>
  <c r="AG987" i="30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Z2" i="17"/>
  <c r="AE2" i="17"/>
  <c r="AJ2" i="17"/>
  <c r="Z3" i="17"/>
  <c r="AE3" i="17"/>
  <c r="Z4" i="17"/>
  <c r="AE4" i="17"/>
  <c r="Z5" i="17"/>
  <c r="AE5" i="17"/>
  <c r="AJ5" i="17"/>
  <c r="Z6" i="17"/>
  <c r="AE6" i="17"/>
  <c r="AJ6" i="17"/>
  <c r="Z7" i="17"/>
  <c r="AE7" i="17"/>
  <c r="Z8" i="17"/>
  <c r="AE8" i="17"/>
  <c r="AJ8" i="17"/>
  <c r="Z9" i="17"/>
  <c r="AE9" i="17"/>
  <c r="Z10" i="17"/>
  <c r="AE10" i="17"/>
  <c r="AJ10" i="17"/>
  <c r="Z11" i="17"/>
  <c r="AE11" i="17"/>
  <c r="Z12" i="17"/>
  <c r="AE12" i="17"/>
  <c r="Z13" i="17"/>
  <c r="AE13" i="17"/>
  <c r="Y14" i="17"/>
  <c r="AD14" i="17"/>
  <c r="Y15" i="17"/>
  <c r="AD15" i="17"/>
  <c r="Y16" i="17"/>
  <c r="AD16" i="17"/>
  <c r="Y17" i="17"/>
  <c r="AD17" i="17"/>
  <c r="Y18" i="17"/>
  <c r="AD18" i="17"/>
  <c r="Y19" i="17"/>
  <c r="AD19" i="17"/>
  <c r="Y20" i="17"/>
  <c r="AD20" i="17"/>
  <c r="Y21" i="17"/>
  <c r="AD21" i="17"/>
  <c r="Y22" i="17"/>
  <c r="AD22" i="17"/>
  <c r="Y23" i="17"/>
  <c r="AD23" i="17"/>
  <c r="Y24" i="17"/>
  <c r="AD24" i="17"/>
  <c r="Y25" i="17"/>
  <c r="AD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Z41" i="17"/>
  <c r="AE41" i="17"/>
  <c r="Z42" i="17"/>
  <c r="AE42" i="17"/>
  <c r="Z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Y62" i="17"/>
  <c r="Z62" i="17"/>
  <c r="AD62" i="17"/>
  <c r="AE62" i="17"/>
  <c r="Y63" i="17"/>
  <c r="Z63" i="17"/>
  <c r="AD63" i="17"/>
  <c r="AE63" i="17"/>
  <c r="Y64" i="17"/>
  <c r="Z64" i="17"/>
  <c r="AD64" i="17"/>
  <c r="AE64" i="17"/>
  <c r="Y65" i="17"/>
  <c r="Z65" i="17"/>
  <c r="AD65" i="17"/>
  <c r="AE65" i="17"/>
  <c r="Y66" i="17"/>
  <c r="Z66" i="17"/>
  <c r="AD66" i="17"/>
  <c r="AE66" i="17"/>
  <c r="Y67" i="17"/>
  <c r="Z67" i="17"/>
  <c r="AD67" i="17"/>
  <c r="AE67" i="17"/>
  <c r="Y68" i="17"/>
  <c r="Z68" i="17"/>
  <c r="AD68" i="17"/>
  <c r="AE68" i="17"/>
  <c r="Y69" i="17"/>
  <c r="Z69" i="17"/>
  <c r="AD69" i="17"/>
  <c r="AE69" i="17"/>
  <c r="Y70" i="17"/>
  <c r="Z70" i="17"/>
  <c r="AD70" i="17"/>
  <c r="AE70" i="17"/>
  <c r="Z71" i="17"/>
  <c r="AE71" i="17"/>
  <c r="Z72" i="17"/>
  <c r="AE72" i="17"/>
  <c r="Z73" i="17"/>
  <c r="AE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Y83" i="17"/>
  <c r="AD83" i="17"/>
  <c r="Y84" i="17"/>
  <c r="AD84" i="17"/>
  <c r="Y85" i="17"/>
  <c r="AD85" i="17"/>
  <c r="Y86" i="17"/>
  <c r="AD86" i="17"/>
  <c r="Y87" i="17"/>
  <c r="AD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Z95" i="17"/>
  <c r="AE95" i="17"/>
  <c r="Z96" i="17"/>
  <c r="AE96" i="17"/>
  <c r="Z97" i="17"/>
  <c r="AE97" i="17"/>
  <c r="Z98" i="17"/>
  <c r="AE98" i="17"/>
  <c r="Z99" i="17"/>
  <c r="AE99" i="17"/>
  <c r="Z100" i="17"/>
  <c r="AE100" i="17"/>
  <c r="Z101" i="17"/>
  <c r="AE101" i="17"/>
  <c r="Z102" i="17"/>
  <c r="AE102" i="17"/>
  <c r="Z103" i="17"/>
  <c r="AE103" i="17"/>
  <c r="Z104" i="17"/>
  <c r="AE104" i="17"/>
  <c r="Z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Y118" i="17"/>
  <c r="AD118" i="17"/>
  <c r="Y119" i="17"/>
  <c r="AD119" i="17"/>
  <c r="Y120" i="17"/>
  <c r="AD120" i="17"/>
  <c r="Y121" i="17"/>
  <c r="AD121" i="17"/>
  <c r="Y122" i="17"/>
  <c r="AD122" i="17"/>
  <c r="Y123" i="17"/>
  <c r="AD123" i="17"/>
  <c r="Y124" i="17"/>
  <c r="AD124" i="17"/>
  <c r="Y125" i="17"/>
  <c r="AD125" i="17"/>
  <c r="Y126" i="17"/>
  <c r="AD126" i="17"/>
  <c r="Y127" i="17"/>
  <c r="AD127" i="17"/>
  <c r="Y128" i="17"/>
  <c r="AD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Y152" i="17"/>
  <c r="AD152" i="17"/>
  <c r="Y153" i="17"/>
  <c r="AD153" i="17"/>
  <c r="Y154" i="17"/>
  <c r="AD154" i="17"/>
  <c r="Y155" i="17"/>
  <c r="AD155" i="17"/>
  <c r="Y156" i="17"/>
  <c r="AD156" i="17"/>
  <c r="Y157" i="17"/>
  <c r="AD157" i="17"/>
  <c r="Y158" i="17"/>
  <c r="AD158" i="17"/>
  <c r="Y159" i="17"/>
  <c r="AD159" i="17"/>
  <c r="Y160" i="17"/>
  <c r="AD160" i="17"/>
  <c r="Y161" i="17"/>
  <c r="AD161" i="17"/>
  <c r="Y162" i="17"/>
  <c r="AD162" i="17"/>
  <c r="Y163" i="17"/>
  <c r="AD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H9" i="28"/>
  <c r="R9" i="28"/>
  <c r="U9" i="28"/>
  <c r="F10" i="28"/>
  <c r="I10" i="28"/>
  <c r="R10" i="28"/>
  <c r="U10" i="28"/>
  <c r="F11" i="28"/>
  <c r="I11" i="28"/>
  <c r="R11" i="28"/>
  <c r="U11" i="28"/>
  <c r="E12" i="28"/>
  <c r="H12" i="28"/>
  <c r="R12" i="28"/>
  <c r="U12" i="28"/>
  <c r="F13" i="28"/>
  <c r="I13" i="28"/>
  <c r="R13" i="28"/>
  <c r="U13" i="28"/>
  <c r="F14" i="28"/>
  <c r="I14" i="28"/>
  <c r="R14" i="28"/>
  <c r="U14" i="28"/>
  <c r="E15" i="28"/>
  <c r="H15" i="28"/>
  <c r="R15" i="28"/>
  <c r="U15" i="28"/>
  <c r="E16" i="28"/>
  <c r="F16" i="28"/>
  <c r="H16" i="28"/>
  <c r="I16" i="28"/>
  <c r="R16" i="28"/>
  <c r="U16" i="28"/>
  <c r="E17" i="28"/>
  <c r="F17" i="28"/>
  <c r="H17" i="28"/>
  <c r="I17" i="28"/>
  <c r="R17" i="28"/>
  <c r="U17" i="28"/>
  <c r="E18" i="28"/>
  <c r="F18" i="28"/>
  <c r="H18" i="28"/>
  <c r="I18" i="28"/>
  <c r="R18" i="28"/>
  <c r="U18" i="28"/>
  <c r="E19" i="28"/>
  <c r="F19" i="28"/>
  <c r="H19" i="28"/>
  <c r="I19" i="28"/>
  <c r="R19" i="28"/>
  <c r="U19" i="28"/>
  <c r="E20" i="28"/>
  <c r="H20" i="28"/>
  <c r="R20" i="28"/>
  <c r="U20" i="28"/>
  <c r="F21" i="28"/>
  <c r="I21" i="28"/>
  <c r="R21" i="28"/>
  <c r="U21" i="28"/>
  <c r="F22" i="28"/>
  <c r="I22" i="28"/>
  <c r="R22" i="28"/>
  <c r="U22" i="28"/>
  <c r="E23" i="28"/>
  <c r="H23" i="28"/>
  <c r="R23" i="28"/>
  <c r="U23" i="28"/>
  <c r="F24" i="28"/>
  <c r="I24" i="28"/>
  <c r="R24" i="28"/>
  <c r="U24" i="28"/>
  <c r="F25" i="28"/>
  <c r="I25" i="28"/>
  <c r="R25" i="28"/>
  <c r="U25" i="28"/>
  <c r="E26" i="28"/>
  <c r="H26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G5" i="29"/>
  <c r="I5" i="29"/>
  <c r="G6" i="29"/>
  <c r="I6" i="29"/>
  <c r="G7" i="29"/>
  <c r="I7" i="29"/>
  <c r="G10" i="29"/>
  <c r="I10" i="29"/>
  <c r="G11" i="29"/>
  <c r="I11" i="29"/>
  <c r="G12" i="29"/>
  <c r="I12" i="29"/>
  <c r="K14" i="29"/>
  <c r="M14" i="29"/>
  <c r="G15" i="29"/>
  <c r="I15" i="29"/>
  <c r="G16" i="29"/>
  <c r="I16" i="29"/>
  <c r="G17" i="29"/>
  <c r="I17" i="29"/>
  <c r="G20" i="29"/>
  <c r="I20" i="29"/>
  <c r="G21" i="29"/>
  <c r="I21" i="29"/>
  <c r="G22" i="29"/>
  <c r="I22" i="29"/>
  <c r="D27" i="29"/>
  <c r="F27" i="29"/>
  <c r="G27" i="29"/>
  <c r="H27" i="29"/>
  <c r="J27" i="29"/>
  <c r="D28" i="29"/>
  <c r="F28" i="29"/>
  <c r="G28" i="29"/>
  <c r="H28" i="29"/>
  <c r="J28" i="29"/>
  <c r="G29" i="29"/>
  <c r="G30" i="29"/>
  <c r="D31" i="29"/>
  <c r="F31" i="29"/>
  <c r="G31" i="29"/>
  <c r="D32" i="29"/>
  <c r="F32" i="29"/>
  <c r="G32" i="29"/>
  <c r="D33" i="29"/>
  <c r="F33" i="29"/>
  <c r="G33" i="29"/>
  <c r="D37" i="29"/>
  <c r="E37" i="29"/>
  <c r="D38" i="29"/>
  <c r="E38" i="29"/>
  <c r="D39" i="29"/>
  <c r="E39" i="29"/>
  <c r="D40" i="29"/>
  <c r="E40" i="29"/>
  <c r="D41" i="29"/>
  <c r="E41" i="29"/>
  <c r="D42" i="29"/>
  <c r="E42" i="29"/>
  <c r="AB5" i="34"/>
  <c r="AE5" i="34"/>
  <c r="AH5" i="34"/>
  <c r="AI5" i="34"/>
  <c r="AK5" i="34"/>
  <c r="AL5" i="34"/>
  <c r="AB6" i="34"/>
  <c r="AE6" i="34"/>
  <c r="AH6" i="34"/>
  <c r="AI6" i="34"/>
  <c r="AK6" i="34"/>
  <c r="AL6" i="34"/>
  <c r="AB7" i="34"/>
  <c r="AE7" i="34"/>
  <c r="AH7" i="34"/>
  <c r="AI7" i="34"/>
  <c r="AK7" i="34"/>
  <c r="AL7" i="34"/>
  <c r="AB8" i="34"/>
  <c r="AE8" i="34"/>
  <c r="AH8" i="34"/>
  <c r="AI8" i="34"/>
  <c r="AK8" i="34"/>
  <c r="AL8" i="34"/>
  <c r="AB9" i="34"/>
  <c r="AE9" i="34"/>
  <c r="AH9" i="34"/>
  <c r="AI9" i="34"/>
  <c r="AK9" i="34"/>
  <c r="AL9" i="34"/>
  <c r="AB10" i="34"/>
  <c r="AE10" i="34"/>
  <c r="AH10" i="34"/>
  <c r="AI10" i="34"/>
  <c r="AK10" i="34"/>
  <c r="AL10" i="34"/>
  <c r="AB11" i="34"/>
  <c r="AE11" i="34"/>
  <c r="AH11" i="34"/>
  <c r="AI11" i="34"/>
  <c r="AK11" i="34"/>
  <c r="AL11" i="34"/>
  <c r="AB12" i="34"/>
  <c r="AE12" i="34"/>
  <c r="AH12" i="34"/>
  <c r="AI12" i="34"/>
  <c r="AK12" i="34"/>
  <c r="AL12" i="34"/>
  <c r="AB13" i="34"/>
  <c r="AE13" i="34"/>
  <c r="AH13" i="34"/>
  <c r="AI13" i="34"/>
  <c r="AK13" i="34"/>
  <c r="AL13" i="34"/>
  <c r="AB14" i="34"/>
  <c r="AE14" i="34"/>
  <c r="AH14" i="34"/>
  <c r="AI14" i="34"/>
  <c r="AK14" i="34"/>
  <c r="AL14" i="34"/>
  <c r="AB15" i="34"/>
  <c r="AE15" i="34"/>
  <c r="AH15" i="34"/>
  <c r="AI15" i="34"/>
  <c r="AK15" i="34"/>
  <c r="AL15" i="34"/>
  <c r="AB16" i="34"/>
  <c r="AE16" i="34"/>
  <c r="AH16" i="34"/>
  <c r="AI16" i="34"/>
  <c r="AK16" i="34"/>
  <c r="AL16" i="34"/>
  <c r="AB17" i="34"/>
  <c r="AE17" i="34"/>
  <c r="AH17" i="34"/>
  <c r="AI17" i="34"/>
  <c r="AK17" i="34"/>
  <c r="AL17" i="34"/>
  <c r="AB18" i="34"/>
  <c r="AE18" i="34"/>
  <c r="AH18" i="34"/>
  <c r="AI18" i="34"/>
  <c r="AK18" i="34"/>
  <c r="AL18" i="34"/>
  <c r="AB19" i="34"/>
  <c r="AE19" i="34"/>
  <c r="AH19" i="34"/>
  <c r="AI19" i="34"/>
  <c r="AK19" i="34"/>
  <c r="AL19" i="34"/>
  <c r="AB20" i="34"/>
  <c r="AE20" i="34"/>
  <c r="AH20" i="34"/>
  <c r="AI20" i="34"/>
  <c r="AK20" i="34"/>
  <c r="AL20" i="34"/>
  <c r="AB21" i="34"/>
  <c r="AE21" i="34"/>
  <c r="AH21" i="34"/>
  <c r="AI21" i="34"/>
  <c r="AK21" i="34"/>
  <c r="AL21" i="34"/>
  <c r="AB22" i="34"/>
  <c r="AE22" i="34"/>
  <c r="AH22" i="34"/>
  <c r="AI22" i="34"/>
  <c r="AK22" i="34"/>
  <c r="AL22" i="34"/>
  <c r="AB23" i="34"/>
  <c r="AE23" i="34"/>
  <c r="AH23" i="34"/>
  <c r="AI23" i="34"/>
  <c r="AK23" i="34"/>
  <c r="AL23" i="34"/>
  <c r="AB24" i="34"/>
  <c r="AE24" i="34"/>
  <c r="AH24" i="34"/>
  <c r="AI24" i="34"/>
  <c r="AK24" i="34"/>
  <c r="AL24" i="34"/>
  <c r="AB25" i="34"/>
  <c r="AE25" i="34"/>
  <c r="AH25" i="34"/>
  <c r="AI25" i="34"/>
  <c r="AK25" i="34"/>
  <c r="AL25" i="34"/>
  <c r="AB26" i="34"/>
  <c r="AE26" i="34"/>
  <c r="AH26" i="34"/>
  <c r="AI26" i="34"/>
  <c r="AK26" i="34"/>
  <c r="AL26" i="34"/>
  <c r="AB27" i="34"/>
  <c r="AE27" i="34"/>
  <c r="AH27" i="34"/>
  <c r="AI27" i="34"/>
  <c r="AK27" i="34"/>
  <c r="AL27" i="34"/>
  <c r="AB28" i="34"/>
  <c r="AE28" i="34"/>
  <c r="AH28" i="34"/>
  <c r="AI28" i="34"/>
  <c r="AK28" i="34"/>
  <c r="AL28" i="34"/>
  <c r="AB29" i="34"/>
  <c r="AE29" i="34"/>
  <c r="AH29" i="34"/>
  <c r="AI29" i="34"/>
  <c r="AK29" i="34"/>
  <c r="AL29" i="34"/>
  <c r="AB30" i="34"/>
  <c r="AE30" i="34"/>
  <c r="AH30" i="34"/>
  <c r="AI30" i="34"/>
  <c r="AK30" i="34"/>
  <c r="AL30" i="34"/>
  <c r="AB31" i="34"/>
  <c r="AE31" i="34"/>
  <c r="AH31" i="34"/>
  <c r="AI31" i="34"/>
  <c r="AK31" i="34"/>
  <c r="AL31" i="34"/>
  <c r="AB32" i="34"/>
  <c r="AE32" i="34"/>
  <c r="AH32" i="34"/>
  <c r="AI32" i="34"/>
  <c r="AK32" i="34"/>
  <c r="AL32" i="34"/>
  <c r="AB33" i="34"/>
  <c r="AE33" i="34"/>
  <c r="AH33" i="34"/>
  <c r="AI33" i="34"/>
  <c r="AK33" i="34"/>
  <c r="AL33" i="34"/>
  <c r="AB34" i="34"/>
  <c r="AE34" i="34"/>
  <c r="AH34" i="34"/>
  <c r="AI34" i="34"/>
  <c r="AK34" i="34"/>
  <c r="AL34" i="34"/>
  <c r="AB35" i="34"/>
  <c r="AE35" i="34"/>
  <c r="AH35" i="34"/>
  <c r="AI35" i="34"/>
  <c r="AK35" i="34"/>
  <c r="AL35" i="34"/>
  <c r="AB36" i="34"/>
  <c r="AE36" i="34"/>
  <c r="AH36" i="34"/>
  <c r="AI36" i="34"/>
  <c r="AK36" i="34"/>
  <c r="AL36" i="34"/>
  <c r="AB37" i="34"/>
  <c r="AE37" i="34"/>
  <c r="AH37" i="34"/>
  <c r="AI37" i="34"/>
  <c r="AK37" i="34"/>
  <c r="AL37" i="34"/>
  <c r="AB38" i="34"/>
  <c r="AE38" i="34"/>
  <c r="AH38" i="34"/>
  <c r="AI38" i="34"/>
  <c r="AK38" i="34"/>
  <c r="AL38" i="34"/>
  <c r="AB39" i="34"/>
  <c r="AE39" i="34"/>
  <c r="AH39" i="34"/>
  <c r="AI39" i="34"/>
  <c r="AK39" i="34"/>
  <c r="AL39" i="34"/>
  <c r="AB40" i="34"/>
  <c r="AE40" i="34"/>
  <c r="AH40" i="34"/>
  <c r="AI40" i="34"/>
  <c r="AK40" i="34"/>
  <c r="AL40" i="34"/>
  <c r="AB41" i="34"/>
  <c r="AE41" i="34"/>
  <c r="AH41" i="34"/>
  <c r="AI41" i="34"/>
  <c r="AK41" i="34"/>
  <c r="AL41" i="34"/>
  <c r="AB42" i="34"/>
  <c r="AE42" i="34"/>
  <c r="AH42" i="34"/>
  <c r="AI42" i="34"/>
  <c r="AK42" i="34"/>
  <c r="AL42" i="34"/>
  <c r="AB43" i="34"/>
  <c r="AE43" i="34"/>
  <c r="AH43" i="34"/>
  <c r="AI43" i="34"/>
  <c r="AK43" i="34"/>
  <c r="AL43" i="34"/>
  <c r="AB44" i="34"/>
  <c r="AE44" i="34"/>
  <c r="AH44" i="34"/>
  <c r="AI44" i="34"/>
  <c r="AK44" i="34"/>
  <c r="AL44" i="34"/>
  <c r="AB45" i="34"/>
  <c r="AE45" i="34"/>
  <c r="AH45" i="34"/>
  <c r="AI45" i="34"/>
  <c r="AK45" i="34"/>
  <c r="AL45" i="34"/>
  <c r="AI46" i="34"/>
  <c r="AB47" i="34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5" i="6"/>
  <c r="AJ65" i="6"/>
  <c r="AK65" i="6"/>
  <c r="N70" i="6"/>
  <c r="AJ70" i="6"/>
  <c r="AK70" i="6"/>
  <c r="L73" i="6"/>
  <c r="N73" i="6"/>
  <c r="O73" i="6"/>
  <c r="L74" i="6"/>
  <c r="N74" i="6"/>
  <c r="O74" i="6"/>
  <c r="L75" i="6"/>
  <c r="N75" i="6"/>
  <c r="N76" i="6"/>
  <c r="L77" i="6"/>
  <c r="L78" i="6"/>
  <c r="L79" i="6"/>
  <c r="L80" i="6"/>
  <c r="L81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B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2" i="23"/>
  <c r="AB52" i="23"/>
  <c r="AC52" i="23"/>
  <c r="AF52" i="23"/>
  <c r="AG52" i="23"/>
  <c r="N53" i="23"/>
  <c r="AB53" i="23"/>
  <c r="AC53" i="23"/>
  <c r="AF53" i="23"/>
  <c r="AG53" i="23"/>
  <c r="N54" i="23"/>
  <c r="AB54" i="23"/>
  <c r="AC54" i="23"/>
  <c r="AF54" i="23"/>
  <c r="AG54" i="23"/>
  <c r="N55" i="23"/>
  <c r="AB55" i="23"/>
  <c r="AC55" i="23"/>
  <c r="AF55" i="23"/>
  <c r="AG55" i="23"/>
  <c r="N56" i="23"/>
  <c r="AB56" i="23"/>
  <c r="AC56" i="23"/>
  <c r="AF56" i="23"/>
  <c r="AG56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7" i="23"/>
  <c r="AB67" i="23"/>
  <c r="AC67" i="23"/>
  <c r="AF67" i="23"/>
  <c r="AG67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B72" i="23"/>
  <c r="AC72" i="23"/>
  <c r="AF72" i="23"/>
  <c r="AG72" i="23"/>
  <c r="N73" i="23"/>
  <c r="AB73" i="23"/>
  <c r="AC73" i="23"/>
  <c r="AF73" i="23"/>
  <c r="AG73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104" i="23"/>
  <c r="AB104" i="23"/>
  <c r="AC104" i="23"/>
  <c r="AF104" i="23"/>
  <c r="AG104" i="23"/>
  <c r="N105" i="23"/>
  <c r="AB105" i="23"/>
  <c r="AC105" i="23"/>
  <c r="AF105" i="23"/>
  <c r="AG105" i="23"/>
  <c r="N106" i="23"/>
  <c r="AB106" i="23"/>
  <c r="AC106" i="23"/>
  <c r="AF106" i="23"/>
  <c r="AG106" i="23"/>
  <c r="N107" i="23"/>
  <c r="AB107" i="23"/>
  <c r="AC107" i="23"/>
  <c r="AF107" i="23"/>
  <c r="AG107" i="23"/>
  <c r="N108" i="23"/>
  <c r="AB108" i="23"/>
  <c r="AC108" i="23"/>
  <c r="AF108" i="23"/>
  <c r="AG108" i="23"/>
  <c r="N109" i="23"/>
  <c r="AB109" i="23"/>
  <c r="AC109" i="23"/>
  <c r="AF109" i="23"/>
  <c r="AG109" i="23"/>
  <c r="N110" i="23"/>
  <c r="AB110" i="23"/>
  <c r="AC110" i="23"/>
  <c r="AF110" i="23"/>
  <c r="AG110" i="23"/>
  <c r="N111" i="23"/>
  <c r="AB111" i="23"/>
  <c r="AC111" i="23"/>
  <c r="AF111" i="23"/>
  <c r="AG111" i="23"/>
  <c r="N112" i="23"/>
  <c r="AB112" i="23"/>
  <c r="AC112" i="23"/>
  <c r="AF112" i="23"/>
  <c r="AG112" i="23"/>
  <c r="N113" i="23"/>
  <c r="AB113" i="23"/>
  <c r="AC113" i="23"/>
  <c r="AF113" i="23"/>
  <c r="AG113" i="23"/>
  <c r="N114" i="23"/>
  <c r="AB114" i="23"/>
  <c r="AC114" i="23"/>
  <c r="AF114" i="23"/>
  <c r="AG114" i="23"/>
  <c r="N115" i="23"/>
  <c r="AB115" i="23"/>
  <c r="AC115" i="23"/>
  <c r="AF115" i="23"/>
  <c r="AG115" i="23"/>
  <c r="N116" i="23"/>
  <c r="AB116" i="23"/>
  <c r="AC116" i="23"/>
  <c r="AF116" i="23"/>
  <c r="AG116" i="23"/>
  <c r="N117" i="23"/>
  <c r="AB117" i="23"/>
  <c r="AC117" i="23"/>
  <c r="AF117" i="23"/>
  <c r="AG117" i="23"/>
  <c r="N118" i="23"/>
  <c r="AB118" i="23"/>
  <c r="AC118" i="23"/>
  <c r="AF118" i="23"/>
  <c r="AG118" i="23"/>
  <c r="N119" i="23"/>
  <c r="AB119" i="23"/>
  <c r="AC119" i="23"/>
  <c r="AF119" i="23"/>
  <c r="AG119" i="23"/>
  <c r="N120" i="23"/>
  <c r="AB120" i="23"/>
  <c r="AC120" i="23"/>
  <c r="AF120" i="23"/>
  <c r="AG120" i="23"/>
  <c r="N121" i="23"/>
  <c r="AB121" i="23"/>
  <c r="AC121" i="23"/>
  <c r="AF121" i="23"/>
  <c r="AG121" i="23"/>
  <c r="N122" i="23"/>
  <c r="AB122" i="23"/>
  <c r="AC122" i="23"/>
  <c r="AF122" i="23"/>
  <c r="AG122" i="23"/>
  <c r="N123" i="23"/>
  <c r="AB123" i="23"/>
  <c r="AC123" i="23"/>
  <c r="AF123" i="23"/>
  <c r="AG123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3" i="7"/>
  <c r="T63" i="7"/>
  <c r="AJ63" i="7"/>
  <c r="AK63" i="7"/>
  <c r="AL63" i="7"/>
  <c r="AM63" i="7"/>
  <c r="N68" i="7"/>
  <c r="AE68" i="7"/>
  <c r="AF68" i="7"/>
  <c r="AJ68" i="7"/>
  <c r="AK6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3" i="8"/>
  <c r="T63" i="8"/>
  <c r="AE63" i="8"/>
  <c r="AF63" i="8"/>
  <c r="AG63" i="8"/>
  <c r="AJ63" i="8"/>
  <c r="AK63" i="8"/>
  <c r="AL63" i="8"/>
  <c r="AM63" i="8"/>
  <c r="AO63" i="8"/>
  <c r="AP63" i="8"/>
  <c r="AO65" i="8"/>
  <c r="AP65" i="8"/>
  <c r="AE68" i="8"/>
  <c r="AF68" i="8"/>
  <c r="N5" i="32"/>
  <c r="T5" i="32"/>
  <c r="AE5" i="32"/>
  <c r="AF5" i="32"/>
  <c r="AG5" i="32"/>
  <c r="AJ5" i="32"/>
  <c r="AK5" i="32"/>
  <c r="AL5" i="32"/>
  <c r="AM5" i="32"/>
  <c r="AO5" i="32"/>
  <c r="AP5" i="32"/>
  <c r="AS5" i="32"/>
  <c r="AT5" i="32"/>
  <c r="AV5" i="32"/>
  <c r="AW5" i="32"/>
  <c r="N6" i="32"/>
  <c r="T6" i="32"/>
  <c r="AE6" i="32"/>
  <c r="AF6" i="32"/>
  <c r="AG6" i="32"/>
  <c r="AJ6" i="32"/>
  <c r="AK6" i="32"/>
  <c r="AL6" i="32"/>
  <c r="AM6" i="32"/>
  <c r="AO6" i="32"/>
  <c r="AP6" i="32"/>
  <c r="AS6" i="32"/>
  <c r="AT6" i="32"/>
  <c r="AV6" i="32"/>
  <c r="AW6" i="32"/>
  <c r="N7" i="32"/>
  <c r="T7" i="32"/>
  <c r="AE7" i="32"/>
  <c r="AF7" i="32"/>
  <c r="AG7" i="32"/>
  <c r="AJ7" i="32"/>
  <c r="AK7" i="32"/>
  <c r="AL7" i="32"/>
  <c r="AM7" i="32"/>
  <c r="AO7" i="32"/>
  <c r="AP7" i="32"/>
  <c r="AS7" i="32"/>
  <c r="AT7" i="32"/>
  <c r="AV7" i="32"/>
  <c r="AW7" i="32"/>
  <c r="N8" i="32"/>
  <c r="T8" i="32"/>
  <c r="AE8" i="32"/>
  <c r="AF8" i="32"/>
  <c r="AG8" i="32"/>
  <c r="AJ8" i="32"/>
  <c r="AK8" i="32"/>
  <c r="AL8" i="32"/>
  <c r="AM8" i="32"/>
  <c r="AO8" i="32"/>
  <c r="AP8" i="32"/>
  <c r="AS8" i="32"/>
  <c r="AT8" i="32"/>
  <c r="AV8" i="32"/>
  <c r="AW8" i="32"/>
  <c r="N9" i="32"/>
  <c r="T9" i="32"/>
  <c r="AE9" i="32"/>
  <c r="AF9" i="32"/>
  <c r="AG9" i="32"/>
  <c r="AJ9" i="32"/>
  <c r="AK9" i="32"/>
  <c r="AL9" i="32"/>
  <c r="AM9" i="32"/>
  <c r="AO9" i="32"/>
  <c r="AP9" i="32"/>
  <c r="AS9" i="32"/>
  <c r="AT9" i="32"/>
  <c r="AV9" i="32"/>
  <c r="AW9" i="32"/>
  <c r="N10" i="32"/>
  <c r="T10" i="32"/>
  <c r="AE10" i="32"/>
  <c r="AF10" i="32"/>
  <c r="AG10" i="32"/>
  <c r="AJ10" i="32"/>
  <c r="AK10" i="32"/>
  <c r="AL10" i="32"/>
  <c r="AM10" i="32"/>
  <c r="AO10" i="32"/>
  <c r="AP10" i="32"/>
  <c r="AS10" i="32"/>
  <c r="AT10" i="32"/>
  <c r="AV10" i="32"/>
  <c r="AW10" i="32"/>
  <c r="N11" i="32"/>
  <c r="T11" i="32"/>
  <c r="AE11" i="32"/>
  <c r="AF11" i="32"/>
  <c r="AG11" i="32"/>
  <c r="AJ11" i="32"/>
  <c r="AK11" i="32"/>
  <c r="AL11" i="32"/>
  <c r="AM11" i="32"/>
  <c r="AO11" i="32"/>
  <c r="AP11" i="32"/>
  <c r="AS11" i="32"/>
  <c r="AT11" i="32"/>
  <c r="AV11" i="32"/>
  <c r="AW11" i="32"/>
  <c r="N12" i="32"/>
  <c r="T12" i="32"/>
  <c r="AE12" i="32"/>
  <c r="AF12" i="32"/>
  <c r="AG12" i="32"/>
  <c r="AJ12" i="32"/>
  <c r="AK12" i="32"/>
  <c r="AL12" i="32"/>
  <c r="AM12" i="32"/>
  <c r="AO12" i="32"/>
  <c r="AP12" i="32"/>
  <c r="AS12" i="32"/>
  <c r="AT12" i="32"/>
  <c r="AV12" i="32"/>
  <c r="AW12" i="32"/>
  <c r="N13" i="32"/>
  <c r="T13" i="32"/>
  <c r="AE13" i="32"/>
  <c r="AF13" i="32"/>
  <c r="AG13" i="32"/>
  <c r="AJ13" i="32"/>
  <c r="AK13" i="32"/>
  <c r="AL13" i="32"/>
  <c r="AM13" i="32"/>
  <c r="AO13" i="32"/>
  <c r="AP13" i="32"/>
  <c r="AS13" i="32"/>
  <c r="AT13" i="32"/>
  <c r="AV13" i="32"/>
  <c r="AW13" i="32"/>
  <c r="N14" i="32"/>
  <c r="T14" i="32"/>
  <c r="AE14" i="32"/>
  <c r="AF14" i="32"/>
  <c r="AG14" i="32"/>
  <c r="AJ14" i="32"/>
  <c r="AK14" i="32"/>
  <c r="AL14" i="32"/>
  <c r="AM14" i="32"/>
  <c r="AO14" i="32"/>
  <c r="AP14" i="32"/>
  <c r="AS14" i="32"/>
  <c r="AT14" i="32"/>
  <c r="AV14" i="32"/>
  <c r="AW14" i="32"/>
  <c r="N15" i="32"/>
  <c r="T15" i="32"/>
  <c r="AE15" i="32"/>
  <c r="AF15" i="32"/>
  <c r="AG15" i="32"/>
  <c r="AJ15" i="32"/>
  <c r="AK15" i="32"/>
  <c r="AL15" i="32"/>
  <c r="AM15" i="32"/>
  <c r="AO15" i="32"/>
  <c r="AP15" i="32"/>
  <c r="AS15" i="32"/>
  <c r="AT15" i="32"/>
  <c r="AV15" i="32"/>
  <c r="AW15" i="32"/>
  <c r="N16" i="32"/>
  <c r="T16" i="32"/>
  <c r="AE16" i="32"/>
  <c r="AF16" i="32"/>
  <c r="AG16" i="32"/>
  <c r="AJ16" i="32"/>
  <c r="AK16" i="32"/>
  <c r="AL16" i="32"/>
  <c r="AM16" i="32"/>
  <c r="AO16" i="32"/>
  <c r="AP16" i="32"/>
  <c r="AS16" i="32"/>
  <c r="AT16" i="32"/>
  <c r="AV16" i="32"/>
  <c r="AW16" i="32"/>
  <c r="N17" i="32"/>
  <c r="T17" i="32"/>
  <c r="AE17" i="32"/>
  <c r="AF17" i="32"/>
  <c r="AG17" i="32"/>
  <c r="AJ17" i="32"/>
  <c r="AK17" i="32"/>
  <c r="AL17" i="32"/>
  <c r="AM17" i="32"/>
  <c r="AO17" i="32"/>
  <c r="AP17" i="32"/>
  <c r="AS17" i="32"/>
  <c r="AT17" i="32"/>
  <c r="AV17" i="32"/>
  <c r="AW17" i="32"/>
  <c r="N18" i="32"/>
  <c r="T18" i="32"/>
  <c r="AE18" i="32"/>
  <c r="AF18" i="32"/>
  <c r="AG18" i="32"/>
  <c r="AJ18" i="32"/>
  <c r="AK18" i="32"/>
  <c r="AL18" i="32"/>
  <c r="AM18" i="32"/>
  <c r="AO18" i="32"/>
  <c r="AP18" i="32"/>
  <c r="AS18" i="32"/>
  <c r="AT18" i="32"/>
  <c r="AV18" i="32"/>
  <c r="AW18" i="32"/>
  <c r="N19" i="32"/>
  <c r="T19" i="32"/>
  <c r="AE19" i="32"/>
  <c r="AF19" i="32"/>
  <c r="AG19" i="32"/>
  <c r="AJ19" i="32"/>
  <c r="AK19" i="32"/>
  <c r="AL19" i="32"/>
  <c r="AM19" i="32"/>
  <c r="AO19" i="32"/>
  <c r="AP19" i="32"/>
  <c r="AS19" i="32"/>
  <c r="AT19" i="32"/>
  <c r="AV19" i="32"/>
  <c r="AW19" i="32"/>
  <c r="N20" i="32"/>
  <c r="T20" i="32"/>
  <c r="AE20" i="32"/>
  <c r="AF20" i="32"/>
  <c r="AG20" i="32"/>
  <c r="AJ20" i="32"/>
  <c r="AK20" i="32"/>
  <c r="AL20" i="32"/>
  <c r="AM20" i="32"/>
  <c r="AO20" i="32"/>
  <c r="AP20" i="32"/>
  <c r="AS20" i="32"/>
  <c r="AT20" i="32"/>
  <c r="AV20" i="32"/>
  <c r="AW20" i="32"/>
  <c r="N21" i="32"/>
  <c r="T21" i="32"/>
  <c r="AE21" i="32"/>
  <c r="AF21" i="32"/>
  <c r="AG21" i="32"/>
  <c r="AJ21" i="32"/>
  <c r="AK21" i="32"/>
  <c r="AL21" i="32"/>
  <c r="AM21" i="32"/>
  <c r="AO21" i="32"/>
  <c r="AP21" i="32"/>
  <c r="AS21" i="32"/>
  <c r="AT21" i="32"/>
  <c r="AV21" i="32"/>
  <c r="AW21" i="32"/>
  <c r="N22" i="32"/>
  <c r="T22" i="32"/>
  <c r="AE22" i="32"/>
  <c r="AF22" i="32"/>
  <c r="AG22" i="32"/>
  <c r="AJ22" i="32"/>
  <c r="AK22" i="32"/>
  <c r="AL22" i="32"/>
  <c r="AM22" i="32"/>
  <c r="AO22" i="32"/>
  <c r="AP22" i="32"/>
  <c r="AS22" i="32"/>
  <c r="AT22" i="32"/>
  <c r="AV22" i="32"/>
  <c r="AW22" i="32"/>
  <c r="N23" i="32"/>
  <c r="T23" i="32"/>
  <c r="AE23" i="32"/>
  <c r="AF23" i="32"/>
  <c r="AG23" i="32"/>
  <c r="AJ23" i="32"/>
  <c r="AK23" i="32"/>
  <c r="AL23" i="32"/>
  <c r="AM23" i="32"/>
  <c r="AO23" i="32"/>
  <c r="AP23" i="32"/>
  <c r="AS23" i="32"/>
  <c r="AT23" i="32"/>
  <c r="AV23" i="32"/>
  <c r="AW23" i="32"/>
  <c r="N24" i="32"/>
  <c r="T24" i="32"/>
  <c r="AE24" i="32"/>
  <c r="AF24" i="32"/>
  <c r="AG24" i="32"/>
  <c r="AJ24" i="32"/>
  <c r="AK24" i="32"/>
  <c r="AL24" i="32"/>
  <c r="AM24" i="32"/>
  <c r="AO24" i="32"/>
  <c r="AP24" i="32"/>
  <c r="AS24" i="32"/>
  <c r="AT24" i="32"/>
  <c r="AV24" i="32"/>
  <c r="AW24" i="32"/>
  <c r="N25" i="32"/>
  <c r="T25" i="32"/>
  <c r="AE25" i="32"/>
  <c r="AF25" i="32"/>
  <c r="AG25" i="32"/>
  <c r="AJ25" i="32"/>
  <c r="AK25" i="32"/>
  <c r="AL25" i="32"/>
  <c r="AM25" i="32"/>
  <c r="AO25" i="32"/>
  <c r="AP25" i="32"/>
  <c r="AS25" i="32"/>
  <c r="AT25" i="32"/>
  <c r="AV25" i="32"/>
  <c r="AW25" i="32"/>
  <c r="N26" i="32"/>
  <c r="T26" i="32"/>
  <c r="AE26" i="32"/>
  <c r="AF26" i="32"/>
  <c r="AG26" i="32"/>
  <c r="AJ26" i="32"/>
  <c r="AK26" i="32"/>
  <c r="AL26" i="32"/>
  <c r="AM26" i="32"/>
  <c r="AO26" i="32"/>
  <c r="AP26" i="32"/>
  <c r="AS26" i="32"/>
  <c r="AT26" i="32"/>
  <c r="AV26" i="32"/>
  <c r="AW26" i="32"/>
  <c r="N27" i="32"/>
  <c r="T27" i="32"/>
  <c r="AE27" i="32"/>
  <c r="AF27" i="32"/>
  <c r="AG27" i="32"/>
  <c r="AJ27" i="32"/>
  <c r="AK27" i="32"/>
  <c r="AL27" i="32"/>
  <c r="AM27" i="32"/>
  <c r="AO27" i="32"/>
  <c r="AP27" i="32"/>
  <c r="AS27" i="32"/>
  <c r="AT27" i="32"/>
  <c r="AV27" i="32"/>
  <c r="AW27" i="32"/>
  <c r="N28" i="32"/>
  <c r="T28" i="32"/>
  <c r="AE28" i="32"/>
  <c r="AF28" i="32"/>
  <c r="AG28" i="32"/>
  <c r="AJ28" i="32"/>
  <c r="AK28" i="32"/>
  <c r="AL28" i="32"/>
  <c r="AM28" i="32"/>
  <c r="AO28" i="32"/>
  <c r="AP28" i="32"/>
  <c r="AS28" i="32"/>
  <c r="AT28" i="32"/>
  <c r="AV28" i="32"/>
  <c r="AW28" i="32"/>
  <c r="N29" i="32"/>
  <c r="T29" i="32"/>
  <c r="AE29" i="32"/>
  <c r="AF29" i="32"/>
  <c r="AG29" i="32"/>
  <c r="AJ29" i="32"/>
  <c r="AK29" i="32"/>
  <c r="AL29" i="32"/>
  <c r="AM29" i="32"/>
  <c r="AO29" i="32"/>
  <c r="AP29" i="32"/>
  <c r="AS29" i="32"/>
  <c r="AT29" i="32"/>
  <c r="AV29" i="32"/>
  <c r="AW29" i="32"/>
  <c r="N30" i="32"/>
  <c r="T30" i="32"/>
  <c r="AE30" i="32"/>
  <c r="AF30" i="32"/>
  <c r="AG30" i="32"/>
  <c r="AJ30" i="32"/>
  <c r="AK30" i="32"/>
  <c r="AL30" i="32"/>
  <c r="AM30" i="32"/>
  <c r="AO30" i="32"/>
  <c r="AP30" i="32"/>
  <c r="AS30" i="32"/>
  <c r="AT30" i="32"/>
  <c r="AV30" i="32"/>
  <c r="AW30" i="32"/>
  <c r="N31" i="32"/>
  <c r="T31" i="32"/>
  <c r="AE31" i="32"/>
  <c r="AF31" i="32"/>
  <c r="AG31" i="32"/>
  <c r="AJ31" i="32"/>
  <c r="AK31" i="32"/>
  <c r="AL31" i="32"/>
  <c r="AM31" i="32"/>
  <c r="AO31" i="32"/>
  <c r="AP31" i="32"/>
  <c r="AS31" i="32"/>
  <c r="AT31" i="32"/>
  <c r="AV31" i="32"/>
  <c r="AW31" i="32"/>
  <c r="N32" i="32"/>
  <c r="T32" i="32"/>
  <c r="AE32" i="32"/>
  <c r="AF32" i="32"/>
  <c r="AG32" i="32"/>
  <c r="AJ32" i="32"/>
  <c r="AK32" i="32"/>
  <c r="AL32" i="32"/>
  <c r="AM32" i="32"/>
  <c r="AO32" i="32"/>
  <c r="AP32" i="32"/>
  <c r="AS32" i="32"/>
  <c r="AT32" i="32"/>
  <c r="AV32" i="32"/>
  <c r="AW32" i="32"/>
  <c r="N33" i="32"/>
  <c r="T33" i="32"/>
  <c r="AE33" i="32"/>
  <c r="AF33" i="32"/>
  <c r="AG33" i="32"/>
  <c r="AJ33" i="32"/>
  <c r="AK33" i="32"/>
  <c r="AL33" i="32"/>
  <c r="AM33" i="32"/>
  <c r="AO33" i="32"/>
  <c r="AP33" i="32"/>
  <c r="AS33" i="32"/>
  <c r="AT33" i="32"/>
  <c r="AV33" i="32"/>
  <c r="AW33" i="32"/>
  <c r="N34" i="32"/>
  <c r="T34" i="32"/>
  <c r="AE34" i="32"/>
  <c r="AF34" i="32"/>
  <c r="AG34" i="32"/>
  <c r="AJ34" i="32"/>
  <c r="AK34" i="32"/>
  <c r="AL34" i="32"/>
  <c r="AM34" i="32"/>
  <c r="AO34" i="32"/>
  <c r="AP34" i="32"/>
  <c r="AS34" i="32"/>
  <c r="AT34" i="32"/>
  <c r="AV34" i="32"/>
  <c r="AW34" i="32"/>
  <c r="N35" i="32"/>
  <c r="T35" i="32"/>
  <c r="AE35" i="32"/>
  <c r="AF35" i="32"/>
  <c r="AG35" i="32"/>
  <c r="AJ35" i="32"/>
  <c r="AK35" i="32"/>
  <c r="AL35" i="32"/>
  <c r="AM35" i="32"/>
  <c r="AO35" i="32"/>
  <c r="AP35" i="32"/>
  <c r="AS35" i="32"/>
  <c r="AT35" i="32"/>
  <c r="AV35" i="32"/>
  <c r="AW35" i="32"/>
  <c r="N36" i="32"/>
  <c r="T36" i="32"/>
  <c r="AE36" i="32"/>
  <c r="AF36" i="32"/>
  <c r="AG36" i="32"/>
  <c r="AJ36" i="32"/>
  <c r="AK36" i="32"/>
  <c r="AL36" i="32"/>
  <c r="AM36" i="32"/>
  <c r="AO36" i="32"/>
  <c r="AP36" i="32"/>
  <c r="AS36" i="32"/>
  <c r="AT36" i="32"/>
  <c r="AV36" i="32"/>
  <c r="AW36" i="32"/>
  <c r="N37" i="32"/>
  <c r="T37" i="32"/>
  <c r="AE37" i="32"/>
  <c r="AF37" i="32"/>
  <c r="AG37" i="32"/>
  <c r="AJ37" i="32"/>
  <c r="AK37" i="32"/>
  <c r="AL37" i="32"/>
  <c r="AM37" i="32"/>
  <c r="AO37" i="32"/>
  <c r="AP37" i="32"/>
  <c r="AS37" i="32"/>
  <c r="AT37" i="32"/>
  <c r="AV37" i="32"/>
  <c r="AW37" i="32"/>
  <c r="N38" i="32"/>
  <c r="T38" i="32"/>
  <c r="AE38" i="32"/>
  <c r="AF38" i="32"/>
  <c r="AG38" i="32"/>
  <c r="AJ38" i="32"/>
  <c r="AK38" i="32"/>
  <c r="AL38" i="32"/>
  <c r="AM38" i="32"/>
  <c r="AO38" i="32"/>
  <c r="AP38" i="32"/>
  <c r="AS38" i="32"/>
  <c r="AT38" i="32"/>
  <c r="AV38" i="32"/>
  <c r="AW38" i="32"/>
  <c r="N39" i="32"/>
  <c r="T39" i="32"/>
  <c r="AE39" i="32"/>
  <c r="AF39" i="32"/>
  <c r="AG39" i="32"/>
  <c r="AJ39" i="32"/>
  <c r="AK39" i="32"/>
  <c r="AL39" i="32"/>
  <c r="AM39" i="32"/>
  <c r="AO39" i="32"/>
  <c r="AP39" i="32"/>
  <c r="AS39" i="32"/>
  <c r="AT39" i="32"/>
  <c r="AV39" i="32"/>
  <c r="AW39" i="32"/>
  <c r="N40" i="32"/>
  <c r="T40" i="32"/>
  <c r="AE40" i="32"/>
  <c r="AF40" i="32"/>
  <c r="AG40" i="32"/>
  <c r="AJ40" i="32"/>
  <c r="AK40" i="32"/>
  <c r="AL40" i="32"/>
  <c r="AM40" i="32"/>
  <c r="AO40" i="32"/>
  <c r="AP40" i="32"/>
  <c r="AS40" i="32"/>
  <c r="AT40" i="32"/>
  <c r="AV40" i="32"/>
  <c r="AW40" i="32"/>
  <c r="N41" i="32"/>
  <c r="T41" i="32"/>
  <c r="AE41" i="32"/>
  <c r="AF41" i="32"/>
  <c r="AG41" i="32"/>
  <c r="AJ41" i="32"/>
  <c r="AK41" i="32"/>
  <c r="AL41" i="32"/>
  <c r="AM41" i="32"/>
  <c r="AO41" i="32"/>
  <c r="AP41" i="32"/>
  <c r="AS41" i="32"/>
  <c r="AT41" i="32"/>
  <c r="AV41" i="32"/>
  <c r="AW41" i="32"/>
  <c r="N42" i="32"/>
  <c r="T42" i="32"/>
  <c r="AE42" i="32"/>
  <c r="AF42" i="32"/>
  <c r="AG42" i="32"/>
  <c r="AJ42" i="32"/>
  <c r="AK42" i="32"/>
  <c r="AL42" i="32"/>
  <c r="AM42" i="32"/>
  <c r="AO42" i="32"/>
  <c r="AP42" i="32"/>
  <c r="AS42" i="32"/>
  <c r="AT42" i="32"/>
  <c r="AV42" i="32"/>
  <c r="AW42" i="32"/>
  <c r="N43" i="32"/>
  <c r="T43" i="32"/>
  <c r="AE43" i="32"/>
  <c r="AF43" i="32"/>
  <c r="AG43" i="32"/>
  <c r="AJ43" i="32"/>
  <c r="AK43" i="32"/>
  <c r="AL43" i="32"/>
  <c r="AM43" i="32"/>
  <c r="AO43" i="32"/>
  <c r="AP43" i="32"/>
  <c r="AS43" i="32"/>
  <c r="AT43" i="32"/>
  <c r="AV43" i="32"/>
  <c r="AW43" i="32"/>
  <c r="N44" i="32"/>
  <c r="T44" i="32"/>
  <c r="AE44" i="32"/>
  <c r="AF44" i="32"/>
  <c r="AG44" i="32"/>
  <c r="AJ44" i="32"/>
  <c r="AK44" i="32"/>
  <c r="AL44" i="32"/>
  <c r="AM44" i="32"/>
  <c r="AO44" i="32"/>
  <c r="AP44" i="32"/>
  <c r="AS44" i="32"/>
  <c r="AT44" i="32"/>
  <c r="AV44" i="32"/>
  <c r="AW44" i="32"/>
  <c r="N45" i="32"/>
  <c r="T45" i="32"/>
  <c r="AE45" i="32"/>
  <c r="AF45" i="32"/>
  <c r="AG45" i="32"/>
  <c r="AJ45" i="32"/>
  <c r="AK45" i="32"/>
  <c r="AL45" i="32"/>
  <c r="AM45" i="32"/>
  <c r="AO45" i="32"/>
  <c r="AP45" i="32"/>
  <c r="AS45" i="32"/>
  <c r="AT45" i="32"/>
  <c r="AV45" i="32"/>
  <c r="AW45" i="32"/>
  <c r="N46" i="32"/>
  <c r="T46" i="32"/>
  <c r="AE46" i="32"/>
  <c r="AF46" i="32"/>
  <c r="AG46" i="32"/>
  <c r="AJ46" i="32"/>
  <c r="AK46" i="32"/>
  <c r="AL46" i="32"/>
  <c r="AM46" i="32"/>
  <c r="AO46" i="32"/>
  <c r="AP46" i="32"/>
  <c r="AS46" i="32"/>
  <c r="AT46" i="32"/>
  <c r="AV46" i="32"/>
  <c r="AW46" i="32"/>
  <c r="N47" i="32"/>
  <c r="T47" i="32"/>
  <c r="AE47" i="32"/>
  <c r="AF47" i="32"/>
  <c r="AG47" i="32"/>
  <c r="AJ47" i="32"/>
  <c r="AK47" i="32"/>
  <c r="AL47" i="32"/>
  <c r="AM47" i="32"/>
  <c r="AO47" i="32"/>
  <c r="AP47" i="32"/>
  <c r="AS47" i="32"/>
  <c r="AT47" i="32"/>
  <c r="AV47" i="32"/>
  <c r="AW47" i="32"/>
  <c r="N48" i="32"/>
  <c r="T48" i="32"/>
  <c r="AE48" i="32"/>
  <c r="AF48" i="32"/>
  <c r="AG48" i="32"/>
  <c r="AJ48" i="32"/>
  <c r="AK48" i="32"/>
  <c r="AL48" i="32"/>
  <c r="AM48" i="32"/>
  <c r="AO48" i="32"/>
  <c r="AP48" i="32"/>
  <c r="AS48" i="32"/>
  <c r="AT48" i="32"/>
  <c r="AV48" i="32"/>
  <c r="AW48" i="32"/>
  <c r="N49" i="32"/>
  <c r="T49" i="32"/>
  <c r="AE49" i="32"/>
  <c r="AF49" i="32"/>
  <c r="AG49" i="32"/>
  <c r="AJ49" i="32"/>
  <c r="AK49" i="32"/>
  <c r="AL49" i="32"/>
  <c r="AM49" i="32"/>
  <c r="AO49" i="32"/>
  <c r="AP49" i="32"/>
  <c r="AS49" i="32"/>
  <c r="AT49" i="32"/>
  <c r="AV49" i="32"/>
  <c r="AW49" i="32"/>
  <c r="N50" i="32"/>
  <c r="T50" i="32"/>
  <c r="AE50" i="32"/>
  <c r="AF50" i="32"/>
  <c r="AG50" i="32"/>
  <c r="AJ50" i="32"/>
  <c r="AK50" i="32"/>
  <c r="AL50" i="32"/>
  <c r="AM50" i="32"/>
  <c r="AO50" i="32"/>
  <c r="AP50" i="32"/>
  <c r="AS50" i="32"/>
  <c r="AT50" i="32"/>
  <c r="AV50" i="32"/>
  <c r="AW50" i="32"/>
  <c r="N51" i="32"/>
  <c r="T51" i="32"/>
  <c r="AE51" i="32"/>
  <c r="AF51" i="32"/>
  <c r="AG51" i="32"/>
  <c r="AJ51" i="32"/>
  <c r="AK51" i="32"/>
  <c r="AL51" i="32"/>
  <c r="AM51" i="32"/>
  <c r="AO51" i="32"/>
  <c r="AP51" i="32"/>
  <c r="AS51" i="32"/>
  <c r="AT51" i="32"/>
  <c r="AV51" i="32"/>
  <c r="AW51" i="32"/>
  <c r="N52" i="32"/>
  <c r="T52" i="32"/>
  <c r="AE52" i="32"/>
  <c r="AF52" i="32"/>
  <c r="AG52" i="32"/>
  <c r="AJ52" i="32"/>
  <c r="AK52" i="32"/>
  <c r="AL52" i="32"/>
  <c r="AM52" i="32"/>
  <c r="AO52" i="32"/>
  <c r="AP52" i="32"/>
  <c r="AS52" i="32"/>
  <c r="AT52" i="32"/>
  <c r="AV52" i="32"/>
  <c r="AW52" i="32"/>
  <c r="N53" i="32"/>
  <c r="T53" i="32"/>
  <c r="AE53" i="32"/>
  <c r="AF53" i="32"/>
  <c r="AG53" i="32"/>
  <c r="AJ53" i="32"/>
  <c r="AK53" i="32"/>
  <c r="AL53" i="32"/>
  <c r="AM53" i="32"/>
  <c r="AO53" i="32"/>
  <c r="AP53" i="32"/>
  <c r="AS53" i="32"/>
  <c r="AT53" i="32"/>
  <c r="AV53" i="32"/>
  <c r="AW53" i="32"/>
  <c r="N54" i="32"/>
  <c r="T54" i="32"/>
  <c r="AE54" i="32"/>
  <c r="AF54" i="32"/>
  <c r="AG54" i="32"/>
  <c r="AJ54" i="32"/>
  <c r="AK54" i="32"/>
  <c r="AL54" i="32"/>
  <c r="AM54" i="32"/>
  <c r="AO54" i="32"/>
  <c r="AP54" i="32"/>
  <c r="AS54" i="32"/>
  <c r="AT54" i="32"/>
  <c r="AV54" i="32"/>
  <c r="AW54" i="32"/>
  <c r="N55" i="32"/>
  <c r="T55" i="32"/>
  <c r="AE55" i="32"/>
  <c r="AF55" i="32"/>
  <c r="AG55" i="32"/>
  <c r="AJ55" i="32"/>
  <c r="AK55" i="32"/>
  <c r="AL55" i="32"/>
  <c r="AM55" i="32"/>
  <c r="AO55" i="32"/>
  <c r="AP55" i="32"/>
  <c r="AS55" i="32"/>
  <c r="AT55" i="32"/>
  <c r="AV55" i="32"/>
  <c r="AW55" i="32"/>
  <c r="N56" i="32"/>
  <c r="T56" i="32"/>
  <c r="AE56" i="32"/>
  <c r="AF56" i="32"/>
  <c r="AG56" i="32"/>
  <c r="AJ56" i="32"/>
  <c r="AK56" i="32"/>
  <c r="AL56" i="32"/>
  <c r="AM56" i="32"/>
  <c r="AO56" i="32"/>
  <c r="AP56" i="32"/>
  <c r="AS56" i="32"/>
  <c r="AT56" i="32"/>
  <c r="AV56" i="32"/>
  <c r="AW56" i="32"/>
  <c r="N57" i="32"/>
  <c r="T57" i="32"/>
  <c r="AE57" i="32"/>
  <c r="AF57" i="32"/>
  <c r="AG57" i="32"/>
  <c r="AJ57" i="32"/>
  <c r="AK57" i="32"/>
  <c r="AL57" i="32"/>
  <c r="AM57" i="32"/>
  <c r="AO57" i="32"/>
  <c r="AP57" i="32"/>
  <c r="AS57" i="32"/>
  <c r="AT57" i="32"/>
  <c r="AV57" i="32"/>
  <c r="AW57" i="32"/>
  <c r="N58" i="32"/>
  <c r="T58" i="32"/>
  <c r="AE58" i="32"/>
  <c r="AF58" i="32"/>
  <c r="AG58" i="32"/>
  <c r="AJ58" i="32"/>
  <c r="AK58" i="32"/>
  <c r="AL58" i="32"/>
  <c r="AM58" i="32"/>
  <c r="AO58" i="32"/>
  <c r="AP58" i="32"/>
  <c r="AS58" i="32"/>
  <c r="AT58" i="32"/>
  <c r="AV58" i="32"/>
  <c r="AW58" i="32"/>
  <c r="N59" i="32"/>
  <c r="T59" i="32"/>
  <c r="AE59" i="32"/>
  <c r="AF59" i="32"/>
  <c r="AG59" i="32"/>
  <c r="AJ59" i="32"/>
  <c r="AK59" i="32"/>
  <c r="AL59" i="32"/>
  <c r="AM59" i="32"/>
  <c r="AO59" i="32"/>
  <c r="AP59" i="32"/>
  <c r="AS59" i="32"/>
  <c r="AT59" i="32"/>
  <c r="AV59" i="32"/>
  <c r="AW59" i="32"/>
  <c r="N60" i="32"/>
  <c r="T60" i="32"/>
  <c r="AE60" i="32"/>
  <c r="AF60" i="32"/>
  <c r="AG60" i="32"/>
  <c r="AJ60" i="32"/>
  <c r="AK60" i="32"/>
  <c r="AL60" i="32"/>
  <c r="AM60" i="32"/>
  <c r="AO60" i="32"/>
  <c r="AP60" i="32"/>
  <c r="AS60" i="32"/>
  <c r="AT60" i="32"/>
  <c r="AV60" i="32"/>
  <c r="AW60" i="32"/>
  <c r="N61" i="32"/>
  <c r="T61" i="32"/>
  <c r="AE61" i="32"/>
  <c r="AF61" i="32"/>
  <c r="AG61" i="32"/>
  <c r="AJ61" i="32"/>
  <c r="AK61" i="32"/>
  <c r="AL61" i="32"/>
  <c r="AM61" i="32"/>
  <c r="AO61" i="32"/>
  <c r="AP61" i="32"/>
  <c r="AS61" i="32"/>
  <c r="AT61" i="32"/>
  <c r="AV61" i="32"/>
  <c r="AW61" i="32"/>
  <c r="AW62" i="32"/>
  <c r="N63" i="32"/>
  <c r="T63" i="32"/>
  <c r="AE63" i="32"/>
  <c r="AF63" i="32"/>
  <c r="AG63" i="32"/>
  <c r="AJ63" i="32"/>
  <c r="AK63" i="32"/>
  <c r="AL63" i="32"/>
  <c r="AM63" i="32"/>
  <c r="AO63" i="32"/>
  <c r="AP63" i="32"/>
  <c r="AO65" i="32"/>
  <c r="AP65" i="32"/>
  <c r="AE68" i="32"/>
  <c r="AF68" i="32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3" i="9"/>
  <c r="T63" i="9"/>
  <c r="AE63" i="9"/>
  <c r="AF63" i="9"/>
  <c r="AG63" i="9"/>
  <c r="AJ63" i="9"/>
  <c r="AK63" i="9"/>
  <c r="AL63" i="9"/>
  <c r="AM63" i="9"/>
  <c r="AO63" i="9"/>
  <c r="AP63" i="9"/>
  <c r="AO65" i="9"/>
  <c r="AP6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78C369AD-1317-40E9-8083-83EC61F0A0C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sharedStrings.xml><?xml version="1.0" encoding="utf-8"?>
<sst xmlns="http://schemas.openxmlformats.org/spreadsheetml/2006/main" count="50053" uniqueCount="1357">
  <si>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</si>
  <si>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</si>
  <si>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</si>
  <si>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</si>
  <si>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</si>
  <si>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</si>
  <si>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</si>
  <si>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</si>
  <si>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</si>
  <si>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</si>
  <si>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</si>
  <si>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</si>
  <si>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</si>
  <si>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</si>
  <si>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</si>
  <si>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</si>
  <si>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</si>
  <si>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</si>
  <si>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</si>
  <si>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</si>
  <si>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</si>
  <si>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</si>
  <si>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</si>
  <si>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</si>
  <si>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</si>
  <si>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</si>
  <si>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</si>
  <si>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</si>
  <si>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</si>
  <si>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</si>
  <si>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</si>
  <si>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</si>
  <si>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</si>
  <si>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</si>
  <si>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</si>
  <si>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Fora ponta</t>
  </si>
  <si>
    <t>Branca</t>
  </si>
  <si>
    <t>Ponta</t>
  </si>
  <si>
    <t>Intermediário</t>
  </si>
  <si>
    <t>B3</t>
  </si>
  <si>
    <t>Industrial</t>
  </si>
  <si>
    <t>Azul</t>
  </si>
  <si>
    <t>A3a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</si>
  <si>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</si>
  <si>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</si>
  <si>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</si>
  <si>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</si>
  <si>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</si>
  <si>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</si>
  <si>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</si>
  <si>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</si>
  <si>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</si>
  <si>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</si>
  <si>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LIVRE</t>
  </si>
  <si>
    <t>Fonte incentivada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</si>
  <si>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</si>
  <si>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</si>
  <si>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</si>
  <si>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</si>
  <si>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</si>
  <si>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</si>
  <si>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</si>
  <si>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</si>
  <si>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</si>
  <si>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</si>
  <si>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</si>
  <si>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</si>
  <si>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</si>
  <si>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</si>
  <si>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</si>
  <si>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</si>
  <si>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</si>
  <si>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</si>
  <si>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</si>
  <si>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</si>
  <si>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</si>
  <si>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</si>
  <si>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</si>
  <si>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</si>
  <si>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</si>
  <si>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</si>
  <si>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</si>
  <si>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</si>
  <si>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</si>
  <si>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</si>
  <si>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</si>
  <si>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</si>
  <si>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</si>
  <si>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</si>
  <si>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</si>
  <si>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</si>
  <si>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44562A3aVerdeNão se aplicaNão se aplicaNão se aplicaNão se aplicaFora ponta</t>
  </si>
  <si>
    <t>44621A3aVerdeNão se aplicaNão se aplicaNão se aplicaNão se aplicaFora ponta</t>
  </si>
  <si>
    <t>44652A3aVerdeNão se aplicaNão se aplicaNão se aplicaNão se aplicaFora ponta</t>
  </si>
  <si>
    <t>44531A3aVerdeNão se aplicaNão se aplicaNão se aplicaNão se aplicaNão se aplica</t>
  </si>
  <si>
    <t>44562A3aVerdeNão se aplicaNão se aplicaNão se aplicaNão se aplicaNão se aplica</t>
  </si>
  <si>
    <t>44593A3aVerdeNão se aplicaNão se aplicaNão se aplicaNão se aplicaNão se aplica</t>
  </si>
  <si>
    <t>44621A3aVerdeNão se aplicaNão se aplicaNão se aplicaNão se aplicaNão se aplica</t>
  </si>
  <si>
    <t>44652A3aVerdeNão se aplicaNão se aplicaNão se aplicaNão se aplicaNão se aplica</t>
  </si>
  <si>
    <t>44682A3aVerdeNão se aplicaNão se aplicaNão se aplicaNão se aplicaNão se aplica</t>
  </si>
  <si>
    <t>44562A3aVerdeNão se aplicaNão se aplicaNão se aplicaNão se aplicaPonta</t>
  </si>
  <si>
    <t>44593A3aVerdeNão se aplicaNão se aplicaNão se aplicaNão se aplicaPonta</t>
  </si>
  <si>
    <t>44621A3aVerdeNão se aplicaNão se aplicaNão se aplicaNão se aplicaPonta</t>
  </si>
  <si>
    <t>44652A3aVerdeNão se aplicaNão se aplicaNão se aplicaNão se aplicaPonta</t>
  </si>
  <si>
    <t>44348A3aVerdeNão se aplicaNão se aplicaNão se aplicaNão se aplicaFora ponta</t>
  </si>
  <si>
    <t>44378A3aVerdeNão se aplicaNão se aplicaNão se aplicaNão se aplicaFora ponta</t>
  </si>
  <si>
    <t>44409A3aVerdeNão se aplicaNão se aplicaNão se aplicaNão se aplicaFora ponta</t>
  </si>
  <si>
    <t>44440A3aVerdeNão se aplicaNão se aplicaNão se aplicaNão se aplicaFora ponta</t>
  </si>
  <si>
    <t>44470A3aVerdeNão se aplicaNão se aplicaNão se aplicaNão se aplicaFora ponta</t>
  </si>
  <si>
    <t>44501A3aVerdeNão se aplicaNão se aplicaNão se aplicaNão se aplicaFora ponta</t>
  </si>
  <si>
    <t>44531A3aVerdeNão se aplicaNão se aplicaNão se aplicaNão se aplicaFora ponta</t>
  </si>
  <si>
    <t>44593A3aVerdeNão se aplicaNão se aplicaNão se aplicaNão se aplicaFora ponta</t>
  </si>
  <si>
    <t>44682A3aVerdeNão se aplicaNão se aplicaNão se aplicaNão se aplicaFora ponta</t>
  </si>
  <si>
    <t>44348A3aVerdeNão se aplicaNão se aplicaNão se aplicaNão se aplicaNão se aplica</t>
  </si>
  <si>
    <t>44378A3aVerdeNão se aplicaNão se aplicaNão se aplicaNão se aplicaNão se aplica</t>
  </si>
  <si>
    <t>44409A3aVerdeNão se aplicaNão se aplicaNão se aplicaNão se aplicaNão se aplica</t>
  </si>
  <si>
    <t>44440A3aVerdeNão se aplicaNão se aplicaNão se aplicaNão se aplicaNão se aplica</t>
  </si>
  <si>
    <t>44470A3aVerdeNão se aplicaNão se aplicaNão se aplicaNão se aplicaNão se aplica</t>
  </si>
  <si>
    <t>44501A3aVerdeNão se aplicaNão se aplicaNão se aplicaNão se aplicaNão se aplica</t>
  </si>
  <si>
    <t>44348A3aVerdeNão se aplicaNão se aplicaNão se aplicaNão se aplicaPonta</t>
  </si>
  <si>
    <t>44378A3aVerdeNão se aplicaNão se aplicaNão se aplicaNão se aplicaPonta</t>
  </si>
  <si>
    <t>44409A3aVerdeNão se aplicaNão se aplicaNão se aplicaNão se aplicaPonta</t>
  </si>
  <si>
    <t>44440A3aVerdeNão se aplicaNão se aplicaNão se aplicaNão se aplicaPonta</t>
  </si>
  <si>
    <t>44470A3aVerdeNão se aplicaNão se aplicaNão se aplicaNão se aplicaPonta</t>
  </si>
  <si>
    <t>44501A3aVerdeNão se aplicaNão se aplicaNão se aplicaNão se aplicaPonta</t>
  </si>
  <si>
    <t>44531A3aVerdeNão se aplicaNão se aplicaNão se aplicaNão se aplicaPonta</t>
  </si>
  <si>
    <t>44682A3aVerdeNão se aplicaNão se aplicaNão se aplicaNão se aplicaPonta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</si>
  <si>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</si>
  <si>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</si>
  <si>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</si>
  <si>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</si>
  <si>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</si>
  <si>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</si>
  <si>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</si>
  <si>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</si>
  <si>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</si>
  <si>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</si>
  <si>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</si>
  <si>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</si>
  <si>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</si>
  <si>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</si>
  <si>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</si>
  <si>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</si>
  <si>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</si>
  <si>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</si>
  <si>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</si>
  <si>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</si>
  <si>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</si>
  <si>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</si>
  <si>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</si>
  <si>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</si>
  <si>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</si>
  <si>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</si>
  <si>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</si>
  <si>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</si>
  <si>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</si>
  <si>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</si>
  <si>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</si>
  <si>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</si>
  <si>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</si>
  <si>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</si>
  <si>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</si>
  <si>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</si>
  <si>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</si>
  <si>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</si>
  <si>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</si>
  <si>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</si>
  <si>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</si>
  <si>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</si>
  <si>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</si>
  <si>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</si>
  <si>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</si>
  <si>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</si>
  <si>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</si>
  <si>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</si>
  <si>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</si>
  <si>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</si>
  <si>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</si>
  <si>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</si>
  <si>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</si>
  <si>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</si>
  <si>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</si>
  <si>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</si>
  <si>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</si>
  <si>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</si>
  <si>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</si>
  <si>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</si>
  <si>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</si>
  <si>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</si>
  <si>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</si>
  <si>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</si>
  <si>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</si>
  <si>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</si>
  <si>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</si>
  <si>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</si>
  <si>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</si>
  <si>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</si>
  <si>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</si>
  <si>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</si>
  <si>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</si>
  <si>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</si>
  <si>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</si>
  <si>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</si>
  <si>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</si>
  <si>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</si>
  <si>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</si>
  <si>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</si>
  <si>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</si>
  <si>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</si>
  <si>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</si>
  <si>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</si>
  <si>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</si>
  <si>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</si>
  <si>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</si>
  <si>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</si>
  <si>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</si>
  <si>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</si>
  <si>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</si>
  <si>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</si>
  <si>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</si>
  <si>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</si>
  <si>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</si>
  <si>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</si>
  <si>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</si>
  <si>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</si>
  <si>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</si>
  <si>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</si>
  <si>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</si>
  <si>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</si>
  <si>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</si>
  <si>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</si>
  <si>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</si>
  <si>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</si>
  <si>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</si>
  <si>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</si>
  <si>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</si>
  <si>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</si>
  <si>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</si>
  <si>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</si>
  <si>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</si>
  <si>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</si>
  <si>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</si>
  <si>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</si>
  <si>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</si>
  <si>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</si>
  <si>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</si>
  <si>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</si>
  <si>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</si>
  <si>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</si>
  <si>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</si>
  <si>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</si>
  <si>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</si>
  <si>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</si>
  <si>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</si>
  <si>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</si>
  <si>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</si>
  <si>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</si>
  <si>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</si>
  <si>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</si>
  <si>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</si>
  <si>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</si>
  <si>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</si>
  <si>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</si>
  <si>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</si>
  <si>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</si>
  <si>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</si>
  <si>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</si>
  <si>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</si>
  <si>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</si>
  <si>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</si>
  <si>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</si>
  <si>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</si>
  <si>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</si>
  <si>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</si>
  <si>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</si>
  <si>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</si>
  <si>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</si>
  <si>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</si>
  <si>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</si>
  <si>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</si>
  <si>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</si>
  <si>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</si>
  <si>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</si>
  <si>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</si>
  <si>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</si>
  <si>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</si>
  <si>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</si>
  <si>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</si>
  <si>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</si>
  <si>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</si>
  <si>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</si>
  <si>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</si>
  <si>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</si>
  <si>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</si>
  <si>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</si>
  <si>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</si>
  <si>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</si>
  <si>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</si>
  <si>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</si>
  <si>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</si>
  <si>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</si>
  <si>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</si>
  <si>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</si>
  <si>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</si>
  <si>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</si>
  <si>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</si>
  <si>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</si>
  <si>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</si>
  <si>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</si>
  <si>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</si>
  <si>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</si>
  <si>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</si>
  <si>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</si>
  <si>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</si>
  <si>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</si>
  <si>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</si>
  <si>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</si>
  <si>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</si>
  <si>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</si>
  <si>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</si>
  <si>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</si>
  <si>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</si>
  <si>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</si>
  <si>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</si>
  <si>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</si>
  <si>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</si>
  <si>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</si>
  <si>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</si>
  <si>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</si>
  <si>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</si>
  <si>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</si>
  <si>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</si>
  <si>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</si>
  <si>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</si>
  <si>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</si>
  <si>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</si>
  <si>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</si>
  <si>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</si>
  <si>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</si>
  <si>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</si>
  <si>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</si>
  <si>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</si>
  <si>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</si>
  <si>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</si>
  <si>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</si>
  <si>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</si>
  <si>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</si>
  <si>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</si>
  <si>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</si>
  <si>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</si>
  <si>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</si>
  <si>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</si>
  <si>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</si>
  <si>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</si>
  <si>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</si>
  <si>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</si>
  <si>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</si>
  <si>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</si>
  <si>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CHAVE TE</t>
  </si>
  <si>
    <t>44562A3aEnergia horáriaNão se aplicaNão se aplicaNão se aplicaNão se aplicaFora ponta</t>
  </si>
  <si>
    <t>44621A3aEnergia horáriaNão se aplicaNão se aplicaNão se aplicaNão se aplicaFora ponta</t>
  </si>
  <si>
    <t>44652A3aEnergia horáriaNão se aplicaNão se aplicaNão se aplicaNão se aplicaFora ponta</t>
  </si>
  <si>
    <t>CUIDADO</t>
  </si>
  <si>
    <t>Desculpe, mas não foi encontrado posto Não se aplica, modalidade Energia horária, subgrupo A3a no banco de regras.</t>
  </si>
  <si>
    <t>Mercado_Receita</t>
  </si>
  <si>
    <t>S</t>
  </si>
  <si>
    <t>44562A3aEnergia horáriaNão se aplicaNão se aplicaNão se aplicaNão se aplicaPonta</t>
  </si>
  <si>
    <t>44593A3aEnergia horáriaNão se aplicaNão se aplicaNão se aplicaNão se aplicaPonta</t>
  </si>
  <si>
    <t>44621A3aEnergia horáriaNão se aplicaNão se aplicaNão se aplicaNão se aplicaPonta</t>
  </si>
  <si>
    <t>44652A3aEnergia horáriaNão se aplicaNão se aplicaNão se aplicaNão se aplicaPonta</t>
  </si>
  <si>
    <t>44348A3aEnergia horáriaNão se aplicaNão se aplicaNão se aplicaNão se aplicaFora ponta</t>
  </si>
  <si>
    <t>44378A3aEnergia horáriaNão se aplicaNão se aplicaNão se aplicaNão se aplicaFora ponta</t>
  </si>
  <si>
    <t>44409A3aEnergia horáriaNão se aplicaNão se aplicaNão se aplicaNão se aplicaFora ponta</t>
  </si>
  <si>
    <t>44440A3aEnergia horáriaNão se aplicaNão se aplicaNão se aplicaNão se aplicaFora ponta</t>
  </si>
  <si>
    <t>44470A3aEnergia horáriaNão se aplicaNão se aplicaNão se aplicaNão se aplicaFora ponta</t>
  </si>
  <si>
    <t>44501A3aEnergia horáriaNão se aplicaNão se aplicaNão se aplicaNão se aplicaFora ponta</t>
  </si>
  <si>
    <t>44531A3aEnergia horáriaNão se aplicaNão se aplicaNão se aplicaNão se aplicaFora ponta</t>
  </si>
  <si>
    <t>44593A3aEnergia horáriaNão se aplicaNão se aplicaNão se aplicaNão se aplicaFora ponta</t>
  </si>
  <si>
    <t>44682A3aEnergia horáriaNão se aplicaNão se aplicaNão se aplicaNão se aplicaFora ponta</t>
  </si>
  <si>
    <t>44348A3aEnergia horáriaNão se aplicaNão se aplicaNão se aplicaNão se aplicaPonta</t>
  </si>
  <si>
    <t>44378A3aEnergia horáriaNão se aplicaNão se aplicaNão se aplicaNão se aplicaPonta</t>
  </si>
  <si>
    <t>44409A3aEnergia horáriaNão se aplicaNão se aplicaNão se aplicaNão se aplicaPonta</t>
  </si>
  <si>
    <t>44440A3aEnergia horáriaNão se aplicaNão se aplicaNão se aplicaNão se aplicaPonta</t>
  </si>
  <si>
    <t>44470A3aEnergia horáriaNão se aplicaNão se aplicaNão se aplicaNão se aplicaPonta</t>
  </si>
  <si>
    <t>44501A3aEnergia horáriaNão se aplicaNão se aplicaNão se aplicaNão se aplicaPonta</t>
  </si>
  <si>
    <t>44531A3aEnergia horáriaNão se aplicaNão se aplicaNão se aplicaNão se aplicaPonta</t>
  </si>
  <si>
    <t>44682A3aEnergia horáriaNão se aplicaNão se aplicaNão se aplicaNão se aplicaPonta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</si>
  <si>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</si>
  <si>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</si>
  <si>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</si>
  <si>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</si>
  <si>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</si>
  <si>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</si>
  <si>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</si>
  <si>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</si>
  <si>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</si>
  <si>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</si>
  <si>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</si>
  <si>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</si>
  <si>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</si>
  <si>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</si>
  <si>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</si>
  <si>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</si>
  <si>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</si>
  <si>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</si>
  <si>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</si>
  <si>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</si>
  <si>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</si>
  <si>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</si>
  <si>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</si>
  <si>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</si>
  <si>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Desculpe, mas não foi encontrado posto Não se aplica, modalidade Energia horária, subgrupo A4 no banco de regras.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</si>
  <si>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</si>
  <si>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</si>
  <si>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</si>
  <si>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</si>
  <si>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</si>
  <si>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</si>
  <si>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</si>
  <si>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</si>
  <si>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</si>
  <si>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</si>
  <si>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</si>
  <si>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</si>
  <si>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</si>
  <si>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</si>
  <si>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</si>
  <si>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</si>
  <si>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</si>
  <si>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</si>
  <si>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</si>
  <si>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</si>
  <si>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</si>
  <si>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</si>
  <si>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</si>
  <si>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</si>
  <si>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</si>
  <si>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</si>
  <si>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</si>
  <si>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</si>
  <si>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</si>
  <si>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</si>
  <si>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</si>
  <si>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</si>
  <si>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</si>
  <si>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</si>
  <si>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</si>
  <si>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</si>
  <si>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</si>
  <si>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</si>
  <si>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</si>
  <si>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</si>
  <si>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</si>
  <si>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</si>
  <si>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</si>
  <si>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</si>
  <si>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</si>
  <si>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</si>
  <si>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</si>
  <si>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</si>
  <si>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</si>
  <si>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</si>
  <si>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</si>
  <si>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</si>
  <si>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</si>
  <si>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</si>
  <si>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</si>
  <si>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</si>
  <si>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</si>
  <si>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</si>
  <si>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</si>
  <si>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</si>
  <si>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</si>
  <si>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</si>
  <si>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</si>
  <si>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</si>
  <si>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</si>
  <si>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</si>
  <si>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</si>
  <si>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</si>
  <si>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</si>
  <si>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</si>
  <si>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</si>
  <si>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</si>
  <si>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</si>
  <si>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</si>
  <si>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</si>
  <si>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</si>
  <si>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</si>
  <si>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</si>
  <si>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</si>
  <si>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</si>
  <si>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</si>
  <si>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</si>
  <si>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</si>
  <si>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</si>
  <si>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</si>
  <si>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</si>
  <si>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</si>
  <si>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</si>
  <si>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</si>
  <si>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</si>
  <si>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</si>
  <si>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</si>
  <si>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</si>
  <si>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</si>
  <si>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</si>
  <si>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</si>
  <si>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</si>
  <si>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</si>
  <si>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</si>
  <si>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</si>
  <si>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</si>
  <si>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</si>
  <si>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</si>
  <si>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</si>
  <si>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</si>
  <si>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</si>
  <si>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</si>
  <si>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</si>
  <si>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</si>
  <si>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</si>
  <si>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</si>
  <si>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</si>
  <si>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</si>
  <si>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</si>
  <si>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</si>
  <si>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</si>
  <si>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</si>
  <si>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</si>
  <si>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</si>
  <si>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</si>
  <si>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</si>
  <si>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</si>
  <si>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</si>
  <si>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</si>
  <si>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</si>
  <si>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</si>
  <si>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</si>
  <si>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</si>
  <si>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</si>
  <si>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</si>
  <si>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</si>
  <si>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</si>
  <si>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</si>
  <si>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</si>
  <si>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</si>
  <si>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</si>
  <si>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</si>
  <si>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</si>
  <si>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</si>
  <si>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</si>
  <si>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</si>
  <si>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</si>
  <si>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</si>
  <si>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</si>
  <si>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</si>
  <si>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</si>
  <si>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</si>
  <si>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</si>
  <si>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</si>
  <si>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</si>
  <si>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</si>
  <si>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</si>
  <si>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</si>
  <si>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</si>
  <si>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</si>
  <si>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</si>
  <si>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</si>
  <si>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</si>
  <si>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</si>
  <si>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</si>
  <si>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</si>
  <si>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</si>
  <si>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</si>
  <si>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</si>
  <si>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</si>
  <si>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</si>
  <si>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</si>
  <si>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</si>
  <si>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</si>
  <si>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</si>
  <si>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</si>
  <si>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</si>
  <si>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</si>
  <si>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</si>
  <si>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</si>
  <si>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</si>
  <si>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</si>
  <si>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</si>
  <si>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</si>
  <si>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</si>
  <si>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</si>
  <si>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</si>
  <si>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</si>
  <si>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</si>
  <si>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</si>
  <si>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</si>
  <si>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</si>
  <si>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</si>
  <si>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</si>
  <si>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</si>
  <si>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</si>
  <si>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</si>
  <si>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</si>
  <si>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</si>
  <si>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</si>
  <si>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</si>
  <si>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</si>
  <si>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</si>
  <si>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</si>
  <si>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</si>
  <si>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</si>
  <si>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</si>
  <si>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</si>
  <si>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</si>
  <si>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</si>
  <si>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</si>
  <si>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</si>
  <si>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</si>
  <si>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</si>
  <si>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</si>
  <si>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</si>
  <si>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</si>
  <si>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</si>
  <si>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</si>
  <si>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</si>
  <si>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</si>
  <si>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</si>
  <si>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</si>
  <si>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</si>
  <si>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</si>
  <si>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</si>
  <si>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</si>
  <si>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</si>
  <si>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</si>
  <si>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</si>
  <si>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</si>
  <si>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</si>
  <si>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</si>
  <si>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</si>
  <si>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</si>
  <si>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</si>
  <si>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</si>
  <si>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</si>
  <si>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</si>
  <si>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</si>
  <si>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</si>
  <si>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</si>
  <si>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</si>
  <si>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</si>
  <si>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</si>
  <si>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</si>
  <si>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</si>
  <si>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</si>
  <si>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</si>
  <si>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</si>
  <si>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</si>
  <si>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</si>
  <si>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</si>
  <si>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</si>
  <si>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</si>
  <si>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</si>
  <si>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</si>
  <si>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</si>
  <si>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</si>
  <si>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</si>
  <si>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</si>
  <si>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</si>
  <si>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</si>
  <si>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</si>
  <si>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</si>
  <si>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</si>
  <si>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</si>
  <si>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</si>
  <si>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</si>
  <si>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</si>
  <si>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</si>
  <si>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</si>
  <si>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</si>
  <si>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</si>
  <si>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2.887, DE 22 DE JUNHO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</si>
  <si>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</si>
  <si>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</si>
  <si>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</si>
  <si>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</si>
  <si>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</si>
  <si>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</si>
  <si>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</si>
  <si>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</si>
  <si>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</si>
  <si>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</si>
  <si>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</si>
  <si>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</si>
  <si>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</si>
  <si>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</si>
  <si>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</si>
  <si>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</si>
  <si>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</si>
  <si>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</si>
  <si>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</si>
  <si>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</si>
  <si>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</si>
  <si>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</si>
  <si>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</si>
  <si>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</si>
  <si>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</si>
  <si>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</si>
  <si>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</si>
  <si>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</si>
  <si>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</si>
  <si>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</si>
  <si>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</si>
  <si>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</si>
  <si>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</si>
  <si>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</si>
  <si>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</si>
  <si>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</si>
  <si>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</si>
  <si>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</si>
  <si>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</si>
  <si>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</si>
  <si>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</si>
  <si>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</si>
  <si>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</si>
  <si>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</si>
  <si>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</si>
  <si>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</si>
  <si>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</si>
  <si>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</si>
  <si>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</si>
  <si>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</si>
  <si>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</si>
  <si>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</si>
  <si>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</si>
  <si>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</si>
  <si>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</si>
  <si>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</si>
  <si>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</si>
  <si>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</si>
  <si>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</si>
  <si>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</si>
  <si>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</si>
  <si>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</si>
  <si>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</si>
  <si>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</si>
  <si>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</si>
  <si>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</si>
  <si>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</si>
  <si>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</si>
  <si>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</si>
  <si>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</si>
  <si>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</si>
  <si>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</si>
  <si>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</si>
  <si>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</si>
  <si>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</si>
  <si>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</si>
  <si>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</si>
  <si>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</si>
  <si>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</si>
  <si>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</si>
  <si>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</si>
  <si>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</si>
  <si>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</si>
  <si>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</si>
  <si>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</si>
  <si>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</si>
  <si>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</si>
  <si>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</si>
  <si>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</si>
  <si>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</si>
  <si>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</si>
  <si>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</si>
  <si>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</si>
  <si>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</si>
  <si>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</si>
  <si>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</si>
  <si>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</si>
  <si>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RURAL</t>
  </si>
  <si>
    <t>SUBSIDIO BAIXA RENDA</t>
  </si>
  <si>
    <t>R$ (TV)</t>
  </si>
  <si>
    <t>R$ (TN)</t>
  </si>
  <si>
    <t>SUBSIDIO GERAÇÃO FONTE INCENTIVADA</t>
  </si>
  <si>
    <t>SUBSIDIO DISTRIBUIÇÃO</t>
  </si>
  <si>
    <t>SUBSIDIO IRRIGANTE/AQUICULTOR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</si>
  <si>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</si>
  <si>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</si>
  <si>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</si>
  <si>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</si>
  <si>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</si>
  <si>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</si>
  <si>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</si>
  <si>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</si>
  <si>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</si>
  <si>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</si>
  <si>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</si>
  <si>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</si>
  <si>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</si>
  <si>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</si>
  <si>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</si>
  <si>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</si>
  <si>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</si>
  <si>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</si>
  <si>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</si>
  <si>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</si>
  <si>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</si>
  <si>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</si>
  <si>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</si>
  <si>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</si>
  <si>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</si>
  <si>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</si>
  <si>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</si>
  <si>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</si>
  <si>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</si>
  <si>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</si>
  <si>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</si>
  <si>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</si>
  <si>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</si>
  <si>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</si>
  <si>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</si>
  <si>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</si>
  <si>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</si>
  <si>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</si>
  <si>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</si>
  <si>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</si>
  <si>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</si>
  <si>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</si>
  <si>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</si>
  <si>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</si>
  <si>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</si>
  <si>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</si>
  <si>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</si>
  <si>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</si>
  <si>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</si>
  <si>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</si>
  <si>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</si>
  <si>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</si>
  <si>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</si>
  <si>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</si>
  <si>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</si>
  <si>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</si>
  <si>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</si>
  <si>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</si>
  <si>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</si>
  <si>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</si>
  <si>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</si>
  <si>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</si>
  <si>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</si>
  <si>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</si>
  <si>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</si>
  <si>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</si>
  <si>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</si>
  <si>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</si>
  <si>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</si>
  <si>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</si>
  <si>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</si>
  <si>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</si>
  <si>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</si>
  <si>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</si>
  <si>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</si>
  <si>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</si>
  <si>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</si>
  <si>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</si>
  <si>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</si>
  <si>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</si>
  <si>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</si>
  <si>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</si>
  <si>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</si>
  <si>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</si>
  <si>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</si>
  <si>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</si>
  <si>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</si>
  <si>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</si>
  <si>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</si>
  <si>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</si>
  <si>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</si>
  <si>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</si>
  <si>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</si>
  <si>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</si>
  <si>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</si>
  <si>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</si>
  <si>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</si>
  <si>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</si>
  <si>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A3aAzul</t>
  </si>
  <si>
    <t>A3aAzulNão se aplica</t>
  </si>
  <si>
    <t>A3aAzulNão se aplicaNão se aplica</t>
  </si>
  <si>
    <t>A3aAzulNão se aplicaNão se aplicaNão se aplica</t>
  </si>
  <si>
    <t>A3aAzulNão se aplicaNão se aplicaNão se aplicaNão se aplica</t>
  </si>
  <si>
    <t>A3aAzulNão se aplicaNão se aplicaNão se aplicaNão se aplicaDP</t>
  </si>
  <si>
    <t>A3aAzulNão se aplicaNão se aplicaNão se aplicaNão se aplicaDFP</t>
  </si>
  <si>
    <t>A3aAzulNão se aplicaNão se aplicaNão se aplicaNão se aplicaE</t>
  </si>
  <si>
    <t>A3aAzulNão se aplicaNão se aplicaAPE</t>
  </si>
  <si>
    <t>A3aAzulNão se aplicaNão se aplicaAPENão se aplica</t>
  </si>
  <si>
    <t>A3aAzulNão se aplicaNão se aplicaAPENão se aplicaE</t>
  </si>
  <si>
    <t>A3aGeração</t>
  </si>
  <si>
    <t>A3aGeraçãoNão se aplica</t>
  </si>
  <si>
    <t>A3aGeraçãoNão se aplicaNão se aplica</t>
  </si>
  <si>
    <t>A3aGeraçãoNão se aplicaNão se aplicaNão se aplica</t>
  </si>
  <si>
    <t>A3aGeraçãoNão se aplicaNão se aplicaNão se aplicaNão se aplica</t>
  </si>
  <si>
    <t>A3aGeraçãoNão se aplicaNão se aplicaNão se aplicaNão se aplicaD</t>
  </si>
  <si>
    <t>A3aVerde</t>
  </si>
  <si>
    <t>A3aVerdeNão se aplica</t>
  </si>
  <si>
    <t>A3aVerdeNão se aplicaNão se aplica</t>
  </si>
  <si>
    <t>A3aVerdeNão se aplicaNão se aplicaNão se aplica</t>
  </si>
  <si>
    <t>A3aVerdeNão se aplicaNão se aplicaNão se aplicaNão se aplica</t>
  </si>
  <si>
    <t>A3aVerdeNão se aplicaNão se aplicaNão se aplicaNão se aplicaD</t>
  </si>
  <si>
    <t>A3aVerdeNão se aplicaNão se aplicaNão se aplicaNão se aplicaEP</t>
  </si>
  <si>
    <t>A3aVerdeNão se aplicaNão se aplicaNão se aplicaNão se aplicaEFP</t>
  </si>
  <si>
    <t>A3aVerdeNão se aplicaNão se aplicaAPE</t>
  </si>
  <si>
    <t>A3aVerdeNão se aplicaNão se aplicaAPENão se aplica</t>
  </si>
  <si>
    <t>A3aVerdeNão se aplicaNão se aplicaAPENão se aplicaEP</t>
  </si>
  <si>
    <t>A3aVerdeNão se aplicaNão se aplicaAPENão se aplicaEFP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</si>
  <si>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</si>
  <si>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</si>
  <si>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</si>
  <si>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</si>
  <si>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</si>
  <si>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</si>
  <si>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</si>
  <si>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</si>
  <si>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</si>
  <si>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</si>
  <si>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</si>
  <si>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</si>
  <si>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</si>
  <si>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</si>
  <si>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</si>
  <si>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</si>
  <si>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</si>
  <si>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</si>
  <si>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</si>
  <si>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</si>
  <si>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</si>
  <si>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</si>
  <si>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</si>
  <si>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</si>
  <si>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</si>
  <si>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</si>
  <si>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</si>
  <si>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</si>
  <si>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</si>
  <si>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</si>
  <si>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</si>
  <si>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</si>
  <si>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</si>
  <si>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</si>
  <si>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</si>
  <si>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</si>
  <si>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</si>
  <si>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</si>
  <si>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</si>
  <si>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</si>
  <si>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</si>
  <si>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</si>
  <si>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</si>
  <si>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</si>
  <si>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</si>
  <si>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</si>
  <si>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</si>
  <si>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</si>
  <si>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</si>
  <si>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</si>
  <si>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</si>
  <si>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</si>
  <si>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</si>
  <si>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</si>
  <si>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</si>
  <si>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</si>
  <si>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</si>
  <si>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</si>
  <si>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</si>
  <si>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</si>
  <si>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</si>
  <si>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</si>
  <si>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</si>
  <si>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</si>
  <si>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</si>
  <si>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</si>
  <si>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</si>
  <si>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</si>
  <si>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</si>
  <si>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</si>
  <si>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</si>
  <si>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</si>
  <si>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</si>
  <si>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</si>
  <si>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</si>
  <si>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</si>
  <si>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</si>
  <si>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</si>
  <si>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</si>
  <si>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</si>
  <si>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</si>
  <si>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</si>
  <si>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</si>
  <si>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</si>
  <si>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</si>
  <si>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</si>
  <si>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</si>
  <si>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</si>
  <si>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</si>
  <si>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</si>
  <si>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</si>
  <si>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</si>
  <si>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</si>
  <si>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</si>
  <si>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</si>
  <si>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</si>
  <si>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</si>
  <si>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</si>
  <si>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</si>
  <si>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</si>
  <si>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</si>
  <si>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</si>
  <si>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</si>
  <si>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</si>
  <si>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</si>
  <si>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</si>
  <si>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</si>
  <si>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</si>
  <si>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</si>
  <si>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</si>
  <si>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</si>
  <si>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</si>
  <si>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</si>
  <si>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</si>
  <si>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</si>
  <si>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</si>
  <si>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</si>
  <si>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</si>
  <si>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</si>
  <si>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</si>
  <si>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</si>
  <si>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</si>
  <si>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</si>
  <si>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</si>
  <si>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</si>
  <si>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</si>
  <si>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</si>
  <si>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</si>
  <si>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</si>
  <si>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</si>
  <si>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</si>
  <si>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</si>
  <si>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</si>
  <si>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</si>
  <si>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</si>
  <si>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</si>
  <si>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</si>
  <si>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</si>
  <si>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</si>
  <si>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</si>
  <si>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</si>
  <si>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</si>
  <si>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</si>
  <si>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</si>
  <si>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</si>
  <si>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</si>
  <si>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</si>
  <si>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</si>
  <si>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</si>
  <si>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</si>
  <si>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</si>
  <si>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</si>
  <si>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</si>
  <si>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</si>
  <si>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</si>
  <si>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</si>
  <si>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</si>
  <si>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</si>
  <si>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</si>
  <si>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</si>
  <si>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</si>
  <si>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</si>
  <si>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</si>
  <si>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</si>
  <si>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</si>
  <si>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</si>
  <si>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</si>
  <si>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</si>
  <si>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</si>
  <si>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</si>
  <si>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A3aEnergia horária</t>
  </si>
  <si>
    <t>A3aEnergia horáriaNão se aplica</t>
  </si>
  <si>
    <t>A3aEnergia horáriaNão se aplicaNão se aplica</t>
  </si>
  <si>
    <t>A3aEnergia horáriaNão se aplicaNão se aplicaNão se aplica</t>
  </si>
  <si>
    <t>A3aEnergia horáriaNão se aplicaNão se aplicaNão se aplicaNão se aplica</t>
  </si>
  <si>
    <t>A3aEnergia horáriaNão se aplicaNão se aplicaNão se aplicaNão se aplicaEP</t>
  </si>
  <si>
    <t>A3aEnergia horáriaNão se aplicaNão se aplicaNão se aplicaNão se aplicaEFP</t>
  </si>
  <si>
    <t>A3aEnergia convencional</t>
  </si>
  <si>
    <t>A3aEnergia convencionalNão se aplica</t>
  </si>
  <si>
    <t>A3aEnergia convencionalNão se aplicaNão se aplica</t>
  </si>
  <si>
    <t>A3aEnergia convencionalNão se aplicaNão se aplicaNão se aplica</t>
  </si>
  <si>
    <t>A3aEnergia convencionalNão se aplicaNão se aplicaNão se aplicaNão se aplica</t>
  </si>
  <si>
    <t>A3aEnergia convencionalNão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</si>
  <si>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</si>
  <si>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</si>
  <si>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</si>
  <si>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</si>
  <si>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</si>
  <si>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</si>
  <si>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</si>
  <si>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</si>
  <si>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</si>
  <si>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</si>
  <si>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</si>
  <si>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</si>
  <si>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</si>
  <si>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</si>
  <si>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</si>
  <si>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</si>
  <si>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</si>
  <si>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</si>
  <si>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</si>
  <si>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</si>
  <si>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</si>
  <si>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</si>
  <si>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</si>
  <si>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</si>
  <si>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</si>
  <si>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</si>
  <si>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</si>
  <si>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</si>
  <si>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</si>
  <si>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</si>
  <si>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</si>
  <si>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</si>
  <si>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</si>
  <si>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</si>
  <si>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</si>
  <si>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</si>
  <si>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</si>
  <si>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</si>
  <si>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</si>
  <si>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</si>
  <si>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</si>
  <si>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</si>
  <si>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</si>
  <si>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</si>
  <si>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</si>
  <si>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</si>
  <si>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</si>
  <si>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</si>
  <si>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</si>
  <si>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</si>
  <si>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</si>
  <si>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</si>
  <si>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</si>
  <si>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</si>
  <si>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</si>
  <si>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</si>
  <si>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</si>
  <si>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</si>
  <si>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</si>
  <si>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</si>
  <si>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</si>
  <si>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</si>
  <si>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</si>
  <si>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</si>
  <si>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</si>
  <si>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</si>
  <si>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</si>
  <si>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</si>
  <si>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</si>
  <si>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</si>
  <si>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</si>
  <si>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</si>
  <si>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</si>
  <si>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</si>
  <si>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</si>
  <si>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</si>
  <si>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</si>
  <si>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</si>
  <si>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</si>
  <si>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</si>
  <si>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</si>
  <si>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</si>
  <si>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</si>
  <si>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</si>
  <si>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</si>
  <si>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</si>
  <si>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</si>
  <si>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</si>
  <si>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</si>
  <si>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</si>
  <si>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</si>
  <si>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</si>
  <si>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</si>
  <si>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</si>
  <si>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</si>
  <si>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</si>
  <si>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</si>
  <si>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</si>
  <si>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</si>
  <si>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</si>
  <si>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</si>
  <si>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</si>
  <si>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</si>
  <si>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</si>
  <si>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</si>
  <si>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</si>
  <si>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</si>
  <si>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</si>
  <si>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</si>
  <si>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</si>
  <si>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</si>
  <si>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</si>
  <si>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</si>
  <si>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</si>
  <si>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</si>
  <si>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</si>
  <si>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</si>
  <si>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</si>
  <si>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</si>
  <si>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</si>
  <si>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</si>
  <si>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</si>
  <si>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</si>
  <si>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</si>
  <si>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</si>
  <si>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</si>
  <si>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</si>
  <si>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</si>
  <si>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</si>
  <si>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</si>
  <si>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</si>
  <si>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</si>
  <si>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</si>
  <si>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</si>
  <si>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</si>
  <si>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</si>
  <si>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</si>
  <si>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</si>
  <si>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</si>
  <si>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</si>
  <si>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</si>
  <si>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</si>
  <si>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</si>
  <si>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</si>
  <si>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</si>
  <si>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</si>
  <si>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</si>
  <si>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</si>
  <si>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</si>
  <si>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</si>
  <si>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</si>
  <si>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</si>
  <si>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</si>
  <si>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</si>
  <si>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</si>
  <si>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</si>
  <si>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</si>
  <si>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</si>
  <si>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</si>
  <si>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</si>
  <si>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</si>
  <si>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</si>
  <si>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</si>
  <si>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</si>
  <si>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</si>
  <si>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</si>
  <si>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</si>
  <si>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</si>
  <si>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</si>
  <si>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IdAgente</t>
  </si>
  <si>
    <t>Ano</t>
  </si>
  <si>
    <t>MERCADO Cocel</t>
  </si>
  <si>
    <t>TARIFAS Cocel</t>
  </si>
  <si>
    <t>TARIFAS Adjacente (Copel-DIS)</t>
  </si>
  <si>
    <t>RECEITA Cocel</t>
  </si>
  <si>
    <t>RECEITA Adjacente (Copel-DIS)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</si>
  <si>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</si>
  <si>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</si>
  <si>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</si>
  <si>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</si>
  <si>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</si>
  <si>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</si>
  <si>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</si>
  <si>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</si>
  <si>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</si>
  <si>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TARIFAS TUSD</t>
  </si>
  <si>
    <t>TARIFAS TE</t>
  </si>
  <si>
    <t>TARIFAS TOTAIS</t>
  </si>
  <si>
    <t>TARIFA B1 Resid.</t>
  </si>
  <si>
    <t>B1 Convenc.</t>
  </si>
  <si>
    <t>Tarifa</t>
  </si>
  <si>
    <t>Variável de Controle</t>
  </si>
  <si>
    <t>Aplica a Lei?</t>
  </si>
  <si>
    <t>Variável Controle TUSD</t>
  </si>
  <si>
    <t>Tarifa Adjacente</t>
  </si>
  <si>
    <t>GERDAU AÇOS LONGOS - COPEL</t>
  </si>
  <si>
    <t>PERÓXIDOS DO BRASIL</t>
  </si>
  <si>
    <t>WHB FUNDIÇÃO</t>
  </si>
  <si>
    <t>LINDE GASES</t>
  </si>
  <si>
    <t>Distribuição</t>
  </si>
  <si>
    <t>Cocel</t>
  </si>
  <si>
    <t>ESS</t>
  </si>
  <si>
    <t>UTE SANTA TEREZINHA PARANACITY</t>
  </si>
  <si>
    <t>UTE BIO COOPCANA</t>
  </si>
  <si>
    <t>UTE SANTA TEREZINHA</t>
  </si>
  <si>
    <t>UTE ALTO ALEGRE - UJU</t>
  </si>
  <si>
    <t>UTE USACIGA</t>
  </si>
  <si>
    <t>UTE USI</t>
  </si>
  <si>
    <t>UTE UFL</t>
  </si>
  <si>
    <t>UTE USI BIO</t>
  </si>
  <si>
    <t>UTE UJU BIO</t>
  </si>
  <si>
    <t>UTE FIGUEIRA</t>
  </si>
  <si>
    <t>PCH ARTURO ANDREOLI</t>
  </si>
  <si>
    <t>UHE FUNDAO</t>
  </si>
  <si>
    <t>UHE SANTA CLARA 28361</t>
  </si>
  <si>
    <t>PCH NOVO HORIZONTE</t>
  </si>
  <si>
    <t>PCH LUDESA</t>
  </si>
  <si>
    <t>PCH VICTOR BAPTISTA ADAMI</t>
  </si>
  <si>
    <t>PCH CANTU 2</t>
  </si>
  <si>
    <t>PCH SANTA LUZIA ALTO</t>
  </si>
  <si>
    <t>PCH CAVERNOSO II</t>
  </si>
  <si>
    <t>PCH CANHADAO</t>
  </si>
  <si>
    <t>UHE TIBAGI MONTANTE</t>
  </si>
  <si>
    <t>PCH MACACOS</t>
  </si>
  <si>
    <t>PCH FORQUILHA</t>
  </si>
  <si>
    <t>PCH BELA VISTA</t>
  </si>
  <si>
    <t>PCH INVERNADINHA</t>
  </si>
  <si>
    <t>PCH DOIS SALTOS</t>
  </si>
  <si>
    <t>UHE SANTA BRANCA</t>
  </si>
  <si>
    <t>BOA VISTA II</t>
  </si>
  <si>
    <t>UTE DESTILARIA MELHORAMENTOS</t>
  </si>
  <si>
    <t>PCH FOZ DO ESTRELA</t>
  </si>
  <si>
    <t>NOVO GERADOR</t>
  </si>
  <si>
    <t>PCH CONFLUENCIA</t>
  </si>
  <si>
    <t>CPFL Santa Cruz</t>
  </si>
  <si>
    <t>Celesc-DIS</t>
  </si>
  <si>
    <t>Forcel</t>
  </si>
  <si>
    <t>Tarifa Cocel</t>
  </si>
  <si>
    <t>Nova Componente</t>
  </si>
  <si>
    <t>Subvenção</t>
  </si>
  <si>
    <t>Energia suprimento concessionária</t>
  </si>
  <si>
    <t>&lt;500GWh</t>
  </si>
  <si>
    <t>Energia suprimento permissionária</t>
  </si>
  <si>
    <t>IMP IMPORTACAO ANDE</t>
  </si>
  <si>
    <t>Ceral DIS</t>
  </si>
  <si>
    <t>Castro - DIS</t>
  </si>
  <si>
    <t>UHE SANTA BRANCA 35290</t>
  </si>
  <si>
    <t>Mudou?</t>
  </si>
  <si>
    <t>Receita</t>
  </si>
  <si>
    <t>Subsidio</t>
  </si>
  <si>
    <t>Tarifa Original</t>
  </si>
  <si>
    <t>Efeito COPEL</t>
  </si>
  <si>
    <t>Total Geral</t>
  </si>
  <si>
    <t>Rótulos de Coluna</t>
  </si>
  <si>
    <t>jan</t>
  </si>
  <si>
    <t>fev</t>
  </si>
  <si>
    <t>mar</t>
  </si>
  <si>
    <t>abr</t>
  </si>
  <si>
    <t>mai</t>
  </si>
  <si>
    <t>Soma de TUSD_Eaj</t>
  </si>
  <si>
    <t>Tarifa Copel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</si>
</sst>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.00_);_(* \(#,##0.00\);_(* &quot;-&quot;??_);_(@_)"/>
    <numFmt numFmtId="166" formatCode="#,##0.00%_);[Red]\(#,##0.00%\)"/>
    <numFmt numFmtId="167" formatCode="#0.00%;[Red]#0.00%"/>
    <numFmt numFmtId="168" formatCode="0.00%_);[Red]\(0.00%\)"/>
    <numFmt numFmtId="169" formatCode="#,##0.00_);[Red]\(#,##0.00\)"/>
    <numFmt numFmtId="170" formatCode="#,##0.00_ ;[Red]\-#,##0.00\ "/>
    <numFmt numFmtId="171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8"/>
      <color theme="0" tint="-0.34998626667073579"/>
      <name val="Arial"/>
      <family val="2"/>
    </font>
    <font>
      <sz val="8"/>
      <color theme="0" tint="-0.34998626667073579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8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6" fontId="3" fillId="0" borderId="0" xfId="0" applyNumberFormat="1" applyFont="1"/>
    <xf numFmtId="40" fontId="3" fillId="3" borderId="1" xfId="0" applyNumberFormat="1" applyFont="1" applyFill="1" applyBorder="1" applyAlignment="1">
      <alignment vertical="center"/>
    </xf>
    <xf numFmtId="170" fontId="3" fillId="0" borderId="0" xfId="0" applyNumberFormat="1" applyFont="1"/>
    <xf numFmtId="40" fontId="9" fillId="4" borderId="13" xfId="0" applyNumberFormat="1" applyFont="1" applyFill="1" applyBorder="1" applyAlignment="1">
      <alignment horizontal="center" vertical="center"/>
    </xf>
    <xf numFmtId="40" fontId="10" fillId="4" borderId="13" xfId="0" applyNumberFormat="1" applyFont="1" applyFill="1" applyBorder="1" applyAlignment="1">
      <alignment horizontal="center" vertical="center"/>
    </xf>
    <xf numFmtId="40" fontId="3" fillId="5" borderId="13" xfId="0" applyNumberFormat="1" applyFont="1" applyFill="1" applyBorder="1" applyAlignment="1">
      <alignment horizontal="center" vertical="center"/>
    </xf>
    <xf numFmtId="169" fontId="3" fillId="0" borderId="0" xfId="0" applyNumberFormat="1" applyFont="1"/>
    <xf numFmtId="170" fontId="1" fillId="0" borderId="0" xfId="0" applyNumberFormat="1" applyFont="1" applyAlignment="1">
      <alignment horizontal="center" vertical="center"/>
    </xf>
    <xf numFmtId="165" fontId="1" fillId="0" borderId="0" xfId="1" applyFont="1" applyAlignment="1">
      <alignment horizontal="center" vertical="center"/>
    </xf>
    <xf numFmtId="166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10" fontId="3" fillId="0" borderId="0" xfId="0" applyNumberFormat="1" applyFont="1"/>
    <xf numFmtId="2" fontId="11" fillId="6" borderId="15" xfId="0" applyNumberFormat="1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left" vertical="center" indent="1"/>
    </xf>
    <xf numFmtId="4" fontId="11" fillId="7" borderId="0" xfId="0" applyNumberFormat="1" applyFont="1" applyFill="1" applyAlignment="1">
      <alignment vertical="center"/>
    </xf>
    <xf numFmtId="0" fontId="11" fillId="7" borderId="0" xfId="0" applyFont="1" applyFill="1" applyAlignment="1">
      <alignment horizontal="left" vertical="center" indent="1"/>
    </xf>
    <xf numFmtId="10" fontId="11" fillId="6" borderId="0" xfId="0" applyNumberFormat="1" applyFont="1" applyFill="1" applyAlignment="1">
      <alignment vertical="center"/>
    </xf>
    <xf numFmtId="0" fontId="11" fillId="6" borderId="0" xfId="0" applyFont="1" applyFill="1" applyAlignment="1">
      <alignment horizontal="left" vertical="center" indent="1"/>
    </xf>
    <xf numFmtId="10" fontId="11" fillId="7" borderId="0" xfId="0" applyNumberFormat="1" applyFont="1" applyFill="1" applyAlignment="1">
      <alignment vertical="center"/>
    </xf>
    <xf numFmtId="0" fontId="12" fillId="8" borderId="16" xfId="0" applyFont="1" applyFill="1" applyBorder="1" applyAlignment="1">
      <alignment horizontal="center" vertical="center"/>
    </xf>
    <xf numFmtId="40" fontId="11" fillId="6" borderId="15" xfId="0" applyNumberFormat="1" applyFont="1" applyFill="1" applyBorder="1" applyAlignment="1">
      <alignment horizontal="center" vertical="center"/>
    </xf>
    <xf numFmtId="171" fontId="11" fillId="7" borderId="0" xfId="0" applyNumberFormat="1" applyFont="1" applyFill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6" fillId="0" borderId="0" xfId="0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4" xfId="0" applyBorder="1"/>
    <xf numFmtId="165" fontId="0" fillId="0" borderId="20" xfId="1" applyFont="1" applyBorder="1"/>
    <xf numFmtId="165" fontId="0" fillId="0" borderId="24" xfId="1" applyFont="1" applyBorder="1"/>
    <xf numFmtId="165" fontId="0" fillId="0" borderId="13" xfId="1" applyFont="1" applyBorder="1"/>
    <xf numFmtId="165" fontId="0" fillId="0" borderId="25" xfId="1" applyFont="1" applyBorder="1"/>
    <xf numFmtId="165" fontId="0" fillId="0" borderId="22" xfId="1" applyFont="1" applyBorder="1"/>
    <xf numFmtId="165" fontId="0" fillId="0" borderId="26" xfId="1" applyFont="1" applyBorder="1"/>
    <xf numFmtId="165" fontId="0" fillId="0" borderId="10" xfId="1" applyFont="1" applyBorder="1"/>
    <xf numFmtId="165" fontId="0" fillId="0" borderId="27" xfId="1" applyFont="1" applyBorder="1"/>
    <xf numFmtId="0" fontId="0" fillId="0" borderId="27" xfId="0" applyBorder="1"/>
    <xf numFmtId="0" fontId="0" fillId="0" borderId="23" xfId="0" applyBorder="1"/>
    <xf numFmtId="0" fontId="0" fillId="0" borderId="29" xfId="0" applyBorder="1"/>
    <xf numFmtId="165" fontId="0" fillId="0" borderId="28" xfId="1" applyFont="1" applyBorder="1"/>
    <xf numFmtId="165" fontId="0" fillId="2" borderId="13" xfId="1" applyFont="1" applyFill="1" applyBorder="1"/>
    <xf numFmtId="43" fontId="0" fillId="0" borderId="0" xfId="0" applyNumberFormat="1"/>
    <xf numFmtId="2" fontId="0" fillId="0" borderId="0" xfId="0" applyNumberFormat="1"/>
    <xf numFmtId="0" fontId="0" fillId="2" borderId="0" xfId="0" applyFill="1"/>
    <xf numFmtId="170" fontId="3" fillId="0" borderId="0" xfId="0" applyNumberFormat="1" applyFont="1" applyAlignment="1">
      <alignment vertical="center"/>
    </xf>
    <xf numFmtId="164" fontId="3" fillId="0" borderId="0" xfId="2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0" xfId="0" applyNumberFormat="1" applyFont="1"/>
    <xf numFmtId="164" fontId="3" fillId="0" borderId="0" xfId="2" applyFont="1"/>
    <xf numFmtId="167" fontId="1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4" fontId="1" fillId="0" borderId="0" xfId="2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6" fillId="9" borderId="30" xfId="0" applyFont="1" applyFill="1" applyBorder="1"/>
    <xf numFmtId="0" fontId="6" fillId="0" borderId="30" xfId="0" applyFont="1" applyBorder="1" applyAlignment="1">
      <alignment horizontal="left"/>
    </xf>
    <xf numFmtId="0" fontId="6" fillId="0" borderId="30" xfId="0" applyFont="1" applyBorder="1"/>
    <xf numFmtId="0" fontId="6" fillId="0" borderId="0" xfId="0" applyFont="1" applyAlignment="1">
      <alignment horizontal="left" indent="1"/>
    </xf>
    <xf numFmtId="164" fontId="0" fillId="0" borderId="0" xfId="2" applyFont="1"/>
    <xf numFmtId="164" fontId="6" fillId="0" borderId="0" xfId="0" applyNumberFormat="1" applyFont="1"/>
    <xf numFmtId="0" fontId="3" fillId="2" borderId="0" xfId="0" applyFont="1" applyFill="1" applyAlignment="1">
      <alignment horizontal="center" vertical="center"/>
    </xf>
    <xf numFmtId="10" fontId="1" fillId="0" borderId="0" xfId="3" applyNumberFormat="1" applyFont="1" applyAlignment="1">
      <alignment horizontal="center" vertical="center"/>
    </xf>
    <xf numFmtId="165" fontId="0" fillId="0" borderId="0" xfId="0" applyNumberFormat="1"/>
    <xf numFmtId="40" fontId="3" fillId="2" borderId="0" xfId="0" applyNumberFormat="1" applyFont="1" applyFill="1" applyAlignment="1">
      <alignment vertical="center"/>
    </xf>
    <xf numFmtId="0" fontId="6" fillId="9" borderId="0" xfId="0" applyFont="1" applyFill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horizontal="center" vertical="center" wrapText="1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1112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8" formatCode="0.00%_);[Red]\(0.00%\)"/>
    </dxf>
    <dxf>
      <numFmt numFmtId="168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2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2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2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-8.4436055176830473E-3</c:v>
                </c:pt>
                <c:pt idx="1">
                  <c:v>2.5842394962340267E-4</c:v>
                </c:pt>
                <c:pt idx="2">
                  <c:v>1.3855463990538534E-3</c:v>
                </c:pt>
                <c:pt idx="3">
                  <c:v>0</c:v>
                </c:pt>
                <c:pt idx="4">
                  <c:v>0</c:v>
                </c:pt>
                <c:pt idx="5">
                  <c:v>0.17632031655146466</c:v>
                </c:pt>
                <c:pt idx="6">
                  <c:v>3.7623202609426407E-2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4.6278952469971213E-2</c:v>
                </c:pt>
                <c:pt idx="13">
                  <c:v>0</c:v>
                </c:pt>
                <c:pt idx="14">
                  <c:v>0</c:v>
                </c:pt>
                <c:pt idx="15">
                  <c:v>5.1500629930822529E-2</c:v>
                </c:pt>
                <c:pt idx="16">
                  <c:v>0</c:v>
                </c:pt>
                <c:pt idx="17">
                  <c:v>0</c:v>
                </c:pt>
                <c:pt idx="18">
                  <c:v>-3.9868079634321823E-3</c:v>
                </c:pt>
                <c:pt idx="19">
                  <c:v>1.1131293610974189E-4</c:v>
                </c:pt>
                <c:pt idx="20">
                  <c:v>-6.5923695310350628E-4</c:v>
                </c:pt>
                <c:pt idx="21">
                  <c:v>-7.2159918847502545E-5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9-4B5F-9F06-FE1A59CA9E70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-9.1807925279183446E-3</c:v>
                </c:pt>
                <c:pt idx="1">
                  <c:v>3.3366471348712307E-4</c:v>
                </c:pt>
                <c:pt idx="2">
                  <c:v>2.0436813415010946E-3</c:v>
                </c:pt>
                <c:pt idx="3">
                  <c:v>0</c:v>
                </c:pt>
                <c:pt idx="4">
                  <c:v>0</c:v>
                </c:pt>
                <c:pt idx="5">
                  <c:v>0.1828682946598604</c:v>
                </c:pt>
                <c:pt idx="6">
                  <c:v>4.2669939471153523E-2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0.12299091755726937</c:v>
                </c:pt>
                <c:pt idx="13">
                  <c:v>0</c:v>
                </c:pt>
                <c:pt idx="14">
                  <c:v>0</c:v>
                </c:pt>
                <c:pt idx="15">
                  <c:v>9.0264493051382191E-2</c:v>
                </c:pt>
                <c:pt idx="16">
                  <c:v>0</c:v>
                </c:pt>
                <c:pt idx="17">
                  <c:v>0</c:v>
                </c:pt>
                <c:pt idx="18">
                  <c:v>-2.3688707593652724E-3</c:v>
                </c:pt>
                <c:pt idx="19">
                  <c:v>6.278045872920327E-5</c:v>
                </c:pt>
                <c:pt idx="20">
                  <c:v>9.749839343716198E-5</c:v>
                </c:pt>
                <c:pt idx="21">
                  <c:v>5.8682806685343922E-5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9-4B5F-9F06-FE1A59CA9E70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-9.1807925279183446E-3</c:v>
                </c:pt>
                <c:pt idx="1">
                  <c:v>3.3366471348712307E-4</c:v>
                </c:pt>
                <c:pt idx="2">
                  <c:v>2.0436813415010946E-3</c:v>
                </c:pt>
                <c:pt idx="3">
                  <c:v>0</c:v>
                </c:pt>
                <c:pt idx="4">
                  <c:v>0</c:v>
                </c:pt>
                <c:pt idx="5">
                  <c:v>0.1828682946598604</c:v>
                </c:pt>
                <c:pt idx="6">
                  <c:v>4.2669939471153523E-2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0.12299091755726937</c:v>
                </c:pt>
                <c:pt idx="13">
                  <c:v>0</c:v>
                </c:pt>
                <c:pt idx="14">
                  <c:v>0</c:v>
                </c:pt>
                <c:pt idx="15">
                  <c:v>9.0264493051382191E-2</c:v>
                </c:pt>
                <c:pt idx="16">
                  <c:v>0</c:v>
                </c:pt>
                <c:pt idx="17">
                  <c:v>0</c:v>
                </c:pt>
                <c:pt idx="18">
                  <c:v>-2.3688707593652724E-3</c:v>
                </c:pt>
                <c:pt idx="19">
                  <c:v>6.278045872920327E-5</c:v>
                </c:pt>
                <c:pt idx="20">
                  <c:v>9.749839343716198E-5</c:v>
                </c:pt>
                <c:pt idx="21">
                  <c:v>5.8682806685343922E-5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9-4B5F-9F06-FE1A59CA9E7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E79-4B5F-9F06-FE1A59CA9E7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E79-4B5F-9F06-FE1A59CA9E7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E79-4B5F-9F06-FE1A59CA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846032"/>
        <c:axId val="955848000"/>
      </c:radarChart>
      <c:catAx>
        <c:axId val="95584603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55848000"/>
        <c:crosses val="autoZero"/>
        <c:auto val="1"/>
        <c:lblAlgn val="ctr"/>
        <c:lblOffset val="100"/>
        <c:noMultiLvlLbl val="0"/>
      </c:catAx>
      <c:valAx>
        <c:axId val="95584800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5584603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-6.5635257151515065E-4</c:v>
                </c:pt>
                <c:pt idx="1">
                  <c:v>3.6714470461986566E-2</c:v>
                </c:pt>
                <c:pt idx="2">
                  <c:v>0</c:v>
                </c:pt>
                <c:pt idx="3">
                  <c:v>2.0256799211952073E-2</c:v>
                </c:pt>
                <c:pt idx="4">
                  <c:v>-5.5185426864382943E-2</c:v>
                </c:pt>
                <c:pt idx="5">
                  <c:v>-7.0238850373517819E-2</c:v>
                </c:pt>
                <c:pt idx="6">
                  <c:v>-3.928305074705783E-4</c:v>
                </c:pt>
                <c:pt idx="7">
                  <c:v>-1.6145758972723533E-2</c:v>
                </c:pt>
                <c:pt idx="8">
                  <c:v>0</c:v>
                </c:pt>
                <c:pt idx="9">
                  <c:v>0</c:v>
                </c:pt>
                <c:pt idx="10">
                  <c:v>1.6350594471339107E-3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6-4F2C-8D6F-AF5BCA59652F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-6.816476060539804E-4</c:v>
                </c:pt>
                <c:pt idx="1">
                  <c:v>3.6975115641795328E-2</c:v>
                </c:pt>
                <c:pt idx="2">
                  <c:v>0</c:v>
                </c:pt>
                <c:pt idx="3">
                  <c:v>2.0458046112979099E-2</c:v>
                </c:pt>
                <c:pt idx="4">
                  <c:v>-5.5733682095730555E-2</c:v>
                </c:pt>
                <c:pt idx="5">
                  <c:v>-7.1635436584300743E-2</c:v>
                </c:pt>
                <c:pt idx="6">
                  <c:v>-4.6698061448509484E-4</c:v>
                </c:pt>
                <c:pt idx="7">
                  <c:v>-1.63847361934885E-2</c:v>
                </c:pt>
                <c:pt idx="8">
                  <c:v>0</c:v>
                </c:pt>
                <c:pt idx="9">
                  <c:v>0</c:v>
                </c:pt>
                <c:pt idx="10">
                  <c:v>1.6046873156724383E-3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06-4F2C-8D6F-AF5BCA59652F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-6.816476060539804E-4</c:v>
                </c:pt>
                <c:pt idx="1">
                  <c:v>3.6975115641795328E-2</c:v>
                </c:pt>
                <c:pt idx="2">
                  <c:v>0</c:v>
                </c:pt>
                <c:pt idx="3">
                  <c:v>2.0458046112979099E-2</c:v>
                </c:pt>
                <c:pt idx="4">
                  <c:v>-5.5733682095730555E-2</c:v>
                </c:pt>
                <c:pt idx="5">
                  <c:v>-7.1635436584300743E-2</c:v>
                </c:pt>
                <c:pt idx="6">
                  <c:v>-4.6698061448509484E-4</c:v>
                </c:pt>
                <c:pt idx="7">
                  <c:v>-1.63847361934885E-2</c:v>
                </c:pt>
                <c:pt idx="8">
                  <c:v>0</c:v>
                </c:pt>
                <c:pt idx="9">
                  <c:v>0</c:v>
                </c:pt>
                <c:pt idx="10">
                  <c:v>1.6046873156724383E-3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06-4F2C-8D6F-AF5BCA59652F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806-4F2C-8D6F-AF5BCA59652F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806-4F2C-8D6F-AF5BCA59652F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806-4F2C-8D6F-AF5BCA596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432360"/>
        <c:axId val="952431704"/>
      </c:radarChart>
      <c:catAx>
        <c:axId val="9524323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52431704"/>
        <c:crosses val="autoZero"/>
        <c:auto val="1"/>
        <c:lblAlgn val="ctr"/>
        <c:lblOffset val="100"/>
        <c:noMultiLvlLbl val="0"/>
      </c:catAx>
      <c:valAx>
        <c:axId val="95243170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5243236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16</xdr:row>
      <xdr:rowOff>0</xdr:rowOff>
    </xdr:from>
    <xdr:to>
      <xdr:col>12</xdr:col>
      <xdr:colOff>542926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F8447E-AAFC-4305-BD17-93138339E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16</xdr:row>
      <xdr:rowOff>0</xdr:rowOff>
    </xdr:from>
    <xdr:to>
      <xdr:col>12</xdr:col>
      <xdr:colOff>209551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3645A8-7FC5-46F7-886F-ADB93E543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AJUSTE\Concession&#225;rias%20de%20Distribui&#231;&#227;o\2022\06%20-%20D28%20-%20Cocel%20(Ricardo)\Estrutura\Analise%20LEI%2014299\2866%20PCAT%20Copel-DIS%202022%20V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_Receita"/>
      <sheetName val="EVENTOS"/>
      <sheetName val="TAR FIN"/>
      <sheetName val="MERCADO TUSD"/>
      <sheetName val="MERCADO TE"/>
      <sheetName val="CUSTOS"/>
      <sheetName val="TRANSICAO"/>
      <sheetName val="TR TUSD"/>
      <sheetName val="TUSD BE"/>
      <sheetName val="TUSD BF"/>
      <sheetName val="TUSD CVA"/>
      <sheetName val="TR TE"/>
      <sheetName val="TE BE"/>
      <sheetName val="TE BF"/>
      <sheetName val="TE CVA"/>
      <sheetName val="EFEITO"/>
      <sheetName val="SUBSIDIO"/>
      <sheetName val="TabDinEfeito"/>
      <sheetName val="TabDinSubsidio"/>
      <sheetName val="TABELAS REH"/>
      <sheetName val="CONSISTENCIA"/>
      <sheetName val="TUSD"/>
      <sheetName val="TE"/>
      <sheetName val="RESUMO TUSD"/>
      <sheetName val="RESUMO TE"/>
      <sheetName val="Descontos"/>
      <sheetName val="ERD"/>
      <sheetName val="TA - Aplicação"/>
      <sheetName val="TA - BE"/>
      <sheetName val="TA - CV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26.492892708331" createdVersion="5" refreshedVersion="7" minRefreshableVersion="3" recordCount="295" xr:uid="{BBAF4B68-1B7E-4FDF-9ECE-0984180C21CA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a"/>
        <s v="A4"/>
        <s v="B1"/>
        <s v="B2"/>
        <s v="B3"/>
      </sharedItems>
    </cacheField>
    <cacheField name="Modalidade" numFmtId="0">
      <sharedItems count="3">
        <s v="Verde"/>
        <s v="Azul"/>
        <s v="Convencional"/>
      </sharedItems>
    </cacheField>
    <cacheField name="Classe" numFmtId="0">
      <sharedItems count="4">
        <s v="Industrial"/>
        <s v="Serviço público"/>
        <s v="Rural"/>
        <s v="Residencial"/>
      </sharedItems>
    </cacheField>
    <cacheField name="Subclasse" numFmtId="0">
      <sharedItems count="7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2">
        <s v="Fonte incentivada"/>
        <s v="Não se aplica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6-01T00:00:00" maxDate="2022-05-02T00:00:00" count="12"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</sharedItems>
    </cacheField>
    <cacheField name="D" numFmtId="40">
      <sharedItems containsSemiMixedTypes="0" containsString="0" containsNumber="1" containsInteger="1" minValue="0" maxValue="7054"/>
    </cacheField>
    <cacheField name="Daj" numFmtId="40">
      <sharedItems containsSemiMixedTypes="0" containsString="0" containsNumber="1" minValue="0" maxValue="3527"/>
    </cacheField>
    <cacheField name="TUSD_E" numFmtId="40">
      <sharedItems containsSemiMixedTypes="0" containsString="0" containsNumber="1" minValue="-0.97599999999999998" maxValue="7050.8720000000003"/>
    </cacheField>
    <cacheField name="TUSD_Eaj" numFmtId="40">
      <sharedItems containsSemiMixedTypes="0" containsString="0" containsNumber="1" minValue="-0.97599999999999998" maxValue="7050.8720000000003"/>
    </cacheField>
    <cacheField name="TE_E" numFmtId="40">
      <sharedItems containsSemiMixedTypes="0" containsString="0" containsNumber="1" minValue="-0.97599999999999998" maxValue="7050.8720000000003"/>
    </cacheField>
    <cacheField name="TE_Eaj" numFmtId="40">
      <sharedItems containsSemiMixedTypes="0" containsString="0" containsNumber="1" minValue="-0.97599999999999998" maxValue="7050.8720000000003"/>
    </cacheField>
    <cacheField name="UC" numFmtId="40">
      <sharedItems containsSemiMixedTypes="0" containsString="0" containsNumber="1" containsInteger="1" minValue="0" maxValue="43492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18"/>
    </cacheField>
    <cacheField name="CóD. AUX. TUSD R$/MWh" numFmtId="0">
      <sharedItems containsSemiMixedTypes="0" containsString="0" containsNumber="1" containsInteger="1" minValue="0" maxValue="58"/>
    </cacheField>
    <cacheField name="CóD. AUX. TE R$/MWh" numFmtId="0">
      <sharedItems containsSemiMixedTypes="0" containsString="0" containsNumber="1" containsInteger="1" minValue="0" maxValue="99"/>
    </cacheField>
    <cacheField name="TUSD (R$/kW)" numFmtId="40">
      <sharedItems containsSemiMixedTypes="0" containsString="0" containsNumber="1" minValue="0" maxValue="31.72"/>
    </cacheField>
    <cacheField name="TUSD (R$/MWh)" numFmtId="40">
      <sharedItems containsSemiMixedTypes="0" containsString="0" containsNumber="1" minValue="0" maxValue="842.31"/>
    </cacheField>
    <cacheField name="TE (R$/MWh)" numFmtId="40">
      <sharedItems containsSemiMixedTypes="0" containsString="0" containsNumber="1" minValue="0" maxValue="436.70399999999995"/>
    </cacheField>
    <cacheField name="TUSD (R$/kW) NOVA" numFmtId="40">
      <sharedItems containsString="0" containsBlank="1" containsNumber="1" minValue="15.390732012711172" maxValue="40.931078532759663"/>
    </cacheField>
    <cacheField name="TUSD (R$/MWh) NOVA" numFmtId="40">
      <sharedItems containsString="0" containsBlank="1" containsNumber="1" minValue="82.887081270638163" maxValue="1109.1969409458418"/>
    </cacheField>
    <cacheField name="TE (R$/MWh) NOVA" numFmtId="40">
      <sharedItems containsString="0" containsBlank="1" containsNumber="1" minValue="100.72311767911759" maxValue="421.94526214671799"/>
    </cacheField>
    <cacheField name="SUBSIDIO kW - TV" numFmtId="40">
      <sharedItems containsSemiMixedTypes="0" containsString="0" containsNumber="1" minValue="0" maxValue="43805.34"/>
    </cacheField>
    <cacheField name="SUBSIDIO MWh - TV" numFmtId="40">
      <sharedItems containsSemiMixedTypes="0" containsString="0" containsNumber="1" minValue="-71.130879999999877" maxValue="134169.87528000001"/>
    </cacheField>
    <cacheField name="SUBSIDIO kW - TN" numFmtId="40">
      <sharedItems containsSemiMixedTypes="0" containsString="0" containsNumber="1" minValue="0" maxValue="55961.970936940525"/>
    </cacheField>
    <cacheField name="SUBSIDIO MWh - TN" numFmtId="40">
      <sharedItems containsSemiMixedTypes="0" containsString="0" containsNumber="1" minValue="-37.763008338625411" maxValue="176681.76232938125"/>
    </cacheField>
    <cacheField name="TIPO" numFmtId="0">
      <sharedItems containsBlank="1" count="5">
        <s v="SUBSIDIO CARGA FONTE INCENTIVADA"/>
        <s v="SUBSIDIO ÁGUA, ESGOTO E SANEAMENTO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26.492893171293" createdVersion="5" refreshedVersion="7" minRefreshableVersion="3" recordCount="986" xr:uid="{F1B2D854-A546-4A6B-AF32-3DB4BACC2095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a"/>
        <s v="A4"/>
        <s v="B1"/>
        <s v="B2"/>
        <s v="B3"/>
        <s v="B4"/>
      </sharedItems>
    </cacheField>
    <cacheField name="Modalidade" numFmtId="0">
      <sharedItems count="4">
        <s v="Verde"/>
        <s v="Azul"/>
        <s v="Branca"/>
        <s v="Convencional"/>
      </sharedItems>
    </cacheField>
    <cacheField name="Classe" numFmtId="0">
      <sharedItems count="8">
        <s v="Comercial"/>
        <s v="Industr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6-01T00:00:00" maxDate="2022-05-02T00:00:00" count="12">
        <d v="2022-01-01T00:00:00"/>
        <d v="2022-03-01T00:00:00"/>
        <d v="2022-04-01T00:00:00"/>
        <d v="2021-12-01T00:00:00"/>
        <d v="2022-02-01T00:00:00"/>
        <d v="2022-05-01T00:00:00"/>
        <d v="2021-06-01T00:00:00"/>
        <d v="2021-07-01T00:00:00"/>
        <d v="2021-08-01T00:00:00"/>
        <d v="2021-09-01T00:00:00"/>
        <d v="2021-10-01T00:00:00"/>
        <d v="2021-11-01T00:00:00"/>
      </sharedItems>
    </cacheField>
    <cacheField name="D" numFmtId="40">
      <sharedItems containsSemiMixedTypes="0" containsString="0" containsNumber="1" containsInteger="1" minValue="0" maxValue="15381"/>
    </cacheField>
    <cacheField name="Daj" numFmtId="40">
      <sharedItems containsSemiMixedTypes="0" containsString="0" containsNumber="1" minValue="0" maxValue="15381"/>
    </cacheField>
    <cacheField name="TUSD_E" numFmtId="40">
      <sharedItems containsSemiMixedTypes="0" containsString="0" containsNumber="1" minValue="-190.488" maxValue="7438.7420000000002"/>
    </cacheField>
    <cacheField name="TUSD_Eaj" numFmtId="40">
      <sharedItems containsSemiMixedTypes="0" containsString="0" containsNumber="1" minValue="-190.488" maxValue="7438.7420000000002"/>
    </cacheField>
    <cacheField name="TE_E" numFmtId="40">
      <sharedItems containsSemiMixedTypes="0" containsString="0" containsNumber="1" minValue="-190.488" maxValue="7438.7420000000002"/>
    </cacheField>
    <cacheField name="TE_Eaj" numFmtId="40">
      <sharedItems containsSemiMixedTypes="0" containsString="0" containsNumber="1" minValue="-190.488" maxValue="7438.7420000000002"/>
    </cacheField>
    <cacheField name="UC" numFmtId="40">
      <sharedItems containsSemiMixedTypes="0" containsString="0" containsNumber="1" containsInteger="1" minValue="0" maxValue="44242"/>
    </cacheField>
    <cacheField name="OPÇÃO" numFmtId="0">
      <sharedItems count="2">
        <s v="CATIVO"/>
        <s v="LIVRE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18"/>
    </cacheField>
    <cacheField name="CóD. AUX. TUSD R$/MWh" numFmtId="40">
      <sharedItems containsSemiMixedTypes="0" containsString="0" containsNumber="1" containsInteger="1" minValue="0" maxValue="60"/>
    </cacheField>
    <cacheField name="CóD. AUX. TE R$/MWh" numFmtId="40">
      <sharedItems containsSemiMixedTypes="0" containsString="0" containsNumber="1" containsInteger="1" minValue="0" maxValue="101"/>
    </cacheField>
    <cacheField name="TUSD (R$/kW)" numFmtId="40">
      <sharedItems containsSemiMixedTypes="0" containsString="0" containsNumber="1" minValue="0" maxValue="31.72"/>
    </cacheField>
    <cacheField name="TUSD (R$/MWh)" numFmtId="40">
      <sharedItems containsSemiMixedTypes="0" containsString="0" containsNumber="1" minValue="0" maxValue="1257.26"/>
    </cacheField>
    <cacheField name="TE (R$/MWh)" numFmtId="40">
      <sharedItems containsSemiMixedTypes="0" containsString="0" containsNumber="1" minValue="0" maxValue="454.9"/>
    </cacheField>
    <cacheField name="TUSD (R$/kW) NOVA" numFmtId="40">
      <sharedItems containsString="0" containsBlank="1" containsNumber="1" minValue="15.390732012711172" maxValue="40.931078532759663"/>
    </cacheField>
    <cacheField name="TUSD (R$/MWh) NOVA" numFmtId="40">
      <sharedItems containsString="0" containsBlank="1" containsNumber="1" minValue="82.887081270638163" maxValue="1304.1502495811314"/>
    </cacheField>
    <cacheField name="TE (R$/MWh) NOVA" numFmtId="40">
      <sharedItems containsString="0" containsBlank="1" containsNumber="1" minValue="100.72311767911759" maxValue="430.5563899456306"/>
    </cacheField>
    <cacheField name="RA0 ou RV - TUSD (kW)" numFmtId="40">
      <sharedItems containsSemiMixedTypes="0" containsString="0" containsNumber="1" minValue="0" maxValue="299912.59999999998"/>
    </cacheField>
    <cacheField name="RA0 ou RV - TUSD (MWh)" numFmtId="40">
      <sharedItems containsSemiMixedTypes="0" containsString="0" containsNumber="1" minValue="-58816.979759999995" maxValue="2296860.3673399999"/>
    </cacheField>
    <cacheField name="RA0 ou RV - TE (MWh)" numFmtId="40">
      <sharedItems containsSemiMixedTypes="0" containsString="0" containsNumber="1" minValue="-56875.907039999998" maxValue="2221059.5863600001"/>
    </cacheField>
    <cacheField name="RA1 ou RRD - TUSD (kW)" numFmtId="40">
      <sharedItems containsSemiMixedTypes="0" containsString="0" containsNumber="1" minValue="0" maxValue="387003.34752724261"/>
    </cacheField>
    <cacheField name="RA1 ou RRD - TUSD (MWh)" numFmtId="40">
      <sharedItems containsSemiMixedTypes="0" containsString="0" containsNumber="1" minValue="-68019.412912836691" maxValue="2656224.3482532264"/>
    </cacheField>
    <cacheField name="RA1 ou RRD - TE (MWh)" numFmtId="40">
      <sharedItems containsSemiMixedTypes="0" containsString="0" containsNumber="1" minValue="-54818.700687027864" maxValue="2140723.673858841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33.652188310189" createdVersion="8" refreshedVersion="8" minRefreshableVersion="3" recordCount="987" xr:uid="{475F49C2-32C0-4FE5-9B87-4C43469D60C6}">
  <cacheSource type="worksheet">
    <worksheetSource ref="A1:W1048576" sheet="Mercado_Receita"/>
  </cacheSource>
  <cacheFields count="25">
    <cacheField name="TipoMercado" numFmtId="0">
      <sharedItems containsBlank="1"/>
    </cacheField>
    <cacheField name="Subgrupo" numFmtId="0">
      <sharedItems containsBlank="1" count="7">
        <s v="A3a"/>
        <s v="A4"/>
        <s v="B1"/>
        <s v="B2"/>
        <s v="B3"/>
        <s v="B4"/>
        <m/>
      </sharedItems>
    </cacheField>
    <cacheField name="Modalidade" numFmtId="0">
      <sharedItems containsBlank="1" count="5">
        <s v="Verde"/>
        <s v="Azul"/>
        <s v="Branca"/>
        <s v="Convencional"/>
        <m/>
      </sharedItems>
    </cacheField>
    <cacheField name="Classe" numFmtId="0">
      <sharedItems containsBlank="1"/>
    </cacheField>
    <cacheField name="Subclasse" numFmtId="0">
      <sharedItems containsBlank="1"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  <m/>
      </sharedItems>
    </cacheField>
    <cacheField name="Detalhe" numFmtId="0">
      <sharedItems containsBlank="1" count="3">
        <s v="Não se aplica"/>
        <s v="Fonte incentivada"/>
        <m/>
      </sharedItems>
    </cacheField>
    <cacheField name="Agente" numFmtId="0">
      <sharedItems containsBlank="1"/>
    </cacheField>
    <cacheField name="Posto" numFmtId="0">
      <sharedItems containsBlank="1" count="5">
        <s v="Fora ponta"/>
        <s v="Não se aplica"/>
        <s v="Ponta"/>
        <s v="Intermediário"/>
        <m/>
      </sharedItems>
    </cacheField>
    <cacheField name="AnoMes" numFmtId="14">
      <sharedItems containsNonDate="0" containsDate="1" containsString="0" containsBlank="1" minDate="2021-06-01T00:00:00" maxDate="2022-05-02T00:00:00" count="13">
        <d v="2022-01-01T00:00:00"/>
        <d v="2022-03-01T00:00:00"/>
        <d v="2022-04-01T00:00:00"/>
        <d v="2021-12-01T00:00:00"/>
        <d v="2022-02-01T00:00:00"/>
        <d v="2022-05-01T00:00:00"/>
        <d v="2021-06-01T00:00:00"/>
        <d v="2021-07-01T00:00:00"/>
        <d v="2021-08-01T00:00:00"/>
        <d v="2021-09-01T00:00:00"/>
        <d v="2021-10-01T00:00:00"/>
        <d v="2021-11-01T00:00:00"/>
        <m/>
      </sharedItems>
      <fieldGroup par="24" base="8">
        <rangePr groupBy="months" startDate="2021-06-01T00:00:00" endDate="2022-05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2"/>
        </groupItems>
      </fieldGroup>
    </cacheField>
    <cacheField name="D" numFmtId="40">
      <sharedItems containsString="0" containsBlank="1" containsNumber="1" containsInteger="1" minValue="0" maxValue="15381"/>
    </cacheField>
    <cacheField name="Daj" numFmtId="40">
      <sharedItems containsString="0" containsBlank="1" containsNumber="1" minValue="0" maxValue="15381"/>
    </cacheField>
    <cacheField name="TUSD_E" numFmtId="40">
      <sharedItems containsString="0" containsBlank="1" containsNumber="1" minValue="-190.488" maxValue="7438.7420000000002"/>
    </cacheField>
    <cacheField name="TUSD_Eaj" numFmtId="40">
      <sharedItems containsString="0" containsBlank="1" containsNumber="1" minValue="-190.488" maxValue="7438.7420000000002"/>
    </cacheField>
    <cacheField name="TE_E" numFmtId="40">
      <sharedItems containsString="0" containsBlank="1" containsNumber="1" minValue="-190.488" maxValue="7438.7420000000002"/>
    </cacheField>
    <cacheField name="TE_Eaj" numFmtId="40">
      <sharedItems containsString="0" containsBlank="1" containsNumber="1" minValue="-190.488" maxValue="7438.7420000000002"/>
    </cacheField>
    <cacheField name="UC" numFmtId="40">
      <sharedItems containsString="0" containsBlank="1" containsNumber="1" containsInteger="1" minValue="0" maxValue="44242"/>
    </cacheField>
    <cacheField name="OPÇÃO" numFmtId="0">
      <sharedItems containsBlank="1"/>
    </cacheField>
    <cacheField name="CóD. AUX." numFmtId="0">
      <sharedItems containsString="0" containsBlank="1" containsNumber="1" containsInteger="1" minValue="0" maxValue="0"/>
    </cacheField>
    <cacheField name="CHAVE TUSD" numFmtId="0">
      <sharedItems containsBlank="1"/>
    </cacheField>
    <cacheField name="CHAVE TE" numFmtId="0">
      <sharedItems containsBlank="1"/>
    </cacheField>
    <cacheField name="CóD. AUX. TUSD R$/kW" numFmtId="0">
      <sharedItems containsString="0" containsBlank="1" containsNumber="1" containsInteger="1" minValue="0" maxValue="18"/>
    </cacheField>
    <cacheField name="CóD. AUX. TUSD R$/MWh" numFmtId="0">
      <sharedItems containsString="0" containsBlank="1" containsNumber="1" containsInteger="1" minValue="0" maxValue="60"/>
    </cacheField>
    <cacheField name="CóD. AUX. TE R$/MWh" numFmtId="0">
      <sharedItems containsString="0" containsBlank="1" containsNumber="1" containsInteger="1" minValue="0" maxValue="101"/>
    </cacheField>
    <cacheField name="Trimestres" numFmtId="0" databaseField="0">
      <fieldGroup base="8">
        <rangePr groupBy="quarters" startDate="2021-06-01T00:00:00" endDate="2022-05-02T00:00:00"/>
        <groupItems count="6">
          <s v="&lt;01/06/2021"/>
          <s v="Trim1"/>
          <s v="Trim2"/>
          <s v="Trim3"/>
          <s v="Trim4"/>
          <s v="&gt;02/05/2022"/>
        </groupItems>
      </fieldGroup>
    </cacheField>
    <cacheField name="Anos" numFmtId="0" databaseField="0">
      <fieldGroup base="8">
        <rangePr groupBy="years" startDate="2021-06-01T00:00:00" endDate="2022-05-02T00:00:00"/>
        <groupItems count="4">
          <s v="&lt;01/06/2021"/>
          <s v="2021"/>
          <s v="2022"/>
          <s v="&gt;02/0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s v="Regular"/>
    <x v="0"/>
    <x v="0"/>
    <x v="0"/>
    <x v="0"/>
    <x v="0"/>
    <x v="0"/>
    <x v="0"/>
    <x v="0"/>
    <n v="0"/>
    <n v="0"/>
    <n v="376.49400000000003"/>
    <n v="376.49400000000003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1"/>
    <n v="0"/>
    <n v="0"/>
    <n v="381.70499999999998"/>
    <n v="381.70499999999998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2"/>
    <n v="0"/>
    <n v="0"/>
    <n v="336.59899999999999"/>
    <n v="336.59899999999999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3"/>
    <n v="0"/>
    <n v="0"/>
    <n v="346.28800000000001"/>
    <n v="346.28800000000001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4"/>
    <n v="0"/>
    <n v="0"/>
    <n v="373.08699999999999"/>
    <n v="373.08699999999999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5"/>
    <n v="0"/>
    <n v="0"/>
    <n v="314.17099999999999"/>
    <n v="314.17099999999999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6"/>
    <n v="0"/>
    <n v="0"/>
    <n v="296.71800000000002"/>
    <n v="296.71800000000002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7"/>
    <n v="0"/>
    <n v="0"/>
    <n v="302.404"/>
    <n v="302.404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8"/>
    <n v="0"/>
    <n v="0"/>
    <n v="309.673"/>
    <n v="309.673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9"/>
    <n v="0"/>
    <n v="0"/>
    <n v="315.755"/>
    <n v="315.755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10"/>
    <n v="0"/>
    <n v="0"/>
    <n v="367.464"/>
    <n v="367.464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0"/>
    <x v="11"/>
    <n v="0"/>
    <n v="0"/>
    <n v="918.67"/>
    <n v="918.67"/>
    <n v="0"/>
    <n v="0"/>
    <n v="0"/>
    <s v="LIVRE"/>
    <n v="0"/>
    <n v="0"/>
    <n v="8"/>
    <n v="0"/>
    <n v="0"/>
    <n v="69.37"/>
    <n v="0"/>
    <m/>
    <n v="111.03029432835316"/>
    <m/>
    <n v="0"/>
    <n v="0"/>
    <n v="0"/>
    <n v="0"/>
    <x v="0"/>
  </r>
  <r>
    <s v="Regular"/>
    <x v="0"/>
    <x v="0"/>
    <x v="0"/>
    <x v="0"/>
    <x v="0"/>
    <x v="0"/>
    <x v="1"/>
    <x v="0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1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2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3"/>
    <n v="2462"/>
    <n v="1231"/>
    <n v="0"/>
    <n v="0"/>
    <n v="0"/>
    <n v="0"/>
    <n v="2"/>
    <s v="LIVRE"/>
    <n v="0"/>
    <n v="6"/>
    <n v="0"/>
    <n v="0"/>
    <n v="12.42"/>
    <n v="0"/>
    <n v="0"/>
    <n v="15.866734033722858"/>
    <m/>
    <m/>
    <n v="15289.02"/>
    <n v="0"/>
    <n v="19531.94959551284"/>
    <n v="0"/>
    <x v="0"/>
  </r>
  <r>
    <s v="Regular"/>
    <x v="0"/>
    <x v="0"/>
    <x v="0"/>
    <x v="0"/>
    <x v="0"/>
    <x v="0"/>
    <x v="1"/>
    <x v="4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5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6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7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8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9"/>
    <n v="2450"/>
    <n v="1225"/>
    <n v="0"/>
    <n v="0"/>
    <n v="0"/>
    <n v="0"/>
    <n v="2"/>
    <s v="LIVRE"/>
    <n v="0"/>
    <n v="6"/>
    <n v="0"/>
    <n v="0"/>
    <n v="12.42"/>
    <n v="0"/>
    <n v="0"/>
    <n v="15.866734033722858"/>
    <m/>
    <m/>
    <n v="15214.5"/>
    <n v="0"/>
    <n v="19436.7491913105"/>
    <n v="0"/>
    <x v="0"/>
  </r>
  <r>
    <s v="Regular"/>
    <x v="0"/>
    <x v="0"/>
    <x v="0"/>
    <x v="0"/>
    <x v="0"/>
    <x v="0"/>
    <x v="1"/>
    <x v="10"/>
    <n v="2486"/>
    <n v="1243"/>
    <n v="0"/>
    <n v="0"/>
    <n v="0"/>
    <n v="0"/>
    <n v="2"/>
    <s v="LIVRE"/>
    <n v="0"/>
    <n v="6"/>
    <n v="0"/>
    <n v="0"/>
    <n v="12.42"/>
    <n v="0"/>
    <n v="0"/>
    <n v="15.866734033722858"/>
    <m/>
    <m/>
    <n v="15438.06"/>
    <n v="0"/>
    <n v="19722.350403917513"/>
    <n v="0"/>
    <x v="0"/>
  </r>
  <r>
    <s v="Regular"/>
    <x v="0"/>
    <x v="0"/>
    <x v="0"/>
    <x v="0"/>
    <x v="0"/>
    <x v="0"/>
    <x v="1"/>
    <x v="11"/>
    <n v="4014"/>
    <n v="2007"/>
    <n v="0"/>
    <n v="0"/>
    <n v="0"/>
    <n v="0"/>
    <n v="3"/>
    <s v="LIVRE"/>
    <n v="0"/>
    <n v="6"/>
    <n v="0"/>
    <n v="0"/>
    <n v="12.42"/>
    <n v="0"/>
    <n v="0"/>
    <n v="15.866734033722858"/>
    <m/>
    <m/>
    <n v="24926.94"/>
    <n v="0"/>
    <n v="31844.535205681776"/>
    <n v="0"/>
    <x v="0"/>
  </r>
  <r>
    <s v="Regular"/>
    <x v="0"/>
    <x v="0"/>
    <x v="0"/>
    <x v="0"/>
    <x v="0"/>
    <x v="0"/>
    <x v="2"/>
    <x v="0"/>
    <n v="0"/>
    <n v="0"/>
    <n v="42.637999999999998"/>
    <n v="21.318999999999999"/>
    <n v="0"/>
    <n v="0"/>
    <n v="0"/>
    <s v="LIVRE"/>
    <n v="0"/>
    <n v="0"/>
    <n v="7"/>
    <n v="0"/>
    <n v="0"/>
    <n v="842.31"/>
    <n v="0"/>
    <m/>
    <n v="1109.1969409458418"/>
    <m/>
    <n v="0"/>
    <n v="17957.206889999998"/>
    <n v="0"/>
    <n v="23646.969584024399"/>
    <x v="0"/>
  </r>
  <r>
    <s v="Regular"/>
    <x v="0"/>
    <x v="0"/>
    <x v="0"/>
    <x v="0"/>
    <x v="0"/>
    <x v="0"/>
    <x v="2"/>
    <x v="1"/>
    <n v="0"/>
    <n v="0"/>
    <n v="37.92"/>
    <n v="18.96"/>
    <n v="0"/>
    <n v="0"/>
    <n v="0"/>
    <s v="LIVRE"/>
    <n v="0"/>
    <n v="0"/>
    <n v="7"/>
    <n v="0"/>
    <n v="0"/>
    <n v="842.31"/>
    <n v="0"/>
    <m/>
    <n v="1109.1969409458418"/>
    <m/>
    <n v="0"/>
    <n v="15970.1976"/>
    <n v="0"/>
    <n v="21030.374000333162"/>
    <x v="0"/>
  </r>
  <r>
    <s v="Regular"/>
    <x v="0"/>
    <x v="0"/>
    <x v="0"/>
    <x v="0"/>
    <x v="0"/>
    <x v="0"/>
    <x v="2"/>
    <x v="2"/>
    <n v="0"/>
    <n v="0"/>
    <n v="9.3849999999999998"/>
    <n v="4.6924999999999999"/>
    <n v="0"/>
    <n v="0"/>
    <n v="0"/>
    <s v="LIVRE"/>
    <n v="0"/>
    <n v="0"/>
    <n v="7"/>
    <n v="0"/>
    <n v="0"/>
    <n v="842.31"/>
    <n v="0"/>
    <m/>
    <n v="1109.1969409458418"/>
    <m/>
    <n v="0"/>
    <n v="3952.5396749999995"/>
    <n v="0"/>
    <n v="5204.9066453883624"/>
    <x v="0"/>
  </r>
  <r>
    <s v="Regular"/>
    <x v="0"/>
    <x v="0"/>
    <x v="0"/>
    <x v="0"/>
    <x v="0"/>
    <x v="0"/>
    <x v="2"/>
    <x v="3"/>
    <n v="0"/>
    <n v="0"/>
    <n v="8.7360000000000007"/>
    <n v="4.3680000000000003"/>
    <n v="0"/>
    <n v="0"/>
    <n v="0"/>
    <s v="LIVRE"/>
    <n v="0"/>
    <n v="0"/>
    <n v="7"/>
    <n v="0"/>
    <n v="0"/>
    <n v="842.31"/>
    <n v="0"/>
    <m/>
    <n v="1109.1969409458418"/>
    <m/>
    <n v="0"/>
    <n v="3679.2100799999998"/>
    <n v="0"/>
    <n v="4844.9722380514377"/>
    <x v="0"/>
  </r>
  <r>
    <s v="Regular"/>
    <x v="0"/>
    <x v="0"/>
    <x v="0"/>
    <x v="0"/>
    <x v="0"/>
    <x v="0"/>
    <x v="2"/>
    <x v="4"/>
    <n v="0"/>
    <n v="0"/>
    <n v="38.771000000000001"/>
    <n v="19.3855"/>
    <n v="0"/>
    <n v="0"/>
    <n v="0"/>
    <s v="LIVRE"/>
    <n v="0"/>
    <n v="0"/>
    <n v="7"/>
    <n v="0"/>
    <n v="0"/>
    <n v="842.31"/>
    <n v="0"/>
    <m/>
    <n v="1109.1969409458418"/>
    <m/>
    <n v="0"/>
    <n v="16328.600504999999"/>
    <n v="0"/>
    <n v="21502.337298705617"/>
    <x v="0"/>
  </r>
  <r>
    <s v="Regular"/>
    <x v="0"/>
    <x v="0"/>
    <x v="0"/>
    <x v="0"/>
    <x v="0"/>
    <x v="0"/>
    <x v="2"/>
    <x v="5"/>
    <n v="0"/>
    <n v="0"/>
    <n v="35.023000000000003"/>
    <n v="17.511500000000002"/>
    <n v="0"/>
    <n v="0"/>
    <n v="0"/>
    <s v="LIVRE"/>
    <n v="0"/>
    <n v="0"/>
    <n v="7"/>
    <n v="0"/>
    <n v="0"/>
    <n v="842.31"/>
    <n v="0"/>
    <m/>
    <n v="1109.1969409458418"/>
    <m/>
    <n v="0"/>
    <n v="14750.111565000001"/>
    <n v="0"/>
    <n v="19423.70223137311"/>
    <x v="0"/>
  </r>
  <r>
    <s v="Regular"/>
    <x v="0"/>
    <x v="0"/>
    <x v="0"/>
    <x v="0"/>
    <x v="0"/>
    <x v="0"/>
    <x v="2"/>
    <x v="6"/>
    <n v="0"/>
    <n v="0"/>
    <n v="33.156999999999996"/>
    <n v="16.578499999999998"/>
    <n v="0"/>
    <n v="0"/>
    <n v="0"/>
    <s v="LIVRE"/>
    <n v="0"/>
    <n v="0"/>
    <n v="7"/>
    <n v="0"/>
    <n v="0"/>
    <n v="842.31"/>
    <n v="0"/>
    <m/>
    <n v="1109.1969409458418"/>
    <m/>
    <n v="0"/>
    <n v="13964.236334999998"/>
    <n v="0"/>
    <n v="18388.821485470635"/>
    <x v="0"/>
  </r>
  <r>
    <s v="Regular"/>
    <x v="0"/>
    <x v="0"/>
    <x v="0"/>
    <x v="0"/>
    <x v="0"/>
    <x v="0"/>
    <x v="2"/>
    <x v="7"/>
    <n v="0"/>
    <n v="0"/>
    <n v="34.494"/>
    <n v="17.247"/>
    <n v="0"/>
    <n v="0"/>
    <n v="0"/>
    <s v="LIVRE"/>
    <n v="0"/>
    <n v="0"/>
    <n v="7"/>
    <n v="0"/>
    <n v="0"/>
    <n v="842.31"/>
    <n v="0"/>
    <m/>
    <n v="1109.1969409458418"/>
    <m/>
    <n v="0"/>
    <n v="14527.32057"/>
    <n v="0"/>
    <n v="19130.319640492933"/>
    <x v="0"/>
  </r>
  <r>
    <s v="Regular"/>
    <x v="0"/>
    <x v="0"/>
    <x v="0"/>
    <x v="0"/>
    <x v="0"/>
    <x v="0"/>
    <x v="2"/>
    <x v="8"/>
    <n v="0"/>
    <n v="0"/>
    <n v="30.69"/>
    <n v="15.345000000000001"/>
    <n v="0"/>
    <n v="0"/>
    <n v="0"/>
    <s v="LIVRE"/>
    <n v="0"/>
    <n v="0"/>
    <n v="7"/>
    <n v="0"/>
    <n v="0"/>
    <n v="842.31"/>
    <n v="0"/>
    <m/>
    <n v="1109.1969409458418"/>
    <m/>
    <n v="0"/>
    <n v="12925.246949999999"/>
    <n v="0"/>
    <n v="17020.627058813941"/>
    <x v="0"/>
  </r>
  <r>
    <s v="Regular"/>
    <x v="0"/>
    <x v="0"/>
    <x v="0"/>
    <x v="0"/>
    <x v="0"/>
    <x v="0"/>
    <x v="2"/>
    <x v="9"/>
    <n v="0"/>
    <n v="0"/>
    <n v="37.658999999999999"/>
    <n v="18.829499999999999"/>
    <n v="0"/>
    <n v="0"/>
    <n v="0"/>
    <s v="LIVRE"/>
    <n v="0"/>
    <n v="0"/>
    <n v="7"/>
    <n v="0"/>
    <n v="0"/>
    <n v="842.31"/>
    <n v="0"/>
    <m/>
    <n v="1109.1969409458418"/>
    <m/>
    <n v="0"/>
    <n v="15860.276144999998"/>
    <n v="0"/>
    <n v="20885.623799539728"/>
    <x v="0"/>
  </r>
  <r>
    <s v="Regular"/>
    <x v="0"/>
    <x v="0"/>
    <x v="0"/>
    <x v="0"/>
    <x v="0"/>
    <x v="0"/>
    <x v="2"/>
    <x v="10"/>
    <n v="0"/>
    <n v="0"/>
    <n v="44.530999999999999"/>
    <n v="22.265499999999999"/>
    <n v="0"/>
    <n v="0"/>
    <n v="0"/>
    <s v="LIVRE"/>
    <n v="0"/>
    <n v="0"/>
    <n v="7"/>
    <n v="0"/>
    <n v="0"/>
    <n v="842.31"/>
    <n v="0"/>
    <m/>
    <n v="1109.1969409458418"/>
    <m/>
    <n v="0"/>
    <n v="18754.453304999999"/>
    <n v="0"/>
    <n v="24696.824488629638"/>
    <x v="0"/>
  </r>
  <r>
    <s v="Regular"/>
    <x v="0"/>
    <x v="0"/>
    <x v="0"/>
    <x v="0"/>
    <x v="0"/>
    <x v="0"/>
    <x v="2"/>
    <x v="11"/>
    <n v="0"/>
    <n v="0"/>
    <n v="89.613"/>
    <n v="44.8065"/>
    <n v="0"/>
    <n v="0"/>
    <n v="0"/>
    <s v="LIVRE"/>
    <n v="0"/>
    <n v="0"/>
    <n v="7"/>
    <n v="0"/>
    <n v="0"/>
    <n v="842.31"/>
    <n v="0"/>
    <m/>
    <n v="1109.1969409458418"/>
    <m/>
    <n v="0"/>
    <n v="37740.963014999994"/>
    <n v="0"/>
    <n v="49699.232734489859"/>
    <x v="0"/>
  </r>
  <r>
    <s v="Regular"/>
    <x v="1"/>
    <x v="1"/>
    <x v="0"/>
    <x v="0"/>
    <x v="0"/>
    <x v="0"/>
    <x v="0"/>
    <x v="9"/>
    <n v="500"/>
    <n v="250"/>
    <n v="0"/>
    <n v="0"/>
    <n v="0"/>
    <n v="0"/>
    <n v="0"/>
    <s v="LIVRE"/>
    <n v="0"/>
    <n v="14"/>
    <n v="0"/>
    <n v="0"/>
    <n v="12.42"/>
    <n v="0"/>
    <n v="0"/>
    <n v="15.866734033722858"/>
    <n v="111.03029432835316"/>
    <m/>
    <n v="3105"/>
    <n v="0"/>
    <n v="3966.6835084307145"/>
    <n v="0"/>
    <x v="0"/>
  </r>
  <r>
    <s v="Regular"/>
    <x v="1"/>
    <x v="1"/>
    <x v="0"/>
    <x v="0"/>
    <x v="0"/>
    <x v="0"/>
    <x v="0"/>
    <x v="10"/>
    <n v="500"/>
    <n v="250"/>
    <n v="0"/>
    <n v="0"/>
    <n v="0"/>
    <n v="0"/>
    <n v="0"/>
    <s v="LIVRE"/>
    <n v="0"/>
    <n v="14"/>
    <n v="0"/>
    <n v="0"/>
    <n v="12.42"/>
    <n v="0"/>
    <n v="0"/>
    <n v="15.866734033722858"/>
    <n v="111.03029432835316"/>
    <m/>
    <n v="3105"/>
    <n v="0"/>
    <n v="3966.6835084307145"/>
    <n v="0"/>
    <x v="0"/>
  </r>
  <r>
    <s v="Regular"/>
    <x v="1"/>
    <x v="1"/>
    <x v="0"/>
    <x v="0"/>
    <x v="0"/>
    <x v="0"/>
    <x v="0"/>
    <x v="11"/>
    <n v="500"/>
    <n v="250"/>
    <n v="0"/>
    <n v="0"/>
    <n v="0"/>
    <n v="0"/>
    <n v="0"/>
    <s v="LIVRE"/>
    <n v="0"/>
    <n v="14"/>
    <n v="0"/>
    <n v="0"/>
    <n v="12.42"/>
    <n v="0"/>
    <n v="0"/>
    <n v="15.866734033722858"/>
    <n v="111.03029432835316"/>
    <m/>
    <n v="3105"/>
    <n v="0"/>
    <n v="3966.6835084307145"/>
    <n v="0"/>
    <x v="0"/>
  </r>
  <r>
    <s v="Regular"/>
    <x v="1"/>
    <x v="1"/>
    <x v="0"/>
    <x v="0"/>
    <x v="0"/>
    <x v="0"/>
    <x v="1"/>
    <x v="9"/>
    <n v="0"/>
    <n v="0"/>
    <n v="115.642"/>
    <n v="115.642"/>
    <n v="0"/>
    <n v="0"/>
    <n v="2"/>
    <s v="LIVRE"/>
    <n v="0"/>
    <n v="0"/>
    <n v="15"/>
    <n v="0"/>
    <n v="0"/>
    <n v="69.37"/>
    <n v="0"/>
    <m/>
    <n v="111.03029432835316"/>
    <m/>
    <n v="0"/>
    <n v="0"/>
    <n v="0"/>
    <n v="0"/>
    <x v="0"/>
  </r>
  <r>
    <s v="Regular"/>
    <x v="1"/>
    <x v="1"/>
    <x v="0"/>
    <x v="0"/>
    <x v="0"/>
    <x v="0"/>
    <x v="1"/>
    <x v="10"/>
    <n v="0"/>
    <n v="0"/>
    <n v="138.791"/>
    <n v="138.791"/>
    <n v="0"/>
    <n v="0"/>
    <n v="2"/>
    <s v="LIVRE"/>
    <n v="0"/>
    <n v="0"/>
    <n v="15"/>
    <n v="0"/>
    <n v="0"/>
    <n v="69.37"/>
    <n v="0"/>
    <m/>
    <n v="111.03029432835316"/>
    <m/>
    <n v="0"/>
    <n v="0"/>
    <n v="0"/>
    <n v="0"/>
    <x v="0"/>
  </r>
  <r>
    <s v="Regular"/>
    <x v="1"/>
    <x v="1"/>
    <x v="0"/>
    <x v="0"/>
    <x v="0"/>
    <x v="0"/>
    <x v="1"/>
    <x v="11"/>
    <n v="0"/>
    <n v="0"/>
    <n v="138.709"/>
    <n v="138.709"/>
    <n v="0"/>
    <n v="0"/>
    <n v="2"/>
    <s v="LIVRE"/>
    <n v="0"/>
    <n v="0"/>
    <n v="15"/>
    <n v="0"/>
    <n v="0"/>
    <n v="69.37"/>
    <n v="0"/>
    <m/>
    <n v="111.03029432835316"/>
    <m/>
    <n v="0"/>
    <n v="0"/>
    <n v="0"/>
    <n v="0"/>
    <x v="0"/>
  </r>
  <r>
    <s v="Regular"/>
    <x v="1"/>
    <x v="1"/>
    <x v="0"/>
    <x v="0"/>
    <x v="0"/>
    <x v="0"/>
    <x v="2"/>
    <x v="9"/>
    <n v="389"/>
    <n v="194.5"/>
    <n v="0"/>
    <n v="0"/>
    <n v="0"/>
    <n v="0"/>
    <n v="0"/>
    <s v="LIVRE"/>
    <n v="0"/>
    <n v="13"/>
    <n v="0"/>
    <n v="0"/>
    <n v="31.72"/>
    <n v="0"/>
    <n v="0"/>
    <n v="40.931078532759663"/>
    <n v="111.03029432835316"/>
    <m/>
    <n v="6169.54"/>
    <n v="0"/>
    <n v="7961.0947746217544"/>
    <n v="0"/>
    <x v="0"/>
  </r>
  <r>
    <s v="Regular"/>
    <x v="1"/>
    <x v="1"/>
    <x v="0"/>
    <x v="0"/>
    <x v="0"/>
    <x v="0"/>
    <x v="2"/>
    <x v="10"/>
    <n v="389"/>
    <n v="194.5"/>
    <n v="0"/>
    <n v="0"/>
    <n v="0"/>
    <n v="0"/>
    <n v="0"/>
    <s v="LIVRE"/>
    <n v="0"/>
    <n v="13"/>
    <n v="0"/>
    <n v="0"/>
    <n v="31.72"/>
    <n v="0"/>
    <n v="0"/>
    <n v="40.931078532759663"/>
    <n v="111.03029432835316"/>
    <m/>
    <n v="6169.54"/>
    <n v="0"/>
    <n v="7961.0947746217544"/>
    <n v="0"/>
    <x v="0"/>
  </r>
  <r>
    <s v="Regular"/>
    <x v="1"/>
    <x v="1"/>
    <x v="0"/>
    <x v="0"/>
    <x v="0"/>
    <x v="0"/>
    <x v="2"/>
    <x v="11"/>
    <n v="389"/>
    <n v="194.5"/>
    <n v="0"/>
    <n v="0"/>
    <n v="0"/>
    <n v="0"/>
    <n v="0"/>
    <s v="LIVRE"/>
    <n v="0"/>
    <n v="13"/>
    <n v="0"/>
    <n v="0"/>
    <n v="31.72"/>
    <n v="0"/>
    <n v="0"/>
    <n v="40.931078532759663"/>
    <n v="111.03029432835316"/>
    <m/>
    <n v="6169.54"/>
    <n v="0"/>
    <n v="7961.0947746217544"/>
    <n v="0"/>
    <x v="0"/>
  </r>
  <r>
    <s v="Regular"/>
    <x v="1"/>
    <x v="1"/>
    <x v="1"/>
    <x v="1"/>
    <x v="1"/>
    <x v="0"/>
    <x v="0"/>
    <x v="0"/>
    <n v="228"/>
    <n v="228"/>
    <n v="32.115000000000002"/>
    <n v="32.115000000000002"/>
    <n v="32.115000000000002"/>
    <n v="32.115000000000002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681.60233700000003"/>
    <n v="108.52846079066435"/>
    <n v="371.72886664799177"/>
    <x v="1"/>
  </r>
  <r>
    <s v="Regular"/>
    <x v="1"/>
    <x v="1"/>
    <x v="1"/>
    <x v="1"/>
    <x v="1"/>
    <x v="0"/>
    <x v="0"/>
    <x v="1"/>
    <n v="228"/>
    <n v="228"/>
    <n v="48.148000000000003"/>
    <n v="48.148000000000003"/>
    <n v="48.148000000000003"/>
    <n v="48.148000000000003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1021.8835224000002"/>
    <n v="108.52846079066435"/>
    <n v="557.30971419484706"/>
    <x v="1"/>
  </r>
  <r>
    <s v="Regular"/>
    <x v="1"/>
    <x v="1"/>
    <x v="1"/>
    <x v="1"/>
    <x v="1"/>
    <x v="0"/>
    <x v="0"/>
    <x v="2"/>
    <n v="228"/>
    <n v="228"/>
    <n v="47.905000000000001"/>
    <n v="47.905000000000001"/>
    <n v="47.905000000000001"/>
    <n v="47.905000000000001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1016.726139"/>
    <n v="108.52846079066435"/>
    <n v="554.49700628279766"/>
    <x v="1"/>
  </r>
  <r>
    <s v="Regular"/>
    <x v="1"/>
    <x v="1"/>
    <x v="1"/>
    <x v="1"/>
    <x v="1"/>
    <x v="0"/>
    <x v="0"/>
    <x v="3"/>
    <n v="228"/>
    <n v="228"/>
    <n v="33.082999999999998"/>
    <n v="33.082999999999998"/>
    <n v="33.082999999999998"/>
    <n v="33.082999999999998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702.14697540000009"/>
    <n v="108.52846079066435"/>
    <n v="382.93339857747202"/>
    <x v="1"/>
  </r>
  <r>
    <s v="Regular"/>
    <x v="1"/>
    <x v="1"/>
    <x v="1"/>
    <x v="1"/>
    <x v="1"/>
    <x v="0"/>
    <x v="0"/>
    <x v="4"/>
    <n v="228"/>
    <n v="228"/>
    <n v="61.505000000000003"/>
    <n v="61.505000000000003"/>
    <n v="61.505000000000003"/>
    <n v="61.505000000000003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1305.3698190000002"/>
    <n v="108.52846079066435"/>
    <n v="711.91604992012253"/>
    <x v="1"/>
  </r>
  <r>
    <s v="Regular"/>
    <x v="1"/>
    <x v="1"/>
    <x v="1"/>
    <x v="1"/>
    <x v="1"/>
    <x v="0"/>
    <x v="0"/>
    <x v="5"/>
    <n v="228"/>
    <n v="228"/>
    <n v="38.808"/>
    <n v="38.808"/>
    <n v="38.808"/>
    <n v="38.808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823.65323039999998"/>
    <n v="108.52846079066435"/>
    <n v="449.19987099097824"/>
    <x v="1"/>
  </r>
  <r>
    <s v="Regular"/>
    <x v="1"/>
    <x v="1"/>
    <x v="1"/>
    <x v="1"/>
    <x v="1"/>
    <x v="0"/>
    <x v="0"/>
    <x v="6"/>
    <n v="228"/>
    <n v="228"/>
    <n v="31.431999999999999"/>
    <n v="31.431999999999999"/>
    <n v="31.431999999999999"/>
    <n v="31.431999999999999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667.10648159999994"/>
    <n v="108.52846079066435"/>
    <n v="363.8231896770879"/>
    <x v="1"/>
  </r>
  <r>
    <s v="Regular"/>
    <x v="1"/>
    <x v="1"/>
    <x v="1"/>
    <x v="1"/>
    <x v="1"/>
    <x v="0"/>
    <x v="0"/>
    <x v="7"/>
    <n v="228"/>
    <n v="228"/>
    <n v="37.186"/>
    <n v="37.186"/>
    <n v="37.186"/>
    <n v="37.186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789.22822680000013"/>
    <n v="108.52846079066435"/>
    <n v="430.42533505129137"/>
    <x v="1"/>
  </r>
  <r>
    <s v="Regular"/>
    <x v="1"/>
    <x v="1"/>
    <x v="1"/>
    <x v="1"/>
    <x v="1"/>
    <x v="0"/>
    <x v="0"/>
    <x v="8"/>
    <n v="228"/>
    <n v="228"/>
    <n v="56.317"/>
    <n v="56.317"/>
    <n v="56.317"/>
    <n v="56.317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1195.2607446000002"/>
    <n v="108.52846079066435"/>
    <n v="651.86531474435469"/>
    <x v="1"/>
  </r>
  <r>
    <s v="Regular"/>
    <x v="1"/>
    <x v="1"/>
    <x v="1"/>
    <x v="1"/>
    <x v="1"/>
    <x v="0"/>
    <x v="0"/>
    <x v="9"/>
    <n v="228"/>
    <n v="228"/>
    <n v="20.756"/>
    <n v="20.756"/>
    <n v="20.756"/>
    <n v="20.756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440.52119279999999"/>
    <n v="108.52846079066435"/>
    <n v="240.24924042178793"/>
    <x v="1"/>
  </r>
  <r>
    <s v="Regular"/>
    <x v="1"/>
    <x v="1"/>
    <x v="1"/>
    <x v="1"/>
    <x v="1"/>
    <x v="0"/>
    <x v="0"/>
    <x v="10"/>
    <n v="228"/>
    <n v="228"/>
    <n v="24.324999999999999"/>
    <n v="24.324999999999999"/>
    <n v="24.324999999999999"/>
    <n v="24.324999999999999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516.26893500000006"/>
    <n v="108.52846079066435"/>
    <n v="281.56016444690641"/>
    <x v="1"/>
  </r>
  <r>
    <s v="Regular"/>
    <x v="1"/>
    <x v="1"/>
    <x v="1"/>
    <x v="1"/>
    <x v="1"/>
    <x v="0"/>
    <x v="0"/>
    <x v="11"/>
    <n v="228"/>
    <n v="228"/>
    <n v="29.733000000000001"/>
    <n v="29.733000000000001"/>
    <n v="29.733000000000001"/>
    <n v="29.733000000000001"/>
    <n v="0"/>
    <s v="CATIVO"/>
    <n v="0"/>
    <n v="14"/>
    <n v="15"/>
    <n v="66"/>
    <n v="11.674799999999999"/>
    <n v="65.207800000000006"/>
    <n v="267.29840000000002"/>
    <n v="15.390732012711172"/>
    <n v="107.69938549850256"/>
    <n v="266.55667412945121"/>
    <n v="169.90559999999999"/>
    <n v="631.04724540000018"/>
    <n v="108.52846079066435"/>
    <n v="344.1573841521016"/>
    <x v="1"/>
  </r>
  <r>
    <s v="Regular"/>
    <x v="1"/>
    <x v="1"/>
    <x v="1"/>
    <x v="1"/>
    <x v="1"/>
    <x v="0"/>
    <x v="2"/>
    <x v="0"/>
    <n v="228"/>
    <n v="228"/>
    <n v="4.1959999999999997"/>
    <n v="4.1959999999999997"/>
    <n v="4.1959999999999997"/>
    <n v="4.1959999999999997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31.99021519999997"/>
    <n v="279.96857716407607"/>
    <n v="68.174931816409057"/>
    <x v="1"/>
  </r>
  <r>
    <s v="Regular"/>
    <x v="1"/>
    <x v="1"/>
    <x v="1"/>
    <x v="1"/>
    <x v="1"/>
    <x v="0"/>
    <x v="2"/>
    <x v="1"/>
    <n v="228"/>
    <n v="228"/>
    <n v="6.3650000000000002"/>
    <n v="6.3650000000000002"/>
    <n v="6.3650000000000002"/>
    <n v="6.3650000000000002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200.21871299999998"/>
    <n v="279.96857716407607"/>
    <n v="103.41597736211719"/>
    <x v="1"/>
  </r>
  <r>
    <s v="Regular"/>
    <x v="1"/>
    <x v="1"/>
    <x v="1"/>
    <x v="1"/>
    <x v="1"/>
    <x v="0"/>
    <x v="2"/>
    <x v="2"/>
    <n v="228"/>
    <n v="228"/>
    <n v="6.4050000000000002"/>
    <n v="6.4050000000000002"/>
    <n v="6.4050000000000002"/>
    <n v="6.4050000000000002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201.47696100000002"/>
    <n v="279.96857716407607"/>
    <n v="104.06588138324598"/>
    <x v="1"/>
  </r>
  <r>
    <s v="Regular"/>
    <x v="1"/>
    <x v="1"/>
    <x v="1"/>
    <x v="1"/>
    <x v="1"/>
    <x v="0"/>
    <x v="2"/>
    <x v="3"/>
    <n v="228"/>
    <n v="228"/>
    <n v="3.7879999999999998"/>
    <n v="3.7879999999999998"/>
    <n v="3.7879999999999998"/>
    <n v="3.7879999999999998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19.15608559999998"/>
    <n v="279.96857716407607"/>
    <n v="61.545910800895513"/>
    <x v="1"/>
  </r>
  <r>
    <s v="Regular"/>
    <x v="1"/>
    <x v="1"/>
    <x v="1"/>
    <x v="1"/>
    <x v="1"/>
    <x v="0"/>
    <x v="2"/>
    <x v="4"/>
    <n v="228"/>
    <n v="228"/>
    <n v="8.0120000000000005"/>
    <n v="8.0120000000000005"/>
    <n v="8.0120000000000005"/>
    <n v="8.0120000000000005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252.02707439999998"/>
    <n v="279.96857716407607"/>
    <n v="130.17577543209472"/>
    <x v="1"/>
  </r>
  <r>
    <s v="Regular"/>
    <x v="1"/>
    <x v="1"/>
    <x v="1"/>
    <x v="1"/>
    <x v="1"/>
    <x v="0"/>
    <x v="2"/>
    <x v="5"/>
    <n v="228"/>
    <n v="228"/>
    <n v="4.8719999999999999"/>
    <n v="4.8719999999999999"/>
    <n v="4.8719999999999999"/>
    <n v="4.8719999999999999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53.25460639999997"/>
    <n v="279.96857716407607"/>
    <n v="79.15830977348547"/>
    <x v="1"/>
  </r>
  <r>
    <s v="Regular"/>
    <x v="1"/>
    <x v="1"/>
    <x v="1"/>
    <x v="1"/>
    <x v="1"/>
    <x v="0"/>
    <x v="2"/>
    <x v="6"/>
    <n v="228"/>
    <n v="228"/>
    <n v="1.9990000000000001"/>
    <n v="1.9990000000000001"/>
    <n v="1.9990000000000001"/>
    <n v="1.9990000000000001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62.88094379999999"/>
    <n v="279.96857716407607"/>
    <n v="32.478953455910812"/>
    <x v="1"/>
  </r>
  <r>
    <s v="Regular"/>
    <x v="1"/>
    <x v="1"/>
    <x v="1"/>
    <x v="1"/>
    <x v="1"/>
    <x v="0"/>
    <x v="2"/>
    <x v="7"/>
    <n v="228"/>
    <n v="228"/>
    <n v="4.0750000000000002"/>
    <n v="4.0750000000000002"/>
    <n v="4.0750000000000002"/>
    <n v="4.0750000000000002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28.18401499999999"/>
    <n v="279.96857716407607"/>
    <n v="66.208972152494511"/>
    <x v="1"/>
  </r>
  <r>
    <s v="Regular"/>
    <x v="1"/>
    <x v="1"/>
    <x v="1"/>
    <x v="1"/>
    <x v="1"/>
    <x v="0"/>
    <x v="2"/>
    <x v="8"/>
    <n v="228"/>
    <n v="228"/>
    <n v="1.7290000000000001"/>
    <n v="1.7290000000000001"/>
    <n v="1.7290000000000001"/>
    <n v="1.7290000000000001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54.387769799999994"/>
    <n v="279.96857716407607"/>
    <n v="28.092101313291536"/>
    <x v="1"/>
  </r>
  <r>
    <s v="Regular"/>
    <x v="1"/>
    <x v="1"/>
    <x v="1"/>
    <x v="1"/>
    <x v="1"/>
    <x v="0"/>
    <x v="2"/>
    <x v="9"/>
    <n v="228"/>
    <n v="228"/>
    <n v="0.53400000000000003"/>
    <n v="0.53400000000000003"/>
    <n v="0.53400000000000003"/>
    <n v="0.53400000000000003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6.797610800000001"/>
    <n v="279.96857716407607"/>
    <n v="8.6762186820692211"/>
    <x v="1"/>
  </r>
  <r>
    <s v="Regular"/>
    <x v="1"/>
    <x v="1"/>
    <x v="1"/>
    <x v="1"/>
    <x v="1"/>
    <x v="0"/>
    <x v="2"/>
    <x v="10"/>
    <n v="228"/>
    <n v="228"/>
    <n v="0.55200000000000005"/>
    <n v="0.55200000000000005"/>
    <n v="0.55200000000000005"/>
    <n v="0.55200000000000005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7.3638224"/>
    <n v="279.96857716407607"/>
    <n v="8.9686754915771729"/>
    <x v="1"/>
  </r>
  <r>
    <s v="Regular"/>
    <x v="1"/>
    <x v="1"/>
    <x v="1"/>
    <x v="1"/>
    <x v="1"/>
    <x v="0"/>
    <x v="2"/>
    <x v="11"/>
    <n v="228"/>
    <n v="228"/>
    <n v="0.63400000000000001"/>
    <n v="0.63400000000000001"/>
    <n v="0.63400000000000001"/>
    <n v="0.63400000000000001"/>
    <n v="0"/>
    <s v="CATIVO"/>
    <n v="0"/>
    <n v="13"/>
    <n v="15"/>
    <n v="65"/>
    <n v="29.816799999999997"/>
    <n v="65.207800000000006"/>
    <n v="427.60599999999994"/>
    <n v="39.703146176776869"/>
    <n v="107.69938549850256"/>
    <n v="417.63969824726166"/>
    <n v="433.92959999999994"/>
    <n v="19.943230799999995"/>
    <n v="279.96857716407607"/>
    <n v="10.300978734891171"/>
    <x v="1"/>
  </r>
  <r>
    <s v="Regular"/>
    <x v="1"/>
    <x v="0"/>
    <x v="0"/>
    <x v="0"/>
    <x v="0"/>
    <x v="0"/>
    <x v="0"/>
    <x v="0"/>
    <n v="0"/>
    <n v="0"/>
    <n v="2193.7249999999999"/>
    <n v="2193.7249999999999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1"/>
    <n v="0"/>
    <n v="0"/>
    <n v="2078.8359999999998"/>
    <n v="2078.8359999999998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2"/>
    <n v="0"/>
    <n v="0"/>
    <n v="2262.5709999999999"/>
    <n v="2262.5709999999999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3"/>
    <n v="0"/>
    <n v="0"/>
    <n v="1877.665"/>
    <n v="1877.665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4"/>
    <n v="0"/>
    <n v="0"/>
    <n v="2452.4029999999998"/>
    <n v="2452.4029999999998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5"/>
    <n v="0"/>
    <n v="0"/>
    <n v="2507.5810000000001"/>
    <n v="2507.5810000000001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6"/>
    <n v="0"/>
    <n v="0"/>
    <n v="2568.9499999999998"/>
    <n v="2568.9499999999998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7"/>
    <n v="0"/>
    <n v="0"/>
    <n v="2392.5479999999998"/>
    <n v="2392.5479999999998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8"/>
    <n v="0"/>
    <n v="0"/>
    <n v="2477.0079999999998"/>
    <n v="2477.0079999999998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9"/>
    <n v="0"/>
    <n v="0"/>
    <n v="2495.9270000000001"/>
    <n v="2495.9270000000001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10"/>
    <n v="0"/>
    <n v="0"/>
    <n v="2841.056"/>
    <n v="2841.056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0"/>
    <x v="11"/>
    <n v="0"/>
    <n v="0"/>
    <n v="1900.19"/>
    <n v="1900.19"/>
    <n v="0"/>
    <n v="0"/>
    <n v="0"/>
    <s v="LIVRE"/>
    <n v="0"/>
    <n v="0"/>
    <n v="20"/>
    <n v="0"/>
    <n v="0"/>
    <n v="69.37"/>
    <n v="0"/>
    <m/>
    <n v="111.03029432835316"/>
    <m/>
    <n v="0"/>
    <n v="0"/>
    <n v="0"/>
    <n v="0"/>
    <x v="0"/>
  </r>
  <r>
    <s v="Regular"/>
    <x v="1"/>
    <x v="0"/>
    <x v="0"/>
    <x v="0"/>
    <x v="0"/>
    <x v="0"/>
    <x v="1"/>
    <x v="0"/>
    <n v="6743"/>
    <n v="3371.5"/>
    <n v="0"/>
    <n v="0"/>
    <n v="0"/>
    <n v="0"/>
    <n v="10"/>
    <s v="LIVRE"/>
    <n v="0"/>
    <n v="18"/>
    <n v="0"/>
    <n v="0"/>
    <n v="12.42"/>
    <n v="0"/>
    <n v="0"/>
    <n v="15.866734033722858"/>
    <m/>
    <m/>
    <n v="41874.03"/>
    <n v="0"/>
    <n v="53494.693794696614"/>
    <n v="0"/>
    <x v="0"/>
  </r>
  <r>
    <s v="Regular"/>
    <x v="1"/>
    <x v="0"/>
    <x v="0"/>
    <x v="0"/>
    <x v="0"/>
    <x v="0"/>
    <x v="1"/>
    <x v="1"/>
    <n v="6840"/>
    <n v="3420"/>
    <n v="0"/>
    <n v="0"/>
    <n v="0"/>
    <n v="0"/>
    <n v="10"/>
    <s v="LIVRE"/>
    <n v="0"/>
    <n v="18"/>
    <n v="0"/>
    <n v="0"/>
    <n v="12.42"/>
    <n v="0"/>
    <n v="0"/>
    <n v="15.866734033722858"/>
    <m/>
    <m/>
    <n v="42476.4"/>
    <n v="0"/>
    <n v="54264.230395332175"/>
    <n v="0"/>
    <x v="0"/>
  </r>
  <r>
    <s v="Regular"/>
    <x v="1"/>
    <x v="0"/>
    <x v="0"/>
    <x v="0"/>
    <x v="0"/>
    <x v="0"/>
    <x v="1"/>
    <x v="2"/>
    <n v="6855"/>
    <n v="3427.5"/>
    <n v="0"/>
    <n v="0"/>
    <n v="0"/>
    <n v="0"/>
    <n v="10"/>
    <s v="LIVRE"/>
    <n v="0"/>
    <n v="18"/>
    <n v="0"/>
    <n v="0"/>
    <n v="12.42"/>
    <n v="0"/>
    <n v="0"/>
    <n v="15.866734033722858"/>
    <m/>
    <m/>
    <n v="42569.55"/>
    <n v="0"/>
    <n v="54383.230900585098"/>
    <n v="0"/>
    <x v="0"/>
  </r>
  <r>
    <s v="Regular"/>
    <x v="1"/>
    <x v="0"/>
    <x v="0"/>
    <x v="0"/>
    <x v="0"/>
    <x v="0"/>
    <x v="1"/>
    <x v="3"/>
    <n v="5195"/>
    <n v="2597.5"/>
    <n v="0"/>
    <n v="0"/>
    <n v="0"/>
    <n v="0"/>
    <n v="10"/>
    <s v="LIVRE"/>
    <n v="0"/>
    <n v="18"/>
    <n v="0"/>
    <n v="0"/>
    <n v="12.42"/>
    <n v="0"/>
    <n v="0"/>
    <n v="15.866734033722858"/>
    <m/>
    <m/>
    <n v="32260.95"/>
    <n v="0"/>
    <n v="41213.841652595125"/>
    <n v="0"/>
    <x v="0"/>
  </r>
  <r>
    <s v="Regular"/>
    <x v="1"/>
    <x v="0"/>
    <x v="0"/>
    <x v="0"/>
    <x v="0"/>
    <x v="0"/>
    <x v="1"/>
    <x v="4"/>
    <n v="6646"/>
    <n v="3323"/>
    <n v="0"/>
    <n v="0"/>
    <n v="0"/>
    <n v="0"/>
    <n v="11"/>
    <s v="LIVRE"/>
    <n v="0"/>
    <n v="18"/>
    <n v="0"/>
    <n v="0"/>
    <n v="12.42"/>
    <n v="0"/>
    <n v="0"/>
    <n v="15.866734033722858"/>
    <m/>
    <m/>
    <n v="41271.659999999996"/>
    <n v="0"/>
    <n v="52725.157194061059"/>
    <n v="0"/>
    <x v="0"/>
  </r>
  <r>
    <s v="Regular"/>
    <x v="1"/>
    <x v="0"/>
    <x v="0"/>
    <x v="0"/>
    <x v="0"/>
    <x v="0"/>
    <x v="1"/>
    <x v="5"/>
    <n v="6803"/>
    <n v="3401.5"/>
    <n v="0"/>
    <n v="0"/>
    <n v="0"/>
    <n v="0"/>
    <n v="12"/>
    <s v="LIVRE"/>
    <n v="0"/>
    <n v="18"/>
    <n v="0"/>
    <n v="0"/>
    <n v="12.42"/>
    <n v="0"/>
    <n v="0"/>
    <n v="15.866734033722858"/>
    <m/>
    <m/>
    <n v="42246.63"/>
    <n v="0"/>
    <n v="53970.695815708306"/>
    <n v="0"/>
    <x v="0"/>
  </r>
  <r>
    <s v="Regular"/>
    <x v="1"/>
    <x v="0"/>
    <x v="0"/>
    <x v="0"/>
    <x v="0"/>
    <x v="0"/>
    <x v="1"/>
    <x v="6"/>
    <n v="6862"/>
    <n v="3431"/>
    <n v="0"/>
    <n v="0"/>
    <n v="0"/>
    <n v="0"/>
    <n v="12"/>
    <s v="LIVRE"/>
    <n v="0"/>
    <n v="18"/>
    <n v="0"/>
    <n v="0"/>
    <n v="12.42"/>
    <n v="0"/>
    <n v="0"/>
    <n v="15.866734033722858"/>
    <m/>
    <m/>
    <n v="42613.02"/>
    <n v="0"/>
    <n v="54438.764469703128"/>
    <n v="0"/>
    <x v="0"/>
  </r>
  <r>
    <s v="Regular"/>
    <x v="1"/>
    <x v="0"/>
    <x v="0"/>
    <x v="0"/>
    <x v="0"/>
    <x v="0"/>
    <x v="1"/>
    <x v="7"/>
    <n v="6817"/>
    <n v="3408.5"/>
    <n v="0"/>
    <n v="0"/>
    <n v="0"/>
    <n v="0"/>
    <n v="12"/>
    <s v="LIVRE"/>
    <n v="0"/>
    <n v="18"/>
    <n v="0"/>
    <n v="0"/>
    <n v="12.42"/>
    <n v="0"/>
    <n v="0"/>
    <n v="15.866734033722858"/>
    <m/>
    <m/>
    <n v="42333.57"/>
    <n v="0"/>
    <n v="54081.762953944366"/>
    <n v="0"/>
    <x v="0"/>
  </r>
  <r>
    <s v="Regular"/>
    <x v="1"/>
    <x v="0"/>
    <x v="0"/>
    <x v="0"/>
    <x v="0"/>
    <x v="0"/>
    <x v="1"/>
    <x v="8"/>
    <n v="6956"/>
    <n v="3478"/>
    <n v="0"/>
    <n v="0"/>
    <n v="0"/>
    <n v="0"/>
    <n v="12"/>
    <s v="LIVRE"/>
    <n v="0"/>
    <n v="18"/>
    <n v="0"/>
    <n v="0"/>
    <n v="12.42"/>
    <n v="0"/>
    <n v="0"/>
    <n v="15.866734033722858"/>
    <m/>
    <m/>
    <n v="43196.76"/>
    <n v="0"/>
    <n v="55184.500969288099"/>
    <n v="0"/>
    <x v="0"/>
  </r>
  <r>
    <s v="Regular"/>
    <x v="1"/>
    <x v="0"/>
    <x v="0"/>
    <x v="0"/>
    <x v="0"/>
    <x v="0"/>
    <x v="1"/>
    <x v="9"/>
    <n v="6826"/>
    <n v="3413"/>
    <n v="0"/>
    <n v="0"/>
    <n v="0"/>
    <n v="0"/>
    <n v="12"/>
    <s v="LIVRE"/>
    <n v="0"/>
    <n v="18"/>
    <n v="0"/>
    <n v="0"/>
    <n v="12.42"/>
    <n v="0"/>
    <n v="0"/>
    <n v="15.866734033722858"/>
    <m/>
    <m/>
    <n v="42389.46"/>
    <n v="0"/>
    <n v="54153.163257096116"/>
    <n v="0"/>
    <x v="0"/>
  </r>
  <r>
    <s v="Regular"/>
    <x v="1"/>
    <x v="0"/>
    <x v="0"/>
    <x v="0"/>
    <x v="0"/>
    <x v="0"/>
    <x v="1"/>
    <x v="10"/>
    <n v="7054"/>
    <n v="3527"/>
    <n v="0"/>
    <n v="0"/>
    <n v="0"/>
    <n v="0"/>
    <n v="12"/>
    <s v="LIVRE"/>
    <n v="0"/>
    <n v="18"/>
    <n v="0"/>
    <n v="0"/>
    <n v="12.42"/>
    <n v="0"/>
    <n v="0"/>
    <n v="15.866734033722858"/>
    <m/>
    <m/>
    <n v="43805.34"/>
    <n v="0"/>
    <n v="55961.970936940525"/>
    <n v="0"/>
    <x v="0"/>
  </r>
  <r>
    <s v="Regular"/>
    <x v="1"/>
    <x v="0"/>
    <x v="0"/>
    <x v="0"/>
    <x v="0"/>
    <x v="0"/>
    <x v="1"/>
    <x v="11"/>
    <n v="5327"/>
    <n v="2663.5"/>
    <n v="0"/>
    <n v="0"/>
    <n v="0"/>
    <n v="0"/>
    <n v="11"/>
    <s v="LIVRE"/>
    <n v="0"/>
    <n v="18"/>
    <n v="0"/>
    <n v="0"/>
    <n v="12.42"/>
    <n v="0"/>
    <n v="0"/>
    <n v="15.866734033722858"/>
    <m/>
    <m/>
    <n v="33080.67"/>
    <n v="0"/>
    <n v="42261.046098820836"/>
    <n v="0"/>
    <x v="0"/>
  </r>
  <r>
    <s v="Regular"/>
    <x v="1"/>
    <x v="0"/>
    <x v="0"/>
    <x v="0"/>
    <x v="0"/>
    <x v="0"/>
    <x v="2"/>
    <x v="0"/>
    <n v="0"/>
    <n v="0"/>
    <n v="226.70599999999999"/>
    <n v="113.35299999999999"/>
    <n v="0"/>
    <n v="0"/>
    <n v="0"/>
    <s v="LIVRE"/>
    <n v="0"/>
    <n v="0"/>
    <n v="19"/>
    <n v="0"/>
    <n v="0"/>
    <n v="842.31"/>
    <n v="0"/>
    <m/>
    <n v="1109.1969409458418"/>
    <m/>
    <n v="0"/>
    <n v="95478.365429999991"/>
    <n v="0"/>
    <n v="125730.800847034"/>
    <x v="0"/>
  </r>
  <r>
    <s v="Regular"/>
    <x v="1"/>
    <x v="0"/>
    <x v="0"/>
    <x v="0"/>
    <x v="0"/>
    <x v="0"/>
    <x v="2"/>
    <x v="1"/>
    <n v="0"/>
    <n v="0"/>
    <n v="222.68600000000001"/>
    <n v="111.343"/>
    <n v="0"/>
    <n v="0"/>
    <n v="0"/>
    <s v="LIVRE"/>
    <n v="0"/>
    <n v="0"/>
    <n v="19"/>
    <n v="0"/>
    <n v="0"/>
    <n v="842.31"/>
    <n v="0"/>
    <m/>
    <n v="1109.1969409458418"/>
    <m/>
    <n v="0"/>
    <n v="93785.322329999995"/>
    <n v="0"/>
    <n v="123501.31499573287"/>
    <x v="0"/>
  </r>
  <r>
    <s v="Regular"/>
    <x v="1"/>
    <x v="0"/>
    <x v="0"/>
    <x v="0"/>
    <x v="0"/>
    <x v="0"/>
    <x v="2"/>
    <x v="2"/>
    <n v="0"/>
    <n v="0"/>
    <n v="230.55199999999999"/>
    <n v="115.276"/>
    <n v="0"/>
    <n v="0"/>
    <n v="0"/>
    <s v="LIVRE"/>
    <n v="0"/>
    <n v="0"/>
    <n v="19"/>
    <n v="0"/>
    <n v="0"/>
    <n v="842.31"/>
    <n v="0"/>
    <m/>
    <n v="1109.1969409458418"/>
    <m/>
    <n v="0"/>
    <n v="97098.127559999994"/>
    <n v="0"/>
    <n v="127863.78656447286"/>
    <x v="0"/>
  </r>
  <r>
    <s v="Regular"/>
    <x v="1"/>
    <x v="0"/>
    <x v="0"/>
    <x v="0"/>
    <x v="0"/>
    <x v="0"/>
    <x v="2"/>
    <x v="3"/>
    <n v="0"/>
    <n v="0"/>
    <n v="201.41900000000001"/>
    <n v="100.70950000000001"/>
    <n v="0"/>
    <n v="0"/>
    <n v="0"/>
    <s v="LIVRE"/>
    <n v="0"/>
    <n v="0"/>
    <n v="19"/>
    <n v="0"/>
    <n v="0"/>
    <n v="842.31"/>
    <n v="0"/>
    <m/>
    <n v="1109.1969409458418"/>
    <m/>
    <n v="0"/>
    <n v="84828.618944999995"/>
    <n v="0"/>
    <n v="111706.66932418526"/>
    <x v="0"/>
  </r>
  <r>
    <s v="Regular"/>
    <x v="1"/>
    <x v="0"/>
    <x v="0"/>
    <x v="0"/>
    <x v="0"/>
    <x v="0"/>
    <x v="2"/>
    <x v="4"/>
    <n v="0"/>
    <n v="0"/>
    <n v="266.76"/>
    <n v="133.38"/>
    <n v="0"/>
    <n v="0"/>
    <n v="0"/>
    <s v="LIVRE"/>
    <n v="0"/>
    <n v="0"/>
    <n v="19"/>
    <n v="0"/>
    <n v="0"/>
    <n v="842.31"/>
    <n v="0"/>
    <m/>
    <n v="1109.1969409458418"/>
    <m/>
    <n v="0"/>
    <n v="112347.3078"/>
    <n v="0"/>
    <n v="147944.68798335639"/>
    <x v="0"/>
  </r>
  <r>
    <s v="Regular"/>
    <x v="1"/>
    <x v="0"/>
    <x v="0"/>
    <x v="0"/>
    <x v="0"/>
    <x v="0"/>
    <x v="2"/>
    <x v="5"/>
    <n v="0"/>
    <n v="0"/>
    <n v="257.44299999999998"/>
    <n v="128.72149999999999"/>
    <n v="0"/>
    <n v="0"/>
    <n v="0"/>
    <s v="LIVRE"/>
    <n v="0"/>
    <n v="0"/>
    <n v="19"/>
    <n v="0"/>
    <n v="0"/>
    <n v="842.31"/>
    <n v="0"/>
    <m/>
    <n v="1109.1969409458418"/>
    <m/>
    <n v="0"/>
    <n v="108423.40666499999"/>
    <n v="0"/>
    <n v="142777.49403396016"/>
    <x v="0"/>
  </r>
  <r>
    <s v="Regular"/>
    <x v="1"/>
    <x v="0"/>
    <x v="0"/>
    <x v="0"/>
    <x v="0"/>
    <x v="0"/>
    <x v="2"/>
    <x v="6"/>
    <n v="0"/>
    <n v="0"/>
    <n v="276.63499999999999"/>
    <n v="138.3175"/>
    <n v="0"/>
    <n v="0"/>
    <n v="0"/>
    <s v="LIVRE"/>
    <n v="0"/>
    <n v="0"/>
    <n v="19"/>
    <n v="0"/>
    <n v="0"/>
    <n v="842.31"/>
    <n v="0"/>
    <m/>
    <n v="1109.1969409458418"/>
    <m/>
    <n v="0"/>
    <n v="116506.21342499999"/>
    <n v="0"/>
    <n v="153421.34787927647"/>
    <x v="0"/>
  </r>
  <r>
    <s v="Regular"/>
    <x v="1"/>
    <x v="0"/>
    <x v="0"/>
    <x v="0"/>
    <x v="0"/>
    <x v="0"/>
    <x v="2"/>
    <x v="7"/>
    <n v="0"/>
    <n v="0"/>
    <n v="262.87700000000001"/>
    <n v="131.4385"/>
    <n v="0"/>
    <n v="0"/>
    <n v="0"/>
    <s v="LIVRE"/>
    <n v="0"/>
    <n v="0"/>
    <n v="19"/>
    <n v="0"/>
    <n v="0"/>
    <n v="842.31"/>
    <n v="0"/>
    <m/>
    <n v="1109.1969409458418"/>
    <m/>
    <n v="0"/>
    <n v="110711.962935"/>
    <n v="0"/>
    <n v="145791.18212251004"/>
    <x v="0"/>
  </r>
  <r>
    <s v="Regular"/>
    <x v="1"/>
    <x v="0"/>
    <x v="0"/>
    <x v="0"/>
    <x v="0"/>
    <x v="0"/>
    <x v="2"/>
    <x v="8"/>
    <n v="0"/>
    <n v="0"/>
    <n v="261.62799999999999"/>
    <n v="130.81399999999999"/>
    <n v="0"/>
    <n v="0"/>
    <n v="0"/>
    <s v="LIVRE"/>
    <n v="0"/>
    <n v="0"/>
    <n v="19"/>
    <n v="0"/>
    <n v="0"/>
    <n v="842.31"/>
    <n v="0"/>
    <m/>
    <n v="1109.1969409458418"/>
    <m/>
    <n v="0"/>
    <n v="110185.94033999999"/>
    <n v="0"/>
    <n v="145098.48863288935"/>
    <x v="0"/>
  </r>
  <r>
    <s v="Regular"/>
    <x v="1"/>
    <x v="0"/>
    <x v="0"/>
    <x v="0"/>
    <x v="0"/>
    <x v="0"/>
    <x v="2"/>
    <x v="9"/>
    <n v="0"/>
    <n v="0"/>
    <n v="277.09199999999998"/>
    <n v="138.54599999999999"/>
    <n v="0"/>
    <n v="0"/>
    <n v="0"/>
    <s v="LIVRE"/>
    <n v="0"/>
    <n v="0"/>
    <n v="19"/>
    <n v="0"/>
    <n v="0"/>
    <n v="842.31"/>
    <n v="0"/>
    <m/>
    <n v="1109.1969409458418"/>
    <m/>
    <n v="0"/>
    <n v="116698.68125999998"/>
    <n v="0"/>
    <n v="153674.79938028258"/>
    <x v="0"/>
  </r>
  <r>
    <s v="Regular"/>
    <x v="1"/>
    <x v="0"/>
    <x v="0"/>
    <x v="0"/>
    <x v="0"/>
    <x v="0"/>
    <x v="2"/>
    <x v="10"/>
    <n v="0"/>
    <n v="0"/>
    <n v="318.57600000000002"/>
    <n v="159.28800000000001"/>
    <n v="0"/>
    <n v="0"/>
    <n v="0"/>
    <s v="LIVRE"/>
    <n v="0"/>
    <n v="0"/>
    <n v="19"/>
    <n v="0"/>
    <n v="0"/>
    <n v="842.31"/>
    <n v="0"/>
    <m/>
    <n v="1109.1969409458418"/>
    <m/>
    <n v="0"/>
    <n v="134169.87528000001"/>
    <n v="0"/>
    <n v="176681.76232938125"/>
    <x v="0"/>
  </r>
  <r>
    <s v="Regular"/>
    <x v="1"/>
    <x v="0"/>
    <x v="0"/>
    <x v="0"/>
    <x v="0"/>
    <x v="0"/>
    <x v="2"/>
    <x v="11"/>
    <n v="0"/>
    <n v="0"/>
    <n v="206.87200000000001"/>
    <n v="103.43600000000001"/>
    <n v="0"/>
    <n v="0"/>
    <n v="0"/>
    <s v="LIVRE"/>
    <n v="0"/>
    <n v="0"/>
    <n v="19"/>
    <n v="0"/>
    <n v="0"/>
    <n v="842.31"/>
    <n v="0"/>
    <m/>
    <n v="1109.1969409458418"/>
    <m/>
    <n v="0"/>
    <n v="87125.177160000007"/>
    <n v="0"/>
    <n v="114730.8947836741"/>
    <x v="0"/>
  </r>
  <r>
    <s v="Regular"/>
    <x v="1"/>
    <x v="0"/>
    <x v="2"/>
    <x v="0"/>
    <x v="1"/>
    <x v="0"/>
    <x v="0"/>
    <x v="0"/>
    <n v="0"/>
    <n v="0"/>
    <n v="5.0549999999999997"/>
    <n v="5.0549999999999997"/>
    <n v="5.0549999999999997"/>
    <n v="5.0549999999999997"/>
    <n v="0"/>
    <s v="CATIVO"/>
    <n v="0"/>
    <n v="0"/>
    <n v="20"/>
    <n v="66"/>
    <n v="0"/>
    <n v="66.595200000000006"/>
    <n v="272.98559999999998"/>
    <m/>
    <n v="108.80968844178609"/>
    <n v="269.30468107923934"/>
    <n v="0"/>
    <n v="71.524206000000007"/>
    <n v="0"/>
    <n v="39.007513018954768"/>
    <x v="2"/>
  </r>
  <r>
    <s v="Regular"/>
    <x v="1"/>
    <x v="0"/>
    <x v="2"/>
    <x v="0"/>
    <x v="1"/>
    <x v="0"/>
    <x v="0"/>
    <x v="1"/>
    <n v="0"/>
    <n v="0"/>
    <n v="3.0209999999999999"/>
    <n v="3.0209999999999999"/>
    <n v="3.0209999999999999"/>
    <n v="3.0209999999999999"/>
    <n v="0"/>
    <s v="CATIVO"/>
    <n v="0"/>
    <n v="0"/>
    <n v="20"/>
    <n v="66"/>
    <n v="0"/>
    <n v="66.595200000000006"/>
    <n v="272.98559999999998"/>
    <m/>
    <n v="108.80968844178609"/>
    <n v="269.30468107923934"/>
    <n v="0"/>
    <n v="42.744733199999992"/>
    <n v="0"/>
    <n v="23.311908373939136"/>
    <x v="2"/>
  </r>
  <r>
    <s v="Regular"/>
    <x v="1"/>
    <x v="0"/>
    <x v="2"/>
    <x v="0"/>
    <x v="1"/>
    <x v="0"/>
    <x v="0"/>
    <x v="2"/>
    <n v="0"/>
    <n v="0"/>
    <n v="2.4289999999999998"/>
    <n v="2.4289999999999998"/>
    <n v="2.4289999999999998"/>
    <n v="2.4289999999999998"/>
    <n v="0"/>
    <s v="CATIVO"/>
    <n v="0"/>
    <n v="0"/>
    <n v="20"/>
    <n v="66"/>
    <n v="0"/>
    <n v="66.595200000000006"/>
    <n v="272.98559999999998"/>
    <m/>
    <n v="108.80968844178609"/>
    <n v="269.30468107923934"/>
    <n v="0"/>
    <n v="34.368406799999995"/>
    <n v="0"/>
    <n v="18.743669460542257"/>
    <x v="2"/>
  </r>
  <r>
    <s v="Regular"/>
    <x v="1"/>
    <x v="0"/>
    <x v="2"/>
    <x v="0"/>
    <x v="1"/>
    <x v="0"/>
    <x v="0"/>
    <x v="3"/>
    <n v="0"/>
    <n v="0"/>
    <n v="2.7210000000000001"/>
    <n v="2.7210000000000001"/>
    <n v="2.7210000000000001"/>
    <n v="2.7210000000000001"/>
    <n v="0"/>
    <s v="CATIVO"/>
    <n v="0"/>
    <n v="0"/>
    <n v="20"/>
    <n v="66"/>
    <n v="0"/>
    <n v="66.595200000000006"/>
    <n v="272.98559999999998"/>
    <m/>
    <n v="108.80968844178609"/>
    <n v="269.30468107923934"/>
    <n v="0"/>
    <n v="38.499973200000007"/>
    <n v="0"/>
    <n v="20.996922438096124"/>
    <x v="2"/>
  </r>
  <r>
    <s v="Regular"/>
    <x v="1"/>
    <x v="0"/>
    <x v="2"/>
    <x v="0"/>
    <x v="1"/>
    <x v="0"/>
    <x v="0"/>
    <x v="4"/>
    <n v="0"/>
    <n v="0"/>
    <n v="2.7639999999999998"/>
    <n v="2.7639999999999998"/>
    <n v="2.7639999999999998"/>
    <n v="2.7639999999999998"/>
    <n v="0"/>
    <s v="CATIVO"/>
    <n v="0"/>
    <n v="0"/>
    <n v="20"/>
    <n v="66"/>
    <n v="0"/>
    <n v="66.595200000000006"/>
    <n v="272.98559999999998"/>
    <m/>
    <n v="108.80968844178609"/>
    <n v="269.30468107923934"/>
    <n v="0"/>
    <n v="39.1083888"/>
    <n v="0"/>
    <n v="21.32873708890029"/>
    <x v="2"/>
  </r>
  <r>
    <s v="Regular"/>
    <x v="1"/>
    <x v="0"/>
    <x v="2"/>
    <x v="0"/>
    <x v="1"/>
    <x v="0"/>
    <x v="0"/>
    <x v="5"/>
    <n v="0"/>
    <n v="0"/>
    <n v="2.819"/>
    <n v="2.819"/>
    <n v="2.819"/>
    <n v="2.819"/>
    <n v="0"/>
    <s v="CATIVO"/>
    <n v="0"/>
    <n v="0"/>
    <n v="20"/>
    <n v="66"/>
    <n v="0"/>
    <n v="66.595200000000006"/>
    <n v="272.98559999999998"/>
    <m/>
    <n v="108.80968844178609"/>
    <n v="269.30468107923934"/>
    <n v="0"/>
    <n v="39.886594800000005"/>
    <n v="0"/>
    <n v="21.753151177138179"/>
    <x v="2"/>
  </r>
  <r>
    <s v="Regular"/>
    <x v="1"/>
    <x v="0"/>
    <x v="2"/>
    <x v="0"/>
    <x v="1"/>
    <x v="0"/>
    <x v="0"/>
    <x v="6"/>
    <n v="0"/>
    <n v="0"/>
    <n v="2.294"/>
    <n v="2.294"/>
    <n v="2.294"/>
    <n v="2.294"/>
    <n v="0"/>
    <s v="CATIVO"/>
    <n v="0"/>
    <n v="0"/>
    <n v="20"/>
    <n v="66"/>
    <n v="0"/>
    <n v="66.595200000000006"/>
    <n v="272.98559999999998"/>
    <m/>
    <n v="108.80968844178609"/>
    <n v="269.30468107923934"/>
    <n v="0"/>
    <n v="32.458264800000002"/>
    <n v="0"/>
    <n v="17.701925789412904"/>
    <x v="2"/>
  </r>
  <r>
    <s v="Regular"/>
    <x v="1"/>
    <x v="0"/>
    <x v="2"/>
    <x v="0"/>
    <x v="1"/>
    <x v="0"/>
    <x v="0"/>
    <x v="8"/>
    <n v="0"/>
    <n v="0"/>
    <n v="3.8010000000000002"/>
    <n v="3.8010000000000002"/>
    <n v="3.8010000000000002"/>
    <n v="3.8010000000000002"/>
    <n v="0"/>
    <s v="CATIVO"/>
    <n v="0"/>
    <n v="0"/>
    <n v="20"/>
    <n v="66"/>
    <n v="0"/>
    <n v="66.595200000000006"/>
    <n v="272.98559999999998"/>
    <m/>
    <n v="108.80968844178609"/>
    <n v="269.30468107923934"/>
    <n v="0"/>
    <n v="53.781109199999996"/>
    <n v="0"/>
    <n v="29.330871807130979"/>
    <x v="2"/>
  </r>
  <r>
    <s v="Regular"/>
    <x v="1"/>
    <x v="0"/>
    <x v="2"/>
    <x v="0"/>
    <x v="1"/>
    <x v="0"/>
    <x v="0"/>
    <x v="9"/>
    <n v="0"/>
    <n v="0"/>
    <n v="3.0979999999999999"/>
    <n v="3.0979999999999999"/>
    <n v="3.0979999999999999"/>
    <n v="3.0979999999999999"/>
    <n v="0"/>
    <s v="CATIVO"/>
    <n v="0"/>
    <n v="0"/>
    <n v="20"/>
    <n v="66"/>
    <n v="0"/>
    <n v="66.595200000000006"/>
    <n v="272.98559999999998"/>
    <m/>
    <n v="108.80968844178609"/>
    <n v="269.30468107923934"/>
    <n v="0"/>
    <n v="43.834221599999999"/>
    <n v="0"/>
    <n v="23.906088097472178"/>
    <x v="2"/>
  </r>
  <r>
    <s v="Regular"/>
    <x v="1"/>
    <x v="0"/>
    <x v="2"/>
    <x v="0"/>
    <x v="1"/>
    <x v="0"/>
    <x v="0"/>
    <x v="10"/>
    <n v="0"/>
    <n v="0"/>
    <n v="2.2429999999999999"/>
    <n v="2.2429999999999999"/>
    <n v="2.2429999999999999"/>
    <n v="2.2429999999999999"/>
    <n v="0"/>
    <s v="CATIVO"/>
    <n v="0"/>
    <n v="0"/>
    <n v="20"/>
    <n v="66"/>
    <n v="0"/>
    <n v="66.595200000000006"/>
    <n v="272.98559999999998"/>
    <m/>
    <n v="108.80968844178609"/>
    <n v="269.30468107923934"/>
    <n v="0"/>
    <n v="31.736655599999999"/>
    <n v="0"/>
    <n v="17.308378180319593"/>
    <x v="2"/>
  </r>
  <r>
    <s v="Regular"/>
    <x v="1"/>
    <x v="0"/>
    <x v="2"/>
    <x v="0"/>
    <x v="1"/>
    <x v="0"/>
    <x v="0"/>
    <x v="11"/>
    <n v="0"/>
    <n v="0"/>
    <n v="2.492"/>
    <n v="2.492"/>
    <n v="2.492"/>
    <n v="2.492"/>
    <n v="0"/>
    <s v="CATIVO"/>
    <n v="0"/>
    <n v="0"/>
    <n v="20"/>
    <n v="66"/>
    <n v="0"/>
    <n v="66.595200000000006"/>
    <n v="272.98559999999998"/>
    <m/>
    <n v="108.80968844178609"/>
    <n v="269.30468107923934"/>
    <n v="0"/>
    <n v="35.259806400000002"/>
    <n v="0"/>
    <n v="19.229816507069295"/>
    <x v="2"/>
  </r>
  <r>
    <s v="Regular"/>
    <x v="1"/>
    <x v="0"/>
    <x v="2"/>
    <x v="0"/>
    <x v="1"/>
    <x v="0"/>
    <x v="1"/>
    <x v="0"/>
    <n v="98"/>
    <n v="98"/>
    <n v="0"/>
    <n v="0"/>
    <n v="0"/>
    <n v="0"/>
    <n v="2"/>
    <s v="CATIVO"/>
    <n v="0"/>
    <n v="18"/>
    <n v="0"/>
    <n v="0"/>
    <n v="11.9232"/>
    <n v="0"/>
    <n v="0"/>
    <n v="15.5493993530484"/>
    <m/>
    <m/>
    <n v="48.686400000000006"/>
    <n v="0"/>
    <n v="31.098798706096805"/>
    <n v="0"/>
    <x v="2"/>
  </r>
  <r>
    <s v="Regular"/>
    <x v="1"/>
    <x v="0"/>
    <x v="2"/>
    <x v="0"/>
    <x v="1"/>
    <x v="0"/>
    <x v="1"/>
    <x v="1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2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3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4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5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6"/>
    <n v="37"/>
    <n v="37"/>
    <n v="0"/>
    <n v="0"/>
    <n v="0"/>
    <n v="0"/>
    <n v="2"/>
    <s v="CATIVO"/>
    <n v="0"/>
    <n v="18"/>
    <n v="0"/>
    <n v="0"/>
    <n v="11.9232"/>
    <n v="0"/>
    <n v="0"/>
    <n v="15.5493993530484"/>
    <m/>
    <m/>
    <n v="18.381599999999999"/>
    <n v="0"/>
    <n v="11.741383184954914"/>
    <n v="0"/>
    <x v="2"/>
  </r>
  <r>
    <s v="Regular"/>
    <x v="1"/>
    <x v="0"/>
    <x v="2"/>
    <x v="0"/>
    <x v="1"/>
    <x v="0"/>
    <x v="1"/>
    <x v="8"/>
    <n v="30"/>
    <n v="30"/>
    <n v="0"/>
    <n v="0"/>
    <n v="0"/>
    <n v="0"/>
    <n v="1"/>
    <s v="CATIVO"/>
    <n v="0"/>
    <n v="18"/>
    <n v="0"/>
    <n v="0"/>
    <n v="11.9232"/>
    <n v="0"/>
    <n v="0"/>
    <n v="15.5493993530484"/>
    <m/>
    <m/>
    <n v="14.904"/>
    <n v="0"/>
    <n v="9.5200404202337161"/>
    <n v="0"/>
    <x v="2"/>
  </r>
  <r>
    <s v="Regular"/>
    <x v="1"/>
    <x v="0"/>
    <x v="2"/>
    <x v="0"/>
    <x v="1"/>
    <x v="0"/>
    <x v="1"/>
    <x v="9"/>
    <n v="30"/>
    <n v="30"/>
    <n v="0"/>
    <n v="0"/>
    <n v="0"/>
    <n v="0"/>
    <n v="1"/>
    <s v="CATIVO"/>
    <n v="0"/>
    <n v="18"/>
    <n v="0"/>
    <n v="0"/>
    <n v="11.9232"/>
    <n v="0"/>
    <n v="0"/>
    <n v="15.5493993530484"/>
    <m/>
    <m/>
    <n v="14.904"/>
    <n v="0"/>
    <n v="9.5200404202337161"/>
    <n v="0"/>
    <x v="2"/>
  </r>
  <r>
    <s v="Regular"/>
    <x v="1"/>
    <x v="0"/>
    <x v="2"/>
    <x v="0"/>
    <x v="1"/>
    <x v="0"/>
    <x v="1"/>
    <x v="10"/>
    <n v="30"/>
    <n v="30"/>
    <n v="0"/>
    <n v="0"/>
    <n v="0"/>
    <n v="0"/>
    <n v="1"/>
    <s v="CATIVO"/>
    <n v="0"/>
    <n v="18"/>
    <n v="0"/>
    <n v="0"/>
    <n v="11.9232"/>
    <n v="0"/>
    <n v="0"/>
    <n v="15.5493993530484"/>
    <m/>
    <m/>
    <n v="14.904"/>
    <n v="0"/>
    <n v="9.5200404202337161"/>
    <n v="0"/>
    <x v="2"/>
  </r>
  <r>
    <s v="Regular"/>
    <x v="1"/>
    <x v="0"/>
    <x v="2"/>
    <x v="0"/>
    <x v="1"/>
    <x v="0"/>
    <x v="1"/>
    <x v="11"/>
    <n v="30"/>
    <n v="30"/>
    <n v="0"/>
    <n v="0"/>
    <n v="0"/>
    <n v="0"/>
    <n v="1"/>
    <s v="CATIVO"/>
    <n v="0"/>
    <n v="18"/>
    <n v="0"/>
    <n v="0"/>
    <n v="11.9232"/>
    <n v="0"/>
    <n v="0"/>
    <n v="15.5493993530484"/>
    <m/>
    <m/>
    <n v="14.904"/>
    <n v="0"/>
    <n v="9.5200404202337161"/>
    <n v="0"/>
    <x v="2"/>
  </r>
  <r>
    <s v="Regular"/>
    <x v="1"/>
    <x v="0"/>
    <x v="2"/>
    <x v="0"/>
    <x v="1"/>
    <x v="0"/>
    <x v="2"/>
    <x v="0"/>
    <n v="0"/>
    <n v="0"/>
    <n v="0.33300000000000002"/>
    <n v="0.33300000000000002"/>
    <n v="0.33300000000000002"/>
    <n v="0.33300000000000002"/>
    <n v="0"/>
    <s v="CATIVO"/>
    <n v="0"/>
    <n v="0"/>
    <n v="19"/>
    <n v="65"/>
    <n v="0"/>
    <n v="808.61759999999992"/>
    <n v="436.70399999999995"/>
    <m/>
    <n v="1087.0130021269249"/>
    <n v="421.94526214671799"/>
    <n v="0"/>
    <n v="17.278837199999998"/>
    <n v="0"/>
    <n v="10.254757183737208"/>
    <x v="2"/>
  </r>
  <r>
    <s v="Regular"/>
    <x v="1"/>
    <x v="0"/>
    <x v="2"/>
    <x v="0"/>
    <x v="1"/>
    <x v="0"/>
    <x v="2"/>
    <x v="1"/>
    <n v="0"/>
    <n v="0"/>
    <n v="0.39800000000000002"/>
    <n v="0.39800000000000002"/>
    <n v="0.39800000000000002"/>
    <n v="0.39800000000000002"/>
    <n v="0"/>
    <s v="CATIVO"/>
    <n v="0"/>
    <n v="0"/>
    <n v="19"/>
    <n v="65"/>
    <n v="0"/>
    <n v="808.61759999999992"/>
    <n v="436.70399999999995"/>
    <m/>
    <n v="1087.0130021269249"/>
    <n v="421.94526214671799"/>
    <n v="0"/>
    <n v="20.651583200000001"/>
    <n v="0"/>
    <n v="12.256436513896123"/>
    <x v="2"/>
  </r>
  <r>
    <s v="Regular"/>
    <x v="1"/>
    <x v="0"/>
    <x v="2"/>
    <x v="0"/>
    <x v="1"/>
    <x v="0"/>
    <x v="2"/>
    <x v="2"/>
    <n v="0"/>
    <n v="0"/>
    <n v="0.35799999999999998"/>
    <n v="0.35799999999999998"/>
    <n v="0.35799999999999998"/>
    <n v="0.35799999999999998"/>
    <n v="0"/>
    <s v="CATIVO"/>
    <n v="0"/>
    <n v="0"/>
    <n v="19"/>
    <n v="65"/>
    <n v="0"/>
    <n v="808.61759999999992"/>
    <n v="436.70399999999995"/>
    <m/>
    <n v="1087.0130021269249"/>
    <n v="421.94526214671799"/>
    <n v="0"/>
    <n v="18.576047199999998"/>
    <n v="0"/>
    <n v="11.024633849182942"/>
    <x v="2"/>
  </r>
  <r>
    <s v="Regular"/>
    <x v="1"/>
    <x v="0"/>
    <x v="2"/>
    <x v="0"/>
    <x v="1"/>
    <x v="0"/>
    <x v="2"/>
    <x v="3"/>
    <n v="0"/>
    <n v="0"/>
    <n v="0.371"/>
    <n v="0.371"/>
    <n v="0.371"/>
    <n v="0.371"/>
    <n v="0"/>
    <s v="CATIVO"/>
    <n v="0"/>
    <n v="0"/>
    <n v="19"/>
    <n v="65"/>
    <n v="0"/>
    <n v="808.61759999999992"/>
    <n v="436.70399999999995"/>
    <m/>
    <n v="1087.0130021269249"/>
    <n v="421.94526214671799"/>
    <n v="0"/>
    <n v="19.250596400000003"/>
    <n v="0"/>
    <n v="11.424969715214726"/>
    <x v="2"/>
  </r>
  <r>
    <s v="Regular"/>
    <x v="1"/>
    <x v="0"/>
    <x v="2"/>
    <x v="0"/>
    <x v="1"/>
    <x v="0"/>
    <x v="2"/>
    <x v="4"/>
    <n v="0"/>
    <n v="0"/>
    <n v="0.34499999999999997"/>
    <n v="0.34499999999999997"/>
    <n v="0.34499999999999997"/>
    <n v="0.34499999999999997"/>
    <n v="0"/>
    <s v="CATIVO"/>
    <n v="0"/>
    <n v="0"/>
    <n v="19"/>
    <n v="65"/>
    <n v="0"/>
    <n v="808.61759999999992"/>
    <n v="436.70399999999995"/>
    <m/>
    <n v="1087.0130021269249"/>
    <n v="421.94526214671799"/>
    <n v="0"/>
    <n v="17.901497999999997"/>
    <n v="0"/>
    <n v="10.624297983151159"/>
    <x v="2"/>
  </r>
  <r>
    <s v="Regular"/>
    <x v="1"/>
    <x v="0"/>
    <x v="2"/>
    <x v="0"/>
    <x v="1"/>
    <x v="0"/>
    <x v="2"/>
    <x v="5"/>
    <n v="0"/>
    <n v="0"/>
    <n v="0.34399999999999997"/>
    <n v="0.34399999999999997"/>
    <n v="0.34399999999999997"/>
    <n v="0.34399999999999997"/>
    <n v="0"/>
    <s v="CATIVO"/>
    <n v="0"/>
    <n v="0"/>
    <n v="19"/>
    <n v="65"/>
    <n v="0"/>
    <n v="808.61759999999992"/>
    <n v="436.70399999999995"/>
    <m/>
    <n v="1087.0130021269249"/>
    <n v="421.94526214671799"/>
    <n v="0"/>
    <n v="17.849609599999997"/>
    <n v="0"/>
    <n v="10.593502916533327"/>
    <x v="2"/>
  </r>
  <r>
    <s v="Regular"/>
    <x v="1"/>
    <x v="0"/>
    <x v="2"/>
    <x v="0"/>
    <x v="1"/>
    <x v="0"/>
    <x v="2"/>
    <x v="6"/>
    <n v="0"/>
    <n v="0"/>
    <n v="0.31"/>
    <n v="0.31"/>
    <n v="0.31"/>
    <n v="0.31"/>
    <n v="0"/>
    <s v="CATIVO"/>
    <n v="0"/>
    <n v="0"/>
    <n v="19"/>
    <n v="65"/>
    <n v="0"/>
    <n v="808.61759999999992"/>
    <n v="436.70399999999995"/>
    <m/>
    <n v="1087.0130021269249"/>
    <n v="421.94526214671799"/>
    <n v="0"/>
    <n v="16.085403999999997"/>
    <n v="0"/>
    <n v="9.5464706515271285"/>
    <x v="2"/>
  </r>
  <r>
    <s v="Regular"/>
    <x v="1"/>
    <x v="0"/>
    <x v="2"/>
    <x v="0"/>
    <x v="1"/>
    <x v="0"/>
    <x v="2"/>
    <x v="8"/>
    <n v="0"/>
    <n v="0"/>
    <n v="0.49299999999999999"/>
    <n v="0.49299999999999999"/>
    <n v="0.49299999999999999"/>
    <n v="0.49299999999999999"/>
    <n v="0"/>
    <s v="CATIVO"/>
    <n v="0"/>
    <n v="0"/>
    <n v="19"/>
    <n v="65"/>
    <n v="0"/>
    <n v="808.61759999999992"/>
    <n v="436.70399999999995"/>
    <m/>
    <n v="1087.0130021269249"/>
    <n v="421.94526214671799"/>
    <n v="0"/>
    <n v="25.580981199999997"/>
    <n v="0"/>
    <n v="15.18196784258992"/>
    <x v="2"/>
  </r>
  <r>
    <s v="Regular"/>
    <x v="1"/>
    <x v="0"/>
    <x v="2"/>
    <x v="0"/>
    <x v="1"/>
    <x v="0"/>
    <x v="2"/>
    <x v="9"/>
    <n v="0"/>
    <n v="0"/>
    <n v="0.34200000000000003"/>
    <n v="0.34200000000000003"/>
    <n v="0.34200000000000003"/>
    <n v="0.34200000000000003"/>
    <n v="0"/>
    <s v="CATIVO"/>
    <n v="0"/>
    <n v="0"/>
    <n v="19"/>
    <n v="65"/>
    <n v="0"/>
    <n v="808.61759999999992"/>
    <n v="436.70399999999995"/>
    <m/>
    <n v="1087.0130021269249"/>
    <n v="421.94526214671799"/>
    <n v="0"/>
    <n v="17.745832799999999"/>
    <n v="0"/>
    <n v="10.53191278329767"/>
    <x v="2"/>
  </r>
  <r>
    <s v="Regular"/>
    <x v="1"/>
    <x v="0"/>
    <x v="2"/>
    <x v="0"/>
    <x v="1"/>
    <x v="0"/>
    <x v="2"/>
    <x v="10"/>
    <n v="0"/>
    <n v="0"/>
    <n v="0.27100000000000002"/>
    <n v="0.27100000000000002"/>
    <n v="0.27100000000000002"/>
    <n v="0.27100000000000002"/>
    <n v="0"/>
    <s v="CATIVO"/>
    <n v="0"/>
    <n v="0"/>
    <n v="19"/>
    <n v="65"/>
    <n v="0"/>
    <n v="808.61759999999992"/>
    <n v="436.70399999999995"/>
    <m/>
    <n v="1087.0130021269249"/>
    <n v="421.94526214671799"/>
    <n v="0"/>
    <n v="14.061756400000002"/>
    <n v="0"/>
    <n v="8.3454630534317804"/>
    <x v="2"/>
  </r>
  <r>
    <s v="Regular"/>
    <x v="1"/>
    <x v="0"/>
    <x v="2"/>
    <x v="0"/>
    <x v="1"/>
    <x v="0"/>
    <x v="2"/>
    <x v="11"/>
    <n v="0"/>
    <n v="0"/>
    <n v="0.33300000000000002"/>
    <n v="0.33300000000000002"/>
    <n v="0.33300000000000002"/>
    <n v="0.33300000000000002"/>
    <n v="0"/>
    <s v="CATIVO"/>
    <n v="0"/>
    <n v="0"/>
    <n v="19"/>
    <n v="65"/>
    <n v="0"/>
    <n v="808.61759999999992"/>
    <n v="436.70399999999995"/>
    <m/>
    <n v="1087.0130021269249"/>
    <n v="421.94526214671799"/>
    <n v="0"/>
    <n v="17.278837199999998"/>
    <n v="0"/>
    <n v="10.254757183737208"/>
    <x v="2"/>
  </r>
  <r>
    <s v="Regular"/>
    <x v="1"/>
    <x v="0"/>
    <x v="1"/>
    <x v="1"/>
    <x v="1"/>
    <x v="0"/>
    <x v="0"/>
    <x v="0"/>
    <n v="0"/>
    <n v="0"/>
    <n v="392.327"/>
    <n v="392.327"/>
    <n v="392.327"/>
    <n v="392.327"/>
    <n v="0"/>
    <s v="CATIVO"/>
    <n v="0"/>
    <n v="0"/>
    <n v="20"/>
    <n v="66"/>
    <n v="0"/>
    <n v="65.207800000000006"/>
    <n v="267.29840000000002"/>
    <m/>
    <n v="107.69938549850256"/>
    <n v="266.55667412945121"/>
    <n v="0"/>
    <n v="8326.6697826"/>
    <n v="0"/>
    <n v="4541.1574362574092"/>
    <x v="1"/>
  </r>
  <r>
    <s v="Regular"/>
    <x v="1"/>
    <x v="0"/>
    <x v="1"/>
    <x v="1"/>
    <x v="1"/>
    <x v="0"/>
    <x v="0"/>
    <x v="1"/>
    <n v="0"/>
    <n v="0"/>
    <n v="387.32"/>
    <n v="387.32"/>
    <n v="387.32"/>
    <n v="387.32"/>
    <n v="0"/>
    <s v="CATIVO"/>
    <n v="0"/>
    <n v="0"/>
    <n v="20"/>
    <n v="66"/>
    <n v="0"/>
    <n v="65.207800000000006"/>
    <n v="267.29840000000002"/>
    <m/>
    <n v="107.69938549850256"/>
    <n v="266.55667412945121"/>
    <n v="0"/>
    <n v="8220.4022160000004"/>
    <n v="0"/>
    <n v="4483.2017633535788"/>
    <x v="1"/>
  </r>
  <r>
    <s v="Regular"/>
    <x v="1"/>
    <x v="0"/>
    <x v="1"/>
    <x v="1"/>
    <x v="1"/>
    <x v="0"/>
    <x v="0"/>
    <x v="2"/>
    <n v="0"/>
    <n v="0"/>
    <n v="393.12599999999998"/>
    <n v="393.12599999999998"/>
    <n v="393.12599999999998"/>
    <n v="393.125999999999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8343.6275987999998"/>
    <n v="0"/>
    <n v="4550.4058050711019"/>
    <x v="1"/>
  </r>
  <r>
    <s v="Regular"/>
    <x v="1"/>
    <x v="0"/>
    <x v="1"/>
    <x v="1"/>
    <x v="1"/>
    <x v="0"/>
    <x v="0"/>
    <x v="3"/>
    <n v="0"/>
    <n v="0"/>
    <n v="388.779"/>
    <n v="388.779"/>
    <n v="388.779"/>
    <n v="388.779"/>
    <n v="0"/>
    <s v="CATIVO"/>
    <n v="0"/>
    <n v="0"/>
    <n v="20"/>
    <n v="66"/>
    <n v="0"/>
    <n v="65.207800000000006"/>
    <n v="267.29840000000002"/>
    <m/>
    <n v="107.69938549850256"/>
    <n v="266.55667412945121"/>
    <n v="0"/>
    <n v="8251.3677402000012"/>
    <n v="0"/>
    <n v="4500.0895857555543"/>
    <x v="1"/>
  </r>
  <r>
    <s v="Regular"/>
    <x v="1"/>
    <x v="0"/>
    <x v="1"/>
    <x v="1"/>
    <x v="1"/>
    <x v="0"/>
    <x v="0"/>
    <x v="4"/>
    <n v="0"/>
    <n v="0"/>
    <n v="389.73399999999998"/>
    <n v="389.73399999999998"/>
    <n v="389.73399999999998"/>
    <n v="389.733999999999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8271.6364692000006"/>
    <n v="0"/>
    <n v="4511.1436435992046"/>
    <x v="1"/>
  </r>
  <r>
    <s v="Regular"/>
    <x v="1"/>
    <x v="0"/>
    <x v="1"/>
    <x v="1"/>
    <x v="1"/>
    <x v="0"/>
    <x v="0"/>
    <x v="5"/>
    <n v="0"/>
    <n v="0"/>
    <n v="397.99599999999998"/>
    <n v="397.99599999999998"/>
    <n v="397.99599999999998"/>
    <n v="397.995999999999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8446.9875048000013"/>
    <n v="0"/>
    <n v="4606.7757126088782"/>
    <x v="1"/>
  </r>
  <r>
    <s v="Regular"/>
    <x v="1"/>
    <x v="0"/>
    <x v="1"/>
    <x v="1"/>
    <x v="1"/>
    <x v="0"/>
    <x v="0"/>
    <x v="6"/>
    <n v="0"/>
    <n v="0"/>
    <n v="428.596"/>
    <n v="428.596"/>
    <n v="428.596"/>
    <n v="428.596"/>
    <n v="0"/>
    <s v="CATIVO"/>
    <n v="0"/>
    <n v="0"/>
    <n v="20"/>
    <n v="66"/>
    <n v="0"/>
    <n v="65.207800000000006"/>
    <n v="267.29840000000002"/>
    <m/>
    <n v="107.69938549850256"/>
    <n v="266.55667412945121"/>
    <n v="0"/>
    <n v="9096.4357848000018"/>
    <n v="0"/>
    <n v="4960.9685607928604"/>
    <x v="1"/>
  </r>
  <r>
    <s v="Regular"/>
    <x v="1"/>
    <x v="0"/>
    <x v="1"/>
    <x v="1"/>
    <x v="1"/>
    <x v="0"/>
    <x v="0"/>
    <x v="7"/>
    <n v="0"/>
    <n v="0"/>
    <n v="447.78"/>
    <n v="447.78"/>
    <n v="447.78"/>
    <n v="447.78"/>
    <n v="0"/>
    <s v="CATIVO"/>
    <n v="0"/>
    <n v="0"/>
    <n v="20"/>
    <n v="66"/>
    <n v="0"/>
    <n v="65.207800000000006"/>
    <n v="267.29840000000002"/>
    <m/>
    <n v="107.69938549850256"/>
    <n v="266.55667412945121"/>
    <n v="0"/>
    <n v="9503.5931639999999"/>
    <n v="0"/>
    <n v="5183.0220117589215"/>
    <x v="1"/>
  </r>
  <r>
    <s v="Regular"/>
    <x v="1"/>
    <x v="0"/>
    <x v="1"/>
    <x v="1"/>
    <x v="1"/>
    <x v="0"/>
    <x v="0"/>
    <x v="8"/>
    <n v="0"/>
    <n v="0"/>
    <n v="417.27699999999999"/>
    <n v="417.27699999999999"/>
    <n v="417.27699999999999"/>
    <n v="417.27699999999999"/>
    <n v="0"/>
    <s v="CATIVO"/>
    <n v="0"/>
    <n v="0"/>
    <n v="20"/>
    <n v="66"/>
    <n v="0"/>
    <n v="65.207800000000006"/>
    <n v="267.29840000000002"/>
    <m/>
    <n v="107.69938549850256"/>
    <n v="266.55667412945121"/>
    <n v="0"/>
    <n v="8856.2035926000008"/>
    <n v="0"/>
    <n v="4829.9519317538243"/>
    <x v="1"/>
  </r>
  <r>
    <s v="Regular"/>
    <x v="1"/>
    <x v="0"/>
    <x v="1"/>
    <x v="1"/>
    <x v="1"/>
    <x v="0"/>
    <x v="0"/>
    <x v="9"/>
    <n v="0"/>
    <n v="0"/>
    <n v="385.72699999999998"/>
    <n v="385.72699999999998"/>
    <n v="385.72699999999998"/>
    <n v="385.726999999999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8186.5927025999999"/>
    <n v="0"/>
    <n v="4464.7629003745888"/>
    <x v="1"/>
  </r>
  <r>
    <s v="Regular"/>
    <x v="1"/>
    <x v="0"/>
    <x v="1"/>
    <x v="1"/>
    <x v="1"/>
    <x v="0"/>
    <x v="0"/>
    <x v="10"/>
    <n v="0"/>
    <n v="0"/>
    <n v="450.798"/>
    <n v="450.798"/>
    <n v="450.798"/>
    <n v="450.7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9567.6465924000004"/>
    <n v="0"/>
    <n v="5217.9551495307933"/>
    <x v="1"/>
  </r>
  <r>
    <s v="Regular"/>
    <x v="1"/>
    <x v="0"/>
    <x v="1"/>
    <x v="1"/>
    <x v="1"/>
    <x v="0"/>
    <x v="0"/>
    <x v="11"/>
    <n v="0"/>
    <n v="0"/>
    <n v="444.18599999999998"/>
    <n v="444.18599999999998"/>
    <n v="444.18599999999998"/>
    <n v="444.18599999999998"/>
    <n v="0"/>
    <s v="CATIVO"/>
    <n v="0"/>
    <n v="0"/>
    <n v="20"/>
    <n v="66"/>
    <n v="0"/>
    <n v="65.207800000000006"/>
    <n v="267.29840000000002"/>
    <m/>
    <n v="107.69938549850256"/>
    <n v="266.55667412945121"/>
    <n v="0"/>
    <n v="9427.3148268000004"/>
    <n v="0"/>
    <n v="5141.4217144918221"/>
    <x v="1"/>
  </r>
  <r>
    <s v="Regular"/>
    <x v="1"/>
    <x v="0"/>
    <x v="1"/>
    <x v="1"/>
    <x v="1"/>
    <x v="0"/>
    <x v="1"/>
    <x v="0"/>
    <n v="1428"/>
    <n v="1428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64.1456000000001"/>
    <n v="0"/>
    <n v="679.73088600468725"/>
    <n v="0"/>
    <x v="1"/>
  </r>
  <r>
    <s v="Regular"/>
    <x v="1"/>
    <x v="0"/>
    <x v="1"/>
    <x v="1"/>
    <x v="1"/>
    <x v="0"/>
    <x v="1"/>
    <x v="1"/>
    <n v="1416"/>
    <n v="1416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55.2031999999999"/>
    <n v="0"/>
    <n v="674.01886175254708"/>
    <n v="0"/>
    <x v="1"/>
  </r>
  <r>
    <s v="Regular"/>
    <x v="1"/>
    <x v="0"/>
    <x v="1"/>
    <x v="1"/>
    <x v="1"/>
    <x v="0"/>
    <x v="1"/>
    <x v="2"/>
    <n v="1427"/>
    <n v="1427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63.4004"/>
    <n v="0"/>
    <n v="679.25488398367565"/>
    <n v="0"/>
    <x v="1"/>
  </r>
  <r>
    <s v="Regular"/>
    <x v="1"/>
    <x v="0"/>
    <x v="1"/>
    <x v="1"/>
    <x v="1"/>
    <x v="0"/>
    <x v="1"/>
    <x v="3"/>
    <n v="1372"/>
    <n v="1372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22.4143999999999"/>
    <n v="0"/>
    <n v="653.07477282803279"/>
    <n v="0"/>
    <x v="1"/>
  </r>
  <r>
    <s v="Regular"/>
    <x v="1"/>
    <x v="0"/>
    <x v="1"/>
    <x v="1"/>
    <x v="1"/>
    <x v="0"/>
    <x v="1"/>
    <x v="4"/>
    <n v="1428"/>
    <n v="1428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64.1456000000001"/>
    <n v="0"/>
    <n v="679.73088600468725"/>
    <n v="0"/>
    <x v="1"/>
  </r>
  <r>
    <s v="Regular"/>
    <x v="1"/>
    <x v="0"/>
    <x v="1"/>
    <x v="1"/>
    <x v="1"/>
    <x v="0"/>
    <x v="1"/>
    <x v="5"/>
    <n v="1394"/>
    <n v="1394"/>
    <n v="0"/>
    <n v="0"/>
    <n v="0"/>
    <n v="0"/>
    <n v="10"/>
    <s v="CATIVO"/>
    <n v="0"/>
    <n v="18"/>
    <n v="0"/>
    <n v="0"/>
    <n v="11.674799999999999"/>
    <n v="0"/>
    <n v="0"/>
    <n v="15.390732012711172"/>
    <m/>
    <m/>
    <n v="1038.8088"/>
    <n v="0"/>
    <n v="663.54681729028994"/>
    <n v="0"/>
    <x v="1"/>
  </r>
  <r>
    <s v="Regular"/>
    <x v="1"/>
    <x v="0"/>
    <x v="1"/>
    <x v="1"/>
    <x v="1"/>
    <x v="0"/>
    <x v="1"/>
    <x v="6"/>
    <n v="1422"/>
    <n v="1422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59.6743999999999"/>
    <n v="0"/>
    <n v="676.87487387861711"/>
    <n v="0"/>
    <x v="1"/>
  </r>
  <r>
    <s v="Regular"/>
    <x v="1"/>
    <x v="0"/>
    <x v="1"/>
    <x v="1"/>
    <x v="1"/>
    <x v="0"/>
    <x v="1"/>
    <x v="7"/>
    <n v="1419"/>
    <n v="1419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57.4387999999999"/>
    <n v="0"/>
    <n v="675.4468678155821"/>
    <n v="0"/>
    <x v="1"/>
  </r>
  <r>
    <s v="Regular"/>
    <x v="1"/>
    <x v="0"/>
    <x v="1"/>
    <x v="1"/>
    <x v="1"/>
    <x v="0"/>
    <x v="1"/>
    <x v="8"/>
    <n v="1408"/>
    <n v="1408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49.2415999999998"/>
    <n v="0"/>
    <n v="670.21084558445341"/>
    <n v="0"/>
    <x v="1"/>
  </r>
  <r>
    <s v="Regular"/>
    <x v="1"/>
    <x v="0"/>
    <x v="1"/>
    <x v="1"/>
    <x v="1"/>
    <x v="0"/>
    <x v="1"/>
    <x v="9"/>
    <n v="1384"/>
    <n v="1384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31.3568"/>
    <n v="0"/>
    <n v="658.78679708017307"/>
    <n v="0"/>
    <x v="1"/>
  </r>
  <r>
    <s v="Regular"/>
    <x v="1"/>
    <x v="0"/>
    <x v="1"/>
    <x v="1"/>
    <x v="1"/>
    <x v="0"/>
    <x v="1"/>
    <x v="10"/>
    <n v="1423"/>
    <n v="1423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60.4195999999999"/>
    <n v="0"/>
    <n v="677.3508758996287"/>
    <n v="0"/>
    <x v="1"/>
  </r>
  <r>
    <s v="Regular"/>
    <x v="1"/>
    <x v="0"/>
    <x v="1"/>
    <x v="1"/>
    <x v="1"/>
    <x v="0"/>
    <x v="1"/>
    <x v="11"/>
    <n v="1426"/>
    <n v="1426"/>
    <n v="0"/>
    <n v="0"/>
    <n v="0"/>
    <n v="0"/>
    <n v="11"/>
    <s v="CATIVO"/>
    <n v="0"/>
    <n v="18"/>
    <n v="0"/>
    <n v="0"/>
    <n v="11.674799999999999"/>
    <n v="0"/>
    <n v="0"/>
    <n v="15.390732012711172"/>
    <m/>
    <m/>
    <n v="1062.6552000000001"/>
    <n v="0"/>
    <n v="678.77888196266395"/>
    <n v="0"/>
    <x v="1"/>
  </r>
  <r>
    <s v="Regular"/>
    <x v="1"/>
    <x v="0"/>
    <x v="1"/>
    <x v="1"/>
    <x v="1"/>
    <x v="0"/>
    <x v="2"/>
    <x v="0"/>
    <n v="0"/>
    <n v="0"/>
    <n v="44.351999999999997"/>
    <n v="44.351999999999997"/>
    <n v="44.351999999999997"/>
    <n v="44.351999999999997"/>
    <n v="0"/>
    <s v="CATIVO"/>
    <n v="0"/>
    <n v="0"/>
    <n v="19"/>
    <n v="65"/>
    <n v="0"/>
    <n v="791.77139999999986"/>
    <n v="427.60599999999994"/>
    <m/>
    <n v="1075.9210327174665"/>
    <n v="417.63969824726166"/>
    <n v="0"/>
    <n v="3452.031475199999"/>
    <n v="0"/>
    <n v="2048.7341919509572"/>
    <x v="1"/>
  </r>
  <r>
    <s v="Regular"/>
    <x v="1"/>
    <x v="0"/>
    <x v="1"/>
    <x v="1"/>
    <x v="1"/>
    <x v="0"/>
    <x v="2"/>
    <x v="1"/>
    <n v="0"/>
    <n v="0"/>
    <n v="41.981000000000002"/>
    <n v="41.981000000000002"/>
    <n v="41.981000000000002"/>
    <n v="41.981000000000002"/>
    <n v="0"/>
    <s v="CATIVO"/>
    <n v="0"/>
    <n v="0"/>
    <n v="19"/>
    <n v="65"/>
    <n v="0"/>
    <n v="791.77139999999986"/>
    <n v="427.60599999999994"/>
    <m/>
    <n v="1075.9210327174665"/>
    <n v="417.63969824726166"/>
    <n v="0"/>
    <n v="3267.4903805999998"/>
    <n v="0"/>
    <n v="1939.2115375246469"/>
    <x v="1"/>
  </r>
  <r>
    <s v="Regular"/>
    <x v="1"/>
    <x v="0"/>
    <x v="1"/>
    <x v="1"/>
    <x v="1"/>
    <x v="0"/>
    <x v="2"/>
    <x v="2"/>
    <n v="0"/>
    <n v="0"/>
    <n v="45.158000000000001"/>
    <n v="45.158000000000001"/>
    <n v="45.158000000000001"/>
    <n v="45.158000000000001"/>
    <n v="0"/>
    <s v="CATIVO"/>
    <n v="0"/>
    <n v="0"/>
    <n v="19"/>
    <n v="65"/>
    <n v="0"/>
    <n v="791.77139999999986"/>
    <n v="427.60599999999994"/>
    <m/>
    <n v="1075.9210327174665"/>
    <n v="417.63969824726166"/>
    <n v="0"/>
    <n v="3514.7645507999991"/>
    <n v="0"/>
    <n v="2085.9654274919135"/>
    <x v="1"/>
  </r>
  <r>
    <s v="Regular"/>
    <x v="1"/>
    <x v="0"/>
    <x v="1"/>
    <x v="1"/>
    <x v="1"/>
    <x v="0"/>
    <x v="2"/>
    <x v="3"/>
    <n v="0"/>
    <n v="0"/>
    <n v="42.091000000000001"/>
    <n v="42.091000000000001"/>
    <n v="42.091000000000001"/>
    <n v="42.091000000000001"/>
    <n v="0"/>
    <s v="CATIVO"/>
    <n v="0"/>
    <n v="0"/>
    <n v="19"/>
    <n v="65"/>
    <n v="0"/>
    <n v="791.77139999999986"/>
    <n v="427.60599999999994"/>
    <m/>
    <n v="1075.9210327174665"/>
    <n v="417.63969824726166"/>
    <n v="0"/>
    <n v="3276.0519665999991"/>
    <n v="0"/>
    <n v="1944.2927235165887"/>
    <x v="1"/>
  </r>
  <r>
    <s v="Regular"/>
    <x v="1"/>
    <x v="0"/>
    <x v="1"/>
    <x v="1"/>
    <x v="1"/>
    <x v="0"/>
    <x v="2"/>
    <x v="4"/>
    <n v="0"/>
    <n v="0"/>
    <n v="43.345999999999997"/>
    <n v="43.345999999999997"/>
    <n v="43.345999999999997"/>
    <n v="43.345999999999997"/>
    <n v="0"/>
    <s v="CATIVO"/>
    <n v="0"/>
    <n v="0"/>
    <n v="19"/>
    <n v="65"/>
    <n v="0"/>
    <n v="791.77139999999986"/>
    <n v="427.60599999999994"/>
    <m/>
    <n v="1075.9210327174665"/>
    <n v="417.63969824726166"/>
    <n v="0"/>
    <n v="3373.7318795999995"/>
    <n v="0"/>
    <n v="2002.2644364246526"/>
    <x v="1"/>
  </r>
  <r>
    <s v="Regular"/>
    <x v="1"/>
    <x v="0"/>
    <x v="1"/>
    <x v="1"/>
    <x v="1"/>
    <x v="0"/>
    <x v="2"/>
    <x v="5"/>
    <n v="0"/>
    <n v="0"/>
    <n v="44.795999999999999"/>
    <n v="44.795999999999999"/>
    <n v="44.795999999999999"/>
    <n v="44.795999999999999"/>
    <n v="0"/>
    <s v="CATIVO"/>
    <n v="0"/>
    <n v="0"/>
    <n v="19"/>
    <n v="65"/>
    <n v="0"/>
    <n v="791.77139999999986"/>
    <n v="427.60599999999994"/>
    <m/>
    <n v="1075.9210327174665"/>
    <n v="417.63969824726166"/>
    <n v="0"/>
    <n v="3486.5891495999995"/>
    <n v="0"/>
    <n v="2069.2437063184316"/>
    <x v="1"/>
  </r>
  <r>
    <s v="Regular"/>
    <x v="1"/>
    <x v="0"/>
    <x v="1"/>
    <x v="1"/>
    <x v="1"/>
    <x v="0"/>
    <x v="2"/>
    <x v="6"/>
    <n v="0"/>
    <n v="0"/>
    <n v="52.677"/>
    <n v="52.677"/>
    <n v="52.677"/>
    <n v="52.677"/>
    <n v="0"/>
    <s v="CATIVO"/>
    <n v="0"/>
    <n v="0"/>
    <n v="19"/>
    <n v="65"/>
    <n v="0"/>
    <n v="791.77139999999986"/>
    <n v="427.60599999999994"/>
    <m/>
    <n v="1075.9210327174665"/>
    <n v="417.63969824726166"/>
    <n v="0"/>
    <n v="4099.9878701999996"/>
    <n v="0"/>
    <n v="2433.2875863411027"/>
    <x v="1"/>
  </r>
  <r>
    <s v="Regular"/>
    <x v="1"/>
    <x v="0"/>
    <x v="1"/>
    <x v="1"/>
    <x v="1"/>
    <x v="0"/>
    <x v="2"/>
    <x v="7"/>
    <n v="0"/>
    <n v="0"/>
    <n v="49.811999999999998"/>
    <n v="49.811999999999998"/>
    <n v="49.811999999999998"/>
    <n v="49.811999999999998"/>
    <n v="0"/>
    <s v="CATIVO"/>
    <n v="0"/>
    <n v="0"/>
    <n v="19"/>
    <n v="65"/>
    <n v="0"/>
    <n v="791.77139999999986"/>
    <n v="427.60599999999994"/>
    <m/>
    <n v="1075.9210327174665"/>
    <n v="417.63969824726166"/>
    <n v="0"/>
    <n v="3876.9974711999994"/>
    <n v="0"/>
    <n v="2300.9457875509802"/>
    <x v="1"/>
  </r>
  <r>
    <s v="Regular"/>
    <x v="1"/>
    <x v="0"/>
    <x v="1"/>
    <x v="1"/>
    <x v="1"/>
    <x v="0"/>
    <x v="2"/>
    <x v="8"/>
    <n v="0"/>
    <n v="0"/>
    <n v="47.137999999999998"/>
    <n v="47.137999999999998"/>
    <n v="47.137999999999998"/>
    <n v="47.137999999999998"/>
    <n v="0"/>
    <s v="CATIVO"/>
    <n v="0"/>
    <n v="0"/>
    <n v="19"/>
    <n v="65"/>
    <n v="0"/>
    <n v="791.77139999999986"/>
    <n v="427.60599999999994"/>
    <m/>
    <n v="1075.9210327174665"/>
    <n v="417.63969824726166"/>
    <n v="0"/>
    <n v="3668.8730987999993"/>
    <n v="0"/>
    <n v="2177.4267753468666"/>
    <x v="1"/>
  </r>
  <r>
    <s v="Regular"/>
    <x v="1"/>
    <x v="0"/>
    <x v="1"/>
    <x v="1"/>
    <x v="1"/>
    <x v="0"/>
    <x v="2"/>
    <x v="9"/>
    <n v="0"/>
    <n v="0"/>
    <n v="44.237000000000002"/>
    <n v="44.237000000000002"/>
    <n v="44.237000000000002"/>
    <n v="44.237000000000002"/>
    <n v="0"/>
    <s v="CATIVO"/>
    <n v="0"/>
    <n v="0"/>
    <n v="19"/>
    <n v="65"/>
    <n v="0"/>
    <n v="791.77139999999986"/>
    <n v="427.60599999999994"/>
    <m/>
    <n v="1075.9210327174665"/>
    <n v="417.63969824726166"/>
    <n v="0"/>
    <n v="3443.0807262000003"/>
    <n v="0"/>
    <n v="2043.422042959382"/>
    <x v="1"/>
  </r>
  <r>
    <s v="Regular"/>
    <x v="1"/>
    <x v="0"/>
    <x v="1"/>
    <x v="1"/>
    <x v="1"/>
    <x v="0"/>
    <x v="2"/>
    <x v="10"/>
    <n v="0"/>
    <n v="0"/>
    <n v="45.927999999999997"/>
    <n v="45.927999999999997"/>
    <n v="45.927999999999997"/>
    <n v="45.927999999999997"/>
    <n v="0"/>
    <s v="CATIVO"/>
    <n v="0"/>
    <n v="0"/>
    <n v="19"/>
    <n v="65"/>
    <n v="0"/>
    <n v="791.77139999999986"/>
    <n v="427.60599999999994"/>
    <m/>
    <n v="1075.9210327174665"/>
    <n v="417.63969824726166"/>
    <n v="0"/>
    <n v="3574.6956527999992"/>
    <n v="0"/>
    <n v="2121.5337294355058"/>
    <x v="1"/>
  </r>
  <r>
    <s v="Regular"/>
    <x v="1"/>
    <x v="0"/>
    <x v="1"/>
    <x v="1"/>
    <x v="1"/>
    <x v="0"/>
    <x v="2"/>
    <x v="11"/>
    <n v="0"/>
    <n v="0"/>
    <n v="52.463999999999999"/>
    <n v="52.463999999999999"/>
    <n v="52.463999999999999"/>
    <n v="52.463999999999999"/>
    <n v="0"/>
    <s v="CATIVO"/>
    <n v="0"/>
    <n v="0"/>
    <n v="19"/>
    <n v="65"/>
    <n v="0"/>
    <n v="791.77139999999986"/>
    <n v="427.60599999999994"/>
    <m/>
    <n v="1075.9210327174665"/>
    <n v="417.63969824726166"/>
    <n v="0"/>
    <n v="4083.4095263999989"/>
    <n v="0"/>
    <n v="2423.4485625567063"/>
    <x v="1"/>
  </r>
  <r>
    <s v="Regular"/>
    <x v="2"/>
    <x v="2"/>
    <x v="3"/>
    <x v="2"/>
    <x v="1"/>
    <x v="0"/>
    <x v="1"/>
    <x v="0"/>
    <n v="0"/>
    <n v="0"/>
    <n v="7050.8720000000003"/>
    <n v="7050.8720000000003"/>
    <n v="7050.8720000000003"/>
    <n v="7050.8720000000003"/>
    <n v="43492"/>
    <s v="CATIVO"/>
    <n v="0"/>
    <n v="0"/>
    <n v="30"/>
    <n v="71"/>
    <n v="0"/>
    <n v="308.77"/>
    <n v="298.58"/>
    <m/>
    <n v="357.07977884610415"/>
    <n v="287.78033622605028"/>
    <n v="0"/>
    <n v="0"/>
    <n v="0"/>
    <n v="0"/>
    <x v="3"/>
  </r>
  <r>
    <s v="Regular"/>
    <x v="2"/>
    <x v="2"/>
    <x v="3"/>
    <x v="3"/>
    <x v="1"/>
    <x v="0"/>
    <x v="1"/>
    <x v="0"/>
    <n v="0"/>
    <n v="0"/>
    <n v="139.75299999999999"/>
    <n v="139.75299999999999"/>
    <n v="139.75299999999999"/>
    <n v="139.75299999999999"/>
    <n v="227"/>
    <s v="CATIVO"/>
    <n v="0"/>
    <n v="0"/>
    <n v="31"/>
    <n v="72"/>
    <n v="0"/>
    <n v="83.69"/>
    <n v="104.5"/>
    <m/>
    <n v="82.887081270638163"/>
    <n v="100.72311767911759"/>
    <n v="0"/>
    <n v="48842.275969999988"/>
    <n v="0"/>
    <n v="47654.427105675401"/>
    <x v="4"/>
  </r>
  <r>
    <s v="Regular"/>
    <x v="2"/>
    <x v="2"/>
    <x v="3"/>
    <x v="3"/>
    <x v="1"/>
    <x v="0"/>
    <x v="1"/>
    <x v="1"/>
    <n v="0"/>
    <n v="0"/>
    <n v="141.46"/>
    <n v="141.46"/>
    <n v="141.46"/>
    <n v="141.46"/>
    <n v="254"/>
    <s v="CATIVO"/>
    <n v="0"/>
    <n v="0"/>
    <n v="31"/>
    <n v="72"/>
    <n v="0"/>
    <n v="83.69"/>
    <n v="104.5"/>
    <m/>
    <n v="82.887081270638163"/>
    <n v="100.72311767911759"/>
    <n v="0"/>
    <n v="49438.855399999993"/>
    <n v="0"/>
    <n v="48236.497666374562"/>
    <x v="4"/>
  </r>
  <r>
    <s v="Regular"/>
    <x v="2"/>
    <x v="2"/>
    <x v="3"/>
    <x v="3"/>
    <x v="1"/>
    <x v="0"/>
    <x v="1"/>
    <x v="2"/>
    <n v="0"/>
    <n v="0"/>
    <n v="143.18799999999999"/>
    <n v="143.18799999999999"/>
    <n v="143.18799999999999"/>
    <n v="143.18799999999999"/>
    <n v="251"/>
    <s v="CATIVO"/>
    <n v="0"/>
    <n v="0"/>
    <n v="31"/>
    <n v="72"/>
    <n v="0"/>
    <n v="83.69"/>
    <n v="104.5"/>
    <m/>
    <n v="82.887081270638163"/>
    <n v="100.72311767911759"/>
    <n v="0"/>
    <n v="50042.774119999987"/>
    <n v="0"/>
    <n v="48825.729024832741"/>
    <x v="4"/>
  </r>
  <r>
    <s v="Regular"/>
    <x v="2"/>
    <x v="2"/>
    <x v="3"/>
    <x v="3"/>
    <x v="1"/>
    <x v="0"/>
    <x v="1"/>
    <x v="3"/>
    <n v="0"/>
    <n v="0"/>
    <n v="144.38200000000001"/>
    <n v="144.38200000000001"/>
    <n v="144.38200000000001"/>
    <n v="144.38200000000001"/>
    <n v="217"/>
    <s v="CATIVO"/>
    <n v="0"/>
    <n v="0"/>
    <n v="31"/>
    <n v="72"/>
    <n v="0"/>
    <n v="83.69"/>
    <n v="104.5"/>
    <m/>
    <n v="82.887081270638163"/>
    <n v="100.72311767911759"/>
    <n v="0"/>
    <n v="50460.065179999998"/>
    <n v="0"/>
    <n v="49232.87152598962"/>
    <x v="4"/>
  </r>
  <r>
    <s v="Regular"/>
    <x v="2"/>
    <x v="2"/>
    <x v="3"/>
    <x v="3"/>
    <x v="1"/>
    <x v="0"/>
    <x v="1"/>
    <x v="4"/>
    <n v="0"/>
    <n v="0"/>
    <n v="143.66900000000001"/>
    <n v="143.66900000000001"/>
    <n v="143.66900000000001"/>
    <n v="143.66900000000001"/>
    <n v="214"/>
    <s v="CATIVO"/>
    <n v="0"/>
    <n v="0"/>
    <n v="31"/>
    <n v="72"/>
    <n v="0"/>
    <n v="83.69"/>
    <n v="104.5"/>
    <m/>
    <n v="82.887081270638163"/>
    <n v="100.72311767911759"/>
    <n v="0"/>
    <n v="50210.878809999995"/>
    <n v="0"/>
    <n v="48989.745392551726"/>
    <x v="4"/>
  </r>
  <r>
    <s v="Regular"/>
    <x v="2"/>
    <x v="2"/>
    <x v="3"/>
    <x v="3"/>
    <x v="1"/>
    <x v="0"/>
    <x v="1"/>
    <x v="5"/>
    <n v="0"/>
    <n v="0"/>
    <n v="140.34"/>
    <n v="140.34"/>
    <n v="140.34"/>
    <n v="140.34"/>
    <n v="217"/>
    <s v="CATIVO"/>
    <n v="0"/>
    <n v="0"/>
    <n v="31"/>
    <n v="72"/>
    <n v="0"/>
    <n v="83.69"/>
    <n v="104.5"/>
    <m/>
    <n v="82.887081270638163"/>
    <n v="100.72311767911759"/>
    <n v="0"/>
    <n v="49047.426599999992"/>
    <n v="0"/>
    <n v="47854.588452559066"/>
    <x v="4"/>
  </r>
  <r>
    <s v="Regular"/>
    <x v="2"/>
    <x v="2"/>
    <x v="3"/>
    <x v="3"/>
    <x v="1"/>
    <x v="0"/>
    <x v="1"/>
    <x v="6"/>
    <n v="0"/>
    <n v="0"/>
    <n v="136.69900000000001"/>
    <n v="136.69900000000001"/>
    <n v="136.69900000000001"/>
    <n v="136.69900000000001"/>
    <n v="178"/>
    <s v="CATIVO"/>
    <n v="0"/>
    <n v="0"/>
    <n v="31"/>
    <n v="72"/>
    <n v="0"/>
    <n v="83.69"/>
    <n v="104.5"/>
    <m/>
    <n v="82.887081270638163"/>
    <n v="100.72311767911759"/>
    <n v="0"/>
    <n v="47774.933509999995"/>
    <n v="0"/>
    <n v="46613.042517289243"/>
    <x v="4"/>
  </r>
  <r>
    <s v="Regular"/>
    <x v="2"/>
    <x v="2"/>
    <x v="3"/>
    <x v="3"/>
    <x v="1"/>
    <x v="0"/>
    <x v="1"/>
    <x v="7"/>
    <n v="0"/>
    <n v="0"/>
    <n v="137.904"/>
    <n v="137.904"/>
    <n v="137.904"/>
    <n v="137.904"/>
    <n v="181"/>
    <s v="CATIVO"/>
    <n v="0"/>
    <n v="0"/>
    <n v="31"/>
    <n v="72"/>
    <n v="0"/>
    <n v="83.69"/>
    <n v="104.5"/>
    <m/>
    <n v="82.887081270638163"/>
    <n v="100.72311767911759"/>
    <n v="0"/>
    <n v="48196.06895999999"/>
    <n v="0"/>
    <n v="47023.935912510366"/>
    <x v="4"/>
  </r>
  <r>
    <s v="Regular"/>
    <x v="2"/>
    <x v="2"/>
    <x v="3"/>
    <x v="3"/>
    <x v="1"/>
    <x v="0"/>
    <x v="1"/>
    <x v="8"/>
    <n v="0"/>
    <n v="0"/>
    <n v="142.95599999999999"/>
    <n v="142.95599999999999"/>
    <n v="142.95599999999999"/>
    <n v="142.95599999999999"/>
    <n v="186"/>
    <s v="CATIVO"/>
    <n v="0"/>
    <n v="0"/>
    <n v="31"/>
    <n v="72"/>
    <n v="0"/>
    <n v="83.69"/>
    <n v="104.5"/>
    <m/>
    <n v="82.887081270638163"/>
    <n v="100.72311767911759"/>
    <n v="0"/>
    <n v="49961.692439999992"/>
    <n v="0"/>
    <n v="48746.619259113817"/>
    <x v="4"/>
  </r>
  <r>
    <s v="Regular"/>
    <x v="2"/>
    <x v="2"/>
    <x v="3"/>
    <x v="3"/>
    <x v="1"/>
    <x v="0"/>
    <x v="1"/>
    <x v="9"/>
    <n v="0"/>
    <n v="0"/>
    <n v="153.839"/>
    <n v="153.839"/>
    <n v="153.839"/>
    <n v="153.839"/>
    <n v="200"/>
    <s v="CATIVO"/>
    <n v="0"/>
    <n v="0"/>
    <n v="31"/>
    <n v="72"/>
    <n v="0"/>
    <n v="83.69"/>
    <n v="104.5"/>
    <m/>
    <n v="82.887081270638163"/>
    <n v="100.72311767911759"/>
    <n v="0"/>
    <n v="53765.192109999989"/>
    <n v="0"/>
    <n v="52457.617450144178"/>
    <x v="4"/>
  </r>
  <r>
    <s v="Regular"/>
    <x v="2"/>
    <x v="2"/>
    <x v="3"/>
    <x v="3"/>
    <x v="1"/>
    <x v="0"/>
    <x v="1"/>
    <x v="10"/>
    <n v="0"/>
    <n v="0"/>
    <n v="154.833"/>
    <n v="154.833"/>
    <n v="154.833"/>
    <n v="154.833"/>
    <n v="226"/>
    <s v="CATIVO"/>
    <n v="0"/>
    <n v="0"/>
    <n v="31"/>
    <n v="72"/>
    <n v="0"/>
    <n v="83.69"/>
    <n v="104.5"/>
    <m/>
    <n v="82.887081270638163"/>
    <n v="100.72311767911759"/>
    <n v="0"/>
    <n v="54112.585169999991"/>
    <n v="0"/>
    <n v="52796.561877405424"/>
    <x v="4"/>
  </r>
  <r>
    <s v="Regular"/>
    <x v="2"/>
    <x v="2"/>
    <x v="3"/>
    <x v="3"/>
    <x v="1"/>
    <x v="0"/>
    <x v="1"/>
    <x v="11"/>
    <n v="0"/>
    <n v="0"/>
    <n v="156.267"/>
    <n v="156.267"/>
    <n v="156.267"/>
    <n v="156.267"/>
    <n v="247"/>
    <s v="CATIVO"/>
    <n v="0"/>
    <n v="0"/>
    <n v="31"/>
    <n v="72"/>
    <n v="0"/>
    <n v="83.69"/>
    <n v="104.5"/>
    <m/>
    <n v="82.887081270638163"/>
    <n v="100.72311767911759"/>
    <n v="0"/>
    <n v="54613.753829999994"/>
    <n v="0"/>
    <n v="53285.542067237046"/>
    <x v="4"/>
  </r>
  <r>
    <s v="Refaturamento - Regular"/>
    <x v="2"/>
    <x v="2"/>
    <x v="3"/>
    <x v="3"/>
    <x v="1"/>
    <x v="0"/>
    <x v="1"/>
    <x v="11"/>
    <n v="0"/>
    <n v="0"/>
    <n v="0.06"/>
    <n v="0.06"/>
    <n v="0.06"/>
    <n v="0.06"/>
    <n v="0"/>
    <s v="CATIVO"/>
    <n v="0"/>
    <n v="0"/>
    <n v="31"/>
    <n v="72"/>
    <n v="0"/>
    <n v="83.69"/>
    <n v="104.5"/>
    <m/>
    <n v="82.887081270638163"/>
    <n v="100.72311767911759"/>
    <n v="0"/>
    <n v="20.969399999999997"/>
    <n v="0"/>
    <n v="20.459422168687073"/>
    <x v="4"/>
  </r>
  <r>
    <s v="Regular"/>
    <x v="2"/>
    <x v="2"/>
    <x v="3"/>
    <x v="4"/>
    <x v="1"/>
    <x v="0"/>
    <x v="1"/>
    <x v="0"/>
    <n v="0"/>
    <n v="0"/>
    <n v="261.74599999999998"/>
    <n v="261.74599999999998"/>
    <n v="261.74599999999998"/>
    <n v="261.74599999999998"/>
    <n v="1688"/>
    <s v="CATIVO"/>
    <n v="0"/>
    <n v="0"/>
    <n v="32"/>
    <n v="73"/>
    <n v="0"/>
    <n v="143.46"/>
    <n v="179.15"/>
    <m/>
    <n v="142.09213932109398"/>
    <n v="172.66820173563016"/>
    <n v="0"/>
    <n v="56293.712219999972"/>
    <n v="0"/>
    <n v="54924.840153488891"/>
    <x v="4"/>
  </r>
  <r>
    <s v="Refaturamento - Regular"/>
    <x v="2"/>
    <x v="2"/>
    <x v="3"/>
    <x v="4"/>
    <x v="1"/>
    <x v="0"/>
    <x v="1"/>
    <x v="0"/>
    <n v="0"/>
    <n v="0"/>
    <n v="-8.9999999999999993E-3"/>
    <n v="-8.9999999999999993E-3"/>
    <n v="-8.9999999999999993E-3"/>
    <n v="-8.9999999999999993E-3"/>
    <n v="0"/>
    <s v="CATIVO"/>
    <n v="0"/>
    <n v="0"/>
    <n v="32"/>
    <n v="73"/>
    <n v="0"/>
    <n v="143.46"/>
    <n v="179.15"/>
    <m/>
    <n v="142.09213932109398"/>
    <n v="172.66820173563016"/>
    <n v="0"/>
    <n v="-1.9356299999999991"/>
    <n v="0"/>
    <n v="-1.8885620463403454"/>
    <x v="4"/>
  </r>
  <r>
    <s v="Regular"/>
    <x v="2"/>
    <x v="2"/>
    <x v="3"/>
    <x v="4"/>
    <x v="1"/>
    <x v="0"/>
    <x v="1"/>
    <x v="1"/>
    <n v="0"/>
    <n v="0"/>
    <n v="261.61599999999999"/>
    <n v="261.61599999999999"/>
    <n v="261.61599999999999"/>
    <n v="261.61599999999999"/>
    <n v="1732"/>
    <s v="CATIVO"/>
    <n v="0"/>
    <n v="0"/>
    <n v="32"/>
    <n v="73"/>
    <n v="0"/>
    <n v="143.46"/>
    <n v="179.15"/>
    <m/>
    <n v="142.09213932109398"/>
    <n v="172.66820173563016"/>
    <n v="0"/>
    <n v="56265.753119999972"/>
    <n v="0"/>
    <n v="54897.560923930643"/>
    <x v="4"/>
  </r>
  <r>
    <s v="Refaturamento - Regular"/>
    <x v="2"/>
    <x v="2"/>
    <x v="3"/>
    <x v="4"/>
    <x v="1"/>
    <x v="0"/>
    <x v="1"/>
    <x v="1"/>
    <n v="0"/>
    <n v="0"/>
    <n v="-4.0000000000000001E-3"/>
    <n v="-4.0000000000000001E-3"/>
    <n v="-4.0000000000000001E-3"/>
    <n v="-4.0000000000000001E-3"/>
    <n v="0"/>
    <s v="CATIVO"/>
    <n v="0"/>
    <n v="0"/>
    <n v="32"/>
    <n v="73"/>
    <n v="0"/>
    <n v="143.46"/>
    <n v="179.15"/>
    <m/>
    <n v="142.09213932109398"/>
    <n v="172.66820173563016"/>
    <n v="0"/>
    <n v="-0.8602799999999996"/>
    <n v="0"/>
    <n v="-0.83936090948459796"/>
    <x v="4"/>
  </r>
  <r>
    <s v="Regular"/>
    <x v="2"/>
    <x v="2"/>
    <x v="3"/>
    <x v="4"/>
    <x v="1"/>
    <x v="0"/>
    <x v="1"/>
    <x v="2"/>
    <n v="0"/>
    <n v="0"/>
    <n v="265.65699999999998"/>
    <n v="265.65699999999998"/>
    <n v="265.65699999999998"/>
    <n v="265.65699999999998"/>
    <n v="1693"/>
    <s v="CATIVO"/>
    <n v="0"/>
    <n v="0"/>
    <n v="32"/>
    <n v="73"/>
    <n v="0"/>
    <n v="143.46"/>
    <n v="179.15"/>
    <m/>
    <n v="142.09213932109398"/>
    <n v="172.66820173563016"/>
    <n v="0"/>
    <n v="57134.85098999997"/>
    <n v="0"/>
    <n v="55745.525282737457"/>
    <x v="4"/>
  </r>
  <r>
    <s v="Refaturamento - Regular"/>
    <x v="2"/>
    <x v="2"/>
    <x v="3"/>
    <x v="4"/>
    <x v="1"/>
    <x v="0"/>
    <x v="1"/>
    <x v="2"/>
    <n v="0"/>
    <n v="0"/>
    <n v="-3.9E-2"/>
    <n v="-3.9E-2"/>
    <n v="-3.9E-2"/>
    <n v="-3.9E-2"/>
    <n v="0"/>
    <s v="CATIVO"/>
    <n v="0"/>
    <n v="0"/>
    <n v="32"/>
    <n v="73"/>
    <n v="0"/>
    <n v="143.46"/>
    <n v="179.15"/>
    <m/>
    <n v="142.09213932109398"/>
    <n v="172.66820173563016"/>
    <n v="0"/>
    <n v="-8.3877299999999959"/>
    <n v="0"/>
    <n v="-8.1837688674748303"/>
    <x v="4"/>
  </r>
  <r>
    <s v="Regular"/>
    <x v="2"/>
    <x v="2"/>
    <x v="3"/>
    <x v="4"/>
    <x v="1"/>
    <x v="0"/>
    <x v="1"/>
    <x v="3"/>
    <n v="0"/>
    <n v="0"/>
    <n v="273.36700000000002"/>
    <n v="273.36700000000002"/>
    <n v="273.36700000000002"/>
    <n v="273.36700000000002"/>
    <n v="1663"/>
    <s v="CATIVO"/>
    <n v="0"/>
    <n v="0"/>
    <n v="32"/>
    <n v="73"/>
    <n v="0"/>
    <n v="143.46"/>
    <n v="179.15"/>
    <m/>
    <n v="142.09213932109398"/>
    <n v="172.66820173563016"/>
    <n v="0"/>
    <n v="58793.04068999998"/>
    <n v="0"/>
    <n v="57363.39343576903"/>
    <x v="4"/>
  </r>
  <r>
    <s v="Refaturamento - Regular"/>
    <x v="2"/>
    <x v="2"/>
    <x v="3"/>
    <x v="4"/>
    <x v="1"/>
    <x v="0"/>
    <x v="1"/>
    <x v="3"/>
    <n v="0"/>
    <n v="0"/>
    <n v="-0.13500000000000001"/>
    <n v="-0.13500000000000001"/>
    <n v="-0.13500000000000001"/>
    <n v="-0.13500000000000001"/>
    <n v="0"/>
    <s v="CATIVO"/>
    <n v="0"/>
    <n v="0"/>
    <n v="32"/>
    <n v="73"/>
    <n v="0"/>
    <n v="143.46"/>
    <n v="179.15"/>
    <m/>
    <n v="142.09213932109398"/>
    <n v="172.66820173563016"/>
    <n v="0"/>
    <n v="-29.034449999999989"/>
    <n v="0"/>
    <n v="-28.328430695105183"/>
    <x v="4"/>
  </r>
  <r>
    <s v="Regular"/>
    <x v="2"/>
    <x v="2"/>
    <x v="3"/>
    <x v="4"/>
    <x v="1"/>
    <x v="0"/>
    <x v="1"/>
    <x v="4"/>
    <n v="0"/>
    <n v="0"/>
    <n v="273.81"/>
    <n v="273.81"/>
    <n v="273.81"/>
    <n v="273.81"/>
    <n v="1632"/>
    <s v="CATIVO"/>
    <n v="0"/>
    <n v="0"/>
    <n v="32"/>
    <n v="73"/>
    <n v="0"/>
    <n v="143.46"/>
    <n v="179.15"/>
    <m/>
    <n v="142.09213932109398"/>
    <n v="172.66820173563016"/>
    <n v="0"/>
    <n v="58888.316699999974"/>
    <n v="0"/>
    <n v="57456.35265649444"/>
    <x v="4"/>
  </r>
  <r>
    <s v="Refaturamento - Regular"/>
    <x v="2"/>
    <x v="2"/>
    <x v="3"/>
    <x v="4"/>
    <x v="1"/>
    <x v="0"/>
    <x v="1"/>
    <x v="4"/>
    <n v="0"/>
    <n v="0"/>
    <n v="-6.5000000000000002E-2"/>
    <n v="-6.5000000000000002E-2"/>
    <n v="-6.5000000000000002E-2"/>
    <n v="-6.5000000000000002E-2"/>
    <n v="0"/>
    <s v="CATIVO"/>
    <n v="0"/>
    <n v="0"/>
    <n v="32"/>
    <n v="73"/>
    <n v="0"/>
    <n v="143.46"/>
    <n v="179.15"/>
    <m/>
    <n v="142.09213932109398"/>
    <n v="172.66820173563016"/>
    <n v="0"/>
    <n v="-13.979549999999994"/>
    <n v="0"/>
    <n v="-13.639614779124718"/>
    <x v="4"/>
  </r>
  <r>
    <s v="Regular"/>
    <x v="2"/>
    <x v="2"/>
    <x v="3"/>
    <x v="4"/>
    <x v="1"/>
    <x v="0"/>
    <x v="1"/>
    <x v="5"/>
    <n v="0"/>
    <n v="0"/>
    <n v="265.63600000000002"/>
    <n v="265.63600000000002"/>
    <n v="265.63600000000002"/>
    <n v="265.63600000000002"/>
    <n v="1637"/>
    <s v="CATIVO"/>
    <n v="0"/>
    <n v="0"/>
    <n v="32"/>
    <n v="73"/>
    <n v="0"/>
    <n v="143.46"/>
    <n v="179.15"/>
    <m/>
    <n v="142.09213932109398"/>
    <n v="172.66820173563016"/>
    <n v="0"/>
    <n v="57130.334519999982"/>
    <n v="0"/>
    <n v="55741.118637962674"/>
    <x v="4"/>
  </r>
  <r>
    <s v="Refaturamento - Regular"/>
    <x v="2"/>
    <x v="2"/>
    <x v="3"/>
    <x v="4"/>
    <x v="1"/>
    <x v="0"/>
    <x v="1"/>
    <x v="5"/>
    <n v="0"/>
    <n v="0"/>
    <n v="-6.4000000000000001E-2"/>
    <n v="-6.4000000000000001E-2"/>
    <n v="-6.4000000000000001E-2"/>
    <n v="-6.4000000000000001E-2"/>
    <n v="0"/>
    <s v="CATIVO"/>
    <n v="0"/>
    <n v="0"/>
    <n v="32"/>
    <n v="73"/>
    <n v="0"/>
    <n v="143.46"/>
    <n v="179.15"/>
    <m/>
    <n v="142.09213932109398"/>
    <n v="172.66820173563016"/>
    <n v="0"/>
    <n v="-13.764479999999994"/>
    <n v="0"/>
    <n v="-13.429774551753567"/>
    <x v="4"/>
  </r>
  <r>
    <s v="Regular"/>
    <x v="2"/>
    <x v="2"/>
    <x v="3"/>
    <x v="4"/>
    <x v="1"/>
    <x v="0"/>
    <x v="1"/>
    <x v="6"/>
    <n v="0"/>
    <n v="0"/>
    <n v="263.64100000000002"/>
    <n v="263.64100000000002"/>
    <n v="263.64100000000002"/>
    <n v="263.64100000000002"/>
    <n v="1554"/>
    <s v="CATIVO"/>
    <n v="0"/>
    <n v="0"/>
    <n v="32"/>
    <n v="73"/>
    <n v="0"/>
    <n v="143.46"/>
    <n v="179.15"/>
    <m/>
    <n v="142.09213932109398"/>
    <n v="172.66820173563016"/>
    <n v="0"/>
    <n v="56701.269869999982"/>
    <n v="0"/>
    <n v="55322.487384357228"/>
    <x v="4"/>
  </r>
  <r>
    <s v="Refaturamento - Regular"/>
    <x v="2"/>
    <x v="2"/>
    <x v="3"/>
    <x v="4"/>
    <x v="1"/>
    <x v="0"/>
    <x v="1"/>
    <x v="6"/>
    <n v="0"/>
    <n v="0"/>
    <n v="1.6E-2"/>
    <n v="1.6E-2"/>
    <n v="1.6E-2"/>
    <n v="1.6E-2"/>
    <n v="0"/>
    <s v="CATIVO"/>
    <n v="0"/>
    <n v="0"/>
    <n v="32"/>
    <n v="73"/>
    <n v="0"/>
    <n v="143.46"/>
    <n v="179.15"/>
    <m/>
    <n v="142.09213932109398"/>
    <n v="172.66820173563016"/>
    <n v="0"/>
    <n v="3.4411199999999984"/>
    <n v="0"/>
    <n v="3.3574436379383918"/>
    <x v="4"/>
  </r>
  <r>
    <s v="Regular"/>
    <x v="2"/>
    <x v="2"/>
    <x v="3"/>
    <x v="4"/>
    <x v="1"/>
    <x v="0"/>
    <x v="1"/>
    <x v="7"/>
    <n v="0"/>
    <n v="0"/>
    <n v="267.75400000000002"/>
    <n v="267.75400000000002"/>
    <n v="267.75400000000002"/>
    <n v="267.75400000000002"/>
    <n v="1520"/>
    <s v="CATIVO"/>
    <n v="0"/>
    <n v="0"/>
    <n v="32"/>
    <n v="73"/>
    <n v="0"/>
    <n v="143.46"/>
    <n v="179.15"/>
    <m/>
    <n v="142.09213932109398"/>
    <n v="172.66820173563016"/>
    <n v="0"/>
    <n v="57585.852779999979"/>
    <n v="0"/>
    <n v="56185.560239534767"/>
    <x v="4"/>
  </r>
  <r>
    <s v="Refaturamento - Regular"/>
    <x v="2"/>
    <x v="2"/>
    <x v="3"/>
    <x v="4"/>
    <x v="1"/>
    <x v="0"/>
    <x v="1"/>
    <x v="7"/>
    <n v="0"/>
    <n v="0"/>
    <n v="-0.09"/>
    <n v="-0.09"/>
    <n v="-0.09"/>
    <n v="-0.09"/>
    <n v="0"/>
    <s v="CATIVO"/>
    <n v="0"/>
    <n v="0"/>
    <n v="32"/>
    <n v="73"/>
    <n v="0"/>
    <n v="143.46"/>
    <n v="179.15"/>
    <m/>
    <n v="142.09213932109398"/>
    <n v="172.66820173563016"/>
    <n v="0"/>
    <n v="-19.35629999999999"/>
    <n v="0"/>
    <n v="-18.885620463403455"/>
    <x v="4"/>
  </r>
  <r>
    <s v="Regular"/>
    <x v="2"/>
    <x v="2"/>
    <x v="3"/>
    <x v="4"/>
    <x v="1"/>
    <x v="0"/>
    <x v="1"/>
    <x v="8"/>
    <n v="0"/>
    <n v="0"/>
    <n v="283.09500000000003"/>
    <n v="283.09500000000003"/>
    <n v="283.09500000000003"/>
    <n v="283.09500000000003"/>
    <n v="1423"/>
    <s v="CATIVO"/>
    <n v="0"/>
    <n v="0"/>
    <n v="32"/>
    <n v="73"/>
    <n v="0"/>
    <n v="143.46"/>
    <n v="179.15"/>
    <m/>
    <n v="142.09213932109398"/>
    <n v="172.66820173563016"/>
    <n v="0"/>
    <n v="60885.241649999982"/>
    <n v="0"/>
    <n v="59404.719167635572"/>
    <x v="4"/>
  </r>
  <r>
    <s v="Regular"/>
    <x v="2"/>
    <x v="2"/>
    <x v="3"/>
    <x v="4"/>
    <x v="1"/>
    <x v="0"/>
    <x v="1"/>
    <x v="9"/>
    <n v="0"/>
    <n v="0"/>
    <n v="299.08600000000001"/>
    <n v="299.08600000000001"/>
    <n v="299.08600000000001"/>
    <n v="299.08600000000001"/>
    <n v="1670"/>
    <s v="CATIVO"/>
    <n v="0"/>
    <n v="0"/>
    <n v="32"/>
    <n v="73"/>
    <n v="0"/>
    <n v="143.46"/>
    <n v="179.15"/>
    <m/>
    <n v="142.09213932109398"/>
    <n v="172.66820173563016"/>
    <n v="0"/>
    <n v="64324.426019999977"/>
    <n v="0"/>
    <n v="62760.274243527623"/>
    <x v="4"/>
  </r>
  <r>
    <s v="Regular"/>
    <x v="2"/>
    <x v="2"/>
    <x v="3"/>
    <x v="4"/>
    <x v="1"/>
    <x v="0"/>
    <x v="1"/>
    <x v="10"/>
    <n v="0"/>
    <n v="0"/>
    <n v="295.02300000000002"/>
    <n v="295.02300000000002"/>
    <n v="295.02300000000002"/>
    <n v="295.02300000000002"/>
    <n v="1800"/>
    <s v="CATIVO"/>
    <n v="0"/>
    <n v="0"/>
    <n v="32"/>
    <n v="73"/>
    <n v="0"/>
    <n v="143.46"/>
    <n v="179.15"/>
    <m/>
    <n v="142.09213932109398"/>
    <n v="172.66820173563016"/>
    <n v="0"/>
    <n v="63450.596609999979"/>
    <n v="0"/>
    <n v="61907.693399718642"/>
    <x v="4"/>
  </r>
  <r>
    <s v="Regular"/>
    <x v="2"/>
    <x v="2"/>
    <x v="3"/>
    <x v="4"/>
    <x v="1"/>
    <x v="0"/>
    <x v="1"/>
    <x v="11"/>
    <n v="0"/>
    <n v="0"/>
    <n v="296.60599999999999"/>
    <n v="296.60599999999999"/>
    <n v="296.60599999999999"/>
    <n v="296.60599999999999"/>
    <n v="1802"/>
    <s v="CATIVO"/>
    <n v="0"/>
    <n v="0"/>
    <n v="32"/>
    <n v="73"/>
    <n v="0"/>
    <n v="143.46"/>
    <n v="179.15"/>
    <m/>
    <n v="142.09213932109398"/>
    <n v="172.66820173563016"/>
    <n v="0"/>
    <n v="63791.052419999971"/>
    <n v="0"/>
    <n v="62239.870479647165"/>
    <x v="4"/>
  </r>
  <r>
    <s v="Refaturamento - Regular"/>
    <x v="2"/>
    <x v="2"/>
    <x v="3"/>
    <x v="4"/>
    <x v="1"/>
    <x v="0"/>
    <x v="1"/>
    <x v="11"/>
    <n v="0"/>
    <n v="0"/>
    <n v="7.0000000000000007E-2"/>
    <n v="7.0000000000000007E-2"/>
    <n v="7.0000000000000007E-2"/>
    <n v="7.0000000000000007E-2"/>
    <n v="0"/>
    <s v="CATIVO"/>
    <n v="0"/>
    <n v="0"/>
    <n v="32"/>
    <n v="73"/>
    <n v="0"/>
    <n v="143.46"/>
    <n v="179.15"/>
    <m/>
    <n v="142.09213932109398"/>
    <n v="172.66820173563016"/>
    <n v="0"/>
    <n v="15.054899999999995"/>
    <n v="0"/>
    <n v="14.688815915980467"/>
    <x v="4"/>
  </r>
  <r>
    <s v="Regular"/>
    <x v="2"/>
    <x v="2"/>
    <x v="3"/>
    <x v="5"/>
    <x v="1"/>
    <x v="0"/>
    <x v="1"/>
    <x v="0"/>
    <n v="0"/>
    <n v="0"/>
    <n v="165.16200000000001"/>
    <n v="165.16200000000001"/>
    <n v="165.16200000000001"/>
    <n v="165.16200000000001"/>
    <n v="2235"/>
    <s v="CATIVO"/>
    <n v="0"/>
    <n v="0"/>
    <n v="33"/>
    <n v="74"/>
    <n v="0"/>
    <n v="215.19"/>
    <n v="268.72000000000003"/>
    <m/>
    <n v="213.13820898164101"/>
    <n v="259.00230260344529"/>
    <n v="0"/>
    <n v="8880.7607399999888"/>
    <n v="0"/>
    <n v="8664.4079082684475"/>
    <x v="4"/>
  </r>
  <r>
    <s v="Refaturamento - Regular"/>
    <x v="2"/>
    <x v="2"/>
    <x v="3"/>
    <x v="5"/>
    <x v="1"/>
    <x v="0"/>
    <x v="1"/>
    <x v="0"/>
    <n v="0"/>
    <n v="0"/>
    <n v="-0.14000000000000001"/>
    <n v="-0.14000000000000001"/>
    <n v="-0.14000000000000001"/>
    <n v="-0.14000000000000001"/>
    <n v="0"/>
    <s v="CATIVO"/>
    <n v="0"/>
    <n v="0"/>
    <n v="33"/>
    <n v="74"/>
    <n v="0"/>
    <n v="215.19"/>
    <n v="268.72000000000003"/>
    <m/>
    <n v="213.13820898164101"/>
    <n v="259.00230260344529"/>
    <n v="0"/>
    <n v="-7.5277999999999903"/>
    <n v="0"/>
    <n v="-7.3444079579902324"/>
    <x v="4"/>
  </r>
  <r>
    <s v="Regular"/>
    <x v="2"/>
    <x v="2"/>
    <x v="3"/>
    <x v="5"/>
    <x v="1"/>
    <x v="0"/>
    <x v="1"/>
    <x v="1"/>
    <n v="0"/>
    <n v="0"/>
    <n v="164.381"/>
    <n v="164.381"/>
    <n v="164.381"/>
    <n v="164.381"/>
    <n v="2212"/>
    <s v="CATIVO"/>
    <n v="0"/>
    <n v="0"/>
    <n v="33"/>
    <n v="74"/>
    <n v="0"/>
    <n v="215.19"/>
    <n v="268.72000000000003"/>
    <m/>
    <n v="213.13820898164101"/>
    <n v="259.00230260344529"/>
    <n v="0"/>
    <n v="8838.7663699999885"/>
    <n v="0"/>
    <n v="8623.4366038742301"/>
    <x v="4"/>
  </r>
  <r>
    <s v="Refaturamento - Regular"/>
    <x v="2"/>
    <x v="2"/>
    <x v="3"/>
    <x v="5"/>
    <x v="1"/>
    <x v="0"/>
    <x v="1"/>
    <x v="1"/>
    <n v="0"/>
    <n v="0"/>
    <n v="-0.13900000000000001"/>
    <n v="-0.13900000000000001"/>
    <n v="-0.13900000000000001"/>
    <n v="-0.13900000000000001"/>
    <n v="0"/>
    <s v="CATIVO"/>
    <n v="0"/>
    <n v="0"/>
    <n v="33"/>
    <n v="74"/>
    <n v="0"/>
    <n v="215.19"/>
    <n v="268.72000000000003"/>
    <m/>
    <n v="213.13820898164101"/>
    <n v="259.00230260344529"/>
    <n v="0"/>
    <n v="-7.4740299999999902"/>
    <n v="0"/>
    <n v="-7.2919479011474451"/>
    <x v="4"/>
  </r>
  <r>
    <s v="Regular"/>
    <x v="2"/>
    <x v="2"/>
    <x v="3"/>
    <x v="5"/>
    <x v="1"/>
    <x v="0"/>
    <x v="1"/>
    <x v="2"/>
    <n v="0"/>
    <n v="0"/>
    <n v="172.28899999999999"/>
    <n v="172.28899999999999"/>
    <n v="172.28899999999999"/>
    <n v="172.28899999999999"/>
    <n v="2288"/>
    <s v="CATIVO"/>
    <n v="0"/>
    <n v="0"/>
    <n v="33"/>
    <n v="74"/>
    <n v="0"/>
    <n v="215.19"/>
    <n v="268.72000000000003"/>
    <m/>
    <n v="213.13820898164101"/>
    <n v="259.00230260344529"/>
    <n v="0"/>
    <n v="9263.979529999986"/>
    <n v="0"/>
    <n v="9038.2907333869916"/>
    <x v="4"/>
  </r>
  <r>
    <s v="Refaturamento - Regular"/>
    <x v="2"/>
    <x v="2"/>
    <x v="3"/>
    <x v="5"/>
    <x v="1"/>
    <x v="0"/>
    <x v="1"/>
    <x v="2"/>
    <n v="0"/>
    <n v="0"/>
    <n v="-0.41199999999999998"/>
    <n v="-0.41199999999999998"/>
    <n v="-0.41199999999999998"/>
    <n v="-0.41199999999999998"/>
    <n v="0"/>
    <s v="CATIVO"/>
    <n v="0"/>
    <n v="0"/>
    <n v="33"/>
    <n v="74"/>
    <n v="0"/>
    <n v="215.19"/>
    <n v="268.72000000000003"/>
    <m/>
    <n v="213.13820898164101"/>
    <n v="259.00230260344529"/>
    <n v="0"/>
    <n v="-22.153239999999968"/>
    <n v="0"/>
    <n v="-21.613543419228392"/>
    <x v="4"/>
  </r>
  <r>
    <s v="Regular"/>
    <x v="2"/>
    <x v="2"/>
    <x v="3"/>
    <x v="5"/>
    <x v="1"/>
    <x v="0"/>
    <x v="1"/>
    <x v="3"/>
    <n v="0"/>
    <n v="0"/>
    <n v="172.27199999999999"/>
    <n v="172.27199999999999"/>
    <n v="172.27199999999999"/>
    <n v="172.27199999999999"/>
    <n v="2446"/>
    <s v="CATIVO"/>
    <n v="0"/>
    <n v="0"/>
    <n v="33"/>
    <n v="74"/>
    <n v="0"/>
    <n v="215.19"/>
    <n v="268.72000000000003"/>
    <m/>
    <n v="213.13820898164101"/>
    <n v="259.00230260344529"/>
    <n v="0"/>
    <n v="9263.0654399999858"/>
    <n v="0"/>
    <n v="9037.3989124206655"/>
    <x v="4"/>
  </r>
  <r>
    <s v="Refaturamento - Regular"/>
    <x v="2"/>
    <x v="2"/>
    <x v="3"/>
    <x v="5"/>
    <x v="1"/>
    <x v="0"/>
    <x v="1"/>
    <x v="3"/>
    <n v="0"/>
    <n v="0"/>
    <n v="-0.23200000000000001"/>
    <n v="-0.23200000000000001"/>
    <n v="-0.23200000000000001"/>
    <n v="-0.23200000000000001"/>
    <n v="0"/>
    <s v="CATIVO"/>
    <n v="0"/>
    <n v="0"/>
    <n v="33"/>
    <n v="74"/>
    <n v="0"/>
    <n v="215.19"/>
    <n v="268.72000000000003"/>
    <m/>
    <n v="213.13820898164101"/>
    <n v="259.00230260344529"/>
    <n v="0"/>
    <n v="-12.474639999999983"/>
    <n v="0"/>
    <n v="-12.17073318752667"/>
    <x v="4"/>
  </r>
  <r>
    <s v="Regular"/>
    <x v="2"/>
    <x v="2"/>
    <x v="3"/>
    <x v="5"/>
    <x v="1"/>
    <x v="0"/>
    <x v="1"/>
    <x v="4"/>
    <n v="0"/>
    <n v="0"/>
    <n v="173.268"/>
    <n v="173.268"/>
    <n v="173.268"/>
    <n v="173.268"/>
    <n v="2438"/>
    <s v="CATIVO"/>
    <n v="0"/>
    <n v="0"/>
    <n v="33"/>
    <n v="74"/>
    <n v="0"/>
    <n v="215.19"/>
    <n v="268.72000000000003"/>
    <m/>
    <n v="213.13820898164101"/>
    <n v="259.00230260344529"/>
    <n v="0"/>
    <n v="9316.6203599999862"/>
    <n v="0"/>
    <n v="9089.6491290360809"/>
    <x v="4"/>
  </r>
  <r>
    <s v="Refaturamento - Regular"/>
    <x v="2"/>
    <x v="2"/>
    <x v="3"/>
    <x v="5"/>
    <x v="1"/>
    <x v="0"/>
    <x v="1"/>
    <x v="4"/>
    <n v="0"/>
    <n v="0"/>
    <n v="-0.32200000000000001"/>
    <n v="-0.32200000000000001"/>
    <n v="-0.32200000000000001"/>
    <n v="-0.32200000000000001"/>
    <n v="0"/>
    <s v="CATIVO"/>
    <n v="0"/>
    <n v="0"/>
    <n v="33"/>
    <n v="74"/>
    <n v="0"/>
    <n v="215.19"/>
    <n v="268.72000000000003"/>
    <m/>
    <n v="213.13820898164101"/>
    <n v="259.00230260344529"/>
    <n v="0"/>
    <n v="-17.313939999999977"/>
    <n v="0"/>
    <n v="-16.892138303377532"/>
    <x v="4"/>
  </r>
  <r>
    <s v="Regular"/>
    <x v="2"/>
    <x v="2"/>
    <x v="3"/>
    <x v="5"/>
    <x v="1"/>
    <x v="0"/>
    <x v="1"/>
    <x v="5"/>
    <n v="0"/>
    <n v="0"/>
    <n v="163.98"/>
    <n v="163.98"/>
    <n v="163.98"/>
    <n v="163.98"/>
    <n v="2360"/>
    <s v="CATIVO"/>
    <n v="0"/>
    <n v="0"/>
    <n v="33"/>
    <n v="74"/>
    <n v="0"/>
    <n v="215.19"/>
    <n v="268.72000000000003"/>
    <m/>
    <n v="213.13820898164101"/>
    <n v="259.00230260344529"/>
    <n v="0"/>
    <n v="8817.2045999999864"/>
    <n v="0"/>
    <n v="8602.4001210802726"/>
    <x v="4"/>
  </r>
  <r>
    <s v="Refaturamento - Regular"/>
    <x v="2"/>
    <x v="2"/>
    <x v="3"/>
    <x v="5"/>
    <x v="1"/>
    <x v="0"/>
    <x v="1"/>
    <x v="5"/>
    <n v="0"/>
    <n v="0"/>
    <n v="-0.16700000000000001"/>
    <n v="-0.16700000000000001"/>
    <n v="-0.16700000000000001"/>
    <n v="-0.16700000000000001"/>
    <n v="0"/>
    <s v="CATIVO"/>
    <n v="0"/>
    <n v="0"/>
    <n v="33"/>
    <n v="74"/>
    <n v="0"/>
    <n v="215.19"/>
    <n v="268.72000000000003"/>
    <m/>
    <n v="213.13820898164101"/>
    <n v="259.00230260344529"/>
    <n v="0"/>
    <n v="-8.9795899999999875"/>
    <n v="0"/>
    <n v="-8.7608294927454899"/>
    <x v="4"/>
  </r>
  <r>
    <s v="Regular"/>
    <x v="2"/>
    <x v="2"/>
    <x v="3"/>
    <x v="5"/>
    <x v="1"/>
    <x v="0"/>
    <x v="1"/>
    <x v="6"/>
    <n v="0"/>
    <n v="0"/>
    <n v="157.48400000000001"/>
    <n v="157.48400000000001"/>
    <n v="157.48400000000001"/>
    <n v="157.48400000000001"/>
    <n v="2424"/>
    <s v="CATIVO"/>
    <n v="0"/>
    <n v="0"/>
    <n v="33"/>
    <n v="74"/>
    <n v="0"/>
    <n v="215.19"/>
    <n v="268.72000000000003"/>
    <m/>
    <n v="213.13820898164101"/>
    <n v="259.00230260344529"/>
    <n v="0"/>
    <n v="8467.9146799999889"/>
    <n v="0"/>
    <n v="8261.6195918295252"/>
    <x v="4"/>
  </r>
  <r>
    <s v="Refaturamento - Regular"/>
    <x v="2"/>
    <x v="2"/>
    <x v="3"/>
    <x v="5"/>
    <x v="1"/>
    <x v="0"/>
    <x v="1"/>
    <x v="6"/>
    <n v="0"/>
    <n v="0"/>
    <n v="-0.33300000000000002"/>
    <n v="-0.33300000000000002"/>
    <n v="-0.33300000000000002"/>
    <n v="-0.33300000000000002"/>
    <n v="0"/>
    <s v="CATIVO"/>
    <n v="0"/>
    <n v="0"/>
    <n v="33"/>
    <n v="74"/>
    <n v="0"/>
    <n v="215.19"/>
    <n v="268.72000000000003"/>
    <m/>
    <n v="213.13820898164101"/>
    <n v="259.00230260344529"/>
    <n v="0"/>
    <n v="-17.905409999999975"/>
    <n v="0"/>
    <n v="-17.469198928648193"/>
    <x v="4"/>
  </r>
  <r>
    <s v="Regular"/>
    <x v="2"/>
    <x v="2"/>
    <x v="3"/>
    <x v="5"/>
    <x v="1"/>
    <x v="0"/>
    <x v="1"/>
    <x v="7"/>
    <n v="0"/>
    <n v="0"/>
    <n v="164.59299999999999"/>
    <n v="164.59299999999999"/>
    <n v="164.59299999999999"/>
    <n v="164.59299999999999"/>
    <n v="2457"/>
    <s v="CATIVO"/>
    <n v="0"/>
    <n v="0"/>
    <n v="33"/>
    <n v="74"/>
    <n v="0"/>
    <n v="215.19"/>
    <n v="268.72000000000003"/>
    <m/>
    <n v="213.13820898164101"/>
    <n v="259.00230260344529"/>
    <n v="0"/>
    <n v="8850.1656099999873"/>
    <n v="0"/>
    <n v="8634.5581359249009"/>
    <x v="4"/>
  </r>
  <r>
    <s v="Refaturamento - Regular"/>
    <x v="2"/>
    <x v="2"/>
    <x v="3"/>
    <x v="5"/>
    <x v="1"/>
    <x v="0"/>
    <x v="1"/>
    <x v="7"/>
    <n v="0"/>
    <n v="0"/>
    <n v="-0.313"/>
    <n v="-0.313"/>
    <n v="-0.313"/>
    <n v="-0.313"/>
    <n v="0"/>
    <s v="CATIVO"/>
    <n v="0"/>
    <n v="0"/>
    <n v="33"/>
    <n v="74"/>
    <n v="0"/>
    <n v="215.19"/>
    <n v="268.72000000000003"/>
    <m/>
    <n v="213.13820898164101"/>
    <n v="259.00230260344529"/>
    <n v="0"/>
    <n v="-16.830009999999977"/>
    <n v="0"/>
    <n v="-16.419997791792447"/>
    <x v="4"/>
  </r>
  <r>
    <s v="Regular"/>
    <x v="2"/>
    <x v="2"/>
    <x v="3"/>
    <x v="5"/>
    <x v="1"/>
    <x v="0"/>
    <x v="1"/>
    <x v="8"/>
    <n v="0"/>
    <n v="0"/>
    <n v="191.77099999999999"/>
    <n v="191.77099999999999"/>
    <n v="191.77099999999999"/>
    <n v="191.77099999999999"/>
    <n v="2580"/>
    <s v="CATIVO"/>
    <n v="0"/>
    <n v="0"/>
    <n v="33"/>
    <n v="74"/>
    <n v="0"/>
    <n v="215.19"/>
    <n v="268.72000000000003"/>
    <m/>
    <n v="213.13820898164101"/>
    <n v="259.00230260344529"/>
    <n v="0"/>
    <n v="10311.526669999985"/>
    <n v="0"/>
    <n v="10060.317560798176"/>
    <x v="4"/>
  </r>
  <r>
    <s v="Regular"/>
    <x v="2"/>
    <x v="2"/>
    <x v="3"/>
    <x v="5"/>
    <x v="1"/>
    <x v="0"/>
    <x v="1"/>
    <x v="9"/>
    <n v="0"/>
    <n v="0"/>
    <n v="193.261"/>
    <n v="193.261"/>
    <n v="193.261"/>
    <n v="193.261"/>
    <n v="2685"/>
    <s v="CATIVO"/>
    <n v="0"/>
    <n v="0"/>
    <n v="33"/>
    <n v="74"/>
    <n v="0"/>
    <n v="215.19"/>
    <n v="268.72000000000003"/>
    <m/>
    <n v="213.13820898164101"/>
    <n v="259.00230260344529"/>
    <n v="0"/>
    <n v="10391.643969999985"/>
    <n v="0"/>
    <n v="10138.483045493929"/>
    <x v="4"/>
  </r>
  <r>
    <s v="Regular"/>
    <x v="2"/>
    <x v="2"/>
    <x v="3"/>
    <x v="5"/>
    <x v="1"/>
    <x v="0"/>
    <x v="1"/>
    <x v="10"/>
    <n v="0"/>
    <n v="0"/>
    <n v="183.00200000000001"/>
    <n v="183.00200000000001"/>
    <n v="183.00200000000001"/>
    <n v="183.00200000000001"/>
    <n v="2618"/>
    <s v="CATIVO"/>
    <n v="0"/>
    <n v="0"/>
    <n v="33"/>
    <n v="74"/>
    <n v="0"/>
    <n v="215.19"/>
    <n v="268.72000000000003"/>
    <m/>
    <n v="213.13820898164101"/>
    <n v="259.00230260344529"/>
    <n v="0"/>
    <n v="9840.0175399999862"/>
    <n v="0"/>
    <n v="9600.2953223437744"/>
    <x v="4"/>
  </r>
  <r>
    <s v="Regular"/>
    <x v="2"/>
    <x v="2"/>
    <x v="3"/>
    <x v="5"/>
    <x v="1"/>
    <x v="0"/>
    <x v="1"/>
    <x v="11"/>
    <n v="0"/>
    <n v="0"/>
    <n v="185.56899999999999"/>
    <n v="185.56899999999999"/>
    <n v="185.56899999999999"/>
    <n v="185.56899999999999"/>
    <n v="2619"/>
    <s v="CATIVO"/>
    <n v="0"/>
    <n v="0"/>
    <n v="33"/>
    <n v="74"/>
    <n v="0"/>
    <n v="215.19"/>
    <n v="268.72000000000003"/>
    <m/>
    <n v="213.13820898164101"/>
    <n v="259.00230260344529"/>
    <n v="0"/>
    <n v="9978.0451299999859"/>
    <n v="0"/>
    <n v="9734.960288259208"/>
    <x v="4"/>
  </r>
  <r>
    <s v="Refaturamento - Regular"/>
    <x v="2"/>
    <x v="2"/>
    <x v="3"/>
    <x v="5"/>
    <x v="1"/>
    <x v="0"/>
    <x v="1"/>
    <x v="11"/>
    <n v="0"/>
    <n v="0"/>
    <n v="-0.157"/>
    <n v="-0.157"/>
    <n v="-0.157"/>
    <n v="-0.157"/>
    <n v="0"/>
    <s v="CATIVO"/>
    <n v="0"/>
    <n v="0"/>
    <n v="33"/>
    <n v="74"/>
    <n v="0"/>
    <n v="215.19"/>
    <n v="268.72000000000003"/>
    <m/>
    <n v="213.13820898164101"/>
    <n v="259.00230260344529"/>
    <n v="0"/>
    <n v="-8.4418899999999883"/>
    <n v="0"/>
    <n v="-8.2362289243176168"/>
    <x v="4"/>
  </r>
  <r>
    <s v="Regular"/>
    <x v="2"/>
    <x v="2"/>
    <x v="3"/>
    <x v="6"/>
    <x v="1"/>
    <x v="0"/>
    <x v="1"/>
    <x v="0"/>
    <n v="0"/>
    <n v="0"/>
    <n v="32.509"/>
    <n v="32.509"/>
    <n v="32.509"/>
    <n v="32.509"/>
    <n v="507"/>
    <s v="CATIVO"/>
    <n v="0"/>
    <n v="0"/>
    <n v="34"/>
    <n v="75"/>
    <n v="0"/>
    <n v="239.1"/>
    <n v="298.58"/>
    <m/>
    <n v="236.82023220182333"/>
    <n v="287.78033622605028"/>
    <n v="0"/>
    <n v="-1.8479227037460078E-12"/>
    <n v="0"/>
    <n v="1.8479227037460078E-12"/>
    <x v="4"/>
  </r>
  <r>
    <s v="Refaturamento - Regular"/>
    <x v="2"/>
    <x v="2"/>
    <x v="3"/>
    <x v="6"/>
    <x v="1"/>
    <x v="0"/>
    <x v="1"/>
    <x v="0"/>
    <n v="0"/>
    <n v="0"/>
    <n v="-0.16300000000000001"/>
    <n v="-0.16300000000000001"/>
    <n v="-0.16300000000000001"/>
    <n v="-0.16300000000000001"/>
    <n v="0"/>
    <s v="CATIVO"/>
    <n v="0"/>
    <n v="0"/>
    <n v="34"/>
    <n v="75"/>
    <n v="0"/>
    <n v="239.1"/>
    <n v="298.58"/>
    <m/>
    <n v="236.82023220182333"/>
    <n v="287.78033622605028"/>
    <n v="0"/>
    <n v="9.2654772743117068E-15"/>
    <n v="0"/>
    <n v="-9.2654772743117068E-15"/>
    <x v="4"/>
  </r>
  <r>
    <s v="Regular"/>
    <x v="2"/>
    <x v="2"/>
    <x v="3"/>
    <x v="6"/>
    <x v="1"/>
    <x v="0"/>
    <x v="1"/>
    <x v="1"/>
    <n v="0"/>
    <n v="0"/>
    <n v="37.683"/>
    <n v="37.683"/>
    <n v="37.683"/>
    <n v="37.683"/>
    <n v="514"/>
    <s v="CATIVO"/>
    <n v="0"/>
    <n v="0"/>
    <n v="34"/>
    <n v="75"/>
    <n v="0"/>
    <n v="239.1"/>
    <n v="298.58"/>
    <m/>
    <n v="236.82023220182333"/>
    <n v="287.78033622605028"/>
    <n v="0"/>
    <n v="-2.1420305529318284E-12"/>
    <n v="0"/>
    <n v="2.1420305529318284E-12"/>
    <x v="4"/>
  </r>
  <r>
    <s v="Refaturamento - Regular"/>
    <x v="2"/>
    <x v="2"/>
    <x v="3"/>
    <x v="6"/>
    <x v="1"/>
    <x v="0"/>
    <x v="1"/>
    <x v="1"/>
    <n v="0"/>
    <n v="0"/>
    <n v="-0.79"/>
    <n v="-0.79"/>
    <n v="-0.79"/>
    <n v="-0.79"/>
    <n v="0"/>
    <s v="CATIVO"/>
    <n v="0"/>
    <n v="0"/>
    <n v="34"/>
    <n v="75"/>
    <n v="0"/>
    <n v="239.1"/>
    <n v="298.58"/>
    <m/>
    <n v="236.82023220182333"/>
    <n v="287.78033622605028"/>
    <n v="0"/>
    <n v="4.4906300900038334E-14"/>
    <n v="0"/>
    <n v="-4.4906300900038334E-14"/>
    <x v="4"/>
  </r>
  <r>
    <s v="Regular"/>
    <x v="2"/>
    <x v="2"/>
    <x v="3"/>
    <x v="6"/>
    <x v="1"/>
    <x v="0"/>
    <x v="1"/>
    <x v="2"/>
    <n v="0"/>
    <n v="0"/>
    <n v="37.825000000000003"/>
    <n v="37.825000000000003"/>
    <n v="37.825000000000003"/>
    <n v="37.825000000000003"/>
    <n v="539"/>
    <s v="CATIVO"/>
    <n v="0"/>
    <n v="0"/>
    <n v="34"/>
    <n v="75"/>
    <n v="0"/>
    <n v="239.1"/>
    <n v="298.58"/>
    <m/>
    <n v="236.82023220182333"/>
    <n v="287.78033622605028"/>
    <n v="0"/>
    <n v="-2.1501023184100633E-12"/>
    <n v="0"/>
    <n v="2.1501023184100633E-12"/>
    <x v="4"/>
  </r>
  <r>
    <s v="Refaturamento - Regular"/>
    <x v="2"/>
    <x v="2"/>
    <x v="3"/>
    <x v="6"/>
    <x v="1"/>
    <x v="0"/>
    <x v="1"/>
    <x v="2"/>
    <n v="0"/>
    <n v="0"/>
    <n v="-0.34699999999999998"/>
    <n v="-0.34699999999999998"/>
    <n v="-0.34699999999999998"/>
    <n v="-0.34699999999999998"/>
    <n v="0"/>
    <s v="CATIVO"/>
    <n v="0"/>
    <n v="0"/>
    <n v="34"/>
    <n v="75"/>
    <n v="0"/>
    <n v="239.1"/>
    <n v="298.58"/>
    <m/>
    <n v="236.82023220182333"/>
    <n v="287.78033622605028"/>
    <n v="0"/>
    <n v="1.972466634470038E-14"/>
    <n v="0"/>
    <n v="-1.972466634470038E-14"/>
    <x v="4"/>
  </r>
  <r>
    <s v="Regular"/>
    <x v="2"/>
    <x v="2"/>
    <x v="3"/>
    <x v="6"/>
    <x v="1"/>
    <x v="0"/>
    <x v="1"/>
    <x v="3"/>
    <n v="0"/>
    <n v="0"/>
    <n v="30.623000000000001"/>
    <n v="30.623000000000001"/>
    <n v="30.623000000000001"/>
    <n v="30.623000000000001"/>
    <n v="487"/>
    <s v="CATIVO"/>
    <n v="0"/>
    <n v="0"/>
    <n v="34"/>
    <n v="75"/>
    <n v="0"/>
    <n v="239.1"/>
    <n v="298.58"/>
    <m/>
    <n v="236.82023220182333"/>
    <n v="287.78033622605028"/>
    <n v="0"/>
    <n v="-1.7407160157745239E-12"/>
    <n v="0"/>
    <n v="1.7407160157745239E-12"/>
    <x v="4"/>
  </r>
  <r>
    <s v="Refaturamento - Regular"/>
    <x v="2"/>
    <x v="2"/>
    <x v="3"/>
    <x v="6"/>
    <x v="1"/>
    <x v="0"/>
    <x v="1"/>
    <x v="3"/>
    <n v="0"/>
    <n v="0"/>
    <n v="-1.9E-2"/>
    <n v="-1.9E-2"/>
    <n v="-1.9E-2"/>
    <n v="-1.9E-2"/>
    <n v="0"/>
    <s v="CATIVO"/>
    <n v="0"/>
    <n v="0"/>
    <n v="34"/>
    <n v="75"/>
    <n v="0"/>
    <n v="239.1"/>
    <n v="298.58"/>
    <m/>
    <n v="236.82023220182333"/>
    <n v="287.78033622605028"/>
    <n v="0"/>
    <n v="1.0800249583553523E-15"/>
    <n v="0"/>
    <n v="-1.0800249583553523E-15"/>
    <x v="4"/>
  </r>
  <r>
    <s v="Regular"/>
    <x v="2"/>
    <x v="2"/>
    <x v="3"/>
    <x v="6"/>
    <x v="1"/>
    <x v="0"/>
    <x v="1"/>
    <x v="4"/>
    <n v="0"/>
    <n v="0"/>
    <n v="31.774000000000001"/>
    <n v="31.774000000000001"/>
    <n v="31.774000000000001"/>
    <n v="31.774000000000001"/>
    <n v="503"/>
    <s v="CATIVO"/>
    <n v="0"/>
    <n v="0"/>
    <n v="34"/>
    <n v="75"/>
    <n v="0"/>
    <n v="239.1"/>
    <n v="298.58"/>
    <m/>
    <n v="236.82023220182333"/>
    <n v="287.78033622605028"/>
    <n v="0"/>
    <n v="-1.8061427908833139E-12"/>
    <n v="0"/>
    <n v="1.8061427908833139E-12"/>
    <x v="4"/>
  </r>
  <r>
    <s v="Refaturamento - Regular"/>
    <x v="2"/>
    <x v="2"/>
    <x v="3"/>
    <x v="6"/>
    <x v="1"/>
    <x v="0"/>
    <x v="1"/>
    <x v="4"/>
    <n v="0"/>
    <n v="0"/>
    <n v="-0.60399999999999998"/>
    <n v="-0.60399999999999998"/>
    <n v="-0.60399999999999998"/>
    <n v="-0.60399999999999998"/>
    <n v="0"/>
    <s v="CATIVO"/>
    <n v="0"/>
    <n v="0"/>
    <n v="34"/>
    <n v="75"/>
    <n v="0"/>
    <n v="239.1"/>
    <n v="298.58"/>
    <m/>
    <n v="236.82023220182333"/>
    <n v="287.78033622605028"/>
    <n v="0"/>
    <n v="3.433342499192804E-14"/>
    <n v="0"/>
    <n v="-3.433342499192804E-14"/>
    <x v="4"/>
  </r>
  <r>
    <s v="Regular"/>
    <x v="2"/>
    <x v="2"/>
    <x v="3"/>
    <x v="6"/>
    <x v="1"/>
    <x v="0"/>
    <x v="1"/>
    <x v="5"/>
    <n v="0"/>
    <n v="0"/>
    <n v="30.585999999999999"/>
    <n v="30.585999999999999"/>
    <n v="30.585999999999999"/>
    <n v="30.585999999999999"/>
    <n v="464"/>
    <s v="CATIVO"/>
    <n v="0"/>
    <n v="0"/>
    <n v="34"/>
    <n v="75"/>
    <n v="0"/>
    <n v="239.1"/>
    <n v="298.58"/>
    <m/>
    <n v="236.82023220182333"/>
    <n v="287.78033622605028"/>
    <n v="0"/>
    <n v="-1.7386128092766739E-12"/>
    <n v="0"/>
    <n v="1.7386128092766739E-12"/>
    <x v="4"/>
  </r>
  <r>
    <s v="Refaturamento - Regular"/>
    <x v="2"/>
    <x v="2"/>
    <x v="3"/>
    <x v="6"/>
    <x v="1"/>
    <x v="0"/>
    <x v="1"/>
    <x v="5"/>
    <n v="0"/>
    <n v="0"/>
    <n v="-0.45100000000000001"/>
    <n v="-0.45100000000000001"/>
    <n v="-0.45100000000000001"/>
    <n v="-0.45100000000000001"/>
    <n v="0"/>
    <s v="CATIVO"/>
    <n v="0"/>
    <n v="0"/>
    <n v="34"/>
    <n v="75"/>
    <n v="0"/>
    <n v="239.1"/>
    <n v="298.58"/>
    <m/>
    <n v="236.82023220182333"/>
    <n v="287.78033622605028"/>
    <n v="0"/>
    <n v="2.5636381906224415E-14"/>
    <n v="0"/>
    <n v="-2.5636381906224415E-14"/>
    <x v="4"/>
  </r>
  <r>
    <s v="Regular"/>
    <x v="2"/>
    <x v="2"/>
    <x v="3"/>
    <x v="6"/>
    <x v="1"/>
    <x v="0"/>
    <x v="1"/>
    <x v="6"/>
    <n v="0"/>
    <n v="0"/>
    <n v="25.991"/>
    <n v="25.991"/>
    <n v="25.991"/>
    <n v="25.991"/>
    <n v="398"/>
    <s v="CATIVO"/>
    <n v="0"/>
    <n v="0"/>
    <n v="34"/>
    <n v="75"/>
    <n v="0"/>
    <n v="239.1"/>
    <n v="298.58"/>
    <m/>
    <n v="236.82023220182333"/>
    <n v="287.78033622605028"/>
    <n v="0"/>
    <n v="-1.4774172996112611E-12"/>
    <n v="0"/>
    <n v="1.4774172996112611E-12"/>
    <x v="4"/>
  </r>
  <r>
    <s v="Refaturamento - Regular"/>
    <x v="2"/>
    <x v="2"/>
    <x v="3"/>
    <x v="6"/>
    <x v="1"/>
    <x v="0"/>
    <x v="1"/>
    <x v="6"/>
    <n v="0"/>
    <n v="0"/>
    <n v="-7.0000000000000001E-3"/>
    <n v="-7.0000000000000001E-3"/>
    <n v="-7.0000000000000001E-3"/>
    <n v="-7.0000000000000001E-3"/>
    <n v="0"/>
    <s v="CATIVO"/>
    <n v="0"/>
    <n v="0"/>
    <n v="34"/>
    <n v="75"/>
    <n v="0"/>
    <n v="239.1"/>
    <n v="298.58"/>
    <m/>
    <n v="236.82023220182333"/>
    <n v="287.78033622605028"/>
    <n v="0"/>
    <n v="3.9790393202565611E-16"/>
    <n v="0"/>
    <n v="-3.9790393202565611E-16"/>
    <x v="4"/>
  </r>
  <r>
    <s v="Regular"/>
    <x v="2"/>
    <x v="2"/>
    <x v="3"/>
    <x v="6"/>
    <x v="1"/>
    <x v="0"/>
    <x v="1"/>
    <x v="7"/>
    <n v="0"/>
    <n v="0"/>
    <n v="30.13"/>
    <n v="30.13"/>
    <n v="30.13"/>
    <n v="30.13"/>
    <n v="440"/>
    <s v="CATIVO"/>
    <n v="0"/>
    <n v="0"/>
    <n v="34"/>
    <n v="75"/>
    <n v="0"/>
    <n v="239.1"/>
    <n v="298.58"/>
    <m/>
    <n v="236.82023220182333"/>
    <n v="287.78033622605028"/>
    <n v="0"/>
    <n v="-1.7126922102761454E-12"/>
    <n v="0"/>
    <n v="1.7126922102761454E-12"/>
    <x v="4"/>
  </r>
  <r>
    <s v="Refaturamento - Regular"/>
    <x v="2"/>
    <x v="2"/>
    <x v="3"/>
    <x v="6"/>
    <x v="1"/>
    <x v="0"/>
    <x v="1"/>
    <x v="7"/>
    <n v="0"/>
    <n v="0"/>
    <n v="-0.183"/>
    <n v="-0.183"/>
    <n v="-0.183"/>
    <n v="-0.183"/>
    <n v="0"/>
    <s v="CATIVO"/>
    <n v="0"/>
    <n v="0"/>
    <n v="34"/>
    <n v="75"/>
    <n v="0"/>
    <n v="239.1"/>
    <n v="298.58"/>
    <m/>
    <n v="236.82023220182333"/>
    <n v="287.78033622605028"/>
    <n v="0"/>
    <n v="1.0402345651527866E-14"/>
    <n v="0"/>
    <n v="-1.0402345651527866E-14"/>
    <x v="4"/>
  </r>
  <r>
    <s v="Regular"/>
    <x v="2"/>
    <x v="2"/>
    <x v="3"/>
    <x v="6"/>
    <x v="1"/>
    <x v="0"/>
    <x v="1"/>
    <x v="8"/>
    <n v="0"/>
    <n v="0"/>
    <n v="41.759"/>
    <n v="41.759"/>
    <n v="41.759"/>
    <n v="41.759"/>
    <n v="578"/>
    <s v="CATIVO"/>
    <n v="0"/>
    <n v="0"/>
    <n v="34"/>
    <n v="75"/>
    <n v="0"/>
    <n v="239.1"/>
    <n v="298.58"/>
    <m/>
    <n v="236.82023220182333"/>
    <n v="287.78033622605028"/>
    <n v="0"/>
    <n v="-2.3737243282084819E-12"/>
    <n v="0"/>
    <n v="2.3737243282084819E-12"/>
    <x v="4"/>
  </r>
  <r>
    <s v="Regular"/>
    <x v="2"/>
    <x v="2"/>
    <x v="3"/>
    <x v="6"/>
    <x v="1"/>
    <x v="0"/>
    <x v="1"/>
    <x v="9"/>
    <n v="0"/>
    <n v="0"/>
    <n v="43.734999999999999"/>
    <n v="43.734999999999999"/>
    <n v="43.734999999999999"/>
    <n v="43.734999999999999"/>
    <n v="572"/>
    <s v="CATIVO"/>
    <n v="0"/>
    <n v="0"/>
    <n v="34"/>
    <n v="75"/>
    <n v="0"/>
    <n v="239.1"/>
    <n v="298.58"/>
    <m/>
    <n v="236.82023220182333"/>
    <n v="287.78033622605028"/>
    <n v="0"/>
    <n v="-2.4860469238774385E-12"/>
    <n v="0"/>
    <n v="2.4860469238774385E-12"/>
    <x v="4"/>
  </r>
  <r>
    <s v="Regular"/>
    <x v="2"/>
    <x v="2"/>
    <x v="3"/>
    <x v="6"/>
    <x v="1"/>
    <x v="0"/>
    <x v="1"/>
    <x v="10"/>
    <n v="0"/>
    <n v="0"/>
    <n v="34.807000000000002"/>
    <n v="34.807000000000002"/>
    <n v="34.807000000000002"/>
    <n v="34.807000000000002"/>
    <n v="514"/>
    <s v="CATIVO"/>
    <n v="0"/>
    <n v="0"/>
    <n v="34"/>
    <n v="75"/>
    <n v="0"/>
    <n v="239.1"/>
    <n v="298.58"/>
    <m/>
    <n v="236.82023220182333"/>
    <n v="287.78033622605028"/>
    <n v="0"/>
    <n v="-1.9785488802881447E-12"/>
    <n v="0"/>
    <n v="1.9785488802881447E-12"/>
    <x v="4"/>
  </r>
  <r>
    <s v="Regular"/>
    <x v="2"/>
    <x v="2"/>
    <x v="3"/>
    <x v="6"/>
    <x v="1"/>
    <x v="0"/>
    <x v="1"/>
    <x v="11"/>
    <n v="0"/>
    <n v="0"/>
    <n v="37.749000000000002"/>
    <n v="37.749000000000002"/>
    <n v="37.749000000000002"/>
    <n v="37.749000000000002"/>
    <n v="540"/>
    <s v="CATIVO"/>
    <n v="0"/>
    <n v="0"/>
    <n v="34"/>
    <n v="75"/>
    <n v="0"/>
    <n v="239.1"/>
    <n v="298.58"/>
    <m/>
    <n v="236.82023220182333"/>
    <n v="287.78033622605028"/>
    <n v="0"/>
    <n v="-2.1457822185766419E-12"/>
    <n v="0"/>
    <n v="2.1457822185766419E-12"/>
    <x v="4"/>
  </r>
  <r>
    <s v="Refaturamento - Regular"/>
    <x v="2"/>
    <x v="2"/>
    <x v="3"/>
    <x v="6"/>
    <x v="1"/>
    <x v="0"/>
    <x v="1"/>
    <x v="11"/>
    <n v="0"/>
    <n v="0"/>
    <n v="-0.39300000000000002"/>
    <n v="-0.39300000000000002"/>
    <n v="-0.39300000000000002"/>
    <n v="-0.39300000000000002"/>
    <n v="0"/>
    <s v="CATIVO"/>
    <n v="0"/>
    <n v="0"/>
    <n v="34"/>
    <n v="75"/>
    <n v="0"/>
    <n v="239.1"/>
    <n v="298.58"/>
    <m/>
    <n v="236.82023220182333"/>
    <n v="287.78033622605028"/>
    <n v="0"/>
    <n v="2.2339463612297551E-14"/>
    <n v="0"/>
    <n v="-2.2339463612297551E-14"/>
    <x v="4"/>
  </r>
  <r>
    <s v="Regular"/>
    <x v="3"/>
    <x v="2"/>
    <x v="2"/>
    <x v="0"/>
    <x v="1"/>
    <x v="0"/>
    <x v="1"/>
    <x v="0"/>
    <n v="0"/>
    <n v="0"/>
    <n v="538.70600000000002"/>
    <n v="538.70600000000002"/>
    <n v="538.70600000000002"/>
    <n v="538.70600000000002"/>
    <n v="1770"/>
    <s v="CATIVO"/>
    <n v="0"/>
    <n v="0"/>
    <n v="43"/>
    <n v="84"/>
    <n v="0"/>
    <n v="271.72000000000003"/>
    <n v="262.75"/>
    <m/>
    <n v="335.6549921153379"/>
    <n v="270.51351605248726"/>
    <n v="0"/>
    <n v="39260.893279999938"/>
    <n v="0"/>
    <n v="20843.40078900363"/>
    <x v="2"/>
  </r>
  <r>
    <s v="Refaturamento - Regular"/>
    <x v="3"/>
    <x v="2"/>
    <x v="2"/>
    <x v="0"/>
    <x v="1"/>
    <x v="0"/>
    <x v="1"/>
    <x v="0"/>
    <n v="0"/>
    <n v="0"/>
    <n v="0.57799999999999996"/>
    <n v="0.57799999999999996"/>
    <n v="0.57799999999999996"/>
    <n v="0.57799999999999996"/>
    <n v="0"/>
    <s v="CATIVO"/>
    <n v="0"/>
    <n v="0"/>
    <n v="43"/>
    <n v="84"/>
    <n v="0"/>
    <n v="271.72000000000003"/>
    <n v="262.75"/>
    <m/>
    <n v="335.6549921153379"/>
    <n v="270.51351605248726"/>
    <n v="0"/>
    <n v="42.124639999999928"/>
    <n v="0"/>
    <n v="22.363748790702346"/>
    <x v="2"/>
  </r>
  <r>
    <s v="Sistema de Compensação"/>
    <x v="3"/>
    <x v="2"/>
    <x v="2"/>
    <x v="0"/>
    <x v="1"/>
    <x v="0"/>
    <x v="1"/>
    <x v="0"/>
    <n v="0"/>
    <n v="0"/>
    <n v="1.46"/>
    <n v="1.46"/>
    <n v="1.46"/>
    <n v="1.46"/>
    <n v="8"/>
    <s v="CATIVO"/>
    <n v="0"/>
    <n v="0"/>
    <n v="43"/>
    <n v="84"/>
    <n v="0"/>
    <n v="271.72000000000003"/>
    <n v="262.75"/>
    <m/>
    <n v="335.6549921153379"/>
    <n v="270.51351605248726"/>
    <n v="0"/>
    <n v="106.40479999999982"/>
    <n v="0"/>
    <n v="56.489746080320806"/>
    <x v="2"/>
  </r>
  <r>
    <s v="Regular"/>
    <x v="3"/>
    <x v="2"/>
    <x v="2"/>
    <x v="0"/>
    <x v="1"/>
    <x v="0"/>
    <x v="1"/>
    <x v="1"/>
    <n v="0"/>
    <n v="0"/>
    <n v="562.96199999999999"/>
    <n v="562.96199999999999"/>
    <n v="562.96199999999999"/>
    <n v="562.96199999999999"/>
    <n v="1772"/>
    <s v="CATIVO"/>
    <n v="0"/>
    <n v="0"/>
    <n v="43"/>
    <n v="84"/>
    <n v="0"/>
    <n v="271.72000000000003"/>
    <n v="262.75"/>
    <m/>
    <n v="335.6549921153379"/>
    <n v="270.51351605248726"/>
    <n v="0"/>
    <n v="41028.670559999933"/>
    <n v="0"/>
    <n v="21781.904406075042"/>
    <x v="2"/>
  </r>
  <r>
    <s v="Refaturamento - Regular"/>
    <x v="3"/>
    <x v="2"/>
    <x v="2"/>
    <x v="0"/>
    <x v="1"/>
    <x v="0"/>
    <x v="1"/>
    <x v="1"/>
    <n v="0"/>
    <n v="0"/>
    <n v="-0.11"/>
    <n v="-0.11"/>
    <n v="-0.11"/>
    <n v="-0.11"/>
    <n v="0"/>
    <s v="CATIVO"/>
    <n v="0"/>
    <n v="0"/>
    <n v="43"/>
    <n v="84"/>
    <n v="0"/>
    <n v="271.72000000000003"/>
    <n v="262.75"/>
    <m/>
    <n v="335.6549921153379"/>
    <n v="270.51351605248726"/>
    <n v="0"/>
    <n v="-8.0167999999999875"/>
    <n v="0"/>
    <n v="-4.2560767594762252"/>
    <x v="2"/>
  </r>
  <r>
    <s v="Sistema de Compensação"/>
    <x v="3"/>
    <x v="2"/>
    <x v="2"/>
    <x v="0"/>
    <x v="1"/>
    <x v="0"/>
    <x v="1"/>
    <x v="1"/>
    <n v="0"/>
    <n v="0"/>
    <n v="0.84199999999999997"/>
    <n v="0.84199999999999997"/>
    <n v="0.84199999999999997"/>
    <n v="0.84199999999999997"/>
    <n v="7"/>
    <s v="CATIVO"/>
    <n v="0"/>
    <n v="0"/>
    <n v="43"/>
    <n v="84"/>
    <n v="0"/>
    <n v="271.72000000000003"/>
    <n v="262.75"/>
    <m/>
    <n v="335.6549921153379"/>
    <n v="270.51351605248726"/>
    <n v="0"/>
    <n v="61.364959999999897"/>
    <n v="0"/>
    <n v="32.578333013445288"/>
    <x v="2"/>
  </r>
  <r>
    <s v="Regular"/>
    <x v="3"/>
    <x v="2"/>
    <x v="2"/>
    <x v="0"/>
    <x v="1"/>
    <x v="0"/>
    <x v="1"/>
    <x v="2"/>
    <n v="0"/>
    <n v="0"/>
    <n v="539.01599999999996"/>
    <n v="539.01599999999996"/>
    <n v="539.01599999999996"/>
    <n v="539.01599999999996"/>
    <n v="1770"/>
    <s v="CATIVO"/>
    <n v="0"/>
    <n v="0"/>
    <n v="43"/>
    <n v="84"/>
    <n v="0"/>
    <n v="271.72000000000003"/>
    <n v="262.75"/>
    <m/>
    <n v="335.6549921153379"/>
    <n v="270.51351605248726"/>
    <n v="0"/>
    <n v="39283.486079999937"/>
    <n v="0"/>
    <n v="20855.395187143971"/>
    <x v="2"/>
  </r>
  <r>
    <s v="Refaturamento - Regular"/>
    <x v="3"/>
    <x v="2"/>
    <x v="2"/>
    <x v="0"/>
    <x v="1"/>
    <x v="0"/>
    <x v="1"/>
    <x v="2"/>
    <n v="0"/>
    <n v="0"/>
    <n v="0.09"/>
    <n v="0.09"/>
    <n v="0.09"/>
    <n v="0.09"/>
    <n v="0"/>
    <s v="CATIVO"/>
    <n v="0"/>
    <n v="0"/>
    <n v="43"/>
    <n v="84"/>
    <n v="0"/>
    <n v="271.72000000000003"/>
    <n v="262.75"/>
    <m/>
    <n v="335.6549921153379"/>
    <n v="270.51351605248726"/>
    <n v="0"/>
    <n v="6.559199999999989"/>
    <n v="0"/>
    <n v="3.4822446213896385"/>
    <x v="2"/>
  </r>
  <r>
    <s v="Sistema de Compensação"/>
    <x v="3"/>
    <x v="2"/>
    <x v="2"/>
    <x v="0"/>
    <x v="1"/>
    <x v="0"/>
    <x v="1"/>
    <x v="2"/>
    <n v="0"/>
    <n v="0"/>
    <n v="1.9710000000000001"/>
    <n v="1.9710000000000001"/>
    <n v="1.9710000000000001"/>
    <n v="1.9710000000000001"/>
    <n v="8"/>
    <s v="CATIVO"/>
    <n v="0"/>
    <n v="0"/>
    <n v="43"/>
    <n v="84"/>
    <n v="0"/>
    <n v="271.72000000000003"/>
    <n v="262.75"/>
    <m/>
    <n v="335.6549921153379"/>
    <n v="270.51351605248726"/>
    <n v="0"/>
    <n v="143.64647999999977"/>
    <n v="0"/>
    <n v="76.26115720843309"/>
    <x v="2"/>
  </r>
  <r>
    <s v="Regular"/>
    <x v="3"/>
    <x v="2"/>
    <x v="2"/>
    <x v="0"/>
    <x v="1"/>
    <x v="0"/>
    <x v="1"/>
    <x v="3"/>
    <n v="0"/>
    <n v="0"/>
    <n v="525.69899999999996"/>
    <n v="525.69899999999996"/>
    <n v="525.69899999999996"/>
    <n v="525.69899999999996"/>
    <n v="1768"/>
    <s v="CATIVO"/>
    <n v="0"/>
    <n v="0"/>
    <n v="43"/>
    <n v="84"/>
    <n v="0"/>
    <n v="271.72000000000003"/>
    <n v="262.75"/>
    <m/>
    <n v="335.6549921153379"/>
    <n v="270.51351605248726"/>
    <n v="0"/>
    <n v="38312.943119999938"/>
    <n v="0"/>
    <n v="20340.139057999018"/>
    <x v="2"/>
  </r>
  <r>
    <s v="Refaturamento - Regular"/>
    <x v="3"/>
    <x v="2"/>
    <x v="2"/>
    <x v="0"/>
    <x v="1"/>
    <x v="0"/>
    <x v="1"/>
    <x v="3"/>
    <n v="0"/>
    <n v="0"/>
    <n v="-0.26700000000000002"/>
    <n v="-0.26700000000000002"/>
    <n v="-0.26700000000000002"/>
    <n v="-0.26700000000000002"/>
    <n v="0"/>
    <s v="CATIVO"/>
    <n v="0"/>
    <n v="0"/>
    <n v="43"/>
    <n v="84"/>
    <n v="0"/>
    <n v="271.72000000000003"/>
    <n v="262.75"/>
    <m/>
    <n v="335.6549921153379"/>
    <n v="270.51351605248726"/>
    <n v="0"/>
    <n v="-19.458959999999969"/>
    <n v="0"/>
    <n v="-10.330659043455929"/>
    <x v="2"/>
  </r>
  <r>
    <s v="Sistema de Compensação"/>
    <x v="3"/>
    <x v="2"/>
    <x v="2"/>
    <x v="0"/>
    <x v="1"/>
    <x v="0"/>
    <x v="1"/>
    <x v="3"/>
    <n v="0"/>
    <n v="0"/>
    <n v="2.528"/>
    <n v="2.528"/>
    <n v="2.528"/>
    <n v="2.528"/>
    <n v="11"/>
    <s v="CATIVO"/>
    <n v="0"/>
    <n v="0"/>
    <n v="43"/>
    <n v="84"/>
    <n v="0"/>
    <n v="271.72000000000003"/>
    <n v="262.75"/>
    <m/>
    <n v="335.6549921153379"/>
    <n v="270.51351605248726"/>
    <n v="0"/>
    <n v="184.2406399999997"/>
    <n v="0"/>
    <n v="97.812382254144524"/>
    <x v="2"/>
  </r>
  <r>
    <s v="Regular"/>
    <x v="3"/>
    <x v="2"/>
    <x v="2"/>
    <x v="0"/>
    <x v="1"/>
    <x v="0"/>
    <x v="1"/>
    <x v="4"/>
    <n v="0"/>
    <n v="0"/>
    <n v="541.39200000000005"/>
    <n v="541.39200000000005"/>
    <n v="541.39200000000005"/>
    <n v="541.39200000000005"/>
    <n v="1763"/>
    <s v="CATIVO"/>
    <n v="0"/>
    <n v="0"/>
    <n v="43"/>
    <n v="84"/>
    <n v="0"/>
    <n v="271.72000000000003"/>
    <n v="262.75"/>
    <m/>
    <n v="335.6549921153379"/>
    <n v="270.51351605248726"/>
    <n v="0"/>
    <n v="39456.64895999994"/>
    <n v="0"/>
    <n v="20947.326445148661"/>
    <x v="2"/>
  </r>
  <r>
    <s v="Refaturamento - Regular"/>
    <x v="3"/>
    <x v="2"/>
    <x v="2"/>
    <x v="0"/>
    <x v="1"/>
    <x v="0"/>
    <x v="1"/>
    <x v="4"/>
    <n v="0"/>
    <n v="0"/>
    <n v="-0.81200000000000006"/>
    <n v="-0.81200000000000006"/>
    <n v="-0.81200000000000006"/>
    <n v="-0.81200000000000006"/>
    <n v="0"/>
    <s v="CATIVO"/>
    <n v="0"/>
    <n v="0"/>
    <n v="43"/>
    <n v="84"/>
    <n v="0"/>
    <n v="271.72000000000003"/>
    <n v="262.75"/>
    <m/>
    <n v="335.6549921153379"/>
    <n v="270.51351605248726"/>
    <n v="0"/>
    <n v="-59.178559999999905"/>
    <n v="0"/>
    <n v="-31.417584806315411"/>
    <x v="2"/>
  </r>
  <r>
    <s v="Sistema de Compensação"/>
    <x v="3"/>
    <x v="2"/>
    <x v="2"/>
    <x v="0"/>
    <x v="1"/>
    <x v="0"/>
    <x v="1"/>
    <x v="4"/>
    <n v="0"/>
    <n v="0"/>
    <n v="1.7310000000000001"/>
    <n v="1.7310000000000001"/>
    <n v="1.7310000000000001"/>
    <n v="1.7310000000000001"/>
    <n v="11"/>
    <s v="CATIVO"/>
    <n v="0"/>
    <n v="0"/>
    <n v="43"/>
    <n v="84"/>
    <n v="0"/>
    <n v="271.72000000000003"/>
    <n v="262.75"/>
    <m/>
    <n v="335.6549921153379"/>
    <n v="270.51351605248726"/>
    <n v="0"/>
    <n v="126.15527999999981"/>
    <n v="0"/>
    <n v="66.975171551394055"/>
    <x v="2"/>
  </r>
  <r>
    <s v="Regular"/>
    <x v="3"/>
    <x v="2"/>
    <x v="2"/>
    <x v="0"/>
    <x v="1"/>
    <x v="0"/>
    <x v="1"/>
    <x v="5"/>
    <n v="0"/>
    <n v="0"/>
    <n v="512.59900000000005"/>
    <n v="512.59900000000005"/>
    <n v="512.59900000000005"/>
    <n v="512.59900000000005"/>
    <n v="1754"/>
    <s v="CATIVO"/>
    <n v="0"/>
    <n v="0"/>
    <n v="43"/>
    <n v="84"/>
    <n v="0"/>
    <n v="271.72000000000003"/>
    <n v="262.75"/>
    <m/>
    <n v="335.6549921153379"/>
    <n v="270.51351605248726"/>
    <n v="0"/>
    <n v="37358.215119999943"/>
    <n v="0"/>
    <n v="19833.279007552308"/>
    <x v="2"/>
  </r>
  <r>
    <s v="Refaturamento - Regular"/>
    <x v="3"/>
    <x v="2"/>
    <x v="2"/>
    <x v="0"/>
    <x v="1"/>
    <x v="0"/>
    <x v="1"/>
    <x v="5"/>
    <n v="0"/>
    <n v="0"/>
    <n v="-0.185"/>
    <n v="-0.185"/>
    <n v="-0.185"/>
    <n v="-0.185"/>
    <n v="0"/>
    <s v="CATIVO"/>
    <n v="0"/>
    <n v="0"/>
    <n v="43"/>
    <n v="84"/>
    <n v="0"/>
    <n v="271.72000000000003"/>
    <n v="262.75"/>
    <m/>
    <n v="335.6549921153379"/>
    <n v="270.51351605248726"/>
    <n v="0"/>
    <n v="-13.482799999999978"/>
    <n v="0"/>
    <n v="-7.1579472773009236"/>
    <x v="2"/>
  </r>
  <r>
    <s v="Sistema de Compensação"/>
    <x v="3"/>
    <x v="2"/>
    <x v="2"/>
    <x v="0"/>
    <x v="1"/>
    <x v="0"/>
    <x v="1"/>
    <x v="5"/>
    <n v="0"/>
    <n v="0"/>
    <n v="1.8939999999999999"/>
    <n v="1.8939999999999999"/>
    <n v="1.8939999999999999"/>
    <n v="1.8939999999999999"/>
    <n v="12"/>
    <s v="CATIVO"/>
    <n v="0"/>
    <n v="0"/>
    <n v="43"/>
    <n v="84"/>
    <n v="0"/>
    <n v="271.72000000000003"/>
    <n v="262.75"/>
    <m/>
    <n v="335.6549921153379"/>
    <n v="270.51351605248726"/>
    <n v="0"/>
    <n v="138.03471999999977"/>
    <n v="0"/>
    <n v="73.281903476799727"/>
    <x v="2"/>
  </r>
  <r>
    <s v="Regular"/>
    <x v="3"/>
    <x v="2"/>
    <x v="2"/>
    <x v="0"/>
    <x v="1"/>
    <x v="0"/>
    <x v="1"/>
    <x v="6"/>
    <n v="0"/>
    <n v="0"/>
    <n v="543.45000000000005"/>
    <n v="543.45000000000005"/>
    <n v="543.45000000000005"/>
    <n v="543.45000000000005"/>
    <n v="1739"/>
    <s v="CATIVO"/>
    <n v="0"/>
    <n v="0"/>
    <n v="43"/>
    <n v="84"/>
    <n v="0"/>
    <n v="271.72000000000003"/>
    <n v="262.75"/>
    <m/>
    <n v="335.6549921153379"/>
    <n v="270.51351605248726"/>
    <n v="0"/>
    <n v="39606.63599999994"/>
    <n v="0"/>
    <n v="21026.953772157769"/>
    <x v="2"/>
  </r>
  <r>
    <s v="Refaturamento - Regular"/>
    <x v="3"/>
    <x v="2"/>
    <x v="2"/>
    <x v="0"/>
    <x v="1"/>
    <x v="0"/>
    <x v="1"/>
    <x v="6"/>
    <n v="0"/>
    <n v="0"/>
    <n v="-0.155"/>
    <n v="-0.155"/>
    <n v="-0.155"/>
    <n v="-0.155"/>
    <n v="0"/>
    <s v="CATIVO"/>
    <n v="0"/>
    <n v="0"/>
    <n v="43"/>
    <n v="84"/>
    <n v="0"/>
    <n v="271.72000000000003"/>
    <n v="262.75"/>
    <m/>
    <n v="335.6549921153379"/>
    <n v="270.51351605248726"/>
    <n v="0"/>
    <n v="-11.296399999999982"/>
    <n v="0"/>
    <n v="-5.9971990701710443"/>
    <x v="2"/>
  </r>
  <r>
    <s v="Sistema de Compensação"/>
    <x v="3"/>
    <x v="2"/>
    <x v="2"/>
    <x v="0"/>
    <x v="1"/>
    <x v="0"/>
    <x v="1"/>
    <x v="6"/>
    <n v="0"/>
    <n v="0"/>
    <n v="2.7130000000000001"/>
    <n v="2.7130000000000001"/>
    <n v="2.7130000000000001"/>
    <n v="2.7130000000000001"/>
    <n v="19"/>
    <s v="CATIVO"/>
    <n v="0"/>
    <n v="0"/>
    <n v="43"/>
    <n v="84"/>
    <n v="0"/>
    <n v="271.72000000000003"/>
    <n v="262.75"/>
    <m/>
    <n v="335.6549921153379"/>
    <n v="270.51351605248726"/>
    <n v="0"/>
    <n v="197.7234399999997"/>
    <n v="0"/>
    <n v="104.97032953144544"/>
    <x v="2"/>
  </r>
  <r>
    <s v="Regular"/>
    <x v="3"/>
    <x v="2"/>
    <x v="2"/>
    <x v="0"/>
    <x v="1"/>
    <x v="0"/>
    <x v="1"/>
    <x v="7"/>
    <n v="0"/>
    <n v="0"/>
    <n v="523.37199999999996"/>
    <n v="523.37199999999996"/>
    <n v="523.37199999999996"/>
    <n v="523.37199999999996"/>
    <n v="1733"/>
    <s v="CATIVO"/>
    <n v="0"/>
    <n v="0"/>
    <n v="43"/>
    <n v="84"/>
    <n v="0"/>
    <n v="271.72000000000003"/>
    <n v="262.75"/>
    <m/>
    <n v="335.6549921153379"/>
    <n v="270.51351605248726"/>
    <n v="0"/>
    <n v="38143.351359999935"/>
    <n v="0"/>
    <n v="20250.103688732645"/>
    <x v="2"/>
  </r>
  <r>
    <s v="Refaturamento - Regular"/>
    <x v="3"/>
    <x v="2"/>
    <x v="2"/>
    <x v="0"/>
    <x v="1"/>
    <x v="0"/>
    <x v="1"/>
    <x v="7"/>
    <n v="0"/>
    <n v="0"/>
    <n v="-0.97599999999999998"/>
    <n v="-0.97599999999999998"/>
    <n v="-0.97599999999999998"/>
    <n v="-0.97599999999999998"/>
    <n v="0"/>
    <s v="CATIVO"/>
    <n v="0"/>
    <n v="0"/>
    <n v="43"/>
    <n v="84"/>
    <n v="0"/>
    <n v="271.72000000000003"/>
    <n v="262.75"/>
    <m/>
    <n v="335.6549921153379"/>
    <n v="270.51351605248726"/>
    <n v="0"/>
    <n v="-71.130879999999877"/>
    <n v="0"/>
    <n v="-37.763008338625411"/>
    <x v="2"/>
  </r>
  <r>
    <s v="Sistema de Compensação"/>
    <x v="3"/>
    <x v="2"/>
    <x v="2"/>
    <x v="0"/>
    <x v="1"/>
    <x v="0"/>
    <x v="1"/>
    <x v="7"/>
    <n v="0"/>
    <n v="0"/>
    <n v="3.7149999999999999"/>
    <n v="3.7149999999999999"/>
    <n v="3.7149999999999999"/>
    <n v="3.7149999999999999"/>
    <n v="21"/>
    <s v="CATIVO"/>
    <n v="0"/>
    <n v="0"/>
    <n v="43"/>
    <n v="84"/>
    <n v="0"/>
    <n v="271.72000000000003"/>
    <n v="262.75"/>
    <m/>
    <n v="335.6549921153379"/>
    <n v="270.51351605248726"/>
    <n v="0"/>
    <n v="270.74919999999958"/>
    <n v="0"/>
    <n v="143.73931964958342"/>
    <x v="2"/>
  </r>
  <r>
    <s v="Regular"/>
    <x v="3"/>
    <x v="2"/>
    <x v="2"/>
    <x v="0"/>
    <x v="1"/>
    <x v="0"/>
    <x v="1"/>
    <x v="8"/>
    <n v="0"/>
    <n v="0"/>
    <n v="521.06500000000005"/>
    <n v="521.06500000000005"/>
    <n v="521.06500000000005"/>
    <n v="521.06500000000005"/>
    <n v="1728"/>
    <s v="CATIVO"/>
    <n v="0"/>
    <n v="0"/>
    <n v="43"/>
    <n v="84"/>
    <n v="0"/>
    <n v="271.72000000000003"/>
    <n v="262.75"/>
    <m/>
    <n v="335.6549921153379"/>
    <n v="270.51351605248726"/>
    <n v="0"/>
    <n v="37975.217199999941"/>
    <n v="0"/>
    <n v="20160.84215160436"/>
    <x v="2"/>
  </r>
  <r>
    <s v="Regular"/>
    <x v="3"/>
    <x v="2"/>
    <x v="2"/>
    <x v="0"/>
    <x v="1"/>
    <x v="0"/>
    <x v="1"/>
    <x v="9"/>
    <n v="0"/>
    <n v="0"/>
    <n v="508.90899999999999"/>
    <n v="508.90899999999999"/>
    <n v="508.90899999999999"/>
    <n v="508.90899999999999"/>
    <n v="1728"/>
    <s v="CATIVO"/>
    <n v="0"/>
    <n v="0"/>
    <n v="43"/>
    <n v="84"/>
    <n v="0"/>
    <n v="271.72000000000003"/>
    <n v="262.75"/>
    <m/>
    <n v="335.6549921153379"/>
    <n v="270.51351605248726"/>
    <n v="0"/>
    <n v="37089.287919999937"/>
    <n v="0"/>
    <n v="19690.506978075329"/>
    <x v="2"/>
  </r>
  <r>
    <s v="Sistema de Compensação"/>
    <x v="3"/>
    <x v="2"/>
    <x v="2"/>
    <x v="0"/>
    <x v="1"/>
    <x v="0"/>
    <x v="1"/>
    <x v="9"/>
    <n v="0"/>
    <n v="0"/>
    <n v="5.8129999999999997"/>
    <n v="5.8129999999999997"/>
    <n v="5.8129999999999997"/>
    <n v="5.8129999999999997"/>
    <n v="24"/>
    <s v="CATIVO"/>
    <n v="0"/>
    <n v="0"/>
    <n v="43"/>
    <n v="84"/>
    <n v="0"/>
    <n v="271.72000000000003"/>
    <n v="262.75"/>
    <m/>
    <n v="335.6549921153379"/>
    <n v="270.51351605248726"/>
    <n v="0"/>
    <n v="423.6514399999993"/>
    <n v="0"/>
    <n v="224.91431093486631"/>
    <x v="2"/>
  </r>
  <r>
    <s v="Regular"/>
    <x v="3"/>
    <x v="2"/>
    <x v="2"/>
    <x v="0"/>
    <x v="1"/>
    <x v="0"/>
    <x v="1"/>
    <x v="10"/>
    <n v="0"/>
    <n v="0"/>
    <n v="484.93299999999999"/>
    <n v="484.93299999999999"/>
    <n v="484.93299999999999"/>
    <n v="484.93299999999999"/>
    <n v="1705"/>
    <s v="CATIVO"/>
    <n v="0"/>
    <n v="0"/>
    <n v="43"/>
    <n v="84"/>
    <n v="0"/>
    <n v="271.72000000000003"/>
    <n v="262.75"/>
    <m/>
    <n v="335.6549921153379"/>
    <n v="270.51351605248726"/>
    <n v="0"/>
    <n v="35341.917039999942"/>
    <n v="0"/>
    <n v="18762.837010937128"/>
    <x v="2"/>
  </r>
  <r>
    <s v="Sistema de Compensação"/>
    <x v="3"/>
    <x v="2"/>
    <x v="2"/>
    <x v="0"/>
    <x v="1"/>
    <x v="0"/>
    <x v="1"/>
    <x v="10"/>
    <n v="0"/>
    <n v="0"/>
    <n v="7.4870000000000001"/>
    <n v="7.4870000000000001"/>
    <n v="7.4870000000000001"/>
    <n v="7.4870000000000001"/>
    <n v="24"/>
    <s v="CATIVO"/>
    <n v="0"/>
    <n v="0"/>
    <n v="43"/>
    <n v="84"/>
    <n v="0"/>
    <n v="271.72000000000003"/>
    <n v="262.75"/>
    <m/>
    <n v="335.6549921153379"/>
    <n v="270.51351605248726"/>
    <n v="0"/>
    <n v="545.65255999999908"/>
    <n v="0"/>
    <n v="289.6840608927136"/>
    <x v="2"/>
  </r>
  <r>
    <s v="Regular"/>
    <x v="3"/>
    <x v="2"/>
    <x v="2"/>
    <x v="0"/>
    <x v="1"/>
    <x v="0"/>
    <x v="1"/>
    <x v="11"/>
    <n v="0"/>
    <n v="0"/>
    <n v="504.78500000000003"/>
    <n v="504.78500000000003"/>
    <n v="504.78500000000003"/>
    <n v="504.78500000000003"/>
    <n v="1691"/>
    <s v="CATIVO"/>
    <n v="0"/>
    <n v="0"/>
    <n v="43"/>
    <n v="84"/>
    <n v="0"/>
    <n v="271.72000000000003"/>
    <n v="262.75"/>
    <m/>
    <n v="335.6549921153379"/>
    <n v="270.51351605248726"/>
    <n v="0"/>
    <n v="36788.730799999939"/>
    <n v="0"/>
    <n v="19530.942791201876"/>
    <x v="2"/>
  </r>
  <r>
    <s v="Refaturamento - Regular"/>
    <x v="3"/>
    <x v="2"/>
    <x v="2"/>
    <x v="0"/>
    <x v="1"/>
    <x v="0"/>
    <x v="1"/>
    <x v="11"/>
    <n v="0"/>
    <n v="0"/>
    <n v="0.27500000000000002"/>
    <n v="0.27500000000000002"/>
    <n v="0.27500000000000002"/>
    <n v="0.27500000000000002"/>
    <n v="0"/>
    <s v="CATIVO"/>
    <n v="0"/>
    <n v="0"/>
    <n v="43"/>
    <n v="84"/>
    <n v="0"/>
    <n v="271.72000000000003"/>
    <n v="262.75"/>
    <m/>
    <n v="335.6549921153379"/>
    <n v="270.51351605248726"/>
    <n v="0"/>
    <n v="20.04199999999997"/>
    <n v="0"/>
    <n v="10.640191898690563"/>
    <x v="2"/>
  </r>
  <r>
    <s v="Sistema de Compensação"/>
    <x v="3"/>
    <x v="2"/>
    <x v="2"/>
    <x v="0"/>
    <x v="1"/>
    <x v="0"/>
    <x v="1"/>
    <x v="11"/>
    <n v="0"/>
    <n v="0"/>
    <n v="8.8949999999999996"/>
    <n v="8.8949999999999996"/>
    <n v="8.8949999999999996"/>
    <n v="8.8949999999999996"/>
    <n v="29"/>
    <s v="CATIVO"/>
    <n v="0"/>
    <n v="0"/>
    <n v="43"/>
    <n v="84"/>
    <n v="0"/>
    <n v="271.72000000000003"/>
    <n v="262.75"/>
    <m/>
    <n v="335.6549921153379"/>
    <n v="270.51351605248726"/>
    <n v="0"/>
    <n v="648.26759999999888"/>
    <n v="0"/>
    <n v="344.1618434140093"/>
    <x v="2"/>
  </r>
  <r>
    <s v="Regular"/>
    <x v="4"/>
    <x v="2"/>
    <x v="1"/>
    <x v="1"/>
    <x v="1"/>
    <x v="0"/>
    <x v="1"/>
    <x v="0"/>
    <n v="0"/>
    <n v="0"/>
    <n v="42.679000000000002"/>
    <n v="42.679000000000002"/>
    <n v="42.679000000000002"/>
    <n v="42.679000000000002"/>
    <n v="49"/>
    <s v="CATIVO"/>
    <n v="0"/>
    <n v="0"/>
    <n v="58"/>
    <n v="99"/>
    <n v="0"/>
    <n v="290.24379999999996"/>
    <n v="280.66519999999997"/>
    <m/>
    <n v="346.367385480721"/>
    <n v="279.14692613926877"/>
    <n v="0"/>
    <n v="1555.2654389999998"/>
    <n v="0"/>
    <n v="825.6595455349343"/>
    <x v="1"/>
  </r>
  <r>
    <s v="Regular"/>
    <x v="4"/>
    <x v="2"/>
    <x v="1"/>
    <x v="1"/>
    <x v="1"/>
    <x v="0"/>
    <x v="1"/>
    <x v="1"/>
    <n v="0"/>
    <n v="0"/>
    <n v="50.063000000000002"/>
    <n v="50.063000000000002"/>
    <n v="50.063000000000002"/>
    <n v="50.063000000000002"/>
    <n v="49"/>
    <s v="CATIVO"/>
    <n v="0"/>
    <n v="0"/>
    <n v="58"/>
    <n v="99"/>
    <n v="0"/>
    <n v="290.24379999999996"/>
    <n v="280.66519999999997"/>
    <m/>
    <n v="346.367385480721"/>
    <n v="279.14692613926877"/>
    <n v="0"/>
    <n v="1824.3457829999998"/>
    <n v="0"/>
    <n v="968.50895822571806"/>
    <x v="1"/>
  </r>
  <r>
    <s v="Regular"/>
    <x v="4"/>
    <x v="2"/>
    <x v="1"/>
    <x v="1"/>
    <x v="1"/>
    <x v="0"/>
    <x v="1"/>
    <x v="2"/>
    <n v="0"/>
    <n v="0"/>
    <n v="49.665999999999997"/>
    <n v="49.665999999999997"/>
    <n v="49.665999999999997"/>
    <n v="49.665999999999997"/>
    <n v="49"/>
    <s v="CATIVO"/>
    <n v="0"/>
    <n v="0"/>
    <n v="58"/>
    <n v="99"/>
    <n v="0"/>
    <n v="290.24379999999996"/>
    <n v="280.66519999999997"/>
    <m/>
    <n v="346.367385480721"/>
    <n v="279.14692613926877"/>
    <n v="0"/>
    <n v="1809.8787059999997"/>
    <n v="0"/>
    <n v="960.8286742552084"/>
    <x v="1"/>
  </r>
  <r>
    <s v="Regular"/>
    <x v="4"/>
    <x v="2"/>
    <x v="1"/>
    <x v="1"/>
    <x v="1"/>
    <x v="0"/>
    <x v="1"/>
    <x v="3"/>
    <n v="0"/>
    <n v="0"/>
    <n v="46.872"/>
    <n v="46.872"/>
    <n v="46.872"/>
    <n v="46.872"/>
    <n v="49"/>
    <s v="CATIVO"/>
    <n v="0"/>
    <n v="0"/>
    <n v="58"/>
    <n v="99"/>
    <n v="0"/>
    <n v="290.24379999999996"/>
    <n v="280.66519999999997"/>
    <m/>
    <n v="346.367385480721"/>
    <n v="279.14692613926877"/>
    <n v="0"/>
    <n v="1708.0625519999996"/>
    <n v="0"/>
    <n v="906.77649940986066"/>
    <x v="1"/>
  </r>
  <r>
    <s v="Regular"/>
    <x v="4"/>
    <x v="2"/>
    <x v="1"/>
    <x v="1"/>
    <x v="1"/>
    <x v="0"/>
    <x v="1"/>
    <x v="4"/>
    <n v="0"/>
    <n v="0"/>
    <n v="44.296999999999997"/>
    <n v="44.296999999999997"/>
    <n v="44.296999999999997"/>
    <n v="44.296999999999997"/>
    <n v="49"/>
    <s v="CATIVO"/>
    <n v="0"/>
    <n v="0"/>
    <n v="58"/>
    <n v="99"/>
    <n v="0"/>
    <n v="290.24379999999996"/>
    <n v="280.66519999999997"/>
    <m/>
    <n v="346.367385480721"/>
    <n v="279.14692613926877"/>
    <n v="0"/>
    <n v="1614.2269769999998"/>
    <n v="0"/>
    <n v="856.96105552053666"/>
    <x v="1"/>
  </r>
  <r>
    <s v="Regular"/>
    <x v="4"/>
    <x v="2"/>
    <x v="1"/>
    <x v="1"/>
    <x v="1"/>
    <x v="0"/>
    <x v="1"/>
    <x v="5"/>
    <n v="0"/>
    <n v="0"/>
    <n v="44.539000000000001"/>
    <n v="44.539000000000001"/>
    <n v="44.539000000000001"/>
    <n v="44.539000000000001"/>
    <n v="49"/>
    <s v="CATIVO"/>
    <n v="0"/>
    <n v="0"/>
    <n v="58"/>
    <n v="99"/>
    <n v="0"/>
    <n v="290.24379999999996"/>
    <n v="280.66519999999997"/>
    <m/>
    <n v="346.367385480721"/>
    <n v="279.14692613926877"/>
    <n v="0"/>
    <n v="1623.045699"/>
    <n v="0"/>
    <n v="861.64273995596056"/>
    <x v="1"/>
  </r>
  <r>
    <s v="Regular"/>
    <x v="4"/>
    <x v="2"/>
    <x v="1"/>
    <x v="1"/>
    <x v="1"/>
    <x v="0"/>
    <x v="1"/>
    <x v="6"/>
    <n v="0"/>
    <n v="0"/>
    <n v="57.579000000000001"/>
    <n v="57.579000000000001"/>
    <n v="57.579000000000001"/>
    <n v="57.579000000000001"/>
    <n v="51"/>
    <s v="CATIVO"/>
    <n v="0"/>
    <n v="0"/>
    <n v="58"/>
    <n v="99"/>
    <n v="0"/>
    <n v="290.24379999999996"/>
    <n v="280.66519999999997"/>
    <m/>
    <n v="346.367385480721"/>
    <n v="279.14692613926877"/>
    <n v="0"/>
    <n v="2098.2363389999996"/>
    <n v="0"/>
    <n v="1113.9120169721873"/>
    <x v="1"/>
  </r>
  <r>
    <s v="Regular"/>
    <x v="4"/>
    <x v="2"/>
    <x v="1"/>
    <x v="1"/>
    <x v="1"/>
    <x v="0"/>
    <x v="1"/>
    <x v="7"/>
    <n v="0"/>
    <n v="0"/>
    <n v="61.433999999999997"/>
    <n v="61.433999999999997"/>
    <n v="61.433999999999997"/>
    <n v="61.433999999999997"/>
    <n v="51"/>
    <s v="CATIVO"/>
    <n v="0"/>
    <n v="0"/>
    <n v="58"/>
    <n v="99"/>
    <n v="0"/>
    <n v="290.24379999999996"/>
    <n v="280.66519999999997"/>
    <m/>
    <n v="346.367385480721"/>
    <n v="279.14692613926877"/>
    <n v="0"/>
    <n v="2238.7163939999996"/>
    <n v="0"/>
    <n v="1188.4900892802818"/>
    <x v="1"/>
  </r>
  <r>
    <s v="Regular"/>
    <x v="4"/>
    <x v="2"/>
    <x v="1"/>
    <x v="1"/>
    <x v="1"/>
    <x v="0"/>
    <x v="1"/>
    <x v="8"/>
    <n v="0"/>
    <n v="0"/>
    <n v="66.64"/>
    <n v="66.64"/>
    <n v="66.64"/>
    <n v="66.64"/>
    <n v="51"/>
    <s v="CATIVO"/>
    <n v="0"/>
    <n v="0"/>
    <n v="58"/>
    <n v="99"/>
    <n v="0"/>
    <n v="290.24379999999996"/>
    <n v="280.66519999999997"/>
    <m/>
    <n v="346.367385480721"/>
    <n v="279.14692613926877"/>
    <n v="0"/>
    <n v="2428.4282399999997"/>
    <n v="0"/>
    <n v="1289.2043420522509"/>
    <x v="1"/>
  </r>
  <r>
    <s v="Regular"/>
    <x v="4"/>
    <x v="2"/>
    <x v="1"/>
    <x v="1"/>
    <x v="1"/>
    <x v="0"/>
    <x v="1"/>
    <x v="9"/>
    <n v="0"/>
    <n v="0"/>
    <n v="65.355000000000004"/>
    <n v="65.355000000000004"/>
    <n v="65.355000000000004"/>
    <n v="65.355000000000004"/>
    <n v="51"/>
    <s v="CATIVO"/>
    <n v="0"/>
    <n v="0"/>
    <n v="58"/>
    <n v="99"/>
    <n v="0"/>
    <n v="290.24379999999996"/>
    <n v="280.66519999999997"/>
    <m/>
    <n v="346.367385480721"/>
    <n v="279.14692613926877"/>
    <n v="0"/>
    <n v="2381.6015549999997"/>
    <n v="0"/>
    <n v="1264.3449846162196"/>
    <x v="1"/>
  </r>
  <r>
    <s v="Regular"/>
    <x v="4"/>
    <x v="2"/>
    <x v="1"/>
    <x v="1"/>
    <x v="1"/>
    <x v="0"/>
    <x v="1"/>
    <x v="10"/>
    <n v="0"/>
    <n v="0"/>
    <n v="63.993000000000002"/>
    <n v="63.993000000000002"/>
    <n v="63.993000000000002"/>
    <n v="63.993000000000002"/>
    <n v="50"/>
    <s v="CATIVO"/>
    <n v="0"/>
    <n v="0"/>
    <n v="58"/>
    <n v="99"/>
    <n v="0"/>
    <n v="290.24379999999996"/>
    <n v="280.66519999999997"/>
    <m/>
    <n v="346.367385480721"/>
    <n v="279.14692613926877"/>
    <n v="0"/>
    <n v="2331.9689129999997"/>
    <n v="0"/>
    <n v="1237.9960003143713"/>
    <x v="1"/>
  </r>
  <r>
    <s v="Regular"/>
    <x v="4"/>
    <x v="2"/>
    <x v="1"/>
    <x v="1"/>
    <x v="1"/>
    <x v="0"/>
    <x v="1"/>
    <x v="11"/>
    <n v="0"/>
    <n v="0"/>
    <n v="65.480999999999995"/>
    <n v="65.480999999999995"/>
    <n v="65.480999999999995"/>
    <n v="65.480999999999995"/>
    <n v="50"/>
    <s v="CATIVO"/>
    <n v="0"/>
    <n v="0"/>
    <n v="58"/>
    <n v="99"/>
    <n v="0"/>
    <n v="290.24379999999996"/>
    <n v="280.66519999999997"/>
    <m/>
    <n v="346.367385480721"/>
    <n v="279.14692613926877"/>
    <n v="0"/>
    <n v="2386.1931209999998"/>
    <n v="0"/>
    <n v="1266.782555851192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">
  <r>
    <s v="Sistema de Compensação"/>
    <x v="0"/>
    <x v="0"/>
    <x v="0"/>
    <x v="0"/>
    <x v="0"/>
    <x v="0"/>
    <x v="0"/>
    <x v="0"/>
    <n v="0"/>
    <n v="0"/>
    <n v="2E-3"/>
    <n v="2E-3"/>
    <n v="2E-3"/>
    <n v="2E-3"/>
    <n v="0"/>
    <x v="0"/>
    <n v="0"/>
    <n v="0"/>
    <n v="8"/>
    <n v="63"/>
    <n v="0"/>
    <n v="69.37"/>
    <n v="284.36"/>
    <m/>
    <n v="111.03029432835316"/>
    <n v="274.80069497881567"/>
    <n v="0"/>
    <n v="0.13874"/>
    <n v="0.56872"/>
    <n v="0"/>
    <n v="0.22206058865670633"/>
    <n v="0.5496013899576313"/>
  </r>
  <r>
    <s v="Sistema de Compensação"/>
    <x v="0"/>
    <x v="0"/>
    <x v="0"/>
    <x v="0"/>
    <x v="0"/>
    <x v="0"/>
    <x v="0"/>
    <x v="1"/>
    <n v="0"/>
    <n v="0"/>
    <n v="1E-3"/>
    <n v="1E-3"/>
    <n v="1E-3"/>
    <n v="1E-3"/>
    <n v="0"/>
    <x v="0"/>
    <n v="0"/>
    <n v="0"/>
    <n v="8"/>
    <n v="63"/>
    <n v="0"/>
    <n v="69.37"/>
    <n v="284.36"/>
    <m/>
    <n v="111.03029432835316"/>
    <n v="274.80069497881567"/>
    <n v="0"/>
    <n v="6.9370000000000001E-2"/>
    <n v="0.28436"/>
    <n v="0"/>
    <n v="0.11103029432835317"/>
    <n v="0.27480069497881565"/>
  </r>
  <r>
    <s v="Sistema de Compensação"/>
    <x v="0"/>
    <x v="0"/>
    <x v="0"/>
    <x v="0"/>
    <x v="0"/>
    <x v="0"/>
    <x v="0"/>
    <x v="2"/>
    <n v="0"/>
    <n v="0"/>
    <n v="2E-3"/>
    <n v="2E-3"/>
    <n v="2E-3"/>
    <n v="2E-3"/>
    <n v="0"/>
    <x v="0"/>
    <n v="0"/>
    <n v="0"/>
    <n v="8"/>
    <n v="63"/>
    <n v="0"/>
    <n v="69.37"/>
    <n v="284.36"/>
    <m/>
    <n v="111.03029432835316"/>
    <n v="274.80069497881567"/>
    <n v="0"/>
    <n v="0.13874"/>
    <n v="0.56872"/>
    <n v="0"/>
    <n v="0.22206058865670633"/>
    <n v="0.5496013899576313"/>
  </r>
  <r>
    <s v="Sistema de Compensação"/>
    <x v="0"/>
    <x v="0"/>
    <x v="0"/>
    <x v="0"/>
    <x v="0"/>
    <x v="0"/>
    <x v="1"/>
    <x v="3"/>
    <n v="636"/>
    <n v="636"/>
    <n v="0"/>
    <n v="0"/>
    <n v="0"/>
    <n v="0"/>
    <n v="6"/>
    <x v="0"/>
    <n v="0"/>
    <n v="6"/>
    <n v="0"/>
    <n v="0"/>
    <n v="12.42"/>
    <n v="0"/>
    <n v="0"/>
    <n v="15.866734033722858"/>
    <m/>
    <m/>
    <n v="7899.12"/>
    <n v="0"/>
    <n v="0"/>
    <n v="10091.242845447738"/>
    <n v="0"/>
    <n v="0"/>
  </r>
  <r>
    <s v="Sistema de Compensação"/>
    <x v="0"/>
    <x v="0"/>
    <x v="0"/>
    <x v="0"/>
    <x v="0"/>
    <x v="0"/>
    <x v="1"/>
    <x v="0"/>
    <n v="639"/>
    <n v="639"/>
    <n v="0"/>
    <n v="0"/>
    <n v="0"/>
    <n v="0"/>
    <n v="6"/>
    <x v="0"/>
    <n v="0"/>
    <n v="6"/>
    <n v="0"/>
    <n v="0"/>
    <n v="12.42"/>
    <n v="0"/>
    <n v="0"/>
    <n v="15.866734033722858"/>
    <m/>
    <m/>
    <n v="7936.38"/>
    <n v="0"/>
    <n v="0"/>
    <n v="10138.843047548906"/>
    <n v="0"/>
    <n v="0"/>
  </r>
  <r>
    <s v="Sistema de Compensação"/>
    <x v="0"/>
    <x v="0"/>
    <x v="0"/>
    <x v="0"/>
    <x v="0"/>
    <x v="0"/>
    <x v="1"/>
    <x v="4"/>
    <n v="632"/>
    <n v="632"/>
    <n v="0"/>
    <n v="0"/>
    <n v="0"/>
    <n v="0"/>
    <n v="6"/>
    <x v="0"/>
    <n v="0"/>
    <n v="6"/>
    <n v="0"/>
    <n v="0"/>
    <n v="12.42"/>
    <n v="0"/>
    <n v="0"/>
    <n v="15.866734033722858"/>
    <m/>
    <m/>
    <n v="7849.44"/>
    <n v="0"/>
    <n v="0"/>
    <n v="10027.775909312846"/>
    <n v="0"/>
    <n v="0"/>
  </r>
  <r>
    <s v="Sistema de Compensação"/>
    <x v="0"/>
    <x v="0"/>
    <x v="0"/>
    <x v="0"/>
    <x v="0"/>
    <x v="0"/>
    <x v="1"/>
    <x v="1"/>
    <n v="633"/>
    <n v="633"/>
    <n v="0"/>
    <n v="0"/>
    <n v="0"/>
    <n v="0"/>
    <n v="6"/>
    <x v="0"/>
    <n v="0"/>
    <n v="6"/>
    <n v="0"/>
    <n v="0"/>
    <n v="12.42"/>
    <n v="0"/>
    <n v="0"/>
    <n v="15.866734033722858"/>
    <m/>
    <m/>
    <n v="7861.86"/>
    <n v="0"/>
    <n v="0"/>
    <n v="10043.642643346569"/>
    <n v="0"/>
    <n v="0"/>
  </r>
  <r>
    <s v="Sistema de Compensação"/>
    <x v="0"/>
    <x v="0"/>
    <x v="0"/>
    <x v="0"/>
    <x v="0"/>
    <x v="0"/>
    <x v="1"/>
    <x v="2"/>
    <n v="631"/>
    <n v="631"/>
    <n v="0"/>
    <n v="0"/>
    <n v="0"/>
    <n v="0"/>
    <n v="6"/>
    <x v="0"/>
    <n v="0"/>
    <n v="6"/>
    <n v="0"/>
    <n v="0"/>
    <n v="12.42"/>
    <n v="0"/>
    <n v="0"/>
    <n v="15.866734033722858"/>
    <m/>
    <m/>
    <n v="7837.0199999999995"/>
    <n v="0"/>
    <n v="0"/>
    <n v="10011.909175279123"/>
    <n v="0"/>
    <n v="0"/>
  </r>
  <r>
    <s v="Sistema de Compensação"/>
    <x v="0"/>
    <x v="0"/>
    <x v="0"/>
    <x v="0"/>
    <x v="0"/>
    <x v="0"/>
    <x v="1"/>
    <x v="5"/>
    <n v="648"/>
    <n v="648"/>
    <n v="0"/>
    <n v="0"/>
    <n v="0"/>
    <n v="0"/>
    <n v="6"/>
    <x v="0"/>
    <n v="0"/>
    <n v="6"/>
    <n v="0"/>
    <n v="0"/>
    <n v="12.42"/>
    <n v="0"/>
    <n v="0"/>
    <n v="15.866734033722858"/>
    <m/>
    <m/>
    <n v="8048.16"/>
    <n v="0"/>
    <n v="0"/>
    <n v="10281.643653852412"/>
    <n v="0"/>
    <n v="0"/>
  </r>
  <r>
    <s v="Sistema de Compensação"/>
    <x v="0"/>
    <x v="0"/>
    <x v="0"/>
    <x v="0"/>
    <x v="0"/>
    <x v="0"/>
    <x v="2"/>
    <x v="0"/>
    <n v="0"/>
    <n v="0"/>
    <n v="3.0000000000000001E-3"/>
    <n v="3.0000000000000001E-3"/>
    <n v="3.0000000000000001E-3"/>
    <n v="3.0000000000000001E-3"/>
    <n v="0"/>
    <x v="0"/>
    <n v="0"/>
    <n v="0"/>
    <n v="7"/>
    <n v="62"/>
    <n v="0"/>
    <n v="842.31"/>
    <n v="454.9"/>
    <m/>
    <n v="1109.1969409458418"/>
    <n v="430.5563899456306"/>
    <n v="0"/>
    <n v="2.5269299999999997"/>
    <n v="1.3647"/>
    <n v="0"/>
    <n v="3.3275908228375255"/>
    <n v="1.2916691698368918"/>
  </r>
  <r>
    <s v="Sistema de Compensação"/>
    <x v="0"/>
    <x v="0"/>
    <x v="0"/>
    <x v="0"/>
    <x v="0"/>
    <x v="0"/>
    <x v="2"/>
    <x v="4"/>
    <n v="0"/>
    <n v="0"/>
    <n v="2E-3"/>
    <n v="2E-3"/>
    <n v="2E-3"/>
    <n v="2E-3"/>
    <n v="0"/>
    <x v="0"/>
    <n v="0"/>
    <n v="0"/>
    <n v="7"/>
    <n v="62"/>
    <n v="0"/>
    <n v="842.31"/>
    <n v="454.9"/>
    <m/>
    <n v="1109.1969409458418"/>
    <n v="430.5563899456306"/>
    <n v="0"/>
    <n v="1.68462"/>
    <n v="0.90979999999999994"/>
    <n v="0"/>
    <n v="2.2183938818916835"/>
    <n v="0.86111277989126123"/>
  </r>
  <r>
    <s v="Sistema de Compensação"/>
    <x v="0"/>
    <x v="0"/>
    <x v="0"/>
    <x v="0"/>
    <x v="0"/>
    <x v="0"/>
    <x v="2"/>
    <x v="1"/>
    <n v="0"/>
    <n v="0"/>
    <n v="1E-3"/>
    <n v="1E-3"/>
    <n v="1E-3"/>
    <n v="1E-3"/>
    <n v="0"/>
    <x v="0"/>
    <n v="0"/>
    <n v="0"/>
    <n v="7"/>
    <n v="62"/>
    <n v="0"/>
    <n v="842.31"/>
    <n v="454.9"/>
    <m/>
    <n v="1109.1969409458418"/>
    <n v="430.5563899456306"/>
    <n v="0"/>
    <n v="0.84231"/>
    <n v="0.45489999999999997"/>
    <n v="0"/>
    <n v="1.1091969409458418"/>
    <n v="0.43055638994563061"/>
  </r>
  <r>
    <s v="Sistema de Compensação"/>
    <x v="0"/>
    <x v="0"/>
    <x v="0"/>
    <x v="0"/>
    <x v="0"/>
    <x v="0"/>
    <x v="2"/>
    <x v="2"/>
    <n v="0"/>
    <n v="0"/>
    <n v="1E-3"/>
    <n v="1E-3"/>
    <n v="1E-3"/>
    <n v="1E-3"/>
    <n v="0"/>
    <x v="0"/>
    <n v="0"/>
    <n v="0"/>
    <n v="7"/>
    <n v="62"/>
    <n v="0"/>
    <n v="842.31"/>
    <n v="454.9"/>
    <m/>
    <n v="1109.1969409458418"/>
    <n v="430.5563899456306"/>
    <n v="0"/>
    <n v="0.84231"/>
    <n v="0.45489999999999997"/>
    <n v="0"/>
    <n v="1.1091969409458418"/>
    <n v="0.43055638994563061"/>
  </r>
  <r>
    <s v="Regular"/>
    <x v="0"/>
    <x v="0"/>
    <x v="1"/>
    <x v="0"/>
    <x v="1"/>
    <x v="0"/>
    <x v="0"/>
    <x v="6"/>
    <n v="0"/>
    <n v="0"/>
    <n v="376.49400000000003"/>
    <n v="376.49400000000003"/>
    <n v="0"/>
    <n v="0"/>
    <n v="0"/>
    <x v="1"/>
    <n v="0"/>
    <n v="0"/>
    <n v="8"/>
    <n v="0"/>
    <n v="0"/>
    <n v="69.37"/>
    <n v="0"/>
    <m/>
    <n v="111.03029432835316"/>
    <m/>
    <n v="0"/>
    <n v="26117.388780000005"/>
    <n v="0"/>
    <n v="0"/>
    <n v="41802.239632858997"/>
    <n v="0"/>
  </r>
  <r>
    <s v="Regular"/>
    <x v="0"/>
    <x v="0"/>
    <x v="1"/>
    <x v="0"/>
    <x v="1"/>
    <x v="0"/>
    <x v="0"/>
    <x v="7"/>
    <n v="0"/>
    <n v="0"/>
    <n v="381.70499999999998"/>
    <n v="381.70499999999998"/>
    <n v="0"/>
    <n v="0"/>
    <n v="0"/>
    <x v="1"/>
    <n v="0"/>
    <n v="0"/>
    <n v="8"/>
    <n v="0"/>
    <n v="0"/>
    <n v="69.37"/>
    <n v="0"/>
    <m/>
    <n v="111.03029432835316"/>
    <m/>
    <n v="0"/>
    <n v="26478.87585"/>
    <n v="0"/>
    <n v="0"/>
    <n v="42380.818496604043"/>
    <n v="0"/>
  </r>
  <r>
    <s v="Regular"/>
    <x v="0"/>
    <x v="0"/>
    <x v="1"/>
    <x v="0"/>
    <x v="1"/>
    <x v="0"/>
    <x v="0"/>
    <x v="8"/>
    <n v="0"/>
    <n v="0"/>
    <n v="336.59899999999999"/>
    <n v="336.59899999999999"/>
    <n v="0"/>
    <n v="0"/>
    <n v="0"/>
    <x v="1"/>
    <n v="0"/>
    <n v="0"/>
    <n v="8"/>
    <n v="0"/>
    <n v="0"/>
    <n v="69.37"/>
    <n v="0"/>
    <m/>
    <n v="111.03029432835316"/>
    <m/>
    <n v="0"/>
    <n v="23349.872630000002"/>
    <n v="0"/>
    <n v="0"/>
    <n v="37372.686040629349"/>
    <n v="0"/>
  </r>
  <r>
    <s v="Regular"/>
    <x v="0"/>
    <x v="0"/>
    <x v="1"/>
    <x v="0"/>
    <x v="1"/>
    <x v="0"/>
    <x v="0"/>
    <x v="9"/>
    <n v="0"/>
    <n v="0"/>
    <n v="346.28800000000001"/>
    <n v="346.28800000000001"/>
    <n v="0"/>
    <n v="0"/>
    <n v="0"/>
    <x v="1"/>
    <n v="0"/>
    <n v="0"/>
    <n v="8"/>
    <n v="0"/>
    <n v="0"/>
    <n v="69.37"/>
    <n v="0"/>
    <m/>
    <n v="111.03029432835316"/>
    <m/>
    <n v="0"/>
    <n v="24021.998560000004"/>
    <n v="0"/>
    <n v="0"/>
    <n v="38448.458562376763"/>
    <n v="0"/>
  </r>
  <r>
    <s v="Regular"/>
    <x v="0"/>
    <x v="0"/>
    <x v="1"/>
    <x v="0"/>
    <x v="1"/>
    <x v="0"/>
    <x v="0"/>
    <x v="10"/>
    <n v="0"/>
    <n v="0"/>
    <n v="373.08699999999999"/>
    <n v="373.08699999999999"/>
    <n v="0"/>
    <n v="0"/>
    <n v="0"/>
    <x v="1"/>
    <n v="0"/>
    <n v="0"/>
    <n v="8"/>
    <n v="0"/>
    <n v="0"/>
    <n v="69.37"/>
    <n v="0"/>
    <m/>
    <n v="111.03029432835316"/>
    <m/>
    <n v="0"/>
    <n v="25881.045190000001"/>
    <n v="0"/>
    <n v="0"/>
    <n v="41423.959420082298"/>
    <n v="0"/>
  </r>
  <r>
    <s v="Regular"/>
    <x v="0"/>
    <x v="0"/>
    <x v="1"/>
    <x v="0"/>
    <x v="1"/>
    <x v="0"/>
    <x v="0"/>
    <x v="11"/>
    <n v="0"/>
    <n v="0"/>
    <n v="314.17099999999999"/>
    <n v="314.17099999999999"/>
    <n v="0"/>
    <n v="0"/>
    <n v="0"/>
    <x v="1"/>
    <n v="0"/>
    <n v="0"/>
    <n v="8"/>
    <n v="0"/>
    <n v="0"/>
    <n v="69.37"/>
    <n v="0"/>
    <m/>
    <n v="111.03029432835316"/>
    <m/>
    <n v="0"/>
    <n v="21794.042270000002"/>
    <n v="0"/>
    <n v="0"/>
    <n v="34882.498599433042"/>
    <n v="0"/>
  </r>
  <r>
    <s v="Regular"/>
    <x v="0"/>
    <x v="0"/>
    <x v="1"/>
    <x v="0"/>
    <x v="1"/>
    <x v="0"/>
    <x v="0"/>
    <x v="3"/>
    <n v="0"/>
    <n v="0"/>
    <n v="296.71800000000002"/>
    <n v="296.71800000000002"/>
    <n v="0"/>
    <n v="0"/>
    <n v="0"/>
    <x v="1"/>
    <n v="0"/>
    <n v="0"/>
    <n v="8"/>
    <n v="0"/>
    <n v="0"/>
    <n v="69.37"/>
    <n v="0"/>
    <m/>
    <n v="111.03029432835316"/>
    <m/>
    <n v="0"/>
    <n v="20583.327660000003"/>
    <n v="0"/>
    <n v="0"/>
    <n v="32944.686872520295"/>
    <n v="0"/>
  </r>
  <r>
    <s v="Regular"/>
    <x v="0"/>
    <x v="0"/>
    <x v="1"/>
    <x v="0"/>
    <x v="1"/>
    <x v="0"/>
    <x v="0"/>
    <x v="0"/>
    <n v="0"/>
    <n v="0"/>
    <n v="302.404"/>
    <n v="302.404"/>
    <n v="0"/>
    <n v="0"/>
    <n v="0"/>
    <x v="1"/>
    <n v="0"/>
    <n v="0"/>
    <n v="8"/>
    <n v="0"/>
    <n v="0"/>
    <n v="69.37"/>
    <n v="0"/>
    <m/>
    <n v="111.03029432835316"/>
    <m/>
    <n v="0"/>
    <n v="20977.765480000002"/>
    <n v="0"/>
    <n v="0"/>
    <n v="33576.005126071308"/>
    <n v="0"/>
  </r>
  <r>
    <s v="Regular"/>
    <x v="0"/>
    <x v="0"/>
    <x v="1"/>
    <x v="0"/>
    <x v="1"/>
    <x v="0"/>
    <x v="0"/>
    <x v="4"/>
    <n v="0"/>
    <n v="0"/>
    <n v="309.673"/>
    <n v="309.673"/>
    <n v="0"/>
    <n v="0"/>
    <n v="0"/>
    <x v="1"/>
    <n v="0"/>
    <n v="0"/>
    <n v="8"/>
    <n v="0"/>
    <n v="0"/>
    <n v="69.37"/>
    <n v="0"/>
    <m/>
    <n v="111.03029432835316"/>
    <m/>
    <n v="0"/>
    <n v="21482.016010000003"/>
    <n v="0"/>
    <n v="0"/>
    <n v="34383.08433554411"/>
    <n v="0"/>
  </r>
  <r>
    <s v="Regular"/>
    <x v="0"/>
    <x v="0"/>
    <x v="1"/>
    <x v="0"/>
    <x v="1"/>
    <x v="0"/>
    <x v="0"/>
    <x v="1"/>
    <n v="0"/>
    <n v="0"/>
    <n v="315.755"/>
    <n v="315.755"/>
    <n v="0"/>
    <n v="0"/>
    <n v="0"/>
    <x v="1"/>
    <n v="0"/>
    <n v="0"/>
    <n v="8"/>
    <n v="0"/>
    <n v="0"/>
    <n v="69.37"/>
    <n v="0"/>
    <m/>
    <n v="111.03029432835316"/>
    <m/>
    <n v="0"/>
    <n v="21903.924350000001"/>
    <n v="0"/>
    <n v="0"/>
    <n v="35058.370585649151"/>
    <n v="0"/>
  </r>
  <r>
    <s v="Regular"/>
    <x v="0"/>
    <x v="0"/>
    <x v="1"/>
    <x v="0"/>
    <x v="1"/>
    <x v="0"/>
    <x v="0"/>
    <x v="2"/>
    <n v="0"/>
    <n v="0"/>
    <n v="367.464"/>
    <n v="367.464"/>
    <n v="0"/>
    <n v="0"/>
    <n v="0"/>
    <x v="1"/>
    <n v="0"/>
    <n v="0"/>
    <n v="8"/>
    <n v="0"/>
    <n v="0"/>
    <n v="69.37"/>
    <n v="0"/>
    <m/>
    <n v="111.03029432835316"/>
    <m/>
    <n v="0"/>
    <n v="25490.97768"/>
    <n v="0"/>
    <n v="0"/>
    <n v="40799.63607507397"/>
    <n v="0"/>
  </r>
  <r>
    <s v="Regular"/>
    <x v="0"/>
    <x v="0"/>
    <x v="1"/>
    <x v="0"/>
    <x v="1"/>
    <x v="0"/>
    <x v="0"/>
    <x v="5"/>
    <n v="0"/>
    <n v="0"/>
    <n v="918.67"/>
    <n v="918.67"/>
    <n v="0"/>
    <n v="0"/>
    <n v="0"/>
    <x v="1"/>
    <n v="0"/>
    <n v="0"/>
    <n v="8"/>
    <n v="0"/>
    <n v="0"/>
    <n v="69.37"/>
    <n v="0"/>
    <m/>
    <n v="111.03029432835316"/>
    <m/>
    <n v="0"/>
    <n v="63728.137900000002"/>
    <n v="0"/>
    <n v="0"/>
    <n v="102000.20049062819"/>
    <n v="0"/>
  </r>
  <r>
    <s v="Regular"/>
    <x v="0"/>
    <x v="0"/>
    <x v="1"/>
    <x v="0"/>
    <x v="1"/>
    <x v="0"/>
    <x v="1"/>
    <x v="6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7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8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9"/>
    <n v="2462"/>
    <n v="1231"/>
    <n v="0"/>
    <n v="0"/>
    <n v="0"/>
    <n v="0"/>
    <n v="2"/>
    <x v="1"/>
    <n v="0"/>
    <n v="6"/>
    <n v="0"/>
    <n v="0"/>
    <n v="12.42"/>
    <n v="0"/>
    <n v="0"/>
    <n v="15.866734033722858"/>
    <m/>
    <m/>
    <n v="15289.02"/>
    <n v="0"/>
    <n v="0"/>
    <n v="19531.94959551284"/>
    <n v="0"/>
    <n v="0"/>
  </r>
  <r>
    <s v="Regular"/>
    <x v="0"/>
    <x v="0"/>
    <x v="1"/>
    <x v="0"/>
    <x v="1"/>
    <x v="0"/>
    <x v="1"/>
    <x v="10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11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3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0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4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1"/>
    <n v="2450"/>
    <n v="1225"/>
    <n v="0"/>
    <n v="0"/>
    <n v="0"/>
    <n v="0"/>
    <n v="2"/>
    <x v="1"/>
    <n v="0"/>
    <n v="6"/>
    <n v="0"/>
    <n v="0"/>
    <n v="12.42"/>
    <n v="0"/>
    <n v="0"/>
    <n v="15.866734033722858"/>
    <m/>
    <m/>
    <n v="15214.5"/>
    <n v="0"/>
    <n v="0"/>
    <n v="19436.7491913105"/>
    <n v="0"/>
    <n v="0"/>
  </r>
  <r>
    <s v="Regular"/>
    <x v="0"/>
    <x v="0"/>
    <x v="1"/>
    <x v="0"/>
    <x v="1"/>
    <x v="0"/>
    <x v="1"/>
    <x v="2"/>
    <n v="2486"/>
    <n v="1243"/>
    <n v="0"/>
    <n v="0"/>
    <n v="0"/>
    <n v="0"/>
    <n v="2"/>
    <x v="1"/>
    <n v="0"/>
    <n v="6"/>
    <n v="0"/>
    <n v="0"/>
    <n v="12.42"/>
    <n v="0"/>
    <n v="0"/>
    <n v="15.866734033722858"/>
    <m/>
    <m/>
    <n v="15438.06"/>
    <n v="0"/>
    <n v="0"/>
    <n v="19722.350403917513"/>
    <n v="0"/>
    <n v="0"/>
  </r>
  <r>
    <s v="Regular"/>
    <x v="0"/>
    <x v="0"/>
    <x v="1"/>
    <x v="0"/>
    <x v="1"/>
    <x v="0"/>
    <x v="1"/>
    <x v="5"/>
    <n v="4014"/>
    <n v="2007"/>
    <n v="0"/>
    <n v="0"/>
    <n v="0"/>
    <n v="0"/>
    <n v="3"/>
    <x v="1"/>
    <n v="0"/>
    <n v="6"/>
    <n v="0"/>
    <n v="0"/>
    <n v="12.42"/>
    <n v="0"/>
    <n v="0"/>
    <n v="15.866734033722858"/>
    <m/>
    <m/>
    <n v="24926.94"/>
    <n v="0"/>
    <n v="0"/>
    <n v="31844.535205681776"/>
    <n v="0"/>
    <n v="0"/>
  </r>
  <r>
    <s v="Regular"/>
    <x v="0"/>
    <x v="0"/>
    <x v="1"/>
    <x v="0"/>
    <x v="1"/>
    <x v="0"/>
    <x v="2"/>
    <x v="6"/>
    <n v="0"/>
    <n v="0"/>
    <n v="42.637999999999998"/>
    <n v="21.318999999999999"/>
    <n v="0"/>
    <n v="0"/>
    <n v="0"/>
    <x v="1"/>
    <n v="0"/>
    <n v="0"/>
    <n v="7"/>
    <n v="0"/>
    <n v="0"/>
    <n v="842.31"/>
    <n v="0"/>
    <m/>
    <n v="1109.1969409458418"/>
    <m/>
    <n v="0"/>
    <n v="17957.206889999998"/>
    <n v="0"/>
    <n v="0"/>
    <n v="23646.969584024399"/>
    <n v="0"/>
  </r>
  <r>
    <s v="Regular"/>
    <x v="0"/>
    <x v="0"/>
    <x v="1"/>
    <x v="0"/>
    <x v="1"/>
    <x v="0"/>
    <x v="2"/>
    <x v="7"/>
    <n v="0"/>
    <n v="0"/>
    <n v="37.92"/>
    <n v="18.96"/>
    <n v="0"/>
    <n v="0"/>
    <n v="0"/>
    <x v="1"/>
    <n v="0"/>
    <n v="0"/>
    <n v="7"/>
    <n v="0"/>
    <n v="0"/>
    <n v="842.31"/>
    <n v="0"/>
    <m/>
    <n v="1109.1969409458418"/>
    <m/>
    <n v="0"/>
    <n v="15970.1976"/>
    <n v="0"/>
    <n v="0"/>
    <n v="21030.374000333162"/>
    <n v="0"/>
  </r>
  <r>
    <s v="Regular"/>
    <x v="0"/>
    <x v="0"/>
    <x v="1"/>
    <x v="0"/>
    <x v="1"/>
    <x v="0"/>
    <x v="2"/>
    <x v="8"/>
    <n v="0"/>
    <n v="0"/>
    <n v="9.3849999999999998"/>
    <n v="4.6924999999999999"/>
    <n v="0"/>
    <n v="0"/>
    <n v="0"/>
    <x v="1"/>
    <n v="0"/>
    <n v="0"/>
    <n v="7"/>
    <n v="0"/>
    <n v="0"/>
    <n v="842.31"/>
    <n v="0"/>
    <m/>
    <n v="1109.1969409458418"/>
    <m/>
    <n v="0"/>
    <n v="3952.5396749999995"/>
    <n v="0"/>
    <n v="0"/>
    <n v="5204.9066453883624"/>
    <n v="0"/>
  </r>
  <r>
    <s v="Regular"/>
    <x v="0"/>
    <x v="0"/>
    <x v="1"/>
    <x v="0"/>
    <x v="1"/>
    <x v="0"/>
    <x v="2"/>
    <x v="9"/>
    <n v="0"/>
    <n v="0"/>
    <n v="8.7360000000000007"/>
    <n v="4.3680000000000003"/>
    <n v="0"/>
    <n v="0"/>
    <n v="0"/>
    <x v="1"/>
    <n v="0"/>
    <n v="0"/>
    <n v="7"/>
    <n v="0"/>
    <n v="0"/>
    <n v="842.31"/>
    <n v="0"/>
    <m/>
    <n v="1109.1969409458418"/>
    <m/>
    <n v="0"/>
    <n v="3679.2100799999998"/>
    <n v="0"/>
    <n v="0"/>
    <n v="4844.9722380514377"/>
    <n v="0"/>
  </r>
  <r>
    <s v="Regular"/>
    <x v="0"/>
    <x v="0"/>
    <x v="1"/>
    <x v="0"/>
    <x v="1"/>
    <x v="0"/>
    <x v="2"/>
    <x v="10"/>
    <n v="0"/>
    <n v="0"/>
    <n v="38.771000000000001"/>
    <n v="19.3855"/>
    <n v="0"/>
    <n v="0"/>
    <n v="0"/>
    <x v="1"/>
    <n v="0"/>
    <n v="0"/>
    <n v="7"/>
    <n v="0"/>
    <n v="0"/>
    <n v="842.31"/>
    <n v="0"/>
    <m/>
    <n v="1109.1969409458418"/>
    <m/>
    <n v="0"/>
    <n v="16328.600504999999"/>
    <n v="0"/>
    <n v="0"/>
    <n v="21502.337298705617"/>
    <n v="0"/>
  </r>
  <r>
    <s v="Regular"/>
    <x v="0"/>
    <x v="0"/>
    <x v="1"/>
    <x v="0"/>
    <x v="1"/>
    <x v="0"/>
    <x v="2"/>
    <x v="11"/>
    <n v="0"/>
    <n v="0"/>
    <n v="35.023000000000003"/>
    <n v="17.511500000000002"/>
    <n v="0"/>
    <n v="0"/>
    <n v="0"/>
    <x v="1"/>
    <n v="0"/>
    <n v="0"/>
    <n v="7"/>
    <n v="0"/>
    <n v="0"/>
    <n v="842.31"/>
    <n v="0"/>
    <m/>
    <n v="1109.1969409458418"/>
    <m/>
    <n v="0"/>
    <n v="14750.111565000001"/>
    <n v="0"/>
    <n v="0"/>
    <n v="19423.70223137311"/>
    <n v="0"/>
  </r>
  <r>
    <s v="Regular"/>
    <x v="0"/>
    <x v="0"/>
    <x v="1"/>
    <x v="0"/>
    <x v="1"/>
    <x v="0"/>
    <x v="2"/>
    <x v="3"/>
    <n v="0"/>
    <n v="0"/>
    <n v="33.156999999999996"/>
    <n v="16.578499999999998"/>
    <n v="0"/>
    <n v="0"/>
    <n v="0"/>
    <x v="1"/>
    <n v="0"/>
    <n v="0"/>
    <n v="7"/>
    <n v="0"/>
    <n v="0"/>
    <n v="842.31"/>
    <n v="0"/>
    <m/>
    <n v="1109.1969409458418"/>
    <m/>
    <n v="0"/>
    <n v="13964.236334999998"/>
    <n v="0"/>
    <n v="0"/>
    <n v="18388.821485470635"/>
    <n v="0"/>
  </r>
  <r>
    <s v="Regular"/>
    <x v="0"/>
    <x v="0"/>
    <x v="1"/>
    <x v="0"/>
    <x v="1"/>
    <x v="0"/>
    <x v="2"/>
    <x v="0"/>
    <n v="0"/>
    <n v="0"/>
    <n v="34.494"/>
    <n v="17.247"/>
    <n v="0"/>
    <n v="0"/>
    <n v="0"/>
    <x v="1"/>
    <n v="0"/>
    <n v="0"/>
    <n v="7"/>
    <n v="0"/>
    <n v="0"/>
    <n v="842.31"/>
    <n v="0"/>
    <m/>
    <n v="1109.1969409458418"/>
    <m/>
    <n v="0"/>
    <n v="14527.32057"/>
    <n v="0"/>
    <n v="0"/>
    <n v="19130.319640492933"/>
    <n v="0"/>
  </r>
  <r>
    <s v="Regular"/>
    <x v="0"/>
    <x v="0"/>
    <x v="1"/>
    <x v="0"/>
    <x v="1"/>
    <x v="0"/>
    <x v="2"/>
    <x v="4"/>
    <n v="0"/>
    <n v="0"/>
    <n v="30.69"/>
    <n v="15.345000000000001"/>
    <n v="0"/>
    <n v="0"/>
    <n v="0"/>
    <x v="1"/>
    <n v="0"/>
    <n v="0"/>
    <n v="7"/>
    <n v="0"/>
    <n v="0"/>
    <n v="842.31"/>
    <n v="0"/>
    <m/>
    <n v="1109.1969409458418"/>
    <m/>
    <n v="0"/>
    <n v="12925.246949999999"/>
    <n v="0"/>
    <n v="0"/>
    <n v="17020.627058813941"/>
    <n v="0"/>
  </r>
  <r>
    <s v="Regular"/>
    <x v="0"/>
    <x v="0"/>
    <x v="1"/>
    <x v="0"/>
    <x v="1"/>
    <x v="0"/>
    <x v="2"/>
    <x v="1"/>
    <n v="0"/>
    <n v="0"/>
    <n v="37.658999999999999"/>
    <n v="18.829499999999999"/>
    <n v="0"/>
    <n v="0"/>
    <n v="0"/>
    <x v="1"/>
    <n v="0"/>
    <n v="0"/>
    <n v="7"/>
    <n v="0"/>
    <n v="0"/>
    <n v="842.31"/>
    <n v="0"/>
    <m/>
    <n v="1109.1969409458418"/>
    <m/>
    <n v="0"/>
    <n v="15860.276144999998"/>
    <n v="0"/>
    <n v="0"/>
    <n v="20885.623799539728"/>
    <n v="0"/>
  </r>
  <r>
    <s v="Regular"/>
    <x v="0"/>
    <x v="0"/>
    <x v="1"/>
    <x v="0"/>
    <x v="1"/>
    <x v="0"/>
    <x v="2"/>
    <x v="2"/>
    <n v="0"/>
    <n v="0"/>
    <n v="44.530999999999999"/>
    <n v="22.265499999999999"/>
    <n v="0"/>
    <n v="0"/>
    <n v="0"/>
    <x v="1"/>
    <n v="0"/>
    <n v="0"/>
    <n v="7"/>
    <n v="0"/>
    <n v="0"/>
    <n v="842.31"/>
    <n v="0"/>
    <m/>
    <n v="1109.1969409458418"/>
    <m/>
    <n v="0"/>
    <n v="18754.453304999999"/>
    <n v="0"/>
    <n v="0"/>
    <n v="24696.824488629638"/>
    <n v="0"/>
  </r>
  <r>
    <s v="Regular"/>
    <x v="0"/>
    <x v="0"/>
    <x v="1"/>
    <x v="0"/>
    <x v="1"/>
    <x v="0"/>
    <x v="2"/>
    <x v="5"/>
    <n v="0"/>
    <n v="0"/>
    <n v="89.613"/>
    <n v="44.8065"/>
    <n v="0"/>
    <n v="0"/>
    <n v="0"/>
    <x v="1"/>
    <n v="0"/>
    <n v="0"/>
    <n v="7"/>
    <n v="0"/>
    <n v="0"/>
    <n v="842.31"/>
    <n v="0"/>
    <m/>
    <n v="1109.1969409458418"/>
    <m/>
    <n v="0"/>
    <n v="37740.963014999994"/>
    <n v="0"/>
    <n v="0"/>
    <n v="49699.232734489859"/>
    <n v="0"/>
  </r>
  <r>
    <s v="Regular"/>
    <x v="0"/>
    <x v="0"/>
    <x v="1"/>
    <x v="0"/>
    <x v="0"/>
    <x v="0"/>
    <x v="0"/>
    <x v="6"/>
    <n v="0"/>
    <n v="0"/>
    <n v="319.72199999999998"/>
    <n v="319.72199999999998"/>
    <n v="319.72199999999998"/>
    <n v="319.72199999999998"/>
    <n v="0"/>
    <x v="0"/>
    <n v="0"/>
    <n v="0"/>
    <n v="8"/>
    <n v="63"/>
    <n v="0"/>
    <n v="69.37"/>
    <n v="284.36"/>
    <m/>
    <n v="111.03029432835316"/>
    <n v="274.80069497881567"/>
    <n v="0"/>
    <n v="22179.115140000002"/>
    <n v="90916.147920000003"/>
    <n v="0"/>
    <n v="35498.827763249727"/>
    <n v="87859.827800016894"/>
  </r>
  <r>
    <s v="Regular"/>
    <x v="0"/>
    <x v="0"/>
    <x v="1"/>
    <x v="0"/>
    <x v="0"/>
    <x v="0"/>
    <x v="0"/>
    <x v="7"/>
    <n v="0"/>
    <n v="0"/>
    <n v="357.517"/>
    <n v="357.517"/>
    <n v="357.517"/>
    <n v="357.517"/>
    <n v="0"/>
    <x v="0"/>
    <n v="0"/>
    <n v="0"/>
    <n v="8"/>
    <n v="63"/>
    <n v="0"/>
    <n v="69.37"/>
    <n v="284.36"/>
    <m/>
    <n v="111.03029432835316"/>
    <n v="274.80069497881567"/>
    <n v="0"/>
    <n v="24800.954290000001"/>
    <n v="101663.53412"/>
    <n v="0"/>
    <n v="39695.217737389838"/>
    <n v="98245.920066741237"/>
  </r>
  <r>
    <s v="Regular"/>
    <x v="0"/>
    <x v="0"/>
    <x v="1"/>
    <x v="0"/>
    <x v="0"/>
    <x v="0"/>
    <x v="0"/>
    <x v="8"/>
    <n v="0"/>
    <n v="0"/>
    <n v="340.976"/>
    <n v="340.976"/>
    <n v="340.976"/>
    <n v="340.976"/>
    <n v="0"/>
    <x v="0"/>
    <n v="0"/>
    <n v="0"/>
    <n v="8"/>
    <n v="63"/>
    <n v="0"/>
    <n v="69.37"/>
    <n v="284.36"/>
    <m/>
    <n v="111.03029432835316"/>
    <n v="274.80069497881567"/>
    <n v="0"/>
    <n v="23653.505120000002"/>
    <n v="96959.935360000003"/>
    <n v="0"/>
    <n v="37858.665638904546"/>
    <n v="93700.441771096652"/>
  </r>
  <r>
    <s v="Regular"/>
    <x v="0"/>
    <x v="0"/>
    <x v="1"/>
    <x v="0"/>
    <x v="0"/>
    <x v="0"/>
    <x v="0"/>
    <x v="9"/>
    <n v="0"/>
    <n v="0"/>
    <n v="328.19200000000001"/>
    <n v="328.19200000000001"/>
    <n v="328.19200000000001"/>
    <n v="328.19200000000001"/>
    <n v="0"/>
    <x v="0"/>
    <n v="0"/>
    <n v="0"/>
    <n v="8"/>
    <n v="63"/>
    <n v="0"/>
    <n v="69.37"/>
    <n v="284.36"/>
    <m/>
    <n v="111.03029432835316"/>
    <n v="274.80069497881567"/>
    <n v="0"/>
    <n v="22766.679040000003"/>
    <n v="93324.677120000008"/>
    <n v="0"/>
    <n v="36439.254356210884"/>
    <n v="90187.38968648747"/>
  </r>
  <r>
    <s v="Regular"/>
    <x v="0"/>
    <x v="0"/>
    <x v="1"/>
    <x v="0"/>
    <x v="0"/>
    <x v="0"/>
    <x v="0"/>
    <x v="10"/>
    <n v="0"/>
    <n v="0"/>
    <n v="328.95499999999998"/>
    <n v="328.95499999999998"/>
    <n v="328.95499999999998"/>
    <n v="328.95499999999998"/>
    <n v="0"/>
    <x v="0"/>
    <n v="0"/>
    <n v="0"/>
    <n v="8"/>
    <n v="63"/>
    <n v="0"/>
    <n v="69.37"/>
    <n v="284.36"/>
    <m/>
    <n v="111.03029432835316"/>
    <n v="274.80069497881567"/>
    <n v="0"/>
    <n v="22819.608349999999"/>
    <n v="93541.643800000005"/>
    <n v="0"/>
    <n v="36523.970470783417"/>
    <n v="90397.062616756302"/>
  </r>
  <r>
    <s v="Regular"/>
    <x v="0"/>
    <x v="0"/>
    <x v="1"/>
    <x v="0"/>
    <x v="0"/>
    <x v="0"/>
    <x v="0"/>
    <x v="11"/>
    <n v="0"/>
    <n v="0"/>
    <n v="320.24299999999999"/>
    <n v="320.24299999999999"/>
    <n v="320.24299999999999"/>
    <n v="320.24299999999999"/>
    <n v="0"/>
    <x v="0"/>
    <n v="0"/>
    <n v="0"/>
    <n v="8"/>
    <n v="63"/>
    <n v="0"/>
    <n v="69.37"/>
    <n v="284.36"/>
    <m/>
    <n v="111.03029432835316"/>
    <n v="274.80069497881567"/>
    <n v="0"/>
    <n v="22215.25691"/>
    <n v="91064.299480000001"/>
    <n v="0"/>
    <n v="35556.674546594804"/>
    <n v="88002.998962100872"/>
  </r>
  <r>
    <s v="Regular"/>
    <x v="0"/>
    <x v="0"/>
    <x v="1"/>
    <x v="0"/>
    <x v="0"/>
    <x v="0"/>
    <x v="0"/>
    <x v="3"/>
    <n v="0"/>
    <n v="0"/>
    <n v="296.29300000000001"/>
    <n v="296.29300000000001"/>
    <n v="296.29300000000001"/>
    <n v="296.29300000000001"/>
    <n v="0"/>
    <x v="0"/>
    <n v="0"/>
    <n v="0"/>
    <n v="8"/>
    <n v="63"/>
    <n v="0"/>
    <n v="69.37"/>
    <n v="284.36"/>
    <m/>
    <n v="111.03029432835316"/>
    <n v="274.80069497881567"/>
    <n v="0"/>
    <n v="20553.845410000002"/>
    <n v="84253.87748000001"/>
    <n v="0"/>
    <n v="32897.498997430746"/>
    <n v="81421.522317358234"/>
  </r>
  <r>
    <s v="Regular"/>
    <x v="0"/>
    <x v="0"/>
    <x v="1"/>
    <x v="0"/>
    <x v="0"/>
    <x v="0"/>
    <x v="0"/>
    <x v="0"/>
    <n v="0"/>
    <n v="0"/>
    <n v="310.31400000000002"/>
    <n v="310.31400000000002"/>
    <n v="310.31400000000002"/>
    <n v="310.31400000000002"/>
    <n v="0"/>
    <x v="0"/>
    <n v="0"/>
    <n v="0"/>
    <n v="8"/>
    <n v="63"/>
    <n v="0"/>
    <n v="69.37"/>
    <n v="284.36"/>
    <m/>
    <n v="111.03029432835316"/>
    <n v="274.80069497881567"/>
    <n v="0"/>
    <n v="21526.482180000003"/>
    <n v="88240.889040000009"/>
    <n v="0"/>
    <n v="34454.254754208589"/>
    <n v="85274.502861656205"/>
  </r>
  <r>
    <s v="Regular"/>
    <x v="0"/>
    <x v="0"/>
    <x v="1"/>
    <x v="0"/>
    <x v="0"/>
    <x v="0"/>
    <x v="0"/>
    <x v="4"/>
    <n v="0"/>
    <n v="0"/>
    <n v="296.92399999999998"/>
    <n v="296.92399999999998"/>
    <n v="296.92399999999998"/>
    <n v="296.92399999999998"/>
    <n v="0"/>
    <x v="0"/>
    <n v="0"/>
    <n v="0"/>
    <n v="8"/>
    <n v="63"/>
    <n v="0"/>
    <n v="69.37"/>
    <n v="284.36"/>
    <m/>
    <n v="111.03029432835316"/>
    <n v="274.80069497881567"/>
    <n v="0"/>
    <n v="20597.617880000002"/>
    <n v="84433.308640000003"/>
    <n v="0"/>
    <n v="32967.559113151932"/>
    <n v="81594.921555889858"/>
  </r>
  <r>
    <s v="Regular"/>
    <x v="0"/>
    <x v="0"/>
    <x v="1"/>
    <x v="0"/>
    <x v="0"/>
    <x v="0"/>
    <x v="0"/>
    <x v="1"/>
    <n v="0"/>
    <n v="0"/>
    <n v="340.31599999999997"/>
    <n v="340.31599999999997"/>
    <n v="340.31599999999997"/>
    <n v="340.31599999999997"/>
    <n v="0"/>
    <x v="0"/>
    <n v="0"/>
    <n v="0"/>
    <n v="8"/>
    <n v="63"/>
    <n v="0"/>
    <n v="69.37"/>
    <n v="284.36"/>
    <m/>
    <n v="111.03029432835316"/>
    <n v="274.80069497881567"/>
    <n v="0"/>
    <n v="23607.72092"/>
    <n v="96772.257759999993"/>
    <n v="0"/>
    <n v="37785.385644647831"/>
    <n v="93519.073312410634"/>
  </r>
  <r>
    <s v="Regular"/>
    <x v="0"/>
    <x v="0"/>
    <x v="1"/>
    <x v="0"/>
    <x v="0"/>
    <x v="0"/>
    <x v="0"/>
    <x v="2"/>
    <n v="0"/>
    <n v="0"/>
    <n v="310.22500000000002"/>
    <n v="310.22500000000002"/>
    <n v="310.22500000000002"/>
    <n v="310.22500000000002"/>
    <n v="0"/>
    <x v="0"/>
    <n v="0"/>
    <n v="0"/>
    <n v="8"/>
    <n v="63"/>
    <n v="0"/>
    <n v="69.37"/>
    <n v="284.36"/>
    <m/>
    <n v="111.03029432835316"/>
    <n v="274.80069497881567"/>
    <n v="0"/>
    <n v="21520.308250000002"/>
    <n v="88215.581000000006"/>
    <n v="0"/>
    <n v="34444.373058013363"/>
    <n v="85250.045599803096"/>
  </r>
  <r>
    <s v="Regular"/>
    <x v="0"/>
    <x v="0"/>
    <x v="1"/>
    <x v="0"/>
    <x v="0"/>
    <x v="0"/>
    <x v="0"/>
    <x v="5"/>
    <n v="0"/>
    <n v="0"/>
    <n v="333.02199999999999"/>
    <n v="333.02199999999999"/>
    <n v="333.02199999999999"/>
    <n v="333.02199999999999"/>
    <n v="0"/>
    <x v="0"/>
    <n v="0"/>
    <n v="0"/>
    <n v="8"/>
    <n v="63"/>
    <n v="0"/>
    <n v="69.37"/>
    <n v="284.36"/>
    <m/>
    <n v="111.03029432835316"/>
    <n v="274.80069497881567"/>
    <n v="0"/>
    <n v="23101.736140000001"/>
    <n v="94698.135920000001"/>
    <n v="0"/>
    <n v="36975.530677816823"/>
    <n v="91514.677043235148"/>
  </r>
  <r>
    <s v="Regular"/>
    <x v="0"/>
    <x v="0"/>
    <x v="1"/>
    <x v="0"/>
    <x v="0"/>
    <x v="0"/>
    <x v="1"/>
    <x v="6"/>
    <n v="1365"/>
    <n v="1365"/>
    <n v="0"/>
    <n v="0"/>
    <n v="0"/>
    <n v="0"/>
    <n v="4"/>
    <x v="0"/>
    <n v="0"/>
    <n v="6"/>
    <n v="0"/>
    <n v="0"/>
    <n v="12.42"/>
    <n v="0"/>
    <n v="0"/>
    <n v="15.866734033722858"/>
    <m/>
    <m/>
    <n v="16953.3"/>
    <n v="0"/>
    <n v="0"/>
    <n v="21658.091956031702"/>
    <n v="0"/>
    <n v="0"/>
  </r>
  <r>
    <s v="Regular"/>
    <x v="0"/>
    <x v="0"/>
    <x v="1"/>
    <x v="0"/>
    <x v="0"/>
    <x v="0"/>
    <x v="1"/>
    <x v="7"/>
    <n v="1427"/>
    <n v="1427"/>
    <n v="0"/>
    <n v="0"/>
    <n v="0"/>
    <n v="0"/>
    <n v="4"/>
    <x v="0"/>
    <n v="0"/>
    <n v="6"/>
    <n v="0"/>
    <n v="0"/>
    <n v="12.42"/>
    <n v="0"/>
    <n v="0"/>
    <n v="15.866734033722858"/>
    <m/>
    <m/>
    <n v="17723.34"/>
    <n v="0"/>
    <n v="0"/>
    <n v="22641.829466122519"/>
    <n v="0"/>
    <n v="0"/>
  </r>
  <r>
    <s v="Regular"/>
    <x v="0"/>
    <x v="0"/>
    <x v="1"/>
    <x v="0"/>
    <x v="0"/>
    <x v="0"/>
    <x v="1"/>
    <x v="8"/>
    <n v="1379"/>
    <n v="1379"/>
    <n v="0"/>
    <n v="0"/>
    <n v="0"/>
    <n v="0"/>
    <n v="4"/>
    <x v="0"/>
    <n v="0"/>
    <n v="6"/>
    <n v="0"/>
    <n v="0"/>
    <n v="12.42"/>
    <n v="0"/>
    <n v="0"/>
    <n v="15.866734033722858"/>
    <m/>
    <m/>
    <n v="17127.18"/>
    <n v="0"/>
    <n v="0"/>
    <n v="21880.226232503821"/>
    <n v="0"/>
    <n v="0"/>
  </r>
  <r>
    <s v="Regular"/>
    <x v="0"/>
    <x v="0"/>
    <x v="1"/>
    <x v="0"/>
    <x v="0"/>
    <x v="0"/>
    <x v="1"/>
    <x v="9"/>
    <n v="1272"/>
    <n v="1272"/>
    <n v="0"/>
    <n v="0"/>
    <n v="0"/>
    <n v="0"/>
    <n v="3"/>
    <x v="0"/>
    <n v="0"/>
    <n v="6"/>
    <n v="0"/>
    <n v="0"/>
    <n v="12.42"/>
    <n v="0"/>
    <n v="0"/>
    <n v="15.866734033722858"/>
    <m/>
    <m/>
    <n v="15798.24"/>
    <n v="0"/>
    <n v="0"/>
    <n v="20182.485690895475"/>
    <n v="0"/>
    <n v="0"/>
  </r>
  <r>
    <s v="Regular"/>
    <x v="0"/>
    <x v="0"/>
    <x v="1"/>
    <x v="0"/>
    <x v="0"/>
    <x v="0"/>
    <x v="1"/>
    <x v="10"/>
    <n v="1164"/>
    <n v="1164"/>
    <n v="0"/>
    <n v="0"/>
    <n v="0"/>
    <n v="0"/>
    <n v="2"/>
    <x v="0"/>
    <n v="0"/>
    <n v="6"/>
    <n v="0"/>
    <n v="0"/>
    <n v="12.42"/>
    <n v="0"/>
    <n v="0"/>
    <n v="15.866734033722858"/>
    <m/>
    <m/>
    <n v="14456.88"/>
    <n v="0"/>
    <n v="0"/>
    <n v="18468.878415253406"/>
    <n v="0"/>
    <n v="0"/>
  </r>
  <r>
    <s v="Regular"/>
    <x v="0"/>
    <x v="0"/>
    <x v="1"/>
    <x v="0"/>
    <x v="0"/>
    <x v="0"/>
    <x v="1"/>
    <x v="11"/>
    <n v="1136"/>
    <n v="1136"/>
    <n v="0"/>
    <n v="0"/>
    <n v="0"/>
    <n v="0"/>
    <n v="2"/>
    <x v="0"/>
    <n v="0"/>
    <n v="6"/>
    <n v="0"/>
    <n v="0"/>
    <n v="12.42"/>
    <n v="0"/>
    <n v="0"/>
    <n v="15.866734033722858"/>
    <m/>
    <m/>
    <n v="14109.12"/>
    <n v="0"/>
    <n v="0"/>
    <n v="18024.609862309168"/>
    <n v="0"/>
    <n v="0"/>
  </r>
  <r>
    <s v="Regular"/>
    <x v="0"/>
    <x v="0"/>
    <x v="1"/>
    <x v="0"/>
    <x v="0"/>
    <x v="0"/>
    <x v="1"/>
    <x v="3"/>
    <n v="1114"/>
    <n v="1114"/>
    <n v="0"/>
    <n v="0"/>
    <n v="0"/>
    <n v="0"/>
    <n v="2"/>
    <x v="0"/>
    <n v="0"/>
    <n v="6"/>
    <n v="0"/>
    <n v="0"/>
    <n v="12.42"/>
    <n v="0"/>
    <n v="0"/>
    <n v="15.866734033722858"/>
    <m/>
    <m/>
    <n v="13835.88"/>
    <n v="0"/>
    <n v="0"/>
    <n v="17675.541713567265"/>
    <n v="0"/>
    <n v="0"/>
  </r>
  <r>
    <s v="Sistema de Compensação"/>
    <x v="0"/>
    <x v="0"/>
    <x v="1"/>
    <x v="0"/>
    <x v="0"/>
    <x v="0"/>
    <x v="1"/>
    <x v="3"/>
    <n v="216"/>
    <n v="216"/>
    <n v="0"/>
    <n v="0"/>
    <n v="0"/>
    <n v="0"/>
    <n v="2"/>
    <x v="0"/>
    <n v="0"/>
    <n v="6"/>
    <n v="0"/>
    <n v="0"/>
    <n v="12.42"/>
    <n v="0"/>
    <n v="0"/>
    <n v="15.866734033722858"/>
    <m/>
    <m/>
    <n v="2682.72"/>
    <n v="0"/>
    <n v="0"/>
    <n v="3427.2145512841375"/>
    <n v="0"/>
    <n v="0"/>
  </r>
  <r>
    <s v="Regular"/>
    <x v="0"/>
    <x v="0"/>
    <x v="1"/>
    <x v="0"/>
    <x v="0"/>
    <x v="0"/>
    <x v="1"/>
    <x v="0"/>
    <n v="1105"/>
    <n v="1105"/>
    <n v="0"/>
    <n v="0"/>
    <n v="0"/>
    <n v="0"/>
    <n v="2"/>
    <x v="0"/>
    <n v="0"/>
    <n v="6"/>
    <n v="0"/>
    <n v="0"/>
    <n v="12.42"/>
    <n v="0"/>
    <n v="0"/>
    <n v="15.866734033722858"/>
    <m/>
    <m/>
    <n v="13724.1"/>
    <n v="0"/>
    <n v="0"/>
    <n v="17532.741107263759"/>
    <n v="0"/>
    <n v="0"/>
  </r>
  <r>
    <s v="Sistema de Compensação"/>
    <x v="0"/>
    <x v="0"/>
    <x v="1"/>
    <x v="0"/>
    <x v="0"/>
    <x v="0"/>
    <x v="1"/>
    <x v="0"/>
    <n v="219"/>
    <n v="219"/>
    <n v="0"/>
    <n v="0"/>
    <n v="0"/>
    <n v="0"/>
    <n v="2"/>
    <x v="0"/>
    <n v="0"/>
    <n v="6"/>
    <n v="0"/>
    <n v="0"/>
    <n v="12.42"/>
    <n v="0"/>
    <n v="0"/>
    <n v="15.866734033722858"/>
    <m/>
    <m/>
    <n v="2719.98"/>
    <n v="0"/>
    <n v="0"/>
    <n v="3474.8147533853062"/>
    <n v="0"/>
    <n v="0"/>
  </r>
  <r>
    <s v="Regular"/>
    <x v="0"/>
    <x v="0"/>
    <x v="1"/>
    <x v="0"/>
    <x v="0"/>
    <x v="0"/>
    <x v="1"/>
    <x v="4"/>
    <n v="1156"/>
    <n v="1156"/>
    <n v="0"/>
    <n v="0"/>
    <n v="0"/>
    <n v="0"/>
    <n v="2"/>
    <x v="0"/>
    <n v="0"/>
    <n v="6"/>
    <n v="0"/>
    <n v="0"/>
    <n v="12.42"/>
    <n v="0"/>
    <n v="0"/>
    <n v="15.866734033722858"/>
    <m/>
    <m/>
    <n v="14357.52"/>
    <n v="0"/>
    <n v="0"/>
    <n v="18341.944542983623"/>
    <n v="0"/>
    <n v="0"/>
  </r>
  <r>
    <s v="Sistema de Compensação"/>
    <x v="0"/>
    <x v="0"/>
    <x v="1"/>
    <x v="0"/>
    <x v="0"/>
    <x v="0"/>
    <x v="1"/>
    <x v="4"/>
    <n v="216"/>
    <n v="216"/>
    <n v="0"/>
    <n v="0"/>
    <n v="0"/>
    <n v="0"/>
    <n v="2"/>
    <x v="0"/>
    <n v="0"/>
    <n v="6"/>
    <n v="0"/>
    <n v="0"/>
    <n v="12.42"/>
    <n v="0"/>
    <n v="0"/>
    <n v="15.866734033722858"/>
    <m/>
    <m/>
    <n v="2682.72"/>
    <n v="0"/>
    <n v="0"/>
    <n v="3427.2145512841375"/>
    <n v="0"/>
    <n v="0"/>
  </r>
  <r>
    <s v="Regular"/>
    <x v="0"/>
    <x v="0"/>
    <x v="1"/>
    <x v="0"/>
    <x v="0"/>
    <x v="0"/>
    <x v="1"/>
    <x v="1"/>
    <n v="1177"/>
    <n v="1177"/>
    <n v="0"/>
    <n v="0"/>
    <n v="0"/>
    <n v="0"/>
    <n v="2"/>
    <x v="0"/>
    <n v="0"/>
    <n v="6"/>
    <n v="0"/>
    <n v="0"/>
    <n v="12.42"/>
    <n v="0"/>
    <n v="0"/>
    <n v="15.866734033722858"/>
    <m/>
    <m/>
    <n v="14618.34"/>
    <n v="0"/>
    <n v="0"/>
    <n v="18675.145957691806"/>
    <n v="0"/>
    <n v="0"/>
  </r>
  <r>
    <s v="Sistema de Compensação"/>
    <x v="0"/>
    <x v="0"/>
    <x v="1"/>
    <x v="0"/>
    <x v="0"/>
    <x v="0"/>
    <x v="1"/>
    <x v="1"/>
    <n v="215"/>
    <n v="215"/>
    <n v="0"/>
    <n v="0"/>
    <n v="0"/>
    <n v="0"/>
    <n v="2"/>
    <x v="0"/>
    <n v="0"/>
    <n v="6"/>
    <n v="0"/>
    <n v="0"/>
    <n v="12.42"/>
    <n v="0"/>
    <n v="0"/>
    <n v="15.866734033722858"/>
    <m/>
    <m/>
    <n v="2670.3"/>
    <n v="0"/>
    <n v="0"/>
    <n v="3411.3478172504147"/>
    <n v="0"/>
    <n v="0"/>
  </r>
  <r>
    <s v="Regular"/>
    <x v="0"/>
    <x v="0"/>
    <x v="1"/>
    <x v="0"/>
    <x v="0"/>
    <x v="0"/>
    <x v="1"/>
    <x v="2"/>
    <n v="1181"/>
    <n v="1181"/>
    <n v="0"/>
    <n v="0"/>
    <n v="0"/>
    <n v="0"/>
    <n v="2"/>
    <x v="0"/>
    <n v="0"/>
    <n v="6"/>
    <n v="0"/>
    <n v="0"/>
    <n v="12.42"/>
    <n v="0"/>
    <n v="0"/>
    <n v="15.866734033722858"/>
    <m/>
    <m/>
    <n v="14668.02"/>
    <n v="0"/>
    <n v="0"/>
    <n v="18738.612893826696"/>
    <n v="0"/>
    <n v="0"/>
  </r>
  <r>
    <s v="Sistema de Compensação"/>
    <x v="0"/>
    <x v="0"/>
    <x v="1"/>
    <x v="0"/>
    <x v="0"/>
    <x v="0"/>
    <x v="1"/>
    <x v="2"/>
    <n v="209"/>
    <n v="209"/>
    <n v="0"/>
    <n v="0"/>
    <n v="0"/>
    <n v="0"/>
    <n v="2"/>
    <x v="0"/>
    <n v="0"/>
    <n v="6"/>
    <n v="0"/>
    <n v="0"/>
    <n v="12.42"/>
    <n v="0"/>
    <n v="0"/>
    <n v="15.866734033722858"/>
    <m/>
    <m/>
    <n v="2595.7800000000002"/>
    <n v="0"/>
    <n v="0"/>
    <n v="3316.1474130480774"/>
    <n v="0"/>
    <n v="0"/>
  </r>
  <r>
    <s v="Regular"/>
    <x v="0"/>
    <x v="0"/>
    <x v="1"/>
    <x v="0"/>
    <x v="0"/>
    <x v="0"/>
    <x v="1"/>
    <x v="5"/>
    <n v="1180"/>
    <n v="1180"/>
    <n v="0"/>
    <n v="0"/>
    <n v="0"/>
    <n v="0"/>
    <n v="2"/>
    <x v="0"/>
    <n v="0"/>
    <n v="6"/>
    <n v="0"/>
    <n v="0"/>
    <n v="12.42"/>
    <n v="0"/>
    <n v="0"/>
    <n v="15.866734033722858"/>
    <m/>
    <m/>
    <n v="14655.6"/>
    <n v="0"/>
    <n v="0"/>
    <n v="18722.746159792972"/>
    <n v="0"/>
    <n v="0"/>
  </r>
  <r>
    <s v="Sistema de Compensação"/>
    <x v="0"/>
    <x v="0"/>
    <x v="1"/>
    <x v="0"/>
    <x v="0"/>
    <x v="0"/>
    <x v="1"/>
    <x v="5"/>
    <n v="218"/>
    <n v="218"/>
    <n v="0"/>
    <n v="0"/>
    <n v="0"/>
    <n v="0"/>
    <n v="2"/>
    <x v="0"/>
    <n v="0"/>
    <n v="6"/>
    <n v="0"/>
    <n v="0"/>
    <n v="12.42"/>
    <n v="0"/>
    <n v="0"/>
    <n v="15.866734033722858"/>
    <m/>
    <m/>
    <n v="2707.56"/>
    <n v="0"/>
    <n v="0"/>
    <n v="3458.9480193515833"/>
    <n v="0"/>
    <n v="0"/>
  </r>
  <r>
    <s v="Regular"/>
    <x v="0"/>
    <x v="0"/>
    <x v="1"/>
    <x v="0"/>
    <x v="0"/>
    <x v="0"/>
    <x v="2"/>
    <x v="6"/>
    <n v="0"/>
    <n v="0"/>
    <n v="21.103000000000002"/>
    <n v="21.103000000000002"/>
    <n v="21.103000000000002"/>
    <n v="21.103000000000002"/>
    <n v="0"/>
    <x v="0"/>
    <n v="0"/>
    <n v="0"/>
    <n v="7"/>
    <n v="62"/>
    <n v="0"/>
    <n v="842.31"/>
    <n v="454.9"/>
    <m/>
    <n v="1109.1969409458418"/>
    <n v="430.5563899456306"/>
    <n v="0"/>
    <n v="17775.267930000002"/>
    <n v="9599.7546999999995"/>
    <n v="0"/>
    <n v="23407.383044780101"/>
    <n v="9086.0314970226427"/>
  </r>
  <r>
    <s v="Regular"/>
    <x v="0"/>
    <x v="0"/>
    <x v="1"/>
    <x v="0"/>
    <x v="0"/>
    <x v="0"/>
    <x v="2"/>
    <x v="7"/>
    <n v="0"/>
    <n v="0"/>
    <n v="24.123999999999999"/>
    <n v="24.123999999999999"/>
    <n v="24.123999999999999"/>
    <n v="24.123999999999999"/>
    <n v="0"/>
    <x v="0"/>
    <n v="0"/>
    <n v="0"/>
    <n v="7"/>
    <n v="62"/>
    <n v="0"/>
    <n v="842.31"/>
    <n v="454.9"/>
    <m/>
    <n v="1109.1969409458418"/>
    <n v="430.5563899456306"/>
    <n v="0"/>
    <n v="20319.886439999998"/>
    <n v="10974.007599999999"/>
    <n v="0"/>
    <n v="26758.267003377485"/>
    <n v="10386.742351048391"/>
  </r>
  <r>
    <s v="Regular"/>
    <x v="0"/>
    <x v="0"/>
    <x v="1"/>
    <x v="0"/>
    <x v="0"/>
    <x v="0"/>
    <x v="2"/>
    <x v="8"/>
    <n v="0"/>
    <n v="0"/>
    <n v="21.966000000000001"/>
    <n v="21.966000000000001"/>
    <n v="21.966000000000001"/>
    <n v="21.966000000000001"/>
    <n v="0"/>
    <x v="0"/>
    <n v="0"/>
    <n v="0"/>
    <n v="7"/>
    <n v="62"/>
    <n v="0"/>
    <n v="842.31"/>
    <n v="454.9"/>
    <m/>
    <n v="1109.1969409458418"/>
    <n v="430.5563899456306"/>
    <n v="0"/>
    <n v="18502.18146"/>
    <n v="9992.3333999999995"/>
    <n v="0"/>
    <n v="24364.620004816363"/>
    <n v="9457.6016615457229"/>
  </r>
  <r>
    <s v="Regular"/>
    <x v="0"/>
    <x v="0"/>
    <x v="1"/>
    <x v="0"/>
    <x v="0"/>
    <x v="0"/>
    <x v="2"/>
    <x v="9"/>
    <n v="0"/>
    <n v="0"/>
    <n v="20.585999999999999"/>
    <n v="20.585999999999999"/>
    <n v="20.585999999999999"/>
    <n v="20.585999999999999"/>
    <n v="0"/>
    <x v="0"/>
    <n v="0"/>
    <n v="0"/>
    <n v="7"/>
    <n v="62"/>
    <n v="0"/>
    <n v="842.31"/>
    <n v="454.9"/>
    <m/>
    <n v="1109.1969409458418"/>
    <n v="430.5563899456306"/>
    <n v="0"/>
    <n v="17339.793659999999"/>
    <n v="9364.5713999999989"/>
    <n v="0"/>
    <n v="22833.928226311098"/>
    <n v="8863.4338434207511"/>
  </r>
  <r>
    <s v="Regular"/>
    <x v="0"/>
    <x v="0"/>
    <x v="1"/>
    <x v="0"/>
    <x v="0"/>
    <x v="0"/>
    <x v="2"/>
    <x v="10"/>
    <n v="0"/>
    <n v="0"/>
    <n v="19.867000000000001"/>
    <n v="19.867000000000001"/>
    <n v="19.867000000000001"/>
    <n v="19.867000000000001"/>
    <n v="0"/>
    <x v="0"/>
    <n v="0"/>
    <n v="0"/>
    <n v="7"/>
    <n v="62"/>
    <n v="0"/>
    <n v="842.31"/>
    <n v="454.9"/>
    <m/>
    <n v="1109.1969409458418"/>
    <n v="430.5563899456306"/>
    <n v="0"/>
    <n v="16734.172770000001"/>
    <n v="9037.4982999999993"/>
    <n v="0"/>
    <n v="22036.415625771038"/>
    <n v="8553.8637990498428"/>
  </r>
  <r>
    <s v="Regular"/>
    <x v="0"/>
    <x v="0"/>
    <x v="1"/>
    <x v="0"/>
    <x v="0"/>
    <x v="0"/>
    <x v="2"/>
    <x v="11"/>
    <n v="0"/>
    <n v="0"/>
    <n v="18.02"/>
    <n v="18.02"/>
    <n v="18.02"/>
    <n v="18.02"/>
    <n v="0"/>
    <x v="0"/>
    <n v="0"/>
    <n v="0"/>
    <n v="7"/>
    <n v="62"/>
    <n v="0"/>
    <n v="842.31"/>
    <n v="454.9"/>
    <m/>
    <n v="1109.1969409458418"/>
    <n v="430.5563899456306"/>
    <n v="0"/>
    <n v="15178.426199999998"/>
    <n v="8197.2979999999989"/>
    <n v="0"/>
    <n v="19987.72887584407"/>
    <n v="7758.6261468202629"/>
  </r>
  <r>
    <s v="Regular"/>
    <x v="0"/>
    <x v="0"/>
    <x v="1"/>
    <x v="0"/>
    <x v="0"/>
    <x v="0"/>
    <x v="2"/>
    <x v="3"/>
    <n v="0"/>
    <n v="0"/>
    <n v="18.055"/>
    <n v="18.055"/>
    <n v="18.055"/>
    <n v="18.055"/>
    <n v="0"/>
    <x v="0"/>
    <n v="0"/>
    <n v="0"/>
    <n v="7"/>
    <n v="62"/>
    <n v="0"/>
    <n v="842.31"/>
    <n v="454.9"/>
    <m/>
    <n v="1109.1969409458418"/>
    <n v="430.5563899456306"/>
    <n v="0"/>
    <n v="15207.907049999998"/>
    <n v="8213.2194999999992"/>
    <n v="0"/>
    <n v="20026.550768777171"/>
    <n v="7773.6956204683602"/>
  </r>
  <r>
    <s v="Regular"/>
    <x v="0"/>
    <x v="0"/>
    <x v="1"/>
    <x v="0"/>
    <x v="0"/>
    <x v="0"/>
    <x v="2"/>
    <x v="0"/>
    <n v="0"/>
    <n v="0"/>
    <n v="16.744"/>
    <n v="16.744"/>
    <n v="16.744"/>
    <n v="16.744"/>
    <n v="0"/>
    <x v="0"/>
    <n v="0"/>
    <n v="0"/>
    <n v="7"/>
    <n v="62"/>
    <n v="0"/>
    <n v="842.31"/>
    <n v="454.9"/>
    <m/>
    <n v="1109.1969409458418"/>
    <n v="430.5563899456306"/>
    <n v="0"/>
    <n v="14103.638639999999"/>
    <n v="7616.8455999999996"/>
    <n v="0"/>
    <n v="18572.393579197174"/>
    <n v="7209.2361932496387"/>
  </r>
  <r>
    <s v="Regular"/>
    <x v="0"/>
    <x v="0"/>
    <x v="1"/>
    <x v="0"/>
    <x v="0"/>
    <x v="0"/>
    <x v="2"/>
    <x v="4"/>
    <n v="0"/>
    <n v="0"/>
    <n v="18.311"/>
    <n v="18.311"/>
    <n v="18.311"/>
    <n v="18.311"/>
    <n v="0"/>
    <x v="0"/>
    <n v="0"/>
    <n v="0"/>
    <n v="7"/>
    <n v="62"/>
    <n v="0"/>
    <n v="842.31"/>
    <n v="454.9"/>
    <m/>
    <n v="1109.1969409458418"/>
    <n v="430.5563899456306"/>
    <n v="0"/>
    <n v="15423.538409999999"/>
    <n v="8329.6738999999998"/>
    <n v="0"/>
    <n v="20310.505185659309"/>
    <n v="7883.9180562944421"/>
  </r>
  <r>
    <s v="Regular"/>
    <x v="0"/>
    <x v="0"/>
    <x v="1"/>
    <x v="0"/>
    <x v="0"/>
    <x v="0"/>
    <x v="2"/>
    <x v="1"/>
    <n v="0"/>
    <n v="0"/>
    <n v="19.638999999999999"/>
    <n v="19.638999999999999"/>
    <n v="19.638999999999999"/>
    <n v="19.638999999999999"/>
    <n v="0"/>
    <x v="0"/>
    <n v="0"/>
    <n v="0"/>
    <n v="7"/>
    <n v="62"/>
    <n v="0"/>
    <n v="842.31"/>
    <n v="454.9"/>
    <m/>
    <n v="1109.1969409458418"/>
    <n v="430.5563899456306"/>
    <n v="0"/>
    <n v="16542.126089999998"/>
    <n v="8933.7811000000002"/>
    <n v="0"/>
    <n v="21783.518723235386"/>
    <n v="8455.6969421422382"/>
  </r>
  <r>
    <s v="Regular"/>
    <x v="0"/>
    <x v="0"/>
    <x v="1"/>
    <x v="0"/>
    <x v="0"/>
    <x v="0"/>
    <x v="2"/>
    <x v="2"/>
    <n v="0"/>
    <n v="0"/>
    <n v="17.62"/>
    <n v="17.62"/>
    <n v="17.62"/>
    <n v="17.62"/>
    <n v="0"/>
    <x v="0"/>
    <n v="0"/>
    <n v="0"/>
    <n v="7"/>
    <n v="62"/>
    <n v="0"/>
    <n v="842.31"/>
    <n v="454.9"/>
    <m/>
    <n v="1109.1969409458418"/>
    <n v="430.5563899456306"/>
    <n v="0"/>
    <n v="14841.502199999999"/>
    <n v="8015.3379999999997"/>
    <n v="0"/>
    <n v="19544.050099465734"/>
    <n v="7586.4035908420119"/>
  </r>
  <r>
    <s v="Regular"/>
    <x v="0"/>
    <x v="0"/>
    <x v="1"/>
    <x v="0"/>
    <x v="0"/>
    <x v="0"/>
    <x v="2"/>
    <x v="5"/>
    <n v="0"/>
    <n v="0"/>
    <n v="19.829000000000001"/>
    <n v="19.829000000000001"/>
    <n v="19.829000000000001"/>
    <n v="19.829000000000001"/>
    <n v="0"/>
    <x v="0"/>
    <n v="0"/>
    <n v="0"/>
    <n v="7"/>
    <n v="62"/>
    <n v="0"/>
    <n v="842.31"/>
    <n v="454.9"/>
    <m/>
    <n v="1109.1969409458418"/>
    <n v="430.5563899456306"/>
    <n v="0"/>
    <n v="16702.164990000001"/>
    <n v="9020.2121000000006"/>
    <n v="0"/>
    <n v="21994.266142015098"/>
    <n v="8537.502656231909"/>
  </r>
  <r>
    <s v="Regular"/>
    <x v="1"/>
    <x v="1"/>
    <x v="0"/>
    <x v="0"/>
    <x v="0"/>
    <x v="0"/>
    <x v="0"/>
    <x v="6"/>
    <n v="220"/>
    <n v="220"/>
    <n v="44.140999999999998"/>
    <n v="44.140999999999998"/>
    <n v="44.140999999999998"/>
    <n v="44.140999999999998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062.0611699999999"/>
    <n v="12551.93476"/>
    <n v="3490.6814874190291"/>
    <n v="4900.9882219478368"/>
    <n v="12129.977477059902"/>
  </r>
  <r>
    <s v="Regular"/>
    <x v="1"/>
    <x v="1"/>
    <x v="0"/>
    <x v="0"/>
    <x v="0"/>
    <x v="0"/>
    <x v="0"/>
    <x v="6"/>
    <n v="4950"/>
    <n v="4950"/>
    <n v="2436.06"/>
    <n v="2436.06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68989.4822"/>
    <n v="0"/>
    <n v="78540.333466928147"/>
    <n v="270476.45880152803"/>
    <n v="0"/>
  </r>
  <r>
    <s v="Regular"/>
    <x v="1"/>
    <x v="1"/>
    <x v="0"/>
    <x v="0"/>
    <x v="0"/>
    <x v="0"/>
    <x v="0"/>
    <x v="7"/>
    <n v="220"/>
    <n v="220"/>
    <n v="45.847000000000001"/>
    <n v="45.847000000000001"/>
    <n v="45.847000000000001"/>
    <n v="45.847000000000001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180.4063900000001"/>
    <n v="13037.052920000002"/>
    <n v="3490.6814874190291"/>
    <n v="5090.4059040720076"/>
    <n v="12598.787462693763"/>
  </r>
  <r>
    <s v="Regular"/>
    <x v="1"/>
    <x v="1"/>
    <x v="0"/>
    <x v="0"/>
    <x v="0"/>
    <x v="0"/>
    <x v="0"/>
    <x v="7"/>
    <n v="4950"/>
    <n v="4950"/>
    <n v="2118.0160000000001"/>
    <n v="2118.0160000000001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46926.76992000002"/>
    <n v="0"/>
    <n v="78540.333466928147"/>
    <n v="235163.93987216125"/>
    <n v="0"/>
  </r>
  <r>
    <s v="Regular"/>
    <x v="1"/>
    <x v="1"/>
    <x v="0"/>
    <x v="0"/>
    <x v="0"/>
    <x v="0"/>
    <x v="0"/>
    <x v="8"/>
    <n v="220"/>
    <n v="220"/>
    <n v="46.393000000000001"/>
    <n v="46.393000000000001"/>
    <n v="46.393000000000001"/>
    <n v="46.393000000000001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218.2824100000003"/>
    <n v="13192.313480000001"/>
    <n v="3490.6814874190291"/>
    <n v="5151.0284447752883"/>
    <n v="12748.828642152195"/>
  </r>
  <r>
    <s v="Regular"/>
    <x v="1"/>
    <x v="1"/>
    <x v="0"/>
    <x v="0"/>
    <x v="0"/>
    <x v="0"/>
    <x v="0"/>
    <x v="8"/>
    <n v="4950"/>
    <n v="4950"/>
    <n v="2144.0639999999999"/>
    <n v="2144.0639999999999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48733.71968000001"/>
    <n v="0"/>
    <n v="78540.333466928147"/>
    <n v="238056.05697882618"/>
    <n v="0"/>
  </r>
  <r>
    <s v="Regular"/>
    <x v="1"/>
    <x v="1"/>
    <x v="0"/>
    <x v="0"/>
    <x v="0"/>
    <x v="0"/>
    <x v="0"/>
    <x v="9"/>
    <n v="220"/>
    <n v="220"/>
    <n v="45.607999999999997"/>
    <n v="45.607999999999997"/>
    <n v="45.607999999999997"/>
    <n v="45.607999999999997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163.8269599999999"/>
    <n v="12969.09088"/>
    <n v="3490.6814874190291"/>
    <n v="5063.8696637275307"/>
    <n v="12533.110096593824"/>
  </r>
  <r>
    <s v="Regular"/>
    <x v="1"/>
    <x v="1"/>
    <x v="0"/>
    <x v="0"/>
    <x v="0"/>
    <x v="0"/>
    <x v="0"/>
    <x v="9"/>
    <n v="4950"/>
    <n v="4950"/>
    <n v="2520.5880000000002"/>
    <n v="2520.5880000000002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74853.18956000003"/>
    <n v="0"/>
    <n v="78540.333466928147"/>
    <n v="279861.62752051506"/>
    <n v="0"/>
  </r>
  <r>
    <s v="Regular"/>
    <x v="1"/>
    <x v="1"/>
    <x v="0"/>
    <x v="0"/>
    <x v="0"/>
    <x v="0"/>
    <x v="0"/>
    <x v="10"/>
    <n v="220"/>
    <n v="220"/>
    <n v="46.792000000000002"/>
    <n v="46.792000000000002"/>
    <n v="46.792000000000002"/>
    <n v="46.792000000000002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245.9610400000001"/>
    <n v="13305.773120000002"/>
    <n v="3490.6814874190291"/>
    <n v="5195.3295322123013"/>
    <n v="12858.474119448743"/>
  </r>
  <r>
    <s v="Regular"/>
    <x v="1"/>
    <x v="1"/>
    <x v="0"/>
    <x v="0"/>
    <x v="0"/>
    <x v="0"/>
    <x v="0"/>
    <x v="10"/>
    <n v="5072"/>
    <n v="5072"/>
    <n v="2495.377"/>
    <n v="2495.377"/>
    <n v="0"/>
    <n v="0"/>
    <n v="0"/>
    <x v="1"/>
    <n v="0"/>
    <n v="14"/>
    <n v="15"/>
    <n v="0"/>
    <n v="12.42"/>
    <n v="69.37"/>
    <n v="0"/>
    <n v="15.866734033722858"/>
    <n v="111.03029432835316"/>
    <m/>
    <n v="62994.239999999998"/>
    <n v="173104.30249"/>
    <n v="0"/>
    <n v="80476.075019042342"/>
    <n v="277062.44277020294"/>
    <n v="0"/>
  </r>
  <r>
    <s v="Regular"/>
    <x v="1"/>
    <x v="1"/>
    <x v="0"/>
    <x v="0"/>
    <x v="0"/>
    <x v="0"/>
    <x v="0"/>
    <x v="11"/>
    <n v="231"/>
    <n v="231"/>
    <n v="48.429000000000002"/>
    <n v="48.429000000000002"/>
    <n v="48.429000000000002"/>
    <n v="48.429000000000002"/>
    <n v="0"/>
    <x v="0"/>
    <n v="0"/>
    <n v="14"/>
    <n v="15"/>
    <n v="66"/>
    <n v="12.42"/>
    <n v="69.37"/>
    <n v="284.36"/>
    <n v="15.866734033722858"/>
    <n v="111.03029432835316"/>
    <n v="274.80069497881567"/>
    <n v="2869.02"/>
    <n v="3359.5197300000004"/>
    <n v="13771.270440000002"/>
    <n v="3665.2155617899803"/>
    <n v="5377.0861240278155"/>
    <n v="13308.322857129064"/>
  </r>
  <r>
    <s v="Regular"/>
    <x v="1"/>
    <x v="1"/>
    <x v="0"/>
    <x v="0"/>
    <x v="0"/>
    <x v="0"/>
    <x v="0"/>
    <x v="11"/>
    <n v="4959"/>
    <n v="4959"/>
    <n v="2724.451"/>
    <n v="2724.451"/>
    <n v="0"/>
    <n v="0"/>
    <n v="0"/>
    <x v="1"/>
    <n v="0"/>
    <n v="14"/>
    <n v="15"/>
    <n v="0"/>
    <n v="12.42"/>
    <n v="69.37"/>
    <n v="0"/>
    <n v="15.866734033722858"/>
    <n v="111.03029432835316"/>
    <m/>
    <n v="61590.78"/>
    <n v="188995.16587000003"/>
    <n v="0"/>
    <n v="78683.13407323166"/>
    <n v="302496.5964131761"/>
    <n v="0"/>
  </r>
  <r>
    <s v="Regular"/>
    <x v="1"/>
    <x v="1"/>
    <x v="0"/>
    <x v="0"/>
    <x v="0"/>
    <x v="0"/>
    <x v="0"/>
    <x v="3"/>
    <n v="251"/>
    <n v="251"/>
    <n v="50.93"/>
    <n v="50.93"/>
    <n v="50.93"/>
    <n v="50.93"/>
    <n v="0"/>
    <x v="0"/>
    <n v="0"/>
    <n v="14"/>
    <n v="15"/>
    <n v="66"/>
    <n v="12.42"/>
    <n v="69.37"/>
    <n v="284.36"/>
    <n v="15.866734033722858"/>
    <n v="111.03029432835316"/>
    <n v="274.80069497881567"/>
    <n v="3117.42"/>
    <n v="3533.0141000000003"/>
    <n v="14482.454800000001"/>
    <n v="3982.5502424644374"/>
    <n v="5654.7728901430264"/>
    <n v="13995.599395271081"/>
  </r>
  <r>
    <s v="Regular"/>
    <x v="1"/>
    <x v="1"/>
    <x v="0"/>
    <x v="0"/>
    <x v="0"/>
    <x v="0"/>
    <x v="0"/>
    <x v="3"/>
    <n v="5167"/>
    <n v="5167"/>
    <n v="2521.7220000000002"/>
    <n v="2521.7220000000002"/>
    <n v="0"/>
    <n v="0"/>
    <n v="0"/>
    <x v="1"/>
    <n v="0"/>
    <n v="14"/>
    <n v="15"/>
    <n v="0"/>
    <n v="12.42"/>
    <n v="69.37"/>
    <n v="0"/>
    <n v="15.866734033722858"/>
    <n v="111.03029432835316"/>
    <m/>
    <n v="64174.14"/>
    <n v="174931.85514000003"/>
    <n v="0"/>
    <n v="81983.414752246012"/>
    <n v="279987.53587428341"/>
    <n v="0"/>
  </r>
  <r>
    <s v="Regular"/>
    <x v="1"/>
    <x v="1"/>
    <x v="0"/>
    <x v="0"/>
    <x v="0"/>
    <x v="0"/>
    <x v="0"/>
    <x v="0"/>
    <n v="275"/>
    <n v="275"/>
    <n v="60.686"/>
    <n v="60.686"/>
    <n v="60.686"/>
    <n v="60.686"/>
    <n v="0"/>
    <x v="0"/>
    <n v="0"/>
    <n v="14"/>
    <n v="15"/>
    <n v="66"/>
    <n v="12.42"/>
    <n v="69.37"/>
    <n v="284.36"/>
    <n v="15.866734033722858"/>
    <n v="111.03029432835316"/>
    <n v="274.80069497881567"/>
    <n v="3415.5"/>
    <n v="4209.7878200000005"/>
    <n v="17256.670959999999"/>
    <n v="4363.3518592737864"/>
    <n v="6737.9844416104397"/>
    <n v="16676.554975484407"/>
  </r>
  <r>
    <s v="Regular"/>
    <x v="1"/>
    <x v="1"/>
    <x v="0"/>
    <x v="0"/>
    <x v="0"/>
    <x v="0"/>
    <x v="0"/>
    <x v="0"/>
    <n v="4951"/>
    <n v="4951"/>
    <n v="2388.4650000000001"/>
    <n v="2388.4650000000001"/>
    <n v="0"/>
    <n v="0"/>
    <n v="0"/>
    <x v="1"/>
    <n v="0"/>
    <n v="14"/>
    <n v="15"/>
    <n v="0"/>
    <n v="12.42"/>
    <n v="69.37"/>
    <n v="0"/>
    <n v="15.866734033722858"/>
    <n v="111.03029432835316"/>
    <m/>
    <n v="61491.42"/>
    <n v="165687.81705000001"/>
    <n v="0"/>
    <n v="78556.200200961874"/>
    <n v="265191.97194297006"/>
    <n v="0"/>
  </r>
  <r>
    <s v="Regular"/>
    <x v="1"/>
    <x v="1"/>
    <x v="0"/>
    <x v="0"/>
    <x v="0"/>
    <x v="0"/>
    <x v="0"/>
    <x v="4"/>
    <n v="240"/>
    <n v="240"/>
    <n v="49.173000000000002"/>
    <n v="49.173000000000002"/>
    <n v="49.173000000000002"/>
    <n v="49.173000000000002"/>
    <n v="0"/>
    <x v="0"/>
    <n v="0"/>
    <n v="14"/>
    <n v="15"/>
    <n v="66"/>
    <n v="12.42"/>
    <n v="69.37"/>
    <n v="284.36"/>
    <n v="15.866734033722858"/>
    <n v="111.03029432835316"/>
    <n v="274.80069497881567"/>
    <n v="2980.8"/>
    <n v="3411.1310100000005"/>
    <n v="13982.834280000001"/>
    <n v="3808.0161680934862"/>
    <n v="5459.6926630081107"/>
    <n v="13512.774574193303"/>
  </r>
  <r>
    <s v="Regular"/>
    <x v="1"/>
    <x v="1"/>
    <x v="0"/>
    <x v="0"/>
    <x v="0"/>
    <x v="0"/>
    <x v="0"/>
    <x v="4"/>
    <n v="4950"/>
    <n v="4950"/>
    <n v="2417.962"/>
    <n v="2417.962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67734.02394000001"/>
    <n v="0"/>
    <n v="78540.333466928147"/>
    <n v="268467.03253477346"/>
    <n v="0"/>
  </r>
  <r>
    <s v="Regular"/>
    <x v="1"/>
    <x v="1"/>
    <x v="0"/>
    <x v="0"/>
    <x v="0"/>
    <x v="0"/>
    <x v="0"/>
    <x v="1"/>
    <n v="256"/>
    <n v="256"/>
    <n v="55.8"/>
    <n v="55.8"/>
    <n v="55.8"/>
    <n v="55.8"/>
    <n v="0"/>
    <x v="0"/>
    <n v="0"/>
    <n v="14"/>
    <n v="15"/>
    <n v="66"/>
    <n v="12.42"/>
    <n v="69.37"/>
    <n v="284.36"/>
    <n v="15.866734033722858"/>
    <n v="111.03029432835316"/>
    <n v="274.80069497881567"/>
    <n v="3179.52"/>
    <n v="3870.846"/>
    <n v="15867.288"/>
    <n v="4061.8839126330518"/>
    <n v="6195.4904235221065"/>
    <n v="15333.878779817913"/>
  </r>
  <r>
    <s v="Regular"/>
    <x v="1"/>
    <x v="1"/>
    <x v="0"/>
    <x v="0"/>
    <x v="0"/>
    <x v="0"/>
    <x v="0"/>
    <x v="1"/>
    <n v="4994"/>
    <n v="4994"/>
    <n v="2358.5079999999998"/>
    <n v="2358.5079999999998"/>
    <n v="0"/>
    <n v="0"/>
    <n v="0"/>
    <x v="1"/>
    <n v="0"/>
    <n v="14"/>
    <n v="15"/>
    <n v="0"/>
    <n v="12.42"/>
    <n v="69.37"/>
    <n v="0"/>
    <n v="15.866734033722858"/>
    <n v="111.03029432835316"/>
    <m/>
    <n v="62025.48"/>
    <n v="163609.69996"/>
    <n v="0"/>
    <n v="79238.469764411959"/>
    <n v="261865.83741577555"/>
    <n v="0"/>
  </r>
  <r>
    <s v="Regular"/>
    <x v="1"/>
    <x v="1"/>
    <x v="0"/>
    <x v="0"/>
    <x v="0"/>
    <x v="0"/>
    <x v="0"/>
    <x v="2"/>
    <n v="220"/>
    <n v="220"/>
    <n v="48.951999999999998"/>
    <n v="48.951999999999998"/>
    <n v="48.951999999999998"/>
    <n v="48.951999999999998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395.80024"/>
    <n v="13919.99072"/>
    <n v="3490.6814874190291"/>
    <n v="5435.1549679615437"/>
    <n v="13452.043620602984"/>
  </r>
  <r>
    <s v="Regular"/>
    <x v="1"/>
    <x v="1"/>
    <x v="0"/>
    <x v="0"/>
    <x v="0"/>
    <x v="0"/>
    <x v="0"/>
    <x v="2"/>
    <n v="4950"/>
    <n v="4950"/>
    <n v="2402.2979999999998"/>
    <n v="2402.2979999999998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66647.41225999998"/>
    <n v="0"/>
    <n v="78540.333466928147"/>
    <n v="266727.85400441411"/>
    <n v="0"/>
  </r>
  <r>
    <s v="Regular"/>
    <x v="1"/>
    <x v="1"/>
    <x v="0"/>
    <x v="0"/>
    <x v="0"/>
    <x v="0"/>
    <x v="0"/>
    <x v="5"/>
    <n v="220"/>
    <n v="220"/>
    <n v="48.293999999999997"/>
    <n v="48.293999999999997"/>
    <n v="48.293999999999997"/>
    <n v="48.293999999999997"/>
    <n v="0"/>
    <x v="0"/>
    <n v="0"/>
    <n v="14"/>
    <n v="15"/>
    <n v="66"/>
    <n v="12.42"/>
    <n v="69.37"/>
    <n v="284.36"/>
    <n v="15.866734033722858"/>
    <n v="111.03029432835316"/>
    <n v="274.80069497881567"/>
    <n v="2732.4"/>
    <n v="3350.1547799999998"/>
    <n v="13732.88184"/>
    <n v="3490.6814874190291"/>
    <n v="5362.097034293487"/>
    <n v="13271.224763306924"/>
  </r>
  <r>
    <s v="Regular"/>
    <x v="1"/>
    <x v="1"/>
    <x v="0"/>
    <x v="0"/>
    <x v="0"/>
    <x v="0"/>
    <x v="0"/>
    <x v="5"/>
    <n v="4950"/>
    <n v="4950"/>
    <n v="2323.3539999999998"/>
    <n v="2323.3539999999998"/>
    <n v="0"/>
    <n v="0"/>
    <n v="0"/>
    <x v="1"/>
    <n v="0"/>
    <n v="14"/>
    <n v="15"/>
    <n v="0"/>
    <n v="12.42"/>
    <n v="69.37"/>
    <n v="0"/>
    <n v="15.866734033722858"/>
    <n v="111.03029432835316"/>
    <m/>
    <n v="61479"/>
    <n v="161171.06698"/>
    <n v="0"/>
    <n v="78540.333466928147"/>
    <n v="257962.67844895661"/>
    <n v="0"/>
  </r>
  <r>
    <s v="Regular"/>
    <x v="1"/>
    <x v="1"/>
    <x v="0"/>
    <x v="0"/>
    <x v="0"/>
    <x v="0"/>
    <x v="2"/>
    <x v="6"/>
    <n v="220"/>
    <n v="220"/>
    <n v="5.8179999999999996"/>
    <n v="5.8179999999999996"/>
    <n v="5.8179999999999996"/>
    <n v="5.8179999999999996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03.59465999999998"/>
    <n v="2646.6081999999997"/>
    <n v="9004.8372772071252"/>
    <n v="645.97425240235862"/>
    <n v="2504.9770767036784"/>
  </r>
  <r>
    <s v="Regular"/>
    <x v="1"/>
    <x v="1"/>
    <x v="0"/>
    <x v="0"/>
    <x v="0"/>
    <x v="0"/>
    <x v="2"/>
    <x v="6"/>
    <n v="4519"/>
    <n v="4519"/>
    <n v="213.274"/>
    <n v="213.274"/>
    <n v="0"/>
    <n v="0"/>
    <n v="0"/>
    <x v="1"/>
    <n v="0"/>
    <n v="13"/>
    <n v="15"/>
    <n v="0"/>
    <n v="31.72"/>
    <n v="69.37"/>
    <n v="0"/>
    <n v="40.931078532759663"/>
    <n v="111.03029432835316"/>
    <m/>
    <n v="143342.68"/>
    <n v="14794.81738"/>
    <n v="0"/>
    <n v="184967.54388954092"/>
    <n v="23679.874992585192"/>
    <n v="0"/>
  </r>
  <r>
    <s v="Regular"/>
    <x v="1"/>
    <x v="1"/>
    <x v="0"/>
    <x v="0"/>
    <x v="0"/>
    <x v="0"/>
    <x v="2"/>
    <x v="7"/>
    <n v="220"/>
    <n v="220"/>
    <n v="6.56"/>
    <n v="6.56"/>
    <n v="6.56"/>
    <n v="6.56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55.06720000000001"/>
    <n v="2984.1439999999998"/>
    <n v="9004.8372772071252"/>
    <n v="728.35873079399676"/>
    <n v="2824.4499180433368"/>
  </r>
  <r>
    <s v="Regular"/>
    <x v="1"/>
    <x v="1"/>
    <x v="0"/>
    <x v="0"/>
    <x v="0"/>
    <x v="0"/>
    <x v="2"/>
    <x v="7"/>
    <n v="4692"/>
    <n v="4692"/>
    <n v="224.55099999999999"/>
    <n v="224.55099999999999"/>
    <n v="0"/>
    <n v="0"/>
    <n v="0"/>
    <x v="1"/>
    <n v="0"/>
    <n v="13"/>
    <n v="15"/>
    <n v="0"/>
    <n v="31.72"/>
    <n v="69.37"/>
    <n v="0"/>
    <n v="40.931078532759663"/>
    <n v="111.03029432835316"/>
    <m/>
    <n v="148830.24"/>
    <n v="15577.102870000001"/>
    <n v="0"/>
    <n v="192048.62047570833"/>
    <n v="24931.96362172603"/>
    <n v="0"/>
  </r>
  <r>
    <s v="Regular"/>
    <x v="1"/>
    <x v="1"/>
    <x v="0"/>
    <x v="0"/>
    <x v="0"/>
    <x v="0"/>
    <x v="2"/>
    <x v="8"/>
    <n v="220"/>
    <n v="220"/>
    <n v="6.1950000000000003"/>
    <n v="6.1950000000000003"/>
    <n v="6.1950000000000003"/>
    <n v="6.1950000000000003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29.74715000000003"/>
    <n v="2818.1055000000001"/>
    <n v="9004.8372772071252"/>
    <n v="687.83267336414792"/>
    <n v="2667.2968357131817"/>
  </r>
  <r>
    <s v="Regular"/>
    <x v="1"/>
    <x v="1"/>
    <x v="0"/>
    <x v="0"/>
    <x v="0"/>
    <x v="0"/>
    <x v="2"/>
    <x v="8"/>
    <n v="4500"/>
    <n v="4500"/>
    <n v="193.452"/>
    <n v="193.452"/>
    <n v="0"/>
    <n v="0"/>
    <n v="0"/>
    <x v="1"/>
    <n v="0"/>
    <n v="13"/>
    <n v="15"/>
    <n v="0"/>
    <n v="31.72"/>
    <n v="69.37"/>
    <n v="0"/>
    <n v="40.931078532759663"/>
    <n v="111.03029432835316"/>
    <m/>
    <n v="142740"/>
    <n v="13419.765240000001"/>
    <n v="0"/>
    <n v="184189.85339741848"/>
    <n v="21479.032498408575"/>
    <n v="0"/>
  </r>
  <r>
    <s v="Regular"/>
    <x v="1"/>
    <x v="1"/>
    <x v="0"/>
    <x v="0"/>
    <x v="0"/>
    <x v="0"/>
    <x v="2"/>
    <x v="9"/>
    <n v="220"/>
    <n v="220"/>
    <n v="5.8570000000000002"/>
    <n v="5.8570000000000002"/>
    <n v="5.8570000000000002"/>
    <n v="5.8570000000000002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06.30009000000007"/>
    <n v="2664.3492999999999"/>
    <n v="9004.8372772071252"/>
    <n v="650.30443388116453"/>
    <n v="2521.7687759115584"/>
  </r>
  <r>
    <s v="Regular"/>
    <x v="1"/>
    <x v="1"/>
    <x v="0"/>
    <x v="0"/>
    <x v="0"/>
    <x v="0"/>
    <x v="2"/>
    <x v="9"/>
    <n v="4657"/>
    <n v="4657"/>
    <n v="239.13800000000001"/>
    <n v="239.13800000000001"/>
    <n v="0"/>
    <n v="0"/>
    <n v="0"/>
    <x v="1"/>
    <n v="0"/>
    <n v="13"/>
    <n v="15"/>
    <n v="0"/>
    <n v="31.72"/>
    <n v="69.37"/>
    <n v="0"/>
    <n v="40.931078532759663"/>
    <n v="111.03029432835316"/>
    <m/>
    <n v="147720.04"/>
    <n v="16589.003060000003"/>
    <n v="0"/>
    <n v="190616.03272706174"/>
    <n v="26551.562525093719"/>
    <n v="0"/>
  </r>
  <r>
    <s v="Regular"/>
    <x v="1"/>
    <x v="1"/>
    <x v="0"/>
    <x v="0"/>
    <x v="0"/>
    <x v="0"/>
    <x v="2"/>
    <x v="10"/>
    <n v="220"/>
    <n v="220"/>
    <n v="5.5880000000000001"/>
    <n v="5.5880000000000001"/>
    <n v="5.5880000000000001"/>
    <n v="5.5880000000000001"/>
    <n v="0"/>
    <x v="0"/>
    <n v="0"/>
    <n v="13"/>
    <n v="15"/>
    <n v="65"/>
    <n v="31.72"/>
    <n v="69.37"/>
    <n v="454.9"/>
    <n v="40.931078532759663"/>
    <n v="111.03029432835316"/>
    <n v="430.5563899456306"/>
    <n v="6978.4"/>
    <n v="387.63956000000002"/>
    <n v="2541.9811999999997"/>
    <n v="9004.8372772071252"/>
    <n v="620.43728470683754"/>
    <n v="2405.9491070161839"/>
  </r>
  <r>
    <s v="Regular"/>
    <x v="1"/>
    <x v="1"/>
    <x v="0"/>
    <x v="0"/>
    <x v="0"/>
    <x v="0"/>
    <x v="2"/>
    <x v="10"/>
    <n v="4717"/>
    <n v="4717"/>
    <n v="254.001"/>
    <n v="254.001"/>
    <n v="0"/>
    <n v="0"/>
    <n v="0"/>
    <x v="1"/>
    <n v="0"/>
    <n v="13"/>
    <n v="15"/>
    <n v="0"/>
    <n v="31.72"/>
    <n v="69.37"/>
    <n v="0"/>
    <n v="40.931078532759663"/>
    <n v="111.03029432835316"/>
    <m/>
    <n v="149623.24"/>
    <n v="17620.049370000001"/>
    <n v="0"/>
    <n v="193071.89743902732"/>
    <n v="28201.805789696034"/>
    <n v="0"/>
  </r>
  <r>
    <s v="Regular"/>
    <x v="1"/>
    <x v="1"/>
    <x v="0"/>
    <x v="0"/>
    <x v="0"/>
    <x v="0"/>
    <x v="2"/>
    <x v="11"/>
    <n v="220"/>
    <n v="220"/>
    <n v="5.6989999999999998"/>
    <n v="5.6989999999999998"/>
    <n v="5.6989999999999998"/>
    <n v="5.6989999999999998"/>
    <n v="0"/>
    <x v="0"/>
    <n v="0"/>
    <n v="13"/>
    <n v="15"/>
    <n v="65"/>
    <n v="31.72"/>
    <n v="69.37"/>
    <n v="454.9"/>
    <n v="40.931078532759663"/>
    <n v="111.03029432835316"/>
    <n v="430.5563899456306"/>
    <n v="6978.4"/>
    <n v="395.33963"/>
    <n v="2592.4750999999997"/>
    <n v="9004.8372772071252"/>
    <n v="632.7616473772847"/>
    <n v="2453.7408663001488"/>
  </r>
  <r>
    <s v="Regular"/>
    <x v="1"/>
    <x v="1"/>
    <x v="0"/>
    <x v="0"/>
    <x v="0"/>
    <x v="0"/>
    <x v="2"/>
    <x v="11"/>
    <n v="4787"/>
    <n v="4787"/>
    <n v="238.483"/>
    <n v="238.483"/>
    <n v="0"/>
    <n v="0"/>
    <n v="0"/>
    <x v="1"/>
    <n v="0"/>
    <n v="13"/>
    <n v="15"/>
    <n v="0"/>
    <n v="31.72"/>
    <n v="69.37"/>
    <n v="0"/>
    <n v="40.931078532759663"/>
    <n v="111.03029432835316"/>
    <m/>
    <n v="151843.63999999998"/>
    <n v="16543.565710000003"/>
    <n v="0"/>
    <n v="195937.0729363205"/>
    <n v="26478.837682308647"/>
    <n v="0"/>
  </r>
  <r>
    <s v="Regular"/>
    <x v="1"/>
    <x v="1"/>
    <x v="0"/>
    <x v="0"/>
    <x v="0"/>
    <x v="0"/>
    <x v="2"/>
    <x v="3"/>
    <n v="220"/>
    <n v="220"/>
    <n v="6.3109999999999999"/>
    <n v="6.3109999999999999"/>
    <n v="6.3109999999999999"/>
    <n v="6.3109999999999999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37.79407000000003"/>
    <n v="2870.8739"/>
    <n v="9004.8372772071252"/>
    <n v="700.71218750623677"/>
    <n v="2717.2413769468749"/>
  </r>
  <r>
    <s v="Regular"/>
    <x v="1"/>
    <x v="1"/>
    <x v="0"/>
    <x v="0"/>
    <x v="0"/>
    <x v="0"/>
    <x v="2"/>
    <x v="3"/>
    <n v="4830"/>
    <n v="4830"/>
    <n v="238.26300000000001"/>
    <n v="238.26300000000001"/>
    <n v="0"/>
    <n v="0"/>
    <n v="0"/>
    <x v="1"/>
    <n v="0"/>
    <n v="13"/>
    <n v="15"/>
    <n v="0"/>
    <n v="31.72"/>
    <n v="69.37"/>
    <n v="0"/>
    <n v="40.931078532759663"/>
    <n v="111.03029432835316"/>
    <m/>
    <n v="153207.6"/>
    <n v="16528.304310000003"/>
    <n v="0"/>
    <n v="197697.10931322919"/>
    <n v="26454.411017556409"/>
    <n v="0"/>
  </r>
  <r>
    <s v="Regular"/>
    <x v="1"/>
    <x v="1"/>
    <x v="0"/>
    <x v="0"/>
    <x v="0"/>
    <x v="0"/>
    <x v="2"/>
    <x v="0"/>
    <n v="262"/>
    <n v="262"/>
    <n v="7.2290000000000001"/>
    <n v="7.2290000000000001"/>
    <n v="7.2290000000000001"/>
    <n v="7.2290000000000001"/>
    <n v="0"/>
    <x v="0"/>
    <n v="0"/>
    <n v="13"/>
    <n v="15"/>
    <n v="65"/>
    <n v="31.72"/>
    <n v="69.37"/>
    <n v="454.9"/>
    <n v="40.931078532759663"/>
    <n v="111.03029432835316"/>
    <n v="430.5563899456306"/>
    <n v="8310.64"/>
    <n v="501.47573000000006"/>
    <n v="3288.4721"/>
    <n v="10723.942575583033"/>
    <n v="802.63799769966499"/>
    <n v="3112.4921429169635"/>
  </r>
  <r>
    <s v="Regular"/>
    <x v="1"/>
    <x v="1"/>
    <x v="0"/>
    <x v="0"/>
    <x v="0"/>
    <x v="0"/>
    <x v="2"/>
    <x v="0"/>
    <n v="4648"/>
    <n v="4648"/>
    <n v="223.71299999999999"/>
    <n v="223.71299999999999"/>
    <n v="0"/>
    <n v="0"/>
    <n v="0"/>
    <x v="1"/>
    <n v="0"/>
    <n v="13"/>
    <n v="15"/>
    <n v="0"/>
    <n v="31.72"/>
    <n v="69.37"/>
    <n v="0"/>
    <n v="40.931078532759663"/>
    <n v="111.03029432835316"/>
    <m/>
    <n v="147434.56"/>
    <n v="15518.970810000001"/>
    <n v="0"/>
    <n v="190247.65302026691"/>
    <n v="24838.920235078869"/>
    <n v="0"/>
  </r>
  <r>
    <s v="Regular"/>
    <x v="1"/>
    <x v="1"/>
    <x v="0"/>
    <x v="0"/>
    <x v="0"/>
    <x v="0"/>
    <x v="2"/>
    <x v="4"/>
    <n v="220"/>
    <n v="220"/>
    <n v="5.9640000000000004"/>
    <n v="5.9640000000000004"/>
    <n v="5.9640000000000004"/>
    <n v="5.9640000000000004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13.72268000000008"/>
    <n v="2713.0236"/>
    <n v="9004.8372772071252"/>
    <n v="662.18467537429831"/>
    <n v="2567.8383096357411"/>
  </r>
  <r>
    <s v="Regular"/>
    <x v="1"/>
    <x v="1"/>
    <x v="0"/>
    <x v="0"/>
    <x v="0"/>
    <x v="0"/>
    <x v="2"/>
    <x v="4"/>
    <n v="4709"/>
    <n v="4709"/>
    <n v="211.92599999999999"/>
    <n v="211.92599999999999"/>
    <n v="0"/>
    <n v="0"/>
    <n v="0"/>
    <x v="1"/>
    <n v="0"/>
    <n v="13"/>
    <n v="15"/>
    <n v="0"/>
    <n v="31.72"/>
    <n v="69.37"/>
    <n v="0"/>
    <n v="40.931078532759663"/>
    <n v="111.03029432835316"/>
    <m/>
    <n v="149369.47999999998"/>
    <n v="14701.306619999999"/>
    <n v="0"/>
    <n v="192744.44881076526"/>
    <n v="23530.206155830572"/>
    <n v="0"/>
  </r>
  <r>
    <s v="Regular"/>
    <x v="1"/>
    <x v="1"/>
    <x v="0"/>
    <x v="0"/>
    <x v="0"/>
    <x v="0"/>
    <x v="2"/>
    <x v="1"/>
    <n v="220"/>
    <n v="220"/>
    <n v="6.734"/>
    <n v="6.734"/>
    <n v="6.734"/>
    <n v="6.734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67.13758000000001"/>
    <n v="3063.2965999999997"/>
    <n v="9004.8372772071252"/>
    <n v="747.6780020071302"/>
    <n v="2899.3667298938763"/>
  </r>
  <r>
    <s v="Regular"/>
    <x v="1"/>
    <x v="1"/>
    <x v="0"/>
    <x v="0"/>
    <x v="0"/>
    <x v="0"/>
    <x v="2"/>
    <x v="1"/>
    <n v="4908"/>
    <n v="4908"/>
    <n v="224.256"/>
    <n v="224.256"/>
    <n v="0"/>
    <n v="0"/>
    <n v="0"/>
    <x v="1"/>
    <n v="0"/>
    <n v="13"/>
    <n v="15"/>
    <n v="0"/>
    <n v="31.72"/>
    <n v="69.37"/>
    <n v="0"/>
    <n v="40.931078532759663"/>
    <n v="111.03029432835316"/>
    <m/>
    <n v="155681.75999999998"/>
    <n v="15556.638720000001"/>
    <n v="0"/>
    <n v="200889.73343878443"/>
    <n v="24899.209684899168"/>
    <n v="0"/>
  </r>
  <r>
    <s v="Regular"/>
    <x v="1"/>
    <x v="1"/>
    <x v="0"/>
    <x v="0"/>
    <x v="0"/>
    <x v="0"/>
    <x v="2"/>
    <x v="2"/>
    <n v="220"/>
    <n v="220"/>
    <n v="5.5119999999999996"/>
    <n v="5.5119999999999996"/>
    <n v="5.5119999999999996"/>
    <n v="5.5119999999999996"/>
    <n v="0"/>
    <x v="0"/>
    <n v="0"/>
    <n v="13"/>
    <n v="15"/>
    <n v="65"/>
    <n v="31.72"/>
    <n v="69.37"/>
    <n v="454.9"/>
    <n v="40.931078532759663"/>
    <n v="111.03029432835316"/>
    <n v="430.5563899456306"/>
    <n v="6978.4"/>
    <n v="382.36743999999999"/>
    <n v="2507.4087999999997"/>
    <n v="9004.8372772071252"/>
    <n v="611.99898233788258"/>
    <n v="2373.2268213803159"/>
  </r>
  <r>
    <s v="Regular"/>
    <x v="1"/>
    <x v="1"/>
    <x v="0"/>
    <x v="0"/>
    <x v="0"/>
    <x v="0"/>
    <x v="2"/>
    <x v="2"/>
    <n v="4692"/>
    <n v="4692"/>
    <n v="237.881"/>
    <n v="237.881"/>
    <n v="0"/>
    <n v="0"/>
    <n v="0"/>
    <x v="1"/>
    <n v="0"/>
    <n v="13"/>
    <n v="15"/>
    <n v="0"/>
    <n v="31.72"/>
    <n v="69.37"/>
    <n v="0"/>
    <n v="40.931078532759663"/>
    <n v="111.03029432835316"/>
    <m/>
    <n v="148830.24"/>
    <n v="16501.804970000001"/>
    <n v="0"/>
    <n v="192048.62047570833"/>
    <n v="26411.997445122979"/>
    <n v="0"/>
  </r>
  <r>
    <s v="Regular"/>
    <x v="1"/>
    <x v="1"/>
    <x v="0"/>
    <x v="0"/>
    <x v="0"/>
    <x v="0"/>
    <x v="2"/>
    <x v="5"/>
    <n v="220"/>
    <n v="220"/>
    <n v="6.3659999999999997"/>
    <n v="6.3659999999999997"/>
    <n v="6.3659999999999997"/>
    <n v="6.3659999999999997"/>
    <n v="0"/>
    <x v="0"/>
    <n v="0"/>
    <n v="13"/>
    <n v="15"/>
    <n v="65"/>
    <n v="31.72"/>
    <n v="69.37"/>
    <n v="454.9"/>
    <n v="40.931078532759663"/>
    <n v="111.03029432835316"/>
    <n v="430.5563899456306"/>
    <n v="6978.4"/>
    <n v="441.60942"/>
    <n v="2895.8933999999995"/>
    <n v="9004.8372772071252"/>
    <n v="706.81885369429619"/>
    <n v="2740.9219783938843"/>
  </r>
  <r>
    <s v="Regular"/>
    <x v="1"/>
    <x v="1"/>
    <x v="0"/>
    <x v="0"/>
    <x v="0"/>
    <x v="0"/>
    <x v="2"/>
    <x v="5"/>
    <n v="4666"/>
    <n v="4666"/>
    <n v="207.71199999999999"/>
    <n v="207.71199999999999"/>
    <n v="0"/>
    <n v="0"/>
    <n v="0"/>
    <x v="1"/>
    <n v="0"/>
    <n v="13"/>
    <n v="15"/>
    <n v="0"/>
    <n v="31.72"/>
    <n v="69.37"/>
    <n v="0"/>
    <n v="40.931078532759663"/>
    <n v="111.03029432835316"/>
    <m/>
    <n v="148005.51999999999"/>
    <n v="14408.98144"/>
    <n v="0"/>
    <n v="190984.4124338566"/>
    <n v="23062.324495530891"/>
    <n v="0"/>
  </r>
  <r>
    <s v="Regular"/>
    <x v="1"/>
    <x v="1"/>
    <x v="1"/>
    <x v="0"/>
    <x v="1"/>
    <x v="0"/>
    <x v="0"/>
    <x v="1"/>
    <n v="500"/>
    <n v="250"/>
    <n v="0"/>
    <n v="0"/>
    <n v="0"/>
    <n v="0"/>
    <n v="0"/>
    <x v="1"/>
    <n v="0"/>
    <n v="14"/>
    <n v="0"/>
    <n v="0"/>
    <n v="12.42"/>
    <n v="0"/>
    <n v="0"/>
    <n v="15.866734033722858"/>
    <n v="111.03029432835316"/>
    <m/>
    <n v="3105"/>
    <n v="0"/>
    <n v="0"/>
    <n v="3966.6835084307145"/>
    <n v="0"/>
    <n v="0"/>
  </r>
  <r>
    <s v="Regular"/>
    <x v="1"/>
    <x v="1"/>
    <x v="1"/>
    <x v="0"/>
    <x v="1"/>
    <x v="0"/>
    <x v="0"/>
    <x v="2"/>
    <n v="500"/>
    <n v="250"/>
    <n v="0"/>
    <n v="0"/>
    <n v="0"/>
    <n v="0"/>
    <n v="0"/>
    <x v="1"/>
    <n v="0"/>
    <n v="14"/>
    <n v="0"/>
    <n v="0"/>
    <n v="12.42"/>
    <n v="0"/>
    <n v="0"/>
    <n v="15.866734033722858"/>
    <n v="111.03029432835316"/>
    <m/>
    <n v="3105"/>
    <n v="0"/>
    <n v="0"/>
    <n v="3966.6835084307145"/>
    <n v="0"/>
    <n v="0"/>
  </r>
  <r>
    <s v="Regular"/>
    <x v="1"/>
    <x v="1"/>
    <x v="1"/>
    <x v="0"/>
    <x v="1"/>
    <x v="0"/>
    <x v="0"/>
    <x v="5"/>
    <n v="500"/>
    <n v="250"/>
    <n v="0"/>
    <n v="0"/>
    <n v="0"/>
    <n v="0"/>
    <n v="0"/>
    <x v="1"/>
    <n v="0"/>
    <n v="14"/>
    <n v="0"/>
    <n v="0"/>
    <n v="12.42"/>
    <n v="0"/>
    <n v="0"/>
    <n v="15.866734033722858"/>
    <n v="111.03029432835316"/>
    <m/>
    <n v="3105"/>
    <n v="0"/>
    <n v="0"/>
    <n v="3966.6835084307145"/>
    <n v="0"/>
    <n v="0"/>
  </r>
  <r>
    <s v="Regular"/>
    <x v="1"/>
    <x v="1"/>
    <x v="1"/>
    <x v="0"/>
    <x v="1"/>
    <x v="0"/>
    <x v="1"/>
    <x v="1"/>
    <n v="0"/>
    <n v="0"/>
    <n v="115.642"/>
    <n v="115.642"/>
    <n v="0"/>
    <n v="0"/>
    <n v="2"/>
    <x v="1"/>
    <n v="0"/>
    <n v="0"/>
    <n v="15"/>
    <n v="0"/>
    <n v="0"/>
    <n v="69.37"/>
    <n v="0"/>
    <m/>
    <n v="111.03029432835316"/>
    <m/>
    <n v="0"/>
    <n v="8022.08554"/>
    <n v="0"/>
    <n v="0"/>
    <n v="12839.765296719415"/>
    <n v="0"/>
  </r>
  <r>
    <s v="Regular"/>
    <x v="1"/>
    <x v="1"/>
    <x v="1"/>
    <x v="0"/>
    <x v="1"/>
    <x v="0"/>
    <x v="1"/>
    <x v="2"/>
    <n v="0"/>
    <n v="0"/>
    <n v="138.791"/>
    <n v="138.791"/>
    <n v="0"/>
    <n v="0"/>
    <n v="2"/>
    <x v="1"/>
    <n v="0"/>
    <n v="0"/>
    <n v="15"/>
    <n v="0"/>
    <n v="0"/>
    <n v="69.37"/>
    <n v="0"/>
    <m/>
    <n v="111.03029432835316"/>
    <m/>
    <n v="0"/>
    <n v="9627.9316699999999"/>
    <n v="0"/>
    <n v="0"/>
    <n v="15410.005580126464"/>
    <n v="0"/>
  </r>
  <r>
    <s v="Regular"/>
    <x v="1"/>
    <x v="1"/>
    <x v="1"/>
    <x v="0"/>
    <x v="1"/>
    <x v="0"/>
    <x v="1"/>
    <x v="5"/>
    <n v="0"/>
    <n v="0"/>
    <n v="138.709"/>
    <n v="138.709"/>
    <n v="0"/>
    <n v="0"/>
    <n v="2"/>
    <x v="1"/>
    <n v="0"/>
    <n v="0"/>
    <n v="15"/>
    <n v="0"/>
    <n v="0"/>
    <n v="69.37"/>
    <n v="0"/>
    <m/>
    <n v="111.03029432835316"/>
    <m/>
    <n v="0"/>
    <n v="9622.2433300000012"/>
    <n v="0"/>
    <n v="0"/>
    <n v="15400.901095991539"/>
    <n v="0"/>
  </r>
  <r>
    <s v="Regular"/>
    <x v="1"/>
    <x v="1"/>
    <x v="1"/>
    <x v="0"/>
    <x v="1"/>
    <x v="0"/>
    <x v="2"/>
    <x v="1"/>
    <n v="389"/>
    <n v="194.5"/>
    <n v="0"/>
    <n v="0"/>
    <n v="0"/>
    <n v="0"/>
    <n v="0"/>
    <x v="1"/>
    <n v="0"/>
    <n v="13"/>
    <n v="0"/>
    <n v="0"/>
    <n v="31.72"/>
    <n v="0"/>
    <n v="0"/>
    <n v="40.931078532759663"/>
    <n v="111.03029432835316"/>
    <m/>
    <n v="6169.54"/>
    <n v="0"/>
    <n v="0"/>
    <n v="7961.0947746217544"/>
    <n v="0"/>
    <n v="0"/>
  </r>
  <r>
    <s v="Regular"/>
    <x v="1"/>
    <x v="1"/>
    <x v="1"/>
    <x v="0"/>
    <x v="1"/>
    <x v="0"/>
    <x v="2"/>
    <x v="2"/>
    <n v="389"/>
    <n v="194.5"/>
    <n v="0"/>
    <n v="0"/>
    <n v="0"/>
    <n v="0"/>
    <n v="0"/>
    <x v="1"/>
    <n v="0"/>
    <n v="13"/>
    <n v="0"/>
    <n v="0"/>
    <n v="31.72"/>
    <n v="0"/>
    <n v="0"/>
    <n v="40.931078532759663"/>
    <n v="111.03029432835316"/>
    <m/>
    <n v="6169.54"/>
    <n v="0"/>
    <n v="0"/>
    <n v="7961.0947746217544"/>
    <n v="0"/>
    <n v="0"/>
  </r>
  <r>
    <s v="Regular"/>
    <x v="1"/>
    <x v="1"/>
    <x v="1"/>
    <x v="0"/>
    <x v="1"/>
    <x v="0"/>
    <x v="2"/>
    <x v="5"/>
    <n v="389"/>
    <n v="194.5"/>
    <n v="0"/>
    <n v="0"/>
    <n v="0"/>
    <n v="0"/>
    <n v="0"/>
    <x v="1"/>
    <n v="0"/>
    <n v="13"/>
    <n v="0"/>
    <n v="0"/>
    <n v="31.72"/>
    <n v="0"/>
    <n v="0"/>
    <n v="40.931078532759663"/>
    <n v="111.03029432835316"/>
    <m/>
    <n v="6169.54"/>
    <n v="0"/>
    <n v="0"/>
    <n v="7961.0947746217544"/>
    <n v="0"/>
    <n v="0"/>
  </r>
  <r>
    <s v="Regular"/>
    <x v="1"/>
    <x v="1"/>
    <x v="1"/>
    <x v="0"/>
    <x v="0"/>
    <x v="0"/>
    <x v="0"/>
    <x v="6"/>
    <n v="607"/>
    <n v="607"/>
    <n v="192.94499999999999"/>
    <n v="192.94499999999999"/>
    <n v="192.94499999999999"/>
    <n v="192.94499999999999"/>
    <n v="0"/>
    <x v="0"/>
    <n v="0"/>
    <n v="14"/>
    <n v="15"/>
    <n v="66"/>
    <n v="12.42"/>
    <n v="69.37"/>
    <n v="284.36"/>
    <n v="15.866734033722858"/>
    <n v="111.03029432835316"/>
    <n v="274.80069497881567"/>
    <n v="7538.94"/>
    <n v="13384.594650000001"/>
    <n v="54865.840199999999"/>
    <n v="9631.1075584697755"/>
    <n v="21422.740139184101"/>
    <n v="53021.420092687586"/>
  </r>
  <r>
    <s v="Regular"/>
    <x v="1"/>
    <x v="1"/>
    <x v="1"/>
    <x v="0"/>
    <x v="0"/>
    <x v="0"/>
    <x v="0"/>
    <x v="6"/>
    <n v="9141"/>
    <n v="9141"/>
    <n v="5105.5860000000002"/>
    <n v="5105.5860000000002"/>
    <n v="0"/>
    <n v="0"/>
    <n v="0"/>
    <x v="1"/>
    <n v="0"/>
    <n v="14"/>
    <n v="15"/>
    <n v="0"/>
    <n v="12.42"/>
    <n v="69.37"/>
    <n v="0"/>
    <n v="15.866734033722858"/>
    <n v="111.03029432835316"/>
    <m/>
    <n v="113531.22"/>
    <n v="354174.50082000002"/>
    <n v="0"/>
    <n v="145037.81580226065"/>
    <n v="566874.7162987194"/>
    <n v="0"/>
  </r>
  <r>
    <s v="Regular"/>
    <x v="1"/>
    <x v="1"/>
    <x v="1"/>
    <x v="0"/>
    <x v="0"/>
    <x v="0"/>
    <x v="0"/>
    <x v="7"/>
    <n v="612"/>
    <n v="612"/>
    <n v="204.67699999999999"/>
    <n v="204.67699999999999"/>
    <n v="204.67699999999999"/>
    <n v="204.67699999999999"/>
    <n v="0"/>
    <x v="0"/>
    <n v="0"/>
    <n v="14"/>
    <n v="15"/>
    <n v="66"/>
    <n v="12.42"/>
    <n v="69.37"/>
    <n v="284.36"/>
    <n v="15.866734033722858"/>
    <n v="111.03029432835316"/>
    <n v="274.80069497881567"/>
    <n v="7601.04"/>
    <n v="14198.44349"/>
    <n v="58201.951719999997"/>
    <n v="9710.4412286383886"/>
    <n v="22725.34755224434"/>
    <n v="56245.381846179051"/>
  </r>
  <r>
    <s v="Regular"/>
    <x v="1"/>
    <x v="1"/>
    <x v="1"/>
    <x v="0"/>
    <x v="0"/>
    <x v="0"/>
    <x v="0"/>
    <x v="7"/>
    <n v="9086"/>
    <n v="9086"/>
    <n v="4991.241"/>
    <n v="4991.241"/>
    <n v="0"/>
    <n v="0"/>
    <n v="0"/>
    <x v="1"/>
    <n v="0"/>
    <n v="14"/>
    <n v="15"/>
    <n v="0"/>
    <n v="12.42"/>
    <n v="69.37"/>
    <n v="0"/>
    <n v="15.866734033722858"/>
    <n v="111.03029432835316"/>
    <m/>
    <n v="112848.12"/>
    <n v="346242.38817000005"/>
    <n v="0"/>
    <n v="144165.14543040589"/>
    <n v="554178.95729374373"/>
    <n v="0"/>
  </r>
  <r>
    <s v="Regular"/>
    <x v="1"/>
    <x v="1"/>
    <x v="1"/>
    <x v="0"/>
    <x v="0"/>
    <x v="0"/>
    <x v="0"/>
    <x v="8"/>
    <n v="607"/>
    <n v="607"/>
    <n v="203.184"/>
    <n v="203.184"/>
    <n v="203.184"/>
    <n v="203.184"/>
    <n v="0"/>
    <x v="0"/>
    <n v="0"/>
    <n v="14"/>
    <n v="15"/>
    <n v="66"/>
    <n v="12.42"/>
    <n v="69.37"/>
    <n v="284.36"/>
    <n v="15.866734033722858"/>
    <n v="111.03029432835316"/>
    <n v="274.80069497881567"/>
    <n v="7538.94"/>
    <n v="14094.874080000001"/>
    <n v="57777.402240000003"/>
    <n v="9631.1075584697755"/>
    <n v="22559.579322812107"/>
    <n v="55835.10440857568"/>
  </r>
  <r>
    <s v="Regular"/>
    <x v="1"/>
    <x v="1"/>
    <x v="1"/>
    <x v="0"/>
    <x v="0"/>
    <x v="0"/>
    <x v="0"/>
    <x v="8"/>
    <n v="9115"/>
    <n v="9115"/>
    <n v="5068.4369999999999"/>
    <n v="5068.4369999999999"/>
    <n v="0"/>
    <n v="0"/>
    <n v="0"/>
    <x v="1"/>
    <n v="0"/>
    <n v="14"/>
    <n v="15"/>
    <n v="0"/>
    <n v="12.42"/>
    <n v="69.37"/>
    <n v="0"/>
    <n v="15.866734033722858"/>
    <n v="111.03029432835316"/>
    <m/>
    <n v="113208.3"/>
    <n v="351597.47469"/>
    <n v="0"/>
    <n v="144625.28071738387"/>
    <n v="562750.05189471529"/>
    <n v="0"/>
  </r>
  <r>
    <s v="Regular"/>
    <x v="1"/>
    <x v="1"/>
    <x v="1"/>
    <x v="0"/>
    <x v="0"/>
    <x v="0"/>
    <x v="0"/>
    <x v="9"/>
    <n v="607"/>
    <n v="607"/>
    <n v="188.74100000000001"/>
    <n v="188.74100000000001"/>
    <n v="188.74100000000001"/>
    <n v="188.74100000000001"/>
    <n v="0"/>
    <x v="0"/>
    <n v="0"/>
    <n v="14"/>
    <n v="15"/>
    <n v="66"/>
    <n v="12.42"/>
    <n v="69.37"/>
    <n v="284.36"/>
    <n v="15.866734033722858"/>
    <n v="111.03029432835316"/>
    <n v="274.80069497881567"/>
    <n v="7538.94"/>
    <n v="13092.963170000003"/>
    <n v="53670.390760000009"/>
    <n v="9631.1075584697755"/>
    <n v="20955.968781827705"/>
    <n v="51866.157970996654"/>
  </r>
  <r>
    <s v="Regular"/>
    <x v="1"/>
    <x v="1"/>
    <x v="1"/>
    <x v="0"/>
    <x v="0"/>
    <x v="0"/>
    <x v="0"/>
    <x v="9"/>
    <n v="9607"/>
    <n v="9607"/>
    <n v="5270.0829999999996"/>
    <n v="5270.0829999999996"/>
    <n v="0"/>
    <n v="0"/>
    <n v="0"/>
    <x v="1"/>
    <n v="0"/>
    <n v="14"/>
    <n v="15"/>
    <n v="0"/>
    <n v="12.42"/>
    <n v="69.37"/>
    <n v="0"/>
    <n v="15.866734033722858"/>
    <n v="111.03029432835316"/>
    <m/>
    <n v="119318.94"/>
    <n v="365585.65771"/>
    <n v="0"/>
    <n v="152431.7138619755"/>
    <n v="585138.86662485043"/>
    <n v="0"/>
  </r>
  <r>
    <s v="Regular"/>
    <x v="1"/>
    <x v="1"/>
    <x v="1"/>
    <x v="0"/>
    <x v="0"/>
    <x v="0"/>
    <x v="0"/>
    <x v="10"/>
    <n v="607"/>
    <n v="607"/>
    <n v="186.57400000000001"/>
    <n v="186.57400000000001"/>
    <n v="186.57400000000001"/>
    <n v="186.57400000000001"/>
    <n v="0"/>
    <x v="0"/>
    <n v="0"/>
    <n v="14"/>
    <n v="15"/>
    <n v="66"/>
    <n v="12.42"/>
    <n v="69.37"/>
    <n v="284.36"/>
    <n v="15.866734033722858"/>
    <n v="111.03029432835316"/>
    <n v="274.80069497881567"/>
    <n v="7538.94"/>
    <n v="12942.638380000002"/>
    <n v="53054.182640000006"/>
    <n v="9631.1075584697755"/>
    <n v="20715.366134018164"/>
    <n v="51270.66486497756"/>
  </r>
  <r>
    <s v="Regular"/>
    <x v="1"/>
    <x v="1"/>
    <x v="1"/>
    <x v="0"/>
    <x v="0"/>
    <x v="0"/>
    <x v="0"/>
    <x v="10"/>
    <n v="9590"/>
    <n v="9590"/>
    <n v="5215.5379999999996"/>
    <n v="5215.5379999999996"/>
    <n v="0"/>
    <n v="0"/>
    <n v="0"/>
    <x v="1"/>
    <n v="0"/>
    <n v="14"/>
    <n v="15"/>
    <n v="0"/>
    <n v="12.42"/>
    <n v="69.37"/>
    <n v="0"/>
    <n v="15.866734033722858"/>
    <n v="111.03029432835316"/>
    <m/>
    <n v="119107.8"/>
    <n v="361801.87105999998"/>
    <n v="0"/>
    <n v="152161.97938340221"/>
    <n v="579082.71922071034"/>
    <n v="0"/>
  </r>
  <r>
    <s v="Regular"/>
    <x v="1"/>
    <x v="1"/>
    <x v="1"/>
    <x v="0"/>
    <x v="0"/>
    <x v="0"/>
    <x v="0"/>
    <x v="11"/>
    <n v="619"/>
    <n v="619"/>
    <n v="152.964"/>
    <n v="152.964"/>
    <n v="152.964"/>
    <n v="152.964"/>
    <n v="0"/>
    <x v="0"/>
    <n v="0"/>
    <n v="14"/>
    <n v="15"/>
    <n v="66"/>
    <n v="12.42"/>
    <n v="69.37"/>
    <n v="284.36"/>
    <n v="15.866734033722858"/>
    <n v="111.03029432835316"/>
    <n v="274.80069497881567"/>
    <n v="7687.98"/>
    <n v="10611.11268"/>
    <n v="43496.84304"/>
    <n v="9821.5083668744501"/>
    <n v="16983.637941642213"/>
    <n v="42034.613506739559"/>
  </r>
  <r>
    <s v="Regular"/>
    <x v="1"/>
    <x v="1"/>
    <x v="1"/>
    <x v="0"/>
    <x v="0"/>
    <x v="0"/>
    <x v="0"/>
    <x v="11"/>
    <n v="9624"/>
    <n v="9624"/>
    <n v="5336.5339999999997"/>
    <n v="5336.5339999999997"/>
    <n v="0"/>
    <n v="0"/>
    <n v="0"/>
    <x v="1"/>
    <n v="0"/>
    <n v="14"/>
    <n v="15"/>
    <n v="0"/>
    <n v="12.42"/>
    <n v="69.37"/>
    <n v="0"/>
    <n v="15.866734033722858"/>
    <n v="111.03029432835316"/>
    <m/>
    <n v="119530.08"/>
    <n v="370195.36358"/>
    <n v="0"/>
    <n v="152701.44834054878"/>
    <n v="592516.94071326382"/>
    <n v="0"/>
  </r>
  <r>
    <s v="Regular"/>
    <x v="1"/>
    <x v="1"/>
    <x v="1"/>
    <x v="0"/>
    <x v="0"/>
    <x v="0"/>
    <x v="0"/>
    <x v="3"/>
    <n v="616"/>
    <n v="616"/>
    <n v="145.905"/>
    <n v="145.905"/>
    <n v="145.905"/>
    <n v="145.905"/>
    <n v="0"/>
    <x v="0"/>
    <n v="0"/>
    <n v="14"/>
    <n v="15"/>
    <n v="66"/>
    <n v="12.42"/>
    <n v="69.37"/>
    <n v="284.36"/>
    <n v="15.866734033722858"/>
    <n v="111.03029432835316"/>
    <n v="274.80069497881567"/>
    <n v="7650.72"/>
    <n v="10121.42985"/>
    <n v="41489.5458"/>
    <n v="9773.9081647732801"/>
    <n v="16199.875093978369"/>
    <n v="40094.795400884104"/>
  </r>
  <r>
    <s v="Regular"/>
    <x v="1"/>
    <x v="1"/>
    <x v="1"/>
    <x v="0"/>
    <x v="0"/>
    <x v="0"/>
    <x v="0"/>
    <x v="3"/>
    <n v="9538"/>
    <n v="9538"/>
    <n v="5107.6130000000003"/>
    <n v="5107.6130000000003"/>
    <n v="0"/>
    <n v="0"/>
    <n v="0"/>
    <x v="1"/>
    <n v="0"/>
    <n v="14"/>
    <n v="15"/>
    <n v="0"/>
    <n v="12.42"/>
    <n v="69.37"/>
    <n v="0"/>
    <n v="15.866734033722858"/>
    <n v="111.03029432835316"/>
    <m/>
    <n v="118461.96"/>
    <n v="354315.11381000007"/>
    <n v="0"/>
    <n v="151336.90921364861"/>
    <n v="567099.77470532293"/>
    <n v="0"/>
  </r>
  <r>
    <s v="Regular"/>
    <x v="1"/>
    <x v="1"/>
    <x v="1"/>
    <x v="0"/>
    <x v="0"/>
    <x v="0"/>
    <x v="0"/>
    <x v="0"/>
    <n v="615"/>
    <n v="615"/>
    <n v="154.41999999999999"/>
    <n v="154.41999999999999"/>
    <n v="154.41999999999999"/>
    <n v="154.41999999999999"/>
    <n v="0"/>
    <x v="0"/>
    <n v="0"/>
    <n v="14"/>
    <n v="15"/>
    <n v="66"/>
    <n v="12.42"/>
    <n v="69.37"/>
    <n v="284.36"/>
    <n v="15.866734033722858"/>
    <n v="111.03029432835316"/>
    <n v="274.80069497881567"/>
    <n v="7638.3"/>
    <n v="10712.115400000001"/>
    <n v="43910.871200000001"/>
    <n v="9758.0414307395586"/>
    <n v="17145.298050184294"/>
    <n v="42434.723318628712"/>
  </r>
  <r>
    <s v="Regular"/>
    <x v="1"/>
    <x v="1"/>
    <x v="1"/>
    <x v="0"/>
    <x v="0"/>
    <x v="0"/>
    <x v="0"/>
    <x v="0"/>
    <n v="9469"/>
    <n v="9469"/>
    <n v="5066.165"/>
    <n v="5066.165"/>
    <n v="0"/>
    <n v="0"/>
    <n v="0"/>
    <x v="1"/>
    <n v="0"/>
    <n v="14"/>
    <n v="15"/>
    <n v="0"/>
    <n v="12.42"/>
    <n v="69.37"/>
    <n v="0"/>
    <n v="15.866734033722858"/>
    <n v="111.03029432835316"/>
    <m/>
    <n v="117604.98"/>
    <n v="351439.86605000001"/>
    <n v="0"/>
    <n v="150242.10456532176"/>
    <n v="562497.79106600129"/>
    <n v="0"/>
  </r>
  <r>
    <s v="Regular"/>
    <x v="1"/>
    <x v="1"/>
    <x v="1"/>
    <x v="0"/>
    <x v="0"/>
    <x v="0"/>
    <x v="0"/>
    <x v="4"/>
    <n v="116"/>
    <n v="116"/>
    <n v="38.347000000000001"/>
    <n v="38.347000000000001"/>
    <n v="38.347000000000001"/>
    <n v="38.347000000000001"/>
    <n v="0"/>
    <x v="0"/>
    <n v="0"/>
    <n v="14"/>
    <n v="15"/>
    <n v="66"/>
    <n v="12.42"/>
    <n v="69.37"/>
    <n v="284.36"/>
    <n v="15.866734033722858"/>
    <n v="111.03029432835316"/>
    <n v="274.80069497881567"/>
    <n v="1440.72"/>
    <n v="2660.1313900000005"/>
    <n v="10904.352920000001"/>
    <n v="1840.5411479118516"/>
    <n v="4257.6786966093587"/>
    <n v="10537.782250352644"/>
  </r>
  <r>
    <s v="Regular"/>
    <x v="1"/>
    <x v="1"/>
    <x v="1"/>
    <x v="0"/>
    <x v="0"/>
    <x v="0"/>
    <x v="0"/>
    <x v="4"/>
    <n v="9504"/>
    <n v="9504"/>
    <n v="5285.5519999999997"/>
    <n v="5285.5519999999997"/>
    <n v="0"/>
    <n v="0"/>
    <n v="0"/>
    <x v="1"/>
    <n v="0"/>
    <n v="14"/>
    <n v="15"/>
    <n v="0"/>
    <n v="12.42"/>
    <n v="69.37"/>
    <n v="0"/>
    <n v="15.866734033722858"/>
    <n v="111.03029432835316"/>
    <m/>
    <n v="118039.67999999999"/>
    <n v="366658.74223999999"/>
    <n v="0"/>
    <n v="150797.44025650204"/>
    <n v="586856.39424781571"/>
    <n v="0"/>
  </r>
  <r>
    <s v="Regular"/>
    <x v="1"/>
    <x v="1"/>
    <x v="1"/>
    <x v="0"/>
    <x v="0"/>
    <x v="0"/>
    <x v="0"/>
    <x v="1"/>
    <n v="114"/>
    <n v="114"/>
    <n v="40.164000000000001"/>
    <n v="40.164000000000001"/>
    <n v="40.164000000000001"/>
    <n v="40.164000000000001"/>
    <n v="0"/>
    <x v="0"/>
    <n v="0"/>
    <n v="14"/>
    <n v="15"/>
    <n v="66"/>
    <n v="12.42"/>
    <n v="69.37"/>
    <n v="284.36"/>
    <n v="15.866734033722858"/>
    <n v="111.03029432835316"/>
    <n v="274.80069497881567"/>
    <n v="1415.8799999999999"/>
    <n v="2786.1766800000005"/>
    <n v="11421.035040000001"/>
    <n v="1808.8076798444058"/>
    <n v="4459.4207414039765"/>
    <n v="11037.095113129153"/>
  </r>
  <r>
    <s v="Regular"/>
    <x v="1"/>
    <x v="1"/>
    <x v="1"/>
    <x v="0"/>
    <x v="0"/>
    <x v="0"/>
    <x v="0"/>
    <x v="1"/>
    <n v="9469"/>
    <n v="9469"/>
    <n v="4649.5370000000003"/>
    <n v="4649.5370000000003"/>
    <n v="0"/>
    <n v="0"/>
    <n v="0"/>
    <x v="1"/>
    <n v="0"/>
    <n v="14"/>
    <n v="15"/>
    <n v="0"/>
    <n v="12.42"/>
    <n v="69.37"/>
    <n v="0"/>
    <n v="15.866734033722858"/>
    <n v="111.03029432835316"/>
    <m/>
    <n v="117604.98"/>
    <n v="322538.38169000007"/>
    <n v="0"/>
    <n v="150242.10456532176"/>
    <n v="516239.4616005682"/>
    <n v="0"/>
  </r>
  <r>
    <s v="Regular"/>
    <x v="1"/>
    <x v="1"/>
    <x v="1"/>
    <x v="0"/>
    <x v="0"/>
    <x v="0"/>
    <x v="0"/>
    <x v="2"/>
    <n v="107"/>
    <n v="107"/>
    <n v="37.094999999999999"/>
    <n v="37.094999999999999"/>
    <n v="37.094999999999999"/>
    <n v="37.094999999999999"/>
    <n v="0"/>
    <x v="0"/>
    <n v="0"/>
    <n v="14"/>
    <n v="15"/>
    <n v="66"/>
    <n v="12.42"/>
    <n v="69.37"/>
    <n v="284.36"/>
    <n v="15.866734033722858"/>
    <n v="111.03029432835316"/>
    <n v="274.80069497881567"/>
    <n v="1328.94"/>
    <n v="2573.28015"/>
    <n v="10548.334199999999"/>
    <n v="1697.7405416083459"/>
    <n v="4118.6687681102603"/>
    <n v="10193.731780239166"/>
  </r>
  <r>
    <s v="Regular"/>
    <x v="1"/>
    <x v="1"/>
    <x v="1"/>
    <x v="0"/>
    <x v="0"/>
    <x v="0"/>
    <x v="0"/>
    <x v="2"/>
    <n v="9780"/>
    <n v="9780"/>
    <n v="5263.1970000000001"/>
    <n v="5263.1970000000001"/>
    <n v="0"/>
    <n v="0"/>
    <n v="0"/>
    <x v="1"/>
    <n v="0"/>
    <n v="14"/>
    <n v="15"/>
    <n v="0"/>
    <n v="12.42"/>
    <n v="69.37"/>
    <n v="0"/>
    <n v="15.866734033722858"/>
    <n v="111.03029432835316"/>
    <m/>
    <n v="121467.6"/>
    <n v="365107.97589000006"/>
    <n v="0"/>
    <n v="155176.65884980955"/>
    <n v="584374.31201810541"/>
    <n v="0"/>
  </r>
  <r>
    <s v="Regular"/>
    <x v="1"/>
    <x v="1"/>
    <x v="1"/>
    <x v="0"/>
    <x v="0"/>
    <x v="0"/>
    <x v="0"/>
    <x v="5"/>
    <n v="107"/>
    <n v="107"/>
    <n v="37.933"/>
    <n v="37.933"/>
    <n v="37.933"/>
    <n v="37.933"/>
    <n v="0"/>
    <x v="0"/>
    <n v="0"/>
    <n v="14"/>
    <n v="15"/>
    <n v="66"/>
    <n v="12.42"/>
    <n v="69.37"/>
    <n v="284.36"/>
    <n v="15.866734033722858"/>
    <n v="111.03029432835316"/>
    <n v="274.80069497881567"/>
    <n v="1328.94"/>
    <n v="2631.41221"/>
    <n v="10786.62788"/>
    <n v="1697.7405416083459"/>
    <n v="4211.7121547574206"/>
    <n v="10424.014762631416"/>
  </r>
  <r>
    <s v="Regular"/>
    <x v="1"/>
    <x v="1"/>
    <x v="1"/>
    <x v="0"/>
    <x v="0"/>
    <x v="0"/>
    <x v="0"/>
    <x v="5"/>
    <n v="9400"/>
    <n v="9400"/>
    <n v="4687.8620000000001"/>
    <n v="4687.8620000000001"/>
    <n v="0"/>
    <n v="0"/>
    <n v="0"/>
    <x v="1"/>
    <n v="0"/>
    <n v="14"/>
    <n v="15"/>
    <n v="0"/>
    <n v="12.42"/>
    <n v="69.37"/>
    <n v="0"/>
    <n v="15.866734033722858"/>
    <n v="111.03029432835316"/>
    <m/>
    <n v="116748"/>
    <n v="325196.98694000003"/>
    <n v="0"/>
    <n v="149147.29991699487"/>
    <n v="520494.69763070234"/>
    <n v="0"/>
  </r>
  <r>
    <s v="Regular"/>
    <x v="1"/>
    <x v="1"/>
    <x v="1"/>
    <x v="0"/>
    <x v="0"/>
    <x v="0"/>
    <x v="2"/>
    <x v="6"/>
    <n v="479"/>
    <n v="479"/>
    <n v="21.751000000000001"/>
    <n v="21.751000000000001"/>
    <n v="21.751000000000001"/>
    <n v="21.751000000000001"/>
    <n v="0"/>
    <x v="0"/>
    <n v="0"/>
    <n v="13"/>
    <n v="15"/>
    <n v="65"/>
    <n v="31.72"/>
    <n v="69.37"/>
    <n v="454.9"/>
    <n v="40.931078532759663"/>
    <n v="111.03029432835316"/>
    <n v="430.5563899456306"/>
    <n v="15193.88"/>
    <n v="1508.8668700000003"/>
    <n v="9894.5298999999995"/>
    <n v="19605.98661719188"/>
    <n v="2415.0199319360099"/>
    <n v="9365.0320377074113"/>
  </r>
  <r>
    <s v="Regular"/>
    <x v="1"/>
    <x v="1"/>
    <x v="1"/>
    <x v="0"/>
    <x v="0"/>
    <x v="0"/>
    <x v="2"/>
    <x v="6"/>
    <n v="8591"/>
    <n v="8591"/>
    <n v="477"/>
    <n v="477"/>
    <n v="0"/>
    <n v="0"/>
    <n v="0"/>
    <x v="1"/>
    <n v="0"/>
    <n v="13"/>
    <n v="15"/>
    <n v="0"/>
    <n v="31.72"/>
    <n v="69.37"/>
    <n v="0"/>
    <n v="40.931078532759663"/>
    <n v="111.03029432835316"/>
    <m/>
    <n v="272506.52"/>
    <n v="33089.490000000005"/>
    <n v="0"/>
    <n v="351638.89567493828"/>
    <n v="52961.450394624459"/>
    <n v="0"/>
  </r>
  <r>
    <s v="Regular"/>
    <x v="1"/>
    <x v="1"/>
    <x v="1"/>
    <x v="0"/>
    <x v="0"/>
    <x v="0"/>
    <x v="2"/>
    <x v="7"/>
    <n v="476"/>
    <n v="476"/>
    <n v="22.577999999999999"/>
    <n v="22.577999999999999"/>
    <n v="22.577999999999999"/>
    <n v="22.577999999999999"/>
    <n v="0"/>
    <x v="0"/>
    <n v="0"/>
    <n v="13"/>
    <n v="15"/>
    <n v="65"/>
    <n v="31.72"/>
    <n v="69.37"/>
    <n v="454.9"/>
    <n v="40.931078532759663"/>
    <n v="111.03029432835316"/>
    <n v="430.5563899456306"/>
    <n v="15098.72"/>
    <n v="1566.23586"/>
    <n v="10270.732199999999"/>
    <n v="19483.193381593599"/>
    <n v="2506.8419853455575"/>
    <n v="9721.1021721924481"/>
  </r>
  <r>
    <s v="Regular"/>
    <x v="1"/>
    <x v="1"/>
    <x v="1"/>
    <x v="0"/>
    <x v="0"/>
    <x v="0"/>
    <x v="2"/>
    <x v="7"/>
    <n v="8594"/>
    <n v="8594"/>
    <n v="506.93200000000002"/>
    <n v="506.93200000000002"/>
    <n v="0"/>
    <n v="0"/>
    <n v="0"/>
    <x v="1"/>
    <n v="0"/>
    <n v="13"/>
    <n v="15"/>
    <n v="0"/>
    <n v="31.72"/>
    <n v="69.37"/>
    <n v="0"/>
    <n v="40.931078532759663"/>
    <n v="111.03029432835316"/>
    <m/>
    <n v="272601.68"/>
    <n v="35165.872840000004"/>
    <n v="0"/>
    <n v="351761.68891053653"/>
    <n v="56284.809164460727"/>
    <n v="0"/>
  </r>
  <r>
    <s v="Regular"/>
    <x v="1"/>
    <x v="1"/>
    <x v="1"/>
    <x v="0"/>
    <x v="0"/>
    <x v="0"/>
    <x v="2"/>
    <x v="8"/>
    <n v="481"/>
    <n v="481"/>
    <n v="21.027000000000001"/>
    <n v="21.027000000000001"/>
    <n v="21.027000000000001"/>
    <n v="21.027000000000001"/>
    <n v="0"/>
    <x v="0"/>
    <n v="0"/>
    <n v="13"/>
    <n v="15"/>
    <n v="65"/>
    <n v="31.72"/>
    <n v="69.37"/>
    <n v="454.9"/>
    <n v="40.931078532759663"/>
    <n v="111.03029432835316"/>
    <n v="430.5563899456306"/>
    <n v="15257.32"/>
    <n v="1458.6429900000001"/>
    <n v="9565.1823000000004"/>
    <n v="19687.8487742574"/>
    <n v="2334.6339988422819"/>
    <n v="9053.3092113867751"/>
  </r>
  <r>
    <s v="Regular"/>
    <x v="1"/>
    <x v="1"/>
    <x v="1"/>
    <x v="0"/>
    <x v="0"/>
    <x v="0"/>
    <x v="2"/>
    <x v="8"/>
    <n v="8660"/>
    <n v="8660"/>
    <n v="489.07400000000001"/>
    <n v="489.07400000000001"/>
    <n v="0"/>
    <n v="0"/>
    <n v="0"/>
    <x v="1"/>
    <n v="0"/>
    <n v="13"/>
    <n v="15"/>
    <n v="0"/>
    <n v="31.72"/>
    <n v="69.37"/>
    <n v="0"/>
    <n v="40.931078532759663"/>
    <n v="111.03029432835316"/>
    <m/>
    <n v="274695.2"/>
    <n v="33927.06338"/>
    <n v="0"/>
    <n v="354463.14009369869"/>
    <n v="54302.030168344994"/>
    <n v="0"/>
  </r>
  <r>
    <s v="Regular"/>
    <x v="1"/>
    <x v="1"/>
    <x v="1"/>
    <x v="0"/>
    <x v="0"/>
    <x v="0"/>
    <x v="2"/>
    <x v="9"/>
    <n v="484"/>
    <n v="484"/>
    <n v="19.154"/>
    <n v="19.154"/>
    <n v="19.154"/>
    <n v="19.154"/>
    <n v="0"/>
    <x v="0"/>
    <n v="0"/>
    <n v="13"/>
    <n v="15"/>
    <n v="65"/>
    <n v="31.72"/>
    <n v="69.37"/>
    <n v="454.9"/>
    <n v="40.931078532759663"/>
    <n v="111.03029432835316"/>
    <n v="430.5563899456306"/>
    <n v="15352.48"/>
    <n v="1328.71298"/>
    <n v="8713.1545999999998"/>
    <n v="19810.642009855677"/>
    <n v="2126.6742575652765"/>
    <n v="8246.8770930186092"/>
  </r>
  <r>
    <s v="Regular"/>
    <x v="1"/>
    <x v="1"/>
    <x v="1"/>
    <x v="0"/>
    <x v="0"/>
    <x v="0"/>
    <x v="2"/>
    <x v="9"/>
    <n v="9000"/>
    <n v="9000"/>
    <n v="511.15499999999997"/>
    <n v="511.15499999999997"/>
    <n v="0"/>
    <n v="0"/>
    <n v="0"/>
    <x v="1"/>
    <n v="0"/>
    <n v="13"/>
    <n v="15"/>
    <n v="0"/>
    <n v="31.72"/>
    <n v="69.37"/>
    <n v="0"/>
    <n v="40.931078532759663"/>
    <n v="111.03029432835316"/>
    <m/>
    <n v="285480"/>
    <n v="35458.822350000002"/>
    <n v="0"/>
    <n v="368379.70679483697"/>
    <n v="56753.690097409359"/>
    <n v="0"/>
  </r>
  <r>
    <s v="Regular"/>
    <x v="1"/>
    <x v="1"/>
    <x v="1"/>
    <x v="0"/>
    <x v="0"/>
    <x v="0"/>
    <x v="2"/>
    <x v="10"/>
    <n v="476"/>
    <n v="476"/>
    <n v="19.699000000000002"/>
    <n v="19.699000000000002"/>
    <n v="19.699000000000002"/>
    <n v="19.699000000000002"/>
    <n v="0"/>
    <x v="0"/>
    <n v="0"/>
    <n v="13"/>
    <n v="15"/>
    <n v="65"/>
    <n v="31.72"/>
    <n v="69.37"/>
    <n v="454.9"/>
    <n v="40.931078532759663"/>
    <n v="111.03029432835316"/>
    <n v="430.5563899456306"/>
    <n v="15098.72"/>
    <n v="1366.5196300000002"/>
    <n v="8961.0751"/>
    <n v="19483.193381593599"/>
    <n v="2187.1857679742293"/>
    <n v="8481.5303255389772"/>
  </r>
  <r>
    <s v="Regular"/>
    <x v="1"/>
    <x v="1"/>
    <x v="1"/>
    <x v="0"/>
    <x v="0"/>
    <x v="0"/>
    <x v="2"/>
    <x v="10"/>
    <n v="9041"/>
    <n v="9041"/>
    <n v="523.86800000000005"/>
    <n v="523.86800000000005"/>
    <n v="0"/>
    <n v="0"/>
    <n v="0"/>
    <x v="1"/>
    <n v="0"/>
    <n v="13"/>
    <n v="15"/>
    <n v="0"/>
    <n v="31.72"/>
    <n v="69.37"/>
    <n v="0"/>
    <n v="40.931078532759663"/>
    <n v="111.03029432835316"/>
    <m/>
    <n v="286780.52"/>
    <n v="36340.723160000009"/>
    <n v="0"/>
    <n v="370057.88101468014"/>
    <n v="58165.218229205719"/>
    <n v="0"/>
  </r>
  <r>
    <s v="Regular"/>
    <x v="1"/>
    <x v="1"/>
    <x v="1"/>
    <x v="0"/>
    <x v="0"/>
    <x v="0"/>
    <x v="2"/>
    <x v="11"/>
    <n v="495"/>
    <n v="495"/>
    <n v="22.966000000000001"/>
    <n v="22.966000000000001"/>
    <n v="22.966000000000001"/>
    <n v="22.966000000000001"/>
    <n v="0"/>
    <x v="0"/>
    <n v="0"/>
    <n v="13"/>
    <n v="15"/>
    <n v="65"/>
    <n v="31.72"/>
    <n v="69.37"/>
    <n v="454.9"/>
    <n v="40.931078532759663"/>
    <n v="111.03029432835316"/>
    <n v="430.5563899456306"/>
    <n v="15701.4"/>
    <n v="1593.1514200000001"/>
    <n v="10447.233399999999"/>
    <n v="20260.883873716033"/>
    <n v="2549.9217395449591"/>
    <n v="9888.158051491353"/>
  </r>
  <r>
    <s v="Regular"/>
    <x v="1"/>
    <x v="1"/>
    <x v="1"/>
    <x v="0"/>
    <x v="0"/>
    <x v="0"/>
    <x v="2"/>
    <x v="11"/>
    <n v="9058"/>
    <n v="9058"/>
    <n v="492.63200000000001"/>
    <n v="492.63200000000001"/>
    <n v="0"/>
    <n v="0"/>
    <n v="0"/>
    <x v="1"/>
    <n v="0"/>
    <n v="13"/>
    <n v="15"/>
    <n v="0"/>
    <n v="31.72"/>
    <n v="69.37"/>
    <n v="0"/>
    <n v="40.931078532759663"/>
    <n v="111.03029432835316"/>
    <m/>
    <n v="287319.76"/>
    <n v="34173.881840000002"/>
    <n v="0"/>
    <n v="370753.70934973704"/>
    <n v="54697.075955565277"/>
    <n v="0"/>
  </r>
  <r>
    <s v="Regular"/>
    <x v="1"/>
    <x v="1"/>
    <x v="1"/>
    <x v="0"/>
    <x v="0"/>
    <x v="0"/>
    <x v="2"/>
    <x v="3"/>
    <n v="505"/>
    <n v="505"/>
    <n v="18.074999999999999"/>
    <n v="18.074999999999999"/>
    <n v="18.074999999999999"/>
    <n v="18.074999999999999"/>
    <n v="0"/>
    <x v="0"/>
    <n v="0"/>
    <n v="13"/>
    <n v="15"/>
    <n v="65"/>
    <n v="31.72"/>
    <n v="69.37"/>
    <n v="454.9"/>
    <n v="40.931078532759663"/>
    <n v="111.03029432835316"/>
    <n v="430.5563899456306"/>
    <n v="16018.599999999999"/>
    <n v="1253.86275"/>
    <n v="8222.3174999999992"/>
    <n v="20670.194659043631"/>
    <n v="2006.8725699849833"/>
    <n v="7782.3067482672732"/>
  </r>
  <r>
    <s v="Regular"/>
    <x v="1"/>
    <x v="1"/>
    <x v="1"/>
    <x v="0"/>
    <x v="0"/>
    <x v="0"/>
    <x v="2"/>
    <x v="3"/>
    <n v="8989"/>
    <n v="8989"/>
    <n v="513.66800000000001"/>
    <n v="513.66800000000001"/>
    <n v="0"/>
    <n v="0"/>
    <n v="0"/>
    <x v="1"/>
    <n v="0"/>
    <n v="13"/>
    <n v="15"/>
    <n v="0"/>
    <n v="31.72"/>
    <n v="69.37"/>
    <n v="0"/>
    <n v="40.931078532759663"/>
    <n v="111.03029432835316"/>
    <m/>
    <n v="285131.08"/>
    <n v="35633.149160000001"/>
    <n v="0"/>
    <n v="367929.46493097662"/>
    <n v="57032.709227056512"/>
    <n v="0"/>
  </r>
  <r>
    <s v="Regular"/>
    <x v="1"/>
    <x v="1"/>
    <x v="1"/>
    <x v="0"/>
    <x v="0"/>
    <x v="0"/>
    <x v="2"/>
    <x v="0"/>
    <n v="488"/>
    <n v="488"/>
    <n v="18.401"/>
    <n v="18.401"/>
    <n v="18.401"/>
    <n v="18.401"/>
    <n v="0"/>
    <x v="0"/>
    <n v="0"/>
    <n v="13"/>
    <n v="15"/>
    <n v="65"/>
    <n v="31.72"/>
    <n v="69.37"/>
    <n v="454.9"/>
    <n v="40.931078532759663"/>
    <n v="111.03029432835316"/>
    <n v="430.5563899456306"/>
    <n v="15479.359999999999"/>
    <n v="1276.4773700000001"/>
    <n v="8370.6148999999987"/>
    <n v="19974.366323986716"/>
    <n v="2043.0684459360266"/>
    <n v="7922.6681313895488"/>
  </r>
  <r>
    <s v="Regular"/>
    <x v="1"/>
    <x v="1"/>
    <x v="1"/>
    <x v="0"/>
    <x v="0"/>
    <x v="0"/>
    <x v="2"/>
    <x v="0"/>
    <n v="9075"/>
    <n v="9075"/>
    <n v="507.16899999999998"/>
    <n v="507.16899999999998"/>
    <n v="0"/>
    <n v="0"/>
    <n v="0"/>
    <x v="1"/>
    <n v="0"/>
    <n v="13"/>
    <n v="15"/>
    <n v="0"/>
    <n v="31.72"/>
    <n v="69.37"/>
    <n v="0"/>
    <n v="40.931078532759663"/>
    <n v="111.03029432835316"/>
    <m/>
    <n v="287859"/>
    <n v="35182.313529999999"/>
    <n v="0"/>
    <n v="371449.53768479393"/>
    <n v="56311.123344216547"/>
    <n v="0"/>
  </r>
  <r>
    <s v="Regular"/>
    <x v="1"/>
    <x v="1"/>
    <x v="1"/>
    <x v="0"/>
    <x v="0"/>
    <x v="0"/>
    <x v="2"/>
    <x v="4"/>
    <n v="98"/>
    <n v="98"/>
    <n v="4.5609999999999999"/>
    <n v="4.5609999999999999"/>
    <n v="4.5609999999999999"/>
    <n v="4.5609999999999999"/>
    <n v="0"/>
    <x v="0"/>
    <n v="0"/>
    <n v="13"/>
    <n v="15"/>
    <n v="65"/>
    <n v="31.72"/>
    <n v="69.37"/>
    <n v="454.9"/>
    <n v="40.931078532759663"/>
    <n v="111.03029432835316"/>
    <n v="430.5563899456306"/>
    <n v="3108.56"/>
    <n v="316.39657"/>
    <n v="2074.7988999999998"/>
    <n v="4011.245696210447"/>
    <n v="506.4091724316188"/>
    <n v="1963.7676945420212"/>
  </r>
  <r>
    <s v="Regular"/>
    <x v="1"/>
    <x v="1"/>
    <x v="1"/>
    <x v="0"/>
    <x v="0"/>
    <x v="0"/>
    <x v="2"/>
    <x v="4"/>
    <n v="9127"/>
    <n v="9127"/>
    <n v="498.80099999999999"/>
    <n v="498.80099999999999"/>
    <n v="0"/>
    <n v="0"/>
    <n v="0"/>
    <x v="1"/>
    <n v="0"/>
    <n v="13"/>
    <n v="15"/>
    <n v="0"/>
    <n v="31.72"/>
    <n v="69.37"/>
    <n v="0"/>
    <n v="40.931078532759663"/>
    <n v="111.03029432835316"/>
    <m/>
    <n v="289508.44"/>
    <n v="34601.825369999999"/>
    <n v="0"/>
    <n v="373577.95376849745"/>
    <n v="55382.021841276888"/>
    <n v="0"/>
  </r>
  <r>
    <s v="Regular"/>
    <x v="1"/>
    <x v="1"/>
    <x v="1"/>
    <x v="0"/>
    <x v="0"/>
    <x v="0"/>
    <x v="2"/>
    <x v="1"/>
    <n v="89"/>
    <n v="89"/>
    <n v="4.7130000000000001"/>
    <n v="4.7130000000000001"/>
    <n v="4.7130000000000001"/>
    <n v="4.7130000000000001"/>
    <n v="0"/>
    <x v="0"/>
    <n v="0"/>
    <n v="13"/>
    <n v="15"/>
    <n v="65"/>
    <n v="31.72"/>
    <n v="69.37"/>
    <n v="454.9"/>
    <n v="40.931078532759663"/>
    <n v="111.03029432835316"/>
    <n v="430.5563899456306"/>
    <n v="2823.08"/>
    <n v="326.94081"/>
    <n v="2143.9436999999998"/>
    <n v="3642.8659894156099"/>
    <n v="523.2857771695285"/>
    <n v="2029.2122658137571"/>
  </r>
  <r>
    <s v="Regular"/>
    <x v="1"/>
    <x v="1"/>
    <x v="1"/>
    <x v="0"/>
    <x v="0"/>
    <x v="0"/>
    <x v="2"/>
    <x v="1"/>
    <n v="9000"/>
    <n v="9000"/>
    <n v="445.197"/>
    <n v="445.197"/>
    <n v="0"/>
    <n v="0"/>
    <n v="0"/>
    <x v="1"/>
    <n v="0"/>
    <n v="13"/>
    <n v="15"/>
    <n v="0"/>
    <n v="31.72"/>
    <n v="69.37"/>
    <n v="0"/>
    <n v="40.931078532759663"/>
    <n v="111.03029432835316"/>
    <m/>
    <n v="285480"/>
    <n v="30883.315890000002"/>
    <n v="0"/>
    <n v="368379.70679483697"/>
    <n v="49430.353944099843"/>
    <n v="0"/>
  </r>
  <r>
    <s v="Regular"/>
    <x v="1"/>
    <x v="1"/>
    <x v="1"/>
    <x v="0"/>
    <x v="0"/>
    <x v="0"/>
    <x v="2"/>
    <x v="2"/>
    <n v="99"/>
    <n v="99"/>
    <n v="4.2839999999999998"/>
    <n v="4.2839999999999998"/>
    <n v="4.2839999999999998"/>
    <n v="4.2839999999999998"/>
    <n v="0"/>
    <x v="0"/>
    <n v="0"/>
    <n v="13"/>
    <n v="15"/>
    <n v="65"/>
    <n v="31.72"/>
    <n v="69.37"/>
    <n v="454.9"/>
    <n v="40.931078532759663"/>
    <n v="111.03029432835316"/>
    <n v="430.5563899456306"/>
    <n v="3140.2799999999997"/>
    <n v="297.18108000000001"/>
    <n v="1948.7915999999998"/>
    <n v="4052.1767747432068"/>
    <n v="475.65378090266495"/>
    <n v="1844.5035745270814"/>
  </r>
  <r>
    <s v="Regular"/>
    <x v="1"/>
    <x v="1"/>
    <x v="1"/>
    <x v="0"/>
    <x v="0"/>
    <x v="0"/>
    <x v="2"/>
    <x v="2"/>
    <n v="9455"/>
    <n v="9455"/>
    <n v="539.15800000000002"/>
    <n v="539.15800000000002"/>
    <n v="0"/>
    <n v="0"/>
    <n v="0"/>
    <x v="1"/>
    <n v="0"/>
    <n v="13"/>
    <n v="15"/>
    <n v="0"/>
    <n v="31.72"/>
    <n v="69.37"/>
    <n v="0"/>
    <n v="40.931078532759663"/>
    <n v="111.03029432835316"/>
    <m/>
    <n v="299912.59999999998"/>
    <n v="37401.390460000002"/>
    <n v="0"/>
    <n v="387003.34752724261"/>
    <n v="59862.871429486237"/>
    <n v="0"/>
  </r>
  <r>
    <s v="Regular"/>
    <x v="1"/>
    <x v="1"/>
    <x v="1"/>
    <x v="0"/>
    <x v="0"/>
    <x v="0"/>
    <x v="2"/>
    <x v="5"/>
    <n v="92"/>
    <n v="92"/>
    <n v="4.9260000000000002"/>
    <n v="4.9260000000000002"/>
    <n v="4.9260000000000002"/>
    <n v="4.9260000000000002"/>
    <n v="0"/>
    <x v="0"/>
    <n v="0"/>
    <n v="13"/>
    <n v="15"/>
    <n v="65"/>
    <n v="31.72"/>
    <n v="69.37"/>
    <n v="454.9"/>
    <n v="40.931078532759663"/>
    <n v="111.03029432835316"/>
    <n v="430.5563899456306"/>
    <n v="2918.24"/>
    <n v="341.71662000000003"/>
    <n v="2240.8373999999999"/>
    <n v="3765.6592250138892"/>
    <n v="546.93522986146775"/>
    <n v="2120.9207768721762"/>
  </r>
  <r>
    <s v="Regular"/>
    <x v="1"/>
    <x v="1"/>
    <x v="1"/>
    <x v="0"/>
    <x v="0"/>
    <x v="0"/>
    <x v="2"/>
    <x v="5"/>
    <n v="9000"/>
    <n v="9000"/>
    <n v="455.83199999999999"/>
    <n v="455.83199999999999"/>
    <n v="0"/>
    <n v="0"/>
    <n v="0"/>
    <x v="1"/>
    <n v="0"/>
    <n v="13"/>
    <n v="15"/>
    <n v="0"/>
    <n v="31.72"/>
    <n v="69.37"/>
    <n v="0"/>
    <n v="40.931078532759663"/>
    <n v="111.03029432835316"/>
    <m/>
    <n v="285480"/>
    <n v="31621.065840000003"/>
    <n v="0"/>
    <n v="368379.70679483697"/>
    <n v="50611.161124281876"/>
    <n v="0"/>
  </r>
  <r>
    <s v="Regular"/>
    <x v="1"/>
    <x v="1"/>
    <x v="2"/>
    <x v="0"/>
    <x v="0"/>
    <x v="0"/>
    <x v="0"/>
    <x v="6"/>
    <n v="229"/>
    <n v="229"/>
    <n v="68.180000000000007"/>
    <n v="68.180000000000007"/>
    <n v="68.180000000000007"/>
    <n v="68.180000000000007"/>
    <n v="0"/>
    <x v="0"/>
    <n v="0"/>
    <n v="14"/>
    <n v="15"/>
    <n v="66"/>
    <n v="12.42"/>
    <n v="69.37"/>
    <n v="284.36"/>
    <n v="15.866734033722858"/>
    <n v="111.03029432835316"/>
    <n v="274.80069497881567"/>
    <n v="2844.18"/>
    <n v="4729.6466000000009"/>
    <n v="19387.664800000002"/>
    <n v="3633.4820937225345"/>
    <n v="7570.0454673071199"/>
    <n v="18735.911383655653"/>
  </r>
  <r>
    <s v="Regular"/>
    <x v="1"/>
    <x v="1"/>
    <x v="2"/>
    <x v="0"/>
    <x v="0"/>
    <x v="0"/>
    <x v="0"/>
    <x v="7"/>
    <n v="202"/>
    <n v="202"/>
    <n v="75.519000000000005"/>
    <n v="75.519000000000005"/>
    <n v="75.519000000000005"/>
    <n v="75.519000000000005"/>
    <n v="0"/>
    <x v="0"/>
    <n v="0"/>
    <n v="14"/>
    <n v="15"/>
    <n v="66"/>
    <n v="12.42"/>
    <n v="69.37"/>
    <n v="284.36"/>
    <n v="15.866734033722858"/>
    <n v="111.03029432835316"/>
    <n v="274.80069497881567"/>
    <n v="2508.84"/>
    <n v="5238.7530300000008"/>
    <n v="21474.582840000003"/>
    <n v="3205.0802748120173"/>
    <n v="8384.896797382904"/>
    <n v="20752.673684105182"/>
  </r>
  <r>
    <s v="Regular"/>
    <x v="1"/>
    <x v="1"/>
    <x v="2"/>
    <x v="0"/>
    <x v="0"/>
    <x v="0"/>
    <x v="0"/>
    <x v="8"/>
    <n v="180"/>
    <n v="180"/>
    <n v="66.025000000000006"/>
    <n v="66.025000000000006"/>
    <n v="66.025000000000006"/>
    <n v="66.025000000000006"/>
    <n v="0"/>
    <x v="0"/>
    <n v="0"/>
    <n v="14"/>
    <n v="15"/>
    <n v="66"/>
    <n v="12.42"/>
    <n v="69.37"/>
    <n v="284.36"/>
    <n v="15.866734033722858"/>
    <n v="111.03029432835316"/>
    <n v="274.80069497881567"/>
    <n v="2235.6"/>
    <n v="4580.1542500000005"/>
    <n v="18774.869000000002"/>
    <n v="2856.0121260701144"/>
    <n v="7330.7751830295183"/>
    <n v="18143.715885976308"/>
  </r>
  <r>
    <s v="Regular"/>
    <x v="1"/>
    <x v="1"/>
    <x v="2"/>
    <x v="0"/>
    <x v="0"/>
    <x v="0"/>
    <x v="0"/>
    <x v="9"/>
    <n v="180"/>
    <n v="180"/>
    <n v="61.225999999999999"/>
    <n v="61.225999999999999"/>
    <n v="61.225999999999999"/>
    <n v="61.225999999999999"/>
    <n v="0"/>
    <x v="0"/>
    <n v="0"/>
    <n v="14"/>
    <n v="15"/>
    <n v="66"/>
    <n v="12.42"/>
    <n v="69.37"/>
    <n v="284.36"/>
    <n v="15.866734033722858"/>
    <n v="111.03029432835316"/>
    <n v="274.80069497881567"/>
    <n v="2235.6"/>
    <n v="4247.2476200000001"/>
    <n v="17410.22536"/>
    <n v="2856.0121260701144"/>
    <n v="6797.9408005477508"/>
    <n v="16824.947350772967"/>
  </r>
  <r>
    <s v="Regular"/>
    <x v="1"/>
    <x v="1"/>
    <x v="2"/>
    <x v="0"/>
    <x v="0"/>
    <x v="0"/>
    <x v="0"/>
    <x v="10"/>
    <n v="165"/>
    <n v="165"/>
    <n v="52.749000000000002"/>
    <n v="52.749000000000002"/>
    <n v="52.749000000000002"/>
    <n v="52.749000000000002"/>
    <n v="0"/>
    <x v="0"/>
    <n v="0"/>
    <n v="14"/>
    <n v="15"/>
    <n v="66"/>
    <n v="12.42"/>
    <n v="69.37"/>
    <n v="284.36"/>
    <n v="15.866734033722858"/>
    <n v="111.03029432835316"/>
    <n v="274.80069497881567"/>
    <n v="2049.3000000000002"/>
    <n v="3659.1981300000002"/>
    <n v="14999.705640000002"/>
    <n v="2618.0111155642717"/>
    <n v="5856.7369955263011"/>
    <n v="14495.461859437548"/>
  </r>
  <r>
    <s v="Regular"/>
    <x v="1"/>
    <x v="1"/>
    <x v="2"/>
    <x v="0"/>
    <x v="0"/>
    <x v="0"/>
    <x v="0"/>
    <x v="11"/>
    <n v="194"/>
    <n v="194"/>
    <n v="58.695"/>
    <n v="58.695"/>
    <n v="58.695"/>
    <n v="58.695"/>
    <n v="0"/>
    <x v="0"/>
    <n v="0"/>
    <n v="14"/>
    <n v="15"/>
    <n v="66"/>
    <n v="12.42"/>
    <n v="69.37"/>
    <n v="284.36"/>
    <n v="15.866734033722858"/>
    <n v="111.03029432835316"/>
    <n v="274.80069497881567"/>
    <n v="2409.48"/>
    <n v="4071.6721500000003"/>
    <n v="16690.510200000001"/>
    <n v="3078.1464025422347"/>
    <n v="6516.9231256026887"/>
    <n v="16129.426791781585"/>
  </r>
  <r>
    <s v="Regular"/>
    <x v="1"/>
    <x v="1"/>
    <x v="2"/>
    <x v="0"/>
    <x v="0"/>
    <x v="0"/>
    <x v="0"/>
    <x v="3"/>
    <n v="207"/>
    <n v="207"/>
    <n v="63.817"/>
    <n v="63.817"/>
    <n v="63.817"/>
    <n v="63.817"/>
    <n v="0"/>
    <x v="0"/>
    <n v="0"/>
    <n v="14"/>
    <n v="15"/>
    <n v="66"/>
    <n v="12.42"/>
    <n v="69.37"/>
    <n v="284.36"/>
    <n v="15.866734033722858"/>
    <n v="111.03029432835316"/>
    <n v="274.80069497881567"/>
    <n v="2570.94"/>
    <n v="4426.9852900000005"/>
    <n v="18147.002120000001"/>
    <n v="3284.4139449806316"/>
    <n v="7085.620293152514"/>
    <n v="17536.955951463078"/>
  </r>
  <r>
    <s v="Regular"/>
    <x v="1"/>
    <x v="1"/>
    <x v="2"/>
    <x v="0"/>
    <x v="0"/>
    <x v="0"/>
    <x v="0"/>
    <x v="0"/>
    <n v="211"/>
    <n v="211"/>
    <n v="70.194000000000003"/>
    <n v="70.194000000000003"/>
    <n v="70.194000000000003"/>
    <n v="70.194000000000003"/>
    <n v="0"/>
    <x v="0"/>
    <n v="0"/>
    <n v="14"/>
    <n v="15"/>
    <n v="66"/>
    <n v="12.42"/>
    <n v="69.37"/>
    <n v="284.36"/>
    <n v="15.866734033722858"/>
    <n v="111.03029432835316"/>
    <n v="274.80069497881567"/>
    <n v="2620.62"/>
    <n v="4869.3577800000003"/>
    <n v="19960.365840000002"/>
    <n v="3347.8808811155232"/>
    <n v="7793.6604800844225"/>
    <n v="19289.359983342987"/>
  </r>
  <r>
    <s v="Regular"/>
    <x v="1"/>
    <x v="1"/>
    <x v="2"/>
    <x v="0"/>
    <x v="0"/>
    <x v="0"/>
    <x v="0"/>
    <x v="4"/>
    <n v="213"/>
    <n v="213"/>
    <n v="67.41"/>
    <n v="67.41"/>
    <n v="67.41"/>
    <n v="67.41"/>
    <n v="0"/>
    <x v="0"/>
    <n v="0"/>
    <n v="14"/>
    <n v="15"/>
    <n v="66"/>
    <n v="12.42"/>
    <n v="69.37"/>
    <n v="284.36"/>
    <n v="15.866734033722858"/>
    <n v="111.03029432835316"/>
    <n v="274.80069497881567"/>
    <n v="2645.46"/>
    <n v="4676.2317000000003"/>
    <n v="19168.707600000002"/>
    <n v="3379.6143491829689"/>
    <n v="7484.5521406742864"/>
    <n v="18524.314848521964"/>
  </r>
  <r>
    <s v="Regular"/>
    <x v="1"/>
    <x v="1"/>
    <x v="2"/>
    <x v="0"/>
    <x v="0"/>
    <x v="0"/>
    <x v="0"/>
    <x v="1"/>
    <n v="199"/>
    <n v="199"/>
    <n v="74.602000000000004"/>
    <n v="74.602000000000004"/>
    <n v="74.602000000000004"/>
    <n v="74.602000000000004"/>
    <n v="0"/>
    <x v="0"/>
    <n v="0"/>
    <n v="14"/>
    <n v="15"/>
    <n v="66"/>
    <n v="12.42"/>
    <n v="69.37"/>
    <n v="284.36"/>
    <n v="15.866734033722858"/>
    <n v="111.03029432835316"/>
    <n v="274.80069497881567"/>
    <n v="2471.58"/>
    <n v="5175.1407400000007"/>
    <n v="21213.824720000001"/>
    <n v="3157.4800727108486"/>
    <n v="8283.0820174838027"/>
    <n v="20500.681446809609"/>
  </r>
  <r>
    <s v="Regular"/>
    <x v="1"/>
    <x v="1"/>
    <x v="2"/>
    <x v="0"/>
    <x v="0"/>
    <x v="0"/>
    <x v="0"/>
    <x v="2"/>
    <n v="194"/>
    <n v="194"/>
    <n v="58.408999999999999"/>
    <n v="58.408999999999999"/>
    <n v="58.408999999999999"/>
    <n v="58.408999999999999"/>
    <n v="0"/>
    <x v="0"/>
    <n v="0"/>
    <n v="14"/>
    <n v="15"/>
    <n v="66"/>
    <n v="12.42"/>
    <n v="69.37"/>
    <n v="284.36"/>
    <n v="15.866734033722858"/>
    <n v="111.03029432835316"/>
    <n v="274.80069497881567"/>
    <n v="2409.48"/>
    <n v="4051.8323300000002"/>
    <n v="16609.183240000002"/>
    <n v="3078.1464025422347"/>
    <n v="6485.1684614247797"/>
    <n v="16050.833793017644"/>
  </r>
  <r>
    <s v="Regular"/>
    <x v="1"/>
    <x v="1"/>
    <x v="2"/>
    <x v="0"/>
    <x v="0"/>
    <x v="0"/>
    <x v="0"/>
    <x v="5"/>
    <n v="192"/>
    <n v="192"/>
    <n v="61.29"/>
    <n v="61.29"/>
    <n v="61.29"/>
    <n v="61.29"/>
    <n v="0"/>
    <x v="0"/>
    <n v="0"/>
    <n v="14"/>
    <n v="15"/>
    <n v="66"/>
    <n v="12.42"/>
    <n v="69.37"/>
    <n v="284.36"/>
    <n v="15.866734033722858"/>
    <n v="111.03029432835316"/>
    <n v="274.80069497881567"/>
    <n v="2384.64"/>
    <n v="4251.6873000000005"/>
    <n v="17428.4244"/>
    <n v="3046.4129344747889"/>
    <n v="6805.0467393847657"/>
    <n v="16842.534595251611"/>
  </r>
  <r>
    <s v="Regular"/>
    <x v="1"/>
    <x v="1"/>
    <x v="2"/>
    <x v="0"/>
    <x v="0"/>
    <x v="0"/>
    <x v="2"/>
    <x v="6"/>
    <n v="179"/>
    <n v="179"/>
    <n v="7.194"/>
    <n v="7.194"/>
    <n v="7.194"/>
    <n v="7.194"/>
    <n v="0"/>
    <x v="0"/>
    <n v="0"/>
    <n v="13"/>
    <n v="15"/>
    <n v="65"/>
    <n v="31.72"/>
    <n v="69.37"/>
    <n v="454.9"/>
    <n v="40.931078532759663"/>
    <n v="111.03029432835316"/>
    <n v="430.5563899456306"/>
    <n v="5677.88"/>
    <n v="499.04778000000005"/>
    <n v="3272.5506"/>
    <n v="7326.6630573639795"/>
    <n v="798.75193739817269"/>
    <n v="3097.4226692688667"/>
  </r>
  <r>
    <s v="Regular"/>
    <x v="1"/>
    <x v="1"/>
    <x v="2"/>
    <x v="0"/>
    <x v="0"/>
    <x v="0"/>
    <x v="2"/>
    <x v="7"/>
    <n v="173"/>
    <n v="173"/>
    <n v="7.718"/>
    <n v="7.718"/>
    <n v="7.718"/>
    <n v="7.718"/>
    <n v="0"/>
    <x v="0"/>
    <n v="0"/>
    <n v="13"/>
    <n v="15"/>
    <n v="65"/>
    <n v="31.72"/>
    <n v="69.37"/>
    <n v="454.9"/>
    <n v="40.931078532759663"/>
    <n v="111.03029432835316"/>
    <n v="430.5563899456306"/>
    <n v="5487.5599999999995"/>
    <n v="535.39766000000009"/>
    <n v="3510.9181999999996"/>
    <n v="7081.0765861674217"/>
    <n v="856.93181162622977"/>
    <n v="3323.0342176003769"/>
  </r>
  <r>
    <s v="Regular"/>
    <x v="1"/>
    <x v="1"/>
    <x v="2"/>
    <x v="0"/>
    <x v="0"/>
    <x v="0"/>
    <x v="2"/>
    <x v="8"/>
    <n v="154"/>
    <n v="154"/>
    <n v="6.681"/>
    <n v="6.681"/>
    <n v="6.681"/>
    <n v="6.681"/>
    <n v="0"/>
    <x v="0"/>
    <n v="0"/>
    <n v="13"/>
    <n v="15"/>
    <n v="65"/>
    <n v="31.72"/>
    <n v="69.37"/>
    <n v="454.9"/>
    <n v="40.931078532759663"/>
    <n v="111.03029432835316"/>
    <n v="430.5563899456306"/>
    <n v="4884.88"/>
    <n v="463.46097000000003"/>
    <n v="3039.1868999999997"/>
    <n v="6303.3860940449886"/>
    <n v="741.79339640772753"/>
    <n v="2876.5472412267582"/>
  </r>
  <r>
    <s v="Regular"/>
    <x v="1"/>
    <x v="1"/>
    <x v="2"/>
    <x v="0"/>
    <x v="0"/>
    <x v="0"/>
    <x v="2"/>
    <x v="9"/>
    <n v="176"/>
    <n v="176"/>
    <n v="7.0259999999999998"/>
    <n v="7.0259999999999998"/>
    <n v="7.0259999999999998"/>
    <n v="7.0259999999999998"/>
    <n v="0"/>
    <x v="0"/>
    <n v="0"/>
    <n v="13"/>
    <n v="15"/>
    <n v="65"/>
    <n v="31.72"/>
    <n v="69.37"/>
    <n v="454.9"/>
    <n v="40.931078532759663"/>
    <n v="111.03029432835316"/>
    <n v="430.5563899456306"/>
    <n v="5582.7199999999993"/>
    <n v="487.39362"/>
    <n v="3196.1273999999999"/>
    <n v="7203.8698217657011"/>
    <n v="780.09884795100936"/>
    <n v="3025.0891957580006"/>
  </r>
  <r>
    <s v="Regular"/>
    <x v="1"/>
    <x v="1"/>
    <x v="2"/>
    <x v="0"/>
    <x v="0"/>
    <x v="0"/>
    <x v="2"/>
    <x v="10"/>
    <n v="126"/>
    <n v="126"/>
    <n v="5.4720000000000004"/>
    <n v="5.4720000000000004"/>
    <n v="5.4720000000000004"/>
    <n v="5.4720000000000004"/>
    <n v="0"/>
    <x v="0"/>
    <n v="0"/>
    <n v="13"/>
    <n v="15"/>
    <n v="65"/>
    <n v="31.72"/>
    <n v="69.37"/>
    <n v="454.9"/>
    <n v="40.931078532759663"/>
    <n v="111.03029432835316"/>
    <n v="430.5563899456306"/>
    <n v="3996.72"/>
    <n v="379.59264000000007"/>
    <n v="2489.2128000000002"/>
    <n v="5157.3158951277173"/>
    <n v="607.55777056474858"/>
    <n v="2356.0045657824908"/>
  </r>
  <r>
    <s v="Regular"/>
    <x v="1"/>
    <x v="1"/>
    <x v="2"/>
    <x v="0"/>
    <x v="0"/>
    <x v="0"/>
    <x v="2"/>
    <x v="11"/>
    <n v="126"/>
    <n v="126"/>
    <n v="6.4649999999999999"/>
    <n v="6.4649999999999999"/>
    <n v="6.4649999999999999"/>
    <n v="6.4649999999999999"/>
    <n v="0"/>
    <x v="0"/>
    <n v="0"/>
    <n v="13"/>
    <n v="15"/>
    <n v="65"/>
    <n v="31.72"/>
    <n v="69.37"/>
    <n v="454.9"/>
    <n v="40.931078532759663"/>
    <n v="111.03029432835316"/>
    <n v="430.5563899456306"/>
    <n v="3996.72"/>
    <n v="448.47705000000002"/>
    <n v="2940.9285"/>
    <n v="5157.3158951277173"/>
    <n v="717.81085283280322"/>
    <n v="2783.5470609985018"/>
  </r>
  <r>
    <s v="Regular"/>
    <x v="1"/>
    <x v="1"/>
    <x v="2"/>
    <x v="0"/>
    <x v="0"/>
    <x v="0"/>
    <x v="2"/>
    <x v="3"/>
    <n v="149"/>
    <n v="149"/>
    <n v="6.9580000000000002"/>
    <n v="6.9580000000000002"/>
    <n v="6.9580000000000002"/>
    <n v="6.9580000000000002"/>
    <n v="0"/>
    <x v="0"/>
    <n v="0"/>
    <n v="13"/>
    <n v="15"/>
    <n v="65"/>
    <n v="31.72"/>
    <n v="69.37"/>
    <n v="454.9"/>
    <n v="40.931078532759663"/>
    <n v="111.03029432835316"/>
    <n v="430.5563899456306"/>
    <n v="4726.28"/>
    <n v="482.67646000000002"/>
    <n v="3165.1941999999999"/>
    <n v="6098.7307013811896"/>
    <n v="772.54878793668138"/>
    <n v="2995.8113612416978"/>
  </r>
  <r>
    <s v="Regular"/>
    <x v="1"/>
    <x v="1"/>
    <x v="2"/>
    <x v="0"/>
    <x v="0"/>
    <x v="0"/>
    <x v="2"/>
    <x v="0"/>
    <n v="177"/>
    <n v="177"/>
    <n v="6.9720000000000004"/>
    <n v="6.9720000000000004"/>
    <n v="6.9720000000000004"/>
    <n v="6.9720000000000004"/>
    <n v="0"/>
    <x v="0"/>
    <n v="0"/>
    <n v="13"/>
    <n v="15"/>
    <n v="65"/>
    <n v="31.72"/>
    <n v="69.37"/>
    <n v="454.9"/>
    <n v="40.931078532759663"/>
    <n v="111.03029432835316"/>
    <n v="430.5563899456306"/>
    <n v="5614.44"/>
    <n v="483.64764000000008"/>
    <n v="3171.5628000000002"/>
    <n v="7244.80090029846"/>
    <n v="774.10321205727826"/>
    <n v="3001.8391507009369"/>
  </r>
  <r>
    <s v="Regular"/>
    <x v="1"/>
    <x v="1"/>
    <x v="2"/>
    <x v="0"/>
    <x v="0"/>
    <x v="0"/>
    <x v="2"/>
    <x v="4"/>
    <n v="153"/>
    <n v="153"/>
    <n v="7.0359999999999996"/>
    <n v="7.0359999999999996"/>
    <n v="7.0359999999999996"/>
    <n v="7.0359999999999996"/>
    <n v="0"/>
    <x v="0"/>
    <n v="0"/>
    <n v="13"/>
    <n v="15"/>
    <n v="65"/>
    <n v="31.72"/>
    <n v="69.37"/>
    <n v="454.9"/>
    <n v="40.931078532759663"/>
    <n v="111.03029432835316"/>
    <n v="430.5563899456306"/>
    <n v="4853.16"/>
    <n v="488.08731999999998"/>
    <n v="3200.6763999999998"/>
    <n v="6262.4550155122288"/>
    <n v="781.20915089429286"/>
    <n v="3029.3947596574567"/>
  </r>
  <r>
    <s v="Regular"/>
    <x v="1"/>
    <x v="1"/>
    <x v="2"/>
    <x v="0"/>
    <x v="0"/>
    <x v="0"/>
    <x v="2"/>
    <x v="1"/>
    <n v="187"/>
    <n v="187"/>
    <n v="7.6870000000000003"/>
    <n v="7.6870000000000003"/>
    <n v="7.6870000000000003"/>
    <n v="7.6870000000000003"/>
    <n v="0"/>
    <x v="0"/>
    <n v="0"/>
    <n v="13"/>
    <n v="15"/>
    <n v="65"/>
    <n v="31.72"/>
    <n v="69.37"/>
    <n v="454.9"/>
    <n v="40.931078532759663"/>
    <n v="111.03029432835316"/>
    <n v="430.5563899456306"/>
    <n v="5931.6399999999994"/>
    <n v="533.24719000000005"/>
    <n v="3496.8163"/>
    <n v="7654.1116856260569"/>
    <n v="853.48987250205084"/>
    <n v="3309.6869695120627"/>
  </r>
  <r>
    <s v="Regular"/>
    <x v="1"/>
    <x v="1"/>
    <x v="2"/>
    <x v="0"/>
    <x v="0"/>
    <x v="0"/>
    <x v="2"/>
    <x v="2"/>
    <n v="128"/>
    <n v="128"/>
    <n v="5.65"/>
    <n v="5.65"/>
    <n v="5.65"/>
    <n v="5.65"/>
    <n v="0"/>
    <x v="0"/>
    <n v="0"/>
    <n v="13"/>
    <n v="15"/>
    <n v="65"/>
    <n v="31.72"/>
    <n v="69.37"/>
    <n v="454.9"/>
    <n v="40.931078532759663"/>
    <n v="111.03029432835316"/>
    <n v="430.5563899456306"/>
    <n v="4060.16"/>
    <n v="391.94050000000004"/>
    <n v="2570.1849999999999"/>
    <n v="5239.1780521932369"/>
    <n v="627.3211629551954"/>
    <n v="2432.6436031928129"/>
  </r>
  <r>
    <s v="Regular"/>
    <x v="1"/>
    <x v="1"/>
    <x v="2"/>
    <x v="0"/>
    <x v="0"/>
    <x v="0"/>
    <x v="2"/>
    <x v="5"/>
    <n v="135"/>
    <n v="135"/>
    <n v="6.0190000000000001"/>
    <n v="6.0190000000000001"/>
    <n v="6.0190000000000001"/>
    <n v="6.0190000000000001"/>
    <n v="0"/>
    <x v="0"/>
    <n v="0"/>
    <n v="13"/>
    <n v="15"/>
    <n v="65"/>
    <n v="31.72"/>
    <n v="69.37"/>
    <n v="454.9"/>
    <n v="40.931078532759663"/>
    <n v="111.03029432835316"/>
    <n v="430.5563899456306"/>
    <n v="4282.2"/>
    <n v="417.53803000000005"/>
    <n v="2738.0430999999999"/>
    <n v="5525.6956019225545"/>
    <n v="668.29134156235773"/>
    <n v="2591.5189110827505"/>
  </r>
  <r>
    <s v="Regular"/>
    <x v="1"/>
    <x v="1"/>
    <x v="3"/>
    <x v="1"/>
    <x v="0"/>
    <x v="0"/>
    <x v="0"/>
    <x v="6"/>
    <n v="228"/>
    <n v="228"/>
    <n v="32.115000000000002"/>
    <n v="32.115000000000002"/>
    <n v="32.115000000000002"/>
    <n v="32.115000000000002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2094.1484970000001"/>
    <n v="8584.2881160000015"/>
    <n v="3509.0868988981474"/>
    <n v="3458.76576528441"/>
    <n v="8560.4675896673252"/>
  </r>
  <r>
    <s v="Regular"/>
    <x v="1"/>
    <x v="1"/>
    <x v="3"/>
    <x v="1"/>
    <x v="0"/>
    <x v="0"/>
    <x v="0"/>
    <x v="7"/>
    <n v="228"/>
    <n v="228"/>
    <n v="48.148000000000003"/>
    <n v="48.148000000000003"/>
    <n v="48.148000000000003"/>
    <n v="48.148000000000003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3139.6251544000006"/>
    <n v="12869.883363200002"/>
    <n v="3509.0868988981474"/>
    <n v="5185.510012981902"/>
    <n v="12834.170745984818"/>
  </r>
  <r>
    <s v="Regular"/>
    <x v="1"/>
    <x v="1"/>
    <x v="3"/>
    <x v="1"/>
    <x v="0"/>
    <x v="0"/>
    <x v="0"/>
    <x v="8"/>
    <n v="228"/>
    <n v="228"/>
    <n v="47.905000000000001"/>
    <n v="47.905000000000001"/>
    <n v="47.905000000000001"/>
    <n v="47.905000000000001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3123.7796590000003"/>
    <n v="12804.929852000001"/>
    <n v="3509.0868988981474"/>
    <n v="5159.3390623057658"/>
    <n v="12769.397474171361"/>
  </r>
  <r>
    <s v="Regular"/>
    <x v="1"/>
    <x v="1"/>
    <x v="3"/>
    <x v="1"/>
    <x v="0"/>
    <x v="0"/>
    <x v="0"/>
    <x v="9"/>
    <n v="228"/>
    <n v="228"/>
    <n v="33.082999999999998"/>
    <n v="33.082999999999998"/>
    <n v="33.082999999999998"/>
    <n v="33.082999999999998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2157.2696473999999"/>
    <n v="8843.0329672000007"/>
    <n v="3509.0868988981474"/>
    <n v="3563.0187704469604"/>
    <n v="8818.4944502246344"/>
  </r>
  <r>
    <s v="Regular"/>
    <x v="1"/>
    <x v="1"/>
    <x v="3"/>
    <x v="1"/>
    <x v="0"/>
    <x v="0"/>
    <x v="0"/>
    <x v="10"/>
    <n v="228"/>
    <n v="228"/>
    <n v="61.505000000000003"/>
    <n v="61.505000000000003"/>
    <n v="61.505000000000003"/>
    <n v="61.505000000000003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4010.6057390000005"/>
    <n v="16440.188092"/>
    <n v="3509.0868988981474"/>
    <n v="6624.0507050854003"/>
    <n v="16394.568242331898"/>
  </r>
  <r>
    <s v="Regular"/>
    <x v="1"/>
    <x v="1"/>
    <x v="3"/>
    <x v="1"/>
    <x v="0"/>
    <x v="0"/>
    <x v="0"/>
    <x v="11"/>
    <n v="228"/>
    <n v="228"/>
    <n v="38.808"/>
    <n v="38.808"/>
    <n v="38.808"/>
    <n v="38.808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2530.5843024000001"/>
    <n v="10373.316307200001"/>
    <n v="3509.0868988981474"/>
    <n v="4179.5977524258878"/>
    <n v="10344.531409615742"/>
  </r>
  <r>
    <s v="Regular"/>
    <x v="1"/>
    <x v="1"/>
    <x v="3"/>
    <x v="1"/>
    <x v="0"/>
    <x v="0"/>
    <x v="0"/>
    <x v="3"/>
    <n v="228"/>
    <n v="228"/>
    <n v="31.431999999999999"/>
    <n v="31.431999999999999"/>
    <n v="31.431999999999999"/>
    <n v="31.431999999999999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2049.6115696000002"/>
    <n v="8401.7233087999994"/>
    <n v="3509.0868988981474"/>
    <n v="3385.2070849889324"/>
    <n v="8378.4093812369101"/>
  </r>
  <r>
    <s v="Regular"/>
    <x v="1"/>
    <x v="1"/>
    <x v="3"/>
    <x v="1"/>
    <x v="0"/>
    <x v="0"/>
    <x v="0"/>
    <x v="0"/>
    <n v="228"/>
    <n v="228"/>
    <n v="37.186"/>
    <n v="37.186"/>
    <n v="37.186"/>
    <n v="37.186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2424.8172508000002"/>
    <n v="9939.7583024000014"/>
    <n v="3509.0868988981474"/>
    <n v="4004.9093491473163"/>
    <n v="9912.1764841777731"/>
  </r>
  <r>
    <s v="Regular"/>
    <x v="1"/>
    <x v="1"/>
    <x v="3"/>
    <x v="1"/>
    <x v="0"/>
    <x v="0"/>
    <x v="0"/>
    <x v="4"/>
    <n v="228"/>
    <n v="228"/>
    <n v="56.317"/>
    <n v="56.317"/>
    <n v="56.317"/>
    <n v="56.317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3672.3076726000004"/>
    <n v="15053.443992800001"/>
    <n v="3509.0868988981474"/>
    <n v="6065.3062931191689"/>
    <n v="15011.672216948304"/>
  </r>
  <r>
    <s v="Regular"/>
    <x v="1"/>
    <x v="1"/>
    <x v="3"/>
    <x v="1"/>
    <x v="0"/>
    <x v="0"/>
    <x v="0"/>
    <x v="1"/>
    <n v="228"/>
    <n v="228"/>
    <n v="20.756"/>
    <n v="20.756"/>
    <n v="20.756"/>
    <n v="20.756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1353.4530968000001"/>
    <n v="5548.0455904"/>
    <n v="3509.0868988981474"/>
    <n v="2235.4084454069193"/>
    <n v="5532.6503282308895"/>
  </r>
  <r>
    <s v="Regular"/>
    <x v="1"/>
    <x v="1"/>
    <x v="3"/>
    <x v="1"/>
    <x v="0"/>
    <x v="0"/>
    <x v="0"/>
    <x v="2"/>
    <n v="228"/>
    <n v="228"/>
    <n v="24.324999999999999"/>
    <n v="24.324999999999999"/>
    <n v="24.324999999999999"/>
    <n v="24.324999999999999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1586.1797350000002"/>
    <n v="6502.0335800000003"/>
    <n v="3509.0868988981474"/>
    <n v="2619.7875522510749"/>
    <n v="6483.9910981989005"/>
  </r>
  <r>
    <s v="Regular"/>
    <x v="1"/>
    <x v="1"/>
    <x v="3"/>
    <x v="1"/>
    <x v="0"/>
    <x v="0"/>
    <x v="0"/>
    <x v="5"/>
    <n v="228"/>
    <n v="228"/>
    <n v="29.733000000000001"/>
    <n v="29.733000000000001"/>
    <n v="29.733000000000001"/>
    <n v="29.733000000000001"/>
    <n v="0"/>
    <x v="0"/>
    <n v="0"/>
    <n v="14"/>
    <n v="15"/>
    <n v="66"/>
    <n v="11.674799999999999"/>
    <n v="65.207800000000006"/>
    <n v="267.29840000000002"/>
    <n v="15.390732012711172"/>
    <n v="107.69938549850256"/>
    <n v="266.55667412945121"/>
    <n v="2661.8543999999997"/>
    <n v="1938.8235174000001"/>
    <n v="7947.5833272000009"/>
    <n v="3509.0868988981474"/>
    <n v="3202.225829026977"/>
    <n v="7925.5295918909733"/>
  </r>
  <r>
    <s v="Regular"/>
    <x v="1"/>
    <x v="1"/>
    <x v="3"/>
    <x v="1"/>
    <x v="0"/>
    <x v="0"/>
    <x v="2"/>
    <x v="6"/>
    <n v="228"/>
    <n v="228"/>
    <n v="4.1959999999999997"/>
    <n v="4.1959999999999997"/>
    <n v="4.1959999999999997"/>
    <n v="4.1959999999999997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273.61192879999999"/>
    <n v="1794.2347759999996"/>
    <n v="9052.3173283051256"/>
    <n v="451.90662155171674"/>
    <n v="1752.4161738455098"/>
  </r>
  <r>
    <s v="Regular"/>
    <x v="1"/>
    <x v="1"/>
    <x v="3"/>
    <x v="1"/>
    <x v="0"/>
    <x v="0"/>
    <x v="2"/>
    <x v="7"/>
    <n v="228"/>
    <n v="228"/>
    <n v="6.3650000000000002"/>
    <n v="6.3650000000000002"/>
    <n v="6.3650000000000002"/>
    <n v="6.3650000000000002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415.04764700000004"/>
    <n v="2721.7121899999997"/>
    <n v="9052.3173283051256"/>
    <n v="685.50658869796882"/>
    <n v="2658.2766793438204"/>
  </r>
  <r>
    <s v="Regular"/>
    <x v="1"/>
    <x v="1"/>
    <x v="3"/>
    <x v="1"/>
    <x v="0"/>
    <x v="0"/>
    <x v="2"/>
    <x v="8"/>
    <n v="228"/>
    <n v="228"/>
    <n v="6.4050000000000002"/>
    <n v="6.4050000000000002"/>
    <n v="6.4050000000000002"/>
    <n v="6.4050000000000002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417.65595900000005"/>
    <n v="2738.8164299999999"/>
    <n v="9052.3173283051256"/>
    <n v="689.81456411790896"/>
    <n v="2674.9822672737109"/>
  </r>
  <r>
    <s v="Regular"/>
    <x v="1"/>
    <x v="1"/>
    <x v="3"/>
    <x v="1"/>
    <x v="0"/>
    <x v="0"/>
    <x v="2"/>
    <x v="9"/>
    <n v="228"/>
    <n v="228"/>
    <n v="3.7879999999999998"/>
    <n v="3.7879999999999998"/>
    <n v="3.7879999999999998"/>
    <n v="3.7879999999999998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247.00714640000001"/>
    <n v="1619.7715279999998"/>
    <n v="9052.3173283051256"/>
    <n v="407.96527226832768"/>
    <n v="1582.0191769606272"/>
  </r>
  <r>
    <s v="Regular"/>
    <x v="1"/>
    <x v="1"/>
    <x v="3"/>
    <x v="1"/>
    <x v="0"/>
    <x v="0"/>
    <x v="2"/>
    <x v="10"/>
    <n v="228"/>
    <n v="228"/>
    <n v="8.0120000000000005"/>
    <n v="8.0120000000000005"/>
    <n v="8.0120000000000005"/>
    <n v="8.0120000000000005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522.44489360000011"/>
    <n v="3425.9792719999996"/>
    <n v="9052.3173283051256"/>
    <n v="862.88747661400259"/>
    <n v="3346.1292623570607"/>
  </r>
  <r>
    <s v="Regular"/>
    <x v="1"/>
    <x v="1"/>
    <x v="3"/>
    <x v="1"/>
    <x v="0"/>
    <x v="0"/>
    <x v="2"/>
    <x v="11"/>
    <n v="228"/>
    <n v="228"/>
    <n v="4.8719999999999999"/>
    <n v="4.8719999999999999"/>
    <n v="4.8719999999999999"/>
    <n v="4.8719999999999999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317.69240160000004"/>
    <n v="2083.2964319999996"/>
    <n v="9052.3173283051256"/>
    <n v="524.71140614870444"/>
    <n v="2034.7406098606589"/>
  </r>
  <r>
    <s v="Regular"/>
    <x v="1"/>
    <x v="1"/>
    <x v="3"/>
    <x v="1"/>
    <x v="0"/>
    <x v="0"/>
    <x v="2"/>
    <x v="3"/>
    <n v="228"/>
    <n v="228"/>
    <n v="1.9990000000000001"/>
    <n v="1.9990000000000001"/>
    <n v="1.9990000000000001"/>
    <n v="1.9990000000000001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130.35039220000002"/>
    <n v="854.78439399999991"/>
    <n v="9052.3173283051256"/>
    <n v="215.29107161150665"/>
    <n v="834.86175679627615"/>
  </r>
  <r>
    <s v="Regular"/>
    <x v="1"/>
    <x v="1"/>
    <x v="3"/>
    <x v="1"/>
    <x v="0"/>
    <x v="0"/>
    <x v="2"/>
    <x v="0"/>
    <n v="228"/>
    <n v="228"/>
    <n v="4.0750000000000002"/>
    <n v="4.0750000000000002"/>
    <n v="4.0750000000000002"/>
    <n v="4.0750000000000002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265.72178500000001"/>
    <n v="1742.4944499999999"/>
    <n v="9052.3173283051256"/>
    <n v="438.874995906398"/>
    <n v="1701.8817703575914"/>
  </r>
  <r>
    <s v="Regular"/>
    <x v="1"/>
    <x v="1"/>
    <x v="3"/>
    <x v="1"/>
    <x v="0"/>
    <x v="0"/>
    <x v="2"/>
    <x v="4"/>
    <n v="228"/>
    <n v="228"/>
    <n v="1.7290000000000001"/>
    <n v="1.7290000000000001"/>
    <n v="1.7290000000000001"/>
    <n v="1.7290000000000001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112.74428620000002"/>
    <n v="739.33077399999991"/>
    <n v="9052.3173283051256"/>
    <n v="186.21223752691094"/>
    <n v="722.0990382695154"/>
  </r>
  <r>
    <s v="Regular"/>
    <x v="1"/>
    <x v="1"/>
    <x v="3"/>
    <x v="1"/>
    <x v="0"/>
    <x v="0"/>
    <x v="2"/>
    <x v="1"/>
    <n v="228"/>
    <n v="228"/>
    <n v="0.53400000000000003"/>
    <n v="0.53400000000000003"/>
    <n v="0.53400000000000003"/>
    <n v="0.53400000000000003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34.820965200000003"/>
    <n v="228.34160399999999"/>
    <n v="9052.3173283051256"/>
    <n v="57.511471856200373"/>
    <n v="223.01959886403773"/>
  </r>
  <r>
    <s v="Regular"/>
    <x v="1"/>
    <x v="1"/>
    <x v="3"/>
    <x v="1"/>
    <x v="0"/>
    <x v="0"/>
    <x v="2"/>
    <x v="2"/>
    <n v="228"/>
    <n v="228"/>
    <n v="0.55200000000000005"/>
    <n v="0.55200000000000005"/>
    <n v="0.55200000000000005"/>
    <n v="0.55200000000000005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35.994705600000003"/>
    <n v="236.038512"/>
    <n v="9052.3173283051256"/>
    <n v="59.450060795173421"/>
    <n v="230.53711343248847"/>
  </r>
  <r>
    <s v="Regular"/>
    <x v="1"/>
    <x v="1"/>
    <x v="3"/>
    <x v="1"/>
    <x v="0"/>
    <x v="0"/>
    <x v="2"/>
    <x v="5"/>
    <n v="228"/>
    <n v="228"/>
    <n v="0.63400000000000001"/>
    <n v="0.63400000000000001"/>
    <n v="0.63400000000000001"/>
    <n v="0.63400000000000001"/>
    <n v="0"/>
    <x v="0"/>
    <n v="0"/>
    <n v="13"/>
    <n v="15"/>
    <n v="65"/>
    <n v="29.816799999999997"/>
    <n v="65.207800000000006"/>
    <n v="427.60599999999994"/>
    <n v="39.703146176776869"/>
    <n v="107.69938549850256"/>
    <n v="417.63969824726166"/>
    <n v="6798.2303999999995"/>
    <n v="41.341745200000005"/>
    <n v="271.10220399999997"/>
    <n v="9052.3173283051256"/>
    <n v="68.281410406050625"/>
    <n v="264.78356868876392"/>
  </r>
  <r>
    <s v="Regular"/>
    <x v="1"/>
    <x v="0"/>
    <x v="0"/>
    <x v="0"/>
    <x v="0"/>
    <x v="0"/>
    <x v="0"/>
    <x v="6"/>
    <n v="0"/>
    <n v="0"/>
    <n v="841.98099999999999"/>
    <n v="841.98099999999999"/>
    <n v="841.98099999999999"/>
    <n v="841.98099999999999"/>
    <n v="0"/>
    <x v="0"/>
    <n v="0"/>
    <n v="0"/>
    <n v="20"/>
    <n v="66"/>
    <n v="0"/>
    <n v="69.37"/>
    <n v="284.36"/>
    <m/>
    <n v="111.03029432835316"/>
    <n v="274.80069497881567"/>
    <n v="0"/>
    <n v="58408.221970000006"/>
    <n v="239425.71716"/>
    <n v="0"/>
    <n v="93485.398248881131"/>
    <n v="231376.96395895819"/>
  </r>
  <r>
    <s v="Regular"/>
    <x v="1"/>
    <x v="0"/>
    <x v="0"/>
    <x v="0"/>
    <x v="0"/>
    <x v="0"/>
    <x v="0"/>
    <x v="7"/>
    <n v="0"/>
    <n v="0"/>
    <n v="872.77300000000002"/>
    <n v="872.77300000000002"/>
    <n v="872.77300000000002"/>
    <n v="872.77300000000002"/>
    <n v="0"/>
    <x v="0"/>
    <n v="0"/>
    <n v="0"/>
    <n v="20"/>
    <n v="66"/>
    <n v="0"/>
    <n v="69.37"/>
    <n v="284.36"/>
    <m/>
    <n v="111.03029432835316"/>
    <n v="274.80069497881567"/>
    <n v="0"/>
    <n v="60544.263010000002"/>
    <n v="248181.73028000002"/>
    <n v="0"/>
    <n v="96904.243071839781"/>
    <n v="239838.62695874591"/>
  </r>
  <r>
    <s v="Regular"/>
    <x v="1"/>
    <x v="0"/>
    <x v="0"/>
    <x v="0"/>
    <x v="0"/>
    <x v="0"/>
    <x v="0"/>
    <x v="8"/>
    <n v="0"/>
    <n v="0"/>
    <n v="884.68600000000004"/>
    <n v="884.68600000000004"/>
    <n v="884.68600000000004"/>
    <n v="884.68600000000004"/>
    <n v="0"/>
    <x v="0"/>
    <n v="0"/>
    <n v="0"/>
    <n v="20"/>
    <n v="66"/>
    <n v="0"/>
    <n v="69.37"/>
    <n v="284.36"/>
    <m/>
    <n v="111.03029432835316"/>
    <n v="274.80069497881567"/>
    <n v="0"/>
    <n v="61370.66782000001"/>
    <n v="251569.31096000003"/>
    <n v="0"/>
    <n v="98226.946968173448"/>
    <n v="243112.32763802854"/>
  </r>
  <r>
    <s v="Sistema de Compensação"/>
    <x v="1"/>
    <x v="0"/>
    <x v="0"/>
    <x v="0"/>
    <x v="0"/>
    <x v="0"/>
    <x v="0"/>
    <x v="8"/>
    <n v="0"/>
    <n v="0"/>
    <n v="4.5960000000000001"/>
    <n v="4.5960000000000001"/>
    <n v="4.5960000000000001"/>
    <n v="4.5960000000000001"/>
    <n v="0"/>
    <x v="0"/>
    <n v="0"/>
    <n v="0"/>
    <n v="20"/>
    <n v="66"/>
    <n v="0"/>
    <n v="69.37"/>
    <n v="284.36"/>
    <m/>
    <n v="111.03029432835316"/>
    <n v="274.80069497881567"/>
    <n v="0"/>
    <n v="318.82452000000001"/>
    <n v="1306.9185600000001"/>
    <n v="0"/>
    <n v="510.29523273311116"/>
    <n v="1262.9839941226369"/>
  </r>
  <r>
    <s v="Regular"/>
    <x v="1"/>
    <x v="0"/>
    <x v="0"/>
    <x v="0"/>
    <x v="0"/>
    <x v="0"/>
    <x v="0"/>
    <x v="9"/>
    <n v="0"/>
    <n v="0"/>
    <n v="910.68399999999997"/>
    <n v="910.68399999999997"/>
    <n v="910.68399999999997"/>
    <n v="910.68399999999997"/>
    <n v="0"/>
    <x v="0"/>
    <n v="0"/>
    <n v="0"/>
    <n v="20"/>
    <n v="66"/>
    <n v="0"/>
    <n v="69.37"/>
    <n v="284.36"/>
    <m/>
    <n v="111.03029432835316"/>
    <n v="274.80069497881567"/>
    <n v="0"/>
    <n v="63174.149080000003"/>
    <n v="258962.10224000001"/>
    <n v="0"/>
    <n v="101113.51256012198"/>
    <n v="250256.59610608776"/>
  </r>
  <r>
    <s v="Refaturamento - Regular"/>
    <x v="1"/>
    <x v="0"/>
    <x v="0"/>
    <x v="0"/>
    <x v="0"/>
    <x v="0"/>
    <x v="0"/>
    <x v="9"/>
    <n v="0"/>
    <n v="0"/>
    <n v="64.281999999999996"/>
    <n v="64.281999999999996"/>
    <n v="64.281999999999996"/>
    <n v="64.281999999999996"/>
    <n v="0"/>
    <x v="0"/>
    <n v="0"/>
    <n v="0"/>
    <n v="20"/>
    <n v="66"/>
    <n v="0"/>
    <n v="69.37"/>
    <n v="284.36"/>
    <m/>
    <n v="111.03029432835316"/>
    <n v="274.80069497881567"/>
    <n v="0"/>
    <n v="4459.2423399999998"/>
    <n v="18279.229520000001"/>
    <n v="0"/>
    <n v="7137.2493800151979"/>
    <n v="17664.738274628227"/>
  </r>
  <r>
    <s v="Sistema de Compensação"/>
    <x v="1"/>
    <x v="0"/>
    <x v="0"/>
    <x v="0"/>
    <x v="0"/>
    <x v="0"/>
    <x v="0"/>
    <x v="9"/>
    <n v="0"/>
    <n v="0"/>
    <n v="12.022"/>
    <n v="12.022"/>
    <n v="12.022"/>
    <n v="12.022"/>
    <n v="0"/>
    <x v="0"/>
    <n v="0"/>
    <n v="0"/>
    <n v="20"/>
    <n v="66"/>
    <n v="0"/>
    <n v="69.37"/>
    <n v="284.36"/>
    <m/>
    <n v="111.03029432835316"/>
    <n v="274.80069497881567"/>
    <n v="0"/>
    <n v="833.96614000000011"/>
    <n v="3418.5759200000002"/>
    <n v="0"/>
    <n v="1334.8061984154617"/>
    <n v="3303.6539550353223"/>
  </r>
  <r>
    <s v="Regular"/>
    <x v="1"/>
    <x v="0"/>
    <x v="0"/>
    <x v="0"/>
    <x v="0"/>
    <x v="0"/>
    <x v="0"/>
    <x v="10"/>
    <n v="0"/>
    <n v="0"/>
    <n v="944.654"/>
    <n v="944.654"/>
    <n v="944.654"/>
    <n v="944.654"/>
    <n v="0"/>
    <x v="0"/>
    <n v="0"/>
    <n v="0"/>
    <n v="20"/>
    <n v="66"/>
    <n v="0"/>
    <n v="69.37"/>
    <n v="284.36"/>
    <m/>
    <n v="111.03029432835316"/>
    <n v="274.80069497881567"/>
    <n v="0"/>
    <n v="65530.647980000002"/>
    <n v="268621.81144000002"/>
    <n v="0"/>
    <n v="104885.21165845613"/>
    <n v="259591.57571451814"/>
  </r>
  <r>
    <s v="Sistema de Compensação"/>
    <x v="1"/>
    <x v="0"/>
    <x v="0"/>
    <x v="0"/>
    <x v="0"/>
    <x v="0"/>
    <x v="0"/>
    <x v="10"/>
    <n v="0"/>
    <n v="0"/>
    <n v="7.556"/>
    <n v="7.556"/>
    <n v="7.556"/>
    <n v="7.556"/>
    <n v="0"/>
    <x v="0"/>
    <n v="0"/>
    <n v="0"/>
    <n v="20"/>
    <n v="66"/>
    <n v="0"/>
    <n v="69.37"/>
    <n v="284.36"/>
    <m/>
    <n v="111.03029432835316"/>
    <n v="274.80069497881567"/>
    <n v="0"/>
    <n v="524.15971999999999"/>
    <n v="2148.6241600000003"/>
    <n v="0"/>
    <n v="838.94490394503657"/>
    <n v="2076.3940512599311"/>
  </r>
  <r>
    <s v="Regular"/>
    <x v="1"/>
    <x v="0"/>
    <x v="0"/>
    <x v="0"/>
    <x v="0"/>
    <x v="0"/>
    <x v="0"/>
    <x v="11"/>
    <n v="0"/>
    <n v="0"/>
    <n v="1113.5930000000001"/>
    <n v="1113.5930000000001"/>
    <n v="1113.5930000000001"/>
    <n v="1113.5930000000001"/>
    <n v="0"/>
    <x v="0"/>
    <n v="0"/>
    <n v="0"/>
    <n v="20"/>
    <n v="66"/>
    <n v="0"/>
    <n v="69.37"/>
    <n v="284.36"/>
    <m/>
    <n v="111.03029432835316"/>
    <n v="274.80069497881567"/>
    <n v="0"/>
    <n v="77249.946410000004"/>
    <n v="316661.30548000004"/>
    <n v="0"/>
    <n v="123642.55855199379"/>
    <n v="306016.13032354432"/>
  </r>
  <r>
    <s v="Regular"/>
    <x v="1"/>
    <x v="0"/>
    <x v="0"/>
    <x v="0"/>
    <x v="0"/>
    <x v="0"/>
    <x v="0"/>
    <x v="3"/>
    <n v="0"/>
    <n v="0"/>
    <n v="837.38800000000003"/>
    <n v="837.38800000000003"/>
    <n v="837.38800000000003"/>
    <n v="837.38800000000003"/>
    <n v="0"/>
    <x v="0"/>
    <n v="0"/>
    <n v="0"/>
    <n v="20"/>
    <n v="66"/>
    <n v="0"/>
    <n v="69.37"/>
    <n v="284.36"/>
    <m/>
    <n v="111.03029432835316"/>
    <n v="274.80069497881567"/>
    <n v="0"/>
    <n v="58089.605560000004"/>
    <n v="238119.65168000001"/>
    <n v="0"/>
    <n v="92975.436107030997"/>
    <n v="230114.80436692049"/>
  </r>
  <r>
    <s v="Sistema de Compensação"/>
    <x v="1"/>
    <x v="0"/>
    <x v="0"/>
    <x v="0"/>
    <x v="0"/>
    <x v="0"/>
    <x v="0"/>
    <x v="3"/>
    <n v="0"/>
    <n v="0"/>
    <n v="186.56700000000001"/>
    <n v="186.56700000000001"/>
    <n v="186.56700000000001"/>
    <n v="186.56700000000001"/>
    <n v="0"/>
    <x v="0"/>
    <n v="0"/>
    <n v="0"/>
    <n v="20"/>
    <n v="66"/>
    <n v="0"/>
    <n v="69.37"/>
    <n v="284.36"/>
    <m/>
    <n v="111.03029432835316"/>
    <n v="274.80069497881567"/>
    <n v="0"/>
    <n v="12942.152790000002"/>
    <n v="53052.192120000007"/>
    <n v="0"/>
    <n v="20714.588921957864"/>
    <n v="51268.741260112707"/>
  </r>
  <r>
    <s v="Regular"/>
    <x v="1"/>
    <x v="0"/>
    <x v="0"/>
    <x v="0"/>
    <x v="0"/>
    <x v="0"/>
    <x v="0"/>
    <x v="0"/>
    <n v="0"/>
    <n v="0"/>
    <n v="1032.8920000000001"/>
    <n v="1032.8920000000001"/>
    <n v="1032.8920000000001"/>
    <n v="1032.8920000000001"/>
    <n v="0"/>
    <x v="0"/>
    <n v="0"/>
    <n v="0"/>
    <n v="20"/>
    <n v="66"/>
    <n v="0"/>
    <n v="69.37"/>
    <n v="284.36"/>
    <m/>
    <n v="111.03029432835316"/>
    <n v="274.80069497881567"/>
    <n v="0"/>
    <n v="71651.718040000007"/>
    <n v="293713.16912000004"/>
    <n v="0"/>
    <n v="114682.30276940136"/>
    <n v="283839.43943805888"/>
  </r>
  <r>
    <s v="Sistema de Compensação"/>
    <x v="1"/>
    <x v="0"/>
    <x v="0"/>
    <x v="0"/>
    <x v="0"/>
    <x v="0"/>
    <x v="0"/>
    <x v="0"/>
    <n v="0"/>
    <n v="0"/>
    <n v="22.465"/>
    <n v="22.465"/>
    <n v="22.465"/>
    <n v="22.465"/>
    <n v="0"/>
    <x v="0"/>
    <n v="0"/>
    <n v="0"/>
    <n v="20"/>
    <n v="66"/>
    <n v="0"/>
    <n v="69.37"/>
    <n v="284.36"/>
    <m/>
    <n v="111.03029432835316"/>
    <n v="274.80069497881567"/>
    <n v="0"/>
    <n v="1558.39705"/>
    <n v="6388.1473999999998"/>
    <n v="0"/>
    <n v="2494.2955620864536"/>
    <n v="6173.3976126990938"/>
  </r>
  <r>
    <s v="Regular"/>
    <x v="1"/>
    <x v="0"/>
    <x v="0"/>
    <x v="0"/>
    <x v="0"/>
    <x v="0"/>
    <x v="0"/>
    <x v="4"/>
    <n v="0"/>
    <n v="0"/>
    <n v="944.30499999999995"/>
    <n v="944.30499999999995"/>
    <n v="944.30499999999995"/>
    <n v="944.30499999999995"/>
    <n v="0"/>
    <x v="0"/>
    <n v="0"/>
    <n v="0"/>
    <n v="20"/>
    <n v="66"/>
    <n v="0"/>
    <n v="69.37"/>
    <n v="284.36"/>
    <m/>
    <n v="111.03029432835316"/>
    <n v="274.80069497881567"/>
    <n v="0"/>
    <n v="65506.437850000002"/>
    <n v="268522.5698"/>
    <n v="0"/>
    <n v="104846.46208573553"/>
    <n v="259495.67027197051"/>
  </r>
  <r>
    <s v="Sistema de Compensação"/>
    <x v="1"/>
    <x v="0"/>
    <x v="0"/>
    <x v="0"/>
    <x v="0"/>
    <x v="0"/>
    <x v="0"/>
    <x v="4"/>
    <n v="0"/>
    <n v="0"/>
    <n v="21.838999999999999"/>
    <n v="21.838999999999999"/>
    <n v="21.838999999999999"/>
    <n v="21.838999999999999"/>
    <n v="0"/>
    <x v="0"/>
    <n v="0"/>
    <n v="0"/>
    <n v="20"/>
    <n v="66"/>
    <n v="0"/>
    <n v="69.37"/>
    <n v="284.36"/>
    <m/>
    <n v="111.03029432835316"/>
    <n v="274.80069497881567"/>
    <n v="0"/>
    <n v="1514.9714300000001"/>
    <n v="6210.1380399999998"/>
    <n v="0"/>
    <n v="2424.7905978369045"/>
    <n v="6001.3723776423549"/>
  </r>
  <r>
    <s v="Regular"/>
    <x v="1"/>
    <x v="0"/>
    <x v="0"/>
    <x v="0"/>
    <x v="0"/>
    <x v="0"/>
    <x v="0"/>
    <x v="1"/>
    <n v="0"/>
    <n v="0"/>
    <n v="993.05100000000004"/>
    <n v="993.05100000000004"/>
    <n v="993.05100000000004"/>
    <n v="993.05100000000004"/>
    <n v="0"/>
    <x v="0"/>
    <n v="0"/>
    <n v="0"/>
    <n v="20"/>
    <n v="66"/>
    <n v="0"/>
    <n v="69.37"/>
    <n v="284.36"/>
    <m/>
    <n v="111.03029432835316"/>
    <n v="274.80069497881567"/>
    <n v="0"/>
    <n v="68887.947870000004"/>
    <n v="282383.98236000002"/>
    <n v="0"/>
    <n v="110258.74481306544"/>
    <n v="272891.10494940792"/>
  </r>
  <r>
    <s v="Sistema de Compensação"/>
    <x v="1"/>
    <x v="0"/>
    <x v="0"/>
    <x v="0"/>
    <x v="0"/>
    <x v="0"/>
    <x v="0"/>
    <x v="1"/>
    <n v="0"/>
    <n v="0"/>
    <n v="39.170999999999999"/>
    <n v="39.170999999999999"/>
    <n v="39.170999999999999"/>
    <n v="39.170999999999999"/>
    <n v="0"/>
    <x v="0"/>
    <n v="0"/>
    <n v="0"/>
    <n v="20"/>
    <n v="66"/>
    <n v="0"/>
    <n v="69.37"/>
    <n v="284.36"/>
    <m/>
    <n v="111.03029432835316"/>
    <n v="274.80069497881567"/>
    <n v="0"/>
    <n v="2717.2922699999999"/>
    <n v="11138.665559999999"/>
    <n v="0"/>
    <n v="4349.1676591359219"/>
    <n v="10764.218023015188"/>
  </r>
  <r>
    <s v="Regular"/>
    <x v="1"/>
    <x v="0"/>
    <x v="0"/>
    <x v="0"/>
    <x v="0"/>
    <x v="0"/>
    <x v="0"/>
    <x v="2"/>
    <n v="0"/>
    <n v="0"/>
    <n v="962.26"/>
    <n v="962.26"/>
    <n v="962.26"/>
    <n v="962.26"/>
    <n v="0"/>
    <x v="0"/>
    <n v="0"/>
    <n v="0"/>
    <n v="20"/>
    <n v="66"/>
    <n v="0"/>
    <n v="69.37"/>
    <n v="284.36"/>
    <m/>
    <n v="111.03029432835316"/>
    <n v="274.80069497881567"/>
    <n v="0"/>
    <n v="66751.976200000005"/>
    <n v="273628.2536"/>
    <n v="0"/>
    <n v="106840.01102040111"/>
    <n v="264429.71675031516"/>
  </r>
  <r>
    <s v="Refaturamento - Regular"/>
    <x v="1"/>
    <x v="0"/>
    <x v="0"/>
    <x v="0"/>
    <x v="0"/>
    <x v="0"/>
    <x v="0"/>
    <x v="2"/>
    <n v="0"/>
    <n v="0"/>
    <n v="31.629000000000001"/>
    <n v="31.629000000000001"/>
    <n v="31.629000000000001"/>
    <n v="31.629000000000001"/>
    <n v="0"/>
    <x v="0"/>
    <n v="0"/>
    <n v="0"/>
    <n v="20"/>
    <n v="66"/>
    <n v="0"/>
    <n v="69.37"/>
    <n v="284.36"/>
    <m/>
    <n v="111.03029432835316"/>
    <n v="274.80069497881567"/>
    <n v="0"/>
    <n v="2194.1037300000003"/>
    <n v="8994.0224400000006"/>
    <n v="0"/>
    <n v="3511.7771793114825"/>
    <n v="8691.6711814849605"/>
  </r>
  <r>
    <s v="Regular"/>
    <x v="1"/>
    <x v="0"/>
    <x v="0"/>
    <x v="0"/>
    <x v="0"/>
    <x v="0"/>
    <x v="0"/>
    <x v="5"/>
    <n v="0"/>
    <n v="0"/>
    <n v="956.60799999999995"/>
    <n v="956.60799999999995"/>
    <n v="956.60799999999995"/>
    <n v="956.60799999999995"/>
    <n v="0"/>
    <x v="0"/>
    <n v="0"/>
    <n v="0"/>
    <n v="20"/>
    <n v="66"/>
    <n v="0"/>
    <n v="69.37"/>
    <n v="284.36"/>
    <m/>
    <n v="111.03029432835316"/>
    <n v="274.80069497881567"/>
    <n v="0"/>
    <n v="66359.896959999998"/>
    <n v="272021.05088"/>
    <n v="0"/>
    <n v="106212.46779685727"/>
    <n v="262876.54322229489"/>
  </r>
  <r>
    <s v="Regular"/>
    <x v="1"/>
    <x v="0"/>
    <x v="0"/>
    <x v="0"/>
    <x v="0"/>
    <x v="0"/>
    <x v="1"/>
    <x v="6"/>
    <n v="4469"/>
    <n v="4469"/>
    <n v="0"/>
    <n v="0"/>
    <n v="0"/>
    <n v="0"/>
    <n v="58"/>
    <x v="0"/>
    <n v="0"/>
    <n v="18"/>
    <n v="0"/>
    <n v="0"/>
    <n v="12.42"/>
    <n v="0"/>
    <n v="0"/>
    <n v="15.866734033722858"/>
    <m/>
    <m/>
    <n v="55504.98"/>
    <n v="0"/>
    <n v="0"/>
    <n v="70908.434396707453"/>
    <n v="0"/>
    <n v="0"/>
  </r>
  <r>
    <s v="Sistema de Compensação"/>
    <x v="1"/>
    <x v="0"/>
    <x v="0"/>
    <x v="0"/>
    <x v="0"/>
    <x v="0"/>
    <x v="1"/>
    <x v="6"/>
    <n v="278"/>
    <n v="278"/>
    <n v="0"/>
    <n v="0"/>
    <n v="0"/>
    <n v="0"/>
    <n v="2"/>
    <x v="0"/>
    <n v="0"/>
    <n v="18"/>
    <n v="0"/>
    <n v="0"/>
    <n v="12.42"/>
    <n v="0"/>
    <n v="0"/>
    <n v="15.866734033722858"/>
    <m/>
    <m/>
    <n v="3452.7599999999998"/>
    <n v="0"/>
    <n v="0"/>
    <n v="4410.9520613749546"/>
    <n v="0"/>
    <n v="0"/>
  </r>
  <r>
    <s v="Regular"/>
    <x v="1"/>
    <x v="0"/>
    <x v="0"/>
    <x v="0"/>
    <x v="0"/>
    <x v="0"/>
    <x v="1"/>
    <x v="7"/>
    <n v="4491"/>
    <n v="4491"/>
    <n v="0"/>
    <n v="0"/>
    <n v="0"/>
    <n v="0"/>
    <n v="58"/>
    <x v="0"/>
    <n v="0"/>
    <n v="18"/>
    <n v="0"/>
    <n v="0"/>
    <n v="12.42"/>
    <n v="0"/>
    <n v="0"/>
    <n v="15.866734033722858"/>
    <m/>
    <m/>
    <n v="55778.22"/>
    <n v="0"/>
    <n v="0"/>
    <n v="71257.502545449359"/>
    <n v="0"/>
    <n v="0"/>
  </r>
  <r>
    <s v="Sistema de Compensação"/>
    <x v="1"/>
    <x v="0"/>
    <x v="0"/>
    <x v="0"/>
    <x v="0"/>
    <x v="0"/>
    <x v="1"/>
    <x v="7"/>
    <n v="325"/>
    <n v="325"/>
    <n v="0"/>
    <n v="0"/>
    <n v="0"/>
    <n v="0"/>
    <n v="3"/>
    <x v="0"/>
    <n v="0"/>
    <n v="18"/>
    <n v="0"/>
    <n v="0"/>
    <n v="12.42"/>
    <n v="0"/>
    <n v="0"/>
    <n v="15.866734033722858"/>
    <m/>
    <m/>
    <n v="4036.5"/>
    <n v="0"/>
    <n v="0"/>
    <n v="5156.6885609599294"/>
    <n v="0"/>
    <n v="0"/>
  </r>
  <r>
    <s v="Regular"/>
    <x v="1"/>
    <x v="0"/>
    <x v="0"/>
    <x v="0"/>
    <x v="0"/>
    <x v="0"/>
    <x v="1"/>
    <x v="8"/>
    <n v="4436"/>
    <n v="4436"/>
    <n v="0"/>
    <n v="0"/>
    <n v="0"/>
    <n v="0"/>
    <n v="57"/>
    <x v="0"/>
    <n v="0"/>
    <n v="18"/>
    <n v="0"/>
    <n v="0"/>
    <n v="12.42"/>
    <n v="0"/>
    <n v="0"/>
    <n v="15.866734033722858"/>
    <m/>
    <m/>
    <n v="55095.12"/>
    <n v="0"/>
    <n v="0"/>
    <n v="70384.832173594594"/>
    <n v="0"/>
    <n v="0"/>
  </r>
  <r>
    <s v="Sistema de Compensação"/>
    <x v="1"/>
    <x v="0"/>
    <x v="0"/>
    <x v="0"/>
    <x v="0"/>
    <x v="0"/>
    <x v="1"/>
    <x v="8"/>
    <n v="338"/>
    <n v="338"/>
    <n v="0"/>
    <n v="0"/>
    <n v="0"/>
    <n v="0"/>
    <n v="3"/>
    <x v="0"/>
    <n v="0"/>
    <n v="18"/>
    <n v="0"/>
    <n v="0"/>
    <n v="12.42"/>
    <n v="0"/>
    <n v="0"/>
    <n v="15.866734033722858"/>
    <m/>
    <m/>
    <n v="4197.96"/>
    <n v="0"/>
    <n v="0"/>
    <n v="5362.9561033983264"/>
    <n v="0"/>
    <n v="0"/>
  </r>
  <r>
    <s v="Regular"/>
    <x v="1"/>
    <x v="0"/>
    <x v="0"/>
    <x v="0"/>
    <x v="0"/>
    <x v="0"/>
    <x v="1"/>
    <x v="9"/>
    <n v="4617"/>
    <n v="4617"/>
    <n v="0"/>
    <n v="0"/>
    <n v="0"/>
    <n v="0"/>
    <n v="58"/>
    <x v="0"/>
    <n v="0"/>
    <n v="18"/>
    <n v="0"/>
    <n v="0"/>
    <n v="12.42"/>
    <n v="0"/>
    <n v="0"/>
    <n v="15.866734033722858"/>
    <m/>
    <m/>
    <n v="57343.14"/>
    <n v="0"/>
    <n v="0"/>
    <n v="73256.711033698433"/>
    <n v="0"/>
    <n v="0"/>
  </r>
  <r>
    <s v="Refaturamento - Regular"/>
    <x v="1"/>
    <x v="0"/>
    <x v="0"/>
    <x v="0"/>
    <x v="0"/>
    <x v="0"/>
    <x v="1"/>
    <x v="9"/>
    <n v="88"/>
    <n v="88"/>
    <n v="0"/>
    <n v="0"/>
    <n v="0"/>
    <n v="0"/>
    <n v="0"/>
    <x v="0"/>
    <n v="0"/>
    <n v="18"/>
    <n v="0"/>
    <n v="0"/>
    <n v="12.42"/>
    <n v="0"/>
    <n v="0"/>
    <n v="15.866734033722858"/>
    <m/>
    <m/>
    <n v="1092.96"/>
    <n v="0"/>
    <n v="0"/>
    <n v="1396.2725949676114"/>
    <n v="0"/>
    <n v="0"/>
  </r>
  <r>
    <s v="Sistema de Compensação"/>
    <x v="1"/>
    <x v="0"/>
    <x v="0"/>
    <x v="0"/>
    <x v="0"/>
    <x v="0"/>
    <x v="1"/>
    <x v="9"/>
    <n v="338"/>
    <n v="338"/>
    <n v="0"/>
    <n v="0"/>
    <n v="0"/>
    <n v="0"/>
    <n v="3"/>
    <x v="0"/>
    <n v="0"/>
    <n v="18"/>
    <n v="0"/>
    <n v="0"/>
    <n v="12.42"/>
    <n v="0"/>
    <n v="0"/>
    <n v="15.866734033722858"/>
    <m/>
    <m/>
    <n v="4197.96"/>
    <n v="0"/>
    <n v="0"/>
    <n v="5362.9561033983264"/>
    <n v="0"/>
    <n v="0"/>
  </r>
  <r>
    <s v="Regular"/>
    <x v="1"/>
    <x v="0"/>
    <x v="0"/>
    <x v="0"/>
    <x v="0"/>
    <x v="0"/>
    <x v="1"/>
    <x v="10"/>
    <n v="4719"/>
    <n v="4719"/>
    <n v="0"/>
    <n v="0"/>
    <n v="0"/>
    <n v="0"/>
    <n v="57"/>
    <x v="0"/>
    <n v="0"/>
    <n v="18"/>
    <n v="0"/>
    <n v="0"/>
    <n v="12.42"/>
    <n v="0"/>
    <n v="0"/>
    <n v="15.866734033722858"/>
    <m/>
    <m/>
    <n v="58609.98"/>
    <n v="0"/>
    <n v="0"/>
    <n v="74875.117905138162"/>
    <n v="0"/>
    <n v="0"/>
  </r>
  <r>
    <s v="Sistema de Compensação"/>
    <x v="1"/>
    <x v="0"/>
    <x v="0"/>
    <x v="0"/>
    <x v="0"/>
    <x v="0"/>
    <x v="1"/>
    <x v="10"/>
    <n v="338"/>
    <n v="338"/>
    <n v="0"/>
    <n v="0"/>
    <n v="0"/>
    <n v="0"/>
    <n v="3"/>
    <x v="0"/>
    <n v="0"/>
    <n v="18"/>
    <n v="0"/>
    <n v="0"/>
    <n v="12.42"/>
    <n v="0"/>
    <n v="0"/>
    <n v="15.866734033722858"/>
    <m/>
    <m/>
    <n v="4197.96"/>
    <n v="0"/>
    <n v="0"/>
    <n v="5362.9561033983264"/>
    <n v="0"/>
    <n v="0"/>
  </r>
  <r>
    <s v="Sistema de Compensação"/>
    <x v="1"/>
    <x v="0"/>
    <x v="0"/>
    <x v="0"/>
    <x v="0"/>
    <x v="0"/>
    <x v="1"/>
    <x v="10"/>
    <n v="13"/>
    <n v="13"/>
    <n v="0"/>
    <n v="0"/>
    <n v="0"/>
    <n v="0"/>
    <n v="2"/>
    <x v="0"/>
    <n v="0"/>
    <n v="18"/>
    <n v="0"/>
    <n v="0"/>
    <n v="12.42"/>
    <n v="0"/>
    <n v="0"/>
    <n v="15.866734033722858"/>
    <m/>
    <m/>
    <n v="161.46"/>
    <n v="0"/>
    <n v="0"/>
    <n v="206.26754243839716"/>
    <n v="0"/>
    <n v="0"/>
  </r>
  <r>
    <s v="Regular"/>
    <x v="1"/>
    <x v="0"/>
    <x v="0"/>
    <x v="0"/>
    <x v="0"/>
    <x v="0"/>
    <x v="1"/>
    <x v="11"/>
    <n v="4979"/>
    <n v="4979"/>
    <n v="0"/>
    <n v="0"/>
    <n v="0"/>
    <n v="0"/>
    <n v="60"/>
    <x v="0"/>
    <n v="0"/>
    <n v="18"/>
    <n v="0"/>
    <n v="0"/>
    <n v="12.42"/>
    <n v="0"/>
    <n v="0"/>
    <n v="15.866734033722858"/>
    <m/>
    <m/>
    <n v="61839.18"/>
    <n v="0"/>
    <n v="0"/>
    <n v="79000.468753906112"/>
    <n v="0"/>
    <n v="0"/>
  </r>
  <r>
    <s v="Sistema de Compensação"/>
    <x v="1"/>
    <x v="0"/>
    <x v="0"/>
    <x v="0"/>
    <x v="0"/>
    <x v="0"/>
    <x v="1"/>
    <x v="11"/>
    <n v="338"/>
    <n v="338"/>
    <n v="0"/>
    <n v="0"/>
    <n v="0"/>
    <n v="0"/>
    <n v="3"/>
    <x v="0"/>
    <n v="0"/>
    <n v="18"/>
    <n v="0"/>
    <n v="0"/>
    <n v="12.42"/>
    <n v="0"/>
    <n v="0"/>
    <n v="15.866734033722858"/>
    <m/>
    <m/>
    <n v="4197.96"/>
    <n v="0"/>
    <n v="0"/>
    <n v="5362.9561033983264"/>
    <n v="0"/>
    <n v="0"/>
  </r>
  <r>
    <s v="Regular"/>
    <x v="1"/>
    <x v="0"/>
    <x v="0"/>
    <x v="0"/>
    <x v="0"/>
    <x v="0"/>
    <x v="1"/>
    <x v="3"/>
    <n v="4348"/>
    <n v="4348"/>
    <n v="0"/>
    <n v="0"/>
    <n v="0"/>
    <n v="0"/>
    <n v="56"/>
    <x v="0"/>
    <n v="0"/>
    <n v="18"/>
    <n v="0"/>
    <n v="0"/>
    <n v="12.42"/>
    <n v="0"/>
    <n v="0"/>
    <n v="15.866734033722858"/>
    <m/>
    <m/>
    <n v="54002.159999999996"/>
    <n v="0"/>
    <n v="0"/>
    <n v="68988.559578626984"/>
    <n v="0"/>
    <n v="0"/>
  </r>
  <r>
    <s v="Sistema de Compensação"/>
    <x v="1"/>
    <x v="0"/>
    <x v="0"/>
    <x v="0"/>
    <x v="0"/>
    <x v="0"/>
    <x v="1"/>
    <x v="3"/>
    <n v="993"/>
    <n v="993"/>
    <n v="0"/>
    <n v="0"/>
    <n v="0"/>
    <n v="0"/>
    <n v="7"/>
    <x v="0"/>
    <n v="0"/>
    <n v="18"/>
    <n v="0"/>
    <n v="0"/>
    <n v="12.42"/>
    <n v="0"/>
    <n v="0"/>
    <n v="15.866734033722858"/>
    <m/>
    <m/>
    <n v="12333.06"/>
    <n v="0"/>
    <n v="0"/>
    <n v="15755.666895486798"/>
    <n v="0"/>
    <n v="0"/>
  </r>
  <r>
    <s v="Regular"/>
    <x v="1"/>
    <x v="0"/>
    <x v="0"/>
    <x v="0"/>
    <x v="0"/>
    <x v="0"/>
    <x v="1"/>
    <x v="0"/>
    <n v="5051"/>
    <n v="5051"/>
    <n v="0"/>
    <n v="0"/>
    <n v="0"/>
    <n v="0"/>
    <n v="61"/>
    <x v="0"/>
    <n v="0"/>
    <n v="18"/>
    <n v="0"/>
    <n v="0"/>
    <n v="12.42"/>
    <n v="0"/>
    <n v="0"/>
    <n v="15.866734033722858"/>
    <m/>
    <m/>
    <n v="62733.42"/>
    <n v="0"/>
    <n v="0"/>
    <n v="80142.873604334163"/>
    <n v="0"/>
    <n v="0"/>
  </r>
  <r>
    <s v="Sistema de Compensação"/>
    <x v="1"/>
    <x v="0"/>
    <x v="0"/>
    <x v="0"/>
    <x v="0"/>
    <x v="0"/>
    <x v="1"/>
    <x v="0"/>
    <n v="508"/>
    <n v="508"/>
    <n v="0"/>
    <n v="0"/>
    <n v="0"/>
    <n v="0"/>
    <n v="4"/>
    <x v="0"/>
    <n v="0"/>
    <n v="18"/>
    <n v="0"/>
    <n v="0"/>
    <n v="12.42"/>
    <n v="0"/>
    <n v="0"/>
    <n v="15.866734033722858"/>
    <m/>
    <m/>
    <n v="6309.36"/>
    <n v="0"/>
    <n v="0"/>
    <n v="8060.300889131212"/>
    <n v="0"/>
    <n v="0"/>
  </r>
  <r>
    <s v="Regular"/>
    <x v="1"/>
    <x v="0"/>
    <x v="0"/>
    <x v="0"/>
    <x v="0"/>
    <x v="0"/>
    <x v="1"/>
    <x v="4"/>
    <n v="4814"/>
    <n v="4814"/>
    <n v="0"/>
    <n v="0"/>
    <n v="0"/>
    <n v="0"/>
    <n v="59"/>
    <x v="0"/>
    <n v="0"/>
    <n v="18"/>
    <n v="0"/>
    <n v="0"/>
    <n v="12.42"/>
    <n v="0"/>
    <n v="0"/>
    <n v="15.866734033722858"/>
    <m/>
    <m/>
    <n v="59789.88"/>
    <n v="0"/>
    <n v="0"/>
    <n v="76382.457638341846"/>
    <n v="0"/>
    <n v="0"/>
  </r>
  <r>
    <s v="Sistema de Compensação"/>
    <x v="1"/>
    <x v="0"/>
    <x v="0"/>
    <x v="0"/>
    <x v="0"/>
    <x v="0"/>
    <x v="1"/>
    <x v="4"/>
    <n v="508"/>
    <n v="508"/>
    <n v="0"/>
    <n v="0"/>
    <n v="0"/>
    <n v="0"/>
    <n v="4"/>
    <x v="0"/>
    <n v="0"/>
    <n v="18"/>
    <n v="0"/>
    <n v="0"/>
    <n v="12.42"/>
    <n v="0"/>
    <n v="0"/>
    <n v="15.866734033722858"/>
    <m/>
    <m/>
    <n v="6309.36"/>
    <n v="0"/>
    <n v="0"/>
    <n v="8060.300889131212"/>
    <n v="0"/>
    <n v="0"/>
  </r>
  <r>
    <s v="Regular"/>
    <x v="1"/>
    <x v="0"/>
    <x v="0"/>
    <x v="0"/>
    <x v="0"/>
    <x v="0"/>
    <x v="1"/>
    <x v="1"/>
    <n v="4985"/>
    <n v="4985"/>
    <n v="0"/>
    <n v="0"/>
    <n v="0"/>
    <n v="0"/>
    <n v="58"/>
    <x v="0"/>
    <n v="0"/>
    <n v="18"/>
    <n v="0"/>
    <n v="0"/>
    <n v="12.42"/>
    <n v="0"/>
    <n v="0"/>
    <n v="15.866734033722858"/>
    <m/>
    <m/>
    <n v="61913.7"/>
    <n v="0"/>
    <n v="0"/>
    <n v="79095.669158108445"/>
    <n v="0"/>
    <n v="0"/>
  </r>
  <r>
    <s v="Sistema de Compensação"/>
    <x v="1"/>
    <x v="0"/>
    <x v="0"/>
    <x v="0"/>
    <x v="0"/>
    <x v="0"/>
    <x v="1"/>
    <x v="1"/>
    <n v="558"/>
    <n v="558"/>
    <n v="0"/>
    <n v="0"/>
    <n v="0"/>
    <n v="0"/>
    <n v="5"/>
    <x v="0"/>
    <n v="0"/>
    <n v="18"/>
    <n v="0"/>
    <n v="0"/>
    <n v="12.42"/>
    <n v="0"/>
    <n v="0"/>
    <n v="15.866734033722858"/>
    <m/>
    <m/>
    <n v="6930.36"/>
    <n v="0"/>
    <n v="0"/>
    <n v="8853.6375908173559"/>
    <n v="0"/>
    <n v="0"/>
  </r>
  <r>
    <s v="Regular"/>
    <x v="1"/>
    <x v="0"/>
    <x v="0"/>
    <x v="0"/>
    <x v="0"/>
    <x v="0"/>
    <x v="1"/>
    <x v="2"/>
    <n v="5113"/>
    <n v="5113"/>
    <n v="0"/>
    <n v="0"/>
    <n v="0"/>
    <n v="0"/>
    <n v="59"/>
    <x v="0"/>
    <n v="0"/>
    <n v="18"/>
    <n v="0"/>
    <n v="0"/>
    <n v="12.42"/>
    <n v="0"/>
    <n v="0"/>
    <n v="15.866734033722858"/>
    <m/>
    <m/>
    <n v="63503.46"/>
    <n v="0"/>
    <n v="0"/>
    <n v="81126.611114424973"/>
    <n v="0"/>
    <n v="0"/>
  </r>
  <r>
    <s v="Sistema de Compensação"/>
    <x v="1"/>
    <x v="0"/>
    <x v="0"/>
    <x v="0"/>
    <x v="0"/>
    <x v="0"/>
    <x v="1"/>
    <x v="2"/>
    <n v="388"/>
    <n v="388"/>
    <n v="0"/>
    <n v="0"/>
    <n v="0"/>
    <n v="0"/>
    <n v="4"/>
    <x v="0"/>
    <n v="0"/>
    <n v="18"/>
    <n v="0"/>
    <n v="0"/>
    <n v="12.42"/>
    <n v="0"/>
    <n v="0"/>
    <n v="15.866734033722858"/>
    <m/>
    <m/>
    <n v="4818.96"/>
    <n v="0"/>
    <n v="0"/>
    <n v="6156.2928050844694"/>
    <n v="0"/>
    <n v="0"/>
  </r>
  <r>
    <s v="Regular"/>
    <x v="1"/>
    <x v="0"/>
    <x v="0"/>
    <x v="0"/>
    <x v="0"/>
    <x v="0"/>
    <x v="1"/>
    <x v="5"/>
    <n v="4872"/>
    <n v="4872"/>
    <n v="0"/>
    <n v="0"/>
    <n v="0"/>
    <n v="0"/>
    <n v="57"/>
    <x v="0"/>
    <n v="0"/>
    <n v="18"/>
    <n v="0"/>
    <n v="0"/>
    <n v="12.42"/>
    <n v="0"/>
    <n v="0"/>
    <n v="15.866734033722858"/>
    <m/>
    <m/>
    <n v="60510.239999999998"/>
    <n v="0"/>
    <n v="0"/>
    <n v="77302.728212297763"/>
    <n v="0"/>
    <n v="0"/>
  </r>
  <r>
    <s v="Sistema de Compensação"/>
    <x v="1"/>
    <x v="0"/>
    <x v="0"/>
    <x v="0"/>
    <x v="0"/>
    <x v="0"/>
    <x v="1"/>
    <x v="5"/>
    <n v="558"/>
    <n v="558"/>
    <n v="0"/>
    <n v="0"/>
    <n v="0"/>
    <n v="0"/>
    <n v="5"/>
    <x v="0"/>
    <n v="0"/>
    <n v="18"/>
    <n v="0"/>
    <n v="0"/>
    <n v="12.42"/>
    <n v="0"/>
    <n v="0"/>
    <n v="15.866734033722858"/>
    <m/>
    <m/>
    <n v="6930.36"/>
    <n v="0"/>
    <n v="0"/>
    <n v="8853.6375908173559"/>
    <n v="0"/>
    <n v="0"/>
  </r>
  <r>
    <s v="Regular"/>
    <x v="1"/>
    <x v="0"/>
    <x v="0"/>
    <x v="0"/>
    <x v="0"/>
    <x v="0"/>
    <x v="2"/>
    <x v="6"/>
    <n v="0"/>
    <n v="0"/>
    <n v="66.244"/>
    <n v="66.244"/>
    <n v="66.244"/>
    <n v="66.244"/>
    <n v="0"/>
    <x v="0"/>
    <n v="0"/>
    <n v="0"/>
    <n v="19"/>
    <n v="65"/>
    <n v="0"/>
    <n v="842.31"/>
    <n v="454.9"/>
    <m/>
    <n v="1109.1969409458418"/>
    <n v="430.5563899456306"/>
    <n v="0"/>
    <n v="55797.983639999999"/>
    <n v="30134.3956"/>
    <n v="0"/>
    <n v="73477.642156016344"/>
    <n v="28521.777495558352"/>
  </r>
  <r>
    <s v="Regular"/>
    <x v="1"/>
    <x v="0"/>
    <x v="0"/>
    <x v="0"/>
    <x v="0"/>
    <x v="0"/>
    <x v="2"/>
    <x v="7"/>
    <n v="0"/>
    <n v="0"/>
    <n v="71.768000000000001"/>
    <n v="71.768000000000001"/>
    <n v="71.768000000000001"/>
    <n v="71.768000000000001"/>
    <n v="0"/>
    <x v="0"/>
    <n v="0"/>
    <n v="0"/>
    <n v="19"/>
    <n v="65"/>
    <n v="0"/>
    <n v="842.31"/>
    <n v="454.9"/>
    <m/>
    <n v="1109.1969409458418"/>
    <n v="430.5563899456306"/>
    <n v="0"/>
    <n v="60450.90408"/>
    <n v="32647.263199999998"/>
    <n v="0"/>
    <n v="79604.846057801173"/>
    <n v="30900.170993618016"/>
  </r>
  <r>
    <s v="Sistema de Compensação"/>
    <x v="1"/>
    <x v="0"/>
    <x v="0"/>
    <x v="0"/>
    <x v="0"/>
    <x v="0"/>
    <x v="2"/>
    <x v="7"/>
    <n v="0"/>
    <n v="0"/>
    <n v="0.20300000000000001"/>
    <n v="0.20300000000000001"/>
    <n v="0.20300000000000001"/>
    <n v="0.20300000000000001"/>
    <n v="0"/>
    <x v="0"/>
    <n v="0"/>
    <n v="0"/>
    <n v="19"/>
    <n v="65"/>
    <n v="0"/>
    <n v="842.31"/>
    <n v="454.9"/>
    <m/>
    <n v="1109.1969409458418"/>
    <n v="430.5563899456306"/>
    <n v="0"/>
    <n v="170.98893000000001"/>
    <n v="92.344700000000003"/>
    <n v="0"/>
    <n v="225.1669790120059"/>
    <n v="87.402947158963016"/>
  </r>
  <r>
    <s v="Regular"/>
    <x v="1"/>
    <x v="0"/>
    <x v="0"/>
    <x v="0"/>
    <x v="0"/>
    <x v="0"/>
    <x v="2"/>
    <x v="8"/>
    <n v="0"/>
    <n v="0"/>
    <n v="71.180999999999997"/>
    <n v="71.180999999999997"/>
    <n v="71.180999999999997"/>
    <n v="71.180999999999997"/>
    <n v="0"/>
    <x v="0"/>
    <n v="0"/>
    <n v="0"/>
    <n v="19"/>
    <n v="65"/>
    <n v="0"/>
    <n v="842.31"/>
    <n v="454.9"/>
    <m/>
    <n v="1109.1969409458418"/>
    <n v="430.5563899456306"/>
    <n v="0"/>
    <n v="59956.468109999994"/>
    <n v="32380.236899999996"/>
    <n v="0"/>
    <n v="78953.747453465956"/>
    <n v="30647.43439271993"/>
  </r>
  <r>
    <s v="Sistema de Compensação"/>
    <x v="1"/>
    <x v="0"/>
    <x v="0"/>
    <x v="0"/>
    <x v="0"/>
    <x v="0"/>
    <x v="2"/>
    <x v="8"/>
    <n v="0"/>
    <n v="0"/>
    <n v="0.98799999999999999"/>
    <n v="0.98799999999999999"/>
    <n v="0.98799999999999999"/>
    <n v="0.98799999999999999"/>
    <n v="0"/>
    <x v="0"/>
    <n v="0"/>
    <n v="0"/>
    <n v="19"/>
    <n v="65"/>
    <n v="0"/>
    <n v="842.31"/>
    <n v="454.9"/>
    <m/>
    <n v="1109.1969409458418"/>
    <n v="430.5563899456306"/>
    <n v="0"/>
    <n v="832.20227999999997"/>
    <n v="449.44119999999998"/>
    <n v="0"/>
    <n v="1095.8865776544917"/>
    <n v="425.38971326628302"/>
  </r>
  <r>
    <s v="Regular"/>
    <x v="1"/>
    <x v="0"/>
    <x v="0"/>
    <x v="0"/>
    <x v="0"/>
    <x v="0"/>
    <x v="2"/>
    <x v="9"/>
    <n v="0"/>
    <n v="0"/>
    <n v="73.046999999999997"/>
    <n v="73.046999999999997"/>
    <n v="73.046999999999997"/>
    <n v="73.046999999999997"/>
    <n v="0"/>
    <x v="0"/>
    <n v="0"/>
    <n v="0"/>
    <n v="19"/>
    <n v="65"/>
    <n v="0"/>
    <n v="842.31"/>
    <n v="454.9"/>
    <m/>
    <n v="1109.1969409458418"/>
    <n v="430.5563899456306"/>
    <n v="0"/>
    <n v="61528.21856999999"/>
    <n v="33229.080299999994"/>
    <n v="0"/>
    <n v="81023.508945270907"/>
    <n v="31450.852616358476"/>
  </r>
  <r>
    <s v="Refaturamento - Regular"/>
    <x v="1"/>
    <x v="0"/>
    <x v="0"/>
    <x v="0"/>
    <x v="0"/>
    <x v="0"/>
    <x v="2"/>
    <x v="9"/>
    <n v="0"/>
    <n v="0"/>
    <n v="9.7200000000000006"/>
    <n v="9.7200000000000006"/>
    <n v="9.7200000000000006"/>
    <n v="9.7200000000000006"/>
    <n v="0"/>
    <x v="0"/>
    <n v="0"/>
    <n v="0"/>
    <n v="19"/>
    <n v="65"/>
    <n v="0"/>
    <n v="842.31"/>
    <n v="454.9"/>
    <m/>
    <n v="1109.1969409458418"/>
    <n v="430.5563899456306"/>
    <n v="0"/>
    <n v="8187.2532000000001"/>
    <n v="4421.6279999999997"/>
    <n v="0"/>
    <n v="10781.394265993584"/>
    <n v="4185.0081102715294"/>
  </r>
  <r>
    <s v="Sistema de Compensação"/>
    <x v="1"/>
    <x v="0"/>
    <x v="0"/>
    <x v="0"/>
    <x v="0"/>
    <x v="0"/>
    <x v="2"/>
    <x v="9"/>
    <n v="0"/>
    <n v="0"/>
    <n v="1.278"/>
    <n v="1.278"/>
    <n v="1.278"/>
    <n v="1.278"/>
    <n v="0"/>
    <x v="0"/>
    <n v="0"/>
    <n v="0"/>
    <n v="19"/>
    <n v="65"/>
    <n v="0"/>
    <n v="842.31"/>
    <n v="454.9"/>
    <m/>
    <n v="1109.1969409458418"/>
    <n v="430.5563899456306"/>
    <n v="0"/>
    <n v="1076.47218"/>
    <n v="581.36220000000003"/>
    <n v="0"/>
    <n v="1417.5536905287859"/>
    <n v="550.25106635051588"/>
  </r>
  <r>
    <s v="Regular"/>
    <x v="1"/>
    <x v="0"/>
    <x v="0"/>
    <x v="0"/>
    <x v="0"/>
    <x v="0"/>
    <x v="2"/>
    <x v="10"/>
    <n v="0"/>
    <n v="0"/>
    <n v="73.611999999999995"/>
    <n v="73.611999999999995"/>
    <n v="73.611999999999995"/>
    <n v="73.611999999999995"/>
    <n v="0"/>
    <x v="0"/>
    <n v="0"/>
    <n v="0"/>
    <n v="19"/>
    <n v="65"/>
    <n v="0"/>
    <n v="842.31"/>
    <n v="454.9"/>
    <m/>
    <n v="1109.1969409458418"/>
    <n v="430.5563899456306"/>
    <n v="0"/>
    <n v="62004.123719999989"/>
    <n v="33486.098799999992"/>
    <n v="0"/>
    <n v="81650.205216905306"/>
    <n v="31694.116976677757"/>
  </r>
  <r>
    <s v="Sistema de Compensação"/>
    <x v="1"/>
    <x v="0"/>
    <x v="0"/>
    <x v="0"/>
    <x v="0"/>
    <x v="0"/>
    <x v="2"/>
    <x v="10"/>
    <n v="0"/>
    <n v="0"/>
    <n v="1.07"/>
    <n v="1.07"/>
    <n v="1.07"/>
    <n v="1.07"/>
    <n v="0"/>
    <x v="0"/>
    <n v="0"/>
    <n v="0"/>
    <n v="19"/>
    <n v="65"/>
    <n v="0"/>
    <n v="842.31"/>
    <n v="454.9"/>
    <m/>
    <n v="1109.1969409458418"/>
    <n v="430.5563899456306"/>
    <n v="0"/>
    <n v="901.27170000000001"/>
    <n v="486.74299999999999"/>
    <n v="0"/>
    <n v="1186.8407268120509"/>
    <n v="460.69533724182475"/>
  </r>
  <r>
    <s v="Regular"/>
    <x v="1"/>
    <x v="0"/>
    <x v="0"/>
    <x v="0"/>
    <x v="0"/>
    <x v="0"/>
    <x v="2"/>
    <x v="11"/>
    <n v="0"/>
    <n v="0"/>
    <n v="97.316000000000003"/>
    <n v="97.316000000000003"/>
    <n v="97.316000000000003"/>
    <n v="97.316000000000003"/>
    <n v="0"/>
    <x v="0"/>
    <n v="0"/>
    <n v="0"/>
    <n v="19"/>
    <n v="65"/>
    <n v="0"/>
    <n v="842.31"/>
    <n v="454.9"/>
    <m/>
    <n v="1109.1969409458418"/>
    <n v="430.5563899456306"/>
    <n v="0"/>
    <n v="81970.239959999992"/>
    <n v="44269.0484"/>
    <n v="0"/>
    <n v="107942.60950508554"/>
    <n v="41900.025643948989"/>
  </r>
  <r>
    <s v="Regular"/>
    <x v="1"/>
    <x v="0"/>
    <x v="0"/>
    <x v="0"/>
    <x v="0"/>
    <x v="0"/>
    <x v="2"/>
    <x v="3"/>
    <n v="0"/>
    <n v="0"/>
    <n v="83.456999999999994"/>
    <n v="83.456999999999994"/>
    <n v="83.456999999999994"/>
    <n v="83.456999999999994"/>
    <n v="0"/>
    <x v="0"/>
    <n v="0"/>
    <n v="0"/>
    <n v="19"/>
    <n v="65"/>
    <n v="0"/>
    <n v="842.31"/>
    <n v="454.9"/>
    <m/>
    <n v="1109.1969409458418"/>
    <n v="430.5563899456306"/>
    <n v="0"/>
    <n v="70296.665669999988"/>
    <n v="37964.589299999992"/>
    <n v="0"/>
    <n v="92570.249100517118"/>
    <n v="35932.944635692489"/>
  </r>
  <r>
    <s v="Sistema de Compensação"/>
    <x v="1"/>
    <x v="0"/>
    <x v="0"/>
    <x v="0"/>
    <x v="0"/>
    <x v="0"/>
    <x v="2"/>
    <x v="3"/>
    <n v="0"/>
    <n v="0"/>
    <n v="15.183"/>
    <n v="15.183"/>
    <n v="15.183"/>
    <n v="15.183"/>
    <n v="0"/>
    <x v="0"/>
    <n v="0"/>
    <n v="0"/>
    <n v="19"/>
    <n v="65"/>
    <n v="0"/>
    <n v="842.31"/>
    <n v="454.9"/>
    <m/>
    <n v="1109.1969409458418"/>
    <n v="430.5563899456306"/>
    <n v="0"/>
    <n v="12788.792729999999"/>
    <n v="6906.7466999999997"/>
    <n v="0"/>
    <n v="16840.937154380717"/>
    <n v="6537.1376685445093"/>
  </r>
  <r>
    <s v="Regular"/>
    <x v="1"/>
    <x v="0"/>
    <x v="0"/>
    <x v="0"/>
    <x v="0"/>
    <x v="0"/>
    <x v="2"/>
    <x v="0"/>
    <n v="0"/>
    <n v="0"/>
    <n v="80.004000000000005"/>
    <n v="80.004000000000005"/>
    <n v="80.004000000000005"/>
    <n v="80.004000000000005"/>
    <n v="0"/>
    <x v="0"/>
    <n v="0"/>
    <n v="0"/>
    <n v="19"/>
    <n v="65"/>
    <n v="0"/>
    <n v="842.31"/>
    <n v="454.9"/>
    <m/>
    <n v="1109.1969409458418"/>
    <n v="430.5563899456306"/>
    <n v="0"/>
    <n v="67388.169240000003"/>
    <n v="36393.819600000003"/>
    <n v="0"/>
    <n v="88740.192063431139"/>
    <n v="34446.233421210236"/>
  </r>
  <r>
    <s v="Regular"/>
    <x v="1"/>
    <x v="0"/>
    <x v="0"/>
    <x v="0"/>
    <x v="0"/>
    <x v="0"/>
    <x v="2"/>
    <x v="4"/>
    <n v="0"/>
    <n v="0"/>
    <n v="75.513000000000005"/>
    <n v="75.513000000000005"/>
    <n v="75.513000000000005"/>
    <n v="75.513000000000005"/>
    <n v="0"/>
    <x v="0"/>
    <n v="0"/>
    <n v="0"/>
    <n v="19"/>
    <n v="65"/>
    <n v="0"/>
    <n v="842.31"/>
    <n v="454.9"/>
    <m/>
    <n v="1109.1969409458418"/>
    <n v="430.5563899456306"/>
    <n v="0"/>
    <n v="63605.355029999999"/>
    <n v="34350.863700000002"/>
    <n v="0"/>
    <n v="83758.788601643362"/>
    <n v="32512.604673964404"/>
  </r>
  <r>
    <s v="Regular"/>
    <x v="1"/>
    <x v="0"/>
    <x v="0"/>
    <x v="0"/>
    <x v="0"/>
    <x v="0"/>
    <x v="2"/>
    <x v="1"/>
    <n v="0"/>
    <n v="0"/>
    <n v="81.575999999999993"/>
    <n v="81.575999999999993"/>
    <n v="81.575999999999993"/>
    <n v="81.575999999999993"/>
    <n v="0"/>
    <x v="0"/>
    <n v="0"/>
    <n v="0"/>
    <n v="19"/>
    <n v="65"/>
    <n v="0"/>
    <n v="842.31"/>
    <n v="454.9"/>
    <m/>
    <n v="1109.1969409458418"/>
    <n v="430.5563899456306"/>
    <n v="0"/>
    <n v="68712.280559999985"/>
    <n v="37108.922399999996"/>
    <n v="0"/>
    <n v="90483.849654597987"/>
    <n v="35123.06806620476"/>
  </r>
  <r>
    <s v="Regular"/>
    <x v="1"/>
    <x v="0"/>
    <x v="0"/>
    <x v="0"/>
    <x v="0"/>
    <x v="0"/>
    <x v="2"/>
    <x v="2"/>
    <n v="0"/>
    <n v="0"/>
    <n v="63.951999999999998"/>
    <n v="63.951999999999998"/>
    <n v="63.951999999999998"/>
    <n v="63.951999999999998"/>
    <n v="0"/>
    <x v="0"/>
    <n v="0"/>
    <n v="0"/>
    <n v="19"/>
    <n v="65"/>
    <n v="0"/>
    <n v="842.31"/>
    <n v="454.9"/>
    <m/>
    <n v="1109.1969409458418"/>
    <n v="430.5563899456306"/>
    <n v="0"/>
    <n v="53867.409119999997"/>
    <n v="29091.764799999997"/>
    <n v="0"/>
    <n v="70935.362767368468"/>
    <n v="27534.942249802967"/>
  </r>
  <r>
    <s v="Refaturamento - Regular"/>
    <x v="1"/>
    <x v="0"/>
    <x v="0"/>
    <x v="0"/>
    <x v="0"/>
    <x v="0"/>
    <x v="2"/>
    <x v="2"/>
    <n v="0"/>
    <n v="0"/>
    <n v="3.145"/>
    <n v="3.145"/>
    <n v="3.145"/>
    <n v="3.145"/>
    <n v="0"/>
    <x v="0"/>
    <n v="0"/>
    <n v="0"/>
    <n v="19"/>
    <n v="65"/>
    <n v="0"/>
    <n v="842.31"/>
    <n v="454.9"/>
    <m/>
    <n v="1109.1969409458418"/>
    <n v="430.5563899456306"/>
    <n v="0"/>
    <n v="2649.06495"/>
    <n v="1430.6605"/>
    <n v="0"/>
    <n v="3488.4243792746724"/>
    <n v="1354.0998463790083"/>
  </r>
  <r>
    <s v="Regular"/>
    <x v="1"/>
    <x v="0"/>
    <x v="0"/>
    <x v="0"/>
    <x v="0"/>
    <x v="0"/>
    <x v="2"/>
    <x v="5"/>
    <n v="0"/>
    <n v="0"/>
    <n v="76.406999999999996"/>
    <n v="76.406999999999996"/>
    <n v="76.406999999999996"/>
    <n v="76.406999999999996"/>
    <n v="0"/>
    <x v="0"/>
    <n v="0"/>
    <n v="0"/>
    <n v="19"/>
    <n v="65"/>
    <n v="0"/>
    <n v="842.31"/>
    <n v="454.9"/>
    <m/>
    <n v="1109.1969409458418"/>
    <n v="430.5563899456306"/>
    <n v="0"/>
    <n v="64358.380169999989"/>
    <n v="34757.544299999994"/>
    <n v="0"/>
    <n v="84750.410666848926"/>
    <n v="32897.522086575795"/>
  </r>
  <r>
    <s v="Regular"/>
    <x v="1"/>
    <x v="0"/>
    <x v="1"/>
    <x v="0"/>
    <x v="1"/>
    <x v="0"/>
    <x v="0"/>
    <x v="6"/>
    <n v="0"/>
    <n v="0"/>
    <n v="2193.7249999999999"/>
    <n v="2193.7249999999999"/>
    <n v="0"/>
    <n v="0"/>
    <n v="0"/>
    <x v="1"/>
    <n v="0"/>
    <n v="0"/>
    <n v="20"/>
    <n v="0"/>
    <n v="0"/>
    <n v="69.37"/>
    <n v="0"/>
    <m/>
    <n v="111.03029432835316"/>
    <m/>
    <n v="0"/>
    <n v="152178.70324999999"/>
    <n v="0"/>
    <n v="0"/>
    <n v="243569.93242546654"/>
    <n v="0"/>
  </r>
  <r>
    <s v="Regular"/>
    <x v="1"/>
    <x v="0"/>
    <x v="1"/>
    <x v="0"/>
    <x v="1"/>
    <x v="0"/>
    <x v="0"/>
    <x v="7"/>
    <n v="0"/>
    <n v="0"/>
    <n v="2078.8359999999998"/>
    <n v="2078.8359999999998"/>
    <n v="0"/>
    <n v="0"/>
    <n v="0"/>
    <x v="1"/>
    <n v="0"/>
    <n v="0"/>
    <n v="20"/>
    <n v="0"/>
    <n v="0"/>
    <n v="69.37"/>
    <n v="0"/>
    <m/>
    <n v="111.03029432835316"/>
    <m/>
    <n v="0"/>
    <n v="144208.85331999999"/>
    <n v="0"/>
    <n v="0"/>
    <n v="230813.77294037637"/>
    <n v="0"/>
  </r>
  <r>
    <s v="Regular"/>
    <x v="1"/>
    <x v="0"/>
    <x v="1"/>
    <x v="0"/>
    <x v="1"/>
    <x v="0"/>
    <x v="0"/>
    <x v="8"/>
    <n v="0"/>
    <n v="0"/>
    <n v="2262.5709999999999"/>
    <n v="2262.5709999999999"/>
    <n v="0"/>
    <n v="0"/>
    <n v="0"/>
    <x v="1"/>
    <n v="0"/>
    <n v="0"/>
    <n v="20"/>
    <n v="0"/>
    <n v="0"/>
    <n v="69.37"/>
    <n v="0"/>
    <m/>
    <n v="111.03029432835316"/>
    <m/>
    <n v="0"/>
    <n v="156954.55027000001"/>
    <n v="0"/>
    <n v="0"/>
    <n v="251213.92406879633"/>
    <n v="0"/>
  </r>
  <r>
    <s v="Regular"/>
    <x v="1"/>
    <x v="0"/>
    <x v="1"/>
    <x v="0"/>
    <x v="1"/>
    <x v="0"/>
    <x v="0"/>
    <x v="9"/>
    <n v="0"/>
    <n v="0"/>
    <n v="1877.665"/>
    <n v="1877.665"/>
    <n v="0"/>
    <n v="0"/>
    <n v="0"/>
    <x v="1"/>
    <n v="0"/>
    <n v="0"/>
    <n v="20"/>
    <n v="0"/>
    <n v="0"/>
    <n v="69.37"/>
    <n v="0"/>
    <m/>
    <n v="111.03029432835316"/>
    <m/>
    <n v="0"/>
    <n v="130253.62105"/>
    <n v="0"/>
    <n v="0"/>
    <n v="208477.69760004725"/>
    <n v="0"/>
  </r>
  <r>
    <s v="Regular"/>
    <x v="1"/>
    <x v="0"/>
    <x v="1"/>
    <x v="0"/>
    <x v="1"/>
    <x v="0"/>
    <x v="0"/>
    <x v="10"/>
    <n v="0"/>
    <n v="0"/>
    <n v="2452.4029999999998"/>
    <n v="2452.4029999999998"/>
    <n v="0"/>
    <n v="0"/>
    <n v="0"/>
    <x v="1"/>
    <n v="0"/>
    <n v="0"/>
    <n v="20"/>
    <n v="0"/>
    <n v="0"/>
    <n v="69.37"/>
    <n v="0"/>
    <m/>
    <n v="111.03029432835316"/>
    <m/>
    <n v="0"/>
    <n v="170123.19610999999"/>
    <n v="0"/>
    <n v="0"/>
    <n v="272291.02690173627"/>
    <n v="0"/>
  </r>
  <r>
    <s v="Regular"/>
    <x v="1"/>
    <x v="0"/>
    <x v="1"/>
    <x v="0"/>
    <x v="1"/>
    <x v="0"/>
    <x v="0"/>
    <x v="11"/>
    <n v="0"/>
    <n v="0"/>
    <n v="2507.5810000000001"/>
    <n v="2507.5810000000001"/>
    <n v="0"/>
    <n v="0"/>
    <n v="0"/>
    <x v="1"/>
    <n v="0"/>
    <n v="0"/>
    <n v="20"/>
    <n v="0"/>
    <n v="0"/>
    <n v="69.37"/>
    <n v="0"/>
    <m/>
    <n v="111.03029432835316"/>
    <m/>
    <n v="0"/>
    <n v="173950.89397000003"/>
    <n v="0"/>
    <n v="0"/>
    <n v="278417.45648218616"/>
    <n v="0"/>
  </r>
  <r>
    <s v="Regular"/>
    <x v="1"/>
    <x v="0"/>
    <x v="1"/>
    <x v="0"/>
    <x v="1"/>
    <x v="0"/>
    <x v="0"/>
    <x v="3"/>
    <n v="0"/>
    <n v="0"/>
    <n v="2568.9499999999998"/>
    <n v="2568.9499999999998"/>
    <n v="0"/>
    <n v="0"/>
    <n v="0"/>
    <x v="1"/>
    <n v="0"/>
    <n v="0"/>
    <n v="20"/>
    <n v="0"/>
    <n v="0"/>
    <n v="69.37"/>
    <n v="0"/>
    <m/>
    <n v="111.03029432835316"/>
    <m/>
    <n v="0"/>
    <n v="178208.06150000001"/>
    <n v="0"/>
    <n v="0"/>
    <n v="285231.27461482282"/>
    <n v="0"/>
  </r>
  <r>
    <s v="Regular"/>
    <x v="1"/>
    <x v="0"/>
    <x v="1"/>
    <x v="0"/>
    <x v="1"/>
    <x v="0"/>
    <x v="0"/>
    <x v="0"/>
    <n v="0"/>
    <n v="0"/>
    <n v="2392.5479999999998"/>
    <n v="2392.5479999999998"/>
    <n v="0"/>
    <n v="0"/>
    <n v="0"/>
    <x v="1"/>
    <n v="0"/>
    <n v="0"/>
    <n v="20"/>
    <n v="0"/>
    <n v="0"/>
    <n v="69.37"/>
    <n v="0"/>
    <m/>
    <n v="111.03029432835316"/>
    <m/>
    <n v="0"/>
    <n v="165971.05476"/>
    <n v="0"/>
    <n v="0"/>
    <n v="265645.30863471271"/>
    <n v="0"/>
  </r>
  <r>
    <s v="Regular"/>
    <x v="1"/>
    <x v="0"/>
    <x v="1"/>
    <x v="0"/>
    <x v="1"/>
    <x v="0"/>
    <x v="0"/>
    <x v="4"/>
    <n v="0"/>
    <n v="0"/>
    <n v="2477.0079999999998"/>
    <n v="2477.0079999999998"/>
    <n v="0"/>
    <n v="0"/>
    <n v="0"/>
    <x v="1"/>
    <n v="0"/>
    <n v="0"/>
    <n v="20"/>
    <n v="0"/>
    <n v="0"/>
    <n v="69.37"/>
    <n v="0"/>
    <m/>
    <n v="111.03029432835316"/>
    <m/>
    <n v="0"/>
    <n v="171830.04496"/>
    <n v="0"/>
    <n v="0"/>
    <n v="275022.92729368538"/>
    <n v="0"/>
  </r>
  <r>
    <s v="Regular"/>
    <x v="1"/>
    <x v="0"/>
    <x v="1"/>
    <x v="0"/>
    <x v="1"/>
    <x v="0"/>
    <x v="0"/>
    <x v="1"/>
    <n v="0"/>
    <n v="0"/>
    <n v="2495.9270000000001"/>
    <n v="2495.9270000000001"/>
    <n v="0"/>
    <n v="0"/>
    <n v="0"/>
    <x v="1"/>
    <n v="0"/>
    <n v="0"/>
    <n v="20"/>
    <n v="0"/>
    <n v="0"/>
    <n v="69.37"/>
    <n v="0"/>
    <m/>
    <n v="111.03029432835316"/>
    <m/>
    <n v="0"/>
    <n v="173142.45599000002"/>
    <n v="0"/>
    <n v="0"/>
    <n v="277123.50943208352"/>
    <n v="0"/>
  </r>
  <r>
    <s v="Regular"/>
    <x v="1"/>
    <x v="0"/>
    <x v="1"/>
    <x v="0"/>
    <x v="1"/>
    <x v="0"/>
    <x v="0"/>
    <x v="2"/>
    <n v="0"/>
    <n v="0"/>
    <n v="2841.056"/>
    <n v="2841.056"/>
    <n v="0"/>
    <n v="0"/>
    <n v="0"/>
    <x v="1"/>
    <n v="0"/>
    <n v="0"/>
    <n v="20"/>
    <n v="0"/>
    <n v="0"/>
    <n v="69.37"/>
    <n v="0"/>
    <m/>
    <n v="111.03029432835316"/>
    <m/>
    <n v="0"/>
    <n v="197084.05472000001"/>
    <n v="0"/>
    <n v="0"/>
    <n v="315443.28388333373"/>
    <n v="0"/>
  </r>
  <r>
    <s v="Regular"/>
    <x v="1"/>
    <x v="0"/>
    <x v="1"/>
    <x v="0"/>
    <x v="1"/>
    <x v="0"/>
    <x v="0"/>
    <x v="5"/>
    <n v="0"/>
    <n v="0"/>
    <n v="1900.19"/>
    <n v="1900.19"/>
    <n v="0"/>
    <n v="0"/>
    <n v="0"/>
    <x v="1"/>
    <n v="0"/>
    <n v="0"/>
    <n v="20"/>
    <n v="0"/>
    <n v="0"/>
    <n v="69.37"/>
    <n v="0"/>
    <m/>
    <n v="111.03029432835316"/>
    <m/>
    <n v="0"/>
    <n v="131816.18030000001"/>
    <n v="0"/>
    <n v="0"/>
    <n v="210978.65497979341"/>
    <n v="0"/>
  </r>
  <r>
    <s v="Regular"/>
    <x v="1"/>
    <x v="0"/>
    <x v="1"/>
    <x v="0"/>
    <x v="1"/>
    <x v="0"/>
    <x v="1"/>
    <x v="6"/>
    <n v="6743"/>
    <n v="3371.5"/>
    <n v="0"/>
    <n v="0"/>
    <n v="0"/>
    <n v="0"/>
    <n v="10"/>
    <x v="1"/>
    <n v="0"/>
    <n v="18"/>
    <n v="0"/>
    <n v="0"/>
    <n v="12.42"/>
    <n v="0"/>
    <n v="0"/>
    <n v="15.866734033722858"/>
    <m/>
    <m/>
    <n v="41874.03"/>
    <n v="0"/>
    <n v="0"/>
    <n v="53494.693794696614"/>
    <n v="0"/>
    <n v="0"/>
  </r>
  <r>
    <s v="Regular"/>
    <x v="1"/>
    <x v="0"/>
    <x v="1"/>
    <x v="0"/>
    <x v="1"/>
    <x v="0"/>
    <x v="1"/>
    <x v="7"/>
    <n v="6840"/>
    <n v="3420"/>
    <n v="0"/>
    <n v="0"/>
    <n v="0"/>
    <n v="0"/>
    <n v="10"/>
    <x v="1"/>
    <n v="0"/>
    <n v="18"/>
    <n v="0"/>
    <n v="0"/>
    <n v="12.42"/>
    <n v="0"/>
    <n v="0"/>
    <n v="15.866734033722858"/>
    <m/>
    <m/>
    <n v="42476.4"/>
    <n v="0"/>
    <n v="0"/>
    <n v="54264.230395332175"/>
    <n v="0"/>
    <n v="0"/>
  </r>
  <r>
    <s v="Regular"/>
    <x v="1"/>
    <x v="0"/>
    <x v="1"/>
    <x v="0"/>
    <x v="1"/>
    <x v="0"/>
    <x v="1"/>
    <x v="8"/>
    <n v="6855"/>
    <n v="3427.5"/>
    <n v="0"/>
    <n v="0"/>
    <n v="0"/>
    <n v="0"/>
    <n v="10"/>
    <x v="1"/>
    <n v="0"/>
    <n v="18"/>
    <n v="0"/>
    <n v="0"/>
    <n v="12.42"/>
    <n v="0"/>
    <n v="0"/>
    <n v="15.866734033722858"/>
    <m/>
    <m/>
    <n v="42569.55"/>
    <n v="0"/>
    <n v="0"/>
    <n v="54383.230900585098"/>
    <n v="0"/>
    <n v="0"/>
  </r>
  <r>
    <s v="Regular"/>
    <x v="1"/>
    <x v="0"/>
    <x v="1"/>
    <x v="0"/>
    <x v="1"/>
    <x v="0"/>
    <x v="1"/>
    <x v="9"/>
    <n v="5195"/>
    <n v="2597.5"/>
    <n v="0"/>
    <n v="0"/>
    <n v="0"/>
    <n v="0"/>
    <n v="10"/>
    <x v="1"/>
    <n v="0"/>
    <n v="18"/>
    <n v="0"/>
    <n v="0"/>
    <n v="12.42"/>
    <n v="0"/>
    <n v="0"/>
    <n v="15.866734033722858"/>
    <m/>
    <m/>
    <n v="32260.95"/>
    <n v="0"/>
    <n v="0"/>
    <n v="41213.841652595125"/>
    <n v="0"/>
    <n v="0"/>
  </r>
  <r>
    <s v="Regular"/>
    <x v="1"/>
    <x v="0"/>
    <x v="1"/>
    <x v="0"/>
    <x v="1"/>
    <x v="0"/>
    <x v="1"/>
    <x v="10"/>
    <n v="6646"/>
    <n v="3323"/>
    <n v="0"/>
    <n v="0"/>
    <n v="0"/>
    <n v="0"/>
    <n v="11"/>
    <x v="1"/>
    <n v="0"/>
    <n v="18"/>
    <n v="0"/>
    <n v="0"/>
    <n v="12.42"/>
    <n v="0"/>
    <n v="0"/>
    <n v="15.866734033722858"/>
    <m/>
    <m/>
    <n v="41271.659999999996"/>
    <n v="0"/>
    <n v="0"/>
    <n v="52725.157194061059"/>
    <n v="0"/>
    <n v="0"/>
  </r>
  <r>
    <s v="Regular"/>
    <x v="1"/>
    <x v="0"/>
    <x v="1"/>
    <x v="0"/>
    <x v="1"/>
    <x v="0"/>
    <x v="1"/>
    <x v="11"/>
    <n v="6803"/>
    <n v="3401.5"/>
    <n v="0"/>
    <n v="0"/>
    <n v="0"/>
    <n v="0"/>
    <n v="12"/>
    <x v="1"/>
    <n v="0"/>
    <n v="18"/>
    <n v="0"/>
    <n v="0"/>
    <n v="12.42"/>
    <n v="0"/>
    <n v="0"/>
    <n v="15.866734033722858"/>
    <m/>
    <m/>
    <n v="42246.63"/>
    <n v="0"/>
    <n v="0"/>
    <n v="53970.695815708306"/>
    <n v="0"/>
    <n v="0"/>
  </r>
  <r>
    <s v="Regular"/>
    <x v="1"/>
    <x v="0"/>
    <x v="1"/>
    <x v="0"/>
    <x v="1"/>
    <x v="0"/>
    <x v="1"/>
    <x v="3"/>
    <n v="6862"/>
    <n v="3431"/>
    <n v="0"/>
    <n v="0"/>
    <n v="0"/>
    <n v="0"/>
    <n v="12"/>
    <x v="1"/>
    <n v="0"/>
    <n v="18"/>
    <n v="0"/>
    <n v="0"/>
    <n v="12.42"/>
    <n v="0"/>
    <n v="0"/>
    <n v="15.866734033722858"/>
    <m/>
    <m/>
    <n v="42613.02"/>
    <n v="0"/>
    <n v="0"/>
    <n v="54438.764469703128"/>
    <n v="0"/>
    <n v="0"/>
  </r>
  <r>
    <s v="Regular"/>
    <x v="1"/>
    <x v="0"/>
    <x v="1"/>
    <x v="0"/>
    <x v="1"/>
    <x v="0"/>
    <x v="1"/>
    <x v="0"/>
    <n v="6817"/>
    <n v="3408.5"/>
    <n v="0"/>
    <n v="0"/>
    <n v="0"/>
    <n v="0"/>
    <n v="12"/>
    <x v="1"/>
    <n v="0"/>
    <n v="18"/>
    <n v="0"/>
    <n v="0"/>
    <n v="12.42"/>
    <n v="0"/>
    <n v="0"/>
    <n v="15.866734033722858"/>
    <m/>
    <m/>
    <n v="42333.57"/>
    <n v="0"/>
    <n v="0"/>
    <n v="54081.762953944366"/>
    <n v="0"/>
    <n v="0"/>
  </r>
  <r>
    <s v="Regular"/>
    <x v="1"/>
    <x v="0"/>
    <x v="1"/>
    <x v="0"/>
    <x v="1"/>
    <x v="0"/>
    <x v="1"/>
    <x v="4"/>
    <n v="6956"/>
    <n v="3478"/>
    <n v="0"/>
    <n v="0"/>
    <n v="0"/>
    <n v="0"/>
    <n v="12"/>
    <x v="1"/>
    <n v="0"/>
    <n v="18"/>
    <n v="0"/>
    <n v="0"/>
    <n v="12.42"/>
    <n v="0"/>
    <n v="0"/>
    <n v="15.866734033722858"/>
    <m/>
    <m/>
    <n v="43196.76"/>
    <n v="0"/>
    <n v="0"/>
    <n v="55184.500969288099"/>
    <n v="0"/>
    <n v="0"/>
  </r>
  <r>
    <s v="Regular"/>
    <x v="1"/>
    <x v="0"/>
    <x v="1"/>
    <x v="0"/>
    <x v="1"/>
    <x v="0"/>
    <x v="1"/>
    <x v="1"/>
    <n v="6826"/>
    <n v="3413"/>
    <n v="0"/>
    <n v="0"/>
    <n v="0"/>
    <n v="0"/>
    <n v="12"/>
    <x v="1"/>
    <n v="0"/>
    <n v="18"/>
    <n v="0"/>
    <n v="0"/>
    <n v="12.42"/>
    <n v="0"/>
    <n v="0"/>
    <n v="15.866734033722858"/>
    <m/>
    <m/>
    <n v="42389.46"/>
    <n v="0"/>
    <n v="0"/>
    <n v="54153.163257096116"/>
    <n v="0"/>
    <n v="0"/>
  </r>
  <r>
    <s v="Regular"/>
    <x v="1"/>
    <x v="0"/>
    <x v="1"/>
    <x v="0"/>
    <x v="1"/>
    <x v="0"/>
    <x v="1"/>
    <x v="2"/>
    <n v="7054"/>
    <n v="3527"/>
    <n v="0"/>
    <n v="0"/>
    <n v="0"/>
    <n v="0"/>
    <n v="12"/>
    <x v="1"/>
    <n v="0"/>
    <n v="18"/>
    <n v="0"/>
    <n v="0"/>
    <n v="12.42"/>
    <n v="0"/>
    <n v="0"/>
    <n v="15.866734033722858"/>
    <m/>
    <m/>
    <n v="43805.34"/>
    <n v="0"/>
    <n v="0"/>
    <n v="55961.970936940525"/>
    <n v="0"/>
    <n v="0"/>
  </r>
  <r>
    <s v="Regular"/>
    <x v="1"/>
    <x v="0"/>
    <x v="1"/>
    <x v="0"/>
    <x v="1"/>
    <x v="0"/>
    <x v="1"/>
    <x v="5"/>
    <n v="5327"/>
    <n v="2663.5"/>
    <n v="0"/>
    <n v="0"/>
    <n v="0"/>
    <n v="0"/>
    <n v="11"/>
    <x v="1"/>
    <n v="0"/>
    <n v="18"/>
    <n v="0"/>
    <n v="0"/>
    <n v="12.42"/>
    <n v="0"/>
    <n v="0"/>
    <n v="15.866734033722858"/>
    <m/>
    <m/>
    <n v="33080.67"/>
    <n v="0"/>
    <n v="0"/>
    <n v="42261.046098820836"/>
    <n v="0"/>
    <n v="0"/>
  </r>
  <r>
    <s v="Regular"/>
    <x v="1"/>
    <x v="0"/>
    <x v="1"/>
    <x v="0"/>
    <x v="1"/>
    <x v="0"/>
    <x v="2"/>
    <x v="6"/>
    <n v="0"/>
    <n v="0"/>
    <n v="226.70599999999999"/>
    <n v="113.35299999999999"/>
    <n v="0"/>
    <n v="0"/>
    <n v="0"/>
    <x v="1"/>
    <n v="0"/>
    <n v="0"/>
    <n v="19"/>
    <n v="0"/>
    <n v="0"/>
    <n v="842.31"/>
    <n v="0"/>
    <m/>
    <n v="1109.1969409458418"/>
    <m/>
    <n v="0"/>
    <n v="95478.365429999991"/>
    <n v="0"/>
    <n v="0"/>
    <n v="125730.800847034"/>
    <n v="0"/>
  </r>
  <r>
    <s v="Regular"/>
    <x v="1"/>
    <x v="0"/>
    <x v="1"/>
    <x v="0"/>
    <x v="1"/>
    <x v="0"/>
    <x v="2"/>
    <x v="7"/>
    <n v="0"/>
    <n v="0"/>
    <n v="222.68600000000001"/>
    <n v="111.343"/>
    <n v="0"/>
    <n v="0"/>
    <n v="0"/>
    <x v="1"/>
    <n v="0"/>
    <n v="0"/>
    <n v="19"/>
    <n v="0"/>
    <n v="0"/>
    <n v="842.31"/>
    <n v="0"/>
    <m/>
    <n v="1109.1969409458418"/>
    <m/>
    <n v="0"/>
    <n v="93785.322329999995"/>
    <n v="0"/>
    <n v="0"/>
    <n v="123501.31499573287"/>
    <n v="0"/>
  </r>
  <r>
    <s v="Regular"/>
    <x v="1"/>
    <x v="0"/>
    <x v="1"/>
    <x v="0"/>
    <x v="1"/>
    <x v="0"/>
    <x v="2"/>
    <x v="8"/>
    <n v="0"/>
    <n v="0"/>
    <n v="230.55199999999999"/>
    <n v="115.276"/>
    <n v="0"/>
    <n v="0"/>
    <n v="0"/>
    <x v="1"/>
    <n v="0"/>
    <n v="0"/>
    <n v="19"/>
    <n v="0"/>
    <n v="0"/>
    <n v="842.31"/>
    <n v="0"/>
    <m/>
    <n v="1109.1969409458418"/>
    <m/>
    <n v="0"/>
    <n v="97098.127559999994"/>
    <n v="0"/>
    <n v="0"/>
    <n v="127863.78656447286"/>
    <n v="0"/>
  </r>
  <r>
    <s v="Regular"/>
    <x v="1"/>
    <x v="0"/>
    <x v="1"/>
    <x v="0"/>
    <x v="1"/>
    <x v="0"/>
    <x v="2"/>
    <x v="9"/>
    <n v="0"/>
    <n v="0"/>
    <n v="201.41900000000001"/>
    <n v="100.70950000000001"/>
    <n v="0"/>
    <n v="0"/>
    <n v="0"/>
    <x v="1"/>
    <n v="0"/>
    <n v="0"/>
    <n v="19"/>
    <n v="0"/>
    <n v="0"/>
    <n v="842.31"/>
    <n v="0"/>
    <m/>
    <n v="1109.1969409458418"/>
    <m/>
    <n v="0"/>
    <n v="84828.618944999995"/>
    <n v="0"/>
    <n v="0"/>
    <n v="111706.66932418526"/>
    <n v="0"/>
  </r>
  <r>
    <s v="Regular"/>
    <x v="1"/>
    <x v="0"/>
    <x v="1"/>
    <x v="0"/>
    <x v="1"/>
    <x v="0"/>
    <x v="2"/>
    <x v="10"/>
    <n v="0"/>
    <n v="0"/>
    <n v="266.76"/>
    <n v="133.38"/>
    <n v="0"/>
    <n v="0"/>
    <n v="0"/>
    <x v="1"/>
    <n v="0"/>
    <n v="0"/>
    <n v="19"/>
    <n v="0"/>
    <n v="0"/>
    <n v="842.31"/>
    <n v="0"/>
    <m/>
    <n v="1109.1969409458418"/>
    <m/>
    <n v="0"/>
    <n v="112347.3078"/>
    <n v="0"/>
    <n v="0"/>
    <n v="147944.68798335639"/>
    <n v="0"/>
  </r>
  <r>
    <s v="Regular"/>
    <x v="1"/>
    <x v="0"/>
    <x v="1"/>
    <x v="0"/>
    <x v="1"/>
    <x v="0"/>
    <x v="2"/>
    <x v="11"/>
    <n v="0"/>
    <n v="0"/>
    <n v="257.44299999999998"/>
    <n v="128.72149999999999"/>
    <n v="0"/>
    <n v="0"/>
    <n v="0"/>
    <x v="1"/>
    <n v="0"/>
    <n v="0"/>
    <n v="19"/>
    <n v="0"/>
    <n v="0"/>
    <n v="842.31"/>
    <n v="0"/>
    <m/>
    <n v="1109.1969409458418"/>
    <m/>
    <n v="0"/>
    <n v="108423.40666499999"/>
    <n v="0"/>
    <n v="0"/>
    <n v="142777.49403396016"/>
    <n v="0"/>
  </r>
  <r>
    <s v="Regular"/>
    <x v="1"/>
    <x v="0"/>
    <x v="1"/>
    <x v="0"/>
    <x v="1"/>
    <x v="0"/>
    <x v="2"/>
    <x v="3"/>
    <n v="0"/>
    <n v="0"/>
    <n v="276.63499999999999"/>
    <n v="138.3175"/>
    <n v="0"/>
    <n v="0"/>
    <n v="0"/>
    <x v="1"/>
    <n v="0"/>
    <n v="0"/>
    <n v="19"/>
    <n v="0"/>
    <n v="0"/>
    <n v="842.31"/>
    <n v="0"/>
    <m/>
    <n v="1109.1969409458418"/>
    <m/>
    <n v="0"/>
    <n v="116506.21342499999"/>
    <n v="0"/>
    <n v="0"/>
    <n v="153421.34787927647"/>
    <n v="0"/>
  </r>
  <r>
    <s v="Regular"/>
    <x v="1"/>
    <x v="0"/>
    <x v="1"/>
    <x v="0"/>
    <x v="1"/>
    <x v="0"/>
    <x v="2"/>
    <x v="0"/>
    <n v="0"/>
    <n v="0"/>
    <n v="262.87700000000001"/>
    <n v="131.4385"/>
    <n v="0"/>
    <n v="0"/>
    <n v="0"/>
    <x v="1"/>
    <n v="0"/>
    <n v="0"/>
    <n v="19"/>
    <n v="0"/>
    <n v="0"/>
    <n v="842.31"/>
    <n v="0"/>
    <m/>
    <n v="1109.1969409458418"/>
    <m/>
    <n v="0"/>
    <n v="110711.962935"/>
    <n v="0"/>
    <n v="0"/>
    <n v="145791.18212251004"/>
    <n v="0"/>
  </r>
  <r>
    <s v="Regular"/>
    <x v="1"/>
    <x v="0"/>
    <x v="1"/>
    <x v="0"/>
    <x v="1"/>
    <x v="0"/>
    <x v="2"/>
    <x v="4"/>
    <n v="0"/>
    <n v="0"/>
    <n v="261.62799999999999"/>
    <n v="130.81399999999999"/>
    <n v="0"/>
    <n v="0"/>
    <n v="0"/>
    <x v="1"/>
    <n v="0"/>
    <n v="0"/>
    <n v="19"/>
    <n v="0"/>
    <n v="0"/>
    <n v="842.31"/>
    <n v="0"/>
    <m/>
    <n v="1109.1969409458418"/>
    <m/>
    <n v="0"/>
    <n v="110185.94033999999"/>
    <n v="0"/>
    <n v="0"/>
    <n v="145098.48863288935"/>
    <n v="0"/>
  </r>
  <r>
    <s v="Regular"/>
    <x v="1"/>
    <x v="0"/>
    <x v="1"/>
    <x v="0"/>
    <x v="1"/>
    <x v="0"/>
    <x v="2"/>
    <x v="1"/>
    <n v="0"/>
    <n v="0"/>
    <n v="277.09199999999998"/>
    <n v="138.54599999999999"/>
    <n v="0"/>
    <n v="0"/>
    <n v="0"/>
    <x v="1"/>
    <n v="0"/>
    <n v="0"/>
    <n v="19"/>
    <n v="0"/>
    <n v="0"/>
    <n v="842.31"/>
    <n v="0"/>
    <m/>
    <n v="1109.1969409458418"/>
    <m/>
    <n v="0"/>
    <n v="116698.68125999998"/>
    <n v="0"/>
    <n v="0"/>
    <n v="153674.79938028258"/>
    <n v="0"/>
  </r>
  <r>
    <s v="Regular"/>
    <x v="1"/>
    <x v="0"/>
    <x v="1"/>
    <x v="0"/>
    <x v="1"/>
    <x v="0"/>
    <x v="2"/>
    <x v="2"/>
    <n v="0"/>
    <n v="0"/>
    <n v="318.57600000000002"/>
    <n v="159.28800000000001"/>
    <n v="0"/>
    <n v="0"/>
    <n v="0"/>
    <x v="1"/>
    <n v="0"/>
    <n v="0"/>
    <n v="19"/>
    <n v="0"/>
    <n v="0"/>
    <n v="842.31"/>
    <n v="0"/>
    <m/>
    <n v="1109.1969409458418"/>
    <m/>
    <n v="0"/>
    <n v="134169.87528000001"/>
    <n v="0"/>
    <n v="0"/>
    <n v="176681.76232938125"/>
    <n v="0"/>
  </r>
  <r>
    <s v="Regular"/>
    <x v="1"/>
    <x v="0"/>
    <x v="1"/>
    <x v="0"/>
    <x v="1"/>
    <x v="0"/>
    <x v="2"/>
    <x v="5"/>
    <n v="0"/>
    <n v="0"/>
    <n v="206.87200000000001"/>
    <n v="103.43600000000001"/>
    <n v="0"/>
    <n v="0"/>
    <n v="0"/>
    <x v="1"/>
    <n v="0"/>
    <n v="0"/>
    <n v="19"/>
    <n v="0"/>
    <n v="0"/>
    <n v="842.31"/>
    <n v="0"/>
    <m/>
    <n v="1109.1969409458418"/>
    <m/>
    <n v="0"/>
    <n v="87125.177160000007"/>
    <n v="0"/>
    <n v="0"/>
    <n v="114730.8947836741"/>
    <n v="0"/>
  </r>
  <r>
    <s v="Regular"/>
    <x v="1"/>
    <x v="0"/>
    <x v="1"/>
    <x v="0"/>
    <x v="0"/>
    <x v="0"/>
    <x v="0"/>
    <x v="6"/>
    <n v="0"/>
    <n v="0"/>
    <n v="3057.0749999999998"/>
    <n v="3057.0749999999998"/>
    <n v="3057.0749999999998"/>
    <n v="3057.0749999999998"/>
    <n v="0"/>
    <x v="0"/>
    <n v="0"/>
    <n v="0"/>
    <n v="20"/>
    <n v="66"/>
    <n v="0"/>
    <n v="69.37"/>
    <n v="284.36"/>
    <m/>
    <n v="111.03029432835316"/>
    <n v="274.80069497881567"/>
    <n v="0"/>
    <n v="212069.29274999999"/>
    <n v="869309.84699999995"/>
    <n v="0"/>
    <n v="339427.93703385023"/>
    <n v="840086.33460236283"/>
  </r>
  <r>
    <s v="Regular"/>
    <x v="1"/>
    <x v="0"/>
    <x v="1"/>
    <x v="0"/>
    <x v="0"/>
    <x v="0"/>
    <x v="0"/>
    <x v="6"/>
    <n v="0"/>
    <n v="0"/>
    <n v="1102.6579999999999"/>
    <n v="1102.6579999999999"/>
    <n v="0"/>
    <n v="0"/>
    <n v="0"/>
    <x v="1"/>
    <n v="0"/>
    <n v="0"/>
    <n v="20"/>
    <n v="0"/>
    <n v="0"/>
    <n v="69.37"/>
    <n v="0"/>
    <m/>
    <n v="111.03029432835316"/>
    <m/>
    <n v="0"/>
    <n v="76491.385460000005"/>
    <n v="0"/>
    <n v="0"/>
    <n v="122428.44228351323"/>
    <n v="0"/>
  </r>
  <r>
    <s v="Regular"/>
    <x v="1"/>
    <x v="0"/>
    <x v="1"/>
    <x v="0"/>
    <x v="0"/>
    <x v="0"/>
    <x v="0"/>
    <x v="7"/>
    <n v="0"/>
    <n v="0"/>
    <n v="3203.6149999999998"/>
    <n v="3203.6149999999998"/>
    <n v="3203.6149999999998"/>
    <n v="3203.6149999999998"/>
    <n v="0"/>
    <x v="0"/>
    <n v="0"/>
    <n v="0"/>
    <n v="20"/>
    <n v="66"/>
    <n v="0"/>
    <n v="69.37"/>
    <n v="284.36"/>
    <m/>
    <n v="111.03029432835316"/>
    <n v="274.80069497881567"/>
    <n v="0"/>
    <n v="222234.77254999999"/>
    <n v="910979.96140000003"/>
    <n v="0"/>
    <n v="355698.3163647271"/>
    <n v="880355.62844455848"/>
  </r>
  <r>
    <s v="Regular"/>
    <x v="1"/>
    <x v="0"/>
    <x v="1"/>
    <x v="0"/>
    <x v="0"/>
    <x v="0"/>
    <x v="0"/>
    <x v="7"/>
    <n v="0"/>
    <n v="0"/>
    <n v="1087.0160000000001"/>
    <n v="1087.0160000000001"/>
    <n v="0"/>
    <n v="0"/>
    <n v="0"/>
    <x v="1"/>
    <n v="0"/>
    <n v="0"/>
    <n v="20"/>
    <n v="0"/>
    <n v="0"/>
    <n v="69.37"/>
    <n v="0"/>
    <m/>
    <n v="111.03029432835316"/>
    <m/>
    <n v="0"/>
    <n v="75406.299920000005"/>
    <n v="0"/>
    <n v="0"/>
    <n v="120691.70641962915"/>
    <n v="0"/>
  </r>
  <r>
    <s v="Regular"/>
    <x v="1"/>
    <x v="0"/>
    <x v="1"/>
    <x v="0"/>
    <x v="0"/>
    <x v="0"/>
    <x v="0"/>
    <x v="8"/>
    <n v="0"/>
    <n v="0"/>
    <n v="3170.1239999999998"/>
    <n v="3170.1239999999998"/>
    <n v="3170.1239999999998"/>
    <n v="3170.1239999999998"/>
    <n v="0"/>
    <x v="0"/>
    <n v="0"/>
    <n v="0"/>
    <n v="20"/>
    <n v="66"/>
    <n v="0"/>
    <n v="69.37"/>
    <n v="284.36"/>
    <m/>
    <n v="111.03029432835316"/>
    <n v="274.80069497881567"/>
    <n v="0"/>
    <n v="219911.50188"/>
    <n v="901456.46063999995"/>
    <n v="0"/>
    <n v="351979.80077737622"/>
    <n v="871152.278369023"/>
  </r>
  <r>
    <s v="Regular"/>
    <x v="1"/>
    <x v="0"/>
    <x v="1"/>
    <x v="0"/>
    <x v="0"/>
    <x v="0"/>
    <x v="0"/>
    <x v="8"/>
    <n v="0"/>
    <n v="0"/>
    <n v="927.79300000000001"/>
    <n v="927.79300000000001"/>
    <n v="0"/>
    <n v="0"/>
    <n v="0"/>
    <x v="1"/>
    <n v="0"/>
    <n v="0"/>
    <n v="20"/>
    <n v="0"/>
    <n v="0"/>
    <n v="69.37"/>
    <n v="0"/>
    <m/>
    <n v="111.03029432835316"/>
    <m/>
    <n v="0"/>
    <n v="64361.000410000008"/>
    <n v="0"/>
    <n v="0"/>
    <n v="103013.12986578577"/>
    <n v="0"/>
  </r>
  <r>
    <s v="Regular"/>
    <x v="1"/>
    <x v="0"/>
    <x v="1"/>
    <x v="0"/>
    <x v="0"/>
    <x v="0"/>
    <x v="0"/>
    <x v="9"/>
    <n v="0"/>
    <n v="0"/>
    <n v="2499.0369999999998"/>
    <n v="2499.0369999999998"/>
    <n v="2499.0369999999998"/>
    <n v="2499.0369999999998"/>
    <n v="0"/>
    <x v="0"/>
    <n v="0"/>
    <n v="0"/>
    <n v="20"/>
    <n v="66"/>
    <n v="0"/>
    <n v="69.37"/>
    <n v="284.36"/>
    <m/>
    <n v="111.03029432835316"/>
    <n v="274.80069497881567"/>
    <n v="0"/>
    <n v="173358.19669000001"/>
    <n v="710626.16131999996"/>
    <n v="0"/>
    <n v="277468.81364744471"/>
    <n v="686737.10437777452"/>
  </r>
  <r>
    <s v="Regular"/>
    <x v="1"/>
    <x v="0"/>
    <x v="1"/>
    <x v="0"/>
    <x v="0"/>
    <x v="0"/>
    <x v="0"/>
    <x v="9"/>
    <n v="0"/>
    <n v="0"/>
    <n v="1500.617"/>
    <n v="1500.617"/>
    <n v="0"/>
    <n v="0"/>
    <n v="0"/>
    <x v="1"/>
    <n v="0"/>
    <n v="0"/>
    <n v="20"/>
    <n v="0"/>
    <n v="0"/>
    <n v="69.37"/>
    <n v="0"/>
    <m/>
    <n v="111.03029432835316"/>
    <m/>
    <n v="0"/>
    <n v="104097.80129"/>
    <n v="0"/>
    <n v="0"/>
    <n v="166613.94718413035"/>
    <n v="0"/>
  </r>
  <r>
    <s v="Regular"/>
    <x v="1"/>
    <x v="0"/>
    <x v="1"/>
    <x v="0"/>
    <x v="0"/>
    <x v="0"/>
    <x v="0"/>
    <x v="10"/>
    <n v="0"/>
    <n v="0"/>
    <n v="2360.2080000000001"/>
    <n v="2360.2080000000001"/>
    <n v="2360.2080000000001"/>
    <n v="2360.2080000000001"/>
    <n v="0"/>
    <x v="0"/>
    <n v="0"/>
    <n v="0"/>
    <n v="20"/>
    <n v="66"/>
    <n v="0"/>
    <n v="69.37"/>
    <n v="284.36"/>
    <m/>
    <n v="111.03029432835316"/>
    <n v="274.80069497881567"/>
    <n v="0"/>
    <n v="163727.62896000003"/>
    <n v="671148.74688000011"/>
    <n v="0"/>
    <n v="262054.58891613377"/>
    <n v="648586.79869456065"/>
  </r>
  <r>
    <s v="Regular"/>
    <x v="1"/>
    <x v="0"/>
    <x v="1"/>
    <x v="0"/>
    <x v="0"/>
    <x v="0"/>
    <x v="0"/>
    <x v="10"/>
    <n v="0"/>
    <n v="0"/>
    <n v="1505.259"/>
    <n v="1505.259"/>
    <n v="0"/>
    <n v="0"/>
    <n v="0"/>
    <x v="1"/>
    <n v="0"/>
    <n v="0"/>
    <n v="20"/>
    <n v="0"/>
    <n v="0"/>
    <n v="69.37"/>
    <n v="0"/>
    <m/>
    <n v="111.03029432835316"/>
    <m/>
    <n v="0"/>
    <n v="104419.81683000001"/>
    <n v="0"/>
    <n v="0"/>
    <n v="167129.34981040255"/>
    <n v="0"/>
  </r>
  <r>
    <s v="Regular"/>
    <x v="1"/>
    <x v="0"/>
    <x v="1"/>
    <x v="0"/>
    <x v="0"/>
    <x v="0"/>
    <x v="0"/>
    <x v="11"/>
    <n v="0"/>
    <n v="0"/>
    <n v="2343.73"/>
    <n v="2343.73"/>
    <n v="2343.73"/>
    <n v="2343.73"/>
    <n v="0"/>
    <x v="0"/>
    <n v="0"/>
    <n v="0"/>
    <n v="20"/>
    <n v="66"/>
    <n v="0"/>
    <n v="69.37"/>
    <n v="284.36"/>
    <m/>
    <n v="111.03029432835316"/>
    <n v="274.80069497881567"/>
    <n v="0"/>
    <n v="162584.55010000002"/>
    <n v="666463.06280000007"/>
    <n v="0"/>
    <n v="260225.03172619117"/>
    <n v="644058.63284269965"/>
  </r>
  <r>
    <s v="Regular"/>
    <x v="1"/>
    <x v="0"/>
    <x v="1"/>
    <x v="0"/>
    <x v="0"/>
    <x v="0"/>
    <x v="0"/>
    <x v="11"/>
    <n v="0"/>
    <n v="0"/>
    <n v="1210.21"/>
    <n v="1210.21"/>
    <n v="0"/>
    <n v="0"/>
    <n v="0"/>
    <x v="1"/>
    <n v="0"/>
    <n v="0"/>
    <n v="20"/>
    <n v="0"/>
    <n v="0"/>
    <n v="69.37"/>
    <n v="0"/>
    <m/>
    <n v="111.03029432835316"/>
    <m/>
    <n v="0"/>
    <n v="83952.267700000011"/>
    <n v="0"/>
    <n v="0"/>
    <n v="134369.97249911629"/>
    <n v="0"/>
  </r>
  <r>
    <s v="Regular"/>
    <x v="1"/>
    <x v="0"/>
    <x v="1"/>
    <x v="0"/>
    <x v="0"/>
    <x v="0"/>
    <x v="0"/>
    <x v="3"/>
    <n v="0"/>
    <n v="0"/>
    <n v="2227.1109999999999"/>
    <n v="2227.1109999999999"/>
    <n v="2227.1109999999999"/>
    <n v="2227.1109999999999"/>
    <n v="0"/>
    <x v="0"/>
    <n v="0"/>
    <n v="0"/>
    <n v="20"/>
    <n v="66"/>
    <n v="0"/>
    <n v="69.37"/>
    <n v="284.36"/>
    <m/>
    <n v="111.03029432835316"/>
    <n v="274.80069497881567"/>
    <n v="0"/>
    <n v="154494.69007000001"/>
    <n v="633301.28396000003"/>
    <n v="0"/>
    <n v="247276.78983191293"/>
    <n v="612011.65059496509"/>
  </r>
  <r>
    <s v="Regular"/>
    <x v="1"/>
    <x v="0"/>
    <x v="1"/>
    <x v="0"/>
    <x v="0"/>
    <x v="0"/>
    <x v="0"/>
    <x v="3"/>
    <n v="0"/>
    <n v="0"/>
    <n v="1486.385"/>
    <n v="1486.385"/>
    <n v="0"/>
    <n v="0"/>
    <n v="0"/>
    <x v="1"/>
    <n v="0"/>
    <n v="0"/>
    <n v="20"/>
    <n v="0"/>
    <n v="0"/>
    <n v="69.37"/>
    <n v="0"/>
    <m/>
    <n v="111.03029432835316"/>
    <m/>
    <n v="0"/>
    <n v="103110.52745000001"/>
    <n v="0"/>
    <n v="0"/>
    <n v="165033.76403524922"/>
    <n v="0"/>
  </r>
  <r>
    <s v="Regular"/>
    <x v="1"/>
    <x v="0"/>
    <x v="1"/>
    <x v="0"/>
    <x v="0"/>
    <x v="0"/>
    <x v="0"/>
    <x v="0"/>
    <n v="0"/>
    <n v="0"/>
    <n v="2130.0970000000002"/>
    <n v="2130.0970000000002"/>
    <n v="2130.0970000000002"/>
    <n v="2130.0970000000002"/>
    <n v="0"/>
    <x v="0"/>
    <n v="0"/>
    <n v="0"/>
    <n v="20"/>
    <n v="66"/>
    <n v="0"/>
    <n v="69.37"/>
    <n v="284.36"/>
    <m/>
    <n v="111.03029432835316"/>
    <n v="274.80069497881567"/>
    <n v="0"/>
    <n v="147764.82889000003"/>
    <n v="605714.38292000012"/>
    <n v="0"/>
    <n v="236505.29685794213"/>
    <n v="585352.13597229042"/>
  </r>
  <r>
    <s v="Sistema de Compensação"/>
    <x v="1"/>
    <x v="0"/>
    <x v="1"/>
    <x v="0"/>
    <x v="0"/>
    <x v="0"/>
    <x v="0"/>
    <x v="0"/>
    <n v="0"/>
    <n v="0"/>
    <n v="9.0370000000000008"/>
    <n v="9.0370000000000008"/>
    <n v="9.0370000000000008"/>
    <n v="9.0370000000000008"/>
    <n v="0"/>
    <x v="0"/>
    <n v="0"/>
    <n v="0"/>
    <n v="20"/>
    <n v="66"/>
    <n v="0"/>
    <n v="69.37"/>
    <n v="284.36"/>
    <m/>
    <n v="111.03029432835316"/>
    <n v="274.80069497881567"/>
    <n v="0"/>
    <n v="626.89669000000015"/>
    <n v="2569.7613200000005"/>
    <n v="0"/>
    <n v="1003.3807698453277"/>
    <n v="2483.3738805235575"/>
  </r>
  <r>
    <s v="Regular"/>
    <x v="1"/>
    <x v="0"/>
    <x v="1"/>
    <x v="0"/>
    <x v="0"/>
    <x v="0"/>
    <x v="0"/>
    <x v="0"/>
    <n v="0"/>
    <n v="0"/>
    <n v="1045.3130000000001"/>
    <n v="1045.3130000000001"/>
    <n v="0"/>
    <n v="0"/>
    <n v="0"/>
    <x v="1"/>
    <n v="0"/>
    <n v="0"/>
    <n v="20"/>
    <n v="0"/>
    <n v="0"/>
    <n v="69.37"/>
    <n v="0"/>
    <m/>
    <n v="111.03029432835316"/>
    <m/>
    <n v="0"/>
    <n v="72513.362810000006"/>
    <n v="0"/>
    <n v="0"/>
    <n v="116061.41005525384"/>
    <n v="0"/>
  </r>
  <r>
    <s v="Regular"/>
    <x v="1"/>
    <x v="0"/>
    <x v="1"/>
    <x v="0"/>
    <x v="0"/>
    <x v="0"/>
    <x v="0"/>
    <x v="4"/>
    <n v="0"/>
    <n v="0"/>
    <n v="2147.5100000000002"/>
    <n v="2147.5100000000002"/>
    <n v="2147.5100000000002"/>
    <n v="2147.5100000000002"/>
    <n v="0"/>
    <x v="0"/>
    <n v="0"/>
    <n v="0"/>
    <n v="20"/>
    <n v="66"/>
    <n v="0"/>
    <n v="69.37"/>
    <n v="284.36"/>
    <m/>
    <n v="111.03029432835316"/>
    <n v="274.80069497881567"/>
    <n v="0"/>
    <n v="148972.76870000002"/>
    <n v="610665.94360000012"/>
    <n v="0"/>
    <n v="238438.66737308173"/>
    <n v="590137.24047395645"/>
  </r>
  <r>
    <s v="Sistema de Compensação"/>
    <x v="1"/>
    <x v="0"/>
    <x v="1"/>
    <x v="0"/>
    <x v="0"/>
    <x v="0"/>
    <x v="0"/>
    <x v="4"/>
    <n v="0"/>
    <n v="0"/>
    <n v="15.106"/>
    <n v="15.106"/>
    <n v="15.106"/>
    <n v="15.106"/>
    <n v="0"/>
    <x v="0"/>
    <n v="0"/>
    <n v="0"/>
    <n v="20"/>
    <n v="66"/>
    <n v="0"/>
    <n v="69.37"/>
    <n v="284.36"/>
    <m/>
    <n v="111.03029432835316"/>
    <n v="274.80069497881567"/>
    <n v="0"/>
    <n v="1047.9032200000001"/>
    <n v="4295.54216"/>
    <n v="0"/>
    <n v="1677.2236261241028"/>
    <n v="4151.1392983499891"/>
  </r>
  <r>
    <s v="Regular"/>
    <x v="1"/>
    <x v="0"/>
    <x v="1"/>
    <x v="0"/>
    <x v="0"/>
    <x v="0"/>
    <x v="0"/>
    <x v="4"/>
    <n v="0"/>
    <n v="0"/>
    <n v="1217.2239999999999"/>
    <n v="1217.2239999999999"/>
    <n v="0"/>
    <n v="0"/>
    <n v="0"/>
    <x v="1"/>
    <n v="0"/>
    <n v="0"/>
    <n v="20"/>
    <n v="0"/>
    <n v="0"/>
    <n v="69.37"/>
    <n v="0"/>
    <m/>
    <n v="111.03029432835316"/>
    <m/>
    <n v="0"/>
    <n v="84438.828880000001"/>
    <n v="0"/>
    <n v="0"/>
    <n v="135148.73898353535"/>
    <n v="0"/>
  </r>
  <r>
    <s v="Regular"/>
    <x v="1"/>
    <x v="0"/>
    <x v="1"/>
    <x v="0"/>
    <x v="0"/>
    <x v="0"/>
    <x v="0"/>
    <x v="1"/>
    <n v="0"/>
    <n v="0"/>
    <n v="2303.9630000000002"/>
    <n v="2303.9630000000002"/>
    <n v="2303.9630000000002"/>
    <n v="2303.9630000000002"/>
    <n v="0"/>
    <x v="0"/>
    <n v="0"/>
    <n v="0"/>
    <n v="20"/>
    <n v="66"/>
    <n v="0"/>
    <n v="69.37"/>
    <n v="284.36"/>
    <m/>
    <n v="111.03029432835316"/>
    <n v="274.80069497881567"/>
    <n v="0"/>
    <n v="159825.91331000003"/>
    <n v="655154.91868000012"/>
    <n v="0"/>
    <n v="255809.69001163557"/>
    <n v="633130.63360547717"/>
  </r>
  <r>
    <s v="Sistema de Compensação"/>
    <x v="1"/>
    <x v="0"/>
    <x v="1"/>
    <x v="0"/>
    <x v="0"/>
    <x v="0"/>
    <x v="0"/>
    <x v="1"/>
    <n v="0"/>
    <n v="0"/>
    <n v="25.742000000000001"/>
    <n v="25.742000000000001"/>
    <n v="25.742000000000001"/>
    <n v="25.742000000000001"/>
    <n v="0"/>
    <x v="0"/>
    <n v="0"/>
    <n v="0"/>
    <n v="20"/>
    <n v="66"/>
    <n v="0"/>
    <n v="69.37"/>
    <n v="284.36"/>
    <m/>
    <n v="111.03029432835316"/>
    <n v="274.80069497881567"/>
    <n v="0"/>
    <n v="1785.7225400000002"/>
    <n v="7319.9951200000005"/>
    <n v="0"/>
    <n v="2858.1418366004673"/>
    <n v="7073.9194901446735"/>
  </r>
  <r>
    <s v="Regular"/>
    <x v="1"/>
    <x v="0"/>
    <x v="1"/>
    <x v="0"/>
    <x v="0"/>
    <x v="0"/>
    <x v="0"/>
    <x v="1"/>
    <n v="0"/>
    <n v="0"/>
    <n v="1248.2180000000001"/>
    <n v="1248.2180000000001"/>
    <n v="0"/>
    <n v="0"/>
    <n v="0"/>
    <x v="1"/>
    <n v="0"/>
    <n v="0"/>
    <n v="20"/>
    <n v="0"/>
    <n v="0"/>
    <n v="69.37"/>
    <n v="0"/>
    <m/>
    <n v="111.03029432835316"/>
    <m/>
    <n v="0"/>
    <n v="86588.882660000017"/>
    <n v="0"/>
    <n v="0"/>
    <n v="138590.01192594835"/>
    <n v="0"/>
  </r>
  <r>
    <s v="Regular"/>
    <x v="1"/>
    <x v="0"/>
    <x v="1"/>
    <x v="0"/>
    <x v="0"/>
    <x v="0"/>
    <x v="0"/>
    <x v="2"/>
    <n v="0"/>
    <n v="0"/>
    <n v="2278.2260000000001"/>
    <n v="2278.2260000000001"/>
    <n v="2278.2260000000001"/>
    <n v="2278.2260000000001"/>
    <n v="0"/>
    <x v="0"/>
    <n v="0"/>
    <n v="0"/>
    <n v="20"/>
    <n v="66"/>
    <n v="0"/>
    <n v="69.37"/>
    <n v="284.36"/>
    <m/>
    <n v="111.03029432835316"/>
    <n v="274.80069497881567"/>
    <n v="0"/>
    <n v="158040.53762000002"/>
    <n v="647836.34536000004"/>
    <n v="0"/>
    <n v="252952.10332650674"/>
    <n v="626058.0881188073"/>
  </r>
  <r>
    <s v="Sistema de Compensação"/>
    <x v="1"/>
    <x v="0"/>
    <x v="1"/>
    <x v="0"/>
    <x v="0"/>
    <x v="0"/>
    <x v="0"/>
    <x v="2"/>
    <n v="0"/>
    <n v="0"/>
    <n v="19.172000000000001"/>
    <n v="19.172000000000001"/>
    <n v="19.172000000000001"/>
    <n v="19.172000000000001"/>
    <n v="0"/>
    <x v="0"/>
    <n v="0"/>
    <n v="0"/>
    <n v="20"/>
    <n v="66"/>
    <n v="0"/>
    <n v="69.37"/>
    <n v="284.36"/>
    <m/>
    <n v="111.03029432835316"/>
    <n v="274.80069497881567"/>
    <n v="0"/>
    <n v="1329.9616400000002"/>
    <n v="5451.7499200000002"/>
    <n v="0"/>
    <n v="2128.6728028631869"/>
    <n v="5268.478924133854"/>
  </r>
  <r>
    <s v="Regular"/>
    <x v="1"/>
    <x v="0"/>
    <x v="1"/>
    <x v="0"/>
    <x v="0"/>
    <x v="0"/>
    <x v="0"/>
    <x v="2"/>
    <n v="0"/>
    <n v="0"/>
    <n v="1454.5050000000001"/>
    <n v="1454.5050000000001"/>
    <n v="0"/>
    <n v="0"/>
    <n v="0"/>
    <x v="1"/>
    <n v="0"/>
    <n v="0"/>
    <n v="20"/>
    <n v="0"/>
    <n v="0"/>
    <n v="69.37"/>
    <n v="0"/>
    <m/>
    <n v="111.03029432835316"/>
    <m/>
    <n v="0"/>
    <n v="100899.01185000001"/>
    <n v="0"/>
    <n v="0"/>
    <n v="161494.11825206134"/>
    <n v="0"/>
  </r>
  <r>
    <s v="Regular"/>
    <x v="1"/>
    <x v="0"/>
    <x v="1"/>
    <x v="0"/>
    <x v="0"/>
    <x v="0"/>
    <x v="0"/>
    <x v="5"/>
    <n v="0"/>
    <n v="0"/>
    <n v="2448.098"/>
    <n v="2448.098"/>
    <n v="2448.098"/>
    <n v="2448.098"/>
    <n v="0"/>
    <x v="0"/>
    <n v="0"/>
    <n v="0"/>
    <n v="20"/>
    <n v="66"/>
    <n v="0"/>
    <n v="69.37"/>
    <n v="284.36"/>
    <m/>
    <n v="111.03029432835316"/>
    <n v="274.80069497881567"/>
    <n v="0"/>
    <n v="169824.55826000002"/>
    <n v="696141.14728000003"/>
    <n v="0"/>
    <n v="271813.04148465273"/>
    <n v="672739.03177624871"/>
  </r>
  <r>
    <s v="Sistema de Compensação"/>
    <x v="1"/>
    <x v="0"/>
    <x v="1"/>
    <x v="0"/>
    <x v="0"/>
    <x v="0"/>
    <x v="0"/>
    <x v="5"/>
    <n v="0"/>
    <n v="0"/>
    <n v="21.18"/>
    <n v="21.18"/>
    <n v="21.18"/>
    <n v="21.18"/>
    <n v="0"/>
    <x v="0"/>
    <n v="0"/>
    <n v="0"/>
    <n v="20"/>
    <n v="66"/>
    <n v="0"/>
    <n v="69.37"/>
    <n v="284.36"/>
    <m/>
    <n v="111.03029432835316"/>
    <n v="274.80069497881567"/>
    <n v="0"/>
    <n v="1469.2566000000002"/>
    <n v="6022.7448000000004"/>
    <n v="0"/>
    <n v="2351.6216338745198"/>
    <n v="5820.2787196513154"/>
  </r>
  <r>
    <s v="Regular"/>
    <x v="1"/>
    <x v="0"/>
    <x v="1"/>
    <x v="0"/>
    <x v="0"/>
    <x v="0"/>
    <x v="0"/>
    <x v="5"/>
    <n v="0"/>
    <n v="0"/>
    <n v="1225.2950000000001"/>
    <n v="1225.2950000000001"/>
    <n v="0"/>
    <n v="0"/>
    <n v="0"/>
    <x v="1"/>
    <n v="0"/>
    <n v="0"/>
    <n v="20"/>
    <n v="0"/>
    <n v="0"/>
    <n v="69.37"/>
    <n v="0"/>
    <m/>
    <n v="111.03029432835316"/>
    <m/>
    <n v="0"/>
    <n v="84998.714150000014"/>
    <n v="0"/>
    <n v="0"/>
    <n v="136044.86448905949"/>
    <n v="0"/>
  </r>
  <r>
    <s v="Regular"/>
    <x v="1"/>
    <x v="0"/>
    <x v="1"/>
    <x v="0"/>
    <x v="0"/>
    <x v="0"/>
    <x v="1"/>
    <x v="6"/>
    <n v="15381"/>
    <n v="15381"/>
    <n v="0"/>
    <n v="0"/>
    <n v="0"/>
    <n v="0"/>
    <n v="81"/>
    <x v="0"/>
    <n v="0"/>
    <n v="18"/>
    <n v="0"/>
    <n v="0"/>
    <n v="12.42"/>
    <n v="0"/>
    <n v="0"/>
    <n v="15.866734033722858"/>
    <m/>
    <m/>
    <n v="191032.02"/>
    <n v="0"/>
    <n v="0"/>
    <n v="244046.23617269128"/>
    <n v="0"/>
    <n v="0"/>
  </r>
  <r>
    <s v="Regular"/>
    <x v="1"/>
    <x v="0"/>
    <x v="1"/>
    <x v="0"/>
    <x v="0"/>
    <x v="0"/>
    <x v="1"/>
    <x v="6"/>
    <n v="4750"/>
    <n v="4750"/>
    <n v="0"/>
    <n v="0"/>
    <n v="0"/>
    <n v="0"/>
    <n v="1"/>
    <x v="1"/>
    <n v="0"/>
    <n v="18"/>
    <n v="0"/>
    <n v="0"/>
    <n v="12.42"/>
    <n v="0"/>
    <n v="0"/>
    <n v="15.866734033722858"/>
    <m/>
    <m/>
    <n v="58995"/>
    <n v="0"/>
    <n v="0"/>
    <n v="75366.986660183582"/>
    <n v="0"/>
    <n v="0"/>
  </r>
  <r>
    <s v="Regular"/>
    <x v="1"/>
    <x v="0"/>
    <x v="1"/>
    <x v="0"/>
    <x v="0"/>
    <x v="0"/>
    <x v="1"/>
    <x v="7"/>
    <n v="15303"/>
    <n v="15303"/>
    <n v="0"/>
    <n v="0"/>
    <n v="0"/>
    <n v="0"/>
    <n v="80"/>
    <x v="0"/>
    <n v="0"/>
    <n v="18"/>
    <n v="0"/>
    <n v="0"/>
    <n v="12.42"/>
    <n v="0"/>
    <n v="0"/>
    <n v="15.866734033722858"/>
    <m/>
    <m/>
    <n v="190063.26"/>
    <n v="0"/>
    <n v="0"/>
    <n v="242808.6309180609"/>
    <n v="0"/>
    <n v="0"/>
  </r>
  <r>
    <s v="Regular"/>
    <x v="1"/>
    <x v="0"/>
    <x v="1"/>
    <x v="0"/>
    <x v="0"/>
    <x v="0"/>
    <x v="1"/>
    <x v="7"/>
    <n v="4750"/>
    <n v="4750"/>
    <n v="0"/>
    <n v="0"/>
    <n v="0"/>
    <n v="0"/>
    <n v="1"/>
    <x v="1"/>
    <n v="0"/>
    <n v="18"/>
    <n v="0"/>
    <n v="0"/>
    <n v="12.42"/>
    <n v="0"/>
    <n v="0"/>
    <n v="15.866734033722858"/>
    <m/>
    <m/>
    <n v="58995"/>
    <n v="0"/>
    <n v="0"/>
    <n v="75366.986660183582"/>
    <n v="0"/>
    <n v="0"/>
  </r>
  <r>
    <s v="Regular"/>
    <x v="1"/>
    <x v="0"/>
    <x v="1"/>
    <x v="0"/>
    <x v="0"/>
    <x v="0"/>
    <x v="1"/>
    <x v="8"/>
    <n v="15329"/>
    <n v="15329"/>
    <n v="0"/>
    <n v="0"/>
    <n v="0"/>
    <n v="0"/>
    <n v="80"/>
    <x v="0"/>
    <n v="0"/>
    <n v="18"/>
    <n v="0"/>
    <n v="0"/>
    <n v="12.42"/>
    <n v="0"/>
    <n v="0"/>
    <n v="15.866734033722858"/>
    <m/>
    <m/>
    <n v="190386.18"/>
    <n v="0"/>
    <n v="0"/>
    <n v="243221.16600293771"/>
    <n v="0"/>
    <n v="0"/>
  </r>
  <r>
    <s v="Regular"/>
    <x v="1"/>
    <x v="0"/>
    <x v="1"/>
    <x v="0"/>
    <x v="0"/>
    <x v="0"/>
    <x v="1"/>
    <x v="8"/>
    <n v="4750"/>
    <n v="4750"/>
    <n v="0"/>
    <n v="0"/>
    <n v="0"/>
    <n v="0"/>
    <n v="1"/>
    <x v="1"/>
    <n v="0"/>
    <n v="18"/>
    <n v="0"/>
    <n v="0"/>
    <n v="12.42"/>
    <n v="0"/>
    <n v="0"/>
    <n v="15.866734033722858"/>
    <m/>
    <m/>
    <n v="58995"/>
    <n v="0"/>
    <n v="0"/>
    <n v="75366.986660183582"/>
    <n v="0"/>
    <n v="0"/>
  </r>
  <r>
    <s v="Regular"/>
    <x v="1"/>
    <x v="0"/>
    <x v="1"/>
    <x v="0"/>
    <x v="0"/>
    <x v="0"/>
    <x v="1"/>
    <x v="9"/>
    <n v="13950"/>
    <n v="13950"/>
    <n v="0"/>
    <n v="0"/>
    <n v="0"/>
    <n v="0"/>
    <n v="79"/>
    <x v="0"/>
    <n v="0"/>
    <n v="18"/>
    <n v="0"/>
    <n v="0"/>
    <n v="12.42"/>
    <n v="0"/>
    <n v="0"/>
    <n v="15.866734033722858"/>
    <m/>
    <m/>
    <n v="173259"/>
    <n v="0"/>
    <n v="0"/>
    <n v="221340.93977043388"/>
    <n v="0"/>
    <n v="0"/>
  </r>
  <r>
    <s v="Regular"/>
    <x v="1"/>
    <x v="0"/>
    <x v="1"/>
    <x v="0"/>
    <x v="0"/>
    <x v="0"/>
    <x v="1"/>
    <x v="9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10"/>
    <n v="13821"/>
    <n v="13821"/>
    <n v="0"/>
    <n v="0"/>
    <n v="0"/>
    <n v="0"/>
    <n v="78"/>
    <x v="0"/>
    <n v="0"/>
    <n v="18"/>
    <n v="0"/>
    <n v="0"/>
    <n v="12.42"/>
    <n v="0"/>
    <n v="0"/>
    <n v="15.866734033722858"/>
    <m/>
    <m/>
    <n v="171656.82"/>
    <n v="0"/>
    <n v="0"/>
    <n v="219294.13108008364"/>
    <n v="0"/>
    <n v="0"/>
  </r>
  <r>
    <s v="Regular"/>
    <x v="1"/>
    <x v="0"/>
    <x v="1"/>
    <x v="0"/>
    <x v="0"/>
    <x v="0"/>
    <x v="1"/>
    <x v="10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11"/>
    <n v="13823"/>
    <n v="13823"/>
    <n v="0"/>
    <n v="0"/>
    <n v="0"/>
    <n v="0"/>
    <n v="78"/>
    <x v="0"/>
    <n v="0"/>
    <n v="18"/>
    <n v="0"/>
    <n v="0"/>
    <n v="12.42"/>
    <n v="0"/>
    <n v="0"/>
    <n v="15.866734033722858"/>
    <m/>
    <m/>
    <n v="171681.66"/>
    <n v="0"/>
    <n v="0"/>
    <n v="219325.86454815106"/>
    <n v="0"/>
    <n v="0"/>
  </r>
  <r>
    <s v="Regular"/>
    <x v="1"/>
    <x v="0"/>
    <x v="1"/>
    <x v="0"/>
    <x v="0"/>
    <x v="0"/>
    <x v="1"/>
    <x v="11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3"/>
    <n v="13606"/>
    <n v="13606"/>
    <n v="0"/>
    <n v="0"/>
    <n v="0"/>
    <n v="0"/>
    <n v="77"/>
    <x v="0"/>
    <n v="0"/>
    <n v="18"/>
    <n v="0"/>
    <n v="0"/>
    <n v="12.42"/>
    <n v="0"/>
    <n v="0"/>
    <n v="15.866734033722858"/>
    <m/>
    <m/>
    <n v="168986.52"/>
    <n v="0"/>
    <n v="0"/>
    <n v="215882.78326283323"/>
    <n v="0"/>
    <n v="0"/>
  </r>
  <r>
    <s v="Sistema de Compensação"/>
    <x v="1"/>
    <x v="0"/>
    <x v="1"/>
    <x v="0"/>
    <x v="0"/>
    <x v="0"/>
    <x v="1"/>
    <x v="3"/>
    <n v="280"/>
    <n v="280"/>
    <n v="0"/>
    <n v="0"/>
    <n v="0"/>
    <n v="0"/>
    <n v="1"/>
    <x v="0"/>
    <n v="0"/>
    <n v="18"/>
    <n v="0"/>
    <n v="0"/>
    <n v="12.42"/>
    <n v="0"/>
    <n v="0"/>
    <n v="15.866734033722858"/>
    <m/>
    <m/>
    <n v="3477.6"/>
    <n v="0"/>
    <n v="0"/>
    <n v="4442.6855294424004"/>
    <n v="0"/>
    <n v="0"/>
  </r>
  <r>
    <s v="Regular"/>
    <x v="1"/>
    <x v="0"/>
    <x v="1"/>
    <x v="0"/>
    <x v="0"/>
    <x v="0"/>
    <x v="1"/>
    <x v="3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0"/>
    <n v="13577"/>
    <n v="13577"/>
    <n v="0"/>
    <n v="0"/>
    <n v="0"/>
    <n v="0"/>
    <n v="76"/>
    <x v="0"/>
    <n v="0"/>
    <n v="18"/>
    <n v="0"/>
    <n v="0"/>
    <n v="12.42"/>
    <n v="0"/>
    <n v="0"/>
    <n v="15.866734033722858"/>
    <m/>
    <m/>
    <n v="168626.34"/>
    <n v="0"/>
    <n v="0"/>
    <n v="215422.64797585525"/>
    <n v="0"/>
    <n v="0"/>
  </r>
  <r>
    <s v="Sistema de Compensação"/>
    <x v="1"/>
    <x v="0"/>
    <x v="1"/>
    <x v="0"/>
    <x v="0"/>
    <x v="0"/>
    <x v="1"/>
    <x v="0"/>
    <n v="280"/>
    <n v="280"/>
    <n v="0"/>
    <n v="0"/>
    <n v="0"/>
    <n v="0"/>
    <n v="1"/>
    <x v="0"/>
    <n v="0"/>
    <n v="18"/>
    <n v="0"/>
    <n v="0"/>
    <n v="12.42"/>
    <n v="0"/>
    <n v="0"/>
    <n v="15.866734033722858"/>
    <m/>
    <m/>
    <n v="3477.6"/>
    <n v="0"/>
    <n v="0"/>
    <n v="4442.6855294424004"/>
    <n v="0"/>
    <n v="0"/>
  </r>
  <r>
    <s v="Regular"/>
    <x v="1"/>
    <x v="0"/>
    <x v="1"/>
    <x v="0"/>
    <x v="0"/>
    <x v="0"/>
    <x v="1"/>
    <x v="0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4"/>
    <n v="13674"/>
    <n v="13674"/>
    <n v="0"/>
    <n v="0"/>
    <n v="0"/>
    <n v="0"/>
    <n v="77"/>
    <x v="0"/>
    <n v="0"/>
    <n v="18"/>
    <n v="0"/>
    <n v="0"/>
    <n v="12.42"/>
    <n v="0"/>
    <n v="0"/>
    <n v="15.866734033722858"/>
    <m/>
    <m/>
    <n v="169831.08"/>
    <n v="0"/>
    <n v="0"/>
    <n v="216961.72117712637"/>
    <n v="0"/>
    <n v="0"/>
  </r>
  <r>
    <s v="Sistema de Compensação"/>
    <x v="1"/>
    <x v="0"/>
    <x v="1"/>
    <x v="0"/>
    <x v="0"/>
    <x v="0"/>
    <x v="1"/>
    <x v="4"/>
    <n v="280"/>
    <n v="280"/>
    <n v="0"/>
    <n v="0"/>
    <n v="0"/>
    <n v="0"/>
    <n v="1"/>
    <x v="0"/>
    <n v="0"/>
    <n v="18"/>
    <n v="0"/>
    <n v="0"/>
    <n v="12.42"/>
    <n v="0"/>
    <n v="0"/>
    <n v="15.866734033722858"/>
    <m/>
    <m/>
    <n v="3477.6"/>
    <n v="0"/>
    <n v="0"/>
    <n v="4442.6855294424004"/>
    <n v="0"/>
    <n v="0"/>
  </r>
  <r>
    <s v="Regular"/>
    <x v="1"/>
    <x v="0"/>
    <x v="1"/>
    <x v="0"/>
    <x v="0"/>
    <x v="0"/>
    <x v="1"/>
    <x v="4"/>
    <n v="6350"/>
    <n v="6350"/>
    <n v="0"/>
    <n v="0"/>
    <n v="0"/>
    <n v="0"/>
    <n v="2"/>
    <x v="1"/>
    <n v="0"/>
    <n v="18"/>
    <n v="0"/>
    <n v="0"/>
    <n v="12.42"/>
    <n v="0"/>
    <n v="0"/>
    <n v="15.866734033722858"/>
    <m/>
    <m/>
    <n v="78867"/>
    <n v="0"/>
    <n v="0"/>
    <n v="100753.76111414016"/>
    <n v="0"/>
    <n v="0"/>
  </r>
  <r>
    <s v="Regular"/>
    <x v="1"/>
    <x v="0"/>
    <x v="1"/>
    <x v="0"/>
    <x v="0"/>
    <x v="0"/>
    <x v="1"/>
    <x v="1"/>
    <n v="13669"/>
    <n v="13669"/>
    <n v="0"/>
    <n v="0"/>
    <n v="0"/>
    <n v="0"/>
    <n v="76"/>
    <x v="0"/>
    <n v="0"/>
    <n v="18"/>
    <n v="0"/>
    <n v="0"/>
    <n v="12.42"/>
    <n v="0"/>
    <n v="0"/>
    <n v="15.866734033722858"/>
    <m/>
    <m/>
    <n v="169768.98"/>
    <n v="0"/>
    <n v="0"/>
    <n v="216882.38750695775"/>
    <n v="0"/>
    <n v="0"/>
  </r>
  <r>
    <s v="Sistema de Compensação"/>
    <x v="1"/>
    <x v="0"/>
    <x v="1"/>
    <x v="0"/>
    <x v="0"/>
    <x v="0"/>
    <x v="1"/>
    <x v="1"/>
    <n v="281"/>
    <n v="281"/>
    <n v="0"/>
    <n v="0"/>
    <n v="0"/>
    <n v="0"/>
    <n v="1"/>
    <x v="0"/>
    <n v="0"/>
    <n v="18"/>
    <n v="0"/>
    <n v="0"/>
    <n v="12.42"/>
    <n v="0"/>
    <n v="0"/>
    <n v="15.866734033722858"/>
    <m/>
    <m/>
    <n v="3490.02"/>
    <n v="0"/>
    <n v="0"/>
    <n v="4458.5522634761228"/>
    <n v="0"/>
    <n v="0"/>
  </r>
  <r>
    <s v="Regular"/>
    <x v="1"/>
    <x v="0"/>
    <x v="1"/>
    <x v="0"/>
    <x v="0"/>
    <x v="0"/>
    <x v="1"/>
    <x v="1"/>
    <n v="6000"/>
    <n v="6000"/>
    <n v="0"/>
    <n v="0"/>
    <n v="0"/>
    <n v="0"/>
    <n v="2"/>
    <x v="1"/>
    <n v="0"/>
    <n v="18"/>
    <n v="0"/>
    <n v="0"/>
    <n v="12.42"/>
    <n v="0"/>
    <n v="0"/>
    <n v="15.866734033722858"/>
    <m/>
    <m/>
    <n v="74520"/>
    <n v="0"/>
    <n v="0"/>
    <n v="95200.404202337144"/>
    <n v="0"/>
    <n v="0"/>
  </r>
  <r>
    <s v="Regular"/>
    <x v="1"/>
    <x v="0"/>
    <x v="1"/>
    <x v="0"/>
    <x v="0"/>
    <x v="0"/>
    <x v="1"/>
    <x v="2"/>
    <n v="13744"/>
    <n v="13744"/>
    <n v="0"/>
    <n v="0"/>
    <n v="0"/>
    <n v="0"/>
    <n v="77"/>
    <x v="0"/>
    <n v="0"/>
    <n v="18"/>
    <n v="0"/>
    <n v="0"/>
    <n v="12.42"/>
    <n v="0"/>
    <n v="0"/>
    <n v="15.866734033722858"/>
    <m/>
    <m/>
    <n v="170700.48"/>
    <n v="0"/>
    <n v="0"/>
    <n v="218072.39255948697"/>
    <n v="0"/>
    <n v="0"/>
  </r>
  <r>
    <s v="Sistema de Compensação"/>
    <x v="1"/>
    <x v="0"/>
    <x v="1"/>
    <x v="0"/>
    <x v="0"/>
    <x v="0"/>
    <x v="1"/>
    <x v="2"/>
    <n v="280"/>
    <n v="280"/>
    <n v="0"/>
    <n v="0"/>
    <n v="0"/>
    <n v="0"/>
    <n v="1"/>
    <x v="0"/>
    <n v="0"/>
    <n v="18"/>
    <n v="0"/>
    <n v="0"/>
    <n v="12.42"/>
    <n v="0"/>
    <n v="0"/>
    <n v="15.866734033722858"/>
    <m/>
    <m/>
    <n v="3477.6"/>
    <n v="0"/>
    <n v="0"/>
    <n v="4442.6855294424004"/>
    <n v="0"/>
    <n v="0"/>
  </r>
  <r>
    <s v="Regular"/>
    <x v="1"/>
    <x v="0"/>
    <x v="1"/>
    <x v="0"/>
    <x v="0"/>
    <x v="0"/>
    <x v="1"/>
    <x v="2"/>
    <n v="6145"/>
    <n v="6145"/>
    <n v="0"/>
    <n v="0"/>
    <n v="0"/>
    <n v="0"/>
    <n v="2"/>
    <x v="1"/>
    <n v="0"/>
    <n v="18"/>
    <n v="0"/>
    <n v="0"/>
    <n v="12.42"/>
    <n v="0"/>
    <n v="0"/>
    <n v="15.866734033722858"/>
    <m/>
    <m/>
    <n v="76320.899999999994"/>
    <n v="0"/>
    <n v="0"/>
    <n v="97501.080637226958"/>
    <n v="0"/>
    <n v="0"/>
  </r>
  <r>
    <s v="Regular"/>
    <x v="1"/>
    <x v="0"/>
    <x v="1"/>
    <x v="0"/>
    <x v="0"/>
    <x v="0"/>
    <x v="1"/>
    <x v="5"/>
    <n v="13786"/>
    <n v="13786"/>
    <n v="0"/>
    <n v="0"/>
    <n v="0"/>
    <n v="0"/>
    <n v="78"/>
    <x v="0"/>
    <n v="0"/>
    <n v="18"/>
    <n v="0"/>
    <n v="0"/>
    <n v="12.42"/>
    <n v="0"/>
    <n v="0"/>
    <n v="15.866734033722858"/>
    <m/>
    <m/>
    <n v="171222.12"/>
    <n v="0"/>
    <n v="0"/>
    <n v="218738.79538890332"/>
    <n v="0"/>
    <n v="0"/>
  </r>
  <r>
    <s v="Sistema de Compensação"/>
    <x v="1"/>
    <x v="0"/>
    <x v="1"/>
    <x v="0"/>
    <x v="0"/>
    <x v="0"/>
    <x v="1"/>
    <x v="5"/>
    <n v="296"/>
    <n v="296"/>
    <n v="0"/>
    <n v="0"/>
    <n v="0"/>
    <n v="0"/>
    <n v="1"/>
    <x v="0"/>
    <n v="0"/>
    <n v="18"/>
    <n v="0"/>
    <n v="0"/>
    <n v="12.42"/>
    <n v="0"/>
    <n v="0"/>
    <n v="15.866734033722858"/>
    <m/>
    <m/>
    <n v="3676.32"/>
    <n v="0"/>
    <n v="0"/>
    <n v="4696.5532739819664"/>
    <n v="0"/>
    <n v="0"/>
  </r>
  <r>
    <s v="Regular"/>
    <x v="1"/>
    <x v="0"/>
    <x v="1"/>
    <x v="0"/>
    <x v="0"/>
    <x v="0"/>
    <x v="1"/>
    <x v="5"/>
    <n v="6000"/>
    <n v="6000"/>
    <n v="0"/>
    <n v="0"/>
    <n v="0"/>
    <n v="0"/>
    <n v="2"/>
    <x v="1"/>
    <n v="0"/>
    <n v="18"/>
    <n v="0"/>
    <n v="0"/>
    <n v="12.42"/>
    <n v="0"/>
    <n v="0"/>
    <n v="15.866734033722858"/>
    <m/>
    <m/>
    <n v="74520"/>
    <n v="0"/>
    <n v="0"/>
    <n v="95200.404202337144"/>
    <n v="0"/>
    <n v="0"/>
  </r>
  <r>
    <s v="Regular"/>
    <x v="1"/>
    <x v="0"/>
    <x v="1"/>
    <x v="0"/>
    <x v="0"/>
    <x v="0"/>
    <x v="2"/>
    <x v="6"/>
    <n v="0"/>
    <n v="0"/>
    <n v="146.16"/>
    <n v="146.16"/>
    <n v="146.16"/>
    <n v="146.16"/>
    <n v="0"/>
    <x v="0"/>
    <n v="0"/>
    <n v="0"/>
    <n v="19"/>
    <n v="65"/>
    <n v="0"/>
    <n v="842.31"/>
    <n v="454.9"/>
    <m/>
    <n v="1109.1969409458418"/>
    <n v="430.5563899456306"/>
    <n v="0"/>
    <n v="123112.02959999999"/>
    <n v="66488.183999999994"/>
    <n v="0"/>
    <n v="162120.22488864424"/>
    <n v="62930.121954453367"/>
  </r>
  <r>
    <s v="Regular"/>
    <x v="1"/>
    <x v="0"/>
    <x v="1"/>
    <x v="0"/>
    <x v="0"/>
    <x v="0"/>
    <x v="2"/>
    <x v="6"/>
    <n v="0"/>
    <n v="0"/>
    <n v="66.706999999999994"/>
    <n v="66.706999999999994"/>
    <n v="0"/>
    <n v="0"/>
    <n v="0"/>
    <x v="1"/>
    <n v="0"/>
    <n v="0"/>
    <n v="19"/>
    <n v="0"/>
    <n v="0"/>
    <n v="842.31"/>
    <n v="0"/>
    <m/>
    <n v="1109.1969409458418"/>
    <m/>
    <n v="0"/>
    <n v="56187.97316999999"/>
    <n v="0"/>
    <n v="0"/>
    <n v="73991.200339674266"/>
    <n v="0"/>
  </r>
  <r>
    <s v="Regular"/>
    <x v="1"/>
    <x v="0"/>
    <x v="1"/>
    <x v="0"/>
    <x v="0"/>
    <x v="0"/>
    <x v="2"/>
    <x v="7"/>
    <n v="0"/>
    <n v="0"/>
    <n v="150.155"/>
    <n v="150.155"/>
    <n v="150.155"/>
    <n v="150.155"/>
    <n v="0"/>
    <x v="0"/>
    <n v="0"/>
    <n v="0"/>
    <n v="19"/>
    <n v="65"/>
    <n v="0"/>
    <n v="842.31"/>
    <n v="454.9"/>
    <m/>
    <n v="1109.1969409458418"/>
    <n v="430.5563899456306"/>
    <n v="0"/>
    <n v="126477.05804999999"/>
    <n v="68305.5095"/>
    <n v="0"/>
    <n v="166551.46666772288"/>
    <n v="64650.19473228616"/>
  </r>
  <r>
    <s v="Regular"/>
    <x v="1"/>
    <x v="0"/>
    <x v="1"/>
    <x v="0"/>
    <x v="0"/>
    <x v="0"/>
    <x v="2"/>
    <x v="7"/>
    <n v="0"/>
    <n v="0"/>
    <n v="62.363999999999997"/>
    <n v="62.363999999999997"/>
    <n v="0"/>
    <n v="0"/>
    <n v="0"/>
    <x v="1"/>
    <n v="0"/>
    <n v="0"/>
    <n v="19"/>
    <n v="0"/>
    <n v="0"/>
    <n v="842.31"/>
    <n v="0"/>
    <m/>
    <n v="1109.1969409458418"/>
    <m/>
    <n v="0"/>
    <n v="52529.820839999993"/>
    <n v="0"/>
    <n v="0"/>
    <n v="69173.958025146479"/>
    <n v="0"/>
  </r>
  <r>
    <s v="Regular"/>
    <x v="1"/>
    <x v="0"/>
    <x v="1"/>
    <x v="0"/>
    <x v="0"/>
    <x v="0"/>
    <x v="2"/>
    <x v="8"/>
    <n v="0"/>
    <n v="0"/>
    <n v="165.23599999999999"/>
    <n v="165.23599999999999"/>
    <n v="165.23599999999999"/>
    <n v="165.23599999999999"/>
    <n v="0"/>
    <x v="0"/>
    <n v="0"/>
    <n v="0"/>
    <n v="19"/>
    <n v="65"/>
    <n v="0"/>
    <n v="842.31"/>
    <n v="454.9"/>
    <m/>
    <n v="1109.1969409458418"/>
    <n v="430.5563899456306"/>
    <n v="0"/>
    <n v="139179.93515999999"/>
    <n v="75165.85639999999"/>
    <n v="0"/>
    <n v="183279.26573412711"/>
    <n v="71143.415649056216"/>
  </r>
  <r>
    <s v="Regular"/>
    <x v="1"/>
    <x v="0"/>
    <x v="1"/>
    <x v="0"/>
    <x v="0"/>
    <x v="0"/>
    <x v="2"/>
    <x v="8"/>
    <n v="0"/>
    <n v="0"/>
    <n v="54.103999999999999"/>
    <n v="54.103999999999999"/>
    <n v="0"/>
    <n v="0"/>
    <n v="0"/>
    <x v="1"/>
    <n v="0"/>
    <n v="0"/>
    <n v="19"/>
    <n v="0"/>
    <n v="0"/>
    <n v="842.31"/>
    <n v="0"/>
    <m/>
    <n v="1109.1969409458418"/>
    <m/>
    <n v="0"/>
    <n v="45572.340239999998"/>
    <n v="0"/>
    <n v="0"/>
    <n v="60011.991292933824"/>
    <n v="0"/>
  </r>
  <r>
    <s v="Regular"/>
    <x v="1"/>
    <x v="0"/>
    <x v="1"/>
    <x v="0"/>
    <x v="0"/>
    <x v="0"/>
    <x v="2"/>
    <x v="9"/>
    <n v="0"/>
    <n v="0"/>
    <n v="146.303"/>
    <n v="146.303"/>
    <n v="146.303"/>
    <n v="146.303"/>
    <n v="0"/>
    <x v="0"/>
    <n v="0"/>
    <n v="0"/>
    <n v="19"/>
    <n v="65"/>
    <n v="0"/>
    <n v="842.31"/>
    <n v="454.9"/>
    <m/>
    <n v="1109.1969409458418"/>
    <n v="430.5563899456306"/>
    <n v="0"/>
    <n v="123232.47992999999"/>
    <n v="66553.234700000001"/>
    <n v="0"/>
    <n v="162278.84005119948"/>
    <n v="62991.691518215594"/>
  </r>
  <r>
    <s v="Regular"/>
    <x v="1"/>
    <x v="0"/>
    <x v="1"/>
    <x v="0"/>
    <x v="0"/>
    <x v="0"/>
    <x v="2"/>
    <x v="9"/>
    <n v="0"/>
    <n v="0"/>
    <n v="129.36799999999999"/>
    <n v="129.36799999999999"/>
    <n v="0"/>
    <n v="0"/>
    <n v="0"/>
    <x v="1"/>
    <n v="0"/>
    <n v="0"/>
    <n v="19"/>
    <n v="0"/>
    <n v="0"/>
    <n v="842.31"/>
    <n v="0"/>
    <m/>
    <n v="1109.1969409458418"/>
    <m/>
    <n v="0"/>
    <n v="108967.96007999999"/>
    <n v="0"/>
    <n v="0"/>
    <n v="143494.58985628164"/>
    <n v="0"/>
  </r>
  <r>
    <s v="Regular"/>
    <x v="1"/>
    <x v="0"/>
    <x v="1"/>
    <x v="0"/>
    <x v="0"/>
    <x v="0"/>
    <x v="2"/>
    <x v="10"/>
    <n v="0"/>
    <n v="0"/>
    <n v="131.60599999999999"/>
    <n v="131.60599999999999"/>
    <n v="131.60599999999999"/>
    <n v="131.60599999999999"/>
    <n v="0"/>
    <x v="0"/>
    <n v="0"/>
    <n v="0"/>
    <n v="19"/>
    <n v="65"/>
    <n v="0"/>
    <n v="842.31"/>
    <n v="454.9"/>
    <m/>
    <n v="1109.1969409458418"/>
    <n v="430.5563899456306"/>
    <n v="0"/>
    <n v="110853.04985999998"/>
    <n v="59867.569399999993"/>
    <n v="0"/>
    <n v="145976.97261011845"/>
    <n v="56663.804255184659"/>
  </r>
  <r>
    <s v="Regular"/>
    <x v="1"/>
    <x v="0"/>
    <x v="1"/>
    <x v="0"/>
    <x v="0"/>
    <x v="0"/>
    <x v="2"/>
    <x v="10"/>
    <n v="0"/>
    <n v="0"/>
    <n v="120.376"/>
    <n v="120.376"/>
    <n v="0"/>
    <n v="0"/>
    <n v="0"/>
    <x v="1"/>
    <n v="0"/>
    <n v="0"/>
    <n v="19"/>
    <n v="0"/>
    <n v="0"/>
    <n v="842.31"/>
    <n v="0"/>
    <m/>
    <n v="1109.1969409458418"/>
    <m/>
    <n v="0"/>
    <n v="101393.90856"/>
    <n v="0"/>
    <n v="0"/>
    <n v="133520.69096329666"/>
    <n v="0"/>
  </r>
  <r>
    <s v="Regular"/>
    <x v="1"/>
    <x v="0"/>
    <x v="1"/>
    <x v="0"/>
    <x v="0"/>
    <x v="0"/>
    <x v="2"/>
    <x v="11"/>
    <n v="0"/>
    <n v="0"/>
    <n v="133.28399999999999"/>
    <n v="133.28399999999999"/>
    <n v="133.28399999999999"/>
    <n v="133.28399999999999"/>
    <n v="0"/>
    <x v="0"/>
    <n v="0"/>
    <n v="0"/>
    <n v="19"/>
    <n v="65"/>
    <n v="0"/>
    <n v="842.31"/>
    <n v="454.9"/>
    <m/>
    <n v="1109.1969409458418"/>
    <n v="430.5563899456306"/>
    <n v="0"/>
    <n v="112266.44603999998"/>
    <n v="60630.891599999995"/>
    <n v="0"/>
    <n v="147838.20507702557"/>
    <n v="57386.277877513428"/>
  </r>
  <r>
    <s v="Regular"/>
    <x v="1"/>
    <x v="0"/>
    <x v="1"/>
    <x v="0"/>
    <x v="0"/>
    <x v="0"/>
    <x v="2"/>
    <x v="11"/>
    <n v="0"/>
    <n v="0"/>
    <n v="100.55800000000001"/>
    <n v="100.55800000000001"/>
    <n v="0"/>
    <n v="0"/>
    <n v="0"/>
    <x v="1"/>
    <n v="0"/>
    <n v="0"/>
    <n v="19"/>
    <n v="0"/>
    <n v="0"/>
    <n v="842.31"/>
    <n v="0"/>
    <m/>
    <n v="1109.1969409458418"/>
    <m/>
    <n v="0"/>
    <n v="84701.008979999999"/>
    <n v="0"/>
    <n v="0"/>
    <n v="111538.62598763197"/>
    <n v="0"/>
  </r>
  <r>
    <s v="Regular"/>
    <x v="1"/>
    <x v="0"/>
    <x v="1"/>
    <x v="0"/>
    <x v="0"/>
    <x v="0"/>
    <x v="2"/>
    <x v="3"/>
    <n v="0"/>
    <n v="0"/>
    <n v="127.95399999999999"/>
    <n v="127.95399999999999"/>
    <n v="127.95399999999999"/>
    <n v="127.95399999999999"/>
    <n v="0"/>
    <x v="0"/>
    <n v="0"/>
    <n v="0"/>
    <n v="19"/>
    <n v="65"/>
    <n v="0"/>
    <n v="842.31"/>
    <n v="454.9"/>
    <m/>
    <n v="1109.1969409458418"/>
    <n v="430.5563899456306"/>
    <n v="0"/>
    <n v="107776.93373999999"/>
    <n v="58206.274599999997"/>
    <n v="0"/>
    <n v="141926.18538178422"/>
    <n v="55091.412319103212"/>
  </r>
  <r>
    <s v="Sistema de Compensação"/>
    <x v="1"/>
    <x v="0"/>
    <x v="1"/>
    <x v="0"/>
    <x v="0"/>
    <x v="0"/>
    <x v="2"/>
    <x v="3"/>
    <n v="0"/>
    <n v="0"/>
    <n v="0.70799999999999996"/>
    <n v="0.70799999999999996"/>
    <n v="0.70799999999999996"/>
    <n v="0.70799999999999996"/>
    <n v="0"/>
    <x v="0"/>
    <n v="0"/>
    <n v="0"/>
    <n v="19"/>
    <n v="65"/>
    <n v="0"/>
    <n v="842.31"/>
    <n v="454.9"/>
    <m/>
    <n v="1109.1969409458418"/>
    <n v="430.5563899456306"/>
    <n v="0"/>
    <n v="596.35547999999994"/>
    <n v="322.06919999999997"/>
    <n v="0"/>
    <n v="785.31143418965598"/>
    <n v="304.83392408150644"/>
  </r>
  <r>
    <s v="Regular"/>
    <x v="1"/>
    <x v="0"/>
    <x v="1"/>
    <x v="0"/>
    <x v="0"/>
    <x v="0"/>
    <x v="2"/>
    <x v="3"/>
    <n v="0"/>
    <n v="0"/>
    <n v="135.91800000000001"/>
    <n v="135.91800000000001"/>
    <n v="0"/>
    <n v="0"/>
    <n v="0"/>
    <x v="1"/>
    <n v="0"/>
    <n v="0"/>
    <n v="19"/>
    <n v="0"/>
    <n v="0"/>
    <n v="842.31"/>
    <n v="0"/>
    <m/>
    <n v="1109.1969409458418"/>
    <m/>
    <n v="0"/>
    <n v="114485.09058"/>
    <n v="0"/>
    <n v="0"/>
    <n v="150759.82981947693"/>
    <n v="0"/>
  </r>
  <r>
    <s v="Regular"/>
    <x v="1"/>
    <x v="0"/>
    <x v="1"/>
    <x v="0"/>
    <x v="0"/>
    <x v="0"/>
    <x v="2"/>
    <x v="0"/>
    <n v="0"/>
    <n v="0"/>
    <n v="127.07299999999999"/>
    <n v="127.07299999999999"/>
    <n v="127.07299999999999"/>
    <n v="127.07299999999999"/>
    <n v="0"/>
    <x v="0"/>
    <n v="0"/>
    <n v="0"/>
    <n v="19"/>
    <n v="65"/>
    <n v="0"/>
    <n v="842.31"/>
    <n v="454.9"/>
    <m/>
    <n v="1109.1969409458418"/>
    <n v="430.5563899456306"/>
    <n v="0"/>
    <n v="107034.85862999999"/>
    <n v="57805.507699999995"/>
    <n v="0"/>
    <n v="140948.98287681094"/>
    <n v="54712.092139561115"/>
  </r>
  <r>
    <s v="Sistema de Compensação"/>
    <x v="1"/>
    <x v="0"/>
    <x v="1"/>
    <x v="0"/>
    <x v="0"/>
    <x v="0"/>
    <x v="2"/>
    <x v="0"/>
    <n v="0"/>
    <n v="0"/>
    <n v="0.40100000000000002"/>
    <n v="0.40100000000000002"/>
    <n v="0.40100000000000002"/>
    <n v="0.40100000000000002"/>
    <n v="0"/>
    <x v="0"/>
    <n v="0"/>
    <n v="0"/>
    <n v="19"/>
    <n v="65"/>
    <n v="0"/>
    <n v="842.31"/>
    <n v="454.9"/>
    <m/>
    <n v="1109.1969409458418"/>
    <n v="430.5563899456306"/>
    <n v="0"/>
    <n v="337.76630999999998"/>
    <n v="182.41489999999999"/>
    <n v="0"/>
    <n v="444.78797331928257"/>
    <n v="172.65311236819787"/>
  </r>
  <r>
    <s v="Regular"/>
    <x v="1"/>
    <x v="0"/>
    <x v="1"/>
    <x v="0"/>
    <x v="0"/>
    <x v="0"/>
    <x v="2"/>
    <x v="0"/>
    <n v="0"/>
    <n v="0"/>
    <n v="90.295000000000002"/>
    <n v="90.295000000000002"/>
    <n v="0"/>
    <n v="0"/>
    <n v="0"/>
    <x v="1"/>
    <n v="0"/>
    <n v="0"/>
    <n v="19"/>
    <n v="0"/>
    <n v="0"/>
    <n v="842.31"/>
    <n v="0"/>
    <m/>
    <n v="1109.1969409458418"/>
    <m/>
    <n v="0"/>
    <n v="76056.381450000001"/>
    <n v="0"/>
    <n v="0"/>
    <n v="100154.93778270479"/>
    <n v="0"/>
  </r>
  <r>
    <s v="Regular"/>
    <x v="1"/>
    <x v="0"/>
    <x v="1"/>
    <x v="0"/>
    <x v="0"/>
    <x v="0"/>
    <x v="2"/>
    <x v="4"/>
    <n v="0"/>
    <n v="0"/>
    <n v="125.185"/>
    <n v="125.185"/>
    <n v="125.185"/>
    <n v="125.185"/>
    <n v="0"/>
    <x v="0"/>
    <n v="0"/>
    <n v="0"/>
    <n v="19"/>
    <n v="65"/>
    <n v="0"/>
    <n v="842.31"/>
    <n v="454.9"/>
    <m/>
    <n v="1109.1969409458418"/>
    <n v="430.5563899456306"/>
    <n v="0"/>
    <n v="105444.57734999999"/>
    <n v="56946.656499999997"/>
    <n v="0"/>
    <n v="138854.81905230522"/>
    <n v="53899.201675343771"/>
  </r>
  <r>
    <s v="Sistema de Compensação"/>
    <x v="1"/>
    <x v="0"/>
    <x v="1"/>
    <x v="0"/>
    <x v="0"/>
    <x v="0"/>
    <x v="2"/>
    <x v="4"/>
    <n v="0"/>
    <n v="0"/>
    <n v="0.34399999999999997"/>
    <n v="0.34399999999999997"/>
    <n v="0.34399999999999997"/>
    <n v="0.34399999999999997"/>
    <n v="0"/>
    <x v="0"/>
    <n v="0"/>
    <n v="0"/>
    <n v="19"/>
    <n v="65"/>
    <n v="0"/>
    <n v="842.31"/>
    <n v="454.9"/>
    <m/>
    <n v="1109.1969409458418"/>
    <n v="430.5563899456306"/>
    <n v="0"/>
    <n v="289.75463999999994"/>
    <n v="156.48559999999998"/>
    <n v="0"/>
    <n v="381.56374768536955"/>
    <n v="148.11139814129692"/>
  </r>
  <r>
    <s v="Regular"/>
    <x v="1"/>
    <x v="0"/>
    <x v="1"/>
    <x v="0"/>
    <x v="0"/>
    <x v="0"/>
    <x v="2"/>
    <x v="4"/>
    <n v="0"/>
    <n v="0"/>
    <n v="80.036000000000001"/>
    <n v="80.036000000000001"/>
    <n v="0"/>
    <n v="0"/>
    <n v="0"/>
    <x v="1"/>
    <n v="0"/>
    <n v="0"/>
    <n v="19"/>
    <n v="0"/>
    <n v="0"/>
    <n v="842.31"/>
    <n v="0"/>
    <m/>
    <n v="1109.1969409458418"/>
    <m/>
    <n v="0"/>
    <n v="67415.123160000003"/>
    <n v="0"/>
    <n v="0"/>
    <n v="88775.686365541391"/>
    <n v="0"/>
  </r>
  <r>
    <s v="Regular"/>
    <x v="1"/>
    <x v="0"/>
    <x v="1"/>
    <x v="0"/>
    <x v="0"/>
    <x v="0"/>
    <x v="2"/>
    <x v="1"/>
    <n v="0"/>
    <n v="0"/>
    <n v="133.631"/>
    <n v="133.631"/>
    <n v="133.631"/>
    <n v="133.631"/>
    <n v="0"/>
    <x v="0"/>
    <n v="0"/>
    <n v="0"/>
    <n v="19"/>
    <n v="65"/>
    <n v="0"/>
    <n v="842.31"/>
    <n v="454.9"/>
    <m/>
    <n v="1109.1969409458418"/>
    <n v="430.5563899456306"/>
    <n v="0"/>
    <n v="112558.72760999999"/>
    <n v="60788.741899999994"/>
    <n v="0"/>
    <n v="148223.09641553377"/>
    <n v="57535.680944824562"/>
  </r>
  <r>
    <s v="Sistema de Compensação"/>
    <x v="1"/>
    <x v="0"/>
    <x v="1"/>
    <x v="0"/>
    <x v="0"/>
    <x v="0"/>
    <x v="2"/>
    <x v="1"/>
    <n v="0"/>
    <n v="0"/>
    <n v="0.746"/>
    <n v="0.746"/>
    <n v="0.746"/>
    <n v="0.746"/>
    <n v="0"/>
    <x v="0"/>
    <n v="0"/>
    <n v="0"/>
    <n v="19"/>
    <n v="65"/>
    <n v="0"/>
    <n v="842.31"/>
    <n v="454.9"/>
    <m/>
    <n v="1109.1969409458418"/>
    <n v="430.5563899456306"/>
    <n v="0"/>
    <n v="628.36325999999997"/>
    <n v="339.35539999999997"/>
    <n v="0"/>
    <n v="827.460917945598"/>
    <n v="321.19506689944041"/>
  </r>
  <r>
    <s v="Regular"/>
    <x v="1"/>
    <x v="0"/>
    <x v="1"/>
    <x v="0"/>
    <x v="0"/>
    <x v="0"/>
    <x v="2"/>
    <x v="1"/>
    <n v="0"/>
    <n v="0"/>
    <n v="82.472999999999999"/>
    <n v="82.472999999999999"/>
    <n v="0"/>
    <n v="0"/>
    <n v="0"/>
    <x v="1"/>
    <n v="0"/>
    <n v="0"/>
    <n v="19"/>
    <n v="0"/>
    <n v="0"/>
    <n v="842.31"/>
    <n v="0"/>
    <m/>
    <n v="1109.1969409458418"/>
    <m/>
    <n v="0"/>
    <n v="69467.83262999999"/>
    <n v="0"/>
    <n v="0"/>
    <n v="91478.799310626404"/>
    <n v="0"/>
  </r>
  <r>
    <s v="Regular"/>
    <x v="1"/>
    <x v="0"/>
    <x v="1"/>
    <x v="0"/>
    <x v="0"/>
    <x v="0"/>
    <x v="2"/>
    <x v="2"/>
    <n v="0"/>
    <n v="0"/>
    <n v="139.10300000000001"/>
    <n v="139.10300000000001"/>
    <n v="139.10300000000001"/>
    <n v="139.10300000000001"/>
    <n v="0"/>
    <x v="0"/>
    <n v="0"/>
    <n v="0"/>
    <n v="19"/>
    <n v="65"/>
    <n v="0"/>
    <n v="842.31"/>
    <n v="454.9"/>
    <m/>
    <n v="1109.1969409458418"/>
    <n v="430.5563899456306"/>
    <n v="0"/>
    <n v="117167.84793"/>
    <n v="63277.954700000002"/>
    <n v="0"/>
    <n v="154292.62207638944"/>
    <n v="59891.685510607058"/>
  </r>
  <r>
    <s v="Sistema de Compensação"/>
    <x v="1"/>
    <x v="0"/>
    <x v="1"/>
    <x v="0"/>
    <x v="0"/>
    <x v="0"/>
    <x v="2"/>
    <x v="2"/>
    <n v="0"/>
    <n v="0"/>
    <n v="0.57599999999999996"/>
    <n v="0.57599999999999996"/>
    <n v="0.57599999999999996"/>
    <n v="0.57599999999999996"/>
    <n v="0"/>
    <x v="0"/>
    <n v="0"/>
    <n v="0"/>
    <n v="19"/>
    <n v="65"/>
    <n v="0"/>
    <n v="842.31"/>
    <n v="454.9"/>
    <m/>
    <n v="1109.1969409458418"/>
    <n v="430.5563899456306"/>
    <n v="0"/>
    <n v="485.17055999999991"/>
    <n v="262.02239999999995"/>
    <n v="0"/>
    <n v="638.89743798480481"/>
    <n v="248.0004806086832"/>
  </r>
  <r>
    <s v="Regular"/>
    <x v="1"/>
    <x v="0"/>
    <x v="1"/>
    <x v="0"/>
    <x v="0"/>
    <x v="0"/>
    <x v="2"/>
    <x v="2"/>
    <n v="0"/>
    <n v="0"/>
    <n v="98.531000000000006"/>
    <n v="98.531000000000006"/>
    <n v="0"/>
    <n v="0"/>
    <n v="0"/>
    <x v="1"/>
    <n v="0"/>
    <n v="0"/>
    <n v="19"/>
    <n v="0"/>
    <n v="0"/>
    <n v="842.31"/>
    <n v="0"/>
    <m/>
    <n v="1109.1969409458418"/>
    <m/>
    <n v="0"/>
    <n v="82993.646609999996"/>
    <n v="0"/>
    <n v="0"/>
    <n v="109290.28378833474"/>
    <n v="0"/>
  </r>
  <r>
    <s v="Regular"/>
    <x v="1"/>
    <x v="0"/>
    <x v="1"/>
    <x v="0"/>
    <x v="0"/>
    <x v="0"/>
    <x v="2"/>
    <x v="5"/>
    <n v="0"/>
    <n v="0"/>
    <n v="146.923"/>
    <n v="146.923"/>
    <n v="146.923"/>
    <n v="146.923"/>
    <n v="0"/>
    <x v="0"/>
    <n v="0"/>
    <n v="0"/>
    <n v="19"/>
    <n v="65"/>
    <n v="0"/>
    <n v="842.31"/>
    <n v="454.9"/>
    <m/>
    <n v="1109.1969409458418"/>
    <n v="430.5563899456306"/>
    <n v="0"/>
    <n v="123754.71213"/>
    <n v="66835.272700000001"/>
    <n v="0"/>
    <n v="162966.54215458591"/>
    <n v="63258.636479981884"/>
  </r>
  <r>
    <s v="Sistema de Compensação"/>
    <x v="1"/>
    <x v="0"/>
    <x v="1"/>
    <x v="0"/>
    <x v="0"/>
    <x v="0"/>
    <x v="2"/>
    <x v="5"/>
    <n v="0"/>
    <n v="0"/>
    <n v="0.75800000000000001"/>
    <n v="0.75800000000000001"/>
    <n v="0.75800000000000001"/>
    <n v="0.75800000000000001"/>
    <n v="0"/>
    <x v="0"/>
    <n v="0"/>
    <n v="0"/>
    <n v="19"/>
    <n v="65"/>
    <n v="0"/>
    <n v="842.31"/>
    <n v="454.9"/>
    <m/>
    <n v="1109.1969409458418"/>
    <n v="430.5563899456306"/>
    <n v="0"/>
    <n v="638.47097999999994"/>
    <n v="344.81419999999997"/>
    <n v="0"/>
    <n v="840.77128123694808"/>
    <n v="326.36174357878798"/>
  </r>
  <r>
    <s v="Regular"/>
    <x v="1"/>
    <x v="0"/>
    <x v="1"/>
    <x v="0"/>
    <x v="0"/>
    <x v="0"/>
    <x v="2"/>
    <x v="5"/>
    <n v="0"/>
    <n v="0"/>
    <n v="87.602000000000004"/>
    <n v="87.602000000000004"/>
    <n v="0"/>
    <n v="0"/>
    <n v="0"/>
    <x v="1"/>
    <n v="0"/>
    <n v="0"/>
    <n v="19"/>
    <n v="0"/>
    <n v="0"/>
    <n v="842.31"/>
    <n v="0"/>
    <m/>
    <n v="1109.1969409458418"/>
    <m/>
    <n v="0"/>
    <n v="73788.04062"/>
    <n v="0"/>
    <n v="0"/>
    <n v="97167.870420737643"/>
    <n v="0"/>
  </r>
  <r>
    <s v="Regular"/>
    <x v="1"/>
    <x v="0"/>
    <x v="2"/>
    <x v="0"/>
    <x v="0"/>
    <x v="0"/>
    <x v="0"/>
    <x v="6"/>
    <n v="0"/>
    <n v="0"/>
    <n v="54.496000000000002"/>
    <n v="54.496000000000002"/>
    <n v="54.496000000000002"/>
    <n v="54.496000000000002"/>
    <n v="0"/>
    <x v="0"/>
    <n v="0"/>
    <n v="0"/>
    <n v="20"/>
    <n v="66"/>
    <n v="0"/>
    <n v="69.37"/>
    <n v="284.36"/>
    <m/>
    <n v="111.03029432835316"/>
    <n v="274.80069497881567"/>
    <n v="0"/>
    <n v="3780.3875200000002"/>
    <n v="15496.482560000002"/>
    <n v="0"/>
    <n v="6050.7069197179344"/>
    <n v="14975.538673565539"/>
  </r>
  <r>
    <s v="Sistema de Compensação"/>
    <x v="1"/>
    <x v="0"/>
    <x v="2"/>
    <x v="0"/>
    <x v="0"/>
    <x v="0"/>
    <x v="0"/>
    <x v="6"/>
    <n v="0"/>
    <n v="0"/>
    <n v="2.1139999999999999"/>
    <n v="2.1139999999999999"/>
    <n v="2.1139999999999999"/>
    <n v="2.1139999999999999"/>
    <n v="0"/>
    <x v="0"/>
    <n v="0"/>
    <n v="0"/>
    <n v="20"/>
    <n v="66"/>
    <n v="0"/>
    <n v="69.37"/>
    <n v="284.36"/>
    <m/>
    <n v="111.03029432835316"/>
    <n v="274.80069497881567"/>
    <n v="0"/>
    <n v="146.64818"/>
    <n v="601.13703999999996"/>
    <n v="0"/>
    <n v="234.71804221013858"/>
    <n v="580.92866918521634"/>
  </r>
  <r>
    <s v="Regular"/>
    <x v="1"/>
    <x v="0"/>
    <x v="2"/>
    <x v="0"/>
    <x v="0"/>
    <x v="0"/>
    <x v="0"/>
    <x v="7"/>
    <n v="0"/>
    <n v="0"/>
    <n v="58.798999999999999"/>
    <n v="58.798999999999999"/>
    <n v="58.798999999999999"/>
    <n v="58.798999999999999"/>
    <n v="0"/>
    <x v="0"/>
    <n v="0"/>
    <n v="0"/>
    <n v="20"/>
    <n v="66"/>
    <n v="0"/>
    <n v="69.37"/>
    <n v="284.36"/>
    <m/>
    <n v="111.03029432835316"/>
    <n v="274.80069497881567"/>
    <n v="0"/>
    <n v="4078.8866300000004"/>
    <n v="16720.083640000001"/>
    <n v="0"/>
    <n v="6528.4702762128372"/>
    <n v="16158.006064059382"/>
  </r>
  <r>
    <s v="Sistema de Compensação"/>
    <x v="1"/>
    <x v="0"/>
    <x v="2"/>
    <x v="0"/>
    <x v="0"/>
    <x v="0"/>
    <x v="0"/>
    <x v="7"/>
    <n v="0"/>
    <n v="0"/>
    <n v="1.413"/>
    <n v="1.413"/>
    <n v="1.413"/>
    <n v="1.413"/>
    <n v="0"/>
    <x v="0"/>
    <n v="0"/>
    <n v="0"/>
    <n v="20"/>
    <n v="66"/>
    <n v="0"/>
    <n v="69.37"/>
    <n v="284.36"/>
    <m/>
    <n v="111.03029432835316"/>
    <n v="274.80069497881567"/>
    <n v="0"/>
    <n v="98.019810000000007"/>
    <n v="401.80068000000006"/>
    <n v="0"/>
    <n v="156.88580588596304"/>
    <n v="388.29338200506658"/>
  </r>
  <r>
    <s v="Regular"/>
    <x v="1"/>
    <x v="0"/>
    <x v="2"/>
    <x v="0"/>
    <x v="0"/>
    <x v="0"/>
    <x v="0"/>
    <x v="8"/>
    <n v="0"/>
    <n v="0"/>
    <n v="55.762"/>
    <n v="55.762"/>
    <n v="55.762"/>
    <n v="55.762"/>
    <n v="0"/>
    <x v="0"/>
    <n v="0"/>
    <n v="0"/>
    <n v="20"/>
    <n v="66"/>
    <n v="0"/>
    <n v="69.37"/>
    <n v="284.36"/>
    <m/>
    <n v="111.03029432835316"/>
    <n v="274.80069497881567"/>
    <n v="0"/>
    <n v="3868.2099400000002"/>
    <n v="15856.482320000001"/>
    <n v="0"/>
    <n v="6191.2712723376289"/>
    <n v="15323.436353408719"/>
  </r>
  <r>
    <s v="Sistema de Compensação"/>
    <x v="1"/>
    <x v="0"/>
    <x v="2"/>
    <x v="0"/>
    <x v="0"/>
    <x v="0"/>
    <x v="0"/>
    <x v="8"/>
    <n v="0"/>
    <n v="0"/>
    <n v="1.7689999999999999"/>
    <n v="1.7689999999999999"/>
    <n v="1.7689999999999999"/>
    <n v="1.7689999999999999"/>
    <n v="0"/>
    <x v="0"/>
    <n v="0"/>
    <n v="0"/>
    <n v="20"/>
    <n v="66"/>
    <n v="0"/>
    <n v="69.37"/>
    <n v="284.36"/>
    <m/>
    <n v="111.03029432835316"/>
    <n v="274.80069497881567"/>
    <n v="0"/>
    <n v="122.71553"/>
    <n v="503.03284000000002"/>
    <n v="0"/>
    <n v="196.41259066685674"/>
    <n v="486.12242941752487"/>
  </r>
  <r>
    <s v="Regular"/>
    <x v="1"/>
    <x v="0"/>
    <x v="2"/>
    <x v="0"/>
    <x v="0"/>
    <x v="0"/>
    <x v="0"/>
    <x v="9"/>
    <n v="0"/>
    <n v="0"/>
    <n v="49.957000000000001"/>
    <n v="49.957000000000001"/>
    <n v="49.957000000000001"/>
    <n v="49.957000000000001"/>
    <n v="0"/>
    <x v="0"/>
    <n v="0"/>
    <n v="0"/>
    <n v="20"/>
    <n v="66"/>
    <n v="0"/>
    <n v="69.37"/>
    <n v="284.36"/>
    <m/>
    <n v="111.03029432835316"/>
    <n v="274.80069497881567"/>
    <n v="0"/>
    <n v="3465.5170900000003"/>
    <n v="14205.77252"/>
    <n v="0"/>
    <n v="5546.7404137615395"/>
    <n v="13728.218319056694"/>
  </r>
  <r>
    <s v="Sistema de Compensação"/>
    <x v="1"/>
    <x v="0"/>
    <x v="2"/>
    <x v="0"/>
    <x v="0"/>
    <x v="0"/>
    <x v="0"/>
    <x v="9"/>
    <n v="0"/>
    <n v="0"/>
    <n v="1.742"/>
    <n v="1.742"/>
    <n v="1.742"/>
    <n v="1.742"/>
    <n v="0"/>
    <x v="0"/>
    <n v="0"/>
    <n v="0"/>
    <n v="20"/>
    <n v="66"/>
    <n v="0"/>
    <n v="69.37"/>
    <n v="284.36"/>
    <m/>
    <n v="111.03029432835316"/>
    <n v="274.80069497881567"/>
    <n v="0"/>
    <n v="120.84254000000001"/>
    <n v="495.35512"/>
    <n v="0"/>
    <n v="193.41477271999122"/>
    <n v="478.70281065309689"/>
  </r>
  <r>
    <s v="Regular"/>
    <x v="1"/>
    <x v="0"/>
    <x v="2"/>
    <x v="0"/>
    <x v="0"/>
    <x v="0"/>
    <x v="0"/>
    <x v="10"/>
    <n v="0"/>
    <n v="0"/>
    <n v="49.451999999999998"/>
    <n v="49.451999999999998"/>
    <n v="49.451999999999998"/>
    <n v="49.451999999999998"/>
    <n v="0"/>
    <x v="0"/>
    <n v="0"/>
    <n v="0"/>
    <n v="20"/>
    <n v="66"/>
    <n v="0"/>
    <n v="69.37"/>
    <n v="284.36"/>
    <m/>
    <n v="111.03029432835316"/>
    <n v="274.80069497881567"/>
    <n v="0"/>
    <n v="3430.48524"/>
    <n v="14062.17072"/>
    <n v="0"/>
    <n v="5490.6701151257203"/>
    <n v="13589.443968092392"/>
  </r>
  <r>
    <s v="Sistema de Compensação"/>
    <x v="1"/>
    <x v="0"/>
    <x v="2"/>
    <x v="0"/>
    <x v="0"/>
    <x v="0"/>
    <x v="0"/>
    <x v="10"/>
    <n v="0"/>
    <n v="0"/>
    <n v="2.2709999999999999"/>
    <n v="2.2709999999999999"/>
    <n v="2.2709999999999999"/>
    <n v="2.2709999999999999"/>
    <n v="0"/>
    <x v="0"/>
    <n v="0"/>
    <n v="0"/>
    <n v="20"/>
    <n v="66"/>
    <n v="0"/>
    <n v="69.37"/>
    <n v="284.36"/>
    <m/>
    <n v="111.03029432835316"/>
    <n v="274.80069497881567"/>
    <n v="0"/>
    <n v="157.53927000000002"/>
    <n v="645.78156000000001"/>
    <n v="0"/>
    <n v="252.14979841969003"/>
    <n v="624.07237829689041"/>
  </r>
  <r>
    <s v="Regular"/>
    <x v="1"/>
    <x v="0"/>
    <x v="2"/>
    <x v="0"/>
    <x v="0"/>
    <x v="0"/>
    <x v="0"/>
    <x v="11"/>
    <n v="0"/>
    <n v="0"/>
    <n v="53.615000000000002"/>
    <n v="53.615000000000002"/>
    <n v="53.615000000000002"/>
    <n v="53.615000000000002"/>
    <n v="0"/>
    <x v="0"/>
    <n v="0"/>
    <n v="0"/>
    <n v="20"/>
    <n v="66"/>
    <n v="0"/>
    <n v="69.37"/>
    <n v="284.36"/>
    <m/>
    <n v="111.03029432835316"/>
    <n v="274.80069497881567"/>
    <n v="0"/>
    <n v="3719.2725500000006"/>
    <n v="15245.961400000002"/>
    <n v="0"/>
    <n v="5952.8892304146548"/>
    <n v="14733.439261289202"/>
  </r>
  <r>
    <s v="Sistema de Compensação"/>
    <x v="1"/>
    <x v="0"/>
    <x v="2"/>
    <x v="0"/>
    <x v="0"/>
    <x v="0"/>
    <x v="0"/>
    <x v="11"/>
    <n v="0"/>
    <n v="0"/>
    <n v="2.242"/>
    <n v="2.242"/>
    <n v="2.242"/>
    <n v="2.242"/>
    <n v="0"/>
    <x v="0"/>
    <n v="0"/>
    <n v="0"/>
    <n v="20"/>
    <n v="66"/>
    <n v="0"/>
    <n v="69.37"/>
    <n v="284.36"/>
    <m/>
    <n v="111.03029432835316"/>
    <n v="274.80069497881567"/>
    <n v="0"/>
    <n v="155.52754000000002"/>
    <n v="637.53512000000001"/>
    <n v="0"/>
    <n v="248.92991988416779"/>
    <n v="616.10315814250475"/>
  </r>
  <r>
    <s v="Regular"/>
    <x v="1"/>
    <x v="0"/>
    <x v="2"/>
    <x v="0"/>
    <x v="0"/>
    <x v="0"/>
    <x v="0"/>
    <x v="3"/>
    <n v="0"/>
    <n v="0"/>
    <n v="52.048000000000002"/>
    <n v="52.048000000000002"/>
    <n v="52.048000000000002"/>
    <n v="52.048000000000002"/>
    <n v="0"/>
    <x v="0"/>
    <n v="0"/>
    <n v="0"/>
    <n v="20"/>
    <n v="66"/>
    <n v="0"/>
    <n v="69.37"/>
    <n v="284.36"/>
    <m/>
    <n v="111.03029432835316"/>
    <n v="274.80069497881567"/>
    <n v="0"/>
    <n v="3610.5697600000003"/>
    <n v="14800.369280000001"/>
    <n v="0"/>
    <n v="5778.9047592021261"/>
    <n v="14302.826572257398"/>
  </r>
  <r>
    <s v="Sistema de Compensação"/>
    <x v="1"/>
    <x v="0"/>
    <x v="2"/>
    <x v="0"/>
    <x v="0"/>
    <x v="0"/>
    <x v="0"/>
    <x v="3"/>
    <n v="0"/>
    <n v="0"/>
    <n v="2.5059999999999998"/>
    <n v="2.5059999999999998"/>
    <n v="2.5059999999999998"/>
    <n v="2.5059999999999998"/>
    <n v="0"/>
    <x v="0"/>
    <n v="0"/>
    <n v="0"/>
    <n v="20"/>
    <n v="66"/>
    <n v="0"/>
    <n v="69.37"/>
    <n v="284.36"/>
    <m/>
    <n v="111.03029432835316"/>
    <n v="274.80069497881567"/>
    <n v="0"/>
    <n v="173.84121999999999"/>
    <n v="712.60615999999993"/>
    <n v="0"/>
    <n v="278.24191758685299"/>
    <n v="688.65054161691205"/>
  </r>
  <r>
    <s v="Regular"/>
    <x v="1"/>
    <x v="0"/>
    <x v="2"/>
    <x v="0"/>
    <x v="0"/>
    <x v="0"/>
    <x v="0"/>
    <x v="0"/>
    <n v="0"/>
    <n v="0"/>
    <n v="56.295999999999999"/>
    <n v="56.295999999999999"/>
    <n v="56.295999999999999"/>
    <n v="56.295999999999999"/>
    <n v="0"/>
    <x v="0"/>
    <n v="0"/>
    <n v="0"/>
    <n v="20"/>
    <n v="66"/>
    <n v="0"/>
    <n v="69.37"/>
    <n v="284.36"/>
    <m/>
    <n v="111.03029432835316"/>
    <n v="274.80069497881567"/>
    <n v="0"/>
    <n v="3905.2535200000002"/>
    <n v="16008.33056"/>
    <n v="0"/>
    <n v="6250.5614495089694"/>
    <n v="15470.179924527407"/>
  </r>
  <r>
    <s v="Sistema de Compensação"/>
    <x v="1"/>
    <x v="0"/>
    <x v="2"/>
    <x v="0"/>
    <x v="0"/>
    <x v="0"/>
    <x v="0"/>
    <x v="0"/>
    <n v="0"/>
    <n v="0"/>
    <n v="2.1160000000000001"/>
    <n v="2.1160000000000001"/>
    <n v="2.1160000000000001"/>
    <n v="2.1160000000000001"/>
    <n v="0"/>
    <x v="0"/>
    <n v="0"/>
    <n v="0"/>
    <n v="20"/>
    <n v="66"/>
    <n v="0"/>
    <n v="69.37"/>
    <n v="284.36"/>
    <m/>
    <n v="111.03029432835316"/>
    <n v="274.80069497881567"/>
    <n v="0"/>
    <n v="146.78692000000001"/>
    <n v="601.70576000000005"/>
    <n v="0"/>
    <n v="234.94010279879529"/>
    <n v="581.47827057517395"/>
  </r>
  <r>
    <s v="Regular"/>
    <x v="1"/>
    <x v="0"/>
    <x v="2"/>
    <x v="0"/>
    <x v="0"/>
    <x v="0"/>
    <x v="0"/>
    <x v="4"/>
    <n v="0"/>
    <n v="0"/>
    <n v="59.365000000000002"/>
    <n v="59.365000000000002"/>
    <n v="59.365000000000002"/>
    <n v="59.365000000000002"/>
    <n v="0"/>
    <x v="0"/>
    <n v="0"/>
    <n v="0"/>
    <n v="20"/>
    <n v="66"/>
    <n v="0"/>
    <n v="69.37"/>
    <n v="284.36"/>
    <m/>
    <n v="111.03029432835316"/>
    <n v="274.80069497881567"/>
    <n v="0"/>
    <n v="4118.1500500000002"/>
    <n v="16881.0314"/>
    <n v="0"/>
    <n v="6591.3134228026856"/>
    <n v="16313.543257417392"/>
  </r>
  <r>
    <s v="Regular"/>
    <x v="1"/>
    <x v="0"/>
    <x v="2"/>
    <x v="0"/>
    <x v="0"/>
    <x v="0"/>
    <x v="0"/>
    <x v="1"/>
    <n v="0"/>
    <n v="0"/>
    <n v="66.935000000000002"/>
    <n v="66.935000000000002"/>
    <n v="66.935000000000002"/>
    <n v="66.935000000000002"/>
    <n v="0"/>
    <x v="0"/>
    <n v="0"/>
    <n v="0"/>
    <n v="20"/>
    <n v="66"/>
    <n v="0"/>
    <n v="69.37"/>
    <n v="284.36"/>
    <m/>
    <n v="111.03029432835316"/>
    <n v="274.80069497881567"/>
    <n v="0"/>
    <n v="4643.2809500000003"/>
    <n v="19033.636600000002"/>
    <n v="0"/>
    <n v="7431.8127508683192"/>
    <n v="18393.784518407028"/>
  </r>
  <r>
    <s v="Sistema de Compensação"/>
    <x v="1"/>
    <x v="0"/>
    <x v="2"/>
    <x v="0"/>
    <x v="0"/>
    <x v="0"/>
    <x v="0"/>
    <x v="1"/>
    <n v="0"/>
    <n v="0"/>
    <n v="7.3609999999999998"/>
    <n v="7.3609999999999998"/>
    <n v="7.3609999999999998"/>
    <n v="7.3609999999999998"/>
    <n v="0"/>
    <x v="0"/>
    <n v="0"/>
    <n v="0"/>
    <n v="20"/>
    <n v="66"/>
    <n v="0"/>
    <n v="69.37"/>
    <n v="284.36"/>
    <m/>
    <n v="111.03029432835316"/>
    <n v="274.80069497881567"/>
    <n v="0"/>
    <n v="510.63257000000004"/>
    <n v="2093.1739600000001"/>
    <n v="0"/>
    <n v="817.29399655100758"/>
    <n v="2022.8079157390621"/>
  </r>
  <r>
    <s v="Regular"/>
    <x v="1"/>
    <x v="0"/>
    <x v="2"/>
    <x v="0"/>
    <x v="0"/>
    <x v="0"/>
    <x v="0"/>
    <x v="2"/>
    <n v="0"/>
    <n v="0"/>
    <n v="49.951000000000001"/>
    <n v="49.951000000000001"/>
    <n v="49.951000000000001"/>
    <n v="49.951000000000001"/>
    <n v="0"/>
    <x v="0"/>
    <n v="0"/>
    <n v="0"/>
    <n v="20"/>
    <n v="66"/>
    <n v="0"/>
    <n v="69.37"/>
    <n v="284.36"/>
    <m/>
    <n v="111.03029432835316"/>
    <n v="274.80069497881567"/>
    <n v="0"/>
    <n v="3465.1008700000002"/>
    <n v="14204.066360000001"/>
    <n v="0"/>
    <n v="5546.0742319955689"/>
    <n v="13726.569514886822"/>
  </r>
  <r>
    <s v="Sistema de Compensação"/>
    <x v="1"/>
    <x v="0"/>
    <x v="2"/>
    <x v="0"/>
    <x v="0"/>
    <x v="0"/>
    <x v="0"/>
    <x v="2"/>
    <n v="0"/>
    <n v="0"/>
    <n v="6.6920000000000002"/>
    <n v="6.6920000000000002"/>
    <n v="6.6920000000000002"/>
    <n v="6.6920000000000002"/>
    <n v="0"/>
    <x v="0"/>
    <n v="0"/>
    <n v="0"/>
    <n v="20"/>
    <n v="66"/>
    <n v="0"/>
    <n v="69.37"/>
    <n v="284.36"/>
    <m/>
    <n v="111.03029432835316"/>
    <n v="274.80069497881567"/>
    <n v="0"/>
    <n v="464.22404000000006"/>
    <n v="1902.93712"/>
    <n v="0"/>
    <n v="743.01472964533934"/>
    <n v="1838.9662507982346"/>
  </r>
  <r>
    <s v="Regular"/>
    <x v="1"/>
    <x v="0"/>
    <x v="2"/>
    <x v="0"/>
    <x v="0"/>
    <x v="0"/>
    <x v="0"/>
    <x v="5"/>
    <n v="0"/>
    <n v="0"/>
    <n v="60.122"/>
    <n v="60.122"/>
    <n v="60.122"/>
    <n v="60.122"/>
    <n v="0"/>
    <x v="0"/>
    <n v="0"/>
    <n v="0"/>
    <n v="20"/>
    <n v="66"/>
    <n v="0"/>
    <n v="69.37"/>
    <n v="284.36"/>
    <m/>
    <n v="111.03029432835316"/>
    <n v="274.80069497881567"/>
    <n v="0"/>
    <n v="4170.6631400000006"/>
    <n v="17096.29192"/>
    <n v="0"/>
    <n v="6675.3633556092491"/>
    <n v="16521.567383516354"/>
  </r>
  <r>
    <s v="Sistema de Compensação"/>
    <x v="1"/>
    <x v="0"/>
    <x v="2"/>
    <x v="0"/>
    <x v="0"/>
    <x v="0"/>
    <x v="0"/>
    <x v="5"/>
    <n v="0"/>
    <n v="0"/>
    <n v="8.782"/>
    <n v="8.782"/>
    <n v="8.782"/>
    <n v="8.782"/>
    <n v="0"/>
    <x v="0"/>
    <n v="0"/>
    <n v="0"/>
    <n v="20"/>
    <n v="66"/>
    <n v="0"/>
    <n v="69.37"/>
    <n v="284.36"/>
    <m/>
    <n v="111.03029432835316"/>
    <n v="274.80069497881567"/>
    <n v="0"/>
    <n v="609.20734000000004"/>
    <n v="2497.2495200000003"/>
    <n v="0"/>
    <n v="975.06804479159746"/>
    <n v="2413.2997033039592"/>
  </r>
  <r>
    <s v="Regular"/>
    <x v="1"/>
    <x v="0"/>
    <x v="2"/>
    <x v="0"/>
    <x v="0"/>
    <x v="0"/>
    <x v="1"/>
    <x v="6"/>
    <n v="595"/>
    <n v="595"/>
    <n v="0"/>
    <n v="0"/>
    <n v="0"/>
    <n v="0"/>
    <n v="9"/>
    <x v="0"/>
    <n v="0"/>
    <n v="18"/>
    <n v="0"/>
    <n v="0"/>
    <n v="12.42"/>
    <n v="0"/>
    <n v="0"/>
    <n v="15.866734033722858"/>
    <m/>
    <m/>
    <n v="7389.9"/>
    <n v="0"/>
    <n v="0"/>
    <n v="9440.706750065101"/>
    <n v="0"/>
    <n v="0"/>
  </r>
  <r>
    <s v="Sistema de Compensação"/>
    <x v="1"/>
    <x v="0"/>
    <x v="2"/>
    <x v="0"/>
    <x v="0"/>
    <x v="0"/>
    <x v="1"/>
    <x v="6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7"/>
    <n v="591"/>
    <n v="591"/>
    <n v="0"/>
    <n v="0"/>
    <n v="0"/>
    <n v="0"/>
    <n v="9"/>
    <x v="0"/>
    <n v="0"/>
    <n v="18"/>
    <n v="0"/>
    <n v="0"/>
    <n v="12.42"/>
    <n v="0"/>
    <n v="0"/>
    <n v="15.866734033722858"/>
    <m/>
    <m/>
    <n v="7340.22"/>
    <n v="0"/>
    <n v="0"/>
    <n v="9377.2398139302095"/>
    <n v="0"/>
    <n v="0"/>
  </r>
  <r>
    <s v="Sistema de Compensação"/>
    <x v="1"/>
    <x v="0"/>
    <x v="2"/>
    <x v="0"/>
    <x v="0"/>
    <x v="0"/>
    <x v="1"/>
    <x v="7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8"/>
    <n v="577"/>
    <n v="577"/>
    <n v="0"/>
    <n v="0"/>
    <n v="0"/>
    <n v="0"/>
    <n v="9"/>
    <x v="0"/>
    <n v="0"/>
    <n v="18"/>
    <n v="0"/>
    <n v="0"/>
    <n v="12.42"/>
    <n v="0"/>
    <n v="0"/>
    <n v="15.866734033722858"/>
    <m/>
    <m/>
    <n v="7166.34"/>
    <n v="0"/>
    <n v="0"/>
    <n v="9155.1055374580901"/>
    <n v="0"/>
    <n v="0"/>
  </r>
  <r>
    <s v="Sistema de Compensação"/>
    <x v="1"/>
    <x v="0"/>
    <x v="2"/>
    <x v="0"/>
    <x v="0"/>
    <x v="0"/>
    <x v="1"/>
    <x v="8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9"/>
    <n v="575"/>
    <n v="575"/>
    <n v="0"/>
    <n v="0"/>
    <n v="0"/>
    <n v="0"/>
    <n v="9"/>
    <x v="0"/>
    <n v="0"/>
    <n v="18"/>
    <n v="0"/>
    <n v="0"/>
    <n v="12.42"/>
    <n v="0"/>
    <n v="0"/>
    <n v="15.866734033722858"/>
    <m/>
    <m/>
    <n v="7141.5"/>
    <n v="0"/>
    <n v="0"/>
    <n v="9123.3720693906434"/>
    <n v="0"/>
    <n v="0"/>
  </r>
  <r>
    <s v="Sistema de Compensação"/>
    <x v="1"/>
    <x v="0"/>
    <x v="2"/>
    <x v="0"/>
    <x v="0"/>
    <x v="0"/>
    <x v="1"/>
    <x v="9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10"/>
    <n v="575"/>
    <n v="575"/>
    <n v="0"/>
    <n v="0"/>
    <n v="0"/>
    <n v="0"/>
    <n v="9"/>
    <x v="0"/>
    <n v="0"/>
    <n v="18"/>
    <n v="0"/>
    <n v="0"/>
    <n v="12.42"/>
    <n v="0"/>
    <n v="0"/>
    <n v="15.866734033722858"/>
    <m/>
    <m/>
    <n v="7141.5"/>
    <n v="0"/>
    <n v="0"/>
    <n v="9123.3720693906434"/>
    <n v="0"/>
    <n v="0"/>
  </r>
  <r>
    <s v="Sistema de Compensação"/>
    <x v="1"/>
    <x v="0"/>
    <x v="2"/>
    <x v="0"/>
    <x v="0"/>
    <x v="0"/>
    <x v="1"/>
    <x v="10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11"/>
    <n v="588"/>
    <n v="588"/>
    <n v="0"/>
    <n v="0"/>
    <n v="0"/>
    <n v="0"/>
    <n v="9"/>
    <x v="0"/>
    <n v="0"/>
    <n v="18"/>
    <n v="0"/>
    <n v="0"/>
    <n v="12.42"/>
    <n v="0"/>
    <n v="0"/>
    <n v="15.866734033722858"/>
    <m/>
    <m/>
    <n v="7302.96"/>
    <n v="0"/>
    <n v="0"/>
    <n v="9329.6396118290413"/>
    <n v="0"/>
    <n v="0"/>
  </r>
  <r>
    <s v="Sistema de Compensação"/>
    <x v="1"/>
    <x v="0"/>
    <x v="2"/>
    <x v="0"/>
    <x v="0"/>
    <x v="0"/>
    <x v="1"/>
    <x v="11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3"/>
    <n v="607"/>
    <n v="607"/>
    <n v="0"/>
    <n v="0"/>
    <n v="0"/>
    <n v="0"/>
    <n v="9"/>
    <x v="0"/>
    <n v="0"/>
    <n v="18"/>
    <n v="0"/>
    <n v="0"/>
    <n v="12.42"/>
    <n v="0"/>
    <n v="0"/>
    <n v="15.866734033722858"/>
    <m/>
    <m/>
    <n v="7538.94"/>
    <n v="0"/>
    <n v="0"/>
    <n v="9631.1075584697755"/>
    <n v="0"/>
    <n v="0"/>
  </r>
  <r>
    <s v="Sistema de Compensação"/>
    <x v="1"/>
    <x v="0"/>
    <x v="2"/>
    <x v="0"/>
    <x v="0"/>
    <x v="0"/>
    <x v="1"/>
    <x v="3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0"/>
    <n v="599"/>
    <n v="599"/>
    <n v="0"/>
    <n v="0"/>
    <n v="0"/>
    <n v="0"/>
    <n v="9"/>
    <x v="0"/>
    <n v="0"/>
    <n v="18"/>
    <n v="0"/>
    <n v="0"/>
    <n v="12.42"/>
    <n v="0"/>
    <n v="0"/>
    <n v="15.866734033722858"/>
    <m/>
    <m/>
    <n v="7439.58"/>
    <n v="0"/>
    <n v="0"/>
    <n v="9504.1736861999925"/>
    <n v="0"/>
    <n v="0"/>
  </r>
  <r>
    <s v="Sistema de Compensação"/>
    <x v="1"/>
    <x v="0"/>
    <x v="2"/>
    <x v="0"/>
    <x v="0"/>
    <x v="0"/>
    <x v="1"/>
    <x v="0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4"/>
    <n v="610"/>
    <n v="610"/>
    <n v="0"/>
    <n v="0"/>
    <n v="0"/>
    <n v="0"/>
    <n v="9"/>
    <x v="0"/>
    <n v="0"/>
    <n v="18"/>
    <n v="0"/>
    <n v="0"/>
    <n v="12.42"/>
    <n v="0"/>
    <n v="0"/>
    <n v="15.866734033722858"/>
    <m/>
    <m/>
    <n v="7576.2"/>
    <n v="0"/>
    <n v="0"/>
    <n v="9678.7077605709437"/>
    <n v="0"/>
    <n v="0"/>
  </r>
  <r>
    <s v="Regular"/>
    <x v="1"/>
    <x v="0"/>
    <x v="2"/>
    <x v="0"/>
    <x v="0"/>
    <x v="0"/>
    <x v="1"/>
    <x v="1"/>
    <n v="627"/>
    <n v="627"/>
    <n v="0"/>
    <n v="0"/>
    <n v="0"/>
    <n v="0"/>
    <n v="9"/>
    <x v="0"/>
    <n v="0"/>
    <n v="18"/>
    <n v="0"/>
    <n v="0"/>
    <n v="12.42"/>
    <n v="0"/>
    <n v="0"/>
    <n v="15.866734033722858"/>
    <m/>
    <m/>
    <n v="7787.34"/>
    <n v="0"/>
    <n v="0"/>
    <n v="9948.4422391442331"/>
    <n v="0"/>
    <n v="0"/>
  </r>
  <r>
    <s v="Sistema de Compensação"/>
    <x v="1"/>
    <x v="0"/>
    <x v="2"/>
    <x v="0"/>
    <x v="0"/>
    <x v="0"/>
    <x v="1"/>
    <x v="1"/>
    <n v="42"/>
    <n v="42"/>
    <n v="0"/>
    <n v="0"/>
    <n v="0"/>
    <n v="0"/>
    <n v="1"/>
    <x v="0"/>
    <n v="0"/>
    <n v="18"/>
    <n v="0"/>
    <n v="0"/>
    <n v="12.42"/>
    <n v="0"/>
    <n v="0"/>
    <n v="15.866734033722858"/>
    <m/>
    <m/>
    <n v="521.64"/>
    <n v="0"/>
    <n v="0"/>
    <n v="666.40282941636008"/>
    <n v="0"/>
    <n v="0"/>
  </r>
  <r>
    <s v="Regular"/>
    <x v="1"/>
    <x v="0"/>
    <x v="2"/>
    <x v="0"/>
    <x v="0"/>
    <x v="0"/>
    <x v="1"/>
    <x v="2"/>
    <n v="575"/>
    <n v="575"/>
    <n v="0"/>
    <n v="0"/>
    <n v="0"/>
    <n v="0"/>
    <n v="9"/>
    <x v="0"/>
    <n v="0"/>
    <n v="18"/>
    <n v="0"/>
    <n v="0"/>
    <n v="12.42"/>
    <n v="0"/>
    <n v="0"/>
    <n v="15.866734033722858"/>
    <m/>
    <m/>
    <n v="7141.5"/>
    <n v="0"/>
    <n v="0"/>
    <n v="9123.3720693906434"/>
    <n v="0"/>
    <n v="0"/>
  </r>
  <r>
    <s v="Sistema de Compensação"/>
    <x v="1"/>
    <x v="0"/>
    <x v="2"/>
    <x v="0"/>
    <x v="0"/>
    <x v="0"/>
    <x v="1"/>
    <x v="2"/>
    <n v="40"/>
    <n v="40"/>
    <n v="0"/>
    <n v="0"/>
    <n v="0"/>
    <n v="0"/>
    <n v="1"/>
    <x v="0"/>
    <n v="0"/>
    <n v="18"/>
    <n v="0"/>
    <n v="0"/>
    <n v="12.42"/>
    <n v="0"/>
    <n v="0"/>
    <n v="15.866734033722858"/>
    <m/>
    <m/>
    <n v="496.8"/>
    <n v="0"/>
    <n v="0"/>
    <n v="634.66936134891432"/>
    <n v="0"/>
    <n v="0"/>
  </r>
  <r>
    <s v="Regular"/>
    <x v="1"/>
    <x v="0"/>
    <x v="2"/>
    <x v="0"/>
    <x v="0"/>
    <x v="0"/>
    <x v="1"/>
    <x v="5"/>
    <n v="579"/>
    <n v="579"/>
    <n v="0"/>
    <n v="0"/>
    <n v="0"/>
    <n v="0"/>
    <n v="9"/>
    <x v="0"/>
    <n v="0"/>
    <n v="18"/>
    <n v="0"/>
    <n v="0"/>
    <n v="12.42"/>
    <n v="0"/>
    <n v="0"/>
    <n v="15.866734033722858"/>
    <m/>
    <m/>
    <n v="7191.18"/>
    <n v="0"/>
    <n v="0"/>
    <n v="9186.839005525535"/>
    <n v="0"/>
    <n v="0"/>
  </r>
  <r>
    <s v="Sistema de Compensação"/>
    <x v="1"/>
    <x v="0"/>
    <x v="2"/>
    <x v="0"/>
    <x v="0"/>
    <x v="0"/>
    <x v="1"/>
    <x v="5"/>
    <n v="53"/>
    <n v="53"/>
    <n v="0"/>
    <n v="0"/>
    <n v="0"/>
    <n v="0"/>
    <n v="1"/>
    <x v="0"/>
    <n v="0"/>
    <n v="18"/>
    <n v="0"/>
    <n v="0"/>
    <n v="12.42"/>
    <n v="0"/>
    <n v="0"/>
    <n v="15.866734033722858"/>
    <m/>
    <m/>
    <n v="658.26"/>
    <n v="0"/>
    <n v="0"/>
    <n v="840.93690378731151"/>
    <n v="0"/>
    <n v="0"/>
  </r>
  <r>
    <s v="Regular"/>
    <x v="1"/>
    <x v="0"/>
    <x v="2"/>
    <x v="0"/>
    <x v="0"/>
    <x v="0"/>
    <x v="2"/>
    <x v="6"/>
    <n v="0"/>
    <n v="0"/>
    <n v="4.1100000000000003"/>
    <n v="4.1100000000000003"/>
    <n v="4.1100000000000003"/>
    <n v="4.1100000000000003"/>
    <n v="0"/>
    <x v="0"/>
    <n v="0"/>
    <n v="0"/>
    <n v="19"/>
    <n v="65"/>
    <n v="0"/>
    <n v="842.31"/>
    <n v="454.9"/>
    <m/>
    <n v="1109.1969409458418"/>
    <n v="430.5563899456306"/>
    <n v="0"/>
    <n v="3461.8941"/>
    <n v="1869.6390000000001"/>
    <n v="0"/>
    <n v="4558.7994272874103"/>
    <n v="1769.5867626765419"/>
  </r>
  <r>
    <s v="Sistema de Compensação"/>
    <x v="1"/>
    <x v="0"/>
    <x v="2"/>
    <x v="0"/>
    <x v="0"/>
    <x v="0"/>
    <x v="2"/>
    <x v="6"/>
    <n v="0"/>
    <n v="0"/>
    <n v="0.35799999999999998"/>
    <n v="0.35799999999999998"/>
    <n v="0.35799999999999998"/>
    <n v="0.35799999999999998"/>
    <n v="0"/>
    <x v="0"/>
    <n v="0"/>
    <n v="0"/>
    <n v="19"/>
    <n v="65"/>
    <n v="0"/>
    <n v="842.31"/>
    <n v="454.9"/>
    <m/>
    <n v="1109.1969409458418"/>
    <n v="430.5563899456306"/>
    <n v="0"/>
    <n v="301.54697999999996"/>
    <n v="162.85419999999999"/>
    <n v="0"/>
    <n v="397.09250485861133"/>
    <n v="154.13918760053573"/>
  </r>
  <r>
    <s v="Regular"/>
    <x v="1"/>
    <x v="0"/>
    <x v="2"/>
    <x v="0"/>
    <x v="0"/>
    <x v="0"/>
    <x v="2"/>
    <x v="7"/>
    <n v="0"/>
    <n v="0"/>
    <n v="4.3680000000000003"/>
    <n v="4.3680000000000003"/>
    <n v="4.3680000000000003"/>
    <n v="4.3680000000000003"/>
    <n v="0"/>
    <x v="0"/>
    <n v="0"/>
    <n v="0"/>
    <n v="19"/>
    <n v="65"/>
    <n v="0"/>
    <n v="842.31"/>
    <n v="454.9"/>
    <m/>
    <n v="1109.1969409458418"/>
    <n v="430.5563899456306"/>
    <n v="0"/>
    <n v="3679.2100799999998"/>
    <n v="1987.0032000000001"/>
    <n v="0"/>
    <n v="4844.9722380514377"/>
    <n v="1880.6703112825146"/>
  </r>
  <r>
    <s v="Sistema de Compensação"/>
    <x v="1"/>
    <x v="0"/>
    <x v="2"/>
    <x v="0"/>
    <x v="0"/>
    <x v="0"/>
    <x v="2"/>
    <x v="7"/>
    <n v="0"/>
    <n v="0"/>
    <n v="0.35199999999999998"/>
    <n v="0.35199999999999998"/>
    <n v="0.35199999999999998"/>
    <n v="0.35199999999999998"/>
    <n v="0"/>
    <x v="0"/>
    <n v="0"/>
    <n v="0"/>
    <n v="19"/>
    <n v="65"/>
    <n v="0"/>
    <n v="842.31"/>
    <n v="454.9"/>
    <m/>
    <n v="1109.1969409458418"/>
    <n v="430.5563899456306"/>
    <n v="0"/>
    <n v="296.49311999999998"/>
    <n v="160.12479999999999"/>
    <n v="0"/>
    <n v="390.43732321293629"/>
    <n v="151.55584926086198"/>
  </r>
  <r>
    <s v="Regular"/>
    <x v="1"/>
    <x v="0"/>
    <x v="2"/>
    <x v="0"/>
    <x v="0"/>
    <x v="0"/>
    <x v="2"/>
    <x v="8"/>
    <n v="0"/>
    <n v="0"/>
    <n v="4.242"/>
    <n v="4.242"/>
    <n v="4.242"/>
    <n v="4.242"/>
    <n v="0"/>
    <x v="0"/>
    <n v="0"/>
    <n v="0"/>
    <n v="19"/>
    <n v="65"/>
    <n v="0"/>
    <n v="842.31"/>
    <n v="454.9"/>
    <m/>
    <n v="1109.1969409458418"/>
    <n v="430.5563899456306"/>
    <n v="0"/>
    <n v="3573.0790199999997"/>
    <n v="1929.6858"/>
    <n v="0"/>
    <n v="4705.2134234922605"/>
    <n v="1826.420206149365"/>
  </r>
  <r>
    <s v="Sistema de Compensação"/>
    <x v="1"/>
    <x v="0"/>
    <x v="2"/>
    <x v="0"/>
    <x v="0"/>
    <x v="0"/>
    <x v="2"/>
    <x v="8"/>
    <n v="0"/>
    <n v="0"/>
    <n v="0.39900000000000002"/>
    <n v="0.39900000000000002"/>
    <n v="0.39900000000000002"/>
    <n v="0.39900000000000002"/>
    <n v="0"/>
    <x v="0"/>
    <n v="0"/>
    <n v="0"/>
    <n v="19"/>
    <n v="65"/>
    <n v="0"/>
    <n v="842.31"/>
    <n v="454.9"/>
    <m/>
    <n v="1109.1969409458418"/>
    <n v="430.5563899456306"/>
    <n v="0"/>
    <n v="336.08168999999998"/>
    <n v="181.5051"/>
    <n v="0"/>
    <n v="442.56957943739087"/>
    <n v="171.79199958830662"/>
  </r>
  <r>
    <s v="Regular"/>
    <x v="1"/>
    <x v="0"/>
    <x v="2"/>
    <x v="0"/>
    <x v="0"/>
    <x v="0"/>
    <x v="2"/>
    <x v="9"/>
    <n v="0"/>
    <n v="0"/>
    <n v="3.9380000000000002"/>
    <n v="3.9380000000000002"/>
    <n v="3.9380000000000002"/>
    <n v="3.9380000000000002"/>
    <n v="0"/>
    <x v="0"/>
    <n v="0"/>
    <n v="0"/>
    <n v="19"/>
    <n v="65"/>
    <n v="0"/>
    <n v="842.31"/>
    <n v="454.9"/>
    <m/>
    <n v="1109.1969409458418"/>
    <n v="430.5563899456306"/>
    <n v="0"/>
    <n v="3317.0167799999999"/>
    <n v="1791.3961999999999"/>
    <n v="0"/>
    <n v="4368.0175534447253"/>
    <n v="1695.5310636058935"/>
  </r>
  <r>
    <s v="Sistema de Compensação"/>
    <x v="1"/>
    <x v="0"/>
    <x v="2"/>
    <x v="0"/>
    <x v="0"/>
    <x v="0"/>
    <x v="2"/>
    <x v="9"/>
    <n v="0"/>
    <n v="0"/>
    <n v="0.38"/>
    <n v="0.38"/>
    <n v="0.38"/>
    <n v="0.38"/>
    <n v="0"/>
    <x v="0"/>
    <n v="0"/>
    <n v="0"/>
    <n v="19"/>
    <n v="65"/>
    <n v="0"/>
    <n v="842.31"/>
    <n v="454.9"/>
    <m/>
    <n v="1109.1969409458418"/>
    <n v="430.5563899456306"/>
    <n v="0"/>
    <n v="320.07779999999997"/>
    <n v="172.86199999999999"/>
    <n v="0"/>
    <n v="421.49483755941986"/>
    <n v="163.61142817933964"/>
  </r>
  <r>
    <s v="Regular"/>
    <x v="1"/>
    <x v="0"/>
    <x v="2"/>
    <x v="0"/>
    <x v="0"/>
    <x v="0"/>
    <x v="2"/>
    <x v="10"/>
    <n v="0"/>
    <n v="0"/>
    <n v="3.7810000000000001"/>
    <n v="3.7810000000000001"/>
    <n v="3.7810000000000001"/>
    <n v="3.7810000000000001"/>
    <n v="0"/>
    <x v="0"/>
    <n v="0"/>
    <n v="0"/>
    <n v="19"/>
    <n v="65"/>
    <n v="0"/>
    <n v="842.31"/>
    <n v="454.9"/>
    <m/>
    <n v="1109.1969409458418"/>
    <n v="430.5563899456306"/>
    <n v="0"/>
    <n v="3184.7741099999998"/>
    <n v="1719.9768999999999"/>
    <n v="0"/>
    <n v="4193.8736337162281"/>
    <n v="1627.9337103844293"/>
  </r>
  <r>
    <s v="Sistema de Compensação"/>
    <x v="1"/>
    <x v="0"/>
    <x v="2"/>
    <x v="0"/>
    <x v="0"/>
    <x v="0"/>
    <x v="2"/>
    <x v="10"/>
    <n v="0"/>
    <n v="0"/>
    <n v="0.32600000000000001"/>
    <n v="0.32600000000000001"/>
    <n v="0.32600000000000001"/>
    <n v="0.32600000000000001"/>
    <n v="0"/>
    <x v="0"/>
    <n v="0"/>
    <n v="0"/>
    <n v="19"/>
    <n v="65"/>
    <n v="0"/>
    <n v="842.31"/>
    <n v="454.9"/>
    <m/>
    <n v="1109.1969409458418"/>
    <n v="430.5563899456306"/>
    <n v="0"/>
    <n v="274.59305999999998"/>
    <n v="148.29740000000001"/>
    <n v="0"/>
    <n v="361.59820274834442"/>
    <n v="140.36138312227558"/>
  </r>
  <r>
    <s v="Regular"/>
    <x v="1"/>
    <x v="0"/>
    <x v="2"/>
    <x v="0"/>
    <x v="0"/>
    <x v="0"/>
    <x v="2"/>
    <x v="11"/>
    <n v="0"/>
    <n v="0"/>
    <n v="4.0570000000000004"/>
    <n v="4.0570000000000004"/>
    <n v="4.0570000000000004"/>
    <n v="4.0570000000000004"/>
    <n v="0"/>
    <x v="0"/>
    <n v="0"/>
    <n v="0"/>
    <n v="19"/>
    <n v="65"/>
    <n v="0"/>
    <n v="842.31"/>
    <n v="454.9"/>
    <m/>
    <n v="1109.1969409458418"/>
    <n v="430.5563899456306"/>
    <n v="0"/>
    <n v="3417.2516700000001"/>
    <n v="1845.5293000000001"/>
    <n v="0"/>
    <n v="4500.0119894172803"/>
    <n v="1746.7672740094235"/>
  </r>
  <r>
    <s v="Sistema de Compensação"/>
    <x v="1"/>
    <x v="0"/>
    <x v="2"/>
    <x v="0"/>
    <x v="0"/>
    <x v="0"/>
    <x v="2"/>
    <x v="11"/>
    <n v="0"/>
    <n v="0"/>
    <n v="0.51300000000000001"/>
    <n v="0.51300000000000001"/>
    <n v="0.51300000000000001"/>
    <n v="0.51300000000000001"/>
    <n v="0"/>
    <x v="0"/>
    <n v="0"/>
    <n v="0"/>
    <n v="19"/>
    <n v="65"/>
    <n v="0"/>
    <n v="842.31"/>
    <n v="454.9"/>
    <m/>
    <n v="1109.1969409458418"/>
    <n v="430.5563899456306"/>
    <n v="0"/>
    <n v="432.10503"/>
    <n v="233.36369999999999"/>
    <n v="0"/>
    <n v="569.0180307052168"/>
    <n v="220.8754280421085"/>
  </r>
  <r>
    <s v="Regular"/>
    <x v="1"/>
    <x v="0"/>
    <x v="2"/>
    <x v="0"/>
    <x v="0"/>
    <x v="0"/>
    <x v="2"/>
    <x v="3"/>
    <n v="0"/>
    <n v="0"/>
    <n v="4.41"/>
    <n v="4.41"/>
    <n v="4.41"/>
    <n v="4.41"/>
    <n v="0"/>
    <x v="0"/>
    <n v="0"/>
    <n v="0"/>
    <n v="19"/>
    <n v="65"/>
    <n v="0"/>
    <n v="842.31"/>
    <n v="454.9"/>
    <m/>
    <n v="1109.1969409458418"/>
    <n v="430.5563899456306"/>
    <n v="0"/>
    <n v="3714.5870999999997"/>
    <n v="2006.1089999999999"/>
    <n v="0"/>
    <n v="4891.5585095711622"/>
    <n v="1898.753679660231"/>
  </r>
  <r>
    <s v="Sistema de Compensação"/>
    <x v="1"/>
    <x v="0"/>
    <x v="2"/>
    <x v="0"/>
    <x v="0"/>
    <x v="0"/>
    <x v="2"/>
    <x v="3"/>
    <n v="0"/>
    <n v="0"/>
    <n v="0.66500000000000004"/>
    <n v="0.66500000000000004"/>
    <n v="0.66500000000000004"/>
    <n v="0.66500000000000004"/>
    <n v="0"/>
    <x v="0"/>
    <n v="0"/>
    <n v="0"/>
    <n v="19"/>
    <n v="65"/>
    <n v="0"/>
    <n v="842.31"/>
    <n v="454.9"/>
    <m/>
    <n v="1109.1969409458418"/>
    <n v="430.5563899456306"/>
    <n v="0"/>
    <n v="560.13615000000004"/>
    <n v="302.50850000000003"/>
    <n v="0"/>
    <n v="737.61596572898486"/>
    <n v="286.31999931384439"/>
  </r>
  <r>
    <s v="Regular"/>
    <x v="1"/>
    <x v="0"/>
    <x v="2"/>
    <x v="0"/>
    <x v="0"/>
    <x v="0"/>
    <x v="2"/>
    <x v="0"/>
    <n v="0"/>
    <n v="0"/>
    <n v="4.3259999999999996"/>
    <n v="4.3259999999999996"/>
    <n v="4.3259999999999996"/>
    <n v="4.3259999999999996"/>
    <n v="0"/>
    <x v="0"/>
    <n v="0"/>
    <n v="0"/>
    <n v="19"/>
    <n v="65"/>
    <n v="0"/>
    <n v="842.31"/>
    <n v="454.9"/>
    <m/>
    <n v="1109.1969409458418"/>
    <n v="430.5563899456306"/>
    <n v="0"/>
    <n v="3643.8330599999995"/>
    <n v="1967.8973999999998"/>
    <n v="0"/>
    <n v="4798.3859665317113"/>
    <n v="1862.5869429047978"/>
  </r>
  <r>
    <s v="Sistema de Compensação"/>
    <x v="1"/>
    <x v="0"/>
    <x v="2"/>
    <x v="0"/>
    <x v="0"/>
    <x v="0"/>
    <x v="2"/>
    <x v="0"/>
    <n v="0"/>
    <n v="0"/>
    <n v="0.35299999999999998"/>
    <n v="0.35299999999999998"/>
    <n v="0.35299999999999998"/>
    <n v="0.35299999999999998"/>
    <n v="0"/>
    <x v="0"/>
    <n v="0"/>
    <n v="0"/>
    <n v="19"/>
    <n v="65"/>
    <n v="0"/>
    <n v="842.31"/>
    <n v="454.9"/>
    <m/>
    <n v="1109.1969409458418"/>
    <n v="430.5563899456306"/>
    <n v="0"/>
    <n v="297.33542999999997"/>
    <n v="160.57969999999997"/>
    <n v="0"/>
    <n v="391.54652015388211"/>
    <n v="151.9864056508076"/>
  </r>
  <r>
    <s v="Regular"/>
    <x v="1"/>
    <x v="0"/>
    <x v="2"/>
    <x v="0"/>
    <x v="0"/>
    <x v="0"/>
    <x v="2"/>
    <x v="4"/>
    <n v="0"/>
    <n v="0"/>
    <n v="4.3650000000000002"/>
    <n v="4.3650000000000002"/>
    <n v="4.3650000000000002"/>
    <n v="4.3650000000000002"/>
    <n v="0"/>
    <x v="0"/>
    <n v="0"/>
    <n v="0"/>
    <n v="19"/>
    <n v="65"/>
    <n v="0"/>
    <n v="842.31"/>
    <n v="454.9"/>
    <m/>
    <n v="1109.1969409458418"/>
    <n v="430.5563899456306"/>
    <n v="0"/>
    <n v="3676.6831499999998"/>
    <n v="1985.6385"/>
    <n v="0"/>
    <n v="4841.6446472285998"/>
    <n v="1879.3786421126777"/>
  </r>
  <r>
    <s v="Regular"/>
    <x v="1"/>
    <x v="0"/>
    <x v="2"/>
    <x v="0"/>
    <x v="0"/>
    <x v="0"/>
    <x v="2"/>
    <x v="1"/>
    <n v="0"/>
    <n v="0"/>
    <n v="4.7930000000000001"/>
    <n v="4.7930000000000001"/>
    <n v="4.7930000000000001"/>
    <n v="4.7930000000000001"/>
    <n v="0"/>
    <x v="0"/>
    <n v="0"/>
    <n v="0"/>
    <n v="19"/>
    <n v="65"/>
    <n v="0"/>
    <n v="842.31"/>
    <n v="454.9"/>
    <m/>
    <n v="1109.1969409458418"/>
    <n v="430.5563899456306"/>
    <n v="0"/>
    <n v="4037.1918299999998"/>
    <n v="2180.3357000000001"/>
    <n v="0"/>
    <n v="5316.3809379534196"/>
    <n v="2063.6567770094075"/>
  </r>
  <r>
    <s v="Sistema de Compensação"/>
    <x v="1"/>
    <x v="0"/>
    <x v="2"/>
    <x v="0"/>
    <x v="0"/>
    <x v="0"/>
    <x v="2"/>
    <x v="1"/>
    <n v="0"/>
    <n v="0"/>
    <n v="1.859"/>
    <n v="1.859"/>
    <n v="1.859"/>
    <n v="1.859"/>
    <n v="0"/>
    <x v="0"/>
    <n v="0"/>
    <n v="0"/>
    <n v="19"/>
    <n v="65"/>
    <n v="0"/>
    <n v="842.31"/>
    <n v="454.9"/>
    <m/>
    <n v="1109.1969409458418"/>
    <n v="430.5563899456306"/>
    <n v="0"/>
    <n v="1565.85429"/>
    <n v="845.65909999999997"/>
    <n v="0"/>
    <n v="2061.99711321832"/>
    <n v="800.40432890892725"/>
  </r>
  <r>
    <s v="Regular"/>
    <x v="1"/>
    <x v="0"/>
    <x v="2"/>
    <x v="0"/>
    <x v="0"/>
    <x v="0"/>
    <x v="2"/>
    <x v="2"/>
    <n v="0"/>
    <n v="0"/>
    <n v="3.782"/>
    <n v="3.782"/>
    <n v="3.782"/>
    <n v="3.782"/>
    <n v="0"/>
    <x v="0"/>
    <n v="0"/>
    <n v="0"/>
    <n v="19"/>
    <n v="65"/>
    <n v="0"/>
    <n v="842.31"/>
    <n v="454.9"/>
    <m/>
    <n v="1109.1969409458418"/>
    <n v="430.5563899456306"/>
    <n v="0"/>
    <n v="3185.6164199999998"/>
    <n v="1720.4317999999998"/>
    <n v="0"/>
    <n v="4194.9828306571735"/>
    <n v="1628.364266774375"/>
  </r>
  <r>
    <s v="Sistema de Compensação"/>
    <x v="1"/>
    <x v="0"/>
    <x v="2"/>
    <x v="0"/>
    <x v="0"/>
    <x v="0"/>
    <x v="2"/>
    <x v="2"/>
    <n v="0"/>
    <n v="0"/>
    <n v="1.6759999999999999"/>
    <n v="1.6759999999999999"/>
    <n v="1.6759999999999999"/>
    <n v="1.6759999999999999"/>
    <n v="0"/>
    <x v="0"/>
    <n v="0"/>
    <n v="0"/>
    <n v="19"/>
    <n v="65"/>
    <n v="0"/>
    <n v="842.31"/>
    <n v="454.9"/>
    <m/>
    <n v="1109.1969409458418"/>
    <n v="430.5563899456306"/>
    <n v="0"/>
    <n v="1411.71156"/>
    <n v="762.41239999999993"/>
    <n v="0"/>
    <n v="1859.0140730252308"/>
    <n v="721.6125095488768"/>
  </r>
  <r>
    <s v="Regular"/>
    <x v="1"/>
    <x v="0"/>
    <x v="2"/>
    <x v="0"/>
    <x v="0"/>
    <x v="0"/>
    <x v="2"/>
    <x v="5"/>
    <n v="0"/>
    <n v="0"/>
    <n v="4.5629999999999997"/>
    <n v="4.5629999999999997"/>
    <n v="4.5629999999999997"/>
    <n v="4.5629999999999997"/>
    <n v="0"/>
    <x v="0"/>
    <n v="0"/>
    <n v="0"/>
    <n v="19"/>
    <n v="65"/>
    <n v="0"/>
    <n v="842.31"/>
    <n v="454.9"/>
    <m/>
    <n v="1109.1969409458418"/>
    <n v="430.5563899456306"/>
    <n v="0"/>
    <n v="3843.4605299999994"/>
    <n v="2075.7086999999997"/>
    <n v="0"/>
    <n v="5061.2656415358761"/>
    <n v="1964.6288073219123"/>
  </r>
  <r>
    <s v="Sistema de Compensação"/>
    <x v="1"/>
    <x v="0"/>
    <x v="2"/>
    <x v="0"/>
    <x v="0"/>
    <x v="0"/>
    <x v="2"/>
    <x v="5"/>
    <n v="0"/>
    <n v="0"/>
    <n v="2.444"/>
    <n v="2.444"/>
    <n v="2.444"/>
    <n v="2.444"/>
    <n v="0"/>
    <x v="0"/>
    <n v="0"/>
    <n v="0"/>
    <n v="19"/>
    <n v="65"/>
    <n v="0"/>
    <n v="842.31"/>
    <n v="454.9"/>
    <m/>
    <n v="1109.1969409458418"/>
    <n v="430.5563899456306"/>
    <n v="0"/>
    <n v="2058.6056399999998"/>
    <n v="1111.7755999999999"/>
    <n v="0"/>
    <n v="2710.8773236716374"/>
    <n v="1052.2798170271212"/>
  </r>
  <r>
    <s v="Regular"/>
    <x v="1"/>
    <x v="0"/>
    <x v="4"/>
    <x v="2"/>
    <x v="0"/>
    <x v="0"/>
    <x v="0"/>
    <x v="6"/>
    <n v="0"/>
    <n v="0"/>
    <n v="1.1679999999999999"/>
    <n v="1.1679999999999999"/>
    <n v="1.1679999999999999"/>
    <n v="1.1679999999999999"/>
    <n v="0"/>
    <x v="0"/>
    <n v="0"/>
    <n v="0"/>
    <n v="20"/>
    <n v="66"/>
    <n v="0"/>
    <n v="69.37"/>
    <n v="284.36"/>
    <m/>
    <n v="111.03029432835316"/>
    <n v="274.80069497881567"/>
    <n v="0"/>
    <n v="81.024159999999995"/>
    <n v="332.13247999999999"/>
    <n v="0"/>
    <n v="129.68338377551649"/>
    <n v="320.96721173525668"/>
  </r>
  <r>
    <s v="Regular"/>
    <x v="1"/>
    <x v="0"/>
    <x v="4"/>
    <x v="2"/>
    <x v="0"/>
    <x v="0"/>
    <x v="0"/>
    <x v="7"/>
    <n v="0"/>
    <n v="0"/>
    <n v="1.3240000000000001"/>
    <n v="1.3240000000000001"/>
    <n v="1.3240000000000001"/>
    <n v="1.3240000000000001"/>
    <n v="0"/>
    <x v="0"/>
    <n v="0"/>
    <n v="0"/>
    <n v="20"/>
    <n v="66"/>
    <n v="0"/>
    <n v="69.37"/>
    <n v="284.36"/>
    <m/>
    <n v="111.03029432835316"/>
    <n v="274.80069497881567"/>
    <n v="0"/>
    <n v="91.845880000000008"/>
    <n v="376.49264000000005"/>
    <n v="0"/>
    <n v="147.0041096907396"/>
    <n v="363.83612015195195"/>
  </r>
  <r>
    <s v="Regular"/>
    <x v="1"/>
    <x v="0"/>
    <x v="4"/>
    <x v="2"/>
    <x v="0"/>
    <x v="0"/>
    <x v="0"/>
    <x v="8"/>
    <n v="0"/>
    <n v="0"/>
    <n v="1.2330000000000001"/>
    <n v="1.2330000000000001"/>
    <n v="1.2330000000000001"/>
    <n v="1.2330000000000001"/>
    <n v="0"/>
    <x v="0"/>
    <n v="0"/>
    <n v="0"/>
    <n v="20"/>
    <n v="66"/>
    <n v="0"/>
    <n v="69.37"/>
    <n v="284.36"/>
    <m/>
    <n v="111.03029432835316"/>
    <n v="274.80069497881567"/>
    <n v="0"/>
    <n v="85.533210000000011"/>
    <n v="350.61588000000006"/>
    <n v="0"/>
    <n v="136.90035290685947"/>
    <n v="338.82925690887976"/>
  </r>
  <r>
    <s v="Regular"/>
    <x v="1"/>
    <x v="0"/>
    <x v="4"/>
    <x v="2"/>
    <x v="0"/>
    <x v="0"/>
    <x v="0"/>
    <x v="9"/>
    <n v="0"/>
    <n v="0"/>
    <n v="1.385"/>
    <n v="1.385"/>
    <n v="1.385"/>
    <n v="1.385"/>
    <n v="0"/>
    <x v="0"/>
    <n v="0"/>
    <n v="0"/>
    <n v="20"/>
    <n v="66"/>
    <n v="0"/>
    <n v="69.37"/>
    <n v="284.36"/>
    <m/>
    <n v="111.03029432835316"/>
    <n v="274.80069497881567"/>
    <n v="0"/>
    <n v="96.077450000000013"/>
    <n v="393.83860000000004"/>
    <n v="0"/>
    <n v="153.77695764476914"/>
    <n v="380.59896254565973"/>
  </r>
  <r>
    <s v="Regular"/>
    <x v="1"/>
    <x v="0"/>
    <x v="4"/>
    <x v="2"/>
    <x v="0"/>
    <x v="0"/>
    <x v="0"/>
    <x v="10"/>
    <n v="0"/>
    <n v="0"/>
    <n v="1.3320000000000001"/>
    <n v="1.3320000000000001"/>
    <n v="1.3320000000000001"/>
    <n v="1.3320000000000001"/>
    <n v="0"/>
    <x v="0"/>
    <n v="0"/>
    <n v="0"/>
    <n v="20"/>
    <n v="66"/>
    <n v="0"/>
    <n v="69.37"/>
    <n v="284.36"/>
    <m/>
    <n v="111.03029432835316"/>
    <n v="274.80069497881567"/>
    <n v="0"/>
    <n v="92.400840000000017"/>
    <n v="378.76752000000005"/>
    <n v="0"/>
    <n v="147.89235204536644"/>
    <n v="366.03452571178252"/>
  </r>
  <r>
    <s v="Regular"/>
    <x v="1"/>
    <x v="0"/>
    <x v="4"/>
    <x v="2"/>
    <x v="0"/>
    <x v="0"/>
    <x v="0"/>
    <x v="11"/>
    <n v="0"/>
    <n v="0"/>
    <n v="1.327"/>
    <n v="1.327"/>
    <n v="1.327"/>
    <n v="1.327"/>
    <n v="0"/>
    <x v="0"/>
    <n v="0"/>
    <n v="0"/>
    <n v="20"/>
    <n v="66"/>
    <n v="0"/>
    <n v="69.37"/>
    <n v="284.36"/>
    <m/>
    <n v="111.03029432835316"/>
    <n v="274.80069497881567"/>
    <n v="0"/>
    <n v="92.053989999999999"/>
    <n v="377.34572000000003"/>
    <n v="0"/>
    <n v="147.33720057372466"/>
    <n v="364.66052223688837"/>
  </r>
  <r>
    <s v="Regular"/>
    <x v="1"/>
    <x v="0"/>
    <x v="4"/>
    <x v="2"/>
    <x v="0"/>
    <x v="0"/>
    <x v="0"/>
    <x v="3"/>
    <n v="0"/>
    <n v="0"/>
    <n v="2.3889999999999998"/>
    <n v="2.3889999999999998"/>
    <n v="2.3889999999999998"/>
    <n v="2.3889999999999998"/>
    <n v="0"/>
    <x v="0"/>
    <n v="0"/>
    <n v="0"/>
    <n v="20"/>
    <n v="66"/>
    <n v="0"/>
    <n v="69.37"/>
    <n v="284.36"/>
    <m/>
    <n v="111.03029432835316"/>
    <n v="274.80069497881567"/>
    <n v="0"/>
    <n v="165.72493"/>
    <n v="679.33604000000003"/>
    <n v="0"/>
    <n v="265.25137315043571"/>
    <n v="656.49886030439063"/>
  </r>
  <r>
    <s v="Regular"/>
    <x v="1"/>
    <x v="0"/>
    <x v="4"/>
    <x v="2"/>
    <x v="0"/>
    <x v="0"/>
    <x v="0"/>
    <x v="0"/>
    <n v="0"/>
    <n v="0"/>
    <n v="1.429"/>
    <n v="1.429"/>
    <n v="1.429"/>
    <n v="1.429"/>
    <n v="0"/>
    <x v="0"/>
    <n v="0"/>
    <n v="0"/>
    <n v="20"/>
    <n v="66"/>
    <n v="0"/>
    <n v="69.37"/>
    <n v="284.36"/>
    <m/>
    <n v="111.03029432835316"/>
    <n v="274.80069497881567"/>
    <n v="0"/>
    <n v="99.129730000000009"/>
    <n v="406.35044000000005"/>
    <n v="0"/>
    <n v="158.66229059521669"/>
    <n v="392.69019312472761"/>
  </r>
  <r>
    <s v="Regular"/>
    <x v="1"/>
    <x v="0"/>
    <x v="4"/>
    <x v="2"/>
    <x v="0"/>
    <x v="0"/>
    <x v="0"/>
    <x v="4"/>
    <n v="0"/>
    <n v="0"/>
    <n v="1.653"/>
    <n v="1.653"/>
    <n v="1.653"/>
    <n v="1.653"/>
    <n v="0"/>
    <x v="0"/>
    <n v="0"/>
    <n v="0"/>
    <n v="20"/>
    <n v="66"/>
    <n v="0"/>
    <n v="69.37"/>
    <n v="284.36"/>
    <m/>
    <n v="111.03029432835316"/>
    <n v="274.80069497881567"/>
    <n v="0"/>
    <n v="114.66861000000002"/>
    <n v="470.04708000000005"/>
    <n v="0"/>
    <n v="183.53307652476778"/>
    <n v="454.24554879998232"/>
  </r>
  <r>
    <s v="Regular"/>
    <x v="1"/>
    <x v="0"/>
    <x v="4"/>
    <x v="2"/>
    <x v="0"/>
    <x v="0"/>
    <x v="0"/>
    <x v="1"/>
    <n v="0"/>
    <n v="0"/>
    <n v="1.2490000000000001"/>
    <n v="1.2490000000000001"/>
    <n v="1.2490000000000001"/>
    <n v="1.2490000000000001"/>
    <n v="0"/>
    <x v="0"/>
    <n v="0"/>
    <n v="0"/>
    <n v="20"/>
    <n v="66"/>
    <n v="0"/>
    <n v="69.37"/>
    <n v="284.36"/>
    <m/>
    <n v="111.03029432835316"/>
    <n v="274.80069497881567"/>
    <n v="0"/>
    <n v="86.643130000000014"/>
    <n v="355.16564000000005"/>
    <n v="0"/>
    <n v="138.67683761611312"/>
    <n v="343.22606802854079"/>
  </r>
  <r>
    <s v="Regular"/>
    <x v="1"/>
    <x v="0"/>
    <x v="4"/>
    <x v="2"/>
    <x v="0"/>
    <x v="0"/>
    <x v="0"/>
    <x v="2"/>
    <n v="0"/>
    <n v="0"/>
    <n v="1.2390000000000001"/>
    <n v="1.2390000000000001"/>
    <n v="1.2390000000000001"/>
    <n v="1.2390000000000001"/>
    <n v="0"/>
    <x v="0"/>
    <n v="0"/>
    <n v="0"/>
    <n v="20"/>
    <n v="66"/>
    <n v="0"/>
    <n v="69.37"/>
    <n v="284.36"/>
    <m/>
    <n v="111.03029432835316"/>
    <n v="274.80069497881567"/>
    <n v="0"/>
    <n v="85.949430000000007"/>
    <n v="352.32204000000007"/>
    <n v="0"/>
    <n v="137.56653467282959"/>
    <n v="340.47806107875266"/>
  </r>
  <r>
    <s v="Regular"/>
    <x v="1"/>
    <x v="0"/>
    <x v="4"/>
    <x v="2"/>
    <x v="0"/>
    <x v="0"/>
    <x v="0"/>
    <x v="5"/>
    <n v="0"/>
    <n v="0"/>
    <n v="1.054"/>
    <n v="1.054"/>
    <n v="1.054"/>
    <n v="1.054"/>
    <n v="0"/>
    <x v="0"/>
    <n v="0"/>
    <n v="0"/>
    <n v="20"/>
    <n v="66"/>
    <n v="0"/>
    <n v="69.37"/>
    <n v="284.36"/>
    <m/>
    <n v="111.03029432835316"/>
    <n v="274.80069497881567"/>
    <n v="0"/>
    <n v="73.115980000000008"/>
    <n v="299.71544"/>
    <n v="0"/>
    <n v="117.02593022208424"/>
    <n v="289.63993250767174"/>
  </r>
  <r>
    <s v="Regular"/>
    <x v="1"/>
    <x v="0"/>
    <x v="4"/>
    <x v="2"/>
    <x v="0"/>
    <x v="0"/>
    <x v="1"/>
    <x v="6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7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8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9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10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11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3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0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4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1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2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1"/>
    <x v="5"/>
    <n v="30"/>
    <n v="30"/>
    <n v="0"/>
    <n v="0"/>
    <n v="0"/>
    <n v="0"/>
    <n v="1"/>
    <x v="0"/>
    <n v="0"/>
    <n v="18"/>
    <n v="0"/>
    <n v="0"/>
    <n v="12.42"/>
    <n v="0"/>
    <n v="0"/>
    <n v="15.866734033722858"/>
    <m/>
    <m/>
    <n v="372.6"/>
    <n v="0"/>
    <n v="0"/>
    <n v="476.00202101168577"/>
    <n v="0"/>
    <n v="0"/>
  </r>
  <r>
    <s v="Regular"/>
    <x v="1"/>
    <x v="0"/>
    <x v="4"/>
    <x v="2"/>
    <x v="0"/>
    <x v="0"/>
    <x v="2"/>
    <x v="7"/>
    <n v="0"/>
    <n v="0"/>
    <n v="8.8999999999999996E-2"/>
    <n v="8.8999999999999996E-2"/>
    <n v="8.8999999999999996E-2"/>
    <n v="8.8999999999999996E-2"/>
    <n v="0"/>
    <x v="0"/>
    <n v="0"/>
    <n v="0"/>
    <n v="19"/>
    <n v="65"/>
    <n v="0"/>
    <n v="842.31"/>
    <n v="454.9"/>
    <m/>
    <n v="1109.1969409458418"/>
    <n v="430.5563899456306"/>
    <n v="0"/>
    <n v="74.965589999999992"/>
    <n v="40.486099999999993"/>
    <n v="0"/>
    <n v="98.718527744179909"/>
    <n v="38.319518705161123"/>
  </r>
  <r>
    <s v="Regular"/>
    <x v="1"/>
    <x v="0"/>
    <x v="4"/>
    <x v="2"/>
    <x v="0"/>
    <x v="0"/>
    <x v="2"/>
    <x v="8"/>
    <n v="0"/>
    <n v="0"/>
    <n v="5.6000000000000001E-2"/>
    <n v="5.6000000000000001E-2"/>
    <n v="5.6000000000000001E-2"/>
    <n v="5.6000000000000001E-2"/>
    <n v="0"/>
    <x v="0"/>
    <n v="0"/>
    <n v="0"/>
    <n v="19"/>
    <n v="65"/>
    <n v="0"/>
    <n v="842.31"/>
    <n v="454.9"/>
    <m/>
    <n v="1109.1969409458418"/>
    <n v="430.5563899456306"/>
    <n v="0"/>
    <n v="47.169359999999998"/>
    <n v="25.474399999999999"/>
    <n v="0"/>
    <n v="62.115028692967144"/>
    <n v="24.111157836955314"/>
  </r>
  <r>
    <s v="Regular"/>
    <x v="1"/>
    <x v="0"/>
    <x v="4"/>
    <x v="2"/>
    <x v="0"/>
    <x v="0"/>
    <x v="2"/>
    <x v="9"/>
    <n v="0"/>
    <n v="0"/>
    <n v="7.6999999999999999E-2"/>
    <n v="7.6999999999999999E-2"/>
    <n v="7.6999999999999999E-2"/>
    <n v="7.6999999999999999E-2"/>
    <n v="0"/>
    <x v="0"/>
    <n v="0"/>
    <n v="0"/>
    <n v="19"/>
    <n v="65"/>
    <n v="0"/>
    <n v="842.31"/>
    <n v="454.9"/>
    <m/>
    <n v="1109.1969409458418"/>
    <n v="430.5563899456306"/>
    <n v="0"/>
    <n v="64.857869999999991"/>
    <n v="35.027299999999997"/>
    <n v="0"/>
    <n v="85.408164452829823"/>
    <n v="33.152842025813555"/>
  </r>
  <r>
    <s v="Regular"/>
    <x v="1"/>
    <x v="0"/>
    <x v="4"/>
    <x v="2"/>
    <x v="0"/>
    <x v="0"/>
    <x v="2"/>
    <x v="10"/>
    <n v="0"/>
    <n v="0"/>
    <n v="5.6000000000000001E-2"/>
    <n v="5.6000000000000001E-2"/>
    <n v="5.6000000000000001E-2"/>
    <n v="5.6000000000000001E-2"/>
    <n v="0"/>
    <x v="0"/>
    <n v="0"/>
    <n v="0"/>
    <n v="19"/>
    <n v="65"/>
    <n v="0"/>
    <n v="842.31"/>
    <n v="454.9"/>
    <m/>
    <n v="1109.1969409458418"/>
    <n v="430.5563899456306"/>
    <n v="0"/>
    <n v="47.169359999999998"/>
    <n v="25.474399999999999"/>
    <n v="0"/>
    <n v="62.115028692967144"/>
    <n v="24.111157836955314"/>
  </r>
  <r>
    <s v="Regular"/>
    <x v="1"/>
    <x v="0"/>
    <x v="4"/>
    <x v="2"/>
    <x v="0"/>
    <x v="0"/>
    <x v="2"/>
    <x v="11"/>
    <n v="0"/>
    <n v="0"/>
    <n v="8.6999999999999994E-2"/>
    <n v="8.6999999999999994E-2"/>
    <n v="8.6999999999999994E-2"/>
    <n v="8.6999999999999994E-2"/>
    <n v="0"/>
    <x v="0"/>
    <n v="0"/>
    <n v="0"/>
    <n v="19"/>
    <n v="65"/>
    <n v="0"/>
    <n v="842.31"/>
    <n v="454.9"/>
    <m/>
    <n v="1109.1969409458418"/>
    <n v="430.5563899456306"/>
    <n v="0"/>
    <n v="73.280969999999996"/>
    <n v="39.576299999999996"/>
    <n v="0"/>
    <n v="96.500133862288223"/>
    <n v="37.458405925269858"/>
  </r>
  <r>
    <s v="Regular"/>
    <x v="1"/>
    <x v="0"/>
    <x v="4"/>
    <x v="2"/>
    <x v="0"/>
    <x v="0"/>
    <x v="2"/>
    <x v="3"/>
    <n v="0"/>
    <n v="0"/>
    <n v="0.22"/>
    <n v="0.22"/>
    <n v="0.22"/>
    <n v="0.22"/>
    <n v="0"/>
    <x v="0"/>
    <n v="0"/>
    <n v="0"/>
    <n v="19"/>
    <n v="65"/>
    <n v="0"/>
    <n v="842.31"/>
    <n v="454.9"/>
    <m/>
    <n v="1109.1969409458418"/>
    <n v="430.5563899456306"/>
    <n v="0"/>
    <n v="185.3082"/>
    <n v="100.07799999999999"/>
    <n v="0"/>
    <n v="244.0233270080852"/>
    <n v="94.722405788038728"/>
  </r>
  <r>
    <s v="Regular"/>
    <x v="1"/>
    <x v="0"/>
    <x v="4"/>
    <x v="2"/>
    <x v="0"/>
    <x v="0"/>
    <x v="2"/>
    <x v="0"/>
    <n v="0"/>
    <n v="0"/>
    <n v="0.128"/>
    <n v="0.128"/>
    <n v="0.128"/>
    <n v="0.128"/>
    <n v="0"/>
    <x v="0"/>
    <n v="0"/>
    <n v="0"/>
    <n v="19"/>
    <n v="65"/>
    <n v="0"/>
    <n v="842.31"/>
    <n v="454.9"/>
    <m/>
    <n v="1109.1969409458418"/>
    <n v="430.5563899456306"/>
    <n v="0"/>
    <n v="107.81568"/>
    <n v="58.227199999999996"/>
    <n v="0"/>
    <n v="141.97720844106775"/>
    <n v="55.111217913040718"/>
  </r>
  <r>
    <s v="Regular"/>
    <x v="1"/>
    <x v="0"/>
    <x v="4"/>
    <x v="2"/>
    <x v="0"/>
    <x v="0"/>
    <x v="2"/>
    <x v="4"/>
    <n v="0"/>
    <n v="0"/>
    <n v="0.13700000000000001"/>
    <n v="0.13700000000000001"/>
    <n v="0.13700000000000001"/>
    <n v="0.13700000000000001"/>
    <n v="0"/>
    <x v="0"/>
    <n v="0"/>
    <n v="0"/>
    <n v="19"/>
    <n v="65"/>
    <n v="0"/>
    <n v="842.31"/>
    <n v="454.9"/>
    <m/>
    <n v="1109.1969409458418"/>
    <n v="430.5563899456306"/>
    <n v="0"/>
    <n v="115.39647000000001"/>
    <n v="62.321300000000001"/>
    <n v="0"/>
    <n v="151.95998090958034"/>
    <n v="58.986225422551399"/>
  </r>
  <r>
    <s v="Regular"/>
    <x v="1"/>
    <x v="0"/>
    <x v="4"/>
    <x v="2"/>
    <x v="0"/>
    <x v="0"/>
    <x v="2"/>
    <x v="1"/>
    <n v="0"/>
    <n v="0"/>
    <n v="0.112"/>
    <n v="0.112"/>
    <n v="0.112"/>
    <n v="0.112"/>
    <n v="0"/>
    <x v="0"/>
    <n v="0"/>
    <n v="0"/>
    <n v="19"/>
    <n v="65"/>
    <n v="0"/>
    <n v="842.31"/>
    <n v="454.9"/>
    <m/>
    <n v="1109.1969409458418"/>
    <n v="430.5563899456306"/>
    <n v="0"/>
    <n v="94.338719999999995"/>
    <n v="50.948799999999999"/>
    <n v="0"/>
    <n v="124.23005738593429"/>
    <n v="48.222315673910629"/>
  </r>
  <r>
    <s v="Regular"/>
    <x v="1"/>
    <x v="0"/>
    <x v="4"/>
    <x v="2"/>
    <x v="0"/>
    <x v="0"/>
    <x v="2"/>
    <x v="2"/>
    <n v="0"/>
    <n v="0"/>
    <n v="4.5999999999999999E-2"/>
    <n v="4.5999999999999999E-2"/>
    <n v="4.5999999999999999E-2"/>
    <n v="4.5999999999999999E-2"/>
    <n v="0"/>
    <x v="0"/>
    <n v="0"/>
    <n v="0"/>
    <n v="19"/>
    <n v="65"/>
    <n v="0"/>
    <n v="842.31"/>
    <n v="454.9"/>
    <m/>
    <n v="1109.1969409458418"/>
    <n v="430.5563899456306"/>
    <n v="0"/>
    <n v="38.746259999999999"/>
    <n v="20.9254"/>
    <n v="0"/>
    <n v="51.023059283508722"/>
    <n v="19.805593937499008"/>
  </r>
  <r>
    <s v="Regular"/>
    <x v="1"/>
    <x v="0"/>
    <x v="4"/>
    <x v="2"/>
    <x v="0"/>
    <x v="0"/>
    <x v="2"/>
    <x v="5"/>
    <n v="0"/>
    <n v="0"/>
    <n v="0.13100000000000001"/>
    <n v="0.13100000000000001"/>
    <n v="0.13100000000000001"/>
    <n v="0.13100000000000001"/>
    <n v="0"/>
    <x v="0"/>
    <n v="0"/>
    <n v="0"/>
    <n v="19"/>
    <n v="65"/>
    <n v="0"/>
    <n v="842.31"/>
    <n v="454.9"/>
    <m/>
    <n v="1109.1969409458418"/>
    <n v="430.5563899456306"/>
    <n v="0"/>
    <n v="110.34260999999999"/>
    <n v="59.591900000000003"/>
    <n v="0"/>
    <n v="145.30479926390527"/>
    <n v="56.402887082877612"/>
  </r>
  <r>
    <s v="Regular"/>
    <x v="1"/>
    <x v="0"/>
    <x v="5"/>
    <x v="0"/>
    <x v="0"/>
    <x v="0"/>
    <x v="0"/>
    <x v="6"/>
    <n v="0"/>
    <n v="0"/>
    <n v="5.0549999999999997"/>
    <n v="5.0549999999999997"/>
    <n v="5.0549999999999997"/>
    <n v="5.0549999999999997"/>
    <n v="0"/>
    <x v="0"/>
    <n v="0"/>
    <n v="0"/>
    <n v="20"/>
    <n v="66"/>
    <n v="0"/>
    <n v="66.595200000000006"/>
    <n v="272.98559999999998"/>
    <m/>
    <n v="108.80968844178609"/>
    <n v="269.30468107923934"/>
    <n v="0"/>
    <n v="336.63873599999999"/>
    <n v="1379.9422079999997"/>
    <n v="0"/>
    <n v="550.03297507322873"/>
    <n v="1361.3351628555547"/>
  </r>
  <r>
    <s v="Regular"/>
    <x v="1"/>
    <x v="0"/>
    <x v="5"/>
    <x v="0"/>
    <x v="0"/>
    <x v="0"/>
    <x v="0"/>
    <x v="7"/>
    <n v="0"/>
    <n v="0"/>
    <n v="3.0209999999999999"/>
    <n v="3.0209999999999999"/>
    <n v="3.0209999999999999"/>
    <n v="3.0209999999999999"/>
    <n v="0"/>
    <x v="0"/>
    <n v="0"/>
    <n v="0"/>
    <n v="20"/>
    <n v="66"/>
    <n v="0"/>
    <n v="66.595200000000006"/>
    <n v="272.98559999999998"/>
    <m/>
    <n v="108.80968844178609"/>
    <n v="269.30468107923934"/>
    <n v="0"/>
    <n v="201.18409920000002"/>
    <n v="824.68949759999987"/>
    <n v="0"/>
    <n v="328.71406878263576"/>
    <n v="813.56944154038206"/>
  </r>
  <r>
    <s v="Regular"/>
    <x v="1"/>
    <x v="0"/>
    <x v="5"/>
    <x v="0"/>
    <x v="0"/>
    <x v="0"/>
    <x v="0"/>
    <x v="8"/>
    <n v="0"/>
    <n v="0"/>
    <n v="2.4289999999999998"/>
    <n v="2.4289999999999998"/>
    <n v="2.4289999999999998"/>
    <n v="2.4289999999999998"/>
    <n v="0"/>
    <x v="0"/>
    <n v="0"/>
    <n v="0"/>
    <n v="20"/>
    <n v="66"/>
    <n v="0"/>
    <n v="66.595200000000006"/>
    <n v="272.98559999999998"/>
    <m/>
    <n v="108.80968844178609"/>
    <n v="269.30468107923934"/>
    <n v="0"/>
    <n v="161.7597408"/>
    <n v="663.08202239999991"/>
    <n v="0"/>
    <n v="264.29873322509837"/>
    <n v="654.1410703414723"/>
  </r>
  <r>
    <s v="Regular"/>
    <x v="1"/>
    <x v="0"/>
    <x v="5"/>
    <x v="0"/>
    <x v="0"/>
    <x v="0"/>
    <x v="0"/>
    <x v="9"/>
    <n v="0"/>
    <n v="0"/>
    <n v="2.7210000000000001"/>
    <n v="2.7210000000000001"/>
    <n v="2.7210000000000001"/>
    <n v="2.7210000000000001"/>
    <n v="0"/>
    <x v="0"/>
    <n v="0"/>
    <n v="0"/>
    <n v="20"/>
    <n v="66"/>
    <n v="0"/>
    <n v="66.595200000000006"/>
    <n v="272.98559999999998"/>
    <m/>
    <n v="108.80968844178609"/>
    <n v="269.30468107923934"/>
    <n v="0"/>
    <n v="181.20553920000003"/>
    <n v="742.79381760000001"/>
    <n v="0"/>
    <n v="296.07116225009997"/>
    <n v="732.7780372166103"/>
  </r>
  <r>
    <s v="Regular"/>
    <x v="1"/>
    <x v="0"/>
    <x v="5"/>
    <x v="0"/>
    <x v="0"/>
    <x v="0"/>
    <x v="0"/>
    <x v="10"/>
    <n v="0"/>
    <n v="0"/>
    <n v="2.7639999999999998"/>
    <n v="2.7639999999999998"/>
    <n v="2.7639999999999998"/>
    <n v="2.7639999999999998"/>
    <n v="0"/>
    <x v="0"/>
    <n v="0"/>
    <n v="0"/>
    <n v="20"/>
    <n v="66"/>
    <n v="0"/>
    <n v="66.595200000000006"/>
    <n v="272.98559999999998"/>
    <m/>
    <n v="108.80968844178609"/>
    <n v="269.30468107923934"/>
    <n v="0"/>
    <n v="184.06913280000001"/>
    <n v="754.53219839999986"/>
    <n v="0"/>
    <n v="300.74997885309676"/>
    <n v="744.35813850301747"/>
  </r>
  <r>
    <s v="Regular"/>
    <x v="1"/>
    <x v="0"/>
    <x v="5"/>
    <x v="0"/>
    <x v="0"/>
    <x v="0"/>
    <x v="0"/>
    <x v="11"/>
    <n v="0"/>
    <n v="0"/>
    <n v="2.819"/>
    <n v="2.819"/>
    <n v="2.819"/>
    <n v="2.819"/>
    <n v="0"/>
    <x v="0"/>
    <n v="0"/>
    <n v="0"/>
    <n v="20"/>
    <n v="66"/>
    <n v="0"/>
    <n v="66.595200000000006"/>
    <n v="272.98559999999998"/>
    <m/>
    <n v="108.80968844178609"/>
    <n v="269.30468107923934"/>
    <n v="0"/>
    <n v="187.7318688"/>
    <n v="769.54640639999991"/>
    <n v="0"/>
    <n v="306.73451171739498"/>
    <n v="759.16989596237568"/>
  </r>
  <r>
    <s v="Regular"/>
    <x v="1"/>
    <x v="0"/>
    <x v="5"/>
    <x v="0"/>
    <x v="0"/>
    <x v="0"/>
    <x v="0"/>
    <x v="3"/>
    <n v="0"/>
    <n v="0"/>
    <n v="2.294"/>
    <n v="2.294"/>
    <n v="2.294"/>
    <n v="2.294"/>
    <n v="0"/>
    <x v="0"/>
    <n v="0"/>
    <n v="0"/>
    <n v="20"/>
    <n v="66"/>
    <n v="0"/>
    <n v="66.595200000000006"/>
    <n v="272.98559999999998"/>
    <m/>
    <n v="108.80968844178609"/>
    <n v="269.30468107923934"/>
    <n v="0"/>
    <n v="152.7693888"/>
    <n v="626.22896639999999"/>
    <n v="0"/>
    <n v="249.60942528545729"/>
    <n v="617.78493839577504"/>
  </r>
  <r>
    <s v="Regular"/>
    <x v="1"/>
    <x v="0"/>
    <x v="5"/>
    <x v="0"/>
    <x v="0"/>
    <x v="0"/>
    <x v="0"/>
    <x v="4"/>
    <n v="0"/>
    <n v="0"/>
    <n v="3.8010000000000002"/>
    <n v="3.8010000000000002"/>
    <n v="3.8010000000000002"/>
    <n v="3.8010000000000002"/>
    <n v="0"/>
    <x v="0"/>
    <n v="0"/>
    <n v="0"/>
    <n v="20"/>
    <n v="66"/>
    <n v="0"/>
    <n v="66.595200000000006"/>
    <n v="272.98559999999998"/>
    <m/>
    <n v="108.80968844178609"/>
    <n v="269.30468107923934"/>
    <n v="0"/>
    <n v="253.12835520000004"/>
    <n v="1037.6182655999999"/>
    <n v="0"/>
    <n v="413.58562576722898"/>
    <n v="1023.6270927821888"/>
  </r>
  <r>
    <s v="Regular"/>
    <x v="1"/>
    <x v="0"/>
    <x v="5"/>
    <x v="0"/>
    <x v="0"/>
    <x v="0"/>
    <x v="0"/>
    <x v="1"/>
    <n v="0"/>
    <n v="0"/>
    <n v="3.0979999999999999"/>
    <n v="3.0979999999999999"/>
    <n v="3.0979999999999999"/>
    <n v="3.0979999999999999"/>
    <n v="0"/>
    <x v="0"/>
    <n v="0"/>
    <n v="0"/>
    <n v="20"/>
    <n v="66"/>
    <n v="0"/>
    <n v="66.595200000000006"/>
    <n v="272.98559999999998"/>
    <m/>
    <n v="108.80968844178609"/>
    <n v="269.30468107923934"/>
    <n v="0"/>
    <n v="206.31192960000001"/>
    <n v="845.70938879999994"/>
    <n v="0"/>
    <n v="337.0924147926533"/>
    <n v="834.30590198348341"/>
  </r>
  <r>
    <s v="Regular"/>
    <x v="1"/>
    <x v="0"/>
    <x v="5"/>
    <x v="0"/>
    <x v="0"/>
    <x v="0"/>
    <x v="0"/>
    <x v="2"/>
    <n v="0"/>
    <n v="0"/>
    <n v="2.2429999999999999"/>
    <n v="2.2429999999999999"/>
    <n v="2.2429999999999999"/>
    <n v="2.2429999999999999"/>
    <n v="0"/>
    <x v="0"/>
    <n v="0"/>
    <n v="0"/>
    <n v="20"/>
    <n v="66"/>
    <n v="0"/>
    <n v="66.595200000000006"/>
    <n v="272.98559999999998"/>
    <m/>
    <n v="108.80968844178609"/>
    <n v="269.30468107923934"/>
    <n v="0"/>
    <n v="149.37303360000001"/>
    <n v="612.30670079999993"/>
    <n v="0"/>
    <n v="244.0601311749262"/>
    <n v="604.05039966073377"/>
  </r>
  <r>
    <s v="Regular"/>
    <x v="1"/>
    <x v="0"/>
    <x v="5"/>
    <x v="0"/>
    <x v="0"/>
    <x v="0"/>
    <x v="0"/>
    <x v="5"/>
    <n v="0"/>
    <n v="0"/>
    <n v="2.492"/>
    <n v="2.492"/>
    <n v="2.492"/>
    <n v="2.492"/>
    <n v="0"/>
    <x v="0"/>
    <n v="0"/>
    <n v="0"/>
    <n v="20"/>
    <n v="66"/>
    <n v="0"/>
    <n v="66.595200000000006"/>
    <n v="272.98559999999998"/>
    <m/>
    <n v="108.80968844178609"/>
    <n v="269.30468107923934"/>
    <n v="0"/>
    <n v="165.95523840000001"/>
    <n v="680.28011519999995"/>
    <n v="0"/>
    <n v="271.15374359693095"/>
    <n v="671.10726524946449"/>
  </r>
  <r>
    <s v="Regular"/>
    <x v="1"/>
    <x v="0"/>
    <x v="5"/>
    <x v="0"/>
    <x v="0"/>
    <x v="0"/>
    <x v="1"/>
    <x v="6"/>
    <n v="98"/>
    <n v="98"/>
    <n v="0"/>
    <n v="0"/>
    <n v="0"/>
    <n v="0"/>
    <n v="2"/>
    <x v="0"/>
    <n v="0"/>
    <n v="18"/>
    <n v="0"/>
    <n v="0"/>
    <n v="11.9232"/>
    <n v="0"/>
    <n v="0"/>
    <n v="15.5493993530484"/>
    <m/>
    <m/>
    <n v="1168.4736"/>
    <n v="0"/>
    <n v="0"/>
    <n v="1523.8411365987433"/>
    <n v="0"/>
    <n v="0"/>
  </r>
  <r>
    <s v="Regular"/>
    <x v="1"/>
    <x v="0"/>
    <x v="5"/>
    <x v="0"/>
    <x v="0"/>
    <x v="0"/>
    <x v="1"/>
    <x v="7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8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9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10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11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3"/>
    <n v="37"/>
    <n v="37"/>
    <n v="0"/>
    <n v="0"/>
    <n v="0"/>
    <n v="0"/>
    <n v="2"/>
    <x v="0"/>
    <n v="0"/>
    <n v="18"/>
    <n v="0"/>
    <n v="0"/>
    <n v="11.9232"/>
    <n v="0"/>
    <n v="0"/>
    <n v="15.5493993530484"/>
    <m/>
    <m/>
    <n v="441.15839999999997"/>
    <n v="0"/>
    <n v="0"/>
    <n v="575.3277760627908"/>
    <n v="0"/>
    <n v="0"/>
  </r>
  <r>
    <s v="Regular"/>
    <x v="1"/>
    <x v="0"/>
    <x v="5"/>
    <x v="0"/>
    <x v="0"/>
    <x v="0"/>
    <x v="1"/>
    <x v="4"/>
    <n v="30"/>
    <n v="30"/>
    <n v="0"/>
    <n v="0"/>
    <n v="0"/>
    <n v="0"/>
    <n v="1"/>
    <x v="0"/>
    <n v="0"/>
    <n v="18"/>
    <n v="0"/>
    <n v="0"/>
    <n v="11.9232"/>
    <n v="0"/>
    <n v="0"/>
    <n v="15.5493993530484"/>
    <m/>
    <m/>
    <n v="357.69599999999997"/>
    <n v="0"/>
    <n v="0"/>
    <n v="466.48198059145204"/>
    <n v="0"/>
    <n v="0"/>
  </r>
  <r>
    <s v="Regular"/>
    <x v="1"/>
    <x v="0"/>
    <x v="5"/>
    <x v="0"/>
    <x v="0"/>
    <x v="0"/>
    <x v="1"/>
    <x v="1"/>
    <n v="30"/>
    <n v="30"/>
    <n v="0"/>
    <n v="0"/>
    <n v="0"/>
    <n v="0"/>
    <n v="1"/>
    <x v="0"/>
    <n v="0"/>
    <n v="18"/>
    <n v="0"/>
    <n v="0"/>
    <n v="11.9232"/>
    <n v="0"/>
    <n v="0"/>
    <n v="15.5493993530484"/>
    <m/>
    <m/>
    <n v="357.69599999999997"/>
    <n v="0"/>
    <n v="0"/>
    <n v="466.48198059145204"/>
    <n v="0"/>
    <n v="0"/>
  </r>
  <r>
    <s v="Regular"/>
    <x v="1"/>
    <x v="0"/>
    <x v="5"/>
    <x v="0"/>
    <x v="0"/>
    <x v="0"/>
    <x v="1"/>
    <x v="2"/>
    <n v="30"/>
    <n v="30"/>
    <n v="0"/>
    <n v="0"/>
    <n v="0"/>
    <n v="0"/>
    <n v="1"/>
    <x v="0"/>
    <n v="0"/>
    <n v="18"/>
    <n v="0"/>
    <n v="0"/>
    <n v="11.9232"/>
    <n v="0"/>
    <n v="0"/>
    <n v="15.5493993530484"/>
    <m/>
    <m/>
    <n v="357.69599999999997"/>
    <n v="0"/>
    <n v="0"/>
    <n v="466.48198059145204"/>
    <n v="0"/>
    <n v="0"/>
  </r>
  <r>
    <s v="Regular"/>
    <x v="1"/>
    <x v="0"/>
    <x v="5"/>
    <x v="0"/>
    <x v="0"/>
    <x v="0"/>
    <x v="1"/>
    <x v="5"/>
    <n v="30"/>
    <n v="30"/>
    <n v="0"/>
    <n v="0"/>
    <n v="0"/>
    <n v="0"/>
    <n v="1"/>
    <x v="0"/>
    <n v="0"/>
    <n v="18"/>
    <n v="0"/>
    <n v="0"/>
    <n v="11.9232"/>
    <n v="0"/>
    <n v="0"/>
    <n v="15.5493993530484"/>
    <m/>
    <m/>
    <n v="357.69599999999997"/>
    <n v="0"/>
    <n v="0"/>
    <n v="466.48198059145204"/>
    <n v="0"/>
    <n v="0"/>
  </r>
  <r>
    <s v="Regular"/>
    <x v="1"/>
    <x v="0"/>
    <x v="5"/>
    <x v="0"/>
    <x v="0"/>
    <x v="0"/>
    <x v="2"/>
    <x v="6"/>
    <n v="0"/>
    <n v="0"/>
    <n v="0.33300000000000002"/>
    <n v="0.33300000000000002"/>
    <n v="0.33300000000000002"/>
    <n v="0.33300000000000002"/>
    <n v="0"/>
    <x v="0"/>
    <n v="0"/>
    <n v="0"/>
    <n v="19"/>
    <n v="65"/>
    <n v="0"/>
    <n v="808.61759999999992"/>
    <n v="436.70399999999995"/>
    <m/>
    <n v="1087.0130021269249"/>
    <n v="421.94526214671799"/>
    <n v="0"/>
    <n v="269.2696608"/>
    <n v="145.42243199999999"/>
    <n v="0"/>
    <n v="361.97532970826603"/>
    <n v="140.50777229485709"/>
  </r>
  <r>
    <s v="Regular"/>
    <x v="1"/>
    <x v="0"/>
    <x v="5"/>
    <x v="0"/>
    <x v="0"/>
    <x v="0"/>
    <x v="2"/>
    <x v="7"/>
    <n v="0"/>
    <n v="0"/>
    <n v="0.39800000000000002"/>
    <n v="0.39800000000000002"/>
    <n v="0.39800000000000002"/>
    <n v="0.39800000000000002"/>
    <n v="0"/>
    <x v="0"/>
    <n v="0"/>
    <n v="0"/>
    <n v="19"/>
    <n v="65"/>
    <n v="0"/>
    <n v="808.61759999999992"/>
    <n v="436.70399999999995"/>
    <m/>
    <n v="1087.0130021269249"/>
    <n v="421.94526214671799"/>
    <n v="0"/>
    <n v="321.82980479999998"/>
    <n v="173.80819199999999"/>
    <n v="0"/>
    <n v="432.63117484651616"/>
    <n v="167.93421433439377"/>
  </r>
  <r>
    <s v="Regular"/>
    <x v="1"/>
    <x v="0"/>
    <x v="5"/>
    <x v="0"/>
    <x v="0"/>
    <x v="0"/>
    <x v="2"/>
    <x v="8"/>
    <n v="0"/>
    <n v="0"/>
    <n v="0.35799999999999998"/>
    <n v="0.35799999999999998"/>
    <n v="0.35799999999999998"/>
    <n v="0.35799999999999998"/>
    <n v="0"/>
    <x v="0"/>
    <n v="0"/>
    <n v="0"/>
    <n v="19"/>
    <n v="65"/>
    <n v="0"/>
    <n v="808.61759999999992"/>
    <n v="436.70399999999995"/>
    <m/>
    <n v="1087.0130021269249"/>
    <n v="421.94526214671799"/>
    <n v="0"/>
    <n v="289.48510079999994"/>
    <n v="156.34003199999998"/>
    <n v="0"/>
    <n v="389.15065476143911"/>
    <n v="151.05640384852504"/>
  </r>
  <r>
    <s v="Regular"/>
    <x v="1"/>
    <x v="0"/>
    <x v="5"/>
    <x v="0"/>
    <x v="0"/>
    <x v="0"/>
    <x v="2"/>
    <x v="9"/>
    <n v="0"/>
    <n v="0"/>
    <n v="0.371"/>
    <n v="0.371"/>
    <n v="0.371"/>
    <n v="0.371"/>
    <n v="0"/>
    <x v="0"/>
    <n v="0"/>
    <n v="0"/>
    <n v="19"/>
    <n v="65"/>
    <n v="0"/>
    <n v="808.61759999999992"/>
    <n v="436.70399999999995"/>
    <m/>
    <n v="1087.0130021269249"/>
    <n v="421.94526214671799"/>
    <n v="0"/>
    <n v="299.99712959999999"/>
    <n v="162.01718399999999"/>
    <n v="0"/>
    <n v="403.28182378908912"/>
    <n v="156.54169225643238"/>
  </r>
  <r>
    <s v="Regular"/>
    <x v="1"/>
    <x v="0"/>
    <x v="5"/>
    <x v="0"/>
    <x v="0"/>
    <x v="0"/>
    <x v="2"/>
    <x v="10"/>
    <n v="0"/>
    <n v="0"/>
    <n v="0.34499999999999997"/>
    <n v="0.34499999999999997"/>
    <n v="0.34499999999999997"/>
    <n v="0.34499999999999997"/>
    <n v="0"/>
    <x v="0"/>
    <n v="0"/>
    <n v="0"/>
    <n v="19"/>
    <n v="65"/>
    <n v="0"/>
    <n v="808.61759999999992"/>
    <n v="436.70399999999995"/>
    <m/>
    <n v="1087.0130021269249"/>
    <n v="421.94526214671799"/>
    <n v="0"/>
    <n v="278.97307199999995"/>
    <n v="150.66287999999997"/>
    <n v="0"/>
    <n v="375.01948573378905"/>
    <n v="145.57111544061769"/>
  </r>
  <r>
    <s v="Regular"/>
    <x v="1"/>
    <x v="0"/>
    <x v="5"/>
    <x v="0"/>
    <x v="0"/>
    <x v="0"/>
    <x v="2"/>
    <x v="11"/>
    <n v="0"/>
    <n v="0"/>
    <n v="0.34399999999999997"/>
    <n v="0.34399999999999997"/>
    <n v="0.34399999999999997"/>
    <n v="0.34399999999999997"/>
    <n v="0"/>
    <x v="0"/>
    <n v="0"/>
    <n v="0"/>
    <n v="19"/>
    <n v="65"/>
    <n v="0"/>
    <n v="808.61759999999992"/>
    <n v="436.70399999999995"/>
    <m/>
    <n v="1087.0130021269249"/>
    <n v="421.94526214671799"/>
    <n v="0"/>
    <n v="278.16445439999995"/>
    <n v="150.22617599999998"/>
    <n v="0"/>
    <n v="373.93247273166213"/>
    <n v="145.14917017847097"/>
  </r>
  <r>
    <s v="Regular"/>
    <x v="1"/>
    <x v="0"/>
    <x v="5"/>
    <x v="0"/>
    <x v="0"/>
    <x v="0"/>
    <x v="2"/>
    <x v="3"/>
    <n v="0"/>
    <n v="0"/>
    <n v="0.31"/>
    <n v="0.31"/>
    <n v="0.31"/>
    <n v="0.31"/>
    <n v="0"/>
    <x v="0"/>
    <n v="0"/>
    <n v="0"/>
    <n v="19"/>
    <n v="65"/>
    <n v="0"/>
    <n v="808.61759999999992"/>
    <n v="436.70399999999995"/>
    <m/>
    <n v="1087.0130021269249"/>
    <n v="421.94526214671799"/>
    <n v="0"/>
    <n v="250.67145599999998"/>
    <n v="135.37823999999998"/>
    <n v="0"/>
    <n v="336.97403065934674"/>
    <n v="130.80303126548259"/>
  </r>
  <r>
    <s v="Regular"/>
    <x v="1"/>
    <x v="0"/>
    <x v="5"/>
    <x v="0"/>
    <x v="0"/>
    <x v="0"/>
    <x v="2"/>
    <x v="4"/>
    <n v="0"/>
    <n v="0"/>
    <n v="0.49299999999999999"/>
    <n v="0.49299999999999999"/>
    <n v="0.49299999999999999"/>
    <n v="0.49299999999999999"/>
    <n v="0"/>
    <x v="0"/>
    <n v="0"/>
    <n v="0"/>
    <n v="19"/>
    <n v="65"/>
    <n v="0"/>
    <n v="808.61759999999992"/>
    <n v="436.70399999999995"/>
    <m/>
    <n v="1087.0130021269249"/>
    <n v="421.94526214671799"/>
    <n v="0"/>
    <n v="398.64847679999997"/>
    <n v="215.29507199999998"/>
    <n v="0"/>
    <n v="535.89741004857399"/>
    <n v="208.01901423833198"/>
  </r>
  <r>
    <s v="Regular"/>
    <x v="1"/>
    <x v="0"/>
    <x v="5"/>
    <x v="0"/>
    <x v="0"/>
    <x v="0"/>
    <x v="2"/>
    <x v="1"/>
    <n v="0"/>
    <n v="0"/>
    <n v="0.34200000000000003"/>
    <n v="0.34200000000000003"/>
    <n v="0.34200000000000003"/>
    <n v="0.34200000000000003"/>
    <n v="0"/>
    <x v="0"/>
    <n v="0"/>
    <n v="0"/>
    <n v="19"/>
    <n v="65"/>
    <n v="0"/>
    <n v="808.61759999999992"/>
    <n v="436.70399999999995"/>
    <m/>
    <n v="1087.0130021269249"/>
    <n v="421.94526214671799"/>
    <n v="0"/>
    <n v="276.54721919999997"/>
    <n v="149.352768"/>
    <n v="0"/>
    <n v="371.75844672740834"/>
    <n v="144.30527965417755"/>
  </r>
  <r>
    <s v="Regular"/>
    <x v="1"/>
    <x v="0"/>
    <x v="5"/>
    <x v="0"/>
    <x v="0"/>
    <x v="0"/>
    <x v="2"/>
    <x v="2"/>
    <n v="0"/>
    <n v="0"/>
    <n v="0.27100000000000002"/>
    <n v="0.27100000000000002"/>
    <n v="0.27100000000000002"/>
    <n v="0.27100000000000002"/>
    <n v="0"/>
    <x v="0"/>
    <n v="0"/>
    <n v="0"/>
    <n v="19"/>
    <n v="65"/>
    <n v="0"/>
    <n v="808.61759999999992"/>
    <n v="436.70399999999995"/>
    <m/>
    <n v="1087.0130021269249"/>
    <n v="421.94526214671799"/>
    <n v="0"/>
    <n v="219.13536959999999"/>
    <n v="118.346784"/>
    <n v="0"/>
    <n v="294.58052357639667"/>
    <n v="114.34716604176059"/>
  </r>
  <r>
    <s v="Regular"/>
    <x v="1"/>
    <x v="0"/>
    <x v="5"/>
    <x v="0"/>
    <x v="0"/>
    <x v="0"/>
    <x v="2"/>
    <x v="5"/>
    <n v="0"/>
    <n v="0"/>
    <n v="0.33300000000000002"/>
    <n v="0.33300000000000002"/>
    <n v="0.33300000000000002"/>
    <n v="0.33300000000000002"/>
    <n v="0"/>
    <x v="0"/>
    <n v="0"/>
    <n v="0"/>
    <n v="19"/>
    <n v="65"/>
    <n v="0"/>
    <n v="808.61759999999992"/>
    <n v="436.70399999999995"/>
    <m/>
    <n v="1087.0130021269249"/>
    <n v="421.94526214671799"/>
    <n v="0"/>
    <n v="269.2696608"/>
    <n v="145.42243199999999"/>
    <n v="0"/>
    <n v="361.97532970826603"/>
    <n v="140.50777229485709"/>
  </r>
  <r>
    <s v="Regular"/>
    <x v="1"/>
    <x v="0"/>
    <x v="3"/>
    <x v="1"/>
    <x v="0"/>
    <x v="0"/>
    <x v="0"/>
    <x v="6"/>
    <n v="0"/>
    <n v="0"/>
    <n v="392.327"/>
    <n v="392.327"/>
    <n v="392.327"/>
    <n v="392.327"/>
    <n v="0"/>
    <x v="0"/>
    <n v="0"/>
    <n v="0"/>
    <n v="20"/>
    <n v="66"/>
    <n v="0"/>
    <n v="65.207800000000006"/>
    <n v="267.29840000000002"/>
    <m/>
    <n v="107.69938549850256"/>
    <n v="266.55667412945121"/>
    <n v="0"/>
    <n v="25582.7805506"/>
    <n v="104868.3793768"/>
    <n v="0"/>
    <n v="42253.376814471012"/>
    <n v="104577.38029118521"/>
  </r>
  <r>
    <s v="Regular"/>
    <x v="1"/>
    <x v="0"/>
    <x v="3"/>
    <x v="1"/>
    <x v="0"/>
    <x v="0"/>
    <x v="0"/>
    <x v="7"/>
    <n v="0"/>
    <n v="0"/>
    <n v="387.32"/>
    <n v="387.32"/>
    <n v="387.32"/>
    <n v="387.32"/>
    <n v="0"/>
    <x v="0"/>
    <n v="0"/>
    <n v="0"/>
    <n v="20"/>
    <n v="66"/>
    <n v="0"/>
    <n v="65.207800000000006"/>
    <n v="267.29840000000002"/>
    <m/>
    <n v="107.69938549850256"/>
    <n v="266.55667412945121"/>
    <n v="0"/>
    <n v="25256.285096000003"/>
    <n v="103530.016288"/>
    <n v="0"/>
    <n v="41714.125991280016"/>
    <n v="103242.73102381904"/>
  </r>
  <r>
    <s v="Regular"/>
    <x v="1"/>
    <x v="0"/>
    <x v="3"/>
    <x v="1"/>
    <x v="0"/>
    <x v="0"/>
    <x v="0"/>
    <x v="8"/>
    <n v="0"/>
    <n v="0"/>
    <n v="393.12599999999998"/>
    <n v="393.12599999999998"/>
    <n v="393.12599999999998"/>
    <n v="393.12599999999998"/>
    <n v="0"/>
    <x v="0"/>
    <n v="0"/>
    <n v="0"/>
    <n v="20"/>
    <n v="66"/>
    <n v="0"/>
    <n v="65.207800000000006"/>
    <n v="267.29840000000002"/>
    <m/>
    <n v="107.69938549850256"/>
    <n v="266.55667412945121"/>
    <n v="0"/>
    <n v="25634.881582800001"/>
    <n v="105081.95079839999"/>
    <n v="0"/>
    <n v="42339.428623484317"/>
    <n v="104790.35907381463"/>
  </r>
  <r>
    <s v="Regular"/>
    <x v="1"/>
    <x v="0"/>
    <x v="3"/>
    <x v="1"/>
    <x v="0"/>
    <x v="0"/>
    <x v="0"/>
    <x v="9"/>
    <n v="0"/>
    <n v="0"/>
    <n v="388.779"/>
    <n v="388.779"/>
    <n v="388.779"/>
    <n v="388.779"/>
    <n v="0"/>
    <x v="0"/>
    <n v="0"/>
    <n v="0"/>
    <n v="20"/>
    <n v="66"/>
    <n v="0"/>
    <n v="65.207800000000006"/>
    <n v="267.29840000000002"/>
    <m/>
    <n v="107.69938549850256"/>
    <n v="266.55667412945121"/>
    <n v="0"/>
    <n v="25351.423276200003"/>
    <n v="103920.0046536"/>
    <n v="0"/>
    <n v="41871.259394722329"/>
    <n v="103631.63721137391"/>
  </r>
  <r>
    <s v="Regular"/>
    <x v="1"/>
    <x v="0"/>
    <x v="3"/>
    <x v="1"/>
    <x v="0"/>
    <x v="0"/>
    <x v="0"/>
    <x v="10"/>
    <n v="0"/>
    <n v="0"/>
    <n v="389.73399999999998"/>
    <n v="389.73399999999998"/>
    <n v="389.73399999999998"/>
    <n v="389.73399999999998"/>
    <n v="0"/>
    <x v="0"/>
    <n v="0"/>
    <n v="0"/>
    <n v="20"/>
    <n v="66"/>
    <n v="0"/>
    <n v="65.207800000000006"/>
    <n v="267.29840000000002"/>
    <m/>
    <n v="107.69938549850256"/>
    <n v="266.55667412945121"/>
    <n v="0"/>
    <n v="25413.696725199999"/>
    <n v="104175.2746256"/>
    <n v="0"/>
    <n v="41974.112307873394"/>
    <n v="103886.19883516754"/>
  </r>
  <r>
    <s v="Regular"/>
    <x v="1"/>
    <x v="0"/>
    <x v="3"/>
    <x v="1"/>
    <x v="0"/>
    <x v="0"/>
    <x v="0"/>
    <x v="11"/>
    <n v="0"/>
    <n v="0"/>
    <n v="397.99599999999998"/>
    <n v="397.99599999999998"/>
    <n v="397.99599999999998"/>
    <n v="397.99599999999998"/>
    <n v="0"/>
    <x v="0"/>
    <n v="0"/>
    <n v="0"/>
    <n v="20"/>
    <n v="66"/>
    <n v="0"/>
    <n v="65.207800000000006"/>
    <n v="267.29840000000002"/>
    <m/>
    <n v="107.69938549850256"/>
    <n v="266.55667412945121"/>
    <n v="0"/>
    <n v="25952.443568800001"/>
    <n v="106383.69400639999"/>
    <n v="0"/>
    <n v="42863.924630862028"/>
    <n v="106088.49007682505"/>
  </r>
  <r>
    <s v="Regular"/>
    <x v="1"/>
    <x v="0"/>
    <x v="3"/>
    <x v="1"/>
    <x v="0"/>
    <x v="0"/>
    <x v="0"/>
    <x v="3"/>
    <n v="0"/>
    <n v="0"/>
    <n v="428.596"/>
    <n v="428.596"/>
    <n v="428.596"/>
    <n v="428.596"/>
    <n v="0"/>
    <x v="0"/>
    <n v="0"/>
    <n v="0"/>
    <n v="20"/>
    <n v="66"/>
    <n v="0"/>
    <n v="65.207800000000006"/>
    <n v="267.29840000000002"/>
    <m/>
    <n v="107.69938549850256"/>
    <n v="266.55667412945121"/>
    <n v="0"/>
    <n v="27947.802248800002"/>
    <n v="114563.02504640001"/>
    <n v="0"/>
    <n v="46159.525827116209"/>
    <n v="114245.12430518627"/>
  </r>
  <r>
    <s v="Regular"/>
    <x v="1"/>
    <x v="0"/>
    <x v="3"/>
    <x v="1"/>
    <x v="0"/>
    <x v="0"/>
    <x v="0"/>
    <x v="0"/>
    <n v="0"/>
    <n v="0"/>
    <n v="447.78"/>
    <n v="447.78"/>
    <n v="447.78"/>
    <n v="447.78"/>
    <n v="0"/>
    <x v="0"/>
    <n v="0"/>
    <n v="0"/>
    <n v="20"/>
    <n v="66"/>
    <n v="0"/>
    <n v="65.207800000000006"/>
    <n v="267.29840000000002"/>
    <m/>
    <n v="107.69938549850256"/>
    <n v="266.55667412945121"/>
    <n v="0"/>
    <n v="29198.748684000002"/>
    <n v="119690.87755200001"/>
    <n v="0"/>
    <n v="48225.630838519479"/>
    <n v="119358.74754168566"/>
  </r>
  <r>
    <s v="Regular"/>
    <x v="1"/>
    <x v="0"/>
    <x v="3"/>
    <x v="1"/>
    <x v="0"/>
    <x v="0"/>
    <x v="0"/>
    <x v="4"/>
    <n v="0"/>
    <n v="0"/>
    <n v="417.27699999999999"/>
    <n v="417.27699999999999"/>
    <n v="417.27699999999999"/>
    <n v="417.27699999999999"/>
    <n v="0"/>
    <x v="0"/>
    <n v="0"/>
    <n v="0"/>
    <n v="20"/>
    <n v="66"/>
    <n v="0"/>
    <n v="65.207800000000006"/>
    <n v="267.29840000000002"/>
    <m/>
    <n v="107.69938549850256"/>
    <n v="266.55667412945121"/>
    <n v="0"/>
    <n v="27209.715160600001"/>
    <n v="111537.4744568"/>
    <n v="0"/>
    <n v="44940.476482658654"/>
    <n v="111227.96931071501"/>
  </r>
  <r>
    <s v="Regular"/>
    <x v="1"/>
    <x v="0"/>
    <x v="3"/>
    <x v="1"/>
    <x v="0"/>
    <x v="0"/>
    <x v="0"/>
    <x v="1"/>
    <n v="0"/>
    <n v="0"/>
    <n v="385.72699999999998"/>
    <n v="385.72699999999998"/>
    <n v="385.72699999999998"/>
    <n v="385.72699999999998"/>
    <n v="0"/>
    <x v="0"/>
    <n v="0"/>
    <n v="0"/>
    <n v="20"/>
    <n v="66"/>
    <n v="0"/>
    <n v="65.207800000000006"/>
    <n v="267.29840000000002"/>
    <m/>
    <n v="107.69938549850256"/>
    <n v="266.55667412945121"/>
    <n v="0"/>
    <n v="25152.409070600002"/>
    <n v="103104.20993680001"/>
    <n v="0"/>
    <n v="41542.560870180896"/>
    <n v="102818.10624193081"/>
  </r>
  <r>
    <s v="Regular"/>
    <x v="1"/>
    <x v="0"/>
    <x v="3"/>
    <x v="1"/>
    <x v="0"/>
    <x v="0"/>
    <x v="0"/>
    <x v="2"/>
    <n v="0"/>
    <n v="0"/>
    <n v="450.798"/>
    <n v="450.798"/>
    <n v="450.798"/>
    <n v="450.798"/>
    <n v="0"/>
    <x v="0"/>
    <n v="0"/>
    <n v="0"/>
    <n v="20"/>
    <n v="66"/>
    <n v="0"/>
    <n v="65.207800000000006"/>
    <n v="267.29840000000002"/>
    <m/>
    <n v="107.69938549850256"/>
    <n v="266.55667412945121"/>
    <n v="0"/>
    <n v="29395.545824400004"/>
    <n v="120497.58412320001"/>
    <n v="0"/>
    <n v="48550.66758395396"/>
    <n v="120163.21558420834"/>
  </r>
  <r>
    <s v="Regular"/>
    <x v="1"/>
    <x v="0"/>
    <x v="3"/>
    <x v="1"/>
    <x v="0"/>
    <x v="0"/>
    <x v="0"/>
    <x v="5"/>
    <n v="0"/>
    <n v="0"/>
    <n v="444.18599999999998"/>
    <n v="444.18599999999998"/>
    <n v="444.18599999999998"/>
    <n v="444.18599999999998"/>
    <n v="0"/>
    <x v="0"/>
    <n v="0"/>
    <n v="0"/>
    <n v="20"/>
    <n v="66"/>
    <n v="0"/>
    <n v="65.207800000000006"/>
    <n v="267.29840000000002"/>
    <m/>
    <n v="107.69938549850256"/>
    <n v="266.55667412945121"/>
    <n v="0"/>
    <n v="28964.391850800002"/>
    <n v="118730.2071024"/>
    <n v="0"/>
    <n v="47838.559247037861"/>
    <n v="118400.74285486441"/>
  </r>
  <r>
    <s v="Regular"/>
    <x v="1"/>
    <x v="0"/>
    <x v="3"/>
    <x v="1"/>
    <x v="0"/>
    <x v="0"/>
    <x v="1"/>
    <x v="6"/>
    <n v="1428"/>
    <n v="1428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71.614399999999"/>
    <n v="0"/>
    <n v="0"/>
    <n v="21977.965314151556"/>
    <n v="0"/>
    <n v="0"/>
  </r>
  <r>
    <s v="Regular"/>
    <x v="1"/>
    <x v="0"/>
    <x v="3"/>
    <x v="1"/>
    <x v="0"/>
    <x v="0"/>
    <x v="1"/>
    <x v="7"/>
    <n v="1416"/>
    <n v="1416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531.516799999998"/>
    <n v="0"/>
    <n v="0"/>
    <n v="21793.276529999021"/>
    <n v="0"/>
    <n v="0"/>
  </r>
  <r>
    <s v="Regular"/>
    <x v="1"/>
    <x v="0"/>
    <x v="3"/>
    <x v="1"/>
    <x v="0"/>
    <x v="0"/>
    <x v="1"/>
    <x v="8"/>
    <n v="1427"/>
    <n v="1427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59.939599999998"/>
    <n v="0"/>
    <n v="0"/>
    <n v="21962.574582138845"/>
    <n v="0"/>
    <n v="0"/>
  </r>
  <r>
    <s v="Regular"/>
    <x v="1"/>
    <x v="0"/>
    <x v="3"/>
    <x v="1"/>
    <x v="0"/>
    <x v="0"/>
    <x v="1"/>
    <x v="9"/>
    <n v="1372"/>
    <n v="1372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017.825599999998"/>
    <n v="0"/>
    <n v="0"/>
    <n v="21116.084321439728"/>
    <n v="0"/>
    <n v="0"/>
  </r>
  <r>
    <s v="Regular"/>
    <x v="1"/>
    <x v="0"/>
    <x v="3"/>
    <x v="1"/>
    <x v="0"/>
    <x v="0"/>
    <x v="1"/>
    <x v="10"/>
    <n v="1428"/>
    <n v="1428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71.614399999999"/>
    <n v="0"/>
    <n v="0"/>
    <n v="21977.965314151556"/>
    <n v="0"/>
    <n v="0"/>
  </r>
  <r>
    <s v="Regular"/>
    <x v="1"/>
    <x v="0"/>
    <x v="3"/>
    <x v="1"/>
    <x v="0"/>
    <x v="0"/>
    <x v="1"/>
    <x v="11"/>
    <n v="1394"/>
    <n v="1394"/>
    <n v="0"/>
    <n v="0"/>
    <n v="0"/>
    <n v="0"/>
    <n v="10"/>
    <x v="0"/>
    <n v="0"/>
    <n v="18"/>
    <n v="0"/>
    <n v="0"/>
    <n v="11.674799999999999"/>
    <n v="0"/>
    <n v="0"/>
    <n v="15.390732012711172"/>
    <m/>
    <m/>
    <n v="16274.671199999999"/>
    <n v="0"/>
    <n v="0"/>
    <n v="21454.680425719373"/>
    <n v="0"/>
    <n v="0"/>
  </r>
  <r>
    <s v="Regular"/>
    <x v="1"/>
    <x v="0"/>
    <x v="3"/>
    <x v="1"/>
    <x v="0"/>
    <x v="0"/>
    <x v="1"/>
    <x v="3"/>
    <n v="1422"/>
    <n v="1422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01.565599999998"/>
    <n v="0"/>
    <n v="0"/>
    <n v="21885.620922075286"/>
    <n v="0"/>
    <n v="0"/>
  </r>
  <r>
    <s v="Regular"/>
    <x v="1"/>
    <x v="0"/>
    <x v="3"/>
    <x v="1"/>
    <x v="0"/>
    <x v="0"/>
    <x v="1"/>
    <x v="0"/>
    <n v="1419"/>
    <n v="1419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566.5412"/>
    <n v="0"/>
    <n v="0"/>
    <n v="21839.448726037153"/>
    <n v="0"/>
    <n v="0"/>
  </r>
  <r>
    <s v="Regular"/>
    <x v="1"/>
    <x v="0"/>
    <x v="3"/>
    <x v="1"/>
    <x v="0"/>
    <x v="0"/>
    <x v="1"/>
    <x v="4"/>
    <n v="1408"/>
    <n v="1408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438.118399999999"/>
    <n v="0"/>
    <n v="0"/>
    <n v="21670.150673897329"/>
    <n v="0"/>
    <n v="0"/>
  </r>
  <r>
    <s v="Regular"/>
    <x v="1"/>
    <x v="0"/>
    <x v="3"/>
    <x v="1"/>
    <x v="0"/>
    <x v="0"/>
    <x v="1"/>
    <x v="1"/>
    <n v="1384"/>
    <n v="1384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157.923199999999"/>
    <n v="0"/>
    <n v="0"/>
    <n v="21300.773105592263"/>
    <n v="0"/>
    <n v="0"/>
  </r>
  <r>
    <s v="Regular"/>
    <x v="1"/>
    <x v="0"/>
    <x v="3"/>
    <x v="1"/>
    <x v="0"/>
    <x v="0"/>
    <x v="1"/>
    <x v="2"/>
    <n v="1423"/>
    <n v="1423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13.240399999999"/>
    <n v="0"/>
    <n v="0"/>
    <n v="21901.011654087997"/>
    <n v="0"/>
    <n v="0"/>
  </r>
  <r>
    <s v="Regular"/>
    <x v="1"/>
    <x v="0"/>
    <x v="3"/>
    <x v="1"/>
    <x v="0"/>
    <x v="0"/>
    <x v="1"/>
    <x v="5"/>
    <n v="1426"/>
    <n v="1426"/>
    <n v="0"/>
    <n v="0"/>
    <n v="0"/>
    <n v="0"/>
    <n v="11"/>
    <x v="0"/>
    <n v="0"/>
    <n v="18"/>
    <n v="0"/>
    <n v="0"/>
    <n v="11.674799999999999"/>
    <n v="0"/>
    <n v="0"/>
    <n v="15.390732012711172"/>
    <m/>
    <m/>
    <n v="16648.264800000001"/>
    <n v="0"/>
    <n v="0"/>
    <n v="21947.183850126134"/>
    <n v="0"/>
    <n v="0"/>
  </r>
  <r>
    <s v="Regular"/>
    <x v="1"/>
    <x v="0"/>
    <x v="3"/>
    <x v="1"/>
    <x v="0"/>
    <x v="0"/>
    <x v="2"/>
    <x v="6"/>
    <n v="0"/>
    <n v="0"/>
    <n v="44.351999999999997"/>
    <n v="44.351999999999997"/>
    <n v="44.351999999999997"/>
    <n v="44.351999999999997"/>
    <n v="0"/>
    <x v="0"/>
    <n v="0"/>
    <n v="0"/>
    <n v="19"/>
    <n v="65"/>
    <n v="0"/>
    <n v="791.77139999999986"/>
    <n v="427.60599999999994"/>
    <m/>
    <n v="1075.9210327174665"/>
    <n v="417.63969824726166"/>
    <n v="0"/>
    <n v="35116.645132799989"/>
    <n v="18965.181311999997"/>
    <n v="0"/>
    <n v="47719.249643085066"/>
    <n v="18523.155896662549"/>
  </r>
  <r>
    <s v="Regular"/>
    <x v="1"/>
    <x v="0"/>
    <x v="3"/>
    <x v="1"/>
    <x v="0"/>
    <x v="0"/>
    <x v="2"/>
    <x v="7"/>
    <n v="0"/>
    <n v="0"/>
    <n v="41.981000000000002"/>
    <n v="41.981000000000002"/>
    <n v="41.981000000000002"/>
    <n v="41.981000000000002"/>
    <n v="0"/>
    <x v="0"/>
    <n v="0"/>
    <n v="0"/>
    <n v="19"/>
    <n v="65"/>
    <n v="0"/>
    <n v="791.77139999999986"/>
    <n v="427.60599999999994"/>
    <m/>
    <n v="1075.9210327174665"/>
    <n v="417.63969824726166"/>
    <n v="0"/>
    <n v="33239.355143399996"/>
    <n v="17951.327485999998"/>
    <n v="0"/>
    <n v="45168.240874511961"/>
    <n v="17532.932172118293"/>
  </r>
  <r>
    <s v="Regular"/>
    <x v="1"/>
    <x v="0"/>
    <x v="3"/>
    <x v="1"/>
    <x v="0"/>
    <x v="0"/>
    <x v="2"/>
    <x v="8"/>
    <n v="0"/>
    <n v="0"/>
    <n v="45.158000000000001"/>
    <n v="45.158000000000001"/>
    <n v="45.158000000000001"/>
    <n v="45.158000000000001"/>
    <n v="0"/>
    <x v="0"/>
    <n v="0"/>
    <n v="0"/>
    <n v="19"/>
    <n v="65"/>
    <n v="0"/>
    <n v="791.77139999999986"/>
    <n v="427.60599999999994"/>
    <m/>
    <n v="1075.9210327174665"/>
    <n v="417.63969824726166"/>
    <n v="0"/>
    <n v="35754.812881199992"/>
    <n v="19309.831747999997"/>
    <n v="0"/>
    <n v="48586.441995455352"/>
    <n v="18859.773493449844"/>
  </r>
  <r>
    <s v="Regular"/>
    <x v="1"/>
    <x v="0"/>
    <x v="3"/>
    <x v="1"/>
    <x v="0"/>
    <x v="0"/>
    <x v="2"/>
    <x v="9"/>
    <n v="0"/>
    <n v="0"/>
    <n v="42.091000000000001"/>
    <n v="42.091000000000001"/>
    <n v="42.091000000000001"/>
    <n v="42.091000000000001"/>
    <n v="0"/>
    <x v="0"/>
    <n v="0"/>
    <n v="0"/>
    <n v="19"/>
    <n v="65"/>
    <n v="0"/>
    <n v="791.77139999999986"/>
    <n v="427.60599999999994"/>
    <m/>
    <n v="1075.9210327174665"/>
    <n v="417.63969824726166"/>
    <n v="0"/>
    <n v="33326.449997399992"/>
    <n v="17998.364145999996"/>
    <n v="0"/>
    <n v="45286.592188110881"/>
    <n v="17578.872538925491"/>
  </r>
  <r>
    <s v="Regular"/>
    <x v="1"/>
    <x v="0"/>
    <x v="3"/>
    <x v="1"/>
    <x v="0"/>
    <x v="0"/>
    <x v="2"/>
    <x v="10"/>
    <n v="0"/>
    <n v="0"/>
    <n v="43.345999999999997"/>
    <n v="43.345999999999997"/>
    <n v="43.345999999999997"/>
    <n v="43.345999999999997"/>
    <n v="0"/>
    <x v="0"/>
    <n v="0"/>
    <n v="0"/>
    <n v="19"/>
    <n v="65"/>
    <n v="0"/>
    <n v="791.77139999999986"/>
    <n v="427.60599999999994"/>
    <m/>
    <n v="1075.9210327174665"/>
    <n v="417.63969824726166"/>
    <n v="0"/>
    <n v="34320.123104399994"/>
    <n v="18535.009675999994"/>
    <n v="0"/>
    <n v="46636.873084171297"/>
    <n v="18103.010360225802"/>
  </r>
  <r>
    <s v="Regular"/>
    <x v="1"/>
    <x v="0"/>
    <x v="3"/>
    <x v="1"/>
    <x v="0"/>
    <x v="0"/>
    <x v="2"/>
    <x v="11"/>
    <n v="0"/>
    <n v="0"/>
    <n v="44.795999999999999"/>
    <n v="44.795999999999999"/>
    <n v="44.795999999999999"/>
    <n v="44.795999999999999"/>
    <n v="0"/>
    <x v="0"/>
    <n v="0"/>
    <n v="0"/>
    <n v="19"/>
    <n v="65"/>
    <n v="0"/>
    <n v="791.77139999999986"/>
    <n v="427.60599999999994"/>
    <m/>
    <n v="1075.9210327174665"/>
    <n v="417.63969824726166"/>
    <n v="0"/>
    <n v="35468.191634399991"/>
    <n v="19155.038375999997"/>
    <n v="0"/>
    <n v="48196.958581611623"/>
    <n v="18708.587922684332"/>
  </r>
  <r>
    <s v="Regular"/>
    <x v="1"/>
    <x v="0"/>
    <x v="3"/>
    <x v="1"/>
    <x v="0"/>
    <x v="0"/>
    <x v="2"/>
    <x v="3"/>
    <n v="0"/>
    <n v="0"/>
    <n v="52.677"/>
    <n v="52.677"/>
    <n v="52.677"/>
    <n v="52.677"/>
    <n v="0"/>
    <x v="0"/>
    <n v="0"/>
    <n v="0"/>
    <n v="19"/>
    <n v="65"/>
    <n v="0"/>
    <n v="791.77139999999986"/>
    <n v="427.60599999999994"/>
    <m/>
    <n v="1075.9210327174665"/>
    <n v="417.63969824726166"/>
    <n v="0"/>
    <n v="41708.142037799989"/>
    <n v="22525.001261999998"/>
    <n v="0"/>
    <n v="56676.29224045798"/>
    <n v="22000.006384571003"/>
  </r>
  <r>
    <s v="Regular"/>
    <x v="1"/>
    <x v="0"/>
    <x v="3"/>
    <x v="1"/>
    <x v="0"/>
    <x v="0"/>
    <x v="2"/>
    <x v="0"/>
    <n v="0"/>
    <n v="0"/>
    <n v="49.811999999999998"/>
    <n v="49.811999999999998"/>
    <n v="49.811999999999998"/>
    <n v="49.811999999999998"/>
    <n v="0"/>
    <x v="0"/>
    <n v="0"/>
    <n v="0"/>
    <n v="19"/>
    <n v="65"/>
    <n v="0"/>
    <n v="791.77139999999986"/>
    <n v="427.60599999999994"/>
    <m/>
    <n v="1075.9210327174665"/>
    <n v="417.63969824726166"/>
    <n v="0"/>
    <n v="39439.716976799988"/>
    <n v="21299.910071999995"/>
    <n v="0"/>
    <n v="53593.778481722438"/>
    <n v="20803.468649092596"/>
  </r>
  <r>
    <s v="Regular"/>
    <x v="1"/>
    <x v="0"/>
    <x v="3"/>
    <x v="1"/>
    <x v="0"/>
    <x v="0"/>
    <x v="2"/>
    <x v="4"/>
    <n v="0"/>
    <n v="0"/>
    <n v="47.137999999999998"/>
    <n v="47.137999999999998"/>
    <n v="47.137999999999998"/>
    <n v="47.137999999999998"/>
    <n v="0"/>
    <x v="0"/>
    <n v="0"/>
    <n v="0"/>
    <n v="19"/>
    <n v="65"/>
    <n v="0"/>
    <n v="791.77139999999986"/>
    <n v="427.60599999999994"/>
    <m/>
    <n v="1075.9210327174665"/>
    <n v="417.63969824726166"/>
    <n v="0"/>
    <n v="37322.520253199989"/>
    <n v="20156.491627999996"/>
    <n v="0"/>
    <n v="50716.765640235935"/>
    <n v="19686.70009597942"/>
  </r>
  <r>
    <s v="Regular"/>
    <x v="1"/>
    <x v="0"/>
    <x v="3"/>
    <x v="1"/>
    <x v="0"/>
    <x v="0"/>
    <x v="2"/>
    <x v="1"/>
    <n v="0"/>
    <n v="0"/>
    <n v="44.237000000000002"/>
    <n v="44.237000000000002"/>
    <n v="44.237000000000002"/>
    <n v="44.237000000000002"/>
    <n v="0"/>
    <x v="0"/>
    <n v="0"/>
    <n v="0"/>
    <n v="19"/>
    <n v="65"/>
    <n v="0"/>
    <n v="791.77139999999986"/>
    <n v="427.60599999999994"/>
    <m/>
    <n v="1075.9210327174665"/>
    <n v="417.63969824726166"/>
    <n v="0"/>
    <n v="35025.591421799996"/>
    <n v="18916.006621999997"/>
    <n v="0"/>
    <n v="47595.518724322566"/>
    <n v="18475.127331364114"/>
  </r>
  <r>
    <s v="Regular"/>
    <x v="1"/>
    <x v="0"/>
    <x v="3"/>
    <x v="1"/>
    <x v="0"/>
    <x v="0"/>
    <x v="2"/>
    <x v="2"/>
    <n v="0"/>
    <n v="0"/>
    <n v="45.927999999999997"/>
    <n v="45.927999999999997"/>
    <n v="45.927999999999997"/>
    <n v="45.927999999999997"/>
    <n v="0"/>
    <x v="0"/>
    <n v="0"/>
    <n v="0"/>
    <n v="19"/>
    <n v="65"/>
    <n v="0"/>
    <n v="791.77139999999986"/>
    <n v="427.60599999999994"/>
    <m/>
    <n v="1075.9210327174665"/>
    <n v="417.63969824726166"/>
    <n v="0"/>
    <n v="36364.476859199989"/>
    <n v="19639.088367999997"/>
    <n v="0"/>
    <n v="49414.901190647797"/>
    <n v="19181.356061100232"/>
  </r>
  <r>
    <s v="Regular"/>
    <x v="1"/>
    <x v="0"/>
    <x v="3"/>
    <x v="1"/>
    <x v="0"/>
    <x v="0"/>
    <x v="2"/>
    <x v="5"/>
    <n v="0"/>
    <n v="0"/>
    <n v="52.463999999999999"/>
    <n v="52.463999999999999"/>
    <n v="52.463999999999999"/>
    <n v="52.463999999999999"/>
    <n v="0"/>
    <x v="0"/>
    <n v="0"/>
    <n v="0"/>
    <n v="19"/>
    <n v="65"/>
    <n v="0"/>
    <n v="791.77139999999986"/>
    <n v="427.60599999999994"/>
    <m/>
    <n v="1075.9210327174665"/>
    <n v="417.63969824726166"/>
    <n v="0"/>
    <n v="41539.494729599988"/>
    <n v="22433.921183999995"/>
    <n v="0"/>
    <n v="56447.12106048916"/>
    <n v="21911.049128844334"/>
  </r>
  <r>
    <s v="Regular"/>
    <x v="2"/>
    <x v="2"/>
    <x v="4"/>
    <x v="2"/>
    <x v="0"/>
    <x v="0"/>
    <x v="0"/>
    <x v="6"/>
    <n v="0"/>
    <n v="0"/>
    <n v="2.1080000000000001"/>
    <n v="2.1080000000000001"/>
    <n v="2.1080000000000001"/>
    <n v="2.1080000000000001"/>
    <n v="0"/>
    <x v="0"/>
    <n v="0"/>
    <n v="0"/>
    <n v="29"/>
    <n v="70"/>
    <n v="0"/>
    <n v="151.41"/>
    <n v="284.36"/>
    <m/>
    <n v="199.95218941208282"/>
    <n v="274.80069497881567"/>
    <n v="0"/>
    <n v="319.17228"/>
    <n v="599.43088"/>
    <n v="0"/>
    <n v="421.49921528067057"/>
    <n v="579.27986501534349"/>
  </r>
  <r>
    <s v="Regular"/>
    <x v="2"/>
    <x v="2"/>
    <x v="4"/>
    <x v="2"/>
    <x v="0"/>
    <x v="0"/>
    <x v="0"/>
    <x v="7"/>
    <n v="0"/>
    <n v="0"/>
    <n v="2.0760000000000001"/>
    <n v="2.0760000000000001"/>
    <n v="2.0760000000000001"/>
    <n v="2.0760000000000001"/>
    <n v="0"/>
    <x v="0"/>
    <n v="0"/>
    <n v="0"/>
    <n v="29"/>
    <n v="70"/>
    <n v="0"/>
    <n v="151.41"/>
    <n v="284.36"/>
    <m/>
    <n v="199.95218941208282"/>
    <n v="274.80069497881567"/>
    <n v="0"/>
    <n v="314.32715999999999"/>
    <n v="590.33136000000002"/>
    <n v="0"/>
    <n v="415.10074521948394"/>
    <n v="570.4862427760213"/>
  </r>
  <r>
    <s v="Regular"/>
    <x v="2"/>
    <x v="2"/>
    <x v="4"/>
    <x v="2"/>
    <x v="0"/>
    <x v="0"/>
    <x v="0"/>
    <x v="8"/>
    <n v="0"/>
    <n v="0"/>
    <n v="1.903"/>
    <n v="1.903"/>
    <n v="1.903"/>
    <n v="1.903"/>
    <n v="0"/>
    <x v="0"/>
    <n v="0"/>
    <n v="0"/>
    <n v="29"/>
    <n v="70"/>
    <n v="0"/>
    <n v="151.41"/>
    <n v="284.36"/>
    <m/>
    <n v="199.95218941208282"/>
    <n v="274.80069497881567"/>
    <n v="0"/>
    <n v="288.13322999999997"/>
    <n v="541.13708000000008"/>
    <n v="0"/>
    <n v="380.50901645119359"/>
    <n v="522.94572254468619"/>
  </r>
  <r>
    <s v="Regular"/>
    <x v="2"/>
    <x v="2"/>
    <x v="4"/>
    <x v="2"/>
    <x v="0"/>
    <x v="0"/>
    <x v="0"/>
    <x v="9"/>
    <n v="0"/>
    <n v="0"/>
    <n v="1.9359999999999999"/>
    <n v="1.9359999999999999"/>
    <n v="1.9359999999999999"/>
    <n v="1.9359999999999999"/>
    <n v="0"/>
    <x v="0"/>
    <n v="0"/>
    <n v="0"/>
    <n v="29"/>
    <n v="70"/>
    <n v="0"/>
    <n v="151.41"/>
    <n v="284.36"/>
    <m/>
    <n v="199.95218941208282"/>
    <n v="274.80069497881567"/>
    <n v="0"/>
    <n v="293.12975999999998"/>
    <n v="550.52096000000006"/>
    <n v="0"/>
    <n v="387.10743870179232"/>
    <n v="532.01414547898707"/>
  </r>
  <r>
    <s v="Regular"/>
    <x v="2"/>
    <x v="2"/>
    <x v="4"/>
    <x v="2"/>
    <x v="0"/>
    <x v="0"/>
    <x v="0"/>
    <x v="10"/>
    <n v="0"/>
    <n v="0"/>
    <n v="1.9530000000000001"/>
    <n v="1.9530000000000001"/>
    <n v="1.9530000000000001"/>
    <n v="1.9530000000000001"/>
    <n v="0"/>
    <x v="0"/>
    <n v="0"/>
    <n v="0"/>
    <n v="29"/>
    <n v="70"/>
    <n v="0"/>
    <n v="151.41"/>
    <n v="284.36"/>
    <m/>
    <n v="199.95218941208282"/>
    <n v="274.80069497881567"/>
    <n v="0"/>
    <n v="295.70373000000001"/>
    <n v="555.35508000000004"/>
    <n v="0"/>
    <n v="390.50662592179776"/>
    <n v="536.68575729362703"/>
  </r>
  <r>
    <s v="Regular"/>
    <x v="2"/>
    <x v="2"/>
    <x v="4"/>
    <x v="2"/>
    <x v="0"/>
    <x v="0"/>
    <x v="0"/>
    <x v="11"/>
    <n v="0"/>
    <n v="0"/>
    <n v="2.177"/>
    <n v="2.177"/>
    <n v="2.177"/>
    <n v="2.177"/>
    <n v="0"/>
    <x v="0"/>
    <n v="0"/>
    <n v="0"/>
    <n v="29"/>
    <n v="70"/>
    <n v="0"/>
    <n v="151.41"/>
    <n v="284.36"/>
    <m/>
    <n v="199.95218941208282"/>
    <n v="274.80069497881567"/>
    <n v="0"/>
    <n v="329.61957000000001"/>
    <n v="619.05172000000005"/>
    <n v="0"/>
    <n v="435.29591635010428"/>
    <n v="598.24111296888168"/>
  </r>
  <r>
    <s v="Regular"/>
    <x v="2"/>
    <x v="2"/>
    <x v="4"/>
    <x v="2"/>
    <x v="0"/>
    <x v="0"/>
    <x v="0"/>
    <x v="3"/>
    <n v="0"/>
    <n v="0"/>
    <n v="2.2120000000000002"/>
    <n v="2.2120000000000002"/>
    <n v="2.2120000000000002"/>
    <n v="2.2120000000000002"/>
    <n v="0"/>
    <x v="0"/>
    <n v="0"/>
    <n v="0"/>
    <n v="29"/>
    <n v="70"/>
    <n v="0"/>
    <n v="151.41"/>
    <n v="284.36"/>
    <m/>
    <n v="199.95218941208282"/>
    <n v="274.80069497881567"/>
    <n v="0"/>
    <n v="334.91892000000001"/>
    <n v="629.00432000000012"/>
    <n v="0"/>
    <n v="442.29424297952721"/>
    <n v="607.85913729314029"/>
  </r>
  <r>
    <s v="Regular"/>
    <x v="2"/>
    <x v="2"/>
    <x v="4"/>
    <x v="2"/>
    <x v="0"/>
    <x v="0"/>
    <x v="0"/>
    <x v="0"/>
    <n v="0"/>
    <n v="0"/>
    <n v="1.9159999999999999"/>
    <n v="1.9159999999999999"/>
    <n v="1.9159999999999999"/>
    <n v="1.9159999999999999"/>
    <n v="0"/>
    <x v="0"/>
    <n v="0"/>
    <n v="0"/>
    <n v="29"/>
    <n v="70"/>
    <n v="0"/>
    <n v="151.41"/>
    <n v="284.36"/>
    <m/>
    <n v="199.95218941208282"/>
    <n v="274.80069497881567"/>
    <n v="0"/>
    <n v="290.10156000000001"/>
    <n v="544.83375999999998"/>
    <n v="0"/>
    <n v="383.10839491355068"/>
    <n v="526.51813157941081"/>
  </r>
  <r>
    <s v="Regular"/>
    <x v="2"/>
    <x v="2"/>
    <x v="4"/>
    <x v="2"/>
    <x v="0"/>
    <x v="0"/>
    <x v="0"/>
    <x v="4"/>
    <n v="0"/>
    <n v="0"/>
    <n v="2.0550000000000002"/>
    <n v="2.0550000000000002"/>
    <n v="2.0550000000000002"/>
    <n v="2.0550000000000002"/>
    <n v="0"/>
    <x v="0"/>
    <n v="0"/>
    <n v="0"/>
    <n v="29"/>
    <n v="70"/>
    <n v="0"/>
    <n v="151.41"/>
    <n v="284.36"/>
    <m/>
    <n v="199.95218941208282"/>
    <n v="274.80069497881567"/>
    <n v="0"/>
    <n v="311.14755000000002"/>
    <n v="584.35980000000006"/>
    <n v="0"/>
    <n v="410.9017492418302"/>
    <n v="564.71542818146622"/>
  </r>
  <r>
    <s v="Regular"/>
    <x v="2"/>
    <x v="2"/>
    <x v="4"/>
    <x v="2"/>
    <x v="0"/>
    <x v="0"/>
    <x v="0"/>
    <x v="1"/>
    <n v="0"/>
    <n v="0"/>
    <n v="1.95"/>
    <n v="1.95"/>
    <n v="1.95"/>
    <n v="1.95"/>
    <n v="0"/>
    <x v="0"/>
    <n v="0"/>
    <n v="0"/>
    <n v="29"/>
    <n v="70"/>
    <n v="0"/>
    <n v="151.41"/>
    <n v="284.36"/>
    <m/>
    <n v="199.95218941208282"/>
    <n v="274.80069497881567"/>
    <n v="0"/>
    <n v="295.24950000000001"/>
    <n v="554.50200000000007"/>
    <n v="0"/>
    <n v="389.90676935356146"/>
    <n v="535.8613552086905"/>
  </r>
  <r>
    <s v="Regular"/>
    <x v="2"/>
    <x v="2"/>
    <x v="4"/>
    <x v="2"/>
    <x v="0"/>
    <x v="0"/>
    <x v="0"/>
    <x v="2"/>
    <n v="0"/>
    <n v="0"/>
    <n v="1.927"/>
    <n v="1.927"/>
    <n v="1.927"/>
    <n v="1.927"/>
    <n v="0"/>
    <x v="0"/>
    <n v="0"/>
    <n v="0"/>
    <n v="29"/>
    <n v="70"/>
    <n v="0"/>
    <n v="151.41"/>
    <n v="284.36"/>
    <m/>
    <n v="199.95218941208282"/>
    <n v="274.80069497881567"/>
    <n v="0"/>
    <n v="291.76706999999999"/>
    <n v="547.96172000000001"/>
    <n v="0"/>
    <n v="385.30786899708357"/>
    <n v="529.54093922417781"/>
  </r>
  <r>
    <s v="Regular"/>
    <x v="2"/>
    <x v="2"/>
    <x v="4"/>
    <x v="2"/>
    <x v="0"/>
    <x v="0"/>
    <x v="0"/>
    <x v="5"/>
    <n v="0"/>
    <n v="0"/>
    <n v="1.7849999999999999"/>
    <n v="1.7849999999999999"/>
    <n v="1.7849999999999999"/>
    <n v="1.7849999999999999"/>
    <n v="0"/>
    <x v="0"/>
    <n v="0"/>
    <n v="0"/>
    <n v="29"/>
    <n v="70"/>
    <n v="0"/>
    <n v="151.41"/>
    <n v="284.36"/>
    <m/>
    <n v="199.95218941208282"/>
    <n v="274.80069497881567"/>
    <n v="0"/>
    <n v="270.26684999999998"/>
    <n v="507.58260000000001"/>
    <n v="0"/>
    <n v="356.91465810056781"/>
    <n v="490.51924053718596"/>
  </r>
  <r>
    <s v="Regular"/>
    <x v="2"/>
    <x v="2"/>
    <x v="4"/>
    <x v="2"/>
    <x v="0"/>
    <x v="0"/>
    <x v="3"/>
    <x v="6"/>
    <n v="0"/>
    <n v="0"/>
    <n v="0.155"/>
    <n v="0.155"/>
    <n v="0.155"/>
    <n v="0.155"/>
    <n v="0"/>
    <x v="0"/>
    <n v="0"/>
    <n v="0"/>
    <n v="28"/>
    <n v="69"/>
    <n v="0"/>
    <n v="384.22"/>
    <n v="284.36"/>
    <m/>
    <n v="432.41498160889677"/>
    <n v="274.80069497881567"/>
    <n v="0"/>
    <n v="59.554100000000005"/>
    <n v="44.075800000000001"/>
    <n v="0"/>
    <n v="67.024322149379003"/>
    <n v="42.594107721716426"/>
  </r>
  <r>
    <s v="Regular"/>
    <x v="2"/>
    <x v="2"/>
    <x v="4"/>
    <x v="2"/>
    <x v="0"/>
    <x v="0"/>
    <x v="3"/>
    <x v="7"/>
    <n v="0"/>
    <n v="0"/>
    <n v="0.17699999999999999"/>
    <n v="0.17699999999999999"/>
    <n v="0.17699999999999999"/>
    <n v="0.17699999999999999"/>
    <n v="0"/>
    <x v="0"/>
    <n v="0"/>
    <n v="0"/>
    <n v="28"/>
    <n v="69"/>
    <n v="0"/>
    <n v="384.22"/>
    <n v="284.36"/>
    <m/>
    <n v="432.41498160889677"/>
    <n v="274.80069497881567"/>
    <n v="0"/>
    <n v="68.00694"/>
    <n v="50.331719999999997"/>
    <n v="0"/>
    <n v="76.537451744774728"/>
    <n v="48.639723011250368"/>
  </r>
  <r>
    <s v="Regular"/>
    <x v="2"/>
    <x v="2"/>
    <x v="4"/>
    <x v="2"/>
    <x v="0"/>
    <x v="0"/>
    <x v="3"/>
    <x v="8"/>
    <n v="0"/>
    <n v="0"/>
    <n v="0.14000000000000001"/>
    <n v="0.14000000000000001"/>
    <n v="0.14000000000000001"/>
    <n v="0.14000000000000001"/>
    <n v="0"/>
    <x v="0"/>
    <n v="0"/>
    <n v="0"/>
    <n v="28"/>
    <n v="69"/>
    <n v="0"/>
    <n v="384.22"/>
    <n v="284.36"/>
    <m/>
    <n v="432.41498160889677"/>
    <n v="274.80069497881567"/>
    <n v="0"/>
    <n v="53.790800000000011"/>
    <n v="39.810400000000008"/>
    <n v="0"/>
    <n v="60.538097425245553"/>
    <n v="38.472097297034196"/>
  </r>
  <r>
    <s v="Regular"/>
    <x v="2"/>
    <x v="2"/>
    <x v="4"/>
    <x v="2"/>
    <x v="0"/>
    <x v="0"/>
    <x v="3"/>
    <x v="9"/>
    <n v="0"/>
    <n v="0"/>
    <n v="0.13500000000000001"/>
    <n v="0.13500000000000001"/>
    <n v="0.13500000000000001"/>
    <n v="0.13500000000000001"/>
    <n v="0"/>
    <x v="0"/>
    <n v="0"/>
    <n v="0"/>
    <n v="28"/>
    <n v="69"/>
    <n v="0"/>
    <n v="384.22"/>
    <n v="284.36"/>
    <m/>
    <n v="432.41498160889677"/>
    <n v="274.80069497881567"/>
    <n v="0"/>
    <n v="51.869700000000009"/>
    <n v="38.388600000000004"/>
    <n v="0"/>
    <n v="58.376022517201065"/>
    <n v="37.098093822140115"/>
  </r>
  <r>
    <s v="Regular"/>
    <x v="2"/>
    <x v="2"/>
    <x v="4"/>
    <x v="2"/>
    <x v="0"/>
    <x v="0"/>
    <x v="3"/>
    <x v="10"/>
    <n v="0"/>
    <n v="0"/>
    <n v="0.13600000000000001"/>
    <n v="0.13600000000000001"/>
    <n v="0.13600000000000001"/>
    <n v="0.13600000000000001"/>
    <n v="0"/>
    <x v="0"/>
    <n v="0"/>
    <n v="0"/>
    <n v="28"/>
    <n v="69"/>
    <n v="0"/>
    <n v="384.22"/>
    <n v="284.36"/>
    <m/>
    <n v="432.41498160889677"/>
    <n v="274.80069497881567"/>
    <n v="0"/>
    <n v="52.253920000000008"/>
    <n v="38.672960000000003"/>
    <n v="0"/>
    <n v="58.808437498809965"/>
    <n v="37.372894517118937"/>
  </r>
  <r>
    <s v="Regular"/>
    <x v="2"/>
    <x v="2"/>
    <x v="4"/>
    <x v="2"/>
    <x v="0"/>
    <x v="0"/>
    <x v="3"/>
    <x v="11"/>
    <n v="0"/>
    <n v="0"/>
    <n v="1.1850000000000001"/>
    <n v="1.1850000000000001"/>
    <n v="1.1850000000000001"/>
    <n v="1.1850000000000001"/>
    <n v="0"/>
    <x v="0"/>
    <n v="0"/>
    <n v="0"/>
    <n v="28"/>
    <n v="69"/>
    <n v="0"/>
    <n v="384.22"/>
    <n v="284.36"/>
    <m/>
    <n v="432.41498160889677"/>
    <n v="274.80069497881567"/>
    <n v="0"/>
    <n v="455.30070000000006"/>
    <n v="336.96660000000003"/>
    <n v="0"/>
    <n v="512.4117532065427"/>
    <n v="325.63882354989659"/>
  </r>
  <r>
    <s v="Regular"/>
    <x v="2"/>
    <x v="2"/>
    <x v="4"/>
    <x v="2"/>
    <x v="0"/>
    <x v="0"/>
    <x v="3"/>
    <x v="3"/>
    <n v="0"/>
    <n v="0"/>
    <n v="0.124"/>
    <n v="0.124"/>
    <n v="0.124"/>
    <n v="0.124"/>
    <n v="0"/>
    <x v="0"/>
    <n v="0"/>
    <n v="0"/>
    <n v="28"/>
    <n v="69"/>
    <n v="0"/>
    <n v="384.22"/>
    <n v="284.36"/>
    <m/>
    <n v="432.41498160889677"/>
    <n v="274.80069497881567"/>
    <n v="0"/>
    <n v="47.643280000000004"/>
    <n v="35.260640000000002"/>
    <n v="0"/>
    <n v="53.619457719503195"/>
    <n v="34.075286177373144"/>
  </r>
  <r>
    <s v="Regular"/>
    <x v="2"/>
    <x v="2"/>
    <x v="4"/>
    <x v="2"/>
    <x v="0"/>
    <x v="0"/>
    <x v="3"/>
    <x v="0"/>
    <n v="0"/>
    <n v="0"/>
    <n v="0.13200000000000001"/>
    <n v="0.13200000000000001"/>
    <n v="0.13200000000000001"/>
    <n v="0.13200000000000001"/>
    <n v="0"/>
    <x v="0"/>
    <n v="0"/>
    <n v="0"/>
    <n v="28"/>
    <n v="69"/>
    <n v="0"/>
    <n v="384.22"/>
    <n v="284.36"/>
    <m/>
    <n v="432.41498160889677"/>
    <n v="274.80069497881567"/>
    <n v="0"/>
    <n v="50.717040000000004"/>
    <n v="37.535520000000005"/>
    <n v="0"/>
    <n v="57.078777572374378"/>
    <n v="36.27369173720367"/>
  </r>
  <r>
    <s v="Regular"/>
    <x v="2"/>
    <x v="2"/>
    <x v="4"/>
    <x v="2"/>
    <x v="0"/>
    <x v="0"/>
    <x v="3"/>
    <x v="4"/>
    <n v="0"/>
    <n v="0"/>
    <n v="0.13600000000000001"/>
    <n v="0.13600000000000001"/>
    <n v="0.13600000000000001"/>
    <n v="0.13600000000000001"/>
    <n v="0"/>
    <x v="0"/>
    <n v="0"/>
    <n v="0"/>
    <n v="28"/>
    <n v="69"/>
    <n v="0"/>
    <n v="384.22"/>
    <n v="284.36"/>
    <m/>
    <n v="432.41498160889677"/>
    <n v="274.80069497881567"/>
    <n v="0"/>
    <n v="52.253920000000008"/>
    <n v="38.672960000000003"/>
    <n v="0"/>
    <n v="58.808437498809965"/>
    <n v="37.372894517118937"/>
  </r>
  <r>
    <s v="Regular"/>
    <x v="2"/>
    <x v="2"/>
    <x v="4"/>
    <x v="2"/>
    <x v="0"/>
    <x v="0"/>
    <x v="3"/>
    <x v="1"/>
    <n v="0"/>
    <n v="0"/>
    <n v="0.11600000000000001"/>
    <n v="0.11600000000000001"/>
    <n v="0.11600000000000001"/>
    <n v="0.11600000000000001"/>
    <n v="0"/>
    <x v="0"/>
    <n v="0"/>
    <n v="0"/>
    <n v="28"/>
    <n v="69"/>
    <n v="0"/>
    <n v="384.22"/>
    <n v="284.36"/>
    <m/>
    <n v="432.41498160889677"/>
    <n v="274.80069497881567"/>
    <n v="0"/>
    <n v="44.569520000000004"/>
    <n v="32.985760000000006"/>
    <n v="0"/>
    <n v="50.160137866632027"/>
    <n v="31.876880617542618"/>
  </r>
  <r>
    <s v="Regular"/>
    <x v="2"/>
    <x v="2"/>
    <x v="4"/>
    <x v="2"/>
    <x v="0"/>
    <x v="0"/>
    <x v="3"/>
    <x v="2"/>
    <n v="0"/>
    <n v="0"/>
    <n v="0.125"/>
    <n v="0.125"/>
    <n v="0.125"/>
    <n v="0.125"/>
    <n v="0"/>
    <x v="0"/>
    <n v="0"/>
    <n v="0"/>
    <n v="28"/>
    <n v="69"/>
    <n v="0"/>
    <n v="384.22"/>
    <n v="284.36"/>
    <m/>
    <n v="432.41498160889677"/>
    <n v="274.80069497881567"/>
    <n v="0"/>
    <n v="48.027500000000003"/>
    <n v="35.545000000000002"/>
    <n v="0"/>
    <n v="54.051872701112096"/>
    <n v="34.350086872351959"/>
  </r>
  <r>
    <s v="Regular"/>
    <x v="2"/>
    <x v="2"/>
    <x v="4"/>
    <x v="2"/>
    <x v="0"/>
    <x v="0"/>
    <x v="3"/>
    <x v="5"/>
    <n v="0"/>
    <n v="0"/>
    <n v="0.115"/>
    <n v="0.115"/>
    <n v="0.115"/>
    <n v="0.115"/>
    <n v="0"/>
    <x v="0"/>
    <n v="0"/>
    <n v="0"/>
    <n v="28"/>
    <n v="69"/>
    <n v="0"/>
    <n v="384.22"/>
    <n v="284.36"/>
    <m/>
    <n v="432.41498160889677"/>
    <n v="274.80069497881567"/>
    <n v="0"/>
    <n v="44.185300000000005"/>
    <n v="32.7014"/>
    <n v="0"/>
    <n v="49.727722885023134"/>
    <n v="31.602079922563803"/>
  </r>
  <r>
    <s v="Regular"/>
    <x v="2"/>
    <x v="2"/>
    <x v="4"/>
    <x v="2"/>
    <x v="0"/>
    <x v="0"/>
    <x v="2"/>
    <x v="6"/>
    <n v="0"/>
    <n v="0"/>
    <n v="0.192"/>
    <n v="0.192"/>
    <n v="0.192"/>
    <n v="0.192"/>
    <n v="0"/>
    <x v="0"/>
    <n v="0"/>
    <n v="0"/>
    <n v="27"/>
    <n v="68"/>
    <n v="0"/>
    <n v="1257.26"/>
    <n v="454.9"/>
    <m/>
    <n v="1304.1502495811314"/>
    <n v="430.5563899456306"/>
    <n v="0"/>
    <n v="241.39392000000001"/>
    <n v="87.340800000000002"/>
    <n v="0"/>
    <n v="250.39684791957725"/>
    <n v="82.666826869561078"/>
  </r>
  <r>
    <s v="Regular"/>
    <x v="2"/>
    <x v="2"/>
    <x v="4"/>
    <x v="2"/>
    <x v="0"/>
    <x v="0"/>
    <x v="2"/>
    <x v="7"/>
    <n v="0"/>
    <n v="0"/>
    <n v="0.16400000000000001"/>
    <n v="0.16400000000000001"/>
    <n v="0.16400000000000001"/>
    <n v="0.16400000000000001"/>
    <n v="0"/>
    <x v="0"/>
    <n v="0"/>
    <n v="0"/>
    <n v="27"/>
    <n v="68"/>
    <n v="0"/>
    <n v="1257.26"/>
    <n v="454.9"/>
    <m/>
    <n v="1304.1502495811314"/>
    <n v="430.5563899456306"/>
    <n v="0"/>
    <n v="206.19064"/>
    <n v="74.6036"/>
    <n v="0"/>
    <n v="213.88064093130558"/>
    <n v="70.611247951083428"/>
  </r>
  <r>
    <s v="Regular"/>
    <x v="2"/>
    <x v="2"/>
    <x v="4"/>
    <x v="2"/>
    <x v="0"/>
    <x v="0"/>
    <x v="2"/>
    <x v="8"/>
    <n v="0"/>
    <n v="0"/>
    <n v="0.153"/>
    <n v="0.153"/>
    <n v="0.153"/>
    <n v="0.153"/>
    <n v="0"/>
    <x v="0"/>
    <n v="0"/>
    <n v="0"/>
    <n v="27"/>
    <n v="68"/>
    <n v="0"/>
    <n v="1257.26"/>
    <n v="454.9"/>
    <m/>
    <n v="1304.1502495811314"/>
    <n v="430.5563899456306"/>
    <n v="0"/>
    <n v="192.36078000000001"/>
    <n v="69.599699999999999"/>
    <n v="0"/>
    <n v="199.53498818591311"/>
    <n v="65.875127661681475"/>
  </r>
  <r>
    <s v="Regular"/>
    <x v="2"/>
    <x v="2"/>
    <x v="4"/>
    <x v="2"/>
    <x v="0"/>
    <x v="0"/>
    <x v="2"/>
    <x v="9"/>
    <n v="0"/>
    <n v="0"/>
    <n v="0.16200000000000001"/>
    <n v="0.16200000000000001"/>
    <n v="0.16200000000000001"/>
    <n v="0.16200000000000001"/>
    <n v="0"/>
    <x v="0"/>
    <n v="0"/>
    <n v="0"/>
    <n v="27"/>
    <n v="68"/>
    <n v="0"/>
    <n v="1257.26"/>
    <n v="454.9"/>
    <m/>
    <n v="1304.1502495811314"/>
    <n v="430.5563899456306"/>
    <n v="0"/>
    <n v="203.67612"/>
    <n v="73.693799999999996"/>
    <n v="0"/>
    <n v="211.2723404321433"/>
    <n v="69.750135171192156"/>
  </r>
  <r>
    <s v="Regular"/>
    <x v="2"/>
    <x v="2"/>
    <x v="4"/>
    <x v="2"/>
    <x v="0"/>
    <x v="0"/>
    <x v="2"/>
    <x v="10"/>
    <n v="0"/>
    <n v="0"/>
    <n v="0.33600000000000002"/>
    <n v="0.33600000000000002"/>
    <n v="0.33600000000000002"/>
    <n v="0.33600000000000002"/>
    <n v="0"/>
    <x v="0"/>
    <n v="0"/>
    <n v="0"/>
    <n v="27"/>
    <n v="68"/>
    <n v="0"/>
    <n v="1257.26"/>
    <n v="454.9"/>
    <m/>
    <n v="1304.1502495811314"/>
    <n v="430.5563899456306"/>
    <n v="0"/>
    <n v="422.43936000000002"/>
    <n v="152.84639999999999"/>
    <n v="0"/>
    <n v="438.19448385926017"/>
    <n v="144.66694702173189"/>
  </r>
  <r>
    <s v="Regular"/>
    <x v="2"/>
    <x v="2"/>
    <x v="4"/>
    <x v="2"/>
    <x v="0"/>
    <x v="0"/>
    <x v="2"/>
    <x v="11"/>
    <n v="0"/>
    <n v="0"/>
    <n v="0.188"/>
    <n v="0.188"/>
    <n v="0.188"/>
    <n v="0.188"/>
    <n v="0"/>
    <x v="0"/>
    <n v="0"/>
    <n v="0"/>
    <n v="27"/>
    <n v="68"/>
    <n v="0"/>
    <n v="1257.26"/>
    <n v="454.9"/>
    <m/>
    <n v="1304.1502495811314"/>
    <n v="430.5563899456306"/>
    <n v="0"/>
    <n v="236.36488"/>
    <n v="85.521199999999993"/>
    <n v="0"/>
    <n v="245.18024692125272"/>
    <n v="80.944601309778548"/>
  </r>
  <r>
    <s v="Regular"/>
    <x v="2"/>
    <x v="2"/>
    <x v="4"/>
    <x v="2"/>
    <x v="0"/>
    <x v="0"/>
    <x v="2"/>
    <x v="3"/>
    <n v="0"/>
    <n v="0"/>
    <n v="0.17199999999999999"/>
    <n v="0.17199999999999999"/>
    <n v="0.17199999999999999"/>
    <n v="0.17199999999999999"/>
    <n v="0"/>
    <x v="0"/>
    <n v="0"/>
    <n v="0"/>
    <n v="27"/>
    <n v="68"/>
    <n v="0"/>
    <n v="1257.26"/>
    <n v="454.9"/>
    <m/>
    <n v="1304.1502495811314"/>
    <n v="430.5563899456306"/>
    <n v="0"/>
    <n v="216.24871999999999"/>
    <n v="78.242799999999988"/>
    <n v="0"/>
    <n v="224.3138429279546"/>
    <n v="74.055699070648458"/>
  </r>
  <r>
    <s v="Regular"/>
    <x v="2"/>
    <x v="2"/>
    <x v="4"/>
    <x v="2"/>
    <x v="0"/>
    <x v="0"/>
    <x v="2"/>
    <x v="0"/>
    <n v="0"/>
    <n v="0"/>
    <n v="0.17699999999999999"/>
    <n v="0.17699999999999999"/>
    <n v="0.17699999999999999"/>
    <n v="0.17699999999999999"/>
    <n v="0"/>
    <x v="0"/>
    <n v="0"/>
    <n v="0"/>
    <n v="27"/>
    <n v="68"/>
    <n v="0"/>
    <n v="1257.26"/>
    <n v="454.9"/>
    <m/>
    <n v="1304.1502495811314"/>
    <n v="430.5563899456306"/>
    <n v="0"/>
    <n v="222.53501999999997"/>
    <n v="80.517299999999992"/>
    <n v="0"/>
    <n v="230.83459417586025"/>
    <n v="76.20848102037661"/>
  </r>
  <r>
    <s v="Regular"/>
    <x v="2"/>
    <x v="2"/>
    <x v="4"/>
    <x v="2"/>
    <x v="0"/>
    <x v="0"/>
    <x v="2"/>
    <x v="4"/>
    <n v="0"/>
    <n v="0"/>
    <n v="0.188"/>
    <n v="0.188"/>
    <n v="0.188"/>
    <n v="0.188"/>
    <n v="0"/>
    <x v="0"/>
    <n v="0"/>
    <n v="0"/>
    <n v="27"/>
    <n v="68"/>
    <n v="0"/>
    <n v="1257.26"/>
    <n v="454.9"/>
    <m/>
    <n v="1304.1502495811314"/>
    <n v="430.5563899456306"/>
    <n v="0"/>
    <n v="236.36488"/>
    <n v="85.521199999999993"/>
    <n v="0"/>
    <n v="245.18024692125272"/>
    <n v="80.944601309778548"/>
  </r>
  <r>
    <s v="Regular"/>
    <x v="2"/>
    <x v="2"/>
    <x v="4"/>
    <x v="2"/>
    <x v="0"/>
    <x v="0"/>
    <x v="2"/>
    <x v="1"/>
    <n v="0"/>
    <n v="0"/>
    <n v="0.17899999999999999"/>
    <n v="0.17899999999999999"/>
    <n v="0.17899999999999999"/>
    <n v="0.17899999999999999"/>
    <n v="0"/>
    <x v="0"/>
    <n v="0"/>
    <n v="0"/>
    <n v="27"/>
    <n v="68"/>
    <n v="0"/>
    <n v="1257.26"/>
    <n v="454.9"/>
    <m/>
    <n v="1304.1502495811314"/>
    <n v="430.5563899456306"/>
    <n v="0"/>
    <n v="225.04953999999998"/>
    <n v="81.427099999999996"/>
    <n v="0"/>
    <n v="233.44289467502253"/>
    <n v="77.069593800267867"/>
  </r>
  <r>
    <s v="Regular"/>
    <x v="2"/>
    <x v="2"/>
    <x v="4"/>
    <x v="2"/>
    <x v="0"/>
    <x v="0"/>
    <x v="2"/>
    <x v="2"/>
    <n v="0"/>
    <n v="0"/>
    <n v="0.16700000000000001"/>
    <n v="0.16700000000000001"/>
    <n v="0.16700000000000001"/>
    <n v="0.16700000000000001"/>
    <n v="0"/>
    <x v="0"/>
    <n v="0"/>
    <n v="0"/>
    <n v="27"/>
    <n v="68"/>
    <n v="0"/>
    <n v="1257.26"/>
    <n v="454.9"/>
    <m/>
    <n v="1304.1502495811314"/>
    <n v="430.5563899456306"/>
    <n v="0"/>
    <n v="209.96242000000001"/>
    <n v="75.968299999999999"/>
    <n v="0"/>
    <n v="217.79309168004897"/>
    <n v="71.902917120920307"/>
  </r>
  <r>
    <s v="Regular"/>
    <x v="2"/>
    <x v="2"/>
    <x v="4"/>
    <x v="2"/>
    <x v="0"/>
    <x v="0"/>
    <x v="2"/>
    <x v="5"/>
    <n v="0"/>
    <n v="0"/>
    <n v="0.14099999999999999"/>
    <n v="0.14099999999999999"/>
    <n v="0.14099999999999999"/>
    <n v="0.14099999999999999"/>
    <n v="0"/>
    <x v="0"/>
    <n v="0"/>
    <n v="0"/>
    <n v="27"/>
    <n v="68"/>
    <n v="0"/>
    <n v="1257.26"/>
    <n v="454.9"/>
    <m/>
    <n v="1304.1502495811314"/>
    <n v="430.5563899456306"/>
    <n v="0"/>
    <n v="177.27365999999998"/>
    <n v="64.140899999999988"/>
    <n v="0"/>
    <n v="183.88518519093952"/>
    <n v="60.708450982333908"/>
  </r>
  <r>
    <s v="Regular"/>
    <x v="2"/>
    <x v="3"/>
    <x v="4"/>
    <x v="2"/>
    <x v="0"/>
    <x v="0"/>
    <x v="1"/>
    <x v="6"/>
    <n v="0"/>
    <n v="0"/>
    <n v="7050.8720000000003"/>
    <n v="7050.8720000000003"/>
    <n v="7050.8720000000003"/>
    <n v="7050.8720000000003"/>
    <n v="43492"/>
    <x v="0"/>
    <n v="0"/>
    <n v="0"/>
    <n v="30"/>
    <n v="71"/>
    <n v="0"/>
    <n v="308.77"/>
    <n v="298.58"/>
    <m/>
    <n v="357.07977884610415"/>
    <n v="287.78033622605028"/>
    <n v="0"/>
    <n v="2177097.7474400001"/>
    <n v="2105249.3617599998"/>
    <n v="0"/>
    <n v="2517723.8144321879"/>
    <n v="2029102.3148468437"/>
  </r>
  <r>
    <s v="Refaturamento - Regular"/>
    <x v="2"/>
    <x v="3"/>
    <x v="4"/>
    <x v="2"/>
    <x v="0"/>
    <x v="0"/>
    <x v="1"/>
    <x v="6"/>
    <n v="0"/>
    <n v="0"/>
    <n v="-11.6"/>
    <n v="-11.6"/>
    <n v="-11.6"/>
    <n v="-11.6"/>
    <n v="0"/>
    <x v="0"/>
    <n v="0"/>
    <n v="0"/>
    <n v="30"/>
    <n v="71"/>
    <n v="0"/>
    <n v="308.77"/>
    <n v="298.58"/>
    <m/>
    <n v="357.07977884610415"/>
    <n v="287.78033622605028"/>
    <n v="0"/>
    <n v="-3581.7319999999995"/>
    <n v="-3463.5279999999998"/>
    <n v="0"/>
    <n v="-4142.125434614808"/>
    <n v="-3338.2519002221829"/>
  </r>
  <r>
    <s v="Sistema de Compensação"/>
    <x v="2"/>
    <x v="3"/>
    <x v="4"/>
    <x v="2"/>
    <x v="0"/>
    <x v="0"/>
    <x v="1"/>
    <x v="6"/>
    <n v="0"/>
    <n v="0"/>
    <n v="21.725000000000001"/>
    <n v="21.725000000000001"/>
    <n v="21.725000000000001"/>
    <n v="21.725000000000001"/>
    <n v="107"/>
    <x v="0"/>
    <n v="0"/>
    <n v="0"/>
    <n v="30"/>
    <n v="71"/>
    <n v="0"/>
    <n v="308.77"/>
    <n v="298.58"/>
    <m/>
    <n v="357.07977884610415"/>
    <n v="287.78033622605028"/>
    <n v="0"/>
    <n v="6708.0282500000003"/>
    <n v="6486.6504999999997"/>
    <n v="0"/>
    <n v="7757.5581954316131"/>
    <n v="6252.0278045109426"/>
  </r>
  <r>
    <s v="Regular"/>
    <x v="2"/>
    <x v="3"/>
    <x v="4"/>
    <x v="2"/>
    <x v="0"/>
    <x v="0"/>
    <x v="1"/>
    <x v="7"/>
    <n v="0"/>
    <n v="0"/>
    <n v="7344.5290000000005"/>
    <n v="7344.5290000000005"/>
    <n v="7344.5290000000005"/>
    <n v="7344.5290000000005"/>
    <n v="43505"/>
    <x v="0"/>
    <n v="0"/>
    <n v="0"/>
    <n v="30"/>
    <n v="71"/>
    <n v="0"/>
    <n v="308.77"/>
    <n v="298.58"/>
    <m/>
    <n v="357.07977884610415"/>
    <n v="287.78033622605028"/>
    <n v="0"/>
    <n v="2267770.2193300002"/>
    <n v="2192929.4688200001"/>
    <n v="0"/>
    <n v="2622582.7910487987"/>
    <n v="2113611.0250419769"/>
  </r>
  <r>
    <s v="Refaturamento - Regular"/>
    <x v="2"/>
    <x v="3"/>
    <x v="4"/>
    <x v="2"/>
    <x v="0"/>
    <x v="0"/>
    <x v="1"/>
    <x v="7"/>
    <n v="0"/>
    <n v="0"/>
    <n v="-108.758"/>
    <n v="-108.758"/>
    <n v="-108.758"/>
    <n v="-108.758"/>
    <n v="0"/>
    <x v="0"/>
    <n v="0"/>
    <n v="0"/>
    <n v="30"/>
    <n v="71"/>
    <n v="0"/>
    <n v="308.77"/>
    <n v="298.58"/>
    <m/>
    <n v="357.07977884610415"/>
    <n v="287.78033622605028"/>
    <n v="0"/>
    <n v="-33581.20766"/>
    <n v="-32472.963639999998"/>
    <n v="0"/>
    <n v="-38835.282587744594"/>
    <n v="-31298.413807272776"/>
  </r>
  <r>
    <s v="Sistema de Compensação"/>
    <x v="2"/>
    <x v="3"/>
    <x v="4"/>
    <x v="2"/>
    <x v="0"/>
    <x v="0"/>
    <x v="1"/>
    <x v="7"/>
    <n v="0"/>
    <n v="0"/>
    <n v="26.963000000000001"/>
    <n v="26.963000000000001"/>
    <n v="26.963000000000001"/>
    <n v="26.963000000000001"/>
    <n v="115"/>
    <x v="0"/>
    <n v="0"/>
    <n v="0"/>
    <n v="30"/>
    <n v="71"/>
    <n v="0"/>
    <n v="308.77"/>
    <n v="298.58"/>
    <m/>
    <n v="357.07977884610415"/>
    <n v="287.78033622605028"/>
    <n v="0"/>
    <n v="8325.3655099999996"/>
    <n v="8050.6125400000001"/>
    <n v="0"/>
    <n v="9627.9420770275065"/>
    <n v="7759.421205662994"/>
  </r>
  <r>
    <s v="Regular"/>
    <x v="2"/>
    <x v="3"/>
    <x v="4"/>
    <x v="2"/>
    <x v="0"/>
    <x v="0"/>
    <x v="1"/>
    <x v="8"/>
    <n v="0"/>
    <n v="0"/>
    <n v="7438.7420000000002"/>
    <n v="7438.7420000000002"/>
    <n v="7438.7420000000002"/>
    <n v="7438.7420000000002"/>
    <n v="43533"/>
    <x v="0"/>
    <n v="0"/>
    <n v="0"/>
    <n v="30"/>
    <n v="71"/>
    <n v="0"/>
    <n v="308.77"/>
    <n v="298.58"/>
    <m/>
    <n v="357.07977884610415"/>
    <n v="287.78033622605028"/>
    <n v="0"/>
    <n v="2296860.3673399999"/>
    <n v="2221059.5863600001"/>
    <n v="0"/>
    <n v="2656224.3482532264"/>
    <n v="2140723.6738588419"/>
  </r>
  <r>
    <s v="Refaturamento - Regular"/>
    <x v="2"/>
    <x v="3"/>
    <x v="4"/>
    <x v="2"/>
    <x v="0"/>
    <x v="0"/>
    <x v="1"/>
    <x v="8"/>
    <n v="0"/>
    <n v="0"/>
    <n v="-190.488"/>
    <n v="-190.488"/>
    <n v="-190.488"/>
    <n v="-190.488"/>
    <n v="0"/>
    <x v="0"/>
    <n v="0"/>
    <n v="0"/>
    <n v="30"/>
    <n v="71"/>
    <n v="0"/>
    <n v="308.77"/>
    <n v="298.58"/>
    <m/>
    <n v="357.07977884610415"/>
    <n v="287.78033622605028"/>
    <n v="0"/>
    <n v="-58816.979759999995"/>
    <n v="-56875.907039999998"/>
    <n v="0"/>
    <n v="-68019.412912836691"/>
    <n v="-54818.700687027864"/>
  </r>
  <r>
    <s v="Sistema de Compensação"/>
    <x v="2"/>
    <x v="3"/>
    <x v="4"/>
    <x v="2"/>
    <x v="0"/>
    <x v="0"/>
    <x v="1"/>
    <x v="8"/>
    <n v="0"/>
    <n v="0"/>
    <n v="24.37"/>
    <n v="24.37"/>
    <n v="24.37"/>
    <n v="24.37"/>
    <n v="125"/>
    <x v="0"/>
    <n v="0"/>
    <n v="0"/>
    <n v="30"/>
    <n v="71"/>
    <n v="0"/>
    <n v="308.77"/>
    <n v="298.58"/>
    <m/>
    <n v="357.07977884610415"/>
    <n v="287.78033622605028"/>
    <n v="0"/>
    <n v="7524.7249000000002"/>
    <n v="7276.3945999999996"/>
    <n v="0"/>
    <n v="8702.0342104795582"/>
    <n v="7013.2067938288455"/>
  </r>
  <r>
    <s v="Regular"/>
    <x v="2"/>
    <x v="3"/>
    <x v="4"/>
    <x v="2"/>
    <x v="0"/>
    <x v="0"/>
    <x v="1"/>
    <x v="9"/>
    <n v="0"/>
    <n v="0"/>
    <n v="6926.53"/>
    <n v="6926.53"/>
    <n v="6926.53"/>
    <n v="6926.53"/>
    <n v="43503"/>
    <x v="0"/>
    <n v="0"/>
    <n v="0"/>
    <n v="30"/>
    <n v="71"/>
    <n v="0"/>
    <n v="308.77"/>
    <n v="298.58"/>
    <m/>
    <n v="357.07977884610415"/>
    <n v="287.78033622605028"/>
    <n v="0"/>
    <n v="2138704.6680999999"/>
    <n v="2068123.3273999998"/>
    <n v="0"/>
    <n v="2473323.8005709057"/>
    <n v="1993319.132279824"/>
  </r>
  <r>
    <s v="Refaturamento - Regular"/>
    <x v="2"/>
    <x v="3"/>
    <x v="4"/>
    <x v="2"/>
    <x v="0"/>
    <x v="0"/>
    <x v="1"/>
    <x v="9"/>
    <n v="0"/>
    <n v="0"/>
    <n v="-7.5220000000000002"/>
    <n v="-7.5220000000000002"/>
    <n v="-7.5220000000000002"/>
    <n v="-7.5220000000000002"/>
    <n v="0"/>
    <x v="0"/>
    <n v="0"/>
    <n v="0"/>
    <n v="30"/>
    <n v="71"/>
    <n v="0"/>
    <n v="308.77"/>
    <n v="298.58"/>
    <m/>
    <n v="357.07977884610415"/>
    <n v="287.78033622605028"/>
    <n v="0"/>
    <n v="-2322.5679399999999"/>
    <n v="-2245.91876"/>
    <n v="0"/>
    <n v="-2685.9540964803955"/>
    <n v="-2164.6836890923505"/>
  </r>
  <r>
    <s v="Sistema de Compensação"/>
    <x v="2"/>
    <x v="3"/>
    <x v="4"/>
    <x v="2"/>
    <x v="0"/>
    <x v="0"/>
    <x v="1"/>
    <x v="9"/>
    <n v="0"/>
    <n v="0"/>
    <n v="26.727"/>
    <n v="26.727"/>
    <n v="26.727"/>
    <n v="26.727"/>
    <n v="140"/>
    <x v="0"/>
    <n v="0"/>
    <n v="0"/>
    <n v="30"/>
    <n v="71"/>
    <n v="0"/>
    <n v="308.77"/>
    <n v="298.58"/>
    <m/>
    <n v="357.07977884610415"/>
    <n v="287.78033622605028"/>
    <n v="0"/>
    <n v="8252.495789999999"/>
    <n v="7980.1476599999996"/>
    <n v="0"/>
    <n v="9543.6712492198258"/>
    <n v="7691.5050463136458"/>
  </r>
  <r>
    <s v="Regular"/>
    <x v="2"/>
    <x v="3"/>
    <x v="4"/>
    <x v="2"/>
    <x v="0"/>
    <x v="0"/>
    <x v="1"/>
    <x v="10"/>
    <n v="0"/>
    <n v="0"/>
    <n v="6937.9660000000003"/>
    <n v="6937.9660000000003"/>
    <n v="6937.9660000000003"/>
    <n v="6937.9660000000003"/>
    <n v="43646"/>
    <x v="0"/>
    <n v="0"/>
    <n v="0"/>
    <n v="30"/>
    <n v="71"/>
    <n v="0"/>
    <n v="308.77"/>
    <n v="298.58"/>
    <m/>
    <n v="357.07977884610415"/>
    <n v="287.78033622605028"/>
    <n v="0"/>
    <n v="2142235.7618200001"/>
    <n v="2071537.8882800001"/>
    <n v="0"/>
    <n v="2477407.3649217901"/>
    <n v="1996610.1882049053"/>
  </r>
  <r>
    <s v="Refaturamento - Regular"/>
    <x v="2"/>
    <x v="3"/>
    <x v="4"/>
    <x v="2"/>
    <x v="0"/>
    <x v="0"/>
    <x v="1"/>
    <x v="10"/>
    <n v="0"/>
    <n v="0"/>
    <n v="-6.5350000000000001"/>
    <n v="-6.5350000000000001"/>
    <n v="-6.5350000000000001"/>
    <n v="-6.5350000000000001"/>
    <n v="0"/>
    <x v="0"/>
    <n v="0"/>
    <n v="0"/>
    <n v="30"/>
    <n v="71"/>
    <n v="0"/>
    <n v="308.77"/>
    <n v="298.58"/>
    <m/>
    <n v="357.07977884610415"/>
    <n v="287.78033622605028"/>
    <n v="0"/>
    <n v="-2017.81195"/>
    <n v="-1951.2203"/>
    <n v="0"/>
    <n v="-2333.5163547592906"/>
    <n v="-1880.6444972372387"/>
  </r>
  <r>
    <s v="Sistema de Compensação"/>
    <x v="2"/>
    <x v="3"/>
    <x v="4"/>
    <x v="2"/>
    <x v="0"/>
    <x v="0"/>
    <x v="1"/>
    <x v="10"/>
    <n v="0"/>
    <n v="0"/>
    <n v="24.908000000000001"/>
    <n v="24.908000000000001"/>
    <n v="24.908000000000001"/>
    <n v="24.908000000000001"/>
    <n v="153"/>
    <x v="0"/>
    <n v="0"/>
    <n v="0"/>
    <n v="30"/>
    <n v="71"/>
    <n v="0"/>
    <n v="308.77"/>
    <n v="298.58"/>
    <m/>
    <n v="357.07977884610415"/>
    <n v="287.78033622605028"/>
    <n v="0"/>
    <n v="7690.8431600000004"/>
    <n v="7437.0306399999999"/>
    <n v="0"/>
    <n v="8894.1431314987622"/>
    <n v="7168.0326147184605"/>
  </r>
  <r>
    <s v="Regular"/>
    <x v="2"/>
    <x v="3"/>
    <x v="4"/>
    <x v="2"/>
    <x v="0"/>
    <x v="0"/>
    <x v="1"/>
    <x v="11"/>
    <n v="0"/>
    <n v="0"/>
    <n v="6876.5110000000004"/>
    <n v="6876.5110000000004"/>
    <n v="6876.5110000000004"/>
    <n v="6876.5110000000004"/>
    <n v="43980"/>
    <x v="0"/>
    <n v="0"/>
    <n v="0"/>
    <n v="30"/>
    <n v="71"/>
    <n v="0"/>
    <n v="308.77"/>
    <n v="298.58"/>
    <m/>
    <n v="357.07977884610415"/>
    <n v="287.78033622605028"/>
    <n v="0"/>
    <n v="2123260.3014699998"/>
    <n v="2053188.65438"/>
    <n v="0"/>
    <n v="2455463.0271128025"/>
    <n v="1978924.6476421333"/>
  </r>
  <r>
    <s v="Refaturamento - Regular"/>
    <x v="2"/>
    <x v="3"/>
    <x v="4"/>
    <x v="2"/>
    <x v="0"/>
    <x v="0"/>
    <x v="1"/>
    <x v="11"/>
    <n v="0"/>
    <n v="0"/>
    <n v="-6.35"/>
    <n v="-6.35"/>
    <n v="-6.35"/>
    <n v="-6.35"/>
    <n v="0"/>
    <x v="0"/>
    <n v="0"/>
    <n v="0"/>
    <n v="30"/>
    <n v="71"/>
    <n v="0"/>
    <n v="308.77"/>
    <n v="298.58"/>
    <m/>
    <n v="357.07977884610415"/>
    <n v="287.78033622605028"/>
    <n v="0"/>
    <n v="-1960.6894999999997"/>
    <n v="-1895.9829999999997"/>
    <n v="0"/>
    <n v="-2267.4565956727611"/>
    <n v="-1827.4051350354191"/>
  </r>
  <r>
    <s v="Sistema de Compensação"/>
    <x v="2"/>
    <x v="3"/>
    <x v="4"/>
    <x v="2"/>
    <x v="0"/>
    <x v="0"/>
    <x v="1"/>
    <x v="11"/>
    <n v="0"/>
    <n v="0"/>
    <n v="21.52"/>
    <n v="21.52"/>
    <n v="21.52"/>
    <n v="21.52"/>
    <n v="162"/>
    <x v="0"/>
    <n v="0"/>
    <n v="0"/>
    <n v="30"/>
    <n v="71"/>
    <n v="0"/>
    <n v="308.77"/>
    <n v="298.58"/>
    <m/>
    <n v="357.07977884610415"/>
    <n v="287.78033622605028"/>
    <n v="0"/>
    <n v="6644.7303999999995"/>
    <n v="6425.4415999999992"/>
    <n v="0"/>
    <n v="7684.3568407681614"/>
    <n v="6193.0328355846023"/>
  </r>
  <r>
    <s v="Regular"/>
    <x v="2"/>
    <x v="3"/>
    <x v="4"/>
    <x v="2"/>
    <x v="0"/>
    <x v="0"/>
    <x v="1"/>
    <x v="3"/>
    <n v="0"/>
    <n v="0"/>
    <n v="6856.2129999999997"/>
    <n v="6856.2129999999997"/>
    <n v="6856.2129999999997"/>
    <n v="6856.2129999999997"/>
    <n v="44242"/>
    <x v="0"/>
    <n v="0"/>
    <n v="0"/>
    <n v="30"/>
    <n v="71"/>
    <n v="0"/>
    <n v="308.77"/>
    <n v="298.58"/>
    <m/>
    <n v="357.07977884610415"/>
    <n v="287.78033622605028"/>
    <n v="0"/>
    <n v="2116992.8880099999"/>
    <n v="2047128.0775399997"/>
    <n v="0"/>
    <n v="2448215.0217617843"/>
    <n v="1973083.2823774167"/>
  </r>
  <r>
    <s v="Refaturamento - Regular"/>
    <x v="2"/>
    <x v="3"/>
    <x v="4"/>
    <x v="2"/>
    <x v="0"/>
    <x v="0"/>
    <x v="1"/>
    <x v="3"/>
    <n v="0"/>
    <n v="0"/>
    <n v="-4.88"/>
    <n v="-4.88"/>
    <n v="-4.88"/>
    <n v="-4.88"/>
    <n v="0"/>
    <x v="0"/>
    <n v="0"/>
    <n v="0"/>
    <n v="30"/>
    <n v="71"/>
    <n v="0"/>
    <n v="308.77"/>
    <n v="298.58"/>
    <m/>
    <n v="357.07977884610415"/>
    <n v="287.78033622605028"/>
    <n v="0"/>
    <n v="-1506.7975999999999"/>
    <n v="-1457.0703999999998"/>
    <n v="0"/>
    <n v="-1742.5493207689883"/>
    <n v="-1404.3680407831253"/>
  </r>
  <r>
    <s v="Sistema de Compensação"/>
    <x v="2"/>
    <x v="3"/>
    <x v="4"/>
    <x v="2"/>
    <x v="0"/>
    <x v="0"/>
    <x v="1"/>
    <x v="3"/>
    <n v="0"/>
    <n v="0"/>
    <n v="18.059999999999999"/>
    <n v="18.059999999999999"/>
    <n v="18.059999999999999"/>
    <n v="18.059999999999999"/>
    <n v="174"/>
    <x v="0"/>
    <n v="0"/>
    <n v="0"/>
    <n v="30"/>
    <n v="71"/>
    <n v="0"/>
    <n v="308.77"/>
    <n v="298.58"/>
    <m/>
    <n v="357.07977884610415"/>
    <n v="287.78033622605028"/>
    <n v="0"/>
    <n v="5576.386199999999"/>
    <n v="5392.3547999999992"/>
    <n v="0"/>
    <n v="6448.8608059606404"/>
    <n v="5197.3128722424681"/>
  </r>
  <r>
    <s v="Sistema de Compensação"/>
    <x v="2"/>
    <x v="3"/>
    <x v="4"/>
    <x v="2"/>
    <x v="0"/>
    <x v="0"/>
    <x v="1"/>
    <x v="3"/>
    <n v="0"/>
    <n v="0"/>
    <n v="-0.17100000000000001"/>
    <n v="-0.17100000000000001"/>
    <n v="-0.17100000000000001"/>
    <n v="-0.17100000000000001"/>
    <n v="4"/>
    <x v="0"/>
    <n v="0"/>
    <n v="0"/>
    <n v="30"/>
    <n v="71"/>
    <n v="0"/>
    <n v="308.77"/>
    <n v="298.58"/>
    <m/>
    <n v="357.07977884610415"/>
    <n v="287.78033622605028"/>
    <n v="0"/>
    <n v="-52.799669999999999"/>
    <n v="-51.057180000000002"/>
    <n v="0"/>
    <n v="-61.060642182683814"/>
    <n v="-49.210437494654599"/>
  </r>
  <r>
    <s v="Regular"/>
    <x v="2"/>
    <x v="3"/>
    <x v="4"/>
    <x v="2"/>
    <x v="0"/>
    <x v="0"/>
    <x v="1"/>
    <x v="0"/>
    <n v="0"/>
    <n v="0"/>
    <n v="6939.0129999999999"/>
    <n v="6939.0129999999999"/>
    <n v="6939.0129999999999"/>
    <n v="6939.0129999999999"/>
    <n v="44215"/>
    <x v="0"/>
    <n v="0"/>
    <n v="0"/>
    <n v="30"/>
    <n v="71"/>
    <n v="0"/>
    <n v="308.77"/>
    <n v="298.58"/>
    <m/>
    <n v="357.07977884610415"/>
    <n v="287.78033622605028"/>
    <n v="0"/>
    <n v="2142559.0440099998"/>
    <n v="2071850.5015399999"/>
    <n v="0"/>
    <n v="2477781.2274502418"/>
    <n v="1996911.4942169338"/>
  </r>
  <r>
    <s v="Refaturamento - Regular"/>
    <x v="2"/>
    <x v="3"/>
    <x v="4"/>
    <x v="2"/>
    <x v="0"/>
    <x v="0"/>
    <x v="1"/>
    <x v="0"/>
    <n v="0"/>
    <n v="0"/>
    <n v="-9.3409999999999993"/>
    <n v="-9.3409999999999993"/>
    <n v="-9.3409999999999993"/>
    <n v="-9.3409999999999993"/>
    <n v="0"/>
    <x v="0"/>
    <n v="0"/>
    <n v="0"/>
    <n v="30"/>
    <n v="71"/>
    <n v="0"/>
    <n v="308.77"/>
    <n v="298.58"/>
    <m/>
    <n v="357.07977884610415"/>
    <n v="287.78033622605028"/>
    <n v="0"/>
    <n v="-2884.2205699999995"/>
    <n v="-2789.0357799999997"/>
    <n v="0"/>
    <n v="-3335.4822142014586"/>
    <n v="-2688.1561206875353"/>
  </r>
  <r>
    <s v="Sistema de Compensação"/>
    <x v="2"/>
    <x v="3"/>
    <x v="4"/>
    <x v="2"/>
    <x v="0"/>
    <x v="0"/>
    <x v="1"/>
    <x v="0"/>
    <n v="0"/>
    <n v="0"/>
    <n v="21.228999999999999"/>
    <n v="21.228999999999999"/>
    <n v="21.228999999999999"/>
    <n v="21.228999999999999"/>
    <n v="192"/>
    <x v="0"/>
    <n v="0"/>
    <n v="0"/>
    <n v="30"/>
    <n v="71"/>
    <n v="0"/>
    <n v="308.77"/>
    <n v="298.58"/>
    <m/>
    <n v="357.07977884610415"/>
    <n v="287.78033622605028"/>
    <n v="0"/>
    <n v="6554.8783299999996"/>
    <n v="6338.5548199999994"/>
    <n v="0"/>
    <n v="7580.4466251239446"/>
    <n v="6109.288757742821"/>
  </r>
  <r>
    <s v="Regular"/>
    <x v="2"/>
    <x v="3"/>
    <x v="4"/>
    <x v="2"/>
    <x v="0"/>
    <x v="0"/>
    <x v="1"/>
    <x v="4"/>
    <n v="0"/>
    <n v="0"/>
    <n v="7259.8360000000002"/>
    <n v="7259.8360000000002"/>
    <n v="7259.8360000000002"/>
    <n v="7259.8360000000002"/>
    <n v="44109"/>
    <x v="0"/>
    <n v="0"/>
    <n v="0"/>
    <n v="30"/>
    <n v="71"/>
    <n v="0"/>
    <n v="308.77"/>
    <n v="298.58"/>
    <m/>
    <n v="357.07977884610415"/>
    <n v="287.78033622605028"/>
    <n v="0"/>
    <n v="2241619.5617200001"/>
    <n v="2167641.8328800001"/>
    <n v="0"/>
    <n v="2592340.6333389855"/>
    <n v="2089238.0450259841"/>
  </r>
  <r>
    <s v="Sistema de Compensação"/>
    <x v="2"/>
    <x v="3"/>
    <x v="4"/>
    <x v="2"/>
    <x v="0"/>
    <x v="0"/>
    <x v="1"/>
    <x v="4"/>
    <n v="0"/>
    <n v="0"/>
    <n v="22.004999999999999"/>
    <n v="22.004999999999999"/>
    <n v="22.004999999999999"/>
    <n v="22.004999999999999"/>
    <n v="198"/>
    <x v="0"/>
    <n v="0"/>
    <n v="0"/>
    <n v="30"/>
    <n v="71"/>
    <n v="0"/>
    <n v="308.77"/>
    <n v="298.58"/>
    <m/>
    <n v="357.07977884610415"/>
    <n v="287.78033622605028"/>
    <n v="0"/>
    <n v="6794.4838499999996"/>
    <n v="6570.2528999999995"/>
    <n v="0"/>
    <n v="7857.5405335085215"/>
    <n v="6332.6062986542365"/>
  </r>
  <r>
    <s v="Regular"/>
    <x v="2"/>
    <x v="3"/>
    <x v="4"/>
    <x v="2"/>
    <x v="0"/>
    <x v="0"/>
    <x v="1"/>
    <x v="1"/>
    <n v="0"/>
    <n v="0"/>
    <n v="7015.7569999999996"/>
    <n v="7015.7569999999996"/>
    <n v="7015.7569999999996"/>
    <n v="7015.7569999999996"/>
    <n v="43821"/>
    <x v="0"/>
    <n v="0"/>
    <n v="0"/>
    <n v="30"/>
    <n v="71"/>
    <n v="0"/>
    <n v="308.77"/>
    <n v="298.58"/>
    <m/>
    <n v="357.07977884610415"/>
    <n v="287.78033622605028"/>
    <n v="0"/>
    <n v="2166255.28889"/>
    <n v="2094764.7250599999"/>
    <n v="0"/>
    <n v="2505184.9579980071"/>
    <n v="2018996.9083402657"/>
  </r>
  <r>
    <s v="Refaturamento - Regular"/>
    <x v="2"/>
    <x v="3"/>
    <x v="4"/>
    <x v="2"/>
    <x v="0"/>
    <x v="0"/>
    <x v="1"/>
    <x v="1"/>
    <n v="0"/>
    <n v="0"/>
    <n v="-0.56100000000000005"/>
    <n v="-0.56100000000000005"/>
    <n v="-0.56100000000000005"/>
    <n v="-0.56100000000000005"/>
    <n v="0"/>
    <x v="0"/>
    <n v="0"/>
    <n v="0"/>
    <n v="30"/>
    <n v="71"/>
    <n v="0"/>
    <n v="308.77"/>
    <n v="298.58"/>
    <m/>
    <n v="357.07977884610415"/>
    <n v="287.78033622605028"/>
    <n v="0"/>
    <n v="-173.21997000000002"/>
    <n v="-167.50338000000002"/>
    <n v="0"/>
    <n v="-200.32175593266444"/>
    <n v="-161.44476862281422"/>
  </r>
  <r>
    <s v="Sistema de Compensação"/>
    <x v="2"/>
    <x v="3"/>
    <x v="4"/>
    <x v="2"/>
    <x v="0"/>
    <x v="0"/>
    <x v="1"/>
    <x v="1"/>
    <n v="0"/>
    <n v="0"/>
    <n v="25.526"/>
    <n v="25.526"/>
    <n v="25.526"/>
    <n v="25.526"/>
    <n v="220"/>
    <x v="0"/>
    <n v="0"/>
    <n v="0"/>
    <n v="30"/>
    <n v="71"/>
    <n v="0"/>
    <n v="308.77"/>
    <n v="298.58"/>
    <m/>
    <n v="357.07977884610415"/>
    <n v="287.78033622605028"/>
    <n v="0"/>
    <n v="7881.6630199999991"/>
    <n v="7621.5530799999997"/>
    <n v="0"/>
    <n v="9114.8184348256545"/>
    <n v="7345.8808625061592"/>
  </r>
  <r>
    <s v="Regular"/>
    <x v="2"/>
    <x v="3"/>
    <x v="4"/>
    <x v="2"/>
    <x v="0"/>
    <x v="0"/>
    <x v="1"/>
    <x v="2"/>
    <n v="0"/>
    <n v="0"/>
    <n v="6796.78"/>
    <n v="6796.78"/>
    <n v="6796.78"/>
    <n v="6796.78"/>
    <n v="43907"/>
    <x v="0"/>
    <n v="0"/>
    <n v="0"/>
    <n v="30"/>
    <n v="71"/>
    <n v="0"/>
    <n v="308.77"/>
    <n v="298.58"/>
    <m/>
    <n v="357.07977884610415"/>
    <n v="287.78033622605028"/>
    <n v="0"/>
    <n v="2098641.7605999997"/>
    <n v="2029382.5723999997"/>
    <n v="0"/>
    <n v="2426992.6992656235"/>
    <n v="1955979.6336544938"/>
  </r>
  <r>
    <s v="Refaturamento - Regular"/>
    <x v="2"/>
    <x v="3"/>
    <x v="4"/>
    <x v="2"/>
    <x v="0"/>
    <x v="0"/>
    <x v="1"/>
    <x v="2"/>
    <n v="0"/>
    <n v="0"/>
    <n v="-1.5169999999999999"/>
    <n v="-1.5169999999999999"/>
    <n v="-1.5169999999999999"/>
    <n v="-1.5169999999999999"/>
    <n v="0"/>
    <x v="0"/>
    <n v="0"/>
    <n v="0"/>
    <n v="30"/>
    <n v="71"/>
    <n v="0"/>
    <n v="308.77"/>
    <n v="298.58"/>
    <m/>
    <n v="357.07977884610415"/>
    <n v="287.78033622605028"/>
    <n v="0"/>
    <n v="-468.40408999999994"/>
    <n v="-452.94585999999993"/>
    <n v="0"/>
    <n v="-541.69002450953997"/>
    <n v="-436.56277005491825"/>
  </r>
  <r>
    <s v="Sistema de Compensação"/>
    <x v="2"/>
    <x v="3"/>
    <x v="4"/>
    <x v="2"/>
    <x v="0"/>
    <x v="0"/>
    <x v="1"/>
    <x v="2"/>
    <n v="0"/>
    <n v="0"/>
    <n v="32.314"/>
    <n v="32.314"/>
    <n v="32.314"/>
    <n v="32.314"/>
    <n v="226"/>
    <x v="0"/>
    <n v="0"/>
    <n v="0"/>
    <n v="30"/>
    <n v="71"/>
    <n v="0"/>
    <n v="308.77"/>
    <n v="298.58"/>
    <m/>
    <n v="357.07977884610415"/>
    <n v="287.78033622605028"/>
    <n v="0"/>
    <n v="9977.5937799999992"/>
    <n v="9648.3141199999991"/>
    <n v="0"/>
    <n v="11538.67597363301"/>
    <n v="9299.3337848085885"/>
  </r>
  <r>
    <s v="Regular"/>
    <x v="2"/>
    <x v="3"/>
    <x v="4"/>
    <x v="2"/>
    <x v="0"/>
    <x v="0"/>
    <x v="1"/>
    <x v="5"/>
    <n v="0"/>
    <n v="0"/>
    <n v="6872.0820000000003"/>
    <n v="6872.0820000000003"/>
    <n v="6872.0820000000003"/>
    <n v="6872.0820000000003"/>
    <n v="43891"/>
    <x v="0"/>
    <n v="0"/>
    <n v="0"/>
    <n v="30"/>
    <n v="71"/>
    <n v="0"/>
    <n v="308.77"/>
    <n v="298.58"/>
    <m/>
    <n v="357.07977884610415"/>
    <n v="287.78033622605028"/>
    <n v="0"/>
    <n v="2121892.7591399997"/>
    <n v="2051866.2435600001"/>
    <n v="0"/>
    <n v="2453881.5207722932"/>
    <n v="1977650.0685329882"/>
  </r>
  <r>
    <s v="Refaturamento - Regular"/>
    <x v="2"/>
    <x v="3"/>
    <x v="4"/>
    <x v="2"/>
    <x v="0"/>
    <x v="0"/>
    <x v="1"/>
    <x v="5"/>
    <n v="0"/>
    <n v="0"/>
    <n v="-2.9249999999999998"/>
    <n v="-2.9249999999999998"/>
    <n v="-2.9249999999999998"/>
    <n v="-2.9249999999999998"/>
    <n v="0"/>
    <x v="0"/>
    <n v="0"/>
    <n v="0"/>
    <n v="30"/>
    <n v="71"/>
    <n v="0"/>
    <n v="308.77"/>
    <n v="298.58"/>
    <m/>
    <n v="357.07977884610415"/>
    <n v="287.78033622605028"/>
    <n v="0"/>
    <n v="-903.15224999999987"/>
    <n v="-873.34649999999988"/>
    <n v="0"/>
    <n v="-1044.4583531248545"/>
    <n v="-841.75748346119701"/>
  </r>
  <r>
    <s v="Sistema de Compensação"/>
    <x v="2"/>
    <x v="3"/>
    <x v="4"/>
    <x v="2"/>
    <x v="0"/>
    <x v="0"/>
    <x v="1"/>
    <x v="5"/>
    <n v="0"/>
    <n v="0"/>
    <n v="42.796999999999997"/>
    <n v="42.796999999999997"/>
    <n v="42.796999999999997"/>
    <n v="42.796999999999997"/>
    <n v="266"/>
    <x v="0"/>
    <n v="0"/>
    <n v="0"/>
    <n v="30"/>
    <n v="71"/>
    <n v="0"/>
    <n v="308.77"/>
    <n v="298.58"/>
    <m/>
    <n v="357.07977884610415"/>
    <n v="287.78033622605028"/>
    <n v="0"/>
    <n v="13214.429689999999"/>
    <n v="12778.328259999998"/>
    <n v="0"/>
    <n v="15281.943295276718"/>
    <n v="12316.135049466273"/>
  </r>
  <r>
    <s v="Regular"/>
    <x v="2"/>
    <x v="3"/>
    <x v="4"/>
    <x v="3"/>
    <x v="0"/>
    <x v="0"/>
    <x v="1"/>
    <x v="6"/>
    <n v="0"/>
    <n v="0"/>
    <n v="139.75299999999999"/>
    <n v="139.75299999999999"/>
    <n v="139.75299999999999"/>
    <n v="139.75299999999999"/>
    <n v="227"/>
    <x v="0"/>
    <n v="0"/>
    <n v="0"/>
    <n v="31"/>
    <n v="72"/>
    <n v="0"/>
    <n v="83.69"/>
    <n v="104.5"/>
    <m/>
    <n v="82.887081270638163"/>
    <n v="100.72311767911759"/>
    <n v="0"/>
    <n v="11695.928569999998"/>
    <n v="14604.188499999998"/>
    <n v="0"/>
    <n v="11583.718268815494"/>
    <n v="14076.357865009719"/>
  </r>
  <r>
    <s v="Regular"/>
    <x v="2"/>
    <x v="3"/>
    <x v="4"/>
    <x v="3"/>
    <x v="0"/>
    <x v="0"/>
    <x v="1"/>
    <x v="7"/>
    <n v="0"/>
    <n v="0"/>
    <n v="141.46"/>
    <n v="141.46"/>
    <n v="141.46"/>
    <n v="141.46"/>
    <n v="254"/>
    <x v="0"/>
    <n v="0"/>
    <n v="0"/>
    <n v="31"/>
    <n v="72"/>
    <n v="0"/>
    <n v="83.69"/>
    <n v="104.5"/>
    <m/>
    <n v="82.887081270638163"/>
    <n v="100.72311767911759"/>
    <n v="0"/>
    <n v="11838.787400000001"/>
    <n v="14782.570000000002"/>
    <n v="0"/>
    <n v="11725.206516544475"/>
    <n v="14248.292226887976"/>
  </r>
  <r>
    <s v="Regular"/>
    <x v="2"/>
    <x v="3"/>
    <x v="4"/>
    <x v="3"/>
    <x v="0"/>
    <x v="0"/>
    <x v="1"/>
    <x v="8"/>
    <n v="0"/>
    <n v="0"/>
    <n v="143.18799999999999"/>
    <n v="143.18799999999999"/>
    <n v="143.18799999999999"/>
    <n v="143.18799999999999"/>
    <n v="251"/>
    <x v="0"/>
    <n v="0"/>
    <n v="0"/>
    <n v="31"/>
    <n v="72"/>
    <n v="0"/>
    <n v="83.69"/>
    <n v="104.5"/>
    <m/>
    <n v="82.887081270638163"/>
    <n v="100.72311767911759"/>
    <n v="0"/>
    <n v="11983.403719999998"/>
    <n v="14963.145999999999"/>
    <n v="0"/>
    <n v="11868.435392980136"/>
    <n v="14422.34177423749"/>
  </r>
  <r>
    <s v="Regular"/>
    <x v="2"/>
    <x v="3"/>
    <x v="4"/>
    <x v="3"/>
    <x v="0"/>
    <x v="0"/>
    <x v="1"/>
    <x v="9"/>
    <n v="0"/>
    <n v="0"/>
    <n v="144.38200000000001"/>
    <n v="144.38200000000001"/>
    <n v="144.38200000000001"/>
    <n v="144.38200000000001"/>
    <n v="217"/>
    <x v="0"/>
    <n v="0"/>
    <n v="0"/>
    <n v="31"/>
    <n v="72"/>
    <n v="0"/>
    <n v="83.69"/>
    <n v="104.5"/>
    <m/>
    <n v="82.887081270638163"/>
    <n v="100.72311767911759"/>
    <n v="0"/>
    <n v="12083.32958"/>
    <n v="15087.919"/>
    <n v="0"/>
    <n v="11967.40256801728"/>
    <n v="14542.605176746356"/>
  </r>
  <r>
    <s v="Regular"/>
    <x v="2"/>
    <x v="3"/>
    <x v="4"/>
    <x v="3"/>
    <x v="0"/>
    <x v="0"/>
    <x v="1"/>
    <x v="10"/>
    <n v="0"/>
    <n v="0"/>
    <n v="143.66900000000001"/>
    <n v="143.66900000000001"/>
    <n v="143.66900000000001"/>
    <n v="143.66900000000001"/>
    <n v="214"/>
    <x v="0"/>
    <n v="0"/>
    <n v="0"/>
    <n v="31"/>
    <n v="72"/>
    <n v="0"/>
    <n v="83.69"/>
    <n v="104.5"/>
    <m/>
    <n v="82.887081270638163"/>
    <n v="100.72311767911759"/>
    <n v="0"/>
    <n v="12023.65861"/>
    <n v="15013.410500000002"/>
    <n v="0"/>
    <n v="11908.304079071315"/>
    <n v="14470.789593841146"/>
  </r>
  <r>
    <s v="Regular"/>
    <x v="2"/>
    <x v="3"/>
    <x v="4"/>
    <x v="3"/>
    <x v="0"/>
    <x v="0"/>
    <x v="1"/>
    <x v="11"/>
    <n v="0"/>
    <n v="0"/>
    <n v="140.34"/>
    <n v="140.34"/>
    <n v="140.34"/>
    <n v="140.34"/>
    <n v="217"/>
    <x v="0"/>
    <n v="0"/>
    <n v="0"/>
    <n v="31"/>
    <n v="72"/>
    <n v="0"/>
    <n v="83.69"/>
    <n v="104.5"/>
    <m/>
    <n v="82.887081270638163"/>
    <n v="100.72311767911759"/>
    <n v="0"/>
    <n v="11745.054599999999"/>
    <n v="14665.53"/>
    <n v="0"/>
    <n v="11632.372985521361"/>
    <n v="14135.482335087363"/>
  </r>
  <r>
    <s v="Regular"/>
    <x v="2"/>
    <x v="3"/>
    <x v="4"/>
    <x v="3"/>
    <x v="0"/>
    <x v="0"/>
    <x v="1"/>
    <x v="3"/>
    <n v="0"/>
    <n v="0"/>
    <n v="136.69900000000001"/>
    <n v="136.69900000000001"/>
    <n v="136.69900000000001"/>
    <n v="136.69900000000001"/>
    <n v="178"/>
    <x v="0"/>
    <n v="0"/>
    <n v="0"/>
    <n v="31"/>
    <n v="72"/>
    <n v="0"/>
    <n v="83.69"/>
    <n v="104.5"/>
    <m/>
    <n v="82.887081270638163"/>
    <n v="100.72311767911759"/>
    <n v="0"/>
    <n v="11440.339310000001"/>
    <n v="14285.045500000002"/>
    <n v="0"/>
    <n v="11330.581122614967"/>
    <n v="13768.749463617696"/>
  </r>
  <r>
    <s v="Regular"/>
    <x v="2"/>
    <x v="3"/>
    <x v="4"/>
    <x v="3"/>
    <x v="0"/>
    <x v="0"/>
    <x v="1"/>
    <x v="0"/>
    <n v="0"/>
    <n v="0"/>
    <n v="137.904"/>
    <n v="137.904"/>
    <n v="137.904"/>
    <n v="137.904"/>
    <n v="181"/>
    <x v="0"/>
    <n v="0"/>
    <n v="0"/>
    <n v="31"/>
    <n v="72"/>
    <n v="0"/>
    <n v="83.69"/>
    <n v="104.5"/>
    <m/>
    <n v="82.887081270638163"/>
    <n v="100.72311767911759"/>
    <n v="0"/>
    <n v="11541.185759999998"/>
    <n v="14410.967999999999"/>
    <n v="0"/>
    <n v="11430.460055546086"/>
    <n v="13890.120820421032"/>
  </r>
  <r>
    <s v="Regular"/>
    <x v="2"/>
    <x v="3"/>
    <x v="4"/>
    <x v="3"/>
    <x v="0"/>
    <x v="0"/>
    <x v="1"/>
    <x v="4"/>
    <n v="0"/>
    <n v="0"/>
    <n v="142.95599999999999"/>
    <n v="142.95599999999999"/>
    <n v="142.95599999999999"/>
    <n v="142.95599999999999"/>
    <n v="186"/>
    <x v="0"/>
    <n v="0"/>
    <n v="0"/>
    <n v="31"/>
    <n v="72"/>
    <n v="0"/>
    <n v="83.69"/>
    <n v="104.5"/>
    <m/>
    <n v="82.887081270638163"/>
    <n v="100.72311767911759"/>
    <n v="0"/>
    <n v="11963.987639999999"/>
    <n v="14938.901999999998"/>
    <n v="0"/>
    <n v="11849.205590125348"/>
    <n v="14398.974010935934"/>
  </r>
  <r>
    <s v="Regular"/>
    <x v="2"/>
    <x v="3"/>
    <x v="4"/>
    <x v="3"/>
    <x v="0"/>
    <x v="0"/>
    <x v="1"/>
    <x v="1"/>
    <n v="0"/>
    <n v="0"/>
    <n v="153.839"/>
    <n v="153.839"/>
    <n v="153.839"/>
    <n v="153.839"/>
    <n v="200"/>
    <x v="0"/>
    <n v="0"/>
    <n v="0"/>
    <n v="31"/>
    <n v="72"/>
    <n v="0"/>
    <n v="83.69"/>
    <n v="104.5"/>
    <m/>
    <n v="82.887081270638163"/>
    <n v="100.72311767911759"/>
    <n v="0"/>
    <n v="12874.785909999999"/>
    <n v="16076.175499999999"/>
    <n v="0"/>
    <n v="12751.265695593704"/>
    <n v="15495.143700637771"/>
  </r>
  <r>
    <s v="Regular"/>
    <x v="2"/>
    <x v="3"/>
    <x v="4"/>
    <x v="3"/>
    <x v="0"/>
    <x v="0"/>
    <x v="1"/>
    <x v="2"/>
    <n v="0"/>
    <n v="0"/>
    <n v="154.833"/>
    <n v="154.833"/>
    <n v="154.833"/>
    <n v="154.833"/>
    <n v="226"/>
    <x v="0"/>
    <n v="0"/>
    <n v="0"/>
    <n v="31"/>
    <n v="72"/>
    <n v="0"/>
    <n v="83.69"/>
    <n v="104.5"/>
    <m/>
    <n v="82.887081270638163"/>
    <n v="100.72311767911759"/>
    <n v="0"/>
    <n v="12957.973769999999"/>
    <n v="16180.048499999999"/>
    <n v="0"/>
    <n v="12833.655454376718"/>
    <n v="15595.262479610814"/>
  </r>
  <r>
    <s v="Regular"/>
    <x v="2"/>
    <x v="3"/>
    <x v="4"/>
    <x v="3"/>
    <x v="0"/>
    <x v="0"/>
    <x v="1"/>
    <x v="5"/>
    <n v="0"/>
    <n v="0"/>
    <n v="156.267"/>
    <n v="156.267"/>
    <n v="156.267"/>
    <n v="156.267"/>
    <n v="247"/>
    <x v="0"/>
    <n v="0"/>
    <n v="0"/>
    <n v="31"/>
    <n v="72"/>
    <n v="0"/>
    <n v="83.69"/>
    <n v="104.5"/>
    <m/>
    <n v="82.887081270638163"/>
    <n v="100.72311767911759"/>
    <n v="0"/>
    <n v="13077.985229999998"/>
    <n v="16329.9015"/>
    <n v="0"/>
    <n v="12952.515528918813"/>
    <n v="15739.699430362669"/>
  </r>
  <r>
    <s v="Refaturamento - Regular"/>
    <x v="2"/>
    <x v="3"/>
    <x v="4"/>
    <x v="3"/>
    <x v="0"/>
    <x v="0"/>
    <x v="1"/>
    <x v="5"/>
    <n v="0"/>
    <n v="0"/>
    <n v="0.06"/>
    <n v="0.06"/>
    <n v="0.06"/>
    <n v="0.06"/>
    <n v="0"/>
    <x v="0"/>
    <n v="0"/>
    <n v="0"/>
    <n v="31"/>
    <n v="72"/>
    <n v="0"/>
    <n v="83.69"/>
    <n v="104.5"/>
    <m/>
    <n v="82.887081270638163"/>
    <n v="100.72311767911759"/>
    <n v="0"/>
    <n v="5.0213999999999999"/>
    <n v="6.27"/>
    <n v="0"/>
    <n v="4.97322487623829"/>
    <n v="6.0433870607470555"/>
  </r>
  <r>
    <s v="Regular"/>
    <x v="2"/>
    <x v="3"/>
    <x v="4"/>
    <x v="4"/>
    <x v="0"/>
    <x v="0"/>
    <x v="1"/>
    <x v="6"/>
    <n v="0"/>
    <n v="0"/>
    <n v="261.74599999999998"/>
    <n v="261.74599999999998"/>
    <n v="261.74599999999998"/>
    <n v="261.74599999999998"/>
    <n v="1688"/>
    <x v="0"/>
    <n v="0"/>
    <n v="0"/>
    <n v="32"/>
    <n v="73"/>
    <n v="0"/>
    <n v="143.46"/>
    <n v="179.15"/>
    <m/>
    <n v="142.09213932109398"/>
    <n v="172.66820173563016"/>
    <n v="0"/>
    <n v="37550.081160000002"/>
    <n v="46891.795899999997"/>
    <n v="0"/>
    <n v="37192.049098739066"/>
    <n v="45195.211131494252"/>
  </r>
  <r>
    <s v="Refaturamento - Regular"/>
    <x v="2"/>
    <x v="3"/>
    <x v="4"/>
    <x v="4"/>
    <x v="0"/>
    <x v="0"/>
    <x v="1"/>
    <x v="6"/>
    <n v="0"/>
    <n v="0"/>
    <n v="-8.9999999999999993E-3"/>
    <n v="-8.9999999999999993E-3"/>
    <n v="-8.9999999999999993E-3"/>
    <n v="-8.9999999999999993E-3"/>
    <n v="0"/>
    <x v="0"/>
    <n v="0"/>
    <n v="0"/>
    <n v="32"/>
    <n v="73"/>
    <n v="0"/>
    <n v="143.46"/>
    <n v="179.15"/>
    <m/>
    <n v="142.09213932109398"/>
    <n v="172.66820173563016"/>
    <n v="0"/>
    <n v="-1.29114"/>
    <n v="-1.6123499999999999"/>
    <n v="0"/>
    <n v="-1.2788292538898458"/>
    <n v="-1.5540138156206713"/>
  </r>
  <r>
    <s v="Regular"/>
    <x v="2"/>
    <x v="3"/>
    <x v="4"/>
    <x v="4"/>
    <x v="0"/>
    <x v="0"/>
    <x v="1"/>
    <x v="7"/>
    <n v="0"/>
    <n v="0"/>
    <n v="261.61599999999999"/>
    <n v="261.61599999999999"/>
    <n v="261.61599999999999"/>
    <n v="261.61599999999999"/>
    <n v="1732"/>
    <x v="0"/>
    <n v="0"/>
    <n v="0"/>
    <n v="32"/>
    <n v="73"/>
    <n v="0"/>
    <n v="143.46"/>
    <n v="179.15"/>
    <m/>
    <n v="142.09213932109398"/>
    <n v="172.66820173563016"/>
    <n v="0"/>
    <n v="37531.431360000002"/>
    <n v="46868.506399999998"/>
    <n v="0"/>
    <n v="37173.57712062732"/>
    <n v="45172.764265268619"/>
  </r>
  <r>
    <s v="Refaturamento - Regular"/>
    <x v="2"/>
    <x v="3"/>
    <x v="4"/>
    <x v="4"/>
    <x v="0"/>
    <x v="0"/>
    <x v="1"/>
    <x v="7"/>
    <n v="0"/>
    <n v="0"/>
    <n v="-4.0000000000000001E-3"/>
    <n v="-4.0000000000000001E-3"/>
    <n v="-4.0000000000000001E-3"/>
    <n v="-4.0000000000000001E-3"/>
    <n v="0"/>
    <x v="0"/>
    <n v="0"/>
    <n v="0"/>
    <n v="32"/>
    <n v="73"/>
    <n v="0"/>
    <n v="143.46"/>
    <n v="179.15"/>
    <m/>
    <n v="142.09213932109398"/>
    <n v="172.66820173563016"/>
    <n v="0"/>
    <n v="-0.57384000000000002"/>
    <n v="-0.71660000000000001"/>
    <n v="0"/>
    <n v="-0.56836855728437596"/>
    <n v="-0.69067280694252065"/>
  </r>
  <r>
    <s v="Regular"/>
    <x v="2"/>
    <x v="3"/>
    <x v="4"/>
    <x v="4"/>
    <x v="0"/>
    <x v="0"/>
    <x v="1"/>
    <x v="8"/>
    <n v="0"/>
    <n v="0"/>
    <n v="265.65699999999998"/>
    <n v="265.65699999999998"/>
    <n v="265.65699999999998"/>
    <n v="265.65699999999998"/>
    <n v="1693"/>
    <x v="0"/>
    <n v="0"/>
    <n v="0"/>
    <n v="32"/>
    <n v="73"/>
    <n v="0"/>
    <n v="143.46"/>
    <n v="179.15"/>
    <m/>
    <n v="142.09213932109398"/>
    <n v="172.66820173563016"/>
    <n v="0"/>
    <n v="38111.15322"/>
    <n v="47592.451549999998"/>
    <n v="0"/>
    <n v="37747.771455623864"/>
    <n v="45870.516468482296"/>
  </r>
  <r>
    <s v="Refaturamento - Regular"/>
    <x v="2"/>
    <x v="3"/>
    <x v="4"/>
    <x v="4"/>
    <x v="0"/>
    <x v="0"/>
    <x v="1"/>
    <x v="8"/>
    <n v="0"/>
    <n v="0"/>
    <n v="-3.9E-2"/>
    <n v="-3.9E-2"/>
    <n v="-3.9E-2"/>
    <n v="-3.9E-2"/>
    <n v="0"/>
    <x v="0"/>
    <n v="0"/>
    <n v="0"/>
    <n v="32"/>
    <n v="73"/>
    <n v="0"/>
    <n v="143.46"/>
    <n v="179.15"/>
    <m/>
    <n v="142.09213932109398"/>
    <n v="172.66820173563016"/>
    <n v="0"/>
    <n v="-5.5949400000000002"/>
    <n v="-6.9868500000000004"/>
    <n v="0"/>
    <n v="-5.5415934335226655"/>
    <n v="-6.7340598676895764"/>
  </r>
  <r>
    <s v="Regular"/>
    <x v="2"/>
    <x v="3"/>
    <x v="4"/>
    <x v="4"/>
    <x v="0"/>
    <x v="0"/>
    <x v="1"/>
    <x v="9"/>
    <n v="0"/>
    <n v="0"/>
    <n v="273.36700000000002"/>
    <n v="273.36700000000002"/>
    <n v="273.36700000000002"/>
    <n v="273.36700000000002"/>
    <n v="1663"/>
    <x v="0"/>
    <n v="0"/>
    <n v="0"/>
    <n v="32"/>
    <n v="73"/>
    <n v="0"/>
    <n v="143.46"/>
    <n v="179.15"/>
    <m/>
    <n v="142.09213932109398"/>
    <n v="172.66820173563016"/>
    <n v="0"/>
    <n v="39217.229820000008"/>
    <n v="48973.698050000006"/>
    <n v="0"/>
    <n v="38843.301849789503"/>
    <n v="47201.788303864014"/>
  </r>
  <r>
    <s v="Refaturamento - Regular"/>
    <x v="2"/>
    <x v="3"/>
    <x v="4"/>
    <x v="4"/>
    <x v="0"/>
    <x v="0"/>
    <x v="1"/>
    <x v="9"/>
    <n v="0"/>
    <n v="0"/>
    <n v="-0.13500000000000001"/>
    <n v="-0.13500000000000001"/>
    <n v="-0.13500000000000001"/>
    <n v="-0.13500000000000001"/>
    <n v="0"/>
    <x v="0"/>
    <n v="0"/>
    <n v="0"/>
    <n v="32"/>
    <n v="73"/>
    <n v="0"/>
    <n v="143.46"/>
    <n v="179.15"/>
    <m/>
    <n v="142.09213932109398"/>
    <n v="172.66820173563016"/>
    <n v="0"/>
    <n v="-19.367100000000001"/>
    <n v="-24.185250000000003"/>
    <n v="0"/>
    <n v="-19.18243880834769"/>
    <n v="-23.310207234310074"/>
  </r>
  <r>
    <s v="Regular"/>
    <x v="2"/>
    <x v="3"/>
    <x v="4"/>
    <x v="4"/>
    <x v="0"/>
    <x v="0"/>
    <x v="1"/>
    <x v="10"/>
    <n v="0"/>
    <n v="0"/>
    <n v="273.81"/>
    <n v="273.81"/>
    <n v="273.81"/>
    <n v="273.81"/>
    <n v="1632"/>
    <x v="0"/>
    <n v="0"/>
    <n v="0"/>
    <n v="32"/>
    <n v="73"/>
    <n v="0"/>
    <n v="143.46"/>
    <n v="179.15"/>
    <m/>
    <n v="142.09213932109398"/>
    <n v="172.66820173563016"/>
    <n v="0"/>
    <n v="39280.782600000006"/>
    <n v="49053.061500000003"/>
    <n v="0"/>
    <n v="38906.248667508742"/>
    <n v="47278.280317232893"/>
  </r>
  <r>
    <s v="Refaturamento - Regular"/>
    <x v="2"/>
    <x v="3"/>
    <x v="4"/>
    <x v="4"/>
    <x v="0"/>
    <x v="0"/>
    <x v="1"/>
    <x v="10"/>
    <n v="0"/>
    <n v="0"/>
    <n v="-6.5000000000000002E-2"/>
    <n v="-6.5000000000000002E-2"/>
    <n v="-6.5000000000000002E-2"/>
    <n v="-6.5000000000000002E-2"/>
    <n v="0"/>
    <x v="0"/>
    <n v="0"/>
    <n v="0"/>
    <n v="32"/>
    <n v="73"/>
    <n v="0"/>
    <n v="143.46"/>
    <n v="179.15"/>
    <m/>
    <n v="142.09213932109398"/>
    <n v="172.66820173563016"/>
    <n v="0"/>
    <n v="-9.3249000000000013"/>
    <n v="-11.64475"/>
    <n v="0"/>
    <n v="-9.2359890558711086"/>
    <n v="-11.223433112815961"/>
  </r>
  <r>
    <s v="Regular"/>
    <x v="2"/>
    <x v="3"/>
    <x v="4"/>
    <x v="4"/>
    <x v="0"/>
    <x v="0"/>
    <x v="1"/>
    <x v="11"/>
    <n v="0"/>
    <n v="0"/>
    <n v="265.63600000000002"/>
    <n v="265.63600000000002"/>
    <n v="265.63600000000002"/>
    <n v="265.63600000000002"/>
    <n v="1637"/>
    <x v="0"/>
    <n v="0"/>
    <n v="0"/>
    <n v="32"/>
    <n v="73"/>
    <n v="0"/>
    <n v="143.46"/>
    <n v="179.15"/>
    <m/>
    <n v="142.09213932109398"/>
    <n v="172.66820173563016"/>
    <n v="0"/>
    <n v="38108.140560000007"/>
    <n v="47588.689400000003"/>
    <n v="0"/>
    <n v="37744.787520698126"/>
    <n v="45866.890436245856"/>
  </r>
  <r>
    <s v="Refaturamento - Regular"/>
    <x v="2"/>
    <x v="3"/>
    <x v="4"/>
    <x v="4"/>
    <x v="0"/>
    <x v="0"/>
    <x v="1"/>
    <x v="11"/>
    <n v="0"/>
    <n v="0"/>
    <n v="-6.4000000000000001E-2"/>
    <n v="-6.4000000000000001E-2"/>
    <n v="-6.4000000000000001E-2"/>
    <n v="-6.4000000000000001E-2"/>
    <n v="0"/>
    <x v="0"/>
    <n v="0"/>
    <n v="0"/>
    <n v="32"/>
    <n v="73"/>
    <n v="0"/>
    <n v="143.46"/>
    <n v="179.15"/>
    <m/>
    <n v="142.09213932109398"/>
    <n v="172.66820173563016"/>
    <n v="0"/>
    <n v="-9.1814400000000003"/>
    <n v="-11.4656"/>
    <n v="0"/>
    <n v="-9.0938969165500154"/>
    <n v="-11.05076491108033"/>
  </r>
  <r>
    <s v="Regular"/>
    <x v="2"/>
    <x v="3"/>
    <x v="4"/>
    <x v="4"/>
    <x v="0"/>
    <x v="0"/>
    <x v="1"/>
    <x v="3"/>
    <n v="0"/>
    <n v="0"/>
    <n v="263.64100000000002"/>
    <n v="263.64100000000002"/>
    <n v="263.64100000000002"/>
    <n v="263.64100000000002"/>
    <n v="1554"/>
    <x v="0"/>
    <n v="0"/>
    <n v="0"/>
    <n v="32"/>
    <n v="73"/>
    <n v="0"/>
    <n v="143.46"/>
    <n v="179.15"/>
    <m/>
    <n v="142.09213932109398"/>
    <n v="172.66820173563016"/>
    <n v="0"/>
    <n v="37821.937860000005"/>
    <n v="47231.285150000003"/>
    <n v="0"/>
    <n v="37461.313702752544"/>
    <n v="45522.417373783275"/>
  </r>
  <r>
    <s v="Refaturamento - Regular"/>
    <x v="2"/>
    <x v="3"/>
    <x v="4"/>
    <x v="4"/>
    <x v="0"/>
    <x v="0"/>
    <x v="1"/>
    <x v="3"/>
    <n v="0"/>
    <n v="0"/>
    <n v="1.6E-2"/>
    <n v="1.6E-2"/>
    <n v="1.6E-2"/>
    <n v="1.6E-2"/>
    <n v="0"/>
    <x v="0"/>
    <n v="0"/>
    <n v="0"/>
    <n v="32"/>
    <n v="73"/>
    <n v="0"/>
    <n v="143.46"/>
    <n v="179.15"/>
    <m/>
    <n v="142.09213932109398"/>
    <n v="172.66820173563016"/>
    <n v="0"/>
    <n v="2.2953600000000001"/>
    <n v="2.8664000000000001"/>
    <n v="0"/>
    <n v="2.2734742291375039"/>
    <n v="2.7626912277700826"/>
  </r>
  <r>
    <s v="Regular"/>
    <x v="2"/>
    <x v="3"/>
    <x v="4"/>
    <x v="4"/>
    <x v="0"/>
    <x v="0"/>
    <x v="1"/>
    <x v="0"/>
    <n v="0"/>
    <n v="0"/>
    <n v="267.75400000000002"/>
    <n v="267.75400000000002"/>
    <n v="267.75400000000002"/>
    <n v="267.75400000000002"/>
    <n v="1520"/>
    <x v="0"/>
    <n v="0"/>
    <n v="0"/>
    <n v="32"/>
    <n v="73"/>
    <n v="0"/>
    <n v="143.46"/>
    <n v="179.15"/>
    <m/>
    <n v="142.09213932109398"/>
    <n v="172.66820173563016"/>
    <n v="0"/>
    <n v="38411.988840000005"/>
    <n v="47968.129100000006"/>
    <n v="0"/>
    <n v="38045.7386717802"/>
    <n v="46232.601687521921"/>
  </r>
  <r>
    <s v="Refaturamento - Regular"/>
    <x v="2"/>
    <x v="3"/>
    <x v="4"/>
    <x v="4"/>
    <x v="0"/>
    <x v="0"/>
    <x v="1"/>
    <x v="0"/>
    <n v="0"/>
    <n v="0"/>
    <n v="-0.09"/>
    <n v="-0.09"/>
    <n v="-0.09"/>
    <n v="-0.09"/>
    <n v="0"/>
    <x v="0"/>
    <n v="0"/>
    <n v="0"/>
    <n v="32"/>
    <n v="73"/>
    <n v="0"/>
    <n v="143.46"/>
    <n v="179.15"/>
    <m/>
    <n v="142.09213932109398"/>
    <n v="172.66820173563016"/>
    <n v="0"/>
    <n v="-12.9114"/>
    <n v="-16.1235"/>
    <n v="0"/>
    <n v="-12.788292538898459"/>
    <n v="-15.540138156206714"/>
  </r>
  <r>
    <s v="Regular"/>
    <x v="2"/>
    <x v="3"/>
    <x v="4"/>
    <x v="4"/>
    <x v="0"/>
    <x v="0"/>
    <x v="1"/>
    <x v="4"/>
    <n v="0"/>
    <n v="0"/>
    <n v="283.09500000000003"/>
    <n v="283.09500000000003"/>
    <n v="283.09500000000003"/>
    <n v="283.09500000000003"/>
    <n v="1423"/>
    <x v="0"/>
    <n v="0"/>
    <n v="0"/>
    <n v="32"/>
    <n v="73"/>
    <n v="0"/>
    <n v="143.46"/>
    <n v="179.15"/>
    <m/>
    <n v="142.09213932109398"/>
    <n v="172.66820173563016"/>
    <n v="0"/>
    <n v="40612.808700000009"/>
    <n v="50716.469250000009"/>
    <n v="0"/>
    <n v="40225.574181105105"/>
    <n v="48881.504570348225"/>
  </r>
  <r>
    <s v="Regular"/>
    <x v="2"/>
    <x v="3"/>
    <x v="4"/>
    <x v="4"/>
    <x v="0"/>
    <x v="0"/>
    <x v="1"/>
    <x v="1"/>
    <n v="0"/>
    <n v="0"/>
    <n v="299.08600000000001"/>
    <n v="299.08600000000001"/>
    <n v="299.08600000000001"/>
    <n v="299.08600000000001"/>
    <n v="1670"/>
    <x v="0"/>
    <n v="0"/>
    <n v="0"/>
    <n v="32"/>
    <n v="73"/>
    <n v="0"/>
    <n v="143.46"/>
    <n v="179.15"/>
    <m/>
    <n v="142.09213932109398"/>
    <n v="172.66820173563016"/>
    <n v="0"/>
    <n v="42906.877560000001"/>
    <n v="53581.256900000008"/>
    <n v="0"/>
    <n v="42497.769580988715"/>
    <n v="51642.641784302687"/>
  </r>
  <r>
    <s v="Regular"/>
    <x v="2"/>
    <x v="3"/>
    <x v="4"/>
    <x v="4"/>
    <x v="0"/>
    <x v="0"/>
    <x v="1"/>
    <x v="2"/>
    <n v="0"/>
    <n v="0"/>
    <n v="295.02300000000002"/>
    <n v="295.02300000000002"/>
    <n v="295.02300000000002"/>
    <n v="295.02300000000002"/>
    <n v="1800"/>
    <x v="0"/>
    <n v="0"/>
    <n v="0"/>
    <n v="32"/>
    <n v="73"/>
    <n v="0"/>
    <n v="143.46"/>
    <n v="179.15"/>
    <m/>
    <n v="142.09213932109398"/>
    <n v="172.66820173563016"/>
    <n v="0"/>
    <n v="42323.999580000003"/>
    <n v="52853.370450000009"/>
    <n v="0"/>
    <n v="41920.449218927111"/>
    <n v="50941.090880650823"/>
  </r>
  <r>
    <s v="Regular"/>
    <x v="2"/>
    <x v="3"/>
    <x v="4"/>
    <x v="4"/>
    <x v="0"/>
    <x v="0"/>
    <x v="1"/>
    <x v="5"/>
    <n v="0"/>
    <n v="0"/>
    <n v="296.60599999999999"/>
    <n v="296.60599999999999"/>
    <n v="296.60599999999999"/>
    <n v="296.60599999999999"/>
    <n v="1802"/>
    <x v="0"/>
    <n v="0"/>
    <n v="0"/>
    <n v="32"/>
    <n v="73"/>
    <n v="0"/>
    <n v="143.46"/>
    <n v="179.15"/>
    <m/>
    <n v="142.09213932109398"/>
    <n v="172.66820173563016"/>
    <n v="0"/>
    <n v="42551.09676"/>
    <n v="53136.964899999999"/>
    <n v="0"/>
    <n v="42145.381075472404"/>
    <n v="51214.424643998318"/>
  </r>
  <r>
    <s v="Refaturamento - Regular"/>
    <x v="2"/>
    <x v="3"/>
    <x v="4"/>
    <x v="4"/>
    <x v="0"/>
    <x v="0"/>
    <x v="1"/>
    <x v="5"/>
    <n v="0"/>
    <n v="0"/>
    <n v="7.0000000000000007E-2"/>
    <n v="7.0000000000000007E-2"/>
    <n v="7.0000000000000007E-2"/>
    <n v="7.0000000000000007E-2"/>
    <n v="0"/>
    <x v="0"/>
    <n v="0"/>
    <n v="0"/>
    <n v="32"/>
    <n v="73"/>
    <n v="0"/>
    <n v="143.46"/>
    <n v="179.15"/>
    <m/>
    <n v="142.09213932109398"/>
    <n v="172.66820173563016"/>
    <n v="0"/>
    <n v="10.042200000000001"/>
    <n v="12.540500000000002"/>
    <n v="0"/>
    <n v="9.94644975247658"/>
    <n v="12.086774121494113"/>
  </r>
  <r>
    <s v="Regular"/>
    <x v="2"/>
    <x v="3"/>
    <x v="4"/>
    <x v="5"/>
    <x v="0"/>
    <x v="0"/>
    <x v="1"/>
    <x v="6"/>
    <n v="0"/>
    <n v="0"/>
    <n v="165.16200000000001"/>
    <n v="165.16200000000001"/>
    <n v="165.16200000000001"/>
    <n v="165.16200000000001"/>
    <n v="2235"/>
    <x v="0"/>
    <n v="0"/>
    <n v="0"/>
    <n v="33"/>
    <n v="74"/>
    <n v="0"/>
    <n v="215.19"/>
    <n v="268.72000000000003"/>
    <m/>
    <n v="213.13820898164101"/>
    <n v="259.00230260344529"/>
    <n v="0"/>
    <n v="35541.210780000001"/>
    <n v="44382.332640000008"/>
    <n v="0"/>
    <n v="35202.332871825798"/>
    <n v="42777.338302590229"/>
  </r>
  <r>
    <s v="Refaturamento - Regular"/>
    <x v="2"/>
    <x v="3"/>
    <x v="4"/>
    <x v="5"/>
    <x v="0"/>
    <x v="0"/>
    <x v="1"/>
    <x v="6"/>
    <n v="0"/>
    <n v="0"/>
    <n v="-0.14000000000000001"/>
    <n v="-0.14000000000000001"/>
    <n v="-0.14000000000000001"/>
    <n v="-0.14000000000000001"/>
    <n v="0"/>
    <x v="0"/>
    <n v="0"/>
    <n v="0"/>
    <n v="33"/>
    <n v="74"/>
    <n v="0"/>
    <n v="215.19"/>
    <n v="268.72000000000003"/>
    <m/>
    <n v="213.13820898164101"/>
    <n v="259.00230260344529"/>
    <n v="0"/>
    <n v="-30.126600000000003"/>
    <n v="-37.62080000000001"/>
    <n v="0"/>
    <n v="-29.839349257429745"/>
    <n v="-36.260322364482342"/>
  </r>
  <r>
    <s v="Regular"/>
    <x v="2"/>
    <x v="3"/>
    <x v="4"/>
    <x v="5"/>
    <x v="0"/>
    <x v="0"/>
    <x v="1"/>
    <x v="7"/>
    <n v="0"/>
    <n v="0"/>
    <n v="164.381"/>
    <n v="164.381"/>
    <n v="164.381"/>
    <n v="164.381"/>
    <n v="2212"/>
    <x v="0"/>
    <n v="0"/>
    <n v="0"/>
    <n v="33"/>
    <n v="74"/>
    <n v="0"/>
    <n v="215.19"/>
    <n v="268.72000000000003"/>
    <m/>
    <n v="213.13820898164101"/>
    <n v="259.00230260344529"/>
    <n v="0"/>
    <n v="35373.147389999998"/>
    <n v="44172.462320000006"/>
    <n v="0"/>
    <n v="35035.871930611131"/>
    <n v="42575.05750425694"/>
  </r>
  <r>
    <s v="Refaturamento - Regular"/>
    <x v="2"/>
    <x v="3"/>
    <x v="4"/>
    <x v="5"/>
    <x v="0"/>
    <x v="0"/>
    <x v="1"/>
    <x v="7"/>
    <n v="0"/>
    <n v="0"/>
    <n v="-0.13900000000000001"/>
    <n v="-0.13900000000000001"/>
    <n v="-0.13900000000000001"/>
    <n v="-0.13900000000000001"/>
    <n v="0"/>
    <x v="0"/>
    <n v="0"/>
    <n v="0"/>
    <n v="33"/>
    <n v="74"/>
    <n v="0"/>
    <n v="215.19"/>
    <n v="268.72000000000003"/>
    <m/>
    <n v="213.13820898164101"/>
    <n v="259.00230260344529"/>
    <n v="0"/>
    <n v="-29.911410000000004"/>
    <n v="-37.352080000000008"/>
    <n v="0"/>
    <n v="-29.626211048448102"/>
    <n v="-36.0013200618789"/>
  </r>
  <r>
    <s v="Regular"/>
    <x v="2"/>
    <x v="3"/>
    <x v="4"/>
    <x v="5"/>
    <x v="0"/>
    <x v="0"/>
    <x v="1"/>
    <x v="8"/>
    <n v="0"/>
    <n v="0"/>
    <n v="172.28899999999999"/>
    <n v="172.28899999999999"/>
    <n v="172.28899999999999"/>
    <n v="172.28899999999999"/>
    <n v="2288"/>
    <x v="0"/>
    <n v="0"/>
    <n v="0"/>
    <n v="33"/>
    <n v="74"/>
    <n v="0"/>
    <n v="215.19"/>
    <n v="268.72000000000003"/>
    <m/>
    <n v="213.13820898164101"/>
    <n v="259.00230260344529"/>
    <n v="0"/>
    <n v="37074.869909999994"/>
    <n v="46297.500079999998"/>
    <n v="0"/>
    <n v="36721.368887237943"/>
    <n v="44623.247713244979"/>
  </r>
  <r>
    <s v="Refaturamento - Regular"/>
    <x v="2"/>
    <x v="3"/>
    <x v="4"/>
    <x v="5"/>
    <x v="0"/>
    <x v="0"/>
    <x v="1"/>
    <x v="8"/>
    <n v="0"/>
    <n v="0"/>
    <n v="-0.41199999999999998"/>
    <n v="-0.41199999999999998"/>
    <n v="-0.41199999999999998"/>
    <n v="-0.41199999999999998"/>
    <n v="0"/>
    <x v="0"/>
    <n v="0"/>
    <n v="0"/>
    <n v="33"/>
    <n v="74"/>
    <n v="0"/>
    <n v="215.19"/>
    <n v="268.72000000000003"/>
    <m/>
    <n v="213.13820898164101"/>
    <n v="259.00230260344529"/>
    <n v="0"/>
    <n v="-88.658279999999991"/>
    <n v="-110.71264000000001"/>
    <n v="0"/>
    <n v="-87.812942100436089"/>
    <n v="-106.70894867261946"/>
  </r>
  <r>
    <s v="Regular"/>
    <x v="2"/>
    <x v="3"/>
    <x v="4"/>
    <x v="5"/>
    <x v="0"/>
    <x v="0"/>
    <x v="1"/>
    <x v="9"/>
    <n v="0"/>
    <n v="0"/>
    <n v="172.27199999999999"/>
    <n v="172.27199999999999"/>
    <n v="172.27199999999999"/>
    <n v="172.27199999999999"/>
    <n v="2446"/>
    <x v="0"/>
    <n v="0"/>
    <n v="0"/>
    <n v="33"/>
    <n v="74"/>
    <n v="0"/>
    <n v="215.19"/>
    <n v="268.72000000000003"/>
    <m/>
    <n v="213.13820898164101"/>
    <n v="259.00230260344529"/>
    <n v="0"/>
    <n v="37071.21168"/>
    <n v="46292.931840000005"/>
    <n v="0"/>
    <n v="36717.745537685259"/>
    <n v="44618.844674100721"/>
  </r>
  <r>
    <s v="Refaturamento - Regular"/>
    <x v="2"/>
    <x v="3"/>
    <x v="4"/>
    <x v="5"/>
    <x v="0"/>
    <x v="0"/>
    <x v="1"/>
    <x v="9"/>
    <n v="0"/>
    <n v="0"/>
    <n v="-0.23200000000000001"/>
    <n v="-0.23200000000000001"/>
    <n v="-0.23200000000000001"/>
    <n v="-0.23200000000000001"/>
    <n v="0"/>
    <x v="0"/>
    <n v="0"/>
    <n v="0"/>
    <n v="33"/>
    <n v="74"/>
    <n v="0"/>
    <n v="215.19"/>
    <n v="268.72000000000003"/>
    <m/>
    <n v="213.13820898164101"/>
    <n v="259.00230260344529"/>
    <n v="0"/>
    <n v="-49.924080000000004"/>
    <n v="-62.343040000000009"/>
    <n v="0"/>
    <n v="-49.448064483740716"/>
    <n v="-60.088534203999309"/>
  </r>
  <r>
    <s v="Regular"/>
    <x v="2"/>
    <x v="3"/>
    <x v="4"/>
    <x v="5"/>
    <x v="0"/>
    <x v="0"/>
    <x v="1"/>
    <x v="10"/>
    <n v="0"/>
    <n v="0"/>
    <n v="173.268"/>
    <n v="173.268"/>
    <n v="173.268"/>
    <n v="173.268"/>
    <n v="2438"/>
    <x v="0"/>
    <n v="0"/>
    <n v="0"/>
    <n v="33"/>
    <n v="74"/>
    <n v="0"/>
    <n v="215.19"/>
    <n v="268.72000000000003"/>
    <m/>
    <n v="213.13820898164101"/>
    <n v="259.00230260344529"/>
    <n v="0"/>
    <n v="37285.540919999999"/>
    <n v="46560.576960000006"/>
    <n v="0"/>
    <n v="36930.031193830975"/>
    <n v="44876.810967493759"/>
  </r>
  <r>
    <s v="Refaturamento - Regular"/>
    <x v="2"/>
    <x v="3"/>
    <x v="4"/>
    <x v="5"/>
    <x v="0"/>
    <x v="0"/>
    <x v="1"/>
    <x v="10"/>
    <n v="0"/>
    <n v="0"/>
    <n v="-0.32200000000000001"/>
    <n v="-0.32200000000000001"/>
    <n v="-0.32200000000000001"/>
    <n v="-0.32200000000000001"/>
    <n v="0"/>
    <x v="0"/>
    <n v="0"/>
    <n v="0"/>
    <n v="33"/>
    <n v="74"/>
    <n v="0"/>
    <n v="215.19"/>
    <n v="268.72000000000003"/>
    <m/>
    <n v="213.13820898164101"/>
    <n v="259.00230260344529"/>
    <n v="0"/>
    <n v="-69.291179999999997"/>
    <n v="-86.527840000000012"/>
    <n v="0"/>
    <n v="-68.630503292088406"/>
    <n v="-83.398741438309386"/>
  </r>
  <r>
    <s v="Regular"/>
    <x v="2"/>
    <x v="3"/>
    <x v="4"/>
    <x v="5"/>
    <x v="0"/>
    <x v="0"/>
    <x v="1"/>
    <x v="11"/>
    <n v="0"/>
    <n v="0"/>
    <n v="163.98"/>
    <n v="163.98"/>
    <n v="163.98"/>
    <n v="163.98"/>
    <n v="2360"/>
    <x v="0"/>
    <n v="0"/>
    <n v="0"/>
    <n v="33"/>
    <n v="74"/>
    <n v="0"/>
    <n v="215.19"/>
    <n v="268.72000000000003"/>
    <m/>
    <n v="213.13820898164101"/>
    <n v="259.00230260344529"/>
    <n v="0"/>
    <n v="35286.856199999995"/>
    <n v="44064.705600000001"/>
    <n v="0"/>
    <n v="34950.40350880949"/>
    <n v="42471.197580912958"/>
  </r>
  <r>
    <s v="Refaturamento - Regular"/>
    <x v="2"/>
    <x v="3"/>
    <x v="4"/>
    <x v="5"/>
    <x v="0"/>
    <x v="0"/>
    <x v="1"/>
    <x v="11"/>
    <n v="0"/>
    <n v="0"/>
    <n v="-0.16700000000000001"/>
    <n v="-0.16700000000000001"/>
    <n v="-0.16700000000000001"/>
    <n v="-0.16700000000000001"/>
    <n v="0"/>
    <x v="0"/>
    <n v="0"/>
    <n v="0"/>
    <n v="33"/>
    <n v="74"/>
    <n v="0"/>
    <n v="215.19"/>
    <n v="268.72000000000003"/>
    <m/>
    <n v="213.13820898164101"/>
    <n v="259.00230260344529"/>
    <n v="0"/>
    <n v="-35.936730000000004"/>
    <n v="-44.87624000000001"/>
    <n v="0"/>
    <n v="-35.594080899934049"/>
    <n v="-43.253384534775364"/>
  </r>
  <r>
    <s v="Regular"/>
    <x v="2"/>
    <x v="3"/>
    <x v="4"/>
    <x v="5"/>
    <x v="0"/>
    <x v="0"/>
    <x v="1"/>
    <x v="3"/>
    <n v="0"/>
    <n v="0"/>
    <n v="157.48400000000001"/>
    <n v="157.48400000000001"/>
    <n v="157.48400000000001"/>
    <n v="157.48400000000001"/>
    <n v="2424"/>
    <x v="0"/>
    <n v="0"/>
    <n v="0"/>
    <n v="33"/>
    <n v="74"/>
    <n v="0"/>
    <n v="215.19"/>
    <n v="268.72000000000003"/>
    <m/>
    <n v="213.13820898164101"/>
    <n v="259.00230260344529"/>
    <n v="0"/>
    <n v="33888.981960000005"/>
    <n v="42319.100480000008"/>
    <n v="0"/>
    <n v="33565.857703264752"/>
    <n v="40788.718623200977"/>
  </r>
  <r>
    <s v="Refaturamento - Regular"/>
    <x v="2"/>
    <x v="3"/>
    <x v="4"/>
    <x v="5"/>
    <x v="0"/>
    <x v="0"/>
    <x v="1"/>
    <x v="3"/>
    <n v="0"/>
    <n v="0"/>
    <n v="-0.33300000000000002"/>
    <n v="-0.33300000000000002"/>
    <n v="-0.33300000000000002"/>
    <n v="-0.33300000000000002"/>
    <n v="0"/>
    <x v="0"/>
    <n v="0"/>
    <n v="0"/>
    <n v="33"/>
    <n v="74"/>
    <n v="0"/>
    <n v="215.19"/>
    <n v="268.72000000000003"/>
    <m/>
    <n v="213.13820898164101"/>
    <n v="259.00230260344529"/>
    <n v="0"/>
    <n v="-71.658270000000002"/>
    <n v="-89.483760000000018"/>
    <n v="0"/>
    <n v="-70.975023590886465"/>
    <n v="-86.247766766947279"/>
  </r>
  <r>
    <s v="Regular"/>
    <x v="2"/>
    <x v="3"/>
    <x v="4"/>
    <x v="5"/>
    <x v="0"/>
    <x v="0"/>
    <x v="1"/>
    <x v="0"/>
    <n v="0"/>
    <n v="0"/>
    <n v="164.59299999999999"/>
    <n v="164.59299999999999"/>
    <n v="164.59299999999999"/>
    <n v="164.59299999999999"/>
    <n v="2457"/>
    <x v="0"/>
    <n v="0"/>
    <n v="0"/>
    <n v="33"/>
    <n v="74"/>
    <n v="0"/>
    <n v="215.19"/>
    <n v="268.72000000000003"/>
    <m/>
    <n v="213.13820898164101"/>
    <n v="259.00230260344529"/>
    <n v="0"/>
    <n v="35418.767669999994"/>
    <n v="44229.430960000005"/>
    <n v="0"/>
    <n v="35081.057230915234"/>
    <n v="42629.96599240887"/>
  </r>
  <r>
    <s v="Refaturamento - Regular"/>
    <x v="2"/>
    <x v="3"/>
    <x v="4"/>
    <x v="5"/>
    <x v="0"/>
    <x v="0"/>
    <x v="1"/>
    <x v="0"/>
    <n v="0"/>
    <n v="0"/>
    <n v="-0.313"/>
    <n v="-0.313"/>
    <n v="-0.313"/>
    <n v="-0.313"/>
    <n v="0"/>
    <x v="0"/>
    <n v="0"/>
    <n v="0"/>
    <n v="33"/>
    <n v="74"/>
    <n v="0"/>
    <n v="215.19"/>
    <n v="268.72000000000003"/>
    <m/>
    <n v="213.13820898164101"/>
    <n v="259.00230260344529"/>
    <n v="0"/>
    <n v="-67.354470000000006"/>
    <n v="-84.109360000000009"/>
    <n v="0"/>
    <n v="-66.71225941125364"/>
    <n v="-81.067720714878376"/>
  </r>
  <r>
    <s v="Regular"/>
    <x v="2"/>
    <x v="3"/>
    <x v="4"/>
    <x v="5"/>
    <x v="0"/>
    <x v="0"/>
    <x v="1"/>
    <x v="4"/>
    <n v="0"/>
    <n v="0"/>
    <n v="191.77099999999999"/>
    <n v="191.77099999999999"/>
    <n v="191.77099999999999"/>
    <n v="191.77099999999999"/>
    <n v="2580"/>
    <x v="0"/>
    <n v="0"/>
    <n v="0"/>
    <n v="33"/>
    <n v="74"/>
    <n v="0"/>
    <n v="215.19"/>
    <n v="268.72000000000003"/>
    <m/>
    <n v="213.13820898164101"/>
    <n v="259.00230260344529"/>
    <n v="0"/>
    <n v="41267.201489999999"/>
    <n v="51532.703119999998"/>
    <n v="0"/>
    <n v="40873.727474618274"/>
    <n v="49669.1305725653"/>
  </r>
  <r>
    <s v="Regular"/>
    <x v="2"/>
    <x v="3"/>
    <x v="4"/>
    <x v="5"/>
    <x v="0"/>
    <x v="0"/>
    <x v="1"/>
    <x v="1"/>
    <n v="0"/>
    <n v="0"/>
    <n v="193.261"/>
    <n v="193.261"/>
    <n v="193.261"/>
    <n v="193.261"/>
    <n v="2685"/>
    <x v="0"/>
    <n v="0"/>
    <n v="0"/>
    <n v="33"/>
    <n v="74"/>
    <n v="0"/>
    <n v="215.19"/>
    <n v="268.72000000000003"/>
    <m/>
    <n v="213.13820898164101"/>
    <n v="259.00230260344529"/>
    <n v="0"/>
    <n v="41587.834589999999"/>
    <n v="51933.095920000007"/>
    <n v="0"/>
    <n v="41191.303406000923"/>
    <n v="50055.04400344444"/>
  </r>
  <r>
    <s v="Regular"/>
    <x v="2"/>
    <x v="3"/>
    <x v="4"/>
    <x v="5"/>
    <x v="0"/>
    <x v="0"/>
    <x v="1"/>
    <x v="2"/>
    <n v="0"/>
    <n v="0"/>
    <n v="183.00200000000001"/>
    <n v="183.00200000000001"/>
    <n v="183.00200000000001"/>
    <n v="183.00200000000001"/>
    <n v="2618"/>
    <x v="0"/>
    <n v="0"/>
    <n v="0"/>
    <n v="33"/>
    <n v="74"/>
    <n v="0"/>
    <n v="215.19"/>
    <n v="268.72000000000003"/>
    <m/>
    <n v="213.13820898164101"/>
    <n v="259.00230260344529"/>
    <n v="0"/>
    <n v="39380.200380000002"/>
    <n v="49176.297440000009"/>
    <n v="0"/>
    <n v="39004.718520058268"/>
    <n v="47397.9393810357"/>
  </r>
  <r>
    <s v="Regular"/>
    <x v="2"/>
    <x v="3"/>
    <x v="4"/>
    <x v="5"/>
    <x v="0"/>
    <x v="0"/>
    <x v="1"/>
    <x v="5"/>
    <n v="0"/>
    <n v="0"/>
    <n v="185.56899999999999"/>
    <n v="185.56899999999999"/>
    <n v="185.56899999999999"/>
    <n v="185.56899999999999"/>
    <n v="2619"/>
    <x v="0"/>
    <n v="0"/>
    <n v="0"/>
    <n v="33"/>
    <n v="74"/>
    <n v="0"/>
    <n v="215.19"/>
    <n v="268.72000000000003"/>
    <m/>
    <n v="213.13820898164101"/>
    <n v="259.00230260344529"/>
    <n v="0"/>
    <n v="39932.593109999994"/>
    <n v="49866.10168"/>
    <n v="0"/>
    <n v="39551.844302514139"/>
    <n v="48062.798291818734"/>
  </r>
  <r>
    <s v="Refaturamento - Regular"/>
    <x v="2"/>
    <x v="3"/>
    <x v="4"/>
    <x v="5"/>
    <x v="0"/>
    <x v="0"/>
    <x v="1"/>
    <x v="5"/>
    <n v="0"/>
    <n v="0"/>
    <n v="-0.157"/>
    <n v="-0.157"/>
    <n v="-0.157"/>
    <n v="-0.157"/>
    <n v="0"/>
    <x v="0"/>
    <n v="0"/>
    <n v="0"/>
    <n v="33"/>
    <n v="74"/>
    <n v="0"/>
    <n v="215.19"/>
    <n v="268.72000000000003"/>
    <m/>
    <n v="213.13820898164101"/>
    <n v="259.00230260344529"/>
    <n v="0"/>
    <n v="-33.784829999999999"/>
    <n v="-42.189040000000006"/>
    <n v="0"/>
    <n v="-33.462698810117637"/>
    <n v="-40.663361508740913"/>
  </r>
  <r>
    <s v="Regular"/>
    <x v="2"/>
    <x v="3"/>
    <x v="4"/>
    <x v="6"/>
    <x v="0"/>
    <x v="0"/>
    <x v="1"/>
    <x v="6"/>
    <n v="0"/>
    <n v="0"/>
    <n v="32.509"/>
    <n v="32.509"/>
    <n v="32.509"/>
    <n v="32.509"/>
    <n v="507"/>
    <x v="0"/>
    <n v="0"/>
    <n v="0"/>
    <n v="34"/>
    <n v="75"/>
    <n v="0"/>
    <n v="239.1"/>
    <n v="298.58"/>
    <m/>
    <n v="236.82023220182333"/>
    <n v="287.78033622605028"/>
    <n v="0"/>
    <n v="7772.9018999999998"/>
    <n v="9706.5372200000002"/>
    <n v="0"/>
    <n v="7698.7889286490745"/>
    <n v="9355.4509503726695"/>
  </r>
  <r>
    <s v="Refaturamento - Regular"/>
    <x v="2"/>
    <x v="3"/>
    <x v="4"/>
    <x v="6"/>
    <x v="0"/>
    <x v="0"/>
    <x v="1"/>
    <x v="6"/>
    <n v="0"/>
    <n v="0"/>
    <n v="-0.16300000000000001"/>
    <n v="-0.16300000000000001"/>
    <n v="-0.16300000000000001"/>
    <n v="-0.16300000000000001"/>
    <n v="0"/>
    <x v="0"/>
    <n v="0"/>
    <n v="0"/>
    <n v="34"/>
    <n v="75"/>
    <n v="0"/>
    <n v="239.1"/>
    <n v="298.58"/>
    <m/>
    <n v="236.82023220182333"/>
    <n v="287.78033622605028"/>
    <n v="0"/>
    <n v="-38.973300000000002"/>
    <n v="-48.66854"/>
    <n v="0"/>
    <n v="-38.601697848897203"/>
    <n v="-46.908194804846197"/>
  </r>
  <r>
    <s v="Regular"/>
    <x v="2"/>
    <x v="3"/>
    <x v="4"/>
    <x v="6"/>
    <x v="0"/>
    <x v="0"/>
    <x v="1"/>
    <x v="7"/>
    <n v="0"/>
    <n v="0"/>
    <n v="37.683"/>
    <n v="37.683"/>
    <n v="37.683"/>
    <n v="37.683"/>
    <n v="514"/>
    <x v="0"/>
    <n v="0"/>
    <n v="0"/>
    <n v="34"/>
    <n v="75"/>
    <n v="0"/>
    <n v="239.1"/>
    <n v="298.58"/>
    <m/>
    <n v="236.82023220182333"/>
    <n v="287.78033622605028"/>
    <n v="0"/>
    <n v="9010.0052999999989"/>
    <n v="11251.39014"/>
    <n v="0"/>
    <n v="8924.0968100613081"/>
    <n v="10844.426410006252"/>
  </r>
  <r>
    <s v="Refaturamento - Regular"/>
    <x v="2"/>
    <x v="3"/>
    <x v="4"/>
    <x v="6"/>
    <x v="0"/>
    <x v="0"/>
    <x v="1"/>
    <x v="7"/>
    <n v="0"/>
    <n v="0"/>
    <n v="-0.79"/>
    <n v="-0.79"/>
    <n v="-0.79"/>
    <n v="-0.79"/>
    <n v="0"/>
    <x v="0"/>
    <n v="0"/>
    <n v="0"/>
    <n v="34"/>
    <n v="75"/>
    <n v="0"/>
    <n v="239.1"/>
    <n v="298.58"/>
    <m/>
    <n v="236.82023220182333"/>
    <n v="287.78033622605028"/>
    <n v="0"/>
    <n v="-188.88900000000001"/>
    <n v="-235.87819999999999"/>
    <n v="0"/>
    <n v="-187.08798343944045"/>
    <n v="-227.34646561857974"/>
  </r>
  <r>
    <s v="Regular"/>
    <x v="2"/>
    <x v="3"/>
    <x v="4"/>
    <x v="6"/>
    <x v="0"/>
    <x v="0"/>
    <x v="1"/>
    <x v="8"/>
    <n v="0"/>
    <n v="0"/>
    <n v="37.825000000000003"/>
    <n v="37.825000000000003"/>
    <n v="37.825000000000003"/>
    <n v="37.825000000000003"/>
    <n v="539"/>
    <x v="0"/>
    <n v="0"/>
    <n v="0"/>
    <n v="34"/>
    <n v="75"/>
    <n v="0"/>
    <n v="239.1"/>
    <n v="298.58"/>
    <m/>
    <n v="236.82023220182333"/>
    <n v="287.78033622605028"/>
    <n v="0"/>
    <n v="9043.9575000000004"/>
    <n v="11293.788500000001"/>
    <n v="0"/>
    <n v="8957.7252830339676"/>
    <n v="10885.291217750353"/>
  </r>
  <r>
    <s v="Refaturamento - Regular"/>
    <x v="2"/>
    <x v="3"/>
    <x v="4"/>
    <x v="6"/>
    <x v="0"/>
    <x v="0"/>
    <x v="1"/>
    <x v="8"/>
    <n v="0"/>
    <n v="0"/>
    <n v="-0.34699999999999998"/>
    <n v="-0.34699999999999998"/>
    <n v="-0.34699999999999998"/>
    <n v="-0.34699999999999998"/>
    <n v="0"/>
    <x v="0"/>
    <n v="0"/>
    <n v="0"/>
    <n v="34"/>
    <n v="75"/>
    <n v="0"/>
    <n v="239.1"/>
    <n v="298.58"/>
    <m/>
    <n v="236.82023220182333"/>
    <n v="287.78033622605028"/>
    <n v="0"/>
    <n v="-82.967699999999994"/>
    <n v="-103.60725999999998"/>
    <n v="0"/>
    <n v="-82.176620574032697"/>
    <n v="-99.859776670439445"/>
  </r>
  <r>
    <s v="Regular"/>
    <x v="2"/>
    <x v="3"/>
    <x v="4"/>
    <x v="6"/>
    <x v="0"/>
    <x v="0"/>
    <x v="1"/>
    <x v="9"/>
    <n v="0"/>
    <n v="0"/>
    <n v="30.623000000000001"/>
    <n v="30.623000000000001"/>
    <n v="30.623000000000001"/>
    <n v="30.623000000000001"/>
    <n v="487"/>
    <x v="0"/>
    <n v="0"/>
    <n v="0"/>
    <n v="34"/>
    <n v="75"/>
    <n v="0"/>
    <n v="239.1"/>
    <n v="298.58"/>
    <m/>
    <n v="236.82023220182333"/>
    <n v="287.78033622605028"/>
    <n v="0"/>
    <n v="7321.9593000000004"/>
    <n v="9143.4153399999996"/>
    <n v="0"/>
    <n v="7252.1459707164358"/>
    <n v="8812.6972362503384"/>
  </r>
  <r>
    <s v="Refaturamento - Regular"/>
    <x v="2"/>
    <x v="3"/>
    <x v="4"/>
    <x v="6"/>
    <x v="0"/>
    <x v="0"/>
    <x v="1"/>
    <x v="9"/>
    <n v="0"/>
    <n v="0"/>
    <n v="-1.9E-2"/>
    <n v="-1.9E-2"/>
    <n v="-1.9E-2"/>
    <n v="-1.9E-2"/>
    <n v="0"/>
    <x v="0"/>
    <n v="0"/>
    <n v="0"/>
    <n v="34"/>
    <n v="75"/>
    <n v="0"/>
    <n v="239.1"/>
    <n v="298.58"/>
    <m/>
    <n v="236.82023220182333"/>
    <n v="287.78033622605028"/>
    <n v="0"/>
    <n v="-4.5428999999999995"/>
    <n v="-5.6730199999999993"/>
    <n v="0"/>
    <n v="-4.4995844118346433"/>
    <n v="-5.4678263882949549"/>
  </r>
  <r>
    <s v="Regular"/>
    <x v="2"/>
    <x v="3"/>
    <x v="4"/>
    <x v="6"/>
    <x v="0"/>
    <x v="0"/>
    <x v="1"/>
    <x v="10"/>
    <n v="0"/>
    <n v="0"/>
    <n v="31.774000000000001"/>
    <n v="31.774000000000001"/>
    <n v="31.774000000000001"/>
    <n v="31.774000000000001"/>
    <n v="503"/>
    <x v="0"/>
    <n v="0"/>
    <n v="0"/>
    <n v="34"/>
    <n v="75"/>
    <n v="0"/>
    <n v="239.1"/>
    <n v="298.58"/>
    <m/>
    <n v="236.82023220182333"/>
    <n v="287.78033622605028"/>
    <n v="0"/>
    <n v="7597.1634000000004"/>
    <n v="9487.0809200000003"/>
    <n v="0"/>
    <n v="7524.7260579807344"/>
    <n v="9143.9324032465211"/>
  </r>
  <r>
    <s v="Refaturamento - Regular"/>
    <x v="2"/>
    <x v="3"/>
    <x v="4"/>
    <x v="6"/>
    <x v="0"/>
    <x v="0"/>
    <x v="1"/>
    <x v="10"/>
    <n v="0"/>
    <n v="0"/>
    <n v="-0.60399999999999998"/>
    <n v="-0.60399999999999998"/>
    <n v="-0.60399999999999998"/>
    <n v="-0.60399999999999998"/>
    <n v="0"/>
    <x v="0"/>
    <n v="0"/>
    <n v="0"/>
    <n v="34"/>
    <n v="75"/>
    <n v="0"/>
    <n v="239.1"/>
    <n v="298.58"/>
    <m/>
    <n v="236.82023220182333"/>
    <n v="287.78033622605028"/>
    <n v="0"/>
    <n v="-144.41639999999998"/>
    <n v="-180.34231999999997"/>
    <n v="0"/>
    <n v="-143.0394202499013"/>
    <n v="-173.81932308053436"/>
  </r>
  <r>
    <s v="Regular"/>
    <x v="2"/>
    <x v="3"/>
    <x v="4"/>
    <x v="6"/>
    <x v="0"/>
    <x v="0"/>
    <x v="1"/>
    <x v="11"/>
    <n v="0"/>
    <n v="0"/>
    <n v="30.585999999999999"/>
    <n v="30.585999999999999"/>
    <n v="30.585999999999999"/>
    <n v="30.585999999999999"/>
    <n v="464"/>
    <x v="0"/>
    <n v="0"/>
    <n v="0"/>
    <n v="34"/>
    <n v="75"/>
    <n v="0"/>
    <n v="239.1"/>
    <n v="298.58"/>
    <m/>
    <n v="236.82023220182333"/>
    <n v="287.78033622605028"/>
    <n v="0"/>
    <n v="7313.1125999999995"/>
    <n v="9132.3678799999998"/>
    <n v="0"/>
    <n v="7243.3836221249676"/>
    <n v="8802.0493638099742"/>
  </r>
  <r>
    <s v="Refaturamento - Regular"/>
    <x v="2"/>
    <x v="3"/>
    <x v="4"/>
    <x v="6"/>
    <x v="0"/>
    <x v="0"/>
    <x v="1"/>
    <x v="11"/>
    <n v="0"/>
    <n v="0"/>
    <n v="-0.45100000000000001"/>
    <n v="-0.45100000000000001"/>
    <n v="-0.45100000000000001"/>
    <n v="-0.45100000000000001"/>
    <n v="0"/>
    <x v="0"/>
    <n v="0"/>
    <n v="0"/>
    <n v="34"/>
    <n v="75"/>
    <n v="0"/>
    <n v="239.1"/>
    <n v="298.58"/>
    <m/>
    <n v="236.82023220182333"/>
    <n v="287.78033622605028"/>
    <n v="0"/>
    <n v="-107.83410000000001"/>
    <n v="-134.65958000000001"/>
    <n v="0"/>
    <n v="-106.80592472302233"/>
    <n v="-129.78893163794868"/>
  </r>
  <r>
    <s v="Regular"/>
    <x v="2"/>
    <x v="3"/>
    <x v="4"/>
    <x v="6"/>
    <x v="0"/>
    <x v="0"/>
    <x v="1"/>
    <x v="3"/>
    <n v="0"/>
    <n v="0"/>
    <n v="25.991"/>
    <n v="25.991"/>
    <n v="25.991"/>
    <n v="25.991"/>
    <n v="398"/>
    <x v="0"/>
    <n v="0"/>
    <n v="0"/>
    <n v="34"/>
    <n v="75"/>
    <n v="0"/>
    <n v="239.1"/>
    <n v="298.58"/>
    <m/>
    <n v="236.82023220182333"/>
    <n v="287.78033622605028"/>
    <n v="0"/>
    <n v="6214.4480999999996"/>
    <n v="7760.3927799999992"/>
    <n v="0"/>
    <n v="6155.1946551575902"/>
    <n v="7479.698718851273"/>
  </r>
  <r>
    <s v="Refaturamento - Regular"/>
    <x v="2"/>
    <x v="3"/>
    <x v="4"/>
    <x v="6"/>
    <x v="0"/>
    <x v="0"/>
    <x v="1"/>
    <x v="3"/>
    <n v="0"/>
    <n v="0"/>
    <n v="-7.0000000000000001E-3"/>
    <n v="-7.0000000000000001E-3"/>
    <n v="-7.0000000000000001E-3"/>
    <n v="-7.0000000000000001E-3"/>
    <n v="0"/>
    <x v="0"/>
    <n v="0"/>
    <n v="0"/>
    <n v="34"/>
    <n v="75"/>
    <n v="0"/>
    <n v="239.1"/>
    <n v="298.58"/>
    <m/>
    <n v="236.82023220182333"/>
    <n v="287.78033622605028"/>
    <n v="0"/>
    <n v="-1.6737"/>
    <n v="-2.0900599999999998"/>
    <n v="0"/>
    <n v="-1.6577416254127633"/>
    <n v="-2.0144623535823518"/>
  </r>
  <r>
    <s v="Regular"/>
    <x v="2"/>
    <x v="3"/>
    <x v="4"/>
    <x v="6"/>
    <x v="0"/>
    <x v="0"/>
    <x v="1"/>
    <x v="0"/>
    <n v="0"/>
    <n v="0"/>
    <n v="30.13"/>
    <n v="30.13"/>
    <n v="30.13"/>
    <n v="30.13"/>
    <n v="440"/>
    <x v="0"/>
    <n v="0"/>
    <n v="0"/>
    <n v="34"/>
    <n v="75"/>
    <n v="0"/>
    <n v="239.1"/>
    <n v="298.58"/>
    <m/>
    <n v="236.82023220182333"/>
    <n v="287.78033622605028"/>
    <n v="0"/>
    <n v="7204.0829999999996"/>
    <n v="8996.2153999999991"/>
    <n v="0"/>
    <n v="7135.3935962409369"/>
    <n v="8670.8215304908954"/>
  </r>
  <r>
    <s v="Refaturamento - Regular"/>
    <x v="2"/>
    <x v="3"/>
    <x v="4"/>
    <x v="6"/>
    <x v="0"/>
    <x v="0"/>
    <x v="1"/>
    <x v="0"/>
    <n v="0"/>
    <n v="0"/>
    <n v="-0.183"/>
    <n v="-0.183"/>
    <n v="-0.183"/>
    <n v="-0.183"/>
    <n v="0"/>
    <x v="0"/>
    <n v="0"/>
    <n v="0"/>
    <n v="34"/>
    <n v="75"/>
    <n v="0"/>
    <n v="239.1"/>
    <n v="298.58"/>
    <m/>
    <n v="236.82023220182333"/>
    <n v="287.78033622605028"/>
    <n v="0"/>
    <n v="-43.755299999999998"/>
    <n v="-54.640139999999995"/>
    <n v="0"/>
    <n v="-43.338102492933672"/>
    <n v="-52.663801529367198"/>
  </r>
  <r>
    <s v="Regular"/>
    <x v="2"/>
    <x v="3"/>
    <x v="4"/>
    <x v="6"/>
    <x v="0"/>
    <x v="0"/>
    <x v="1"/>
    <x v="4"/>
    <n v="0"/>
    <n v="0"/>
    <n v="41.759"/>
    <n v="41.759"/>
    <n v="41.759"/>
    <n v="41.759"/>
    <n v="578"/>
    <x v="0"/>
    <n v="0"/>
    <n v="0"/>
    <n v="34"/>
    <n v="75"/>
    <n v="0"/>
    <n v="239.1"/>
    <n v="298.58"/>
    <m/>
    <n v="236.82023220182333"/>
    <n v="287.78033622605028"/>
    <n v="0"/>
    <n v="9984.5769"/>
    <n v="12468.40222"/>
    <n v="0"/>
    <n v="9889.3760765159404"/>
    <n v="12017.419060463633"/>
  </r>
  <r>
    <s v="Regular"/>
    <x v="2"/>
    <x v="3"/>
    <x v="4"/>
    <x v="6"/>
    <x v="0"/>
    <x v="0"/>
    <x v="1"/>
    <x v="1"/>
    <n v="0"/>
    <n v="0"/>
    <n v="43.734999999999999"/>
    <n v="43.734999999999999"/>
    <n v="43.734999999999999"/>
    <n v="43.734999999999999"/>
    <n v="572"/>
    <x v="0"/>
    <n v="0"/>
    <n v="0"/>
    <n v="34"/>
    <n v="75"/>
    <n v="0"/>
    <n v="239.1"/>
    <n v="298.58"/>
    <m/>
    <n v="236.82023220182333"/>
    <n v="287.78033622605028"/>
    <n v="0"/>
    <n v="10457.038499999999"/>
    <n v="13058.396299999999"/>
    <n v="0"/>
    <n v="10357.332855346744"/>
    <n v="12586.073004846308"/>
  </r>
  <r>
    <s v="Regular"/>
    <x v="2"/>
    <x v="3"/>
    <x v="4"/>
    <x v="6"/>
    <x v="0"/>
    <x v="0"/>
    <x v="1"/>
    <x v="2"/>
    <n v="0"/>
    <n v="0"/>
    <n v="34.807000000000002"/>
    <n v="34.807000000000002"/>
    <n v="34.807000000000002"/>
    <n v="34.807000000000002"/>
    <n v="514"/>
    <x v="0"/>
    <n v="0"/>
    <n v="0"/>
    <n v="34"/>
    <n v="75"/>
    <n v="0"/>
    <n v="239.1"/>
    <n v="298.58"/>
    <m/>
    <n v="236.82023220182333"/>
    <n v="287.78033622605028"/>
    <n v="0"/>
    <n v="8322.3536999999997"/>
    <n v="10392.674059999999"/>
    <n v="0"/>
    <n v="8243.0018222488652"/>
    <n v="10016.770163020134"/>
  </r>
  <r>
    <s v="Regular"/>
    <x v="2"/>
    <x v="3"/>
    <x v="4"/>
    <x v="6"/>
    <x v="0"/>
    <x v="0"/>
    <x v="1"/>
    <x v="5"/>
    <n v="0"/>
    <n v="0"/>
    <n v="37.749000000000002"/>
    <n v="37.749000000000002"/>
    <n v="37.749000000000002"/>
    <n v="37.749000000000002"/>
    <n v="540"/>
    <x v="0"/>
    <n v="0"/>
    <n v="0"/>
    <n v="34"/>
    <n v="75"/>
    <n v="0"/>
    <n v="239.1"/>
    <n v="298.58"/>
    <m/>
    <n v="236.82023220182333"/>
    <n v="287.78033622605028"/>
    <n v="0"/>
    <n v="9025.7859000000008"/>
    <n v="11271.09642"/>
    <n v="0"/>
    <n v="8939.7269453866302"/>
    <n v="10863.419912197172"/>
  </r>
  <r>
    <s v="Refaturamento - Regular"/>
    <x v="2"/>
    <x v="3"/>
    <x v="4"/>
    <x v="6"/>
    <x v="0"/>
    <x v="0"/>
    <x v="1"/>
    <x v="5"/>
    <n v="0"/>
    <n v="0"/>
    <n v="-0.39300000000000002"/>
    <n v="-0.39300000000000002"/>
    <n v="-0.39300000000000002"/>
    <n v="-0.39300000000000002"/>
    <n v="0"/>
    <x v="0"/>
    <n v="0"/>
    <n v="0"/>
    <n v="34"/>
    <n v="75"/>
    <n v="0"/>
    <n v="239.1"/>
    <n v="298.58"/>
    <m/>
    <n v="236.82023220182333"/>
    <n v="287.78033622605028"/>
    <n v="0"/>
    <n v="-93.966300000000004"/>
    <n v="-117.34193999999999"/>
    <n v="0"/>
    <n v="-93.070351255316567"/>
    <n v="-113.09767213683776"/>
  </r>
  <r>
    <s v="Regular"/>
    <x v="3"/>
    <x v="3"/>
    <x v="5"/>
    <x v="0"/>
    <x v="0"/>
    <x v="0"/>
    <x v="1"/>
    <x v="6"/>
    <n v="0"/>
    <n v="0"/>
    <n v="538.70600000000002"/>
    <n v="538.70600000000002"/>
    <n v="538.70600000000002"/>
    <n v="538.70600000000002"/>
    <n v="1770"/>
    <x v="0"/>
    <n v="0"/>
    <n v="0"/>
    <n v="43"/>
    <n v="84"/>
    <n v="0"/>
    <n v="271.72000000000003"/>
    <n v="262.75"/>
    <m/>
    <n v="335.6549921153379"/>
    <n v="270.51351605248726"/>
    <n v="0"/>
    <n v="146377.19432000001"/>
    <n v="141545.00150000001"/>
    <n v="0"/>
    <n v="180819.35818248522"/>
    <n v="145727.25417857119"/>
  </r>
  <r>
    <s v="Refaturamento - Regular"/>
    <x v="3"/>
    <x v="3"/>
    <x v="5"/>
    <x v="0"/>
    <x v="0"/>
    <x v="0"/>
    <x v="1"/>
    <x v="6"/>
    <n v="0"/>
    <n v="0"/>
    <n v="0.57799999999999996"/>
    <n v="0.57799999999999996"/>
    <n v="0.57799999999999996"/>
    <n v="0.57799999999999996"/>
    <n v="0"/>
    <x v="0"/>
    <n v="0"/>
    <n v="0"/>
    <n v="43"/>
    <n v="84"/>
    <n v="0"/>
    <n v="271.72000000000003"/>
    <n v="262.75"/>
    <m/>
    <n v="335.6549921153379"/>
    <n v="270.51351605248726"/>
    <n v="0"/>
    <n v="157.05416"/>
    <n v="151.86949999999999"/>
    <n v="0"/>
    <n v="194.00858544266529"/>
    <n v="156.35681227833763"/>
  </r>
  <r>
    <s v="Sistema de Compensação"/>
    <x v="3"/>
    <x v="3"/>
    <x v="5"/>
    <x v="0"/>
    <x v="0"/>
    <x v="0"/>
    <x v="1"/>
    <x v="6"/>
    <n v="0"/>
    <n v="0"/>
    <n v="1.46"/>
    <n v="1.46"/>
    <n v="1.46"/>
    <n v="1.46"/>
    <n v="8"/>
    <x v="0"/>
    <n v="0"/>
    <n v="0"/>
    <n v="43"/>
    <n v="84"/>
    <n v="0"/>
    <n v="271.72000000000003"/>
    <n v="262.75"/>
    <m/>
    <n v="335.6549921153379"/>
    <n v="270.51351605248726"/>
    <n v="0"/>
    <n v="396.71120000000002"/>
    <n v="383.61500000000001"/>
    <n v="0"/>
    <n v="490.05628848839331"/>
    <n v="394.94973343663139"/>
  </r>
  <r>
    <s v="Regular"/>
    <x v="3"/>
    <x v="3"/>
    <x v="5"/>
    <x v="0"/>
    <x v="0"/>
    <x v="0"/>
    <x v="1"/>
    <x v="7"/>
    <n v="0"/>
    <n v="0"/>
    <n v="562.96199999999999"/>
    <n v="562.96199999999999"/>
    <n v="562.96199999999999"/>
    <n v="562.96199999999999"/>
    <n v="1772"/>
    <x v="0"/>
    <n v="0"/>
    <n v="0"/>
    <n v="43"/>
    <n v="84"/>
    <n v="0"/>
    <n v="271.72000000000003"/>
    <n v="262.75"/>
    <m/>
    <n v="335.6549921153379"/>
    <n v="270.51351605248726"/>
    <n v="0"/>
    <n v="152968.03464"/>
    <n v="147918.26550000001"/>
    <n v="0"/>
    <n v="188961.00567123486"/>
    <n v="152288.83002394033"/>
  </r>
  <r>
    <s v="Refaturamento - Regular"/>
    <x v="3"/>
    <x v="3"/>
    <x v="5"/>
    <x v="0"/>
    <x v="0"/>
    <x v="0"/>
    <x v="1"/>
    <x v="7"/>
    <n v="0"/>
    <n v="0"/>
    <n v="-0.11"/>
    <n v="-0.11"/>
    <n v="-0.11"/>
    <n v="-0.11"/>
    <n v="0"/>
    <x v="0"/>
    <n v="0"/>
    <n v="0"/>
    <n v="43"/>
    <n v="84"/>
    <n v="0"/>
    <n v="271.72000000000003"/>
    <n v="262.75"/>
    <m/>
    <n v="335.6549921153379"/>
    <n v="270.51351605248726"/>
    <n v="0"/>
    <n v="-29.889200000000002"/>
    <n v="-28.9025"/>
    <n v="0"/>
    <n v="-36.922049132687171"/>
    <n v="-29.756486765773598"/>
  </r>
  <r>
    <s v="Sistema de Compensação"/>
    <x v="3"/>
    <x v="3"/>
    <x v="5"/>
    <x v="0"/>
    <x v="0"/>
    <x v="0"/>
    <x v="1"/>
    <x v="7"/>
    <n v="0"/>
    <n v="0"/>
    <n v="0.84199999999999997"/>
    <n v="0.84199999999999997"/>
    <n v="0.84199999999999997"/>
    <n v="0.84199999999999997"/>
    <n v="7"/>
    <x v="0"/>
    <n v="0"/>
    <n v="0"/>
    <n v="43"/>
    <n v="84"/>
    <n v="0"/>
    <n v="271.72000000000003"/>
    <n v="262.75"/>
    <m/>
    <n v="335.6549921153379"/>
    <n v="270.51351605248726"/>
    <n v="0"/>
    <n v="228.78824"/>
    <n v="221.2355"/>
    <n v="0"/>
    <n v="282.62150336111449"/>
    <n v="227.77238051619426"/>
  </r>
  <r>
    <s v="Regular"/>
    <x v="3"/>
    <x v="3"/>
    <x v="5"/>
    <x v="0"/>
    <x v="0"/>
    <x v="0"/>
    <x v="1"/>
    <x v="8"/>
    <n v="0"/>
    <n v="0"/>
    <n v="539.01599999999996"/>
    <n v="539.01599999999996"/>
    <n v="539.01599999999996"/>
    <n v="539.01599999999996"/>
    <n v="1770"/>
    <x v="0"/>
    <n v="0"/>
    <n v="0"/>
    <n v="43"/>
    <n v="84"/>
    <n v="0"/>
    <n v="271.72000000000003"/>
    <n v="262.75"/>
    <m/>
    <n v="335.6549921153379"/>
    <n v="270.51351605248726"/>
    <n v="0"/>
    <n v="146461.42752"/>
    <n v="141626.454"/>
    <n v="0"/>
    <n v="180923.41123004098"/>
    <n v="145811.11336854746"/>
  </r>
  <r>
    <s v="Refaturamento - Regular"/>
    <x v="3"/>
    <x v="3"/>
    <x v="5"/>
    <x v="0"/>
    <x v="0"/>
    <x v="0"/>
    <x v="1"/>
    <x v="8"/>
    <n v="0"/>
    <n v="0"/>
    <n v="0.09"/>
    <n v="0.09"/>
    <n v="0.09"/>
    <n v="0.09"/>
    <n v="0"/>
    <x v="0"/>
    <n v="0"/>
    <n v="0"/>
    <n v="43"/>
    <n v="84"/>
    <n v="0"/>
    <n v="271.72000000000003"/>
    <n v="262.75"/>
    <m/>
    <n v="335.6549921153379"/>
    <n v="270.51351605248726"/>
    <n v="0"/>
    <n v="24.454800000000002"/>
    <n v="23.647500000000001"/>
    <n v="0"/>
    <n v="30.20894929038041"/>
    <n v="24.346216444723854"/>
  </r>
  <r>
    <s v="Sistema de Compensação"/>
    <x v="3"/>
    <x v="3"/>
    <x v="5"/>
    <x v="0"/>
    <x v="0"/>
    <x v="0"/>
    <x v="1"/>
    <x v="8"/>
    <n v="0"/>
    <n v="0"/>
    <n v="1.9710000000000001"/>
    <n v="1.9710000000000001"/>
    <n v="1.9710000000000001"/>
    <n v="1.9710000000000001"/>
    <n v="8"/>
    <x v="0"/>
    <n v="0"/>
    <n v="0"/>
    <n v="43"/>
    <n v="84"/>
    <n v="0"/>
    <n v="271.72000000000003"/>
    <n v="262.75"/>
    <m/>
    <n v="335.6549921153379"/>
    <n v="270.51351605248726"/>
    <n v="0"/>
    <n v="535.5601200000001"/>
    <n v="517.88025000000005"/>
    <n v="0"/>
    <n v="661.57598945933103"/>
    <n v="533.18214013945237"/>
  </r>
  <r>
    <s v="Regular"/>
    <x v="3"/>
    <x v="3"/>
    <x v="5"/>
    <x v="0"/>
    <x v="0"/>
    <x v="0"/>
    <x v="1"/>
    <x v="9"/>
    <n v="0"/>
    <n v="0"/>
    <n v="525.69899999999996"/>
    <n v="525.69899999999996"/>
    <n v="525.69899999999996"/>
    <n v="525.69899999999996"/>
    <n v="1768"/>
    <x v="0"/>
    <n v="0"/>
    <n v="0"/>
    <n v="43"/>
    <n v="84"/>
    <n v="0"/>
    <n v="271.72000000000003"/>
    <n v="262.75"/>
    <m/>
    <n v="335.6549921153379"/>
    <n v="270.51351605248726"/>
    <n v="0"/>
    <n v="142842.93228000001"/>
    <n v="138127.41224999999"/>
    <n v="0"/>
    <n v="176453.493700041"/>
    <n v="142208.68487527649"/>
  </r>
  <r>
    <s v="Refaturamento - Regular"/>
    <x v="3"/>
    <x v="3"/>
    <x v="5"/>
    <x v="0"/>
    <x v="0"/>
    <x v="0"/>
    <x v="1"/>
    <x v="9"/>
    <n v="0"/>
    <n v="0"/>
    <n v="-0.26700000000000002"/>
    <n v="-0.26700000000000002"/>
    <n v="-0.26700000000000002"/>
    <n v="-0.26700000000000002"/>
    <n v="0"/>
    <x v="0"/>
    <n v="0"/>
    <n v="0"/>
    <n v="43"/>
    <n v="84"/>
    <n v="0"/>
    <n v="271.72000000000003"/>
    <n v="262.75"/>
    <m/>
    <n v="335.6549921153379"/>
    <n v="270.51351605248726"/>
    <n v="0"/>
    <n v="-72.549240000000012"/>
    <n v="-70.154250000000005"/>
    <n v="0"/>
    <n v="-89.619882894795225"/>
    <n v="-72.227108786014099"/>
  </r>
  <r>
    <s v="Sistema de Compensação"/>
    <x v="3"/>
    <x v="3"/>
    <x v="5"/>
    <x v="0"/>
    <x v="0"/>
    <x v="0"/>
    <x v="1"/>
    <x v="9"/>
    <n v="0"/>
    <n v="0"/>
    <n v="2.528"/>
    <n v="2.528"/>
    <n v="2.528"/>
    <n v="2.528"/>
    <n v="11"/>
    <x v="0"/>
    <n v="0"/>
    <n v="0"/>
    <n v="43"/>
    <n v="84"/>
    <n v="0"/>
    <n v="271.72000000000003"/>
    <n v="262.75"/>
    <m/>
    <n v="335.6549921153379"/>
    <n v="270.51351605248726"/>
    <n v="0"/>
    <n v="686.90816000000007"/>
    <n v="664.23199999999997"/>
    <n v="0"/>
    <n v="848.53582006757426"/>
    <n v="683.85816858068779"/>
  </r>
  <r>
    <s v="Regular"/>
    <x v="3"/>
    <x v="3"/>
    <x v="5"/>
    <x v="0"/>
    <x v="0"/>
    <x v="0"/>
    <x v="1"/>
    <x v="10"/>
    <n v="0"/>
    <n v="0"/>
    <n v="541.39200000000005"/>
    <n v="541.39200000000005"/>
    <n v="541.39200000000005"/>
    <n v="541.39200000000005"/>
    <n v="1763"/>
    <x v="0"/>
    <n v="0"/>
    <n v="0"/>
    <n v="43"/>
    <n v="84"/>
    <n v="0"/>
    <n v="271.72000000000003"/>
    <n v="262.75"/>
    <m/>
    <n v="335.6549921153379"/>
    <n v="270.51351605248726"/>
    <n v="0"/>
    <n v="147107.03424000004"/>
    <n v="142250.74800000002"/>
    <n v="0"/>
    <n v="181720.92749130703"/>
    <n v="146453.8534826882"/>
  </r>
  <r>
    <s v="Refaturamento - Regular"/>
    <x v="3"/>
    <x v="3"/>
    <x v="5"/>
    <x v="0"/>
    <x v="0"/>
    <x v="0"/>
    <x v="1"/>
    <x v="10"/>
    <n v="0"/>
    <n v="0"/>
    <n v="-0.81200000000000006"/>
    <n v="-0.81200000000000006"/>
    <n v="-0.81200000000000006"/>
    <n v="-0.81200000000000006"/>
    <n v="0"/>
    <x v="0"/>
    <n v="0"/>
    <n v="0"/>
    <n v="43"/>
    <n v="84"/>
    <n v="0"/>
    <n v="271.72000000000003"/>
    <n v="262.75"/>
    <m/>
    <n v="335.6549921153379"/>
    <n v="270.51351605248726"/>
    <n v="0"/>
    <n v="-220.63664000000003"/>
    <n v="-213.35300000000001"/>
    <n v="0"/>
    <n v="-272.55185359765437"/>
    <n v="-219.65697503461968"/>
  </r>
  <r>
    <s v="Sistema de Compensação"/>
    <x v="3"/>
    <x v="3"/>
    <x v="5"/>
    <x v="0"/>
    <x v="0"/>
    <x v="0"/>
    <x v="1"/>
    <x v="10"/>
    <n v="0"/>
    <n v="0"/>
    <n v="1.7310000000000001"/>
    <n v="1.7310000000000001"/>
    <n v="1.7310000000000001"/>
    <n v="1.7310000000000001"/>
    <n v="11"/>
    <x v="0"/>
    <n v="0"/>
    <n v="0"/>
    <n v="43"/>
    <n v="84"/>
    <n v="0"/>
    <n v="271.72000000000003"/>
    <n v="262.75"/>
    <m/>
    <n v="335.6549921153379"/>
    <n v="270.51351605248726"/>
    <n v="0"/>
    <n v="470.34732000000008"/>
    <n v="454.82025000000004"/>
    <n v="0"/>
    <n v="581.01879135164995"/>
    <n v="468.25889628685547"/>
  </r>
  <r>
    <s v="Regular"/>
    <x v="3"/>
    <x v="3"/>
    <x v="5"/>
    <x v="0"/>
    <x v="0"/>
    <x v="0"/>
    <x v="1"/>
    <x v="11"/>
    <n v="0"/>
    <n v="0"/>
    <n v="512.59900000000005"/>
    <n v="512.59900000000005"/>
    <n v="512.59900000000005"/>
    <n v="512.59900000000005"/>
    <n v="1754"/>
    <x v="0"/>
    <n v="0"/>
    <n v="0"/>
    <n v="43"/>
    <n v="84"/>
    <n v="0"/>
    <n v="271.72000000000003"/>
    <n v="262.75"/>
    <m/>
    <n v="335.6549921153379"/>
    <n v="270.51351605248726"/>
    <n v="0"/>
    <n v="139283.40028000003"/>
    <n v="134685.38725"/>
    <n v="0"/>
    <n v="172056.4133033301"/>
    <n v="138664.95781498894"/>
  </r>
  <r>
    <s v="Refaturamento - Regular"/>
    <x v="3"/>
    <x v="3"/>
    <x v="5"/>
    <x v="0"/>
    <x v="0"/>
    <x v="0"/>
    <x v="1"/>
    <x v="11"/>
    <n v="0"/>
    <n v="0"/>
    <n v="-0.185"/>
    <n v="-0.185"/>
    <n v="-0.185"/>
    <n v="-0.185"/>
    <n v="0"/>
    <x v="0"/>
    <n v="0"/>
    <n v="0"/>
    <n v="43"/>
    <n v="84"/>
    <n v="0"/>
    <n v="271.72000000000003"/>
    <n v="262.75"/>
    <m/>
    <n v="335.6549921153379"/>
    <n v="270.51351605248726"/>
    <n v="0"/>
    <n v="-50.268200000000007"/>
    <n v="-48.608750000000001"/>
    <n v="0"/>
    <n v="-62.096173541337514"/>
    <n v="-50.045000469710146"/>
  </r>
  <r>
    <s v="Sistema de Compensação"/>
    <x v="3"/>
    <x v="3"/>
    <x v="5"/>
    <x v="0"/>
    <x v="0"/>
    <x v="0"/>
    <x v="1"/>
    <x v="11"/>
    <n v="0"/>
    <n v="0"/>
    <n v="1.8939999999999999"/>
    <n v="1.8939999999999999"/>
    <n v="1.8939999999999999"/>
    <n v="1.8939999999999999"/>
    <n v="12"/>
    <x v="0"/>
    <n v="0"/>
    <n v="0"/>
    <n v="43"/>
    <n v="84"/>
    <n v="0"/>
    <n v="271.72000000000003"/>
    <n v="262.75"/>
    <m/>
    <n v="335.6549921153379"/>
    <n v="270.51351605248726"/>
    <n v="0"/>
    <n v="514.63768000000005"/>
    <n v="497.64849999999996"/>
    <n v="0"/>
    <n v="635.73055506644994"/>
    <n v="512.35259940341086"/>
  </r>
  <r>
    <s v="Regular"/>
    <x v="3"/>
    <x v="3"/>
    <x v="5"/>
    <x v="0"/>
    <x v="0"/>
    <x v="0"/>
    <x v="1"/>
    <x v="3"/>
    <n v="0"/>
    <n v="0"/>
    <n v="543.45000000000005"/>
    <n v="543.45000000000005"/>
    <n v="543.45000000000005"/>
    <n v="543.45000000000005"/>
    <n v="1739"/>
    <x v="0"/>
    <n v="0"/>
    <n v="0"/>
    <n v="43"/>
    <n v="84"/>
    <n v="0"/>
    <n v="271.72000000000003"/>
    <n v="262.75"/>
    <m/>
    <n v="335.6549921153379"/>
    <n v="270.51351605248726"/>
    <n v="0"/>
    <n v="147666.23400000003"/>
    <n v="142791.48750000002"/>
    <n v="0"/>
    <n v="182411.70546508039"/>
    <n v="147010.57029872423"/>
  </r>
  <r>
    <s v="Refaturamento - Regular"/>
    <x v="3"/>
    <x v="3"/>
    <x v="5"/>
    <x v="0"/>
    <x v="0"/>
    <x v="0"/>
    <x v="1"/>
    <x v="3"/>
    <n v="0"/>
    <n v="0"/>
    <n v="-0.155"/>
    <n v="-0.155"/>
    <n v="-0.155"/>
    <n v="-0.155"/>
    <n v="0"/>
    <x v="0"/>
    <n v="0"/>
    <n v="0"/>
    <n v="43"/>
    <n v="84"/>
    <n v="0"/>
    <n v="271.72000000000003"/>
    <n v="262.75"/>
    <m/>
    <n v="335.6549921153379"/>
    <n v="270.51351605248726"/>
    <n v="0"/>
    <n v="-42.116600000000005"/>
    <n v="-40.72625"/>
    <n v="0"/>
    <n v="-52.026523777877372"/>
    <n v="-41.929594988135527"/>
  </r>
  <r>
    <s v="Sistema de Compensação"/>
    <x v="3"/>
    <x v="3"/>
    <x v="5"/>
    <x v="0"/>
    <x v="0"/>
    <x v="0"/>
    <x v="1"/>
    <x v="3"/>
    <n v="0"/>
    <n v="0"/>
    <n v="2.7130000000000001"/>
    <n v="2.7130000000000001"/>
    <n v="2.7130000000000001"/>
    <n v="2.7130000000000001"/>
    <n v="19"/>
    <x v="0"/>
    <n v="0"/>
    <n v="0"/>
    <n v="43"/>
    <n v="84"/>
    <n v="0"/>
    <n v="271.72000000000003"/>
    <n v="262.75"/>
    <m/>
    <n v="335.6549921153379"/>
    <n v="270.51351605248726"/>
    <n v="0"/>
    <n v="737.17636000000005"/>
    <n v="712.84075000000007"/>
    <n v="0"/>
    <n v="910.63199360891178"/>
    <n v="733.90316905039799"/>
  </r>
  <r>
    <s v="Regular"/>
    <x v="3"/>
    <x v="3"/>
    <x v="5"/>
    <x v="0"/>
    <x v="0"/>
    <x v="0"/>
    <x v="1"/>
    <x v="0"/>
    <n v="0"/>
    <n v="0"/>
    <n v="523.37199999999996"/>
    <n v="523.37199999999996"/>
    <n v="523.37199999999996"/>
    <n v="523.37199999999996"/>
    <n v="1733"/>
    <x v="0"/>
    <n v="0"/>
    <n v="0"/>
    <n v="43"/>
    <n v="84"/>
    <n v="0"/>
    <n v="271.72000000000003"/>
    <n v="262.75"/>
    <m/>
    <n v="335.6549921153379"/>
    <n v="270.51351605248726"/>
    <n v="0"/>
    <n v="142210.63983999999"/>
    <n v="137515.99299999999"/>
    <n v="0"/>
    <n v="175672.42453338861"/>
    <n v="141579.19992342236"/>
  </r>
  <r>
    <s v="Refaturamento - Regular"/>
    <x v="3"/>
    <x v="3"/>
    <x v="5"/>
    <x v="0"/>
    <x v="0"/>
    <x v="0"/>
    <x v="1"/>
    <x v="0"/>
    <n v="0"/>
    <n v="0"/>
    <n v="-0.97599999999999998"/>
    <n v="-0.97599999999999998"/>
    <n v="-0.97599999999999998"/>
    <n v="-0.97599999999999998"/>
    <n v="0"/>
    <x v="0"/>
    <n v="0"/>
    <n v="0"/>
    <n v="43"/>
    <n v="84"/>
    <n v="0"/>
    <n v="271.72000000000003"/>
    <n v="262.75"/>
    <m/>
    <n v="335.6549921153379"/>
    <n v="270.51351605248726"/>
    <n v="0"/>
    <n v="-265.19872000000004"/>
    <n v="-256.44400000000002"/>
    <n v="0"/>
    <n v="-327.59927230456981"/>
    <n v="-264.02119166722758"/>
  </r>
  <r>
    <s v="Sistema de Compensação"/>
    <x v="3"/>
    <x v="3"/>
    <x v="5"/>
    <x v="0"/>
    <x v="0"/>
    <x v="0"/>
    <x v="1"/>
    <x v="0"/>
    <n v="0"/>
    <n v="0"/>
    <n v="3.7149999999999999"/>
    <n v="3.7149999999999999"/>
    <n v="3.7149999999999999"/>
    <n v="3.7149999999999999"/>
    <n v="21"/>
    <x v="0"/>
    <n v="0"/>
    <n v="0"/>
    <n v="43"/>
    <n v="84"/>
    <n v="0"/>
    <n v="271.72000000000003"/>
    <n v="262.75"/>
    <m/>
    <n v="335.6549921153379"/>
    <n v="270.51351605248726"/>
    <n v="0"/>
    <n v="1009.4398000000001"/>
    <n v="976.11624999999992"/>
    <n v="0"/>
    <n v="1246.9582957084804"/>
    <n v="1004.9577121349902"/>
  </r>
  <r>
    <s v="Regular"/>
    <x v="3"/>
    <x v="3"/>
    <x v="5"/>
    <x v="0"/>
    <x v="0"/>
    <x v="0"/>
    <x v="1"/>
    <x v="4"/>
    <n v="0"/>
    <n v="0"/>
    <n v="521.06500000000005"/>
    <n v="521.06500000000005"/>
    <n v="521.06500000000005"/>
    <n v="521.06500000000005"/>
    <n v="1728"/>
    <x v="0"/>
    <n v="0"/>
    <n v="0"/>
    <n v="43"/>
    <n v="84"/>
    <n v="0"/>
    <n v="271.72000000000003"/>
    <n v="262.75"/>
    <m/>
    <n v="335.6549921153379"/>
    <n v="270.51351605248726"/>
    <n v="0"/>
    <n v="141583.78180000003"/>
    <n v="136909.82875000002"/>
    <n v="0"/>
    <n v="174898.06846657855"/>
    <n v="140955.1252418893"/>
  </r>
  <r>
    <s v="Regular"/>
    <x v="3"/>
    <x v="3"/>
    <x v="5"/>
    <x v="0"/>
    <x v="0"/>
    <x v="0"/>
    <x v="1"/>
    <x v="1"/>
    <n v="0"/>
    <n v="0"/>
    <n v="508.90899999999999"/>
    <n v="508.90899999999999"/>
    <n v="508.90899999999999"/>
    <n v="508.90899999999999"/>
    <n v="1728"/>
    <x v="0"/>
    <n v="0"/>
    <n v="0"/>
    <n v="43"/>
    <n v="84"/>
    <n v="0"/>
    <n v="271.72000000000003"/>
    <n v="262.75"/>
    <m/>
    <n v="335.6549921153379"/>
    <n v="270.51351605248726"/>
    <n v="0"/>
    <n v="138280.75348000001"/>
    <n v="133715.83974999998"/>
    <n v="0"/>
    <n v="170817.8463824245"/>
    <n v="137666.76294075523"/>
  </r>
  <r>
    <s v="Sistema de Compensação"/>
    <x v="3"/>
    <x v="3"/>
    <x v="5"/>
    <x v="0"/>
    <x v="0"/>
    <x v="0"/>
    <x v="1"/>
    <x v="1"/>
    <n v="0"/>
    <n v="0"/>
    <n v="5.8129999999999997"/>
    <n v="5.8129999999999997"/>
    <n v="5.8129999999999997"/>
    <n v="5.8129999999999997"/>
    <n v="24"/>
    <x v="0"/>
    <n v="0"/>
    <n v="0"/>
    <n v="43"/>
    <n v="84"/>
    <n v="0"/>
    <n v="271.72000000000003"/>
    <n v="262.75"/>
    <m/>
    <n v="335.6549921153379"/>
    <n v="270.51351605248726"/>
    <n v="0"/>
    <n v="1579.50836"/>
    <n v="1527.3657499999999"/>
    <n v="0"/>
    <n v="1951.1624691664592"/>
    <n v="1572.4950688131084"/>
  </r>
  <r>
    <s v="Regular"/>
    <x v="3"/>
    <x v="3"/>
    <x v="5"/>
    <x v="0"/>
    <x v="0"/>
    <x v="0"/>
    <x v="1"/>
    <x v="2"/>
    <n v="0"/>
    <n v="0"/>
    <n v="484.93299999999999"/>
    <n v="484.93299999999999"/>
    <n v="484.93299999999999"/>
    <n v="484.93299999999999"/>
    <n v="1705"/>
    <x v="0"/>
    <n v="0"/>
    <n v="0"/>
    <n v="43"/>
    <n v="84"/>
    <n v="0"/>
    <n v="271.72000000000003"/>
    <n v="262.75"/>
    <m/>
    <n v="335.6549921153379"/>
    <n v="270.51351605248726"/>
    <n v="0"/>
    <n v="131765.99476"/>
    <n v="127416.14575"/>
    <n v="0"/>
    <n v="162770.18229146715"/>
    <n v="131180.93087988079"/>
  </r>
  <r>
    <s v="Sistema de Compensação"/>
    <x v="3"/>
    <x v="3"/>
    <x v="5"/>
    <x v="0"/>
    <x v="0"/>
    <x v="0"/>
    <x v="1"/>
    <x v="2"/>
    <n v="0"/>
    <n v="0"/>
    <n v="7.4870000000000001"/>
    <n v="7.4870000000000001"/>
    <n v="7.4870000000000001"/>
    <n v="7.4870000000000001"/>
    <n v="24"/>
    <x v="0"/>
    <n v="0"/>
    <n v="0"/>
    <n v="43"/>
    <n v="84"/>
    <n v="0"/>
    <n v="271.72000000000003"/>
    <n v="262.75"/>
    <m/>
    <n v="335.6549921153379"/>
    <n v="270.51351605248726"/>
    <n v="0"/>
    <n v="2034.3676400000002"/>
    <n v="1967.2092500000001"/>
    <n v="0"/>
    <n v="2513.0489259675351"/>
    <n v="2025.3346946849722"/>
  </r>
  <r>
    <s v="Regular"/>
    <x v="3"/>
    <x v="3"/>
    <x v="5"/>
    <x v="0"/>
    <x v="0"/>
    <x v="0"/>
    <x v="1"/>
    <x v="5"/>
    <n v="0"/>
    <n v="0"/>
    <n v="504.78500000000003"/>
    <n v="504.78500000000003"/>
    <n v="504.78500000000003"/>
    <n v="504.78500000000003"/>
    <n v="1691"/>
    <x v="0"/>
    <n v="0"/>
    <n v="0"/>
    <n v="43"/>
    <n v="84"/>
    <n v="0"/>
    <n v="271.72000000000003"/>
    <n v="262.75"/>
    <m/>
    <n v="335.6549921153379"/>
    <n v="270.51351605248726"/>
    <n v="0"/>
    <n v="137160.18020000003"/>
    <n v="132632.25875000001"/>
    <n v="0"/>
    <n v="169433.60519494084"/>
    <n v="136551.16520055479"/>
  </r>
  <r>
    <s v="Refaturamento - Regular"/>
    <x v="3"/>
    <x v="3"/>
    <x v="5"/>
    <x v="0"/>
    <x v="0"/>
    <x v="0"/>
    <x v="1"/>
    <x v="5"/>
    <n v="0"/>
    <n v="0"/>
    <n v="0.27500000000000002"/>
    <n v="0.27500000000000002"/>
    <n v="0.27500000000000002"/>
    <n v="0.27500000000000002"/>
    <n v="0"/>
    <x v="0"/>
    <n v="0"/>
    <n v="0"/>
    <n v="43"/>
    <n v="84"/>
    <n v="0"/>
    <n v="271.72000000000003"/>
    <n v="262.75"/>
    <m/>
    <n v="335.6549921153379"/>
    <n v="270.51351605248726"/>
    <n v="0"/>
    <n v="74.723000000000013"/>
    <n v="72.256250000000009"/>
    <n v="0"/>
    <n v="92.305122831717938"/>
    <n v="74.391216914433997"/>
  </r>
  <r>
    <s v="Sistema de Compensação"/>
    <x v="3"/>
    <x v="3"/>
    <x v="5"/>
    <x v="0"/>
    <x v="0"/>
    <x v="0"/>
    <x v="1"/>
    <x v="5"/>
    <n v="0"/>
    <n v="0"/>
    <n v="8.8949999999999996"/>
    <n v="8.8949999999999996"/>
    <n v="8.8949999999999996"/>
    <n v="8.8949999999999996"/>
    <n v="29"/>
    <x v="0"/>
    <n v="0"/>
    <n v="0"/>
    <n v="43"/>
    <n v="84"/>
    <n v="0"/>
    <n v="271.72000000000003"/>
    <n v="262.75"/>
    <m/>
    <n v="335.6549921153379"/>
    <n v="270.51351605248726"/>
    <n v="0"/>
    <n v="2416.9494"/>
    <n v="2337.1612500000001"/>
    <n v="0"/>
    <n v="2985.6511548659305"/>
    <n v="2406.2177252868742"/>
  </r>
  <r>
    <s v="Regular"/>
    <x v="4"/>
    <x v="2"/>
    <x v="0"/>
    <x v="0"/>
    <x v="0"/>
    <x v="0"/>
    <x v="0"/>
    <x v="6"/>
    <n v="0"/>
    <n v="0"/>
    <n v="30.501999999999999"/>
    <n v="30.501999999999999"/>
    <n v="30.501999999999999"/>
    <n v="30.501999999999999"/>
    <n v="0"/>
    <x v="0"/>
    <n v="0"/>
    <n v="0"/>
    <n v="57"/>
    <n v="98"/>
    <n v="0"/>
    <n v="244.1"/>
    <n v="284.36"/>
    <m/>
    <n v="292.50681287771846"/>
    <n v="274.80069497881567"/>
    <n v="0"/>
    <n v="7445.5382"/>
    <n v="8673.5487200000007"/>
    <n v="0"/>
    <n v="8922.0428063961681"/>
    <n v="8381.9707982438358"/>
  </r>
  <r>
    <s v="Regular"/>
    <x v="4"/>
    <x v="2"/>
    <x v="0"/>
    <x v="0"/>
    <x v="0"/>
    <x v="0"/>
    <x v="0"/>
    <x v="7"/>
    <n v="0"/>
    <n v="0"/>
    <n v="31.99"/>
    <n v="31.99"/>
    <n v="31.99"/>
    <n v="31.99"/>
    <n v="0"/>
    <x v="0"/>
    <n v="0"/>
    <n v="0"/>
    <n v="57"/>
    <n v="98"/>
    <n v="0"/>
    <n v="244.1"/>
    <n v="284.36"/>
    <m/>
    <n v="292.50681287771846"/>
    <n v="274.80069497881567"/>
    <n v="0"/>
    <n v="7808.7589999999991"/>
    <n v="9096.6764000000003"/>
    <n v="0"/>
    <n v="9357.2929439582131"/>
    <n v="8790.8742323723127"/>
  </r>
  <r>
    <s v="Regular"/>
    <x v="4"/>
    <x v="2"/>
    <x v="0"/>
    <x v="0"/>
    <x v="0"/>
    <x v="0"/>
    <x v="0"/>
    <x v="8"/>
    <n v="0"/>
    <n v="0"/>
    <n v="32.703000000000003"/>
    <n v="32.703000000000003"/>
    <n v="32.703000000000003"/>
    <n v="32.703000000000003"/>
    <n v="0"/>
    <x v="0"/>
    <n v="0"/>
    <n v="0"/>
    <n v="57"/>
    <n v="98"/>
    <n v="0"/>
    <n v="244.1"/>
    <n v="284.36"/>
    <m/>
    <n v="292.50681287771846"/>
    <n v="274.80069497881567"/>
    <n v="0"/>
    <n v="7982.8023000000003"/>
    <n v="9299.4250800000009"/>
    <n v="0"/>
    <n v="9565.8503015400274"/>
    <n v="8986.8071278922089"/>
  </r>
  <r>
    <s v="Regular"/>
    <x v="4"/>
    <x v="2"/>
    <x v="0"/>
    <x v="0"/>
    <x v="0"/>
    <x v="0"/>
    <x v="0"/>
    <x v="9"/>
    <n v="0"/>
    <n v="0"/>
    <n v="34.878"/>
    <n v="34.878"/>
    <n v="34.878"/>
    <n v="34.878"/>
    <n v="0"/>
    <x v="0"/>
    <n v="0"/>
    <n v="0"/>
    <n v="57"/>
    <n v="98"/>
    <n v="0"/>
    <n v="244.1"/>
    <n v="284.36"/>
    <m/>
    <n v="292.50681287771846"/>
    <n v="274.80069497881567"/>
    <n v="0"/>
    <n v="8513.7197999999989"/>
    <n v="9917.9080800000011"/>
    <n v="0"/>
    <n v="10202.052619549064"/>
    <n v="9584.4986394711323"/>
  </r>
  <r>
    <s v="Regular"/>
    <x v="4"/>
    <x v="2"/>
    <x v="0"/>
    <x v="0"/>
    <x v="0"/>
    <x v="0"/>
    <x v="0"/>
    <x v="10"/>
    <n v="0"/>
    <n v="0"/>
    <n v="35.561"/>
    <n v="35.561"/>
    <n v="35.561"/>
    <n v="35.561"/>
    <n v="0"/>
    <x v="0"/>
    <n v="0"/>
    <n v="0"/>
    <n v="57"/>
    <n v="98"/>
    <n v="0"/>
    <n v="244.1"/>
    <n v="284.36"/>
    <m/>
    <n v="292.50681287771846"/>
    <n v="274.80069497881567"/>
    <n v="0"/>
    <n v="8680.4400999999998"/>
    <n v="10112.125960000001"/>
    <n v="0"/>
    <n v="10401.834772744545"/>
    <n v="9772.187514141664"/>
  </r>
  <r>
    <s v="Regular"/>
    <x v="4"/>
    <x v="2"/>
    <x v="0"/>
    <x v="0"/>
    <x v="0"/>
    <x v="0"/>
    <x v="0"/>
    <x v="11"/>
    <n v="0"/>
    <n v="0"/>
    <n v="34.975999999999999"/>
    <n v="34.975999999999999"/>
    <n v="34.975999999999999"/>
    <n v="34.975999999999999"/>
    <n v="0"/>
    <x v="0"/>
    <n v="0"/>
    <n v="0"/>
    <n v="57"/>
    <n v="98"/>
    <n v="0"/>
    <n v="244.1"/>
    <n v="284.36"/>
    <m/>
    <n v="292.50681287771846"/>
    <n v="274.80069497881567"/>
    <n v="0"/>
    <n v="8537.641599999999"/>
    <n v="9945.7753599999996"/>
    <n v="0"/>
    <n v="10230.718287211081"/>
    <n v="9611.429107579057"/>
  </r>
  <r>
    <s v="Regular"/>
    <x v="4"/>
    <x v="2"/>
    <x v="0"/>
    <x v="0"/>
    <x v="0"/>
    <x v="0"/>
    <x v="0"/>
    <x v="3"/>
    <n v="0"/>
    <n v="0"/>
    <n v="39.262999999999998"/>
    <n v="39.262999999999998"/>
    <n v="39.262999999999998"/>
    <n v="39.262999999999998"/>
    <n v="0"/>
    <x v="0"/>
    <n v="0"/>
    <n v="0"/>
    <n v="57"/>
    <n v="98"/>
    <n v="0"/>
    <n v="244.1"/>
    <n v="284.36"/>
    <m/>
    <n v="292.50681287771846"/>
    <n v="274.80069497881567"/>
    <n v="0"/>
    <n v="9584.0982999999997"/>
    <n v="11164.82668"/>
    <n v="0"/>
    <n v="11484.69499401786"/>
    <n v="10789.499686953239"/>
  </r>
  <r>
    <s v="Regular"/>
    <x v="4"/>
    <x v="2"/>
    <x v="0"/>
    <x v="0"/>
    <x v="0"/>
    <x v="0"/>
    <x v="0"/>
    <x v="0"/>
    <n v="0"/>
    <n v="0"/>
    <n v="35.311999999999998"/>
    <n v="35.311999999999998"/>
    <n v="35.311999999999998"/>
    <n v="35.311999999999998"/>
    <n v="0"/>
    <x v="0"/>
    <n v="0"/>
    <n v="0"/>
    <n v="57"/>
    <n v="98"/>
    <n v="0"/>
    <n v="244.1"/>
    <n v="284.36"/>
    <m/>
    <n v="292.50681287771846"/>
    <n v="274.80069497881567"/>
    <n v="0"/>
    <n v="8619.6592000000001"/>
    <n v="10041.320319999999"/>
    <n v="0"/>
    <n v="10329.000576337994"/>
    <n v="9703.7621410919382"/>
  </r>
  <r>
    <s v="Regular"/>
    <x v="4"/>
    <x v="2"/>
    <x v="0"/>
    <x v="0"/>
    <x v="0"/>
    <x v="0"/>
    <x v="0"/>
    <x v="4"/>
    <n v="0"/>
    <n v="0"/>
    <n v="40.908000000000001"/>
    <n v="40.908000000000001"/>
    <n v="40.908000000000001"/>
    <n v="40.908000000000001"/>
    <n v="0"/>
    <x v="0"/>
    <n v="0"/>
    <n v="0"/>
    <n v="57"/>
    <n v="98"/>
    <n v="0"/>
    <n v="244.1"/>
    <n v="284.36"/>
    <m/>
    <n v="292.50681287771846"/>
    <n v="274.80069497881567"/>
    <n v="0"/>
    <n v="9985.6427999999996"/>
    <n v="11632.598880000001"/>
    <n v="0"/>
    <n v="11965.868701201707"/>
    <n v="11241.546830193392"/>
  </r>
  <r>
    <s v="Regular"/>
    <x v="4"/>
    <x v="2"/>
    <x v="0"/>
    <x v="0"/>
    <x v="0"/>
    <x v="0"/>
    <x v="0"/>
    <x v="1"/>
    <n v="0"/>
    <n v="0"/>
    <n v="37.264000000000003"/>
    <n v="37.264000000000003"/>
    <n v="37.264000000000003"/>
    <n v="37.264000000000003"/>
    <n v="0"/>
    <x v="0"/>
    <n v="0"/>
    <n v="0"/>
    <n v="57"/>
    <n v="98"/>
    <n v="0"/>
    <n v="244.1"/>
    <n v="284.36"/>
    <m/>
    <n v="292.50681287771846"/>
    <n v="274.80069497881567"/>
    <n v="0"/>
    <n v="9096.1424000000006"/>
    <n v="10596.39104"/>
    <n v="0"/>
    <n v="10899.973875075302"/>
    <n v="10240.173097690587"/>
  </r>
  <r>
    <s v="Regular"/>
    <x v="4"/>
    <x v="2"/>
    <x v="0"/>
    <x v="0"/>
    <x v="0"/>
    <x v="0"/>
    <x v="0"/>
    <x v="2"/>
    <n v="0"/>
    <n v="0"/>
    <n v="30.814"/>
    <n v="30.814"/>
    <n v="30.814"/>
    <n v="30.814"/>
    <n v="0"/>
    <x v="0"/>
    <n v="0"/>
    <n v="0"/>
    <n v="57"/>
    <n v="98"/>
    <n v="0"/>
    <n v="244.1"/>
    <n v="284.36"/>
    <m/>
    <n v="292.50681287771846"/>
    <n v="274.80069497881567"/>
    <n v="0"/>
    <n v="7521.6974"/>
    <n v="8762.269040000001"/>
    <n v="0"/>
    <n v="9013.3049320140162"/>
    <n v="8467.7086150772266"/>
  </r>
  <r>
    <s v="Sistema de Compensação"/>
    <x v="4"/>
    <x v="2"/>
    <x v="0"/>
    <x v="0"/>
    <x v="0"/>
    <x v="0"/>
    <x v="0"/>
    <x v="2"/>
    <n v="0"/>
    <n v="0"/>
    <n v="0.23"/>
    <n v="0.23"/>
    <n v="0.23"/>
    <n v="0.23"/>
    <n v="0"/>
    <x v="0"/>
    <n v="0"/>
    <n v="0"/>
    <n v="57"/>
    <n v="98"/>
    <n v="0"/>
    <n v="244.1"/>
    <n v="284.36"/>
    <m/>
    <n v="292.50681287771846"/>
    <n v="274.80069497881567"/>
    <n v="0"/>
    <n v="56.143000000000001"/>
    <n v="65.402799999999999"/>
    <n v="0"/>
    <n v="67.276566961875247"/>
    <n v="63.204159845127606"/>
  </r>
  <r>
    <s v="Regular"/>
    <x v="4"/>
    <x v="2"/>
    <x v="0"/>
    <x v="0"/>
    <x v="0"/>
    <x v="0"/>
    <x v="0"/>
    <x v="5"/>
    <n v="0"/>
    <n v="0"/>
    <n v="32.301000000000002"/>
    <n v="32.301000000000002"/>
    <n v="32.301000000000002"/>
    <n v="32.301000000000002"/>
    <n v="0"/>
    <x v="0"/>
    <n v="0"/>
    <n v="0"/>
    <n v="57"/>
    <n v="98"/>
    <n v="0"/>
    <n v="244.1"/>
    <n v="284.36"/>
    <m/>
    <n v="292.50681287771846"/>
    <n v="274.80069497881567"/>
    <n v="0"/>
    <n v="7884.6741000000002"/>
    <n v="9185.112360000001"/>
    <n v="0"/>
    <n v="9448.2625627631842"/>
    <n v="8876.3372485107247"/>
  </r>
  <r>
    <s v="Regular"/>
    <x v="4"/>
    <x v="2"/>
    <x v="0"/>
    <x v="0"/>
    <x v="0"/>
    <x v="0"/>
    <x v="3"/>
    <x v="6"/>
    <n v="0"/>
    <n v="0"/>
    <n v="2.0470000000000002"/>
    <n v="2.0470000000000002"/>
    <n v="2.0470000000000002"/>
    <n v="2.0470000000000002"/>
    <n v="0"/>
    <x v="0"/>
    <n v="0"/>
    <n v="0"/>
    <n v="56"/>
    <n v="97"/>
    <n v="0"/>
    <n v="244.1"/>
    <n v="284.36"/>
    <m/>
    <n v="292.50681287771846"/>
    <n v="274.80069497881567"/>
    <n v="0"/>
    <n v="499.67270000000002"/>
    <n v="582.08492000000012"/>
    <n v="0"/>
    <n v="598.76144596068968"/>
    <n v="562.51702262163576"/>
  </r>
  <r>
    <s v="Regular"/>
    <x v="4"/>
    <x v="2"/>
    <x v="0"/>
    <x v="0"/>
    <x v="0"/>
    <x v="0"/>
    <x v="3"/>
    <x v="7"/>
    <n v="0"/>
    <n v="0"/>
    <n v="2.145"/>
    <n v="2.145"/>
    <n v="2.145"/>
    <n v="2.145"/>
    <n v="0"/>
    <x v="0"/>
    <n v="0"/>
    <n v="0"/>
    <n v="56"/>
    <n v="97"/>
    <n v="0"/>
    <n v="244.1"/>
    <n v="284.36"/>
    <m/>
    <n v="292.50681287771846"/>
    <n v="274.80069497881567"/>
    <n v="0"/>
    <n v="523.59450000000004"/>
    <n v="609.95220000000006"/>
    <n v="0"/>
    <n v="627.42711362270609"/>
    <n v="589.4474907295596"/>
  </r>
  <r>
    <s v="Regular"/>
    <x v="4"/>
    <x v="2"/>
    <x v="0"/>
    <x v="0"/>
    <x v="0"/>
    <x v="0"/>
    <x v="3"/>
    <x v="8"/>
    <n v="0"/>
    <n v="0"/>
    <n v="2.1560000000000001"/>
    <n v="2.1560000000000001"/>
    <n v="2.1560000000000001"/>
    <n v="2.1560000000000001"/>
    <n v="0"/>
    <x v="0"/>
    <n v="0"/>
    <n v="0"/>
    <n v="56"/>
    <n v="97"/>
    <n v="0"/>
    <n v="244.1"/>
    <n v="284.36"/>
    <m/>
    <n v="292.50681287771846"/>
    <n v="274.80069497881567"/>
    <n v="0"/>
    <n v="526.27960000000007"/>
    <n v="613.08016000000009"/>
    <n v="0"/>
    <n v="630.64468856436099"/>
    <n v="592.4702983743266"/>
  </r>
  <r>
    <s v="Regular"/>
    <x v="4"/>
    <x v="2"/>
    <x v="0"/>
    <x v="0"/>
    <x v="0"/>
    <x v="0"/>
    <x v="3"/>
    <x v="9"/>
    <n v="0"/>
    <n v="0"/>
    <n v="2.2599999999999998"/>
    <n v="2.2599999999999998"/>
    <n v="2.2599999999999998"/>
    <n v="2.2599999999999998"/>
    <n v="0"/>
    <x v="0"/>
    <n v="0"/>
    <n v="0"/>
    <n v="56"/>
    <n v="97"/>
    <n v="0"/>
    <n v="244.1"/>
    <n v="284.36"/>
    <m/>
    <n v="292.50681287771846"/>
    <n v="274.80069497881567"/>
    <n v="0"/>
    <n v="551.66599999999994"/>
    <n v="642.65359999999998"/>
    <n v="0"/>
    <n v="661.0653971036437"/>
    <n v="621.04957065212341"/>
  </r>
  <r>
    <s v="Regular"/>
    <x v="4"/>
    <x v="2"/>
    <x v="0"/>
    <x v="0"/>
    <x v="0"/>
    <x v="0"/>
    <x v="3"/>
    <x v="10"/>
    <n v="0"/>
    <n v="0"/>
    <n v="2.206"/>
    <n v="2.206"/>
    <n v="2.206"/>
    <n v="2.206"/>
    <n v="0"/>
    <x v="0"/>
    <n v="0"/>
    <n v="0"/>
    <n v="56"/>
    <n v="97"/>
    <n v="0"/>
    <n v="244.1"/>
    <n v="284.36"/>
    <m/>
    <n v="292.50681287771846"/>
    <n v="274.80069497881567"/>
    <n v="0"/>
    <n v="538.4846"/>
    <n v="627.29816000000005"/>
    <n v="0"/>
    <n v="645.27002920824691"/>
    <n v="606.21033312326733"/>
  </r>
  <r>
    <s v="Regular"/>
    <x v="4"/>
    <x v="2"/>
    <x v="0"/>
    <x v="0"/>
    <x v="0"/>
    <x v="0"/>
    <x v="3"/>
    <x v="11"/>
    <n v="0"/>
    <n v="0"/>
    <n v="2.1429999999999998"/>
    <n v="2.1429999999999998"/>
    <n v="2.1429999999999998"/>
    <n v="2.1429999999999998"/>
    <n v="0"/>
    <x v="0"/>
    <n v="0"/>
    <n v="0"/>
    <n v="56"/>
    <n v="97"/>
    <n v="0"/>
    <n v="244.1"/>
    <n v="284.36"/>
    <m/>
    <n v="292.50681287771846"/>
    <n v="274.80069497881567"/>
    <n v="0"/>
    <n v="523.10629999999992"/>
    <n v="609.38347999999996"/>
    <n v="0"/>
    <n v="626.84209999695065"/>
    <n v="588.89788933960187"/>
  </r>
  <r>
    <s v="Regular"/>
    <x v="4"/>
    <x v="2"/>
    <x v="0"/>
    <x v="0"/>
    <x v="0"/>
    <x v="0"/>
    <x v="3"/>
    <x v="3"/>
    <n v="0"/>
    <n v="0"/>
    <n v="2.3980000000000001"/>
    <n v="2.3980000000000001"/>
    <n v="2.3980000000000001"/>
    <n v="2.3980000000000001"/>
    <n v="0"/>
    <x v="0"/>
    <n v="0"/>
    <n v="0"/>
    <n v="56"/>
    <n v="97"/>
    <n v="0"/>
    <n v="244.1"/>
    <n v="284.36"/>
    <m/>
    <n v="292.50681287771846"/>
    <n v="274.80069497881567"/>
    <n v="0"/>
    <n v="585.35180000000003"/>
    <n v="681.89528000000007"/>
    <n v="0"/>
    <n v="701.43133728076896"/>
    <n v="658.97206655920002"/>
  </r>
  <r>
    <s v="Regular"/>
    <x v="4"/>
    <x v="2"/>
    <x v="0"/>
    <x v="0"/>
    <x v="0"/>
    <x v="0"/>
    <x v="3"/>
    <x v="0"/>
    <n v="0"/>
    <n v="0"/>
    <n v="2.5150000000000001"/>
    <n v="2.5150000000000001"/>
    <n v="2.5150000000000001"/>
    <n v="2.5150000000000001"/>
    <n v="0"/>
    <x v="0"/>
    <n v="0"/>
    <n v="0"/>
    <n v="56"/>
    <n v="97"/>
    <n v="0"/>
    <n v="244.1"/>
    <n v="284.36"/>
    <m/>
    <n v="292.50681287771846"/>
    <n v="274.80069497881567"/>
    <n v="0"/>
    <n v="613.91150000000005"/>
    <n v="715.16540000000009"/>
    <n v="0"/>
    <n v="735.65463438746201"/>
    <n v="691.12374787172143"/>
  </r>
  <r>
    <s v="Regular"/>
    <x v="4"/>
    <x v="2"/>
    <x v="0"/>
    <x v="0"/>
    <x v="0"/>
    <x v="0"/>
    <x v="3"/>
    <x v="4"/>
    <n v="0"/>
    <n v="0"/>
    <n v="2.9889999999999999"/>
    <n v="2.9889999999999999"/>
    <n v="2.9889999999999999"/>
    <n v="2.9889999999999999"/>
    <n v="0"/>
    <x v="0"/>
    <n v="0"/>
    <n v="0"/>
    <n v="56"/>
    <n v="97"/>
    <n v="0"/>
    <n v="244.1"/>
    <n v="284.36"/>
    <m/>
    <n v="292.50681287771846"/>
    <n v="274.80069497881567"/>
    <n v="0"/>
    <n v="729.61489999999992"/>
    <n v="849.95204000000001"/>
    <n v="0"/>
    <n v="874.30286369150042"/>
    <n v="821.37927729167995"/>
  </r>
  <r>
    <s v="Regular"/>
    <x v="4"/>
    <x v="2"/>
    <x v="0"/>
    <x v="0"/>
    <x v="0"/>
    <x v="0"/>
    <x v="3"/>
    <x v="1"/>
    <n v="0"/>
    <n v="0"/>
    <n v="2.52"/>
    <n v="2.52"/>
    <n v="2.52"/>
    <n v="2.52"/>
    <n v="0"/>
    <x v="0"/>
    <n v="0"/>
    <n v="0"/>
    <n v="56"/>
    <n v="97"/>
    <n v="0"/>
    <n v="244.1"/>
    <n v="284.36"/>
    <m/>
    <n v="292.50681287771846"/>
    <n v="274.80069497881567"/>
    <n v="0"/>
    <n v="615.13199999999995"/>
    <n v="716.58720000000005"/>
    <n v="0"/>
    <n v="737.11716845185049"/>
    <n v="692.49775134661547"/>
  </r>
  <r>
    <s v="Regular"/>
    <x v="4"/>
    <x v="2"/>
    <x v="0"/>
    <x v="0"/>
    <x v="0"/>
    <x v="0"/>
    <x v="3"/>
    <x v="2"/>
    <n v="0"/>
    <n v="0"/>
    <n v="2.093"/>
    <n v="2.093"/>
    <n v="2.093"/>
    <n v="2.093"/>
    <n v="0"/>
    <x v="0"/>
    <n v="0"/>
    <n v="0"/>
    <n v="56"/>
    <n v="97"/>
    <n v="0"/>
    <n v="244.1"/>
    <n v="284.36"/>
    <m/>
    <n v="292.50681287771846"/>
    <n v="274.80069497881567"/>
    <n v="0"/>
    <n v="510.90129999999999"/>
    <n v="595.16548"/>
    <n v="0"/>
    <n v="612.21675935306473"/>
    <n v="575.15785459066115"/>
  </r>
  <r>
    <s v="Sistema de Compensação"/>
    <x v="4"/>
    <x v="2"/>
    <x v="0"/>
    <x v="0"/>
    <x v="0"/>
    <x v="0"/>
    <x v="3"/>
    <x v="2"/>
    <n v="0"/>
    <n v="0"/>
    <n v="5.0999999999999997E-2"/>
    <n v="5.0999999999999997E-2"/>
    <n v="5.0999999999999997E-2"/>
    <n v="5.0999999999999997E-2"/>
    <n v="0"/>
    <x v="0"/>
    <n v="0"/>
    <n v="0"/>
    <n v="56"/>
    <n v="97"/>
    <n v="0"/>
    <n v="244.1"/>
    <n v="284.36"/>
    <m/>
    <n v="292.50681287771846"/>
    <n v="274.80069497881567"/>
    <n v="0"/>
    <n v="12.4491"/>
    <n v="14.502359999999999"/>
    <n v="0"/>
    <n v="14.91784745676364"/>
    <n v="14.014835443919598"/>
  </r>
  <r>
    <s v="Regular"/>
    <x v="4"/>
    <x v="2"/>
    <x v="0"/>
    <x v="0"/>
    <x v="0"/>
    <x v="0"/>
    <x v="3"/>
    <x v="5"/>
    <n v="0"/>
    <n v="0"/>
    <n v="2.1539999999999999"/>
    <n v="2.1539999999999999"/>
    <n v="2.1539999999999999"/>
    <n v="2.1539999999999999"/>
    <n v="0"/>
    <x v="0"/>
    <n v="0"/>
    <n v="0"/>
    <n v="56"/>
    <n v="97"/>
    <n v="0"/>
    <n v="244.1"/>
    <n v="284.36"/>
    <m/>
    <n v="292.50681287771846"/>
    <n v="274.80069497881567"/>
    <n v="0"/>
    <n v="525.79139999999995"/>
    <n v="612.51143999999999"/>
    <n v="0"/>
    <n v="630.05967493860555"/>
    <n v="591.92069698436887"/>
  </r>
  <r>
    <s v="Regular"/>
    <x v="4"/>
    <x v="2"/>
    <x v="0"/>
    <x v="0"/>
    <x v="0"/>
    <x v="0"/>
    <x v="2"/>
    <x v="6"/>
    <n v="0"/>
    <n v="0"/>
    <n v="2.8239999999999998"/>
    <n v="2.8239999999999998"/>
    <n v="2.8239999999999998"/>
    <n v="2.8239999999999998"/>
    <n v="0"/>
    <x v="0"/>
    <n v="0"/>
    <n v="0"/>
    <n v="55"/>
    <n v="96"/>
    <n v="0"/>
    <n v="847.68"/>
    <n v="454.9"/>
    <m/>
    <n v="895.18809893707498"/>
    <n v="430.5563899456306"/>
    <n v="0"/>
    <n v="2393.8483199999996"/>
    <n v="1284.6375999999998"/>
    <n v="0"/>
    <n v="2528.0111913982996"/>
    <n v="1215.8912452064608"/>
  </r>
  <r>
    <s v="Regular"/>
    <x v="4"/>
    <x v="2"/>
    <x v="0"/>
    <x v="0"/>
    <x v="0"/>
    <x v="0"/>
    <x v="2"/>
    <x v="7"/>
    <n v="0"/>
    <n v="0"/>
    <n v="3.0110000000000001"/>
    <n v="3.0110000000000001"/>
    <n v="3.0110000000000001"/>
    <n v="3.0110000000000001"/>
    <n v="0"/>
    <x v="0"/>
    <n v="0"/>
    <n v="0"/>
    <n v="55"/>
    <n v="96"/>
    <n v="0"/>
    <n v="847.68"/>
    <n v="454.9"/>
    <m/>
    <n v="895.18809893707498"/>
    <n v="430.5563899456306"/>
    <n v="0"/>
    <n v="2552.3644799999997"/>
    <n v="1369.7039"/>
    <n v="0"/>
    <n v="2695.4113658995329"/>
    <n v="1296.4052901262937"/>
  </r>
  <r>
    <s v="Regular"/>
    <x v="4"/>
    <x v="2"/>
    <x v="0"/>
    <x v="0"/>
    <x v="0"/>
    <x v="0"/>
    <x v="2"/>
    <x v="8"/>
    <n v="0"/>
    <n v="0"/>
    <n v="3.0510000000000002"/>
    <n v="3.0510000000000002"/>
    <n v="3.0510000000000002"/>
    <n v="3.0510000000000002"/>
    <n v="0"/>
    <x v="0"/>
    <n v="0"/>
    <n v="0"/>
    <n v="55"/>
    <n v="96"/>
    <n v="0"/>
    <n v="847.68"/>
    <n v="454.9"/>
    <m/>
    <n v="895.18809893707498"/>
    <n v="430.5563899456306"/>
    <n v="0"/>
    <n v="2586.2716799999998"/>
    <n v="1387.8998999999999"/>
    <n v="0"/>
    <n v="2731.2188898570157"/>
    <n v="1313.627545724119"/>
  </r>
  <r>
    <s v="Regular"/>
    <x v="4"/>
    <x v="2"/>
    <x v="0"/>
    <x v="0"/>
    <x v="0"/>
    <x v="0"/>
    <x v="2"/>
    <x v="9"/>
    <n v="0"/>
    <n v="0"/>
    <n v="2.9340000000000002"/>
    <n v="2.9340000000000002"/>
    <n v="2.9340000000000002"/>
    <n v="2.9340000000000002"/>
    <n v="0"/>
    <x v="0"/>
    <n v="0"/>
    <n v="0"/>
    <n v="55"/>
    <n v="96"/>
    <n v="0"/>
    <n v="847.68"/>
    <n v="454.9"/>
    <m/>
    <n v="895.18809893707498"/>
    <n v="430.5563899456306"/>
    <n v="0"/>
    <n v="2487.09312"/>
    <n v="1334.6766"/>
    <n v="0"/>
    <n v="2626.4818822813781"/>
    <n v="1263.2524481004803"/>
  </r>
  <r>
    <s v="Regular"/>
    <x v="4"/>
    <x v="2"/>
    <x v="0"/>
    <x v="0"/>
    <x v="0"/>
    <x v="0"/>
    <x v="2"/>
    <x v="10"/>
    <n v="0"/>
    <n v="0"/>
    <n v="3.6360000000000001"/>
    <n v="3.6360000000000001"/>
    <n v="3.6360000000000001"/>
    <n v="3.6360000000000001"/>
    <n v="0"/>
    <x v="0"/>
    <n v="0"/>
    <n v="0"/>
    <n v="55"/>
    <n v="96"/>
    <n v="0"/>
    <n v="847.68"/>
    <n v="454.9"/>
    <m/>
    <n v="895.18809893707498"/>
    <n v="430.5563899456306"/>
    <n v="0"/>
    <n v="3082.1644799999999"/>
    <n v="1654.0164"/>
    <n v="0"/>
    <n v="3254.9039277352049"/>
    <n v="1565.503033842313"/>
  </r>
  <r>
    <s v="Regular"/>
    <x v="4"/>
    <x v="2"/>
    <x v="0"/>
    <x v="0"/>
    <x v="0"/>
    <x v="0"/>
    <x v="2"/>
    <x v="11"/>
    <n v="0"/>
    <n v="0"/>
    <n v="4.3"/>
    <n v="4.3"/>
    <n v="4.3"/>
    <n v="4.3"/>
    <n v="0"/>
    <x v="0"/>
    <n v="0"/>
    <n v="0"/>
    <n v="55"/>
    <n v="96"/>
    <n v="0"/>
    <n v="847.68"/>
    <n v="454.9"/>
    <m/>
    <n v="895.18809893707498"/>
    <n v="430.5563899456306"/>
    <n v="0"/>
    <n v="3645.0239999999994"/>
    <n v="1956.0699999999997"/>
    <n v="0"/>
    <n v="3849.3088254294221"/>
    <n v="1851.3924767662115"/>
  </r>
  <r>
    <s v="Regular"/>
    <x v="4"/>
    <x v="2"/>
    <x v="0"/>
    <x v="0"/>
    <x v="0"/>
    <x v="0"/>
    <x v="2"/>
    <x v="3"/>
    <n v="0"/>
    <n v="0"/>
    <n v="5.367"/>
    <n v="5.367"/>
    <n v="5.367"/>
    <n v="5.367"/>
    <n v="0"/>
    <x v="0"/>
    <n v="0"/>
    <n v="0"/>
    <n v="55"/>
    <n v="96"/>
    <n v="0"/>
    <n v="847.68"/>
    <n v="454.9"/>
    <m/>
    <n v="895.18809893707498"/>
    <n v="430.5563899456306"/>
    <n v="0"/>
    <n v="4549.49856"/>
    <n v="2441.4483"/>
    <n v="0"/>
    <n v="4804.4745269952818"/>
    <n v="2310.7961448381993"/>
  </r>
  <r>
    <s v="Regular"/>
    <x v="4"/>
    <x v="2"/>
    <x v="0"/>
    <x v="0"/>
    <x v="0"/>
    <x v="0"/>
    <x v="2"/>
    <x v="0"/>
    <n v="0"/>
    <n v="0"/>
    <n v="3.3740000000000001"/>
    <n v="3.3740000000000001"/>
    <n v="3.3740000000000001"/>
    <n v="3.3740000000000001"/>
    <n v="0"/>
    <x v="0"/>
    <n v="0"/>
    <n v="0"/>
    <n v="55"/>
    <n v="96"/>
    <n v="0"/>
    <n v="847.68"/>
    <n v="454.9"/>
    <m/>
    <n v="895.18809893707498"/>
    <n v="430.5563899456306"/>
    <n v="0"/>
    <n v="2860.0723199999998"/>
    <n v="1534.8326"/>
    <n v="0"/>
    <n v="3020.3646458136909"/>
    <n v="1452.6972596765577"/>
  </r>
  <r>
    <s v="Regular"/>
    <x v="4"/>
    <x v="2"/>
    <x v="0"/>
    <x v="0"/>
    <x v="0"/>
    <x v="0"/>
    <x v="2"/>
    <x v="4"/>
    <n v="0"/>
    <n v="0"/>
    <n v="3.8740000000000001"/>
    <n v="3.8740000000000001"/>
    <n v="3.8740000000000001"/>
    <n v="3.8740000000000001"/>
    <n v="0"/>
    <x v="0"/>
    <n v="0"/>
    <n v="0"/>
    <n v="55"/>
    <n v="96"/>
    <n v="0"/>
    <n v="847.68"/>
    <n v="454.9"/>
    <m/>
    <n v="895.18809893707498"/>
    <n v="430.5563899456306"/>
    <n v="0"/>
    <n v="3283.9123199999999"/>
    <n v="1762.2826"/>
    <n v="0"/>
    <n v="3467.9586952822287"/>
    <n v="1667.975454649373"/>
  </r>
  <r>
    <s v="Regular"/>
    <x v="4"/>
    <x v="2"/>
    <x v="0"/>
    <x v="0"/>
    <x v="0"/>
    <x v="0"/>
    <x v="2"/>
    <x v="1"/>
    <n v="0"/>
    <n v="0"/>
    <n v="3.29"/>
    <n v="3.29"/>
    <n v="3.29"/>
    <n v="3.29"/>
    <n v="0"/>
    <x v="0"/>
    <n v="0"/>
    <n v="0"/>
    <n v="55"/>
    <n v="96"/>
    <n v="0"/>
    <n v="847.68"/>
    <n v="454.9"/>
    <m/>
    <n v="895.18809893707498"/>
    <n v="430.5563899456306"/>
    <n v="0"/>
    <n v="2788.8671999999997"/>
    <n v="1496.6209999999999"/>
    <n v="0"/>
    <n v="2945.1688455029766"/>
    <n v="1416.5305229211247"/>
  </r>
  <r>
    <s v="Regular"/>
    <x v="4"/>
    <x v="2"/>
    <x v="0"/>
    <x v="0"/>
    <x v="0"/>
    <x v="0"/>
    <x v="2"/>
    <x v="2"/>
    <n v="0"/>
    <n v="0"/>
    <n v="2.508"/>
    <n v="2.508"/>
    <n v="2.508"/>
    <n v="2.508"/>
    <n v="0"/>
    <x v="0"/>
    <n v="0"/>
    <n v="0"/>
    <n v="55"/>
    <n v="96"/>
    <n v="0"/>
    <n v="847.68"/>
    <n v="454.9"/>
    <m/>
    <n v="895.18809893707498"/>
    <n v="430.5563899456306"/>
    <n v="0"/>
    <n v="2125.98144"/>
    <n v="1140.8891999999998"/>
    <n v="0"/>
    <n v="2245.1317521341839"/>
    <n v="1079.8354259836415"/>
  </r>
  <r>
    <s v="Sistema de Compensação"/>
    <x v="4"/>
    <x v="2"/>
    <x v="0"/>
    <x v="0"/>
    <x v="0"/>
    <x v="0"/>
    <x v="2"/>
    <x v="2"/>
    <n v="0"/>
    <n v="0"/>
    <n v="0.82499999999999996"/>
    <n v="0.82499999999999996"/>
    <n v="0.82499999999999996"/>
    <n v="0.82499999999999996"/>
    <n v="0"/>
    <x v="0"/>
    <n v="0"/>
    <n v="0"/>
    <n v="55"/>
    <n v="96"/>
    <n v="0"/>
    <n v="847.68"/>
    <n v="454.9"/>
    <m/>
    <n v="895.18809893707498"/>
    <n v="430.5563899456306"/>
    <n v="0"/>
    <n v="699.3359999999999"/>
    <n v="375.29249999999996"/>
    <n v="0"/>
    <n v="738.53018162308683"/>
    <n v="355.20902170514523"/>
  </r>
  <r>
    <s v="Regular"/>
    <x v="4"/>
    <x v="2"/>
    <x v="0"/>
    <x v="0"/>
    <x v="0"/>
    <x v="0"/>
    <x v="2"/>
    <x v="5"/>
    <n v="0"/>
    <n v="0"/>
    <n v="2.8730000000000002"/>
    <n v="2.8730000000000002"/>
    <n v="2.8730000000000002"/>
    <n v="2.8730000000000002"/>
    <n v="0"/>
    <x v="0"/>
    <n v="0"/>
    <n v="0"/>
    <n v="55"/>
    <n v="96"/>
    <n v="0"/>
    <n v="847.68"/>
    <n v="454.9"/>
    <m/>
    <n v="895.18809893707498"/>
    <n v="430.5563899456306"/>
    <n v="0"/>
    <n v="2435.3846400000002"/>
    <n v="1306.9277"/>
    <n v="0"/>
    <n v="2571.8754082462165"/>
    <n v="1236.9885083137967"/>
  </r>
  <r>
    <s v="Regular"/>
    <x v="4"/>
    <x v="2"/>
    <x v="1"/>
    <x v="0"/>
    <x v="0"/>
    <x v="0"/>
    <x v="0"/>
    <x v="6"/>
    <n v="0"/>
    <n v="0"/>
    <n v="1.972"/>
    <n v="1.972"/>
    <n v="1.972"/>
    <n v="1.972"/>
    <n v="0"/>
    <x v="0"/>
    <n v="0"/>
    <n v="0"/>
    <n v="57"/>
    <n v="98"/>
    <n v="0"/>
    <n v="244.1"/>
    <n v="284.36"/>
    <m/>
    <n v="292.50681287771846"/>
    <n v="274.80069497881567"/>
    <n v="0"/>
    <n v="481.36519999999996"/>
    <n v="560.75792000000001"/>
    <n v="0"/>
    <n v="576.8234349948608"/>
    <n v="541.9069704982245"/>
  </r>
  <r>
    <s v="Regular"/>
    <x v="4"/>
    <x v="2"/>
    <x v="1"/>
    <x v="0"/>
    <x v="0"/>
    <x v="0"/>
    <x v="0"/>
    <x v="7"/>
    <n v="0"/>
    <n v="0"/>
    <n v="2.1680000000000001"/>
    <n v="2.1680000000000001"/>
    <n v="2.1680000000000001"/>
    <n v="2.1680000000000001"/>
    <n v="0"/>
    <x v="0"/>
    <n v="0"/>
    <n v="0"/>
    <n v="57"/>
    <n v="98"/>
    <n v="0"/>
    <n v="244.1"/>
    <n v="284.36"/>
    <m/>
    <n v="292.50681287771846"/>
    <n v="274.80069497881567"/>
    <n v="0"/>
    <n v="529.2088"/>
    <n v="616.49248000000011"/>
    <n v="0"/>
    <n v="634.15477031889361"/>
    <n v="595.76790671407241"/>
  </r>
  <r>
    <s v="Regular"/>
    <x v="4"/>
    <x v="2"/>
    <x v="1"/>
    <x v="0"/>
    <x v="0"/>
    <x v="0"/>
    <x v="0"/>
    <x v="8"/>
    <n v="0"/>
    <n v="0"/>
    <n v="2.1709999999999998"/>
    <n v="2.1709999999999998"/>
    <n v="2.1709999999999998"/>
    <n v="2.1709999999999998"/>
    <n v="0"/>
    <x v="0"/>
    <n v="0"/>
    <n v="0"/>
    <n v="57"/>
    <n v="98"/>
    <n v="0"/>
    <n v="244.1"/>
    <n v="284.36"/>
    <m/>
    <n v="292.50681287771846"/>
    <n v="274.80069497881567"/>
    <n v="0"/>
    <n v="529.94109999999989"/>
    <n v="617.34555999999998"/>
    <n v="0"/>
    <n v="635.03229075752677"/>
    <n v="596.59230879900872"/>
  </r>
  <r>
    <s v="Regular"/>
    <x v="4"/>
    <x v="2"/>
    <x v="1"/>
    <x v="0"/>
    <x v="0"/>
    <x v="0"/>
    <x v="0"/>
    <x v="9"/>
    <n v="0"/>
    <n v="0"/>
    <n v="2.056"/>
    <n v="2.056"/>
    <n v="2.056"/>
    <n v="2.056"/>
    <n v="0"/>
    <x v="0"/>
    <n v="0"/>
    <n v="0"/>
    <n v="57"/>
    <n v="98"/>
    <n v="0"/>
    <n v="244.1"/>
    <n v="284.36"/>
    <m/>
    <n v="292.50681287771846"/>
    <n v="274.80069497881567"/>
    <n v="0"/>
    <n v="501.86959999999999"/>
    <n v="584.64416000000006"/>
    <n v="0"/>
    <n v="601.39400727658915"/>
    <n v="564.99022887644503"/>
  </r>
  <r>
    <s v="Regular"/>
    <x v="4"/>
    <x v="2"/>
    <x v="1"/>
    <x v="0"/>
    <x v="0"/>
    <x v="0"/>
    <x v="0"/>
    <x v="10"/>
    <n v="0"/>
    <n v="0"/>
    <n v="2.024"/>
    <n v="2.024"/>
    <n v="2.024"/>
    <n v="2.024"/>
    <n v="0"/>
    <x v="0"/>
    <n v="0"/>
    <n v="0"/>
    <n v="57"/>
    <n v="98"/>
    <n v="0"/>
    <n v="244.1"/>
    <n v="284.36"/>
    <m/>
    <n v="292.50681287771846"/>
    <n v="274.80069497881567"/>
    <n v="0"/>
    <n v="494.05840000000001"/>
    <n v="575.54464000000007"/>
    <n v="0"/>
    <n v="592.03378926450216"/>
    <n v="556.19660663712295"/>
  </r>
  <r>
    <s v="Regular"/>
    <x v="4"/>
    <x v="2"/>
    <x v="1"/>
    <x v="0"/>
    <x v="0"/>
    <x v="0"/>
    <x v="0"/>
    <x v="11"/>
    <n v="0"/>
    <n v="0"/>
    <n v="2.0179999999999998"/>
    <n v="2.0179999999999998"/>
    <n v="2.0179999999999998"/>
    <n v="2.0179999999999998"/>
    <n v="0"/>
    <x v="0"/>
    <n v="0"/>
    <n v="0"/>
    <n v="57"/>
    <n v="98"/>
    <n v="0"/>
    <n v="244.1"/>
    <n v="284.36"/>
    <m/>
    <n v="292.50681287771846"/>
    <n v="274.80069497881567"/>
    <n v="0"/>
    <n v="492.59379999999993"/>
    <n v="573.83848"/>
    <n v="0"/>
    <n v="590.27874838723574"/>
    <n v="554.54780246724999"/>
  </r>
  <r>
    <s v="Regular"/>
    <x v="4"/>
    <x v="2"/>
    <x v="1"/>
    <x v="0"/>
    <x v="0"/>
    <x v="0"/>
    <x v="0"/>
    <x v="3"/>
    <n v="0"/>
    <n v="0"/>
    <n v="2.08"/>
    <n v="2.08"/>
    <n v="2.08"/>
    <n v="2.08"/>
    <n v="0"/>
    <x v="0"/>
    <n v="0"/>
    <n v="0"/>
    <n v="57"/>
    <n v="98"/>
    <n v="0"/>
    <n v="244.1"/>
    <n v="284.36"/>
    <m/>
    <n v="292.50681287771846"/>
    <n v="274.80069497881567"/>
    <n v="0"/>
    <n v="507.72800000000001"/>
    <n v="591.4688000000001"/>
    <n v="0"/>
    <n v="608.41417078565439"/>
    <n v="571.58544555593664"/>
  </r>
  <r>
    <s v="Regular"/>
    <x v="4"/>
    <x v="2"/>
    <x v="1"/>
    <x v="0"/>
    <x v="0"/>
    <x v="0"/>
    <x v="0"/>
    <x v="0"/>
    <n v="0"/>
    <n v="0"/>
    <n v="1.895"/>
    <n v="1.895"/>
    <n v="1.895"/>
    <n v="1.895"/>
    <n v="0"/>
    <x v="0"/>
    <n v="0"/>
    <n v="0"/>
    <n v="57"/>
    <n v="98"/>
    <n v="0"/>
    <n v="244.1"/>
    <n v="284.36"/>
    <m/>
    <n v="292.50681287771846"/>
    <n v="274.80069497881567"/>
    <n v="0"/>
    <n v="462.56950000000001"/>
    <n v="538.86220000000003"/>
    <n v="0"/>
    <n v="554.30041040327649"/>
    <n v="520.74731698485573"/>
  </r>
  <r>
    <s v="Regular"/>
    <x v="4"/>
    <x v="2"/>
    <x v="1"/>
    <x v="0"/>
    <x v="0"/>
    <x v="0"/>
    <x v="0"/>
    <x v="4"/>
    <n v="0"/>
    <n v="0"/>
    <n v="2.2280000000000002"/>
    <n v="2.2280000000000002"/>
    <n v="2.2280000000000002"/>
    <n v="2.2280000000000002"/>
    <n v="0"/>
    <x v="0"/>
    <n v="0"/>
    <n v="0"/>
    <n v="57"/>
    <n v="98"/>
    <n v="0"/>
    <n v="244.1"/>
    <n v="284.36"/>
    <m/>
    <n v="292.50681287771846"/>
    <n v="274.80069497881567"/>
    <n v="0"/>
    <n v="543.85480000000007"/>
    <n v="633.55408000000011"/>
    <n v="0"/>
    <n v="651.70517909155683"/>
    <n v="612.25594841280133"/>
  </r>
  <r>
    <s v="Regular"/>
    <x v="4"/>
    <x v="2"/>
    <x v="1"/>
    <x v="0"/>
    <x v="0"/>
    <x v="0"/>
    <x v="0"/>
    <x v="1"/>
    <n v="0"/>
    <n v="0"/>
    <n v="2.14"/>
    <n v="2.14"/>
    <n v="2.14"/>
    <n v="2.14"/>
    <n v="0"/>
    <x v="0"/>
    <n v="0"/>
    <n v="0"/>
    <n v="57"/>
    <n v="98"/>
    <n v="0"/>
    <n v="244.1"/>
    <n v="284.36"/>
    <m/>
    <n v="292.50681287771846"/>
    <n v="274.80069497881567"/>
    <n v="0"/>
    <n v="522.37400000000002"/>
    <n v="608.5304000000001"/>
    <n v="0"/>
    <n v="625.9645795583175"/>
    <n v="588.07348725466557"/>
  </r>
  <r>
    <s v="Regular"/>
    <x v="4"/>
    <x v="2"/>
    <x v="1"/>
    <x v="0"/>
    <x v="0"/>
    <x v="0"/>
    <x v="0"/>
    <x v="2"/>
    <n v="0"/>
    <n v="0"/>
    <n v="2.0470000000000002"/>
    <n v="2.0470000000000002"/>
    <n v="2.0470000000000002"/>
    <n v="2.0470000000000002"/>
    <n v="0"/>
    <x v="0"/>
    <n v="0"/>
    <n v="0"/>
    <n v="57"/>
    <n v="98"/>
    <n v="0"/>
    <n v="244.1"/>
    <n v="284.36"/>
    <m/>
    <n v="292.50681287771846"/>
    <n v="274.80069497881567"/>
    <n v="0"/>
    <n v="499.67270000000002"/>
    <n v="582.08492000000012"/>
    <n v="0"/>
    <n v="598.76144596068968"/>
    <n v="562.51702262163576"/>
  </r>
  <r>
    <s v="Regular"/>
    <x v="4"/>
    <x v="2"/>
    <x v="1"/>
    <x v="0"/>
    <x v="0"/>
    <x v="0"/>
    <x v="0"/>
    <x v="5"/>
    <n v="0"/>
    <n v="0"/>
    <n v="2.173"/>
    <n v="2.173"/>
    <n v="2.173"/>
    <n v="2.173"/>
    <n v="0"/>
    <x v="0"/>
    <n v="0"/>
    <n v="0"/>
    <n v="57"/>
    <n v="98"/>
    <n v="0"/>
    <n v="244.1"/>
    <n v="284.36"/>
    <m/>
    <n v="292.50681287771846"/>
    <n v="274.80069497881567"/>
    <n v="0"/>
    <n v="530.42930000000001"/>
    <n v="617.91428000000008"/>
    <n v="0"/>
    <n v="635.6173043832822"/>
    <n v="597.14191018896645"/>
  </r>
  <r>
    <s v="Regular"/>
    <x v="4"/>
    <x v="2"/>
    <x v="1"/>
    <x v="0"/>
    <x v="0"/>
    <x v="0"/>
    <x v="3"/>
    <x v="6"/>
    <n v="0"/>
    <n v="0"/>
    <n v="8.2000000000000003E-2"/>
    <n v="8.2000000000000003E-2"/>
    <n v="8.2000000000000003E-2"/>
    <n v="8.2000000000000003E-2"/>
    <n v="0"/>
    <x v="0"/>
    <n v="0"/>
    <n v="0"/>
    <n v="56"/>
    <n v="97"/>
    <n v="0"/>
    <n v="244.1"/>
    <n v="284.36"/>
    <m/>
    <n v="292.50681287771846"/>
    <n v="274.80069497881567"/>
    <n v="0"/>
    <n v="20.016200000000001"/>
    <n v="23.317520000000002"/>
    <n v="0"/>
    <n v="23.985558655972916"/>
    <n v="22.533656988262887"/>
  </r>
  <r>
    <s v="Regular"/>
    <x v="4"/>
    <x v="2"/>
    <x v="1"/>
    <x v="0"/>
    <x v="0"/>
    <x v="0"/>
    <x v="3"/>
    <x v="7"/>
    <n v="0"/>
    <n v="0"/>
    <n v="9.1999999999999998E-2"/>
    <n v="9.1999999999999998E-2"/>
    <n v="9.1999999999999998E-2"/>
    <n v="9.1999999999999998E-2"/>
    <n v="0"/>
    <x v="0"/>
    <n v="0"/>
    <n v="0"/>
    <n v="56"/>
    <n v="97"/>
    <n v="0"/>
    <n v="244.1"/>
    <n v="284.36"/>
    <m/>
    <n v="292.50681287771846"/>
    <n v="274.80069497881567"/>
    <n v="0"/>
    <n v="22.4572"/>
    <n v="26.16112"/>
    <n v="0"/>
    <n v="26.910626784750097"/>
    <n v="25.28166393805104"/>
  </r>
  <r>
    <s v="Regular"/>
    <x v="4"/>
    <x v="2"/>
    <x v="1"/>
    <x v="0"/>
    <x v="0"/>
    <x v="0"/>
    <x v="3"/>
    <x v="8"/>
    <n v="0"/>
    <n v="0"/>
    <n v="9.5000000000000001E-2"/>
    <n v="9.5000000000000001E-2"/>
    <n v="9.5000000000000001E-2"/>
    <n v="9.5000000000000001E-2"/>
    <n v="0"/>
    <x v="0"/>
    <n v="0"/>
    <n v="0"/>
    <n v="56"/>
    <n v="97"/>
    <n v="0"/>
    <n v="244.1"/>
    <n v="284.36"/>
    <m/>
    <n v="292.50681287771846"/>
    <n v="274.80069497881567"/>
    <n v="0"/>
    <n v="23.189499999999999"/>
    <n v="27.014200000000002"/>
    <n v="0"/>
    <n v="27.788147223383255"/>
    <n v="26.106066022987488"/>
  </r>
  <r>
    <s v="Regular"/>
    <x v="4"/>
    <x v="2"/>
    <x v="1"/>
    <x v="0"/>
    <x v="0"/>
    <x v="0"/>
    <x v="3"/>
    <x v="9"/>
    <n v="0"/>
    <n v="0"/>
    <n v="9.7000000000000003E-2"/>
    <n v="9.7000000000000003E-2"/>
    <n v="9.7000000000000003E-2"/>
    <n v="9.7000000000000003E-2"/>
    <n v="0"/>
    <x v="0"/>
    <n v="0"/>
    <n v="0"/>
    <n v="56"/>
    <n v="97"/>
    <n v="0"/>
    <n v="244.1"/>
    <n v="284.36"/>
    <m/>
    <n v="292.50681287771846"/>
    <n v="274.80069497881567"/>
    <n v="0"/>
    <n v="23.677700000000002"/>
    <n v="27.582920000000001"/>
    <n v="0"/>
    <n v="28.373160849138692"/>
    <n v="26.655667412945121"/>
  </r>
  <r>
    <s v="Regular"/>
    <x v="4"/>
    <x v="2"/>
    <x v="1"/>
    <x v="0"/>
    <x v="0"/>
    <x v="0"/>
    <x v="3"/>
    <x v="10"/>
    <n v="0"/>
    <n v="0"/>
    <n v="8.3000000000000004E-2"/>
    <n v="8.3000000000000004E-2"/>
    <n v="8.3000000000000004E-2"/>
    <n v="8.3000000000000004E-2"/>
    <n v="0"/>
    <x v="0"/>
    <n v="0"/>
    <n v="0"/>
    <n v="56"/>
    <n v="97"/>
    <n v="0"/>
    <n v="244.1"/>
    <n v="284.36"/>
    <m/>
    <n v="292.50681287771846"/>
    <n v="274.80069497881567"/>
    <n v="0"/>
    <n v="20.260300000000001"/>
    <n v="23.601880000000001"/>
    <n v="0"/>
    <n v="24.278065468850635"/>
    <n v="22.808457683241702"/>
  </r>
  <r>
    <s v="Regular"/>
    <x v="4"/>
    <x v="2"/>
    <x v="1"/>
    <x v="0"/>
    <x v="0"/>
    <x v="0"/>
    <x v="3"/>
    <x v="11"/>
    <n v="0"/>
    <n v="0"/>
    <n v="8.8999999999999996E-2"/>
    <n v="8.8999999999999996E-2"/>
    <n v="8.8999999999999996E-2"/>
    <n v="8.8999999999999996E-2"/>
    <n v="0"/>
    <x v="0"/>
    <n v="0"/>
    <n v="0"/>
    <n v="56"/>
    <n v="97"/>
    <n v="0"/>
    <n v="244.1"/>
    <n v="284.36"/>
    <m/>
    <n v="292.50681287771846"/>
    <n v="274.80069497881567"/>
    <n v="0"/>
    <n v="21.724899999999998"/>
    <n v="25.308039999999998"/>
    <n v="0"/>
    <n v="26.033106346116941"/>
    <n v="24.457261853114595"/>
  </r>
  <r>
    <s v="Regular"/>
    <x v="4"/>
    <x v="2"/>
    <x v="1"/>
    <x v="0"/>
    <x v="0"/>
    <x v="0"/>
    <x v="3"/>
    <x v="3"/>
    <n v="0"/>
    <n v="0"/>
    <n v="0.11"/>
    <n v="0.11"/>
    <n v="0.11"/>
    <n v="0.11"/>
    <n v="0"/>
    <x v="0"/>
    <n v="0"/>
    <n v="0"/>
    <n v="56"/>
    <n v="97"/>
    <n v="0"/>
    <n v="244.1"/>
    <n v="284.36"/>
    <m/>
    <n v="292.50681287771846"/>
    <n v="274.80069497881567"/>
    <n v="0"/>
    <n v="26.850999999999999"/>
    <n v="31.279600000000002"/>
    <n v="0"/>
    <n v="32.175749416549031"/>
    <n v="30.228076447669725"/>
  </r>
  <r>
    <s v="Regular"/>
    <x v="4"/>
    <x v="2"/>
    <x v="1"/>
    <x v="0"/>
    <x v="0"/>
    <x v="0"/>
    <x v="3"/>
    <x v="0"/>
    <n v="0"/>
    <n v="0"/>
    <n v="0.104"/>
    <n v="0.104"/>
    <n v="0.104"/>
    <n v="0.104"/>
    <n v="0"/>
    <x v="0"/>
    <n v="0"/>
    <n v="0"/>
    <n v="56"/>
    <n v="97"/>
    <n v="0"/>
    <n v="244.1"/>
    <n v="284.36"/>
    <m/>
    <n v="292.50681287771846"/>
    <n v="274.80069497881567"/>
    <n v="0"/>
    <n v="25.386399999999998"/>
    <n v="29.573440000000002"/>
    <n v="0"/>
    <n v="30.420708539282717"/>
    <n v="28.579272277796829"/>
  </r>
  <r>
    <s v="Regular"/>
    <x v="4"/>
    <x v="2"/>
    <x v="1"/>
    <x v="0"/>
    <x v="0"/>
    <x v="0"/>
    <x v="3"/>
    <x v="4"/>
    <n v="0"/>
    <n v="0"/>
    <n v="0.11799999999999999"/>
    <n v="0.11799999999999999"/>
    <n v="0.11799999999999999"/>
    <n v="0.11799999999999999"/>
    <n v="0"/>
    <x v="0"/>
    <n v="0"/>
    <n v="0"/>
    <n v="56"/>
    <n v="97"/>
    <n v="0"/>
    <n v="244.1"/>
    <n v="284.36"/>
    <m/>
    <n v="292.50681287771846"/>
    <n v="274.80069497881567"/>
    <n v="0"/>
    <n v="28.803799999999999"/>
    <n v="33.554479999999998"/>
    <n v="0"/>
    <n v="34.515803919570779"/>
    <n v="32.426482007500248"/>
  </r>
  <r>
    <s v="Regular"/>
    <x v="4"/>
    <x v="2"/>
    <x v="1"/>
    <x v="0"/>
    <x v="0"/>
    <x v="0"/>
    <x v="3"/>
    <x v="1"/>
    <n v="0"/>
    <n v="0"/>
    <n v="9.0999999999999998E-2"/>
    <n v="9.0999999999999998E-2"/>
    <n v="9.0999999999999998E-2"/>
    <n v="9.0999999999999998E-2"/>
    <n v="0"/>
    <x v="0"/>
    <n v="0"/>
    <n v="0"/>
    <n v="56"/>
    <n v="97"/>
    <n v="0"/>
    <n v="244.1"/>
    <n v="284.36"/>
    <m/>
    <n v="292.50681287771846"/>
    <n v="274.80069497881567"/>
    <n v="0"/>
    <n v="22.213099999999997"/>
    <n v="25.876760000000001"/>
    <n v="0"/>
    <n v="26.618119971872378"/>
    <n v="25.006863243072225"/>
  </r>
  <r>
    <s v="Regular"/>
    <x v="4"/>
    <x v="2"/>
    <x v="1"/>
    <x v="0"/>
    <x v="0"/>
    <x v="0"/>
    <x v="3"/>
    <x v="2"/>
    <n v="0"/>
    <n v="0"/>
    <n v="0.09"/>
    <n v="0.09"/>
    <n v="0.09"/>
    <n v="0.09"/>
    <n v="0"/>
    <x v="0"/>
    <n v="0"/>
    <n v="0"/>
    <n v="56"/>
    <n v="97"/>
    <n v="0"/>
    <n v="244.1"/>
    <n v="284.36"/>
    <m/>
    <n v="292.50681287771846"/>
    <n v="274.80069497881567"/>
    <n v="0"/>
    <n v="21.968999999999998"/>
    <n v="25.592400000000001"/>
    <n v="0"/>
    <n v="26.32561315899466"/>
    <n v="24.73206254809341"/>
  </r>
  <r>
    <s v="Regular"/>
    <x v="4"/>
    <x v="2"/>
    <x v="1"/>
    <x v="0"/>
    <x v="0"/>
    <x v="0"/>
    <x v="3"/>
    <x v="5"/>
    <n v="0"/>
    <n v="0"/>
    <n v="0.107"/>
    <n v="0.107"/>
    <n v="0.107"/>
    <n v="0.107"/>
    <n v="0"/>
    <x v="0"/>
    <n v="0"/>
    <n v="0"/>
    <n v="56"/>
    <n v="97"/>
    <n v="0"/>
    <n v="244.1"/>
    <n v="284.36"/>
    <m/>
    <n v="292.50681287771846"/>
    <n v="274.80069497881567"/>
    <n v="0"/>
    <n v="26.1187"/>
    <n v="30.42652"/>
    <n v="0"/>
    <n v="31.298228977915876"/>
    <n v="29.403674362733277"/>
  </r>
  <r>
    <s v="Regular"/>
    <x v="4"/>
    <x v="2"/>
    <x v="1"/>
    <x v="0"/>
    <x v="0"/>
    <x v="0"/>
    <x v="2"/>
    <x v="6"/>
    <n v="0"/>
    <n v="0"/>
    <n v="0.11"/>
    <n v="0.11"/>
    <n v="0.11"/>
    <n v="0.11"/>
    <n v="0"/>
    <x v="0"/>
    <n v="0"/>
    <n v="0"/>
    <n v="55"/>
    <n v="96"/>
    <n v="0"/>
    <n v="847.68"/>
    <n v="454.9"/>
    <m/>
    <n v="895.18809893707498"/>
    <n v="430.5563899456306"/>
    <n v="0"/>
    <n v="93.244799999999998"/>
    <n v="50.038999999999994"/>
    <n v="0"/>
    <n v="98.470690883078248"/>
    <n v="47.361202894019364"/>
  </r>
  <r>
    <s v="Regular"/>
    <x v="4"/>
    <x v="2"/>
    <x v="1"/>
    <x v="0"/>
    <x v="0"/>
    <x v="0"/>
    <x v="2"/>
    <x v="7"/>
    <n v="0"/>
    <n v="0"/>
    <n v="0.113"/>
    <n v="0.113"/>
    <n v="0.113"/>
    <n v="0.113"/>
    <n v="0"/>
    <x v="0"/>
    <n v="0"/>
    <n v="0"/>
    <n v="55"/>
    <n v="96"/>
    <n v="0"/>
    <n v="847.68"/>
    <n v="454.9"/>
    <m/>
    <n v="895.18809893707498"/>
    <n v="430.5563899456306"/>
    <n v="0"/>
    <n v="95.787840000000003"/>
    <n v="51.403700000000001"/>
    <n v="0"/>
    <n v="101.15625517988947"/>
    <n v="48.652872063856258"/>
  </r>
  <r>
    <s v="Regular"/>
    <x v="4"/>
    <x v="2"/>
    <x v="1"/>
    <x v="0"/>
    <x v="0"/>
    <x v="0"/>
    <x v="2"/>
    <x v="8"/>
    <n v="0"/>
    <n v="0"/>
    <n v="0.104"/>
    <n v="0.104"/>
    <n v="0.104"/>
    <n v="0.104"/>
    <n v="0"/>
    <x v="0"/>
    <n v="0"/>
    <n v="0"/>
    <n v="55"/>
    <n v="96"/>
    <n v="0"/>
    <n v="847.68"/>
    <n v="454.9"/>
    <m/>
    <n v="895.18809893707498"/>
    <n v="430.5563899456306"/>
    <n v="0"/>
    <n v="88.158719999999988"/>
    <n v="47.309599999999996"/>
    <n v="0"/>
    <n v="93.09956228945579"/>
    <n v="44.777864554345584"/>
  </r>
  <r>
    <s v="Regular"/>
    <x v="4"/>
    <x v="2"/>
    <x v="1"/>
    <x v="0"/>
    <x v="0"/>
    <x v="0"/>
    <x v="2"/>
    <x v="9"/>
    <n v="0"/>
    <n v="0"/>
    <n v="0.108"/>
    <n v="0.108"/>
    <n v="0.108"/>
    <n v="0.108"/>
    <n v="0"/>
    <x v="0"/>
    <n v="0"/>
    <n v="0"/>
    <n v="55"/>
    <n v="96"/>
    <n v="0"/>
    <n v="847.68"/>
    <n v="454.9"/>
    <m/>
    <n v="895.18809893707498"/>
    <n v="430.5563899456306"/>
    <n v="0"/>
    <n v="91.54943999999999"/>
    <n v="49.129199999999997"/>
    <n v="0"/>
    <n v="96.680314685204095"/>
    <n v="46.500090114128106"/>
  </r>
  <r>
    <s v="Regular"/>
    <x v="4"/>
    <x v="2"/>
    <x v="1"/>
    <x v="0"/>
    <x v="0"/>
    <x v="0"/>
    <x v="2"/>
    <x v="10"/>
    <n v="0"/>
    <n v="0"/>
    <n v="0.112"/>
    <n v="0.112"/>
    <n v="0.112"/>
    <n v="0.112"/>
    <n v="0"/>
    <x v="0"/>
    <n v="0"/>
    <n v="0"/>
    <n v="55"/>
    <n v="96"/>
    <n v="0"/>
    <n v="847.68"/>
    <n v="454.9"/>
    <m/>
    <n v="895.18809893707498"/>
    <n v="430.5563899456306"/>
    <n v="0"/>
    <n v="94.940159999999992"/>
    <n v="50.948799999999999"/>
    <n v="0"/>
    <n v="100.2610670809524"/>
    <n v="48.222315673910629"/>
  </r>
  <r>
    <s v="Regular"/>
    <x v="4"/>
    <x v="2"/>
    <x v="1"/>
    <x v="0"/>
    <x v="0"/>
    <x v="0"/>
    <x v="2"/>
    <x v="11"/>
    <n v="0"/>
    <n v="0"/>
    <n v="0.10199999999999999"/>
    <n v="0.10199999999999999"/>
    <n v="0.10199999999999999"/>
    <n v="0.10199999999999999"/>
    <n v="0"/>
    <x v="0"/>
    <n v="0"/>
    <n v="0"/>
    <n v="55"/>
    <n v="96"/>
    <n v="0"/>
    <n v="847.68"/>
    <n v="454.9"/>
    <m/>
    <n v="895.18809893707498"/>
    <n v="430.5563899456306"/>
    <n v="0"/>
    <n v="86.463359999999994"/>
    <n v="46.399799999999992"/>
    <n v="0"/>
    <n v="91.309186091581637"/>
    <n v="43.916751774454319"/>
  </r>
  <r>
    <s v="Regular"/>
    <x v="4"/>
    <x v="2"/>
    <x v="1"/>
    <x v="0"/>
    <x v="0"/>
    <x v="0"/>
    <x v="2"/>
    <x v="3"/>
    <n v="0"/>
    <n v="0"/>
    <n v="0.125"/>
    <n v="0.125"/>
    <n v="0.125"/>
    <n v="0.125"/>
    <n v="0"/>
    <x v="0"/>
    <n v="0"/>
    <n v="0"/>
    <n v="55"/>
    <n v="96"/>
    <n v="0"/>
    <n v="847.68"/>
    <n v="454.9"/>
    <m/>
    <n v="895.18809893707498"/>
    <n v="430.5563899456306"/>
    <n v="0"/>
    <n v="105.96"/>
    <n v="56.862499999999997"/>
    <n v="0"/>
    <n v="111.89851236713437"/>
    <n v="53.819548743203825"/>
  </r>
  <r>
    <s v="Regular"/>
    <x v="4"/>
    <x v="2"/>
    <x v="1"/>
    <x v="0"/>
    <x v="0"/>
    <x v="0"/>
    <x v="2"/>
    <x v="0"/>
    <n v="0"/>
    <n v="0"/>
    <n v="0.125"/>
    <n v="0.125"/>
    <n v="0.125"/>
    <n v="0.125"/>
    <n v="0"/>
    <x v="0"/>
    <n v="0"/>
    <n v="0"/>
    <n v="55"/>
    <n v="96"/>
    <n v="0"/>
    <n v="847.68"/>
    <n v="454.9"/>
    <m/>
    <n v="895.18809893707498"/>
    <n v="430.5563899456306"/>
    <n v="0"/>
    <n v="105.96"/>
    <n v="56.862499999999997"/>
    <n v="0"/>
    <n v="111.89851236713437"/>
    <n v="53.819548743203825"/>
  </r>
  <r>
    <s v="Regular"/>
    <x v="4"/>
    <x v="2"/>
    <x v="1"/>
    <x v="0"/>
    <x v="0"/>
    <x v="0"/>
    <x v="2"/>
    <x v="4"/>
    <n v="0"/>
    <n v="0"/>
    <n v="0.124"/>
    <n v="0.124"/>
    <n v="0.124"/>
    <n v="0.124"/>
    <n v="0"/>
    <x v="0"/>
    <n v="0"/>
    <n v="0"/>
    <n v="55"/>
    <n v="96"/>
    <n v="0"/>
    <n v="847.68"/>
    <n v="454.9"/>
    <m/>
    <n v="895.18809893707498"/>
    <n v="430.5563899456306"/>
    <n v="0"/>
    <n v="105.11232"/>
    <n v="56.407599999999995"/>
    <n v="0"/>
    <n v="111.0033242681973"/>
    <n v="53.388992353258196"/>
  </r>
  <r>
    <s v="Regular"/>
    <x v="4"/>
    <x v="2"/>
    <x v="1"/>
    <x v="0"/>
    <x v="0"/>
    <x v="0"/>
    <x v="2"/>
    <x v="1"/>
    <n v="0"/>
    <n v="0"/>
    <n v="0.114"/>
    <n v="0.114"/>
    <n v="0.114"/>
    <n v="0.114"/>
    <n v="0"/>
    <x v="0"/>
    <n v="0"/>
    <n v="0"/>
    <n v="55"/>
    <n v="96"/>
    <n v="0"/>
    <n v="847.68"/>
    <n v="454.9"/>
    <m/>
    <n v="895.18809893707498"/>
    <n v="430.5563899456306"/>
    <n v="0"/>
    <n v="96.63552"/>
    <n v="51.858600000000003"/>
    <n v="0"/>
    <n v="102.05144327882655"/>
    <n v="49.083428453801893"/>
  </r>
  <r>
    <s v="Regular"/>
    <x v="4"/>
    <x v="2"/>
    <x v="1"/>
    <x v="0"/>
    <x v="0"/>
    <x v="0"/>
    <x v="2"/>
    <x v="2"/>
    <n v="0"/>
    <n v="0"/>
    <n v="0.11600000000000001"/>
    <n v="0.11600000000000001"/>
    <n v="0.11600000000000001"/>
    <n v="0.11600000000000001"/>
    <n v="0"/>
    <x v="0"/>
    <n v="0"/>
    <n v="0"/>
    <n v="55"/>
    <n v="96"/>
    <n v="0"/>
    <n v="847.68"/>
    <n v="454.9"/>
    <m/>
    <n v="895.18809893707498"/>
    <n v="430.5563899456306"/>
    <n v="0"/>
    <n v="98.330879999999993"/>
    <n v="52.7684"/>
    <n v="0"/>
    <n v="103.84181947670071"/>
    <n v="49.944541233693151"/>
  </r>
  <r>
    <s v="Regular"/>
    <x v="4"/>
    <x v="2"/>
    <x v="1"/>
    <x v="0"/>
    <x v="0"/>
    <x v="0"/>
    <x v="2"/>
    <x v="5"/>
    <n v="0"/>
    <n v="0"/>
    <n v="0.114"/>
    <n v="0.114"/>
    <n v="0.114"/>
    <n v="0.114"/>
    <n v="0"/>
    <x v="0"/>
    <n v="0"/>
    <n v="0"/>
    <n v="55"/>
    <n v="96"/>
    <n v="0"/>
    <n v="847.68"/>
    <n v="454.9"/>
    <m/>
    <n v="895.18809893707498"/>
    <n v="430.5563899456306"/>
    <n v="0"/>
    <n v="96.63552"/>
    <n v="51.858600000000003"/>
    <n v="0"/>
    <n v="102.05144327882655"/>
    <n v="49.083428453801893"/>
  </r>
  <r>
    <s v="Regular"/>
    <x v="4"/>
    <x v="3"/>
    <x v="0"/>
    <x v="0"/>
    <x v="0"/>
    <x v="0"/>
    <x v="1"/>
    <x v="6"/>
    <n v="0"/>
    <n v="0"/>
    <n v="1705.5170000000001"/>
    <n v="1705.5170000000001"/>
    <n v="1705.5170000000001"/>
    <n v="1705.5170000000001"/>
    <n v="3389"/>
    <x v="0"/>
    <n v="0"/>
    <n v="0"/>
    <n v="58"/>
    <n v="99"/>
    <n v="0"/>
    <n v="308.77"/>
    <n v="298.58"/>
    <m/>
    <n v="357.07977884610415"/>
    <n v="287.78033622605028"/>
    <n v="0"/>
    <n v="526612.48409000004"/>
    <n v="509233.26585999998"/>
    <n v="0"/>
    <n v="609005.633178271"/>
    <n v="490814.25569924462"/>
  </r>
  <r>
    <s v="Refaturamento - Regular"/>
    <x v="4"/>
    <x v="3"/>
    <x v="0"/>
    <x v="0"/>
    <x v="0"/>
    <x v="0"/>
    <x v="1"/>
    <x v="6"/>
    <n v="0"/>
    <n v="0"/>
    <n v="-0.81399999999999995"/>
    <n v="-0.81399999999999995"/>
    <n v="-0.81399999999999995"/>
    <n v="-0.81399999999999995"/>
    <n v="0"/>
    <x v="0"/>
    <n v="0"/>
    <n v="0"/>
    <n v="58"/>
    <n v="99"/>
    <n v="0"/>
    <n v="308.77"/>
    <n v="298.58"/>
    <m/>
    <n v="357.07977884610415"/>
    <n v="287.78033622605028"/>
    <n v="0"/>
    <n v="-251.33877999999996"/>
    <n v="-243.04411999999996"/>
    <n v="0"/>
    <n v="-290.66293998072877"/>
    <n v="-234.2531936880049"/>
  </r>
  <r>
    <s v="Sistema de Compensação"/>
    <x v="4"/>
    <x v="3"/>
    <x v="0"/>
    <x v="0"/>
    <x v="0"/>
    <x v="0"/>
    <x v="1"/>
    <x v="6"/>
    <n v="0"/>
    <n v="0"/>
    <n v="42.02"/>
    <n v="42.02"/>
    <n v="42.02"/>
    <n v="42.02"/>
    <n v="29"/>
    <x v="0"/>
    <n v="0"/>
    <n v="0"/>
    <n v="58"/>
    <n v="99"/>
    <n v="0"/>
    <n v="308.77"/>
    <n v="298.58"/>
    <m/>
    <n v="357.07977884610415"/>
    <n v="287.78033622605028"/>
    <n v="0"/>
    <n v="12974.5154"/>
    <n v="12546.3316"/>
    <n v="0"/>
    <n v="15004.492307113298"/>
    <n v="12092.529728218633"/>
  </r>
  <r>
    <s v="Regular"/>
    <x v="4"/>
    <x v="3"/>
    <x v="0"/>
    <x v="0"/>
    <x v="0"/>
    <x v="0"/>
    <x v="1"/>
    <x v="7"/>
    <n v="0"/>
    <n v="0"/>
    <n v="1761.8520000000001"/>
    <n v="1761.8520000000001"/>
    <n v="1761.8520000000001"/>
    <n v="1761.8520000000001"/>
    <n v="3395"/>
    <x v="0"/>
    <n v="0"/>
    <n v="0"/>
    <n v="58"/>
    <n v="99"/>
    <n v="0"/>
    <n v="308.77"/>
    <n v="298.58"/>
    <m/>
    <n v="357.07977884610415"/>
    <n v="287.78033622605028"/>
    <n v="0"/>
    <n v="544007.04203999997"/>
    <n v="526053.77015999996"/>
    <n v="0"/>
    <n v="629121.7225195663"/>
    <n v="507026.36094053916"/>
  </r>
  <r>
    <s v="Refaturamento - Regular"/>
    <x v="4"/>
    <x v="3"/>
    <x v="0"/>
    <x v="0"/>
    <x v="0"/>
    <x v="0"/>
    <x v="1"/>
    <x v="7"/>
    <n v="0"/>
    <n v="0"/>
    <n v="-0.50800000000000001"/>
    <n v="-0.50800000000000001"/>
    <n v="-0.50800000000000001"/>
    <n v="-0.50800000000000001"/>
    <n v="0"/>
    <x v="0"/>
    <n v="0"/>
    <n v="0"/>
    <n v="58"/>
    <n v="99"/>
    <n v="0"/>
    <n v="308.77"/>
    <n v="298.58"/>
    <m/>
    <n v="357.07977884610415"/>
    <n v="287.78033622605028"/>
    <n v="0"/>
    <n v="-156.85515999999998"/>
    <n v="-151.67864"/>
    <n v="0"/>
    <n v="-181.3965276538209"/>
    <n v="-146.19241080283354"/>
  </r>
  <r>
    <s v="Sistema de Compensação"/>
    <x v="4"/>
    <x v="3"/>
    <x v="0"/>
    <x v="0"/>
    <x v="0"/>
    <x v="0"/>
    <x v="1"/>
    <x v="7"/>
    <n v="0"/>
    <n v="0"/>
    <n v="44.585999999999999"/>
    <n v="44.585999999999999"/>
    <n v="44.585999999999999"/>
    <n v="44.585999999999999"/>
    <n v="30"/>
    <x v="0"/>
    <n v="0"/>
    <n v="0"/>
    <n v="58"/>
    <n v="99"/>
    <n v="0"/>
    <n v="308.77"/>
    <n v="298.58"/>
    <m/>
    <n v="357.07977884610415"/>
    <n v="287.78033622605028"/>
    <n v="0"/>
    <n v="13766.819219999999"/>
    <n v="13312.487879999999"/>
    <n v="0"/>
    <n v="15920.759019632398"/>
    <n v="12830.974070974677"/>
  </r>
  <r>
    <s v="Regular"/>
    <x v="4"/>
    <x v="3"/>
    <x v="0"/>
    <x v="0"/>
    <x v="0"/>
    <x v="0"/>
    <x v="1"/>
    <x v="8"/>
    <n v="0"/>
    <n v="0"/>
    <n v="1803.2190000000001"/>
    <n v="1803.2190000000001"/>
    <n v="1803.2190000000001"/>
    <n v="1803.2190000000001"/>
    <n v="3401"/>
    <x v="0"/>
    <n v="0"/>
    <n v="0"/>
    <n v="58"/>
    <n v="99"/>
    <n v="0"/>
    <n v="308.77"/>
    <n v="298.58"/>
    <m/>
    <n v="357.07977884610415"/>
    <n v="287.78033622605028"/>
    <n v="0"/>
    <n v="556779.93062999996"/>
    <n v="538405.12901999999"/>
    <n v="0"/>
    <n v="643893.04173109308"/>
    <n v="518930.9701092022"/>
  </r>
  <r>
    <s v="Refaturamento - Regular"/>
    <x v="4"/>
    <x v="3"/>
    <x v="0"/>
    <x v="0"/>
    <x v="0"/>
    <x v="0"/>
    <x v="1"/>
    <x v="8"/>
    <n v="0"/>
    <n v="0"/>
    <n v="-0.48099999999999998"/>
    <n v="-0.48099999999999998"/>
    <n v="-0.48099999999999998"/>
    <n v="-0.48099999999999998"/>
    <n v="0"/>
    <x v="0"/>
    <n v="0"/>
    <n v="0"/>
    <n v="58"/>
    <n v="99"/>
    <n v="0"/>
    <n v="308.77"/>
    <n v="298.58"/>
    <m/>
    <n v="357.07977884610415"/>
    <n v="287.78033622605028"/>
    <n v="0"/>
    <n v="-148.51836999999998"/>
    <n v="-143.61697999999998"/>
    <n v="0"/>
    <n v="-171.7553736249761"/>
    <n v="-138.42234172473019"/>
  </r>
  <r>
    <s v="Sistema de Compensação"/>
    <x v="4"/>
    <x v="3"/>
    <x v="0"/>
    <x v="0"/>
    <x v="0"/>
    <x v="0"/>
    <x v="1"/>
    <x v="8"/>
    <n v="0"/>
    <n v="0"/>
    <n v="49.484000000000002"/>
    <n v="49.484000000000002"/>
    <n v="49.484000000000002"/>
    <n v="49.484000000000002"/>
    <n v="34"/>
    <x v="0"/>
    <n v="0"/>
    <n v="0"/>
    <n v="58"/>
    <n v="99"/>
    <n v="0"/>
    <n v="308.77"/>
    <n v="298.58"/>
    <m/>
    <n v="357.07977884610415"/>
    <n v="287.78033622605028"/>
    <n v="0"/>
    <n v="15279.17468"/>
    <n v="14774.932719999999"/>
    <n v="0"/>
    <n v="17669.735776420617"/>
    <n v="14240.522157809872"/>
  </r>
  <r>
    <s v="Regular"/>
    <x v="4"/>
    <x v="3"/>
    <x v="0"/>
    <x v="0"/>
    <x v="0"/>
    <x v="0"/>
    <x v="1"/>
    <x v="9"/>
    <n v="0"/>
    <n v="0"/>
    <n v="1785.528"/>
    <n v="1785.528"/>
    <n v="1785.528"/>
    <n v="1785.528"/>
    <n v="3403"/>
    <x v="0"/>
    <n v="0"/>
    <n v="0"/>
    <n v="58"/>
    <n v="99"/>
    <n v="0"/>
    <n v="308.77"/>
    <n v="298.58"/>
    <m/>
    <n v="357.07977884610415"/>
    <n v="287.78033622605028"/>
    <n v="0"/>
    <n v="551317.48055999994"/>
    <n v="533122.95024000003"/>
    <n v="0"/>
    <n v="637575.9433635266"/>
    <n v="513839.8481810271"/>
  </r>
  <r>
    <s v="Refaturamento - Regular"/>
    <x v="4"/>
    <x v="3"/>
    <x v="0"/>
    <x v="0"/>
    <x v="0"/>
    <x v="0"/>
    <x v="1"/>
    <x v="9"/>
    <n v="0"/>
    <n v="0"/>
    <n v="1.4630000000000001"/>
    <n v="1.4630000000000001"/>
    <n v="1.4630000000000001"/>
    <n v="1.4630000000000001"/>
    <n v="0"/>
    <x v="0"/>
    <n v="0"/>
    <n v="0"/>
    <n v="58"/>
    <n v="99"/>
    <n v="0"/>
    <n v="308.77"/>
    <n v="298.58"/>
    <m/>
    <n v="357.07977884610415"/>
    <n v="287.78033622605028"/>
    <n v="0"/>
    <n v="451.73050999999998"/>
    <n v="436.82254"/>
    <n v="0"/>
    <n v="522.40771645185043"/>
    <n v="421.02263189871161"/>
  </r>
  <r>
    <s v="Sistema de Compensação"/>
    <x v="4"/>
    <x v="3"/>
    <x v="0"/>
    <x v="0"/>
    <x v="0"/>
    <x v="0"/>
    <x v="1"/>
    <x v="9"/>
    <n v="0"/>
    <n v="0"/>
    <n v="36.250999999999998"/>
    <n v="36.250999999999998"/>
    <n v="36.250999999999998"/>
    <n v="36.250999999999998"/>
    <n v="39"/>
    <x v="0"/>
    <n v="0"/>
    <n v="0"/>
    <n v="58"/>
    <n v="99"/>
    <n v="0"/>
    <n v="308.77"/>
    <n v="298.58"/>
    <m/>
    <n v="357.07977884610415"/>
    <n v="287.78033622605028"/>
    <n v="0"/>
    <n v="11193.221269999998"/>
    <n v="10823.823579999998"/>
    <n v="0"/>
    <n v="12944.499062950121"/>
    <n v="10432.324968530547"/>
  </r>
  <r>
    <s v="Regular"/>
    <x v="4"/>
    <x v="3"/>
    <x v="0"/>
    <x v="0"/>
    <x v="0"/>
    <x v="0"/>
    <x v="1"/>
    <x v="10"/>
    <n v="0"/>
    <n v="0"/>
    <n v="1825.8389999999999"/>
    <n v="1825.8389999999999"/>
    <n v="1825.8389999999999"/>
    <n v="1825.8389999999999"/>
    <n v="3466"/>
    <x v="0"/>
    <n v="0"/>
    <n v="0"/>
    <n v="58"/>
    <n v="99"/>
    <n v="0"/>
    <n v="308.77"/>
    <n v="298.58"/>
    <m/>
    <n v="357.07977884610415"/>
    <n v="287.78033622605028"/>
    <n v="0"/>
    <n v="563764.30802999996"/>
    <n v="545159.00861999998"/>
    <n v="0"/>
    <n v="651970.1863285919"/>
    <n v="525440.56131463544"/>
  </r>
  <r>
    <s v="Refaturamento - Regular"/>
    <x v="4"/>
    <x v="3"/>
    <x v="0"/>
    <x v="0"/>
    <x v="0"/>
    <x v="0"/>
    <x v="1"/>
    <x v="10"/>
    <n v="0"/>
    <n v="0"/>
    <n v="1.978"/>
    <n v="1.978"/>
    <n v="1.978"/>
    <n v="1.978"/>
    <n v="0"/>
    <x v="0"/>
    <n v="0"/>
    <n v="0"/>
    <n v="58"/>
    <n v="99"/>
    <n v="0"/>
    <n v="308.77"/>
    <n v="298.58"/>
    <m/>
    <n v="357.07977884610415"/>
    <n v="287.78033622605028"/>
    <n v="0"/>
    <n v="610.74705999999992"/>
    <n v="590.59123999999997"/>
    <n v="0"/>
    <n v="706.30380255759405"/>
    <n v="569.22950505512745"/>
  </r>
  <r>
    <s v="Sistema de Compensação"/>
    <x v="4"/>
    <x v="3"/>
    <x v="0"/>
    <x v="0"/>
    <x v="0"/>
    <x v="0"/>
    <x v="1"/>
    <x v="10"/>
    <n v="0"/>
    <n v="0"/>
    <n v="45.094000000000001"/>
    <n v="45.094000000000001"/>
    <n v="45.094000000000001"/>
    <n v="45.094000000000001"/>
    <n v="41"/>
    <x v="0"/>
    <n v="0"/>
    <n v="0"/>
    <n v="58"/>
    <n v="99"/>
    <n v="0"/>
    <n v="308.77"/>
    <n v="298.58"/>
    <m/>
    <n v="357.07977884610415"/>
    <n v="287.78033622605028"/>
    <n v="0"/>
    <n v="13923.67438"/>
    <n v="13464.166519999999"/>
    <n v="0"/>
    <n v="16102.15554728622"/>
    <n v="12977.166481777511"/>
  </r>
  <r>
    <s v="Regular"/>
    <x v="4"/>
    <x v="3"/>
    <x v="0"/>
    <x v="0"/>
    <x v="0"/>
    <x v="0"/>
    <x v="1"/>
    <x v="11"/>
    <n v="0"/>
    <n v="0"/>
    <n v="1845.65"/>
    <n v="1845.65"/>
    <n v="1845.65"/>
    <n v="1845.65"/>
    <n v="3478"/>
    <x v="0"/>
    <n v="0"/>
    <n v="0"/>
    <n v="58"/>
    <n v="99"/>
    <n v="0"/>
    <n v="308.77"/>
    <n v="298.58"/>
    <m/>
    <n v="357.07977884610415"/>
    <n v="287.78033622605028"/>
    <n v="0"/>
    <n v="569881.35049999994"/>
    <n v="551074.17700000003"/>
    <n v="0"/>
    <n v="659044.29382731218"/>
    <n v="531141.7775556097"/>
  </r>
  <r>
    <s v="Refaturamento - Regular"/>
    <x v="4"/>
    <x v="3"/>
    <x v="0"/>
    <x v="0"/>
    <x v="0"/>
    <x v="0"/>
    <x v="1"/>
    <x v="11"/>
    <n v="0"/>
    <n v="0"/>
    <n v="-0.35499999999999998"/>
    <n v="-0.35499999999999998"/>
    <n v="-0.35499999999999998"/>
    <n v="-0.35499999999999998"/>
    <n v="0"/>
    <x v="0"/>
    <n v="0"/>
    <n v="0"/>
    <n v="58"/>
    <n v="99"/>
    <n v="0"/>
    <n v="308.77"/>
    <n v="298.58"/>
    <m/>
    <n v="357.07977884610415"/>
    <n v="287.78033622605028"/>
    <n v="0"/>
    <n v="-109.61334999999998"/>
    <n v="-105.99589999999999"/>
    <n v="0"/>
    <n v="-126.76332149036696"/>
    <n v="-102.16201936024784"/>
  </r>
  <r>
    <s v="Sistema de Compensação"/>
    <x v="4"/>
    <x v="3"/>
    <x v="0"/>
    <x v="0"/>
    <x v="0"/>
    <x v="0"/>
    <x v="1"/>
    <x v="11"/>
    <n v="0"/>
    <n v="0"/>
    <n v="35.295999999999999"/>
    <n v="35.295999999999999"/>
    <n v="35.295999999999999"/>
    <n v="35.295999999999999"/>
    <n v="45"/>
    <x v="0"/>
    <n v="0"/>
    <n v="0"/>
    <n v="58"/>
    <n v="99"/>
    <n v="0"/>
    <n v="308.77"/>
    <n v="298.58"/>
    <m/>
    <n v="357.07977884610415"/>
    <n v="287.78033622605028"/>
    <n v="0"/>
    <n v="10898.34592"/>
    <n v="10538.679679999999"/>
    <n v="0"/>
    <n v="12603.487874152092"/>
    <n v="10157.49474743467"/>
  </r>
  <r>
    <s v="Regular"/>
    <x v="4"/>
    <x v="3"/>
    <x v="0"/>
    <x v="0"/>
    <x v="0"/>
    <x v="0"/>
    <x v="1"/>
    <x v="3"/>
    <n v="0"/>
    <n v="0"/>
    <n v="1962.22"/>
    <n v="1962.22"/>
    <n v="1962.22"/>
    <n v="1962.22"/>
    <n v="3468"/>
    <x v="0"/>
    <n v="0"/>
    <n v="0"/>
    <n v="58"/>
    <n v="99"/>
    <n v="0"/>
    <n v="308.77"/>
    <n v="298.58"/>
    <m/>
    <n v="357.07977884610415"/>
    <n v="287.78033622605028"/>
    <n v="0"/>
    <n v="605874.66940000001"/>
    <n v="585879.64760000003"/>
    <n v="0"/>
    <n v="700669.08364740247"/>
    <n v="564688.33134948043"/>
  </r>
  <r>
    <s v="Refaturamento - Regular"/>
    <x v="4"/>
    <x v="3"/>
    <x v="0"/>
    <x v="0"/>
    <x v="0"/>
    <x v="0"/>
    <x v="1"/>
    <x v="3"/>
    <n v="0"/>
    <n v="0"/>
    <n v="-2.1150000000000002"/>
    <n v="-2.1150000000000002"/>
    <n v="-2.1150000000000002"/>
    <n v="-2.1150000000000002"/>
    <n v="0"/>
    <x v="0"/>
    <n v="0"/>
    <n v="0"/>
    <n v="58"/>
    <n v="99"/>
    <n v="0"/>
    <n v="308.77"/>
    <n v="298.58"/>
    <m/>
    <n v="357.07977884610415"/>
    <n v="287.78033622605028"/>
    <n v="0"/>
    <n v="-653.04854999999998"/>
    <n v="-631.49670000000003"/>
    <n v="0"/>
    <n v="-755.22373225951037"/>
    <n v="-608.65541111809637"/>
  </r>
  <r>
    <s v="Sistema de Compensação"/>
    <x v="4"/>
    <x v="3"/>
    <x v="0"/>
    <x v="0"/>
    <x v="0"/>
    <x v="0"/>
    <x v="1"/>
    <x v="3"/>
    <n v="0"/>
    <n v="0"/>
    <n v="30.349"/>
    <n v="30.349"/>
    <n v="30.349"/>
    <n v="30.349"/>
    <n v="46"/>
    <x v="0"/>
    <n v="0"/>
    <n v="0"/>
    <n v="58"/>
    <n v="99"/>
    <n v="0"/>
    <n v="308.77"/>
    <n v="298.58"/>
    <m/>
    <n v="357.07977884610415"/>
    <n v="287.78033622605028"/>
    <n v="0"/>
    <n v="9370.8607300000003"/>
    <n v="9061.6044199999997"/>
    <n v="0"/>
    <n v="10837.014208200415"/>
    <n v="8733.8454241243999"/>
  </r>
  <r>
    <s v="Regular"/>
    <x v="4"/>
    <x v="3"/>
    <x v="0"/>
    <x v="0"/>
    <x v="0"/>
    <x v="0"/>
    <x v="1"/>
    <x v="0"/>
    <n v="0"/>
    <n v="0"/>
    <n v="1891.8610000000001"/>
    <n v="1891.8610000000001"/>
    <n v="1891.8610000000001"/>
    <n v="1891.8610000000001"/>
    <n v="3456"/>
    <x v="0"/>
    <n v="0"/>
    <n v="0"/>
    <n v="58"/>
    <n v="99"/>
    <n v="0"/>
    <n v="308.77"/>
    <n v="298.58"/>
    <m/>
    <n v="357.07977884610415"/>
    <n v="287.78033622605028"/>
    <n v="0"/>
    <n v="584149.92096999998"/>
    <n v="564871.85737999994"/>
    <n v="0"/>
    <n v="675545.30748756952"/>
    <n v="544440.39467295178"/>
  </r>
  <r>
    <s v="Refaturamento - Regular"/>
    <x v="4"/>
    <x v="3"/>
    <x v="0"/>
    <x v="0"/>
    <x v="0"/>
    <x v="0"/>
    <x v="1"/>
    <x v="0"/>
    <n v="0"/>
    <n v="0"/>
    <n v="-3.53"/>
    <n v="-3.53"/>
    <n v="-3.53"/>
    <n v="-3.53"/>
    <n v="0"/>
    <x v="0"/>
    <n v="0"/>
    <n v="0"/>
    <n v="58"/>
    <n v="99"/>
    <n v="0"/>
    <n v="308.77"/>
    <n v="298.58"/>
    <m/>
    <n v="357.07977884610415"/>
    <n v="287.78033622605028"/>
    <n v="0"/>
    <n v="-1089.9580999999998"/>
    <n v="-1053.9874"/>
    <n v="0"/>
    <n v="-1260.4916193267475"/>
    <n v="-1015.8645868779574"/>
  </r>
  <r>
    <s v="Sistema de Compensação"/>
    <x v="4"/>
    <x v="3"/>
    <x v="0"/>
    <x v="0"/>
    <x v="0"/>
    <x v="0"/>
    <x v="1"/>
    <x v="0"/>
    <n v="0"/>
    <n v="0"/>
    <n v="43.569000000000003"/>
    <n v="43.569000000000003"/>
    <n v="43.569000000000003"/>
    <n v="43.569000000000003"/>
    <n v="60"/>
    <x v="0"/>
    <n v="0"/>
    <n v="0"/>
    <n v="58"/>
    <n v="99"/>
    <n v="0"/>
    <n v="308.77"/>
    <n v="298.58"/>
    <m/>
    <n v="357.07977884610415"/>
    <n v="287.78033622605028"/>
    <n v="0"/>
    <n v="13452.80013"/>
    <n v="13008.83202"/>
    <n v="0"/>
    <n v="15557.608884545913"/>
    <n v="12538.301469032785"/>
  </r>
  <r>
    <s v="Regular"/>
    <x v="4"/>
    <x v="3"/>
    <x v="0"/>
    <x v="0"/>
    <x v="0"/>
    <x v="0"/>
    <x v="1"/>
    <x v="4"/>
    <n v="0"/>
    <n v="0"/>
    <n v="2009.923"/>
    <n v="2009.923"/>
    <n v="2009.923"/>
    <n v="2009.923"/>
    <n v="3440"/>
    <x v="0"/>
    <n v="0"/>
    <n v="0"/>
    <n v="58"/>
    <n v="99"/>
    <n v="0"/>
    <n v="308.77"/>
    <n v="298.58"/>
    <m/>
    <n v="357.07977884610415"/>
    <n v="287.78033622605028"/>
    <n v="0"/>
    <n v="620603.92470999993"/>
    <n v="600122.80933999992"/>
    <n v="0"/>
    <n v="717702.86033769813"/>
    <n v="578416.31672847166"/>
  </r>
  <r>
    <s v="Sistema de Compensação"/>
    <x v="4"/>
    <x v="3"/>
    <x v="0"/>
    <x v="0"/>
    <x v="0"/>
    <x v="0"/>
    <x v="1"/>
    <x v="4"/>
    <n v="0"/>
    <n v="0"/>
    <n v="49.106000000000002"/>
    <n v="49.106000000000002"/>
    <n v="49.106000000000002"/>
    <n v="49.106000000000002"/>
    <n v="67"/>
    <x v="0"/>
    <n v="0"/>
    <n v="0"/>
    <n v="58"/>
    <n v="99"/>
    <n v="0"/>
    <n v="308.77"/>
    <n v="298.58"/>
    <m/>
    <n v="357.07977884610415"/>
    <n v="287.78033622605028"/>
    <n v="0"/>
    <n v="15162.45962"/>
    <n v="14662.06948"/>
    <n v="0"/>
    <n v="17534.75962001679"/>
    <n v="14131.741190716426"/>
  </r>
  <r>
    <s v="Regular"/>
    <x v="4"/>
    <x v="3"/>
    <x v="0"/>
    <x v="0"/>
    <x v="0"/>
    <x v="0"/>
    <x v="1"/>
    <x v="1"/>
    <n v="0"/>
    <n v="0"/>
    <n v="2002.925"/>
    <n v="2002.925"/>
    <n v="2002.925"/>
    <n v="2002.925"/>
    <n v="3434"/>
    <x v="0"/>
    <n v="0"/>
    <n v="0"/>
    <n v="58"/>
    <n v="99"/>
    <n v="0"/>
    <n v="308.77"/>
    <n v="298.58"/>
    <m/>
    <n v="357.07977884610415"/>
    <n v="287.78033622605028"/>
    <n v="0"/>
    <n v="618443.15224999993"/>
    <n v="598033.34649999999"/>
    <n v="0"/>
    <n v="715204.01604533312"/>
    <n v="576402.42993556173"/>
  </r>
  <r>
    <s v="Sistema de Compensação"/>
    <x v="4"/>
    <x v="3"/>
    <x v="0"/>
    <x v="0"/>
    <x v="0"/>
    <x v="0"/>
    <x v="1"/>
    <x v="1"/>
    <n v="0"/>
    <n v="0"/>
    <n v="55.305"/>
    <n v="55.305"/>
    <n v="55.305"/>
    <n v="55.305"/>
    <n v="67"/>
    <x v="0"/>
    <n v="0"/>
    <n v="0"/>
    <n v="58"/>
    <n v="99"/>
    <n v="0"/>
    <n v="308.77"/>
    <n v="298.58"/>
    <m/>
    <n v="357.07977884610415"/>
    <n v="287.78033622605028"/>
    <n v="0"/>
    <n v="17076.524849999998"/>
    <n v="16512.966899999999"/>
    <n v="0"/>
    <n v="19748.297169083791"/>
    <n v="15915.691494981711"/>
  </r>
  <r>
    <s v="Regular"/>
    <x v="4"/>
    <x v="3"/>
    <x v="0"/>
    <x v="0"/>
    <x v="0"/>
    <x v="0"/>
    <x v="1"/>
    <x v="2"/>
    <n v="0"/>
    <n v="0"/>
    <n v="1803.5989999999999"/>
    <n v="1803.5989999999999"/>
    <n v="1803.5989999999999"/>
    <n v="1803.5989999999999"/>
    <n v="3430"/>
    <x v="0"/>
    <n v="0"/>
    <n v="0"/>
    <n v="58"/>
    <n v="99"/>
    <n v="0"/>
    <n v="308.77"/>
    <n v="298.58"/>
    <m/>
    <n v="357.07977884610415"/>
    <n v="287.78033622605028"/>
    <n v="0"/>
    <n v="556897.26322999992"/>
    <n v="538518.58941999997"/>
    <n v="0"/>
    <n v="644028.73204705457"/>
    <n v="519040.32663696806"/>
  </r>
  <r>
    <s v="Refaturamento - Regular"/>
    <x v="4"/>
    <x v="3"/>
    <x v="0"/>
    <x v="0"/>
    <x v="0"/>
    <x v="0"/>
    <x v="1"/>
    <x v="2"/>
    <n v="0"/>
    <n v="0"/>
    <n v="-5.1180000000000003"/>
    <n v="-5.1180000000000003"/>
    <n v="-5.1180000000000003"/>
    <n v="-5.1180000000000003"/>
    <n v="0"/>
    <x v="0"/>
    <n v="0"/>
    <n v="0"/>
    <n v="58"/>
    <n v="99"/>
    <n v="0"/>
    <n v="308.77"/>
    <n v="298.58"/>
    <m/>
    <n v="357.07977884610415"/>
    <n v="287.78033622605028"/>
    <n v="0"/>
    <n v="-1580.28486"/>
    <n v="-1528.1324400000001"/>
    <n v="0"/>
    <n v="-1827.5343081343613"/>
    <n v="-1472.8597608049254"/>
  </r>
  <r>
    <s v="Sistema de Compensação"/>
    <x v="4"/>
    <x v="3"/>
    <x v="0"/>
    <x v="0"/>
    <x v="0"/>
    <x v="0"/>
    <x v="1"/>
    <x v="2"/>
    <n v="0"/>
    <n v="0"/>
    <n v="67.347999999999999"/>
    <n v="67.347999999999999"/>
    <n v="67.347999999999999"/>
    <n v="67.347999999999999"/>
    <n v="72"/>
    <x v="0"/>
    <n v="0"/>
    <n v="0"/>
    <n v="58"/>
    <n v="99"/>
    <n v="0"/>
    <n v="308.77"/>
    <n v="298.58"/>
    <m/>
    <n v="357.07977884610415"/>
    <n v="287.78033622605028"/>
    <n v="0"/>
    <n v="20795.041959999999"/>
    <n v="20108.76584"/>
    <n v="0"/>
    <n v="24048.608945727421"/>
    <n v="19381.430084152034"/>
  </r>
  <r>
    <s v="Regular"/>
    <x v="4"/>
    <x v="3"/>
    <x v="0"/>
    <x v="0"/>
    <x v="0"/>
    <x v="0"/>
    <x v="1"/>
    <x v="5"/>
    <n v="0"/>
    <n v="0"/>
    <n v="1746.1179999999999"/>
    <n v="1746.1179999999999"/>
    <n v="1746.1179999999999"/>
    <n v="1746.1179999999999"/>
    <n v="3431"/>
    <x v="0"/>
    <n v="0"/>
    <n v="0"/>
    <n v="58"/>
    <n v="99"/>
    <n v="0"/>
    <n v="308.77"/>
    <n v="298.58"/>
    <m/>
    <n v="357.07977884610415"/>
    <n v="287.78033622605028"/>
    <n v="0"/>
    <n v="539148.85485999996"/>
    <n v="521355.91243999993"/>
    <n v="0"/>
    <n v="623503.42927920166"/>
    <n v="502498.42513035843"/>
  </r>
  <r>
    <s v="Refaturamento - Regular"/>
    <x v="4"/>
    <x v="3"/>
    <x v="0"/>
    <x v="0"/>
    <x v="0"/>
    <x v="0"/>
    <x v="1"/>
    <x v="5"/>
    <n v="0"/>
    <n v="0"/>
    <n v="-3.5670000000000002"/>
    <n v="-3.5670000000000002"/>
    <n v="-3.5670000000000002"/>
    <n v="-3.5670000000000002"/>
    <n v="0"/>
    <x v="0"/>
    <n v="0"/>
    <n v="0"/>
    <n v="58"/>
    <n v="99"/>
    <n v="0"/>
    <n v="308.77"/>
    <n v="298.58"/>
    <m/>
    <n v="357.07977884610415"/>
    <n v="287.78033622605028"/>
    <n v="0"/>
    <n v="-1101.3825899999999"/>
    <n v="-1065.03486"/>
    <n v="0"/>
    <n v="-1273.7035711440535"/>
    <n v="-1026.5124593183214"/>
  </r>
  <r>
    <s v="Sistema de Compensação"/>
    <x v="4"/>
    <x v="3"/>
    <x v="0"/>
    <x v="0"/>
    <x v="0"/>
    <x v="0"/>
    <x v="1"/>
    <x v="5"/>
    <n v="0"/>
    <n v="0"/>
    <n v="61.813000000000002"/>
    <n v="61.813000000000002"/>
    <n v="61.813000000000002"/>
    <n v="61.813000000000002"/>
    <n v="76"/>
    <x v="0"/>
    <n v="0"/>
    <n v="0"/>
    <n v="58"/>
    <n v="99"/>
    <n v="0"/>
    <n v="308.77"/>
    <n v="298.58"/>
    <m/>
    <n v="357.07977884610415"/>
    <n v="287.78033622605028"/>
    <n v="0"/>
    <n v="19086.00001"/>
    <n v="18456.125540000001"/>
    <n v="0"/>
    <n v="22072.172369814238"/>
    <n v="17788.565923140846"/>
  </r>
  <r>
    <s v="Regular"/>
    <x v="4"/>
    <x v="3"/>
    <x v="6"/>
    <x v="0"/>
    <x v="0"/>
    <x v="0"/>
    <x v="1"/>
    <x v="6"/>
    <n v="0"/>
    <n v="0"/>
    <n v="10.805"/>
    <n v="10.805"/>
    <n v="10.805"/>
    <n v="10.805"/>
    <n v="3"/>
    <x v="0"/>
    <n v="0"/>
    <n v="0"/>
    <n v="58"/>
    <n v="99"/>
    <n v="0"/>
    <n v="308.77"/>
    <n v="298.58"/>
    <m/>
    <n v="357.07977884610415"/>
    <n v="287.78033622605028"/>
    <n v="0"/>
    <n v="3336.2598499999999"/>
    <n v="3226.1569"/>
    <n v="0"/>
    <n v="3858.2470104321551"/>
    <n v="3109.4665329224731"/>
  </r>
  <r>
    <s v="Regular"/>
    <x v="4"/>
    <x v="3"/>
    <x v="6"/>
    <x v="0"/>
    <x v="0"/>
    <x v="0"/>
    <x v="1"/>
    <x v="7"/>
    <n v="0"/>
    <n v="0"/>
    <n v="11.516999999999999"/>
    <n v="11.516999999999999"/>
    <n v="11.516999999999999"/>
    <n v="11.516999999999999"/>
    <n v="3"/>
    <x v="0"/>
    <n v="0"/>
    <n v="0"/>
    <n v="58"/>
    <n v="99"/>
    <n v="0"/>
    <n v="308.77"/>
    <n v="298.58"/>
    <m/>
    <n v="357.07977884610415"/>
    <n v="287.78033622605028"/>
    <n v="0"/>
    <n v="3556.1040899999998"/>
    <n v="3438.7458599999995"/>
    <n v="0"/>
    <n v="4112.4878129705812"/>
    <n v="3314.3661323154211"/>
  </r>
  <r>
    <s v="Regular"/>
    <x v="4"/>
    <x v="3"/>
    <x v="6"/>
    <x v="0"/>
    <x v="0"/>
    <x v="0"/>
    <x v="1"/>
    <x v="8"/>
    <n v="0"/>
    <n v="0"/>
    <n v="12.363"/>
    <n v="12.363"/>
    <n v="12.363"/>
    <n v="12.363"/>
    <n v="3"/>
    <x v="0"/>
    <n v="0"/>
    <n v="0"/>
    <n v="58"/>
    <n v="99"/>
    <n v="0"/>
    <n v="308.77"/>
    <n v="298.58"/>
    <m/>
    <n v="357.07977884610415"/>
    <n v="287.78033622605028"/>
    <n v="0"/>
    <n v="3817.3235099999997"/>
    <n v="3691.3445399999996"/>
    <n v="0"/>
    <n v="4414.5773058743853"/>
    <n v="3557.8282967626596"/>
  </r>
  <r>
    <s v="Regular"/>
    <x v="4"/>
    <x v="3"/>
    <x v="6"/>
    <x v="0"/>
    <x v="0"/>
    <x v="0"/>
    <x v="1"/>
    <x v="9"/>
    <n v="0"/>
    <n v="0"/>
    <n v="11.031000000000001"/>
    <n v="11.031000000000001"/>
    <n v="11.031000000000001"/>
    <n v="11.031000000000001"/>
    <n v="3"/>
    <x v="0"/>
    <n v="0"/>
    <n v="0"/>
    <n v="58"/>
    <n v="99"/>
    <n v="0"/>
    <n v="308.77"/>
    <n v="298.58"/>
    <m/>
    <n v="357.07977884610415"/>
    <n v="287.78033622605028"/>
    <n v="0"/>
    <n v="3406.04187"/>
    <n v="3293.63598"/>
    <n v="0"/>
    <n v="3938.947040451375"/>
    <n v="3174.504888909561"/>
  </r>
  <r>
    <s v="Regular"/>
    <x v="4"/>
    <x v="3"/>
    <x v="6"/>
    <x v="0"/>
    <x v="0"/>
    <x v="0"/>
    <x v="1"/>
    <x v="10"/>
    <n v="0"/>
    <n v="0"/>
    <n v="10.638999999999999"/>
    <n v="10.638999999999999"/>
    <n v="10.638999999999999"/>
    <n v="10.638999999999999"/>
    <n v="3"/>
    <x v="0"/>
    <n v="0"/>
    <n v="0"/>
    <n v="58"/>
    <n v="99"/>
    <n v="0"/>
    <n v="308.77"/>
    <n v="298.58"/>
    <m/>
    <n v="357.07977884610415"/>
    <n v="287.78033622605028"/>
    <n v="0"/>
    <n v="3285.0040299999996"/>
    <n v="3176.5926199999994"/>
    <n v="0"/>
    <n v="3798.971767143702"/>
    <n v="3061.6949971089489"/>
  </r>
  <r>
    <s v="Regular"/>
    <x v="4"/>
    <x v="3"/>
    <x v="6"/>
    <x v="0"/>
    <x v="0"/>
    <x v="0"/>
    <x v="1"/>
    <x v="11"/>
    <n v="0"/>
    <n v="0"/>
    <n v="10.872"/>
    <n v="10.872"/>
    <n v="10.872"/>
    <n v="10.872"/>
    <n v="3"/>
    <x v="0"/>
    <n v="0"/>
    <n v="0"/>
    <n v="58"/>
    <n v="99"/>
    <n v="0"/>
    <n v="308.77"/>
    <n v="298.58"/>
    <m/>
    <n v="357.07977884610415"/>
    <n v="287.78033622605028"/>
    <n v="0"/>
    <n v="3356.9474399999999"/>
    <n v="3246.16176"/>
    <n v="0"/>
    <n v="3882.1713556148443"/>
    <n v="3128.7478154496184"/>
  </r>
  <r>
    <s v="Regular"/>
    <x v="4"/>
    <x v="3"/>
    <x v="6"/>
    <x v="0"/>
    <x v="0"/>
    <x v="0"/>
    <x v="1"/>
    <x v="3"/>
    <n v="0"/>
    <n v="0"/>
    <n v="11.117000000000001"/>
    <n v="11.117000000000001"/>
    <n v="11.117000000000001"/>
    <n v="11.117000000000001"/>
    <n v="3"/>
    <x v="0"/>
    <n v="0"/>
    <n v="0"/>
    <n v="58"/>
    <n v="99"/>
    <n v="0"/>
    <n v="308.77"/>
    <n v="298.58"/>
    <m/>
    <n v="357.07977884610415"/>
    <n v="287.78033622605028"/>
    <n v="0"/>
    <n v="3432.59609"/>
    <n v="3319.3138600000002"/>
    <n v="0"/>
    <n v="3969.6559014321401"/>
    <n v="3199.2539978250011"/>
  </r>
  <r>
    <s v="Regular"/>
    <x v="4"/>
    <x v="3"/>
    <x v="6"/>
    <x v="0"/>
    <x v="0"/>
    <x v="0"/>
    <x v="1"/>
    <x v="0"/>
    <n v="0"/>
    <n v="0"/>
    <n v="11.391"/>
    <n v="11.391"/>
    <n v="11.391"/>
    <n v="11.391"/>
    <n v="3"/>
    <x v="0"/>
    <n v="0"/>
    <n v="0"/>
    <n v="58"/>
    <n v="99"/>
    <n v="0"/>
    <n v="308.77"/>
    <n v="298.58"/>
    <m/>
    <n v="357.07977884610415"/>
    <n v="287.78033622605028"/>
    <n v="0"/>
    <n v="3517.1990699999997"/>
    <n v="3401.1247799999996"/>
    <n v="0"/>
    <n v="4067.4957608359723"/>
    <n v="3278.1058099509387"/>
  </r>
  <r>
    <s v="Regular"/>
    <x v="4"/>
    <x v="3"/>
    <x v="6"/>
    <x v="0"/>
    <x v="0"/>
    <x v="0"/>
    <x v="1"/>
    <x v="4"/>
    <n v="0"/>
    <n v="0"/>
    <n v="10.548"/>
    <n v="10.548"/>
    <n v="10.548"/>
    <n v="10.548"/>
    <n v="3"/>
    <x v="0"/>
    <n v="0"/>
    <n v="0"/>
    <n v="58"/>
    <n v="99"/>
    <n v="0"/>
    <n v="308.77"/>
    <n v="298.58"/>
    <m/>
    <n v="357.07977884610415"/>
    <n v="287.78033622605028"/>
    <n v="0"/>
    <n v="3256.9059599999996"/>
    <n v="3149.42184"/>
    <n v="0"/>
    <n v="3766.4775072687066"/>
    <n v="3035.5069865123783"/>
  </r>
  <r>
    <s v="Regular"/>
    <x v="4"/>
    <x v="3"/>
    <x v="6"/>
    <x v="0"/>
    <x v="0"/>
    <x v="0"/>
    <x v="1"/>
    <x v="1"/>
    <n v="0"/>
    <n v="0"/>
    <n v="11.641"/>
    <n v="11.641"/>
    <n v="11.641"/>
    <n v="11.641"/>
    <n v="3"/>
    <x v="0"/>
    <n v="0"/>
    <n v="0"/>
    <n v="58"/>
    <n v="99"/>
    <n v="0"/>
    <n v="308.77"/>
    <n v="298.58"/>
    <m/>
    <n v="357.07977884610415"/>
    <n v="287.78033622605028"/>
    <n v="0"/>
    <n v="3594.3915699999998"/>
    <n v="3475.7697799999996"/>
    <n v="0"/>
    <n v="4156.7657055474983"/>
    <n v="3350.0508940074515"/>
  </r>
  <r>
    <s v="Regular"/>
    <x v="4"/>
    <x v="3"/>
    <x v="6"/>
    <x v="0"/>
    <x v="0"/>
    <x v="0"/>
    <x v="1"/>
    <x v="2"/>
    <n v="0"/>
    <n v="0"/>
    <n v="10.666"/>
    <n v="10.666"/>
    <n v="10.666"/>
    <n v="10.666"/>
    <n v="3"/>
    <x v="0"/>
    <n v="0"/>
    <n v="0"/>
    <n v="58"/>
    <n v="99"/>
    <n v="0"/>
    <n v="308.77"/>
    <n v="298.58"/>
    <m/>
    <n v="357.07977884610415"/>
    <n v="287.78033622605028"/>
    <n v="0"/>
    <n v="3293.3408199999999"/>
    <n v="3184.6542799999997"/>
    <n v="0"/>
    <n v="3808.612921172547"/>
    <n v="3069.4650661870523"/>
  </r>
  <r>
    <s v="Regular"/>
    <x v="4"/>
    <x v="3"/>
    <x v="6"/>
    <x v="0"/>
    <x v="0"/>
    <x v="0"/>
    <x v="1"/>
    <x v="5"/>
    <n v="0"/>
    <n v="0"/>
    <n v="10.265000000000001"/>
    <n v="10.265000000000001"/>
    <n v="10.265000000000001"/>
    <n v="10.265000000000001"/>
    <n v="3"/>
    <x v="0"/>
    <n v="0"/>
    <n v="0"/>
    <n v="58"/>
    <n v="99"/>
    <n v="0"/>
    <n v="308.77"/>
    <n v="298.58"/>
    <m/>
    <n v="357.07977884610415"/>
    <n v="287.78033622605028"/>
    <n v="0"/>
    <n v="3169.52405"/>
    <n v="3064.9236999999998"/>
    <n v="0"/>
    <n v="3665.4239298552593"/>
    <n v="2954.0651513604062"/>
  </r>
  <r>
    <s v="Regular"/>
    <x v="4"/>
    <x v="3"/>
    <x v="1"/>
    <x v="0"/>
    <x v="0"/>
    <x v="0"/>
    <x v="1"/>
    <x v="6"/>
    <n v="0"/>
    <n v="0"/>
    <n v="278.79899999999998"/>
    <n v="278.79899999999998"/>
    <n v="278.79899999999998"/>
    <n v="278.79899999999998"/>
    <n v="284"/>
    <x v="0"/>
    <n v="0"/>
    <n v="0"/>
    <n v="58"/>
    <n v="99"/>
    <n v="0"/>
    <n v="308.77"/>
    <n v="298.58"/>
    <m/>
    <n v="357.07977884610415"/>
    <n v="287.78033622605028"/>
    <n v="0"/>
    <n v="86084.767229999983"/>
    <n v="83243.80541999999"/>
    <n v="0"/>
    <n v="99553.48526251498"/>
    <n v="80232.86995948659"/>
  </r>
  <r>
    <s v="Refaturamento - Regular"/>
    <x v="4"/>
    <x v="3"/>
    <x v="1"/>
    <x v="0"/>
    <x v="0"/>
    <x v="0"/>
    <x v="1"/>
    <x v="6"/>
    <n v="0"/>
    <n v="0"/>
    <n v="-1.7999999999999999E-2"/>
    <n v="-1.7999999999999999E-2"/>
    <n v="-1.7999999999999999E-2"/>
    <n v="-1.7999999999999999E-2"/>
    <n v="0"/>
    <x v="0"/>
    <n v="0"/>
    <n v="0"/>
    <n v="58"/>
    <n v="99"/>
    <n v="0"/>
    <n v="308.77"/>
    <n v="298.58"/>
    <m/>
    <n v="357.07977884610415"/>
    <n v="287.78033622605028"/>
    <n v="0"/>
    <n v="-5.5578599999999989"/>
    <n v="-5.374439999999999"/>
    <n v="0"/>
    <n v="-6.4274360192298738"/>
    <n v="-5.1800460520689047"/>
  </r>
  <r>
    <s v="Sistema de Compensação"/>
    <x v="4"/>
    <x v="3"/>
    <x v="1"/>
    <x v="0"/>
    <x v="0"/>
    <x v="0"/>
    <x v="1"/>
    <x v="6"/>
    <n v="0"/>
    <n v="0"/>
    <n v="1.6619999999999999"/>
    <n v="1.6619999999999999"/>
    <n v="1.6619999999999999"/>
    <n v="1.6619999999999999"/>
    <n v="2"/>
    <x v="0"/>
    <n v="0"/>
    <n v="0"/>
    <n v="58"/>
    <n v="99"/>
    <n v="0"/>
    <n v="308.77"/>
    <n v="298.58"/>
    <m/>
    <n v="357.07977884610415"/>
    <n v="287.78033622605028"/>
    <n v="0"/>
    <n v="513.17573999999991"/>
    <n v="496.23995999999994"/>
    <n v="0"/>
    <n v="593.46659244222508"/>
    <n v="478.29091880769556"/>
  </r>
  <r>
    <s v="Regular"/>
    <x v="4"/>
    <x v="3"/>
    <x v="1"/>
    <x v="0"/>
    <x v="0"/>
    <x v="0"/>
    <x v="1"/>
    <x v="7"/>
    <n v="0"/>
    <n v="0"/>
    <n v="291.45699999999999"/>
    <n v="291.45699999999999"/>
    <n v="291.45699999999999"/>
    <n v="291.45699999999999"/>
    <n v="283"/>
    <x v="0"/>
    <n v="0"/>
    <n v="0"/>
    <n v="58"/>
    <n v="99"/>
    <n v="0"/>
    <n v="308.77"/>
    <n v="298.58"/>
    <m/>
    <n v="357.07977884610415"/>
    <n v="287.78033622605028"/>
    <n v="0"/>
    <n v="89993.177889999992"/>
    <n v="87023.231059999991"/>
    <n v="0"/>
    <n v="104073.40110314898"/>
    <n v="83875.593455435941"/>
  </r>
  <r>
    <s v="Refaturamento - Regular"/>
    <x v="4"/>
    <x v="3"/>
    <x v="1"/>
    <x v="0"/>
    <x v="0"/>
    <x v="0"/>
    <x v="1"/>
    <x v="7"/>
    <n v="0"/>
    <n v="0"/>
    <n v="-0.51700000000000002"/>
    <n v="-0.51700000000000002"/>
    <n v="-0.51700000000000002"/>
    <n v="-0.51700000000000002"/>
    <n v="0"/>
    <x v="0"/>
    <n v="0"/>
    <n v="0"/>
    <n v="58"/>
    <n v="99"/>
    <n v="0"/>
    <n v="308.77"/>
    <n v="298.58"/>
    <m/>
    <n v="357.07977884610415"/>
    <n v="287.78033622605028"/>
    <n v="0"/>
    <n v="-159.63408999999999"/>
    <n v="-154.36586"/>
    <n v="0"/>
    <n v="-184.61024566343585"/>
    <n v="-148.78243382886799"/>
  </r>
  <r>
    <s v="Sistema de Compensação"/>
    <x v="4"/>
    <x v="3"/>
    <x v="1"/>
    <x v="0"/>
    <x v="0"/>
    <x v="0"/>
    <x v="1"/>
    <x v="7"/>
    <n v="0"/>
    <n v="0"/>
    <n v="1.052"/>
    <n v="1.052"/>
    <n v="1.052"/>
    <n v="1.052"/>
    <n v="2"/>
    <x v="0"/>
    <n v="0"/>
    <n v="0"/>
    <n v="58"/>
    <n v="99"/>
    <n v="0"/>
    <n v="308.77"/>
    <n v="298.58"/>
    <m/>
    <n v="357.07977884610415"/>
    <n v="287.78033622605028"/>
    <n v="0"/>
    <n v="324.82603999999998"/>
    <n v="314.10615999999999"/>
    <n v="0"/>
    <n v="375.6479273461016"/>
    <n v="302.74491370980491"/>
  </r>
  <r>
    <s v="Regular"/>
    <x v="4"/>
    <x v="3"/>
    <x v="1"/>
    <x v="0"/>
    <x v="0"/>
    <x v="0"/>
    <x v="1"/>
    <x v="8"/>
    <n v="0"/>
    <n v="0"/>
    <n v="302.52699999999999"/>
    <n v="302.52699999999999"/>
    <n v="302.52699999999999"/>
    <n v="302.52699999999999"/>
    <n v="285"/>
    <x v="0"/>
    <n v="0"/>
    <n v="0"/>
    <n v="58"/>
    <n v="99"/>
    <n v="0"/>
    <n v="308.77"/>
    <n v="298.58"/>
    <m/>
    <n v="357.07977884610415"/>
    <n v="287.78033622605028"/>
    <n v="0"/>
    <n v="93411.26178999999"/>
    <n v="90328.511659999989"/>
    <n v="0"/>
    <n v="108026.27425497535"/>
    <n v="87061.321777458303"/>
  </r>
  <r>
    <s v="Refaturamento - Regular"/>
    <x v="4"/>
    <x v="3"/>
    <x v="1"/>
    <x v="0"/>
    <x v="0"/>
    <x v="0"/>
    <x v="1"/>
    <x v="8"/>
    <n v="0"/>
    <n v="0"/>
    <n v="-0.34"/>
    <n v="-0.34"/>
    <n v="-0.34"/>
    <n v="-0.34"/>
    <n v="0"/>
    <x v="0"/>
    <n v="0"/>
    <n v="0"/>
    <n v="58"/>
    <n v="99"/>
    <n v="0"/>
    <n v="308.77"/>
    <n v="298.58"/>
    <m/>
    <n v="357.07977884610415"/>
    <n v="287.78033622605028"/>
    <n v="0"/>
    <n v="-104.98180000000001"/>
    <n v="-101.5172"/>
    <n v="0"/>
    <n v="-121.40712480767542"/>
    <n v="-97.845314316857099"/>
  </r>
  <r>
    <s v="Sistema de Compensação"/>
    <x v="4"/>
    <x v="3"/>
    <x v="1"/>
    <x v="0"/>
    <x v="0"/>
    <x v="0"/>
    <x v="1"/>
    <x v="8"/>
    <n v="0"/>
    <n v="0"/>
    <n v="0.73699999999999999"/>
    <n v="0.73699999999999999"/>
    <n v="0.73699999999999999"/>
    <n v="0.73699999999999999"/>
    <n v="2"/>
    <x v="0"/>
    <n v="0"/>
    <n v="0"/>
    <n v="58"/>
    <n v="99"/>
    <n v="0"/>
    <n v="308.77"/>
    <n v="298.58"/>
    <m/>
    <n v="357.07977884610415"/>
    <n v="287.78033622605028"/>
    <n v="0"/>
    <n v="227.56348999999997"/>
    <n v="220.05345999999997"/>
    <n v="0"/>
    <n v="263.16779700957875"/>
    <n v="212.09410779859905"/>
  </r>
  <r>
    <s v="Regular"/>
    <x v="4"/>
    <x v="3"/>
    <x v="1"/>
    <x v="0"/>
    <x v="0"/>
    <x v="0"/>
    <x v="1"/>
    <x v="9"/>
    <n v="0"/>
    <n v="0"/>
    <n v="295.16800000000001"/>
    <n v="295.16800000000001"/>
    <n v="295.16800000000001"/>
    <n v="295.16800000000001"/>
    <n v="284"/>
    <x v="0"/>
    <n v="0"/>
    <n v="0"/>
    <n v="58"/>
    <n v="99"/>
    <n v="0"/>
    <n v="308.77"/>
    <n v="298.58"/>
    <m/>
    <n v="357.07977884610415"/>
    <n v="287.78033622605028"/>
    <n v="0"/>
    <n v="91139.023359999992"/>
    <n v="88131.261440000002"/>
    <n v="0"/>
    <n v="105398.52416244688"/>
    <n v="84943.546283170814"/>
  </r>
  <r>
    <s v="Sistema de Compensação"/>
    <x v="4"/>
    <x v="3"/>
    <x v="1"/>
    <x v="0"/>
    <x v="0"/>
    <x v="0"/>
    <x v="1"/>
    <x v="9"/>
    <n v="0"/>
    <n v="0"/>
    <n v="0.59"/>
    <n v="0.59"/>
    <n v="0.59"/>
    <n v="0.59"/>
    <n v="2"/>
    <x v="0"/>
    <n v="0"/>
    <n v="0"/>
    <n v="58"/>
    <n v="99"/>
    <n v="0"/>
    <n v="308.77"/>
    <n v="298.58"/>
    <m/>
    <n v="357.07977884610415"/>
    <n v="287.78033622605028"/>
    <n v="0"/>
    <n v="182.17429999999999"/>
    <n v="176.16219999999998"/>
    <n v="0"/>
    <n v="210.67706951920144"/>
    <n v="169.79039837336967"/>
  </r>
  <r>
    <s v="Regular"/>
    <x v="4"/>
    <x v="3"/>
    <x v="1"/>
    <x v="0"/>
    <x v="0"/>
    <x v="0"/>
    <x v="1"/>
    <x v="10"/>
    <n v="0"/>
    <n v="0"/>
    <n v="298.017"/>
    <n v="298.017"/>
    <n v="298.017"/>
    <n v="298.017"/>
    <n v="287"/>
    <x v="0"/>
    <n v="0"/>
    <n v="0"/>
    <n v="58"/>
    <n v="99"/>
    <n v="0"/>
    <n v="308.77"/>
    <n v="298.58"/>
    <m/>
    <n v="357.07977884610415"/>
    <n v="287.78033622605028"/>
    <n v="0"/>
    <n v="92018.709089999989"/>
    <n v="88981.915859999994"/>
    <n v="0"/>
    <n v="106415.84445237942"/>
    <n v="85763.432461078832"/>
  </r>
  <r>
    <s v="Sistema de Compensação"/>
    <x v="4"/>
    <x v="3"/>
    <x v="1"/>
    <x v="0"/>
    <x v="0"/>
    <x v="0"/>
    <x v="1"/>
    <x v="10"/>
    <n v="0"/>
    <n v="0"/>
    <n v="0.68600000000000005"/>
    <n v="0.68600000000000005"/>
    <n v="0.68600000000000005"/>
    <n v="0.68600000000000005"/>
    <n v="2"/>
    <x v="0"/>
    <n v="0"/>
    <n v="0"/>
    <n v="58"/>
    <n v="99"/>
    <n v="0"/>
    <n v="308.77"/>
    <n v="298.58"/>
    <m/>
    <n v="357.07977884610415"/>
    <n v="287.78033622605028"/>
    <n v="0"/>
    <n v="211.81622000000002"/>
    <n v="204.82588000000001"/>
    <n v="0"/>
    <n v="244.95672828842746"/>
    <n v="197.41731065107052"/>
  </r>
  <r>
    <s v="Regular"/>
    <x v="4"/>
    <x v="3"/>
    <x v="1"/>
    <x v="0"/>
    <x v="0"/>
    <x v="0"/>
    <x v="1"/>
    <x v="11"/>
    <n v="0"/>
    <n v="0"/>
    <n v="295.75"/>
    <n v="295.75"/>
    <n v="295.75"/>
    <n v="295.75"/>
    <n v="284"/>
    <x v="0"/>
    <n v="0"/>
    <n v="0"/>
    <n v="58"/>
    <n v="99"/>
    <n v="0"/>
    <n v="308.77"/>
    <n v="298.58"/>
    <m/>
    <n v="357.07977884610415"/>
    <n v="287.78033622605028"/>
    <n v="0"/>
    <n v="91318.727499999994"/>
    <n v="88305.034999999989"/>
    <n v="0"/>
    <n v="105606.3445937353"/>
    <n v="85111.034438854374"/>
  </r>
  <r>
    <s v="Sistema de Compensação"/>
    <x v="4"/>
    <x v="3"/>
    <x v="1"/>
    <x v="0"/>
    <x v="0"/>
    <x v="0"/>
    <x v="1"/>
    <x v="11"/>
    <n v="0"/>
    <n v="0"/>
    <n v="0.53600000000000003"/>
    <n v="0.53600000000000003"/>
    <n v="0.53600000000000003"/>
    <n v="0.53600000000000003"/>
    <n v="2"/>
    <x v="0"/>
    <n v="0"/>
    <n v="0"/>
    <n v="58"/>
    <n v="99"/>
    <n v="0"/>
    <n v="308.77"/>
    <n v="298.58"/>
    <m/>
    <n v="357.07977884610415"/>
    <n v="287.78033622605028"/>
    <n v="0"/>
    <n v="165.50072"/>
    <n v="160.03888000000001"/>
    <n v="0"/>
    <n v="191.39476146151185"/>
    <n v="154.25026021716295"/>
  </r>
  <r>
    <s v="Regular"/>
    <x v="4"/>
    <x v="3"/>
    <x v="1"/>
    <x v="0"/>
    <x v="0"/>
    <x v="0"/>
    <x v="1"/>
    <x v="3"/>
    <n v="0"/>
    <n v="0"/>
    <n v="302.40300000000002"/>
    <n v="302.40300000000002"/>
    <n v="302.40300000000002"/>
    <n v="302.40300000000002"/>
    <n v="279"/>
    <x v="0"/>
    <n v="0"/>
    <n v="0"/>
    <n v="58"/>
    <n v="99"/>
    <n v="0"/>
    <n v="308.77"/>
    <n v="298.58"/>
    <m/>
    <n v="357.07977884610415"/>
    <n v="287.78033622605028"/>
    <n v="0"/>
    <n v="93372.974310000005"/>
    <n v="90291.487739999997"/>
    <n v="0"/>
    <n v="107981.99636239844"/>
    <n v="87025.63701576629"/>
  </r>
  <r>
    <s v="Refaturamento - Regular"/>
    <x v="4"/>
    <x v="3"/>
    <x v="1"/>
    <x v="0"/>
    <x v="0"/>
    <x v="0"/>
    <x v="1"/>
    <x v="3"/>
    <n v="0"/>
    <n v="0"/>
    <n v="-9.9000000000000005E-2"/>
    <n v="-9.9000000000000005E-2"/>
    <n v="-9.9000000000000005E-2"/>
    <n v="-9.9000000000000005E-2"/>
    <n v="0"/>
    <x v="0"/>
    <n v="0"/>
    <n v="0"/>
    <n v="58"/>
    <n v="99"/>
    <n v="0"/>
    <n v="308.77"/>
    <n v="298.58"/>
    <m/>
    <n v="357.07977884610415"/>
    <n v="287.78033622605028"/>
    <n v="0"/>
    <n v="-30.56823"/>
    <n v="-29.559419999999999"/>
    <n v="0"/>
    <n v="-35.350898105764315"/>
    <n v="-28.49025328637898"/>
  </r>
  <r>
    <s v="Sistema de Compensação"/>
    <x v="4"/>
    <x v="3"/>
    <x v="1"/>
    <x v="0"/>
    <x v="0"/>
    <x v="0"/>
    <x v="1"/>
    <x v="3"/>
    <n v="0"/>
    <n v="0"/>
    <n v="0.372"/>
    <n v="0.372"/>
    <n v="0.372"/>
    <n v="0.372"/>
    <n v="2"/>
    <x v="0"/>
    <n v="0"/>
    <n v="0"/>
    <n v="58"/>
    <n v="99"/>
    <n v="0"/>
    <n v="308.77"/>
    <n v="298.58"/>
    <m/>
    <n v="357.07977884610415"/>
    <n v="287.78033622605028"/>
    <n v="0"/>
    <n v="114.86243999999999"/>
    <n v="111.07176"/>
    <n v="0"/>
    <n v="132.83367773075074"/>
    <n v="107.05428507609071"/>
  </r>
  <r>
    <s v="Regular"/>
    <x v="4"/>
    <x v="3"/>
    <x v="1"/>
    <x v="0"/>
    <x v="0"/>
    <x v="0"/>
    <x v="1"/>
    <x v="0"/>
    <n v="0"/>
    <n v="0"/>
    <n v="240.11500000000001"/>
    <n v="240.11500000000001"/>
    <n v="240.11500000000001"/>
    <n v="240.11500000000001"/>
    <n v="279"/>
    <x v="0"/>
    <n v="0"/>
    <n v="0"/>
    <n v="58"/>
    <n v="99"/>
    <n v="0"/>
    <n v="308.77"/>
    <n v="298.58"/>
    <m/>
    <n v="357.07977884610415"/>
    <n v="287.78033622605028"/>
    <n v="0"/>
    <n v="74140.308550000002"/>
    <n v="71693.536699999997"/>
    <n v="0"/>
    <n v="85740.211097632302"/>
    <n v="69100.375432918067"/>
  </r>
  <r>
    <s v="Refaturamento - Regular"/>
    <x v="4"/>
    <x v="3"/>
    <x v="1"/>
    <x v="0"/>
    <x v="0"/>
    <x v="0"/>
    <x v="1"/>
    <x v="0"/>
    <n v="0"/>
    <n v="0"/>
    <n v="0.314"/>
    <n v="0.314"/>
    <n v="0.314"/>
    <n v="0.314"/>
    <n v="0"/>
    <x v="0"/>
    <n v="0"/>
    <n v="0"/>
    <n v="58"/>
    <n v="99"/>
    <n v="0"/>
    <n v="308.77"/>
    <n v="298.58"/>
    <m/>
    <n v="357.07977884610415"/>
    <n v="287.78033622605028"/>
    <n v="0"/>
    <n v="96.953779999999995"/>
    <n v="93.75412"/>
    <n v="0"/>
    <n v="112.12305055767671"/>
    <n v="90.363025574979787"/>
  </r>
  <r>
    <s v="Sistema de Compensação"/>
    <x v="4"/>
    <x v="3"/>
    <x v="1"/>
    <x v="0"/>
    <x v="0"/>
    <x v="0"/>
    <x v="1"/>
    <x v="0"/>
    <n v="0"/>
    <n v="0"/>
    <n v="0.36799999999999999"/>
    <n v="0.36799999999999999"/>
    <n v="0.36799999999999999"/>
    <n v="0.36799999999999999"/>
    <n v="2"/>
    <x v="0"/>
    <n v="0"/>
    <n v="0"/>
    <n v="58"/>
    <n v="99"/>
    <n v="0"/>
    <n v="308.77"/>
    <n v="298.58"/>
    <m/>
    <n v="357.07977884610415"/>
    <n v="287.78033622605028"/>
    <n v="0"/>
    <n v="113.62736"/>
    <n v="109.87743999999999"/>
    <n v="0"/>
    <n v="131.40535861536631"/>
    <n v="105.9031637311865"/>
  </r>
  <r>
    <s v="Regular"/>
    <x v="4"/>
    <x v="3"/>
    <x v="1"/>
    <x v="0"/>
    <x v="0"/>
    <x v="0"/>
    <x v="1"/>
    <x v="4"/>
    <n v="0"/>
    <n v="0"/>
    <n v="284.11599999999999"/>
    <n v="284.11599999999999"/>
    <n v="284.11599999999999"/>
    <n v="284.11599999999999"/>
    <n v="277"/>
    <x v="0"/>
    <n v="0"/>
    <n v="0"/>
    <n v="58"/>
    <n v="99"/>
    <n v="0"/>
    <n v="308.77"/>
    <n v="298.58"/>
    <m/>
    <n v="357.07977884610415"/>
    <n v="287.78033622605028"/>
    <n v="0"/>
    <n v="87726.497319999995"/>
    <n v="84831.355279999989"/>
    <n v="0"/>
    <n v="101452.07844663972"/>
    <n v="81762.998007200498"/>
  </r>
  <r>
    <s v="Sistema de Compensação"/>
    <x v="4"/>
    <x v="3"/>
    <x v="1"/>
    <x v="0"/>
    <x v="0"/>
    <x v="0"/>
    <x v="1"/>
    <x v="4"/>
    <n v="0"/>
    <n v="0"/>
    <n v="0.51200000000000001"/>
    <n v="0.51200000000000001"/>
    <n v="0.51200000000000001"/>
    <n v="0.51200000000000001"/>
    <n v="2"/>
    <x v="0"/>
    <n v="0"/>
    <n v="0"/>
    <n v="58"/>
    <n v="99"/>
    <n v="0"/>
    <n v="308.77"/>
    <n v="298.58"/>
    <m/>
    <n v="357.07977884610415"/>
    <n v="287.78033622605028"/>
    <n v="0"/>
    <n v="158.09023999999999"/>
    <n v="152.87296000000001"/>
    <n v="0"/>
    <n v="182.82484676920532"/>
    <n v="147.34353214773773"/>
  </r>
  <r>
    <s v="Regular"/>
    <x v="4"/>
    <x v="3"/>
    <x v="1"/>
    <x v="0"/>
    <x v="0"/>
    <x v="0"/>
    <x v="1"/>
    <x v="1"/>
    <n v="0"/>
    <n v="0"/>
    <n v="289.50700000000001"/>
    <n v="289.50700000000001"/>
    <n v="289.50700000000001"/>
    <n v="289.50700000000001"/>
    <n v="276"/>
    <x v="0"/>
    <n v="0"/>
    <n v="0"/>
    <n v="58"/>
    <n v="99"/>
    <n v="0"/>
    <n v="308.77"/>
    <n v="298.58"/>
    <m/>
    <n v="357.07977884610415"/>
    <n v="287.78033622605028"/>
    <n v="0"/>
    <n v="89391.076390000002"/>
    <n v="86441.000059999991"/>
    <n v="0"/>
    <n v="103377.09553439908"/>
    <n v="83314.421799795135"/>
  </r>
  <r>
    <s v="Sistema de Compensação"/>
    <x v="4"/>
    <x v="3"/>
    <x v="1"/>
    <x v="0"/>
    <x v="0"/>
    <x v="0"/>
    <x v="1"/>
    <x v="1"/>
    <n v="0"/>
    <n v="0"/>
    <n v="0.504"/>
    <n v="0.504"/>
    <n v="0.504"/>
    <n v="0.504"/>
    <n v="2"/>
    <x v="0"/>
    <n v="0"/>
    <n v="0"/>
    <n v="58"/>
    <n v="99"/>
    <n v="0"/>
    <n v="308.77"/>
    <n v="298.58"/>
    <m/>
    <n v="357.07977884610415"/>
    <n v="287.78033622605028"/>
    <n v="0"/>
    <n v="155.62008"/>
    <n v="150.48432"/>
    <n v="0"/>
    <n v="179.9682085384365"/>
    <n v="145.04128945792934"/>
  </r>
  <r>
    <s v="Regular"/>
    <x v="4"/>
    <x v="3"/>
    <x v="1"/>
    <x v="0"/>
    <x v="0"/>
    <x v="0"/>
    <x v="1"/>
    <x v="2"/>
    <n v="0"/>
    <n v="0"/>
    <n v="271.29899999999998"/>
    <n v="271.29899999999998"/>
    <n v="271.29899999999998"/>
    <n v="271.29899999999998"/>
    <n v="266"/>
    <x v="0"/>
    <n v="0"/>
    <n v="0"/>
    <n v="58"/>
    <n v="99"/>
    <n v="0"/>
    <n v="308.77"/>
    <n v="298.58"/>
    <m/>
    <n v="357.07977884610415"/>
    <n v="287.78033622605028"/>
    <n v="0"/>
    <n v="83768.992229999989"/>
    <n v="81004.455419999984"/>
    <n v="0"/>
    <n v="96875.386921169207"/>
    <n v="78074.517437791204"/>
  </r>
  <r>
    <s v="Sistema de Compensação"/>
    <x v="4"/>
    <x v="3"/>
    <x v="1"/>
    <x v="0"/>
    <x v="0"/>
    <x v="0"/>
    <x v="1"/>
    <x v="2"/>
    <n v="0"/>
    <n v="0"/>
    <n v="0.58899999999999997"/>
    <n v="0.58899999999999997"/>
    <n v="0.58899999999999997"/>
    <n v="0.58899999999999997"/>
    <n v="2"/>
    <x v="0"/>
    <n v="0"/>
    <n v="0"/>
    <n v="58"/>
    <n v="99"/>
    <n v="0"/>
    <n v="308.77"/>
    <n v="298.58"/>
    <m/>
    <n v="357.07977884610415"/>
    <n v="287.78033622605028"/>
    <n v="0"/>
    <n v="181.86552999999998"/>
    <n v="175.86361999999997"/>
    <n v="0"/>
    <n v="210.31998974035534"/>
    <n v="169.50261803714361"/>
  </r>
  <r>
    <s v="Regular"/>
    <x v="4"/>
    <x v="3"/>
    <x v="1"/>
    <x v="0"/>
    <x v="0"/>
    <x v="0"/>
    <x v="1"/>
    <x v="5"/>
    <n v="0"/>
    <n v="0"/>
    <n v="266.976"/>
    <n v="266.976"/>
    <n v="266.976"/>
    <n v="266.976"/>
    <n v="262"/>
    <x v="0"/>
    <n v="0"/>
    <n v="0"/>
    <n v="58"/>
    <n v="99"/>
    <n v="0"/>
    <n v="308.77"/>
    <n v="298.58"/>
    <m/>
    <n v="357.07977884610415"/>
    <n v="287.78033622605028"/>
    <n v="0"/>
    <n v="82434.179519999991"/>
    <n v="79713.694080000001"/>
    <n v="0"/>
    <n v="95331.731037217498"/>
    <n v="76830.443044286003"/>
  </r>
  <r>
    <s v="Sistema de Compensação"/>
    <x v="4"/>
    <x v="3"/>
    <x v="1"/>
    <x v="0"/>
    <x v="0"/>
    <x v="0"/>
    <x v="1"/>
    <x v="5"/>
    <n v="0"/>
    <n v="0"/>
    <n v="0.57799999999999996"/>
    <n v="0.57799999999999996"/>
    <n v="0.57799999999999996"/>
    <n v="0.57799999999999996"/>
    <n v="2"/>
    <x v="0"/>
    <n v="0"/>
    <n v="0"/>
    <n v="58"/>
    <n v="99"/>
    <n v="0"/>
    <n v="308.77"/>
    <n v="298.58"/>
    <m/>
    <n v="357.07977884610415"/>
    <n v="287.78033622605028"/>
    <n v="0"/>
    <n v="178.46905999999998"/>
    <n v="172.57923999999997"/>
    <n v="0"/>
    <n v="206.39211217304819"/>
    <n v="166.33703433865705"/>
  </r>
  <r>
    <s v="Regular"/>
    <x v="4"/>
    <x v="3"/>
    <x v="2"/>
    <x v="0"/>
    <x v="0"/>
    <x v="0"/>
    <x v="1"/>
    <x v="6"/>
    <n v="0"/>
    <n v="0"/>
    <n v="116.09"/>
    <n v="116.09"/>
    <n v="116.09"/>
    <n v="116.09"/>
    <n v="305"/>
    <x v="0"/>
    <n v="0"/>
    <n v="0"/>
    <n v="58"/>
    <n v="99"/>
    <n v="0"/>
    <n v="308.77"/>
    <n v="298.58"/>
    <m/>
    <n v="357.07977884610415"/>
    <n v="287.78033622605028"/>
    <n v="0"/>
    <n v="35845.109299999996"/>
    <n v="34662.152199999997"/>
    <n v="0"/>
    <n v="41453.391526244231"/>
    <n v="33408.419232482178"/>
  </r>
  <r>
    <s v="Sistema de Compensação"/>
    <x v="4"/>
    <x v="3"/>
    <x v="2"/>
    <x v="0"/>
    <x v="0"/>
    <x v="0"/>
    <x v="1"/>
    <x v="6"/>
    <n v="0"/>
    <n v="0"/>
    <n v="0.56699999999999995"/>
    <n v="0.56699999999999995"/>
    <n v="0.56699999999999995"/>
    <n v="0.56699999999999995"/>
    <n v="2"/>
    <x v="0"/>
    <n v="0"/>
    <n v="0"/>
    <n v="58"/>
    <n v="99"/>
    <n v="0"/>
    <n v="308.77"/>
    <n v="298.58"/>
    <m/>
    <n v="357.07977884610415"/>
    <n v="287.78033622605028"/>
    <n v="0"/>
    <n v="175.07258999999996"/>
    <n v="169.29485999999997"/>
    <n v="0"/>
    <n v="202.46423460574104"/>
    <n v="163.17145064017049"/>
  </r>
  <r>
    <s v="Regular"/>
    <x v="4"/>
    <x v="3"/>
    <x v="2"/>
    <x v="0"/>
    <x v="0"/>
    <x v="0"/>
    <x v="1"/>
    <x v="7"/>
    <n v="0"/>
    <n v="0"/>
    <n v="120.57599999999999"/>
    <n v="120.57599999999999"/>
    <n v="120.57599999999999"/>
    <n v="120.57599999999999"/>
    <n v="301"/>
    <x v="0"/>
    <n v="0"/>
    <n v="0"/>
    <n v="58"/>
    <n v="99"/>
    <n v="0"/>
    <n v="308.77"/>
    <n v="298.58"/>
    <m/>
    <n v="357.07977884610415"/>
    <n v="287.78033622605028"/>
    <n v="0"/>
    <n v="37230.251519999998"/>
    <n v="36001.582079999993"/>
    <n v="0"/>
    <n v="43055.251414147853"/>
    <n v="34699.401820792235"/>
  </r>
  <r>
    <s v="Refaturamento - Regular"/>
    <x v="4"/>
    <x v="3"/>
    <x v="2"/>
    <x v="0"/>
    <x v="0"/>
    <x v="0"/>
    <x v="1"/>
    <x v="7"/>
    <n v="0"/>
    <n v="0"/>
    <n v="-0.72299999999999998"/>
    <n v="-0.72299999999999998"/>
    <n v="-0.72299999999999998"/>
    <n v="-0.72299999999999998"/>
    <n v="0"/>
    <x v="0"/>
    <n v="0"/>
    <n v="0"/>
    <n v="58"/>
    <n v="99"/>
    <n v="0"/>
    <n v="308.77"/>
    <n v="298.58"/>
    <m/>
    <n v="357.07977884610415"/>
    <n v="287.78033622605028"/>
    <n v="0"/>
    <n v="-223.24070999999998"/>
    <n v="-215.87333999999998"/>
    <n v="0"/>
    <n v="-258.1686801057333"/>
    <n v="-208.06518309143433"/>
  </r>
  <r>
    <s v="Sistema de Compensação"/>
    <x v="4"/>
    <x v="3"/>
    <x v="2"/>
    <x v="0"/>
    <x v="0"/>
    <x v="0"/>
    <x v="1"/>
    <x v="7"/>
    <n v="0"/>
    <n v="0"/>
    <n v="4.7930000000000001"/>
    <n v="4.7930000000000001"/>
    <n v="4.7930000000000001"/>
    <n v="4.7930000000000001"/>
    <n v="5"/>
    <x v="0"/>
    <n v="0"/>
    <n v="0"/>
    <n v="58"/>
    <n v="99"/>
    <n v="0"/>
    <n v="308.77"/>
    <n v="298.58"/>
    <m/>
    <n v="357.07977884610415"/>
    <n v="287.78033622605028"/>
    <n v="0"/>
    <n v="1479.93461"/>
    <n v="1431.09394"/>
    <n v="0"/>
    <n v="1711.4833800093772"/>
    <n v="1379.331151531459"/>
  </r>
  <r>
    <s v="Regular"/>
    <x v="4"/>
    <x v="3"/>
    <x v="2"/>
    <x v="0"/>
    <x v="0"/>
    <x v="0"/>
    <x v="1"/>
    <x v="8"/>
    <n v="0"/>
    <n v="0"/>
    <n v="143.05600000000001"/>
    <n v="143.05600000000001"/>
    <n v="143.05600000000001"/>
    <n v="143.05600000000001"/>
    <n v="299"/>
    <x v="0"/>
    <n v="0"/>
    <n v="0"/>
    <n v="58"/>
    <n v="99"/>
    <n v="0"/>
    <n v="308.77"/>
    <n v="298.58"/>
    <m/>
    <n v="357.07977884610415"/>
    <n v="287.78033622605028"/>
    <n v="0"/>
    <n v="44171.401120000002"/>
    <n v="42713.660479999999"/>
    <n v="0"/>
    <n v="51082.404842608281"/>
    <n v="41168.703779153853"/>
  </r>
  <r>
    <s v="Sistema de Compensação"/>
    <x v="4"/>
    <x v="3"/>
    <x v="2"/>
    <x v="0"/>
    <x v="0"/>
    <x v="0"/>
    <x v="1"/>
    <x v="8"/>
    <n v="0"/>
    <n v="0"/>
    <n v="3.0139999999999998"/>
    <n v="3.0139999999999998"/>
    <n v="3.0139999999999998"/>
    <n v="3.0139999999999998"/>
    <n v="6"/>
    <x v="0"/>
    <n v="0"/>
    <n v="0"/>
    <n v="58"/>
    <n v="99"/>
    <n v="0"/>
    <n v="308.77"/>
    <n v="298.58"/>
    <m/>
    <n v="357.07977884610415"/>
    <n v="287.78033622605028"/>
    <n v="0"/>
    <n v="930.63277999999991"/>
    <n v="899.92011999999988"/>
    <n v="0"/>
    <n v="1076.2384534421578"/>
    <n v="867.36993338531545"/>
  </r>
  <r>
    <s v="Regular"/>
    <x v="4"/>
    <x v="3"/>
    <x v="2"/>
    <x v="0"/>
    <x v="0"/>
    <x v="0"/>
    <x v="1"/>
    <x v="9"/>
    <n v="0"/>
    <n v="0"/>
    <n v="142.28200000000001"/>
    <n v="142.28200000000001"/>
    <n v="142.28200000000001"/>
    <n v="142.28200000000001"/>
    <n v="299"/>
    <x v="0"/>
    <n v="0"/>
    <n v="0"/>
    <n v="58"/>
    <n v="99"/>
    <n v="0"/>
    <n v="308.77"/>
    <n v="298.58"/>
    <m/>
    <n v="357.07977884610415"/>
    <n v="287.78033622605028"/>
    <n v="0"/>
    <n v="43932.413140000004"/>
    <n v="42482.559560000002"/>
    <n v="0"/>
    <n v="50806.025093781391"/>
    <n v="40945.96179891489"/>
  </r>
  <r>
    <s v="Sistema de Compensação"/>
    <x v="4"/>
    <x v="3"/>
    <x v="2"/>
    <x v="0"/>
    <x v="0"/>
    <x v="0"/>
    <x v="1"/>
    <x v="9"/>
    <n v="0"/>
    <n v="0"/>
    <n v="5.1660000000000004"/>
    <n v="5.1660000000000004"/>
    <n v="5.1660000000000004"/>
    <n v="5.1660000000000004"/>
    <n v="6"/>
    <x v="0"/>
    <n v="0"/>
    <n v="0"/>
    <n v="58"/>
    <n v="99"/>
    <n v="0"/>
    <n v="308.77"/>
    <n v="298.58"/>
    <m/>
    <n v="357.07977884610415"/>
    <n v="287.78033622605028"/>
    <n v="0"/>
    <n v="1595.10582"/>
    <n v="1542.4642799999999"/>
    <n v="0"/>
    <n v="1844.6741375189742"/>
    <n v="1486.673216943776"/>
  </r>
  <r>
    <s v="Regular"/>
    <x v="4"/>
    <x v="3"/>
    <x v="2"/>
    <x v="0"/>
    <x v="0"/>
    <x v="0"/>
    <x v="1"/>
    <x v="10"/>
    <n v="0"/>
    <n v="0"/>
    <n v="142.167"/>
    <n v="142.167"/>
    <n v="142.167"/>
    <n v="142.167"/>
    <n v="299"/>
    <x v="0"/>
    <n v="0"/>
    <n v="0"/>
    <n v="58"/>
    <n v="99"/>
    <n v="0"/>
    <n v="308.77"/>
    <n v="298.58"/>
    <m/>
    <n v="357.07977884610415"/>
    <n v="287.78033622605028"/>
    <n v="0"/>
    <n v="43896.904589999998"/>
    <n v="42448.222860000002"/>
    <n v="0"/>
    <n v="50764.960919214092"/>
    <n v="40912.867060248893"/>
  </r>
  <r>
    <s v="Sistema de Compensação"/>
    <x v="4"/>
    <x v="3"/>
    <x v="2"/>
    <x v="0"/>
    <x v="0"/>
    <x v="0"/>
    <x v="1"/>
    <x v="10"/>
    <n v="0"/>
    <n v="0"/>
    <n v="6.24"/>
    <n v="6.24"/>
    <n v="6.24"/>
    <n v="6.24"/>
    <n v="6"/>
    <x v="0"/>
    <n v="0"/>
    <n v="0"/>
    <n v="58"/>
    <n v="99"/>
    <n v="0"/>
    <n v="308.77"/>
    <n v="298.58"/>
    <m/>
    <n v="357.07977884610415"/>
    <n v="287.78033622605028"/>
    <n v="0"/>
    <n v="1926.7248"/>
    <n v="1863.1392000000001"/>
    <n v="0"/>
    <n v="2228.1778199996897"/>
    <n v="1795.7492980505538"/>
  </r>
  <r>
    <s v="Regular"/>
    <x v="4"/>
    <x v="3"/>
    <x v="2"/>
    <x v="0"/>
    <x v="0"/>
    <x v="0"/>
    <x v="1"/>
    <x v="11"/>
    <n v="0"/>
    <n v="0"/>
    <n v="136.66200000000001"/>
    <n v="136.66200000000001"/>
    <n v="136.66200000000001"/>
    <n v="136.66200000000001"/>
    <n v="299"/>
    <x v="0"/>
    <n v="0"/>
    <n v="0"/>
    <n v="58"/>
    <n v="99"/>
    <n v="0"/>
    <n v="308.77"/>
    <n v="298.58"/>
    <m/>
    <n v="357.07977884610415"/>
    <n v="287.78033622605028"/>
    <n v="0"/>
    <n v="42197.125739999996"/>
    <n v="40804.539960000002"/>
    <n v="0"/>
    <n v="48799.236736666287"/>
    <n v="39328.636309324487"/>
  </r>
  <r>
    <s v="Sistema de Compensação"/>
    <x v="4"/>
    <x v="3"/>
    <x v="2"/>
    <x v="0"/>
    <x v="0"/>
    <x v="0"/>
    <x v="1"/>
    <x v="11"/>
    <n v="0"/>
    <n v="0"/>
    <n v="6.6740000000000004"/>
    <n v="6.6740000000000004"/>
    <n v="6.6740000000000004"/>
    <n v="6.6740000000000004"/>
    <n v="6"/>
    <x v="0"/>
    <n v="0"/>
    <n v="0"/>
    <n v="58"/>
    <n v="99"/>
    <n v="0"/>
    <n v="308.77"/>
    <n v="298.58"/>
    <m/>
    <n v="357.07977884610415"/>
    <n v="287.78033622605028"/>
    <n v="0"/>
    <n v="2060.7309799999998"/>
    <n v="1992.7229199999999"/>
    <n v="0"/>
    <n v="2383.1504440188992"/>
    <n v="1920.6459639726597"/>
  </r>
  <r>
    <s v="Regular"/>
    <x v="4"/>
    <x v="3"/>
    <x v="2"/>
    <x v="0"/>
    <x v="0"/>
    <x v="0"/>
    <x v="1"/>
    <x v="3"/>
    <n v="0"/>
    <n v="0"/>
    <n v="145.38200000000001"/>
    <n v="145.38200000000001"/>
    <n v="145.38200000000001"/>
    <n v="145.38200000000001"/>
    <n v="302"/>
    <x v="0"/>
    <n v="0"/>
    <n v="0"/>
    <n v="58"/>
    <n v="99"/>
    <n v="0"/>
    <n v="308.77"/>
    <n v="298.58"/>
    <m/>
    <n v="357.07977884610415"/>
    <n v="287.78033622605028"/>
    <n v="0"/>
    <n v="44889.600140000002"/>
    <n v="43408.15756"/>
    <n v="0"/>
    <n v="51912.972408204318"/>
    <n v="41838.08084121564"/>
  </r>
  <r>
    <s v="Sistema de Compensação"/>
    <x v="4"/>
    <x v="3"/>
    <x v="2"/>
    <x v="0"/>
    <x v="0"/>
    <x v="0"/>
    <x v="1"/>
    <x v="3"/>
    <n v="0"/>
    <n v="0"/>
    <n v="6.18"/>
    <n v="6.18"/>
    <n v="6.18"/>
    <n v="6.18"/>
    <n v="6"/>
    <x v="0"/>
    <n v="0"/>
    <n v="0"/>
    <n v="58"/>
    <n v="99"/>
    <n v="0"/>
    <n v="308.77"/>
    <n v="298.58"/>
    <m/>
    <n v="357.07977884610415"/>
    <n v="287.78033622605028"/>
    <n v="0"/>
    <n v="1908.1985999999997"/>
    <n v="1845.2243999999998"/>
    <n v="0"/>
    <n v="2206.7530332689234"/>
    <n v="1778.4824778769907"/>
  </r>
  <r>
    <s v="Regular"/>
    <x v="4"/>
    <x v="3"/>
    <x v="2"/>
    <x v="0"/>
    <x v="0"/>
    <x v="0"/>
    <x v="1"/>
    <x v="0"/>
    <n v="0"/>
    <n v="0"/>
    <n v="109.54900000000001"/>
    <n v="109.54900000000001"/>
    <n v="109.54900000000001"/>
    <n v="109.54900000000001"/>
    <n v="302"/>
    <x v="0"/>
    <n v="0"/>
    <n v="0"/>
    <n v="58"/>
    <n v="99"/>
    <n v="0"/>
    <n v="308.77"/>
    <n v="298.58"/>
    <m/>
    <n v="357.07977884610415"/>
    <n v="287.78033622605028"/>
    <n v="0"/>
    <n v="33825.444730000003"/>
    <n v="32709.14042"/>
    <n v="0"/>
    <n v="39117.732692811864"/>
    <n v="31526.048053227583"/>
  </r>
  <r>
    <s v="Sistema de Compensação"/>
    <x v="4"/>
    <x v="3"/>
    <x v="2"/>
    <x v="0"/>
    <x v="0"/>
    <x v="0"/>
    <x v="1"/>
    <x v="0"/>
    <n v="0"/>
    <n v="0"/>
    <n v="7.5069999999999997"/>
    <n v="7.5069999999999997"/>
    <n v="7.5069999999999997"/>
    <n v="7.5069999999999997"/>
    <n v="6"/>
    <x v="0"/>
    <n v="0"/>
    <n v="0"/>
    <n v="58"/>
    <n v="99"/>
    <n v="0"/>
    <n v="308.77"/>
    <n v="298.58"/>
    <m/>
    <n v="357.07977884610415"/>
    <n v="287.78033622605028"/>
    <n v="0"/>
    <n v="2317.9363899999998"/>
    <n v="2241.4400599999999"/>
    <n v="0"/>
    <n v="2680.5978997977036"/>
    <n v="2160.3669840489592"/>
  </r>
  <r>
    <s v="Regular"/>
    <x v="4"/>
    <x v="3"/>
    <x v="2"/>
    <x v="0"/>
    <x v="0"/>
    <x v="0"/>
    <x v="1"/>
    <x v="4"/>
    <n v="0"/>
    <n v="0"/>
    <n v="135.85599999999999"/>
    <n v="135.85599999999999"/>
    <n v="135.85599999999999"/>
    <n v="135.85599999999999"/>
    <n v="303"/>
    <x v="0"/>
    <n v="0"/>
    <n v="0"/>
    <n v="58"/>
    <n v="99"/>
    <n v="0"/>
    <n v="308.77"/>
    <n v="298.58"/>
    <m/>
    <n v="357.07977884610415"/>
    <n v="287.78033622605028"/>
    <n v="0"/>
    <n v="41948.257119999995"/>
    <n v="40563.884479999993"/>
    <n v="0"/>
    <n v="48511.430434916321"/>
    <n v="39096.685358326285"/>
  </r>
  <r>
    <s v="Regular"/>
    <x v="4"/>
    <x v="3"/>
    <x v="2"/>
    <x v="0"/>
    <x v="0"/>
    <x v="0"/>
    <x v="1"/>
    <x v="1"/>
    <n v="0"/>
    <n v="0"/>
    <n v="161.43600000000001"/>
    <n v="161.43600000000001"/>
    <n v="161.43600000000001"/>
    <n v="161.43600000000001"/>
    <n v="304"/>
    <x v="0"/>
    <n v="0"/>
    <n v="0"/>
    <n v="58"/>
    <n v="99"/>
    <n v="0"/>
    <n v="308.77"/>
    <n v="298.58"/>
    <m/>
    <n v="357.07977884610415"/>
    <n v="287.78033622605028"/>
    <n v="0"/>
    <n v="49846.593719999997"/>
    <n v="48201.560879999997"/>
    <n v="0"/>
    <n v="57645.531177799669"/>
    <n v="46458.106358988654"/>
  </r>
  <r>
    <s v="Sistema de Compensação"/>
    <x v="4"/>
    <x v="3"/>
    <x v="2"/>
    <x v="0"/>
    <x v="0"/>
    <x v="0"/>
    <x v="1"/>
    <x v="1"/>
    <n v="0"/>
    <n v="0"/>
    <n v="3.7759999999999998"/>
    <n v="3.7759999999999998"/>
    <n v="3.7759999999999998"/>
    <n v="3.7759999999999998"/>
    <n v="6"/>
    <x v="0"/>
    <n v="0"/>
    <n v="0"/>
    <n v="58"/>
    <n v="99"/>
    <n v="0"/>
    <n v="308.77"/>
    <n v="298.58"/>
    <m/>
    <n v="357.07977884610415"/>
    <n v="287.78033622605028"/>
    <n v="0"/>
    <n v="1165.9155199999998"/>
    <n v="1127.4380799999999"/>
    <n v="0"/>
    <n v="1348.3332449228892"/>
    <n v="1086.6585495895658"/>
  </r>
  <r>
    <s v="Regular"/>
    <x v="4"/>
    <x v="3"/>
    <x v="2"/>
    <x v="0"/>
    <x v="0"/>
    <x v="0"/>
    <x v="1"/>
    <x v="2"/>
    <n v="0"/>
    <n v="0"/>
    <n v="151.37100000000001"/>
    <n v="151.37100000000001"/>
    <n v="151.37100000000001"/>
    <n v="151.37100000000001"/>
    <n v="301"/>
    <x v="0"/>
    <n v="0"/>
    <n v="0"/>
    <n v="58"/>
    <n v="99"/>
    <n v="0"/>
    <n v="308.77"/>
    <n v="298.58"/>
    <m/>
    <n v="357.07977884610415"/>
    <n v="287.78033622605028"/>
    <n v="0"/>
    <n v="46738.823669999998"/>
    <n v="45196.353179999998"/>
    <n v="0"/>
    <n v="54051.523203713637"/>
    <n v="43561.597274873457"/>
  </r>
  <r>
    <s v="Sistema de Compensação"/>
    <x v="4"/>
    <x v="3"/>
    <x v="2"/>
    <x v="0"/>
    <x v="0"/>
    <x v="0"/>
    <x v="1"/>
    <x v="2"/>
    <n v="0"/>
    <n v="0"/>
    <n v="5.266"/>
    <n v="5.266"/>
    <n v="5.266"/>
    <n v="5.266"/>
    <n v="6"/>
    <x v="0"/>
    <n v="0"/>
    <n v="0"/>
    <n v="58"/>
    <n v="99"/>
    <n v="0"/>
    <n v="308.77"/>
    <n v="298.58"/>
    <m/>
    <n v="357.07977884610415"/>
    <n v="287.78033622605028"/>
    <n v="0"/>
    <n v="1625.9828199999999"/>
    <n v="1572.3222799999999"/>
    <n v="0"/>
    <n v="1880.3821154035845"/>
    <n v="1515.4512505663808"/>
  </r>
  <r>
    <s v="Regular"/>
    <x v="4"/>
    <x v="3"/>
    <x v="2"/>
    <x v="0"/>
    <x v="0"/>
    <x v="0"/>
    <x v="1"/>
    <x v="5"/>
    <n v="0"/>
    <n v="0"/>
    <n v="152.90199999999999"/>
    <n v="152.90199999999999"/>
    <n v="152.90199999999999"/>
    <n v="152.90199999999999"/>
    <n v="304"/>
    <x v="0"/>
    <n v="0"/>
    <n v="0"/>
    <n v="58"/>
    <n v="99"/>
    <n v="0"/>
    <n v="308.77"/>
    <n v="298.58"/>
    <m/>
    <n v="357.07977884610415"/>
    <n v="287.78033622605028"/>
    <n v="0"/>
    <n v="47211.550539999997"/>
    <n v="45653.479159999995"/>
    <n v="0"/>
    <n v="54598.212345127009"/>
    <n v="44002.188969635536"/>
  </r>
  <r>
    <s v="Sistema de Compensação"/>
    <x v="4"/>
    <x v="3"/>
    <x v="2"/>
    <x v="0"/>
    <x v="0"/>
    <x v="0"/>
    <x v="1"/>
    <x v="5"/>
    <n v="0"/>
    <n v="0"/>
    <n v="6.1769999999999996"/>
    <n v="6.1769999999999996"/>
    <n v="6.1769999999999996"/>
    <n v="6.1769999999999996"/>
    <n v="6"/>
    <x v="0"/>
    <n v="0"/>
    <n v="0"/>
    <n v="58"/>
    <n v="99"/>
    <n v="0"/>
    <n v="308.77"/>
    <n v="298.58"/>
    <m/>
    <n v="357.07977884610415"/>
    <n v="287.78033622605028"/>
    <n v="0"/>
    <n v="1907.2722899999997"/>
    <n v="1844.3286599999997"/>
    <n v="0"/>
    <n v="2205.6817939323851"/>
    <n v="1777.6191368683126"/>
  </r>
  <r>
    <s v="Regular"/>
    <x v="4"/>
    <x v="3"/>
    <x v="3"/>
    <x v="1"/>
    <x v="0"/>
    <x v="0"/>
    <x v="1"/>
    <x v="6"/>
    <n v="0"/>
    <n v="0"/>
    <n v="42.679000000000002"/>
    <n v="42.679000000000002"/>
    <n v="42.679000000000002"/>
    <n v="42.679000000000002"/>
    <n v="49"/>
    <x v="0"/>
    <n v="0"/>
    <n v="0"/>
    <n v="58"/>
    <n v="99"/>
    <n v="0"/>
    <n v="290.24379999999996"/>
    <n v="280.66519999999997"/>
    <m/>
    <n v="346.367385480721"/>
    <n v="279.14692613926877"/>
    <n v="0"/>
    <n v="12387.315140199998"/>
    <n v="11978.510070799999"/>
    <n v="0"/>
    <n v="14782.613644931693"/>
    <n v="11913.711660697852"/>
  </r>
  <r>
    <s v="Regular"/>
    <x v="4"/>
    <x v="3"/>
    <x v="3"/>
    <x v="1"/>
    <x v="0"/>
    <x v="0"/>
    <x v="1"/>
    <x v="7"/>
    <n v="0"/>
    <n v="0"/>
    <n v="50.063000000000002"/>
    <n v="50.063000000000002"/>
    <n v="50.063000000000002"/>
    <n v="50.063000000000002"/>
    <n v="49"/>
    <x v="0"/>
    <n v="0"/>
    <n v="0"/>
    <n v="58"/>
    <n v="99"/>
    <n v="0"/>
    <n v="290.24379999999996"/>
    <n v="280.66519999999997"/>
    <m/>
    <n v="346.367385480721"/>
    <n v="279.14692613926877"/>
    <n v="0"/>
    <n v="14530.475359399999"/>
    <n v="14050.941907599999"/>
    <n v="0"/>
    <n v="17340.190419321338"/>
    <n v="13974.932563310213"/>
  </r>
  <r>
    <s v="Regular"/>
    <x v="4"/>
    <x v="3"/>
    <x v="3"/>
    <x v="1"/>
    <x v="0"/>
    <x v="0"/>
    <x v="1"/>
    <x v="8"/>
    <n v="0"/>
    <n v="0"/>
    <n v="49.665999999999997"/>
    <n v="49.665999999999997"/>
    <n v="49.665999999999997"/>
    <n v="49.665999999999997"/>
    <n v="49"/>
    <x v="0"/>
    <n v="0"/>
    <n v="0"/>
    <n v="58"/>
    <n v="99"/>
    <n v="0"/>
    <n v="290.24379999999996"/>
    <n v="280.66519999999997"/>
    <m/>
    <n v="346.367385480721"/>
    <n v="279.14692613926877"/>
    <n v="0"/>
    <n v="14415.248570799997"/>
    <n v="13939.517823199998"/>
    <n v="0"/>
    <n v="17202.682567285487"/>
    <n v="13864.111233632922"/>
  </r>
  <r>
    <s v="Regular"/>
    <x v="4"/>
    <x v="3"/>
    <x v="3"/>
    <x v="1"/>
    <x v="0"/>
    <x v="0"/>
    <x v="1"/>
    <x v="9"/>
    <n v="0"/>
    <n v="0"/>
    <n v="46.872"/>
    <n v="46.872"/>
    <n v="46.872"/>
    <n v="46.872"/>
    <n v="49"/>
    <x v="0"/>
    <n v="0"/>
    <n v="0"/>
    <n v="58"/>
    <n v="99"/>
    <n v="0"/>
    <n v="290.24379999999996"/>
    <n v="280.66519999999997"/>
    <m/>
    <n v="346.367385480721"/>
    <n v="279.14692613926877"/>
    <n v="0"/>
    <n v="13604.307393599998"/>
    <n v="13155.339254399998"/>
    <n v="0"/>
    <n v="16234.932092252355"/>
    <n v="13084.174721999805"/>
  </r>
  <r>
    <s v="Regular"/>
    <x v="4"/>
    <x v="3"/>
    <x v="3"/>
    <x v="1"/>
    <x v="0"/>
    <x v="0"/>
    <x v="1"/>
    <x v="10"/>
    <n v="0"/>
    <n v="0"/>
    <n v="44.296999999999997"/>
    <n v="44.296999999999997"/>
    <n v="44.296999999999997"/>
    <n v="44.296999999999997"/>
    <n v="49"/>
    <x v="0"/>
    <n v="0"/>
    <n v="0"/>
    <n v="58"/>
    <n v="99"/>
    <n v="0"/>
    <n v="290.24379999999996"/>
    <n v="280.66519999999997"/>
    <m/>
    <n v="346.367385480721"/>
    <n v="279.14692613926877"/>
    <n v="0"/>
    <n v="12856.929608599998"/>
    <n v="12432.626364399997"/>
    <n v="0"/>
    <n v="15343.036074639496"/>
    <n v="12365.371387191188"/>
  </r>
  <r>
    <s v="Regular"/>
    <x v="4"/>
    <x v="3"/>
    <x v="3"/>
    <x v="1"/>
    <x v="0"/>
    <x v="0"/>
    <x v="1"/>
    <x v="11"/>
    <n v="0"/>
    <n v="0"/>
    <n v="44.539000000000001"/>
    <n v="44.539000000000001"/>
    <n v="44.539000000000001"/>
    <n v="44.539000000000001"/>
    <n v="49"/>
    <x v="0"/>
    <n v="0"/>
    <n v="0"/>
    <n v="58"/>
    <n v="99"/>
    <n v="0"/>
    <n v="290.24379999999996"/>
    <n v="280.66519999999997"/>
    <m/>
    <n v="346.367385480721"/>
    <n v="279.14692613926877"/>
    <n v="0"/>
    <n v="12927.1686082"/>
    <n v="12500.547342799999"/>
    <n v="0"/>
    <n v="15426.856981925834"/>
    <n v="12432.924943316892"/>
  </r>
  <r>
    <s v="Regular"/>
    <x v="4"/>
    <x v="3"/>
    <x v="3"/>
    <x v="1"/>
    <x v="0"/>
    <x v="0"/>
    <x v="1"/>
    <x v="3"/>
    <n v="0"/>
    <n v="0"/>
    <n v="57.579000000000001"/>
    <n v="57.579000000000001"/>
    <n v="57.579000000000001"/>
    <n v="57.579000000000001"/>
    <n v="51"/>
    <x v="0"/>
    <n v="0"/>
    <n v="0"/>
    <n v="58"/>
    <n v="99"/>
    <n v="0"/>
    <n v="290.24379999999996"/>
    <n v="280.66519999999997"/>
    <m/>
    <n v="346.367385480721"/>
    <n v="279.14692613926877"/>
    <n v="0"/>
    <n v="16711.947760199997"/>
    <n v="16160.421550799998"/>
    <n v="0"/>
    <n v="19943.487688594436"/>
    <n v="16073.000860172957"/>
  </r>
  <r>
    <s v="Regular"/>
    <x v="4"/>
    <x v="3"/>
    <x v="3"/>
    <x v="1"/>
    <x v="0"/>
    <x v="0"/>
    <x v="1"/>
    <x v="0"/>
    <n v="0"/>
    <n v="0"/>
    <n v="61.433999999999997"/>
    <n v="61.433999999999997"/>
    <n v="61.433999999999997"/>
    <n v="61.433999999999997"/>
    <n v="51"/>
    <x v="0"/>
    <n v="0"/>
    <n v="0"/>
    <n v="58"/>
    <n v="99"/>
    <n v="0"/>
    <n v="290.24379999999996"/>
    <n v="280.66519999999997"/>
    <m/>
    <n v="346.367385480721"/>
    <n v="279.14692613926877"/>
    <n v="0"/>
    <n v="17830.837609199996"/>
    <n v="17242.385896799999"/>
    <n v="0"/>
    <n v="21278.733959622612"/>
    <n v="17149.112260439837"/>
  </r>
  <r>
    <s v="Regular"/>
    <x v="4"/>
    <x v="3"/>
    <x v="3"/>
    <x v="1"/>
    <x v="0"/>
    <x v="0"/>
    <x v="1"/>
    <x v="4"/>
    <n v="0"/>
    <n v="0"/>
    <n v="66.64"/>
    <n v="66.64"/>
    <n v="66.64"/>
    <n v="66.64"/>
    <n v="51"/>
    <x v="0"/>
    <n v="0"/>
    <n v="0"/>
    <n v="58"/>
    <n v="99"/>
    <n v="0"/>
    <n v="290.24379999999996"/>
    <n v="280.66519999999997"/>
    <m/>
    <n v="346.367385480721"/>
    <n v="279.14692613926877"/>
    <n v="0"/>
    <n v="19341.846831999999"/>
    <n v="18703.528928"/>
    <n v="0"/>
    <n v="23081.922568435246"/>
    <n v="18602.351157920872"/>
  </r>
  <r>
    <s v="Regular"/>
    <x v="4"/>
    <x v="3"/>
    <x v="3"/>
    <x v="1"/>
    <x v="0"/>
    <x v="0"/>
    <x v="1"/>
    <x v="1"/>
    <n v="0"/>
    <n v="0"/>
    <n v="65.355000000000004"/>
    <n v="65.355000000000004"/>
    <n v="65.355000000000004"/>
    <n v="65.355000000000004"/>
    <n v="51"/>
    <x v="0"/>
    <n v="0"/>
    <n v="0"/>
    <n v="58"/>
    <n v="99"/>
    <n v="0"/>
    <n v="290.24379999999996"/>
    <n v="280.66519999999997"/>
    <m/>
    <n v="346.367385480721"/>
    <n v="279.14692613926877"/>
    <n v="0"/>
    <n v="18968.883548999998"/>
    <n v="18342.874145999998"/>
    <n v="0"/>
    <n v="22636.840478092523"/>
    <n v="18243.647357831913"/>
  </r>
  <r>
    <s v="Regular"/>
    <x v="4"/>
    <x v="3"/>
    <x v="3"/>
    <x v="1"/>
    <x v="0"/>
    <x v="0"/>
    <x v="1"/>
    <x v="2"/>
    <n v="0"/>
    <n v="0"/>
    <n v="63.993000000000002"/>
    <n v="63.993000000000002"/>
    <n v="63.993000000000002"/>
    <n v="63.993000000000002"/>
    <n v="50"/>
    <x v="0"/>
    <n v="0"/>
    <n v="0"/>
    <n v="58"/>
    <n v="99"/>
    <n v="0"/>
    <n v="290.24379999999996"/>
    <n v="280.66519999999997"/>
    <m/>
    <n v="346.367385480721"/>
    <n v="279.14692613926877"/>
    <n v="0"/>
    <n v="18573.571493399999"/>
    <n v="17960.608143599999"/>
    <n v="0"/>
    <n v="22165.08809906778"/>
    <n v="17863.449244430227"/>
  </r>
  <r>
    <s v="Regular"/>
    <x v="4"/>
    <x v="3"/>
    <x v="3"/>
    <x v="1"/>
    <x v="0"/>
    <x v="0"/>
    <x v="1"/>
    <x v="5"/>
    <n v="0"/>
    <n v="0"/>
    <n v="65.480999999999995"/>
    <n v="65.480999999999995"/>
    <n v="65.480999999999995"/>
    <n v="65.480999999999995"/>
    <n v="50"/>
    <x v="0"/>
    <n v="0"/>
    <n v="0"/>
    <n v="58"/>
    <n v="99"/>
    <n v="0"/>
    <n v="290.24379999999996"/>
    <n v="280.66519999999997"/>
    <m/>
    <n v="346.367385480721"/>
    <n v="279.14692613926877"/>
    <n v="0"/>
    <n v="19005.454267799996"/>
    <n v="18378.237961199997"/>
    <n v="0"/>
    <n v="22680.482768663089"/>
    <n v="18278.819870525458"/>
  </r>
  <r>
    <s v="Regular"/>
    <x v="5"/>
    <x v="3"/>
    <x v="7"/>
    <x v="7"/>
    <x v="0"/>
    <x v="0"/>
    <x v="1"/>
    <x v="6"/>
    <n v="0"/>
    <n v="0"/>
    <n v="993.76"/>
    <n v="993.76"/>
    <n v="993.76"/>
    <n v="993.76"/>
    <n v="1"/>
    <x v="0"/>
    <n v="0"/>
    <n v="0"/>
    <n v="60"/>
    <n v="101"/>
    <n v="0"/>
    <n v="169.82"/>
    <n v="164.22"/>
    <m/>
    <n v="196.3938783653573"/>
    <n v="158.27918492432764"/>
    <n v="0"/>
    <n v="168760.32319999998"/>
    <n v="163195.2672"/>
    <n v="0"/>
    <n v="195168.38056435747"/>
    <n v="157291.52281039982"/>
  </r>
  <r>
    <s v="Regular"/>
    <x v="5"/>
    <x v="3"/>
    <x v="7"/>
    <x v="7"/>
    <x v="0"/>
    <x v="0"/>
    <x v="1"/>
    <x v="7"/>
    <n v="0"/>
    <n v="0"/>
    <n v="1093.136"/>
    <n v="1093.136"/>
    <n v="1093.136"/>
    <n v="1093.136"/>
    <n v="1"/>
    <x v="0"/>
    <n v="0"/>
    <n v="0"/>
    <n v="60"/>
    <n v="101"/>
    <n v="0"/>
    <n v="169.82"/>
    <n v="164.22"/>
    <m/>
    <n v="196.3938783653573"/>
    <n v="158.27918492432764"/>
    <n v="0"/>
    <n v="185636.35551999998"/>
    <n v="179514.79392"/>
    <n v="0"/>
    <n v="214685.2186207932"/>
    <n v="173020.6750914398"/>
  </r>
  <r>
    <s v="Regular"/>
    <x v="5"/>
    <x v="3"/>
    <x v="7"/>
    <x v="7"/>
    <x v="0"/>
    <x v="0"/>
    <x v="1"/>
    <x v="8"/>
    <n v="0"/>
    <n v="0"/>
    <n v="1093.135"/>
    <n v="1093.135"/>
    <n v="1093.135"/>
    <n v="1093.135"/>
    <n v="1"/>
    <x v="0"/>
    <n v="0"/>
    <n v="0"/>
    <n v="60"/>
    <n v="101"/>
    <n v="0"/>
    <n v="169.82"/>
    <n v="164.22"/>
    <m/>
    <n v="196.3938783653573"/>
    <n v="158.27918492432764"/>
    <n v="0"/>
    <n v="185636.1857"/>
    <n v="179514.62969999999"/>
    <n v="0"/>
    <n v="214685.02222691485"/>
    <n v="173020.51681225488"/>
  </r>
  <r>
    <s v="Regular"/>
    <x v="5"/>
    <x v="3"/>
    <x v="7"/>
    <x v="7"/>
    <x v="0"/>
    <x v="0"/>
    <x v="1"/>
    <x v="9"/>
    <n v="0"/>
    <n v="0"/>
    <n v="1026.885"/>
    <n v="1026.885"/>
    <n v="1026.885"/>
    <n v="1026.885"/>
    <n v="1"/>
    <x v="0"/>
    <n v="0"/>
    <n v="0"/>
    <n v="60"/>
    <n v="101"/>
    <n v="0"/>
    <n v="169.82"/>
    <n v="164.22"/>
    <m/>
    <n v="196.3938783653573"/>
    <n v="158.27918492432764"/>
    <n v="0"/>
    <n v="174385.61069999999"/>
    <n v="168635.05470000001"/>
    <n v="0"/>
    <n v="201673.92778520993"/>
    <n v="162534.52081101818"/>
  </r>
  <r>
    <s v="Regular"/>
    <x v="5"/>
    <x v="3"/>
    <x v="7"/>
    <x v="7"/>
    <x v="0"/>
    <x v="0"/>
    <x v="1"/>
    <x v="10"/>
    <n v="0"/>
    <n v="0"/>
    <n v="1026.885"/>
    <n v="1026.885"/>
    <n v="1026.885"/>
    <n v="1026.885"/>
    <n v="1"/>
    <x v="0"/>
    <n v="0"/>
    <n v="0"/>
    <n v="60"/>
    <n v="101"/>
    <n v="0"/>
    <n v="169.82"/>
    <n v="164.22"/>
    <m/>
    <n v="196.3938783653573"/>
    <n v="158.27918492432764"/>
    <n v="0"/>
    <n v="174385.61069999999"/>
    <n v="168635.05470000001"/>
    <n v="0"/>
    <n v="201673.92778520993"/>
    <n v="162534.52081101818"/>
  </r>
  <r>
    <s v="Regular"/>
    <x v="5"/>
    <x v="3"/>
    <x v="7"/>
    <x v="7"/>
    <x v="0"/>
    <x v="0"/>
    <x v="1"/>
    <x v="11"/>
    <n v="0"/>
    <n v="0"/>
    <n v="993.76"/>
    <n v="993.76"/>
    <n v="993.76"/>
    <n v="993.76"/>
    <n v="1"/>
    <x v="0"/>
    <n v="0"/>
    <n v="0"/>
    <n v="60"/>
    <n v="101"/>
    <n v="0"/>
    <n v="169.82"/>
    <n v="164.22"/>
    <m/>
    <n v="196.3938783653573"/>
    <n v="158.27918492432764"/>
    <n v="0"/>
    <n v="168760.32319999998"/>
    <n v="163195.2672"/>
    <n v="0"/>
    <n v="195168.38056435747"/>
    <n v="157291.52281039982"/>
  </r>
  <r>
    <s v="Regular"/>
    <x v="5"/>
    <x v="3"/>
    <x v="7"/>
    <x v="7"/>
    <x v="0"/>
    <x v="0"/>
    <x v="1"/>
    <x v="3"/>
    <n v="0"/>
    <n v="0"/>
    <n v="1026.885"/>
    <n v="1026.885"/>
    <n v="1026.885"/>
    <n v="1026.885"/>
    <n v="1"/>
    <x v="0"/>
    <n v="0"/>
    <n v="0"/>
    <n v="60"/>
    <n v="101"/>
    <n v="0"/>
    <n v="169.82"/>
    <n v="164.22"/>
    <m/>
    <n v="196.3938783653573"/>
    <n v="158.27918492432764"/>
    <n v="0"/>
    <n v="174385.61069999999"/>
    <n v="168635.05470000001"/>
    <n v="0"/>
    <n v="201673.92778520993"/>
    <n v="162534.52081101818"/>
  </r>
  <r>
    <s v="Regular"/>
    <x v="5"/>
    <x v="3"/>
    <x v="7"/>
    <x v="7"/>
    <x v="0"/>
    <x v="0"/>
    <x v="1"/>
    <x v="0"/>
    <n v="0"/>
    <n v="0"/>
    <n v="899.43499999999995"/>
    <n v="899.43499999999995"/>
    <n v="899.43499999999995"/>
    <n v="899.43499999999995"/>
    <n v="1"/>
    <x v="0"/>
    <n v="0"/>
    <n v="0"/>
    <n v="60"/>
    <n v="101"/>
    <n v="0"/>
    <n v="169.82"/>
    <n v="164.22"/>
    <m/>
    <n v="196.3938783653573"/>
    <n v="158.27918492432764"/>
    <n v="0"/>
    <n v="152742.05169999998"/>
    <n v="147705.2157"/>
    <n v="0"/>
    <n v="176643.52798754512"/>
    <n v="142361.83869241262"/>
  </r>
  <r>
    <s v="Regular"/>
    <x v="5"/>
    <x v="3"/>
    <x v="7"/>
    <x v="7"/>
    <x v="0"/>
    <x v="0"/>
    <x v="1"/>
    <x v="4"/>
    <n v="0"/>
    <n v="0"/>
    <n v="858.42399999999998"/>
    <n v="858.42399999999998"/>
    <n v="858.42399999999998"/>
    <n v="858.42399999999998"/>
    <n v="1"/>
    <x v="0"/>
    <n v="0"/>
    <n v="0"/>
    <n v="60"/>
    <n v="101"/>
    <n v="0"/>
    <n v="169.82"/>
    <n v="164.22"/>
    <m/>
    <n v="196.3938783653573"/>
    <n v="158.27918492432764"/>
    <n v="0"/>
    <n v="145777.56367999999"/>
    <n v="140970.38928"/>
    <n v="0"/>
    <n v="168589.21864190346"/>
    <n v="135870.65103948102"/>
  </r>
  <r>
    <s v="Regular"/>
    <x v="5"/>
    <x v="3"/>
    <x v="7"/>
    <x v="7"/>
    <x v="0"/>
    <x v="0"/>
    <x v="1"/>
    <x v="1"/>
    <n v="0"/>
    <n v="0"/>
    <n v="1004.369"/>
    <n v="1004.369"/>
    <n v="1004.369"/>
    <n v="1004.369"/>
    <n v="1"/>
    <x v="0"/>
    <n v="0"/>
    <n v="0"/>
    <n v="60"/>
    <n v="101"/>
    <n v="0"/>
    <n v="169.82"/>
    <n v="164.22"/>
    <m/>
    <n v="196.3938783653573"/>
    <n v="158.27918492432764"/>
    <n v="0"/>
    <n v="170561.94357999999"/>
    <n v="164937.47718000002"/>
    <n v="0"/>
    <n v="197251.92321993556"/>
    <n v="158970.70668326202"/>
  </r>
  <r>
    <s v="Regular"/>
    <x v="5"/>
    <x v="3"/>
    <x v="7"/>
    <x v="7"/>
    <x v="0"/>
    <x v="0"/>
    <x v="1"/>
    <x v="2"/>
    <n v="0"/>
    <n v="0"/>
    <n v="1044.548"/>
    <n v="1044.548"/>
    <n v="1044.548"/>
    <n v="1044.548"/>
    <n v="1"/>
    <x v="0"/>
    <n v="0"/>
    <n v="0"/>
    <n v="60"/>
    <n v="101"/>
    <n v="0"/>
    <n v="169.82"/>
    <n v="164.22"/>
    <m/>
    <n v="196.3938783653573"/>
    <n v="158.27918492432764"/>
    <n v="0"/>
    <n v="177385.14135999998"/>
    <n v="171535.67256000001"/>
    <n v="0"/>
    <n v="205142.83285877723"/>
    <n v="165330.2060543366"/>
  </r>
  <r>
    <s v="Regular"/>
    <x v="5"/>
    <x v="3"/>
    <x v="7"/>
    <x v="7"/>
    <x v="0"/>
    <x v="0"/>
    <x v="1"/>
    <x v="5"/>
    <n v="0"/>
    <n v="0"/>
    <n v="1139.2840000000001"/>
    <n v="1139.2840000000001"/>
    <n v="1139.2840000000001"/>
    <n v="1139.2840000000001"/>
    <n v="1"/>
    <x v="0"/>
    <n v="0"/>
    <n v="0"/>
    <n v="60"/>
    <n v="101"/>
    <n v="0"/>
    <n v="169.82"/>
    <n v="164.22"/>
    <m/>
    <n v="196.3938783653573"/>
    <n v="158.27918492432764"/>
    <n v="0"/>
    <n v="193473.20888000002"/>
    <n v="187093.21848000001"/>
    <n v="0"/>
    <n v="223748.40331959774"/>
    <n v="180324.9429173277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7">
  <r>
    <s v="Sistema de Compensação"/>
    <x v="0"/>
    <x v="0"/>
    <s v="Comercial"/>
    <x v="0"/>
    <x v="0"/>
    <s v="Não se aplica"/>
    <x v="0"/>
    <x v="0"/>
    <n v="0"/>
    <n v="0"/>
    <n v="2E-3"/>
    <n v="2E-3"/>
    <n v="2E-3"/>
    <n v="2E-3"/>
    <n v="0"/>
    <s v="CATIVO"/>
    <n v="0"/>
    <s v="44562A3aVerdeNão se aplicaNão se aplicaNão se aplicaNão se aplicaFora ponta"/>
    <s v="44562A3aEnergia horáriaNão se aplicaNão se aplicaNão se aplicaNão se aplicaFora ponta"/>
    <n v="0"/>
    <n v="8"/>
    <n v="63"/>
  </r>
  <r>
    <s v="Sistema de Compensação"/>
    <x v="0"/>
    <x v="0"/>
    <s v="Comercial"/>
    <x v="0"/>
    <x v="0"/>
    <s v="Não se aplica"/>
    <x v="0"/>
    <x v="1"/>
    <n v="0"/>
    <n v="0"/>
    <n v="1E-3"/>
    <n v="1E-3"/>
    <n v="1E-3"/>
    <n v="1E-3"/>
    <n v="0"/>
    <s v="CATIVO"/>
    <n v="0"/>
    <s v="44621A3aVerdeNão se aplicaNão se aplicaNão se aplicaNão se aplicaFora ponta"/>
    <s v="44621A3aEnergia horáriaNão se aplicaNão se aplicaNão se aplicaNão se aplicaFora ponta"/>
    <n v="0"/>
    <n v="8"/>
    <n v="63"/>
  </r>
  <r>
    <s v="Sistema de Compensação"/>
    <x v="0"/>
    <x v="0"/>
    <s v="Comercial"/>
    <x v="0"/>
    <x v="0"/>
    <s v="Não se aplica"/>
    <x v="0"/>
    <x v="2"/>
    <n v="0"/>
    <n v="0"/>
    <n v="2E-3"/>
    <n v="2E-3"/>
    <n v="2E-3"/>
    <n v="2E-3"/>
    <n v="0"/>
    <s v="CATIVO"/>
    <n v="0"/>
    <s v="44652A3aVerdeNão se aplicaNão se aplicaNão se aplicaNão se aplicaFora ponta"/>
    <s v="44652A3aEnergia horáriaNão se aplicaNão se aplicaNão se aplicaNão se aplicaFora ponta"/>
    <n v="0"/>
    <n v="8"/>
    <n v="63"/>
  </r>
  <r>
    <s v="Sistema de Compensação"/>
    <x v="0"/>
    <x v="0"/>
    <s v="Comercial"/>
    <x v="0"/>
    <x v="0"/>
    <s v="Não se aplica"/>
    <x v="1"/>
    <x v="3"/>
    <n v="636"/>
    <n v="636"/>
    <n v="0"/>
    <n v="0"/>
    <n v="0"/>
    <n v="0"/>
    <n v="6"/>
    <s v="CATIVO"/>
    <n v="0"/>
    <s v="44531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1"/>
    <x v="0"/>
    <n v="639"/>
    <n v="639"/>
    <n v="0"/>
    <n v="0"/>
    <n v="0"/>
    <n v="0"/>
    <n v="6"/>
    <s v="CATIVO"/>
    <n v="0"/>
    <s v="44562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1"/>
    <x v="4"/>
    <n v="632"/>
    <n v="632"/>
    <n v="0"/>
    <n v="0"/>
    <n v="0"/>
    <n v="0"/>
    <n v="6"/>
    <s v="CATIVO"/>
    <n v="0"/>
    <s v="44593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1"/>
    <x v="1"/>
    <n v="633"/>
    <n v="633"/>
    <n v="0"/>
    <n v="0"/>
    <n v="0"/>
    <n v="0"/>
    <n v="6"/>
    <s v="CATIVO"/>
    <n v="0"/>
    <s v="44621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1"/>
    <x v="2"/>
    <n v="631"/>
    <n v="631"/>
    <n v="0"/>
    <n v="0"/>
    <n v="0"/>
    <n v="0"/>
    <n v="6"/>
    <s v="CATIVO"/>
    <n v="0"/>
    <s v="44652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1"/>
    <x v="5"/>
    <n v="648"/>
    <n v="648"/>
    <n v="0"/>
    <n v="0"/>
    <n v="0"/>
    <n v="0"/>
    <n v="6"/>
    <s v="CATIVO"/>
    <n v="0"/>
    <s v="44682A3aVerdeNão se aplicaNão se aplicaNão se aplicaNão se aplicaNão se aplica"/>
    <m/>
    <n v="6"/>
    <n v="0"/>
    <n v="0"/>
  </r>
  <r>
    <s v="Sistema de Compensação"/>
    <x v="0"/>
    <x v="0"/>
    <s v="Comercial"/>
    <x v="0"/>
    <x v="0"/>
    <s v="Não se aplica"/>
    <x v="2"/>
    <x v="0"/>
    <n v="0"/>
    <n v="0"/>
    <n v="3.0000000000000001E-3"/>
    <n v="3.0000000000000001E-3"/>
    <n v="3.0000000000000001E-3"/>
    <n v="3.0000000000000001E-3"/>
    <n v="0"/>
    <s v="CATIVO"/>
    <n v="0"/>
    <s v="44562A3aVerdeNão se aplicaNão se aplicaNão se aplicaNão se aplicaPonta"/>
    <s v="44562A3aEnergia horáriaNão se aplicaNão se aplicaNão se aplicaNão se aplicaPonta"/>
    <n v="0"/>
    <n v="7"/>
    <n v="62"/>
  </r>
  <r>
    <s v="Sistema de Compensação"/>
    <x v="0"/>
    <x v="0"/>
    <s v="Comercial"/>
    <x v="0"/>
    <x v="0"/>
    <s v="Não se aplica"/>
    <x v="2"/>
    <x v="4"/>
    <n v="0"/>
    <n v="0"/>
    <n v="2E-3"/>
    <n v="2E-3"/>
    <n v="2E-3"/>
    <n v="2E-3"/>
    <n v="0"/>
    <s v="CATIVO"/>
    <n v="0"/>
    <s v="44593A3aVerdeNão se aplicaNão se aplicaNão se aplicaNão se aplicaPonta"/>
    <s v="44593A3aEnergia horáriaNão se aplicaNão se aplicaNão se aplicaNão se aplicaPonta"/>
    <n v="0"/>
    <n v="7"/>
    <n v="62"/>
  </r>
  <r>
    <s v="Sistema de Compensação"/>
    <x v="0"/>
    <x v="0"/>
    <s v="Comercial"/>
    <x v="0"/>
    <x v="0"/>
    <s v="Não se aplica"/>
    <x v="2"/>
    <x v="1"/>
    <n v="0"/>
    <n v="0"/>
    <n v="1E-3"/>
    <n v="1E-3"/>
    <n v="1E-3"/>
    <n v="1E-3"/>
    <n v="0"/>
    <s v="CATIVO"/>
    <n v="0"/>
    <s v="44621A3aVerdeNão se aplicaNão se aplicaNão se aplicaNão se aplicaPonta"/>
    <s v="44621A3aEnergia horáriaNão se aplicaNão se aplicaNão se aplicaNão se aplicaPonta"/>
    <n v="0"/>
    <n v="7"/>
    <n v="62"/>
  </r>
  <r>
    <s v="Sistema de Compensação"/>
    <x v="0"/>
    <x v="0"/>
    <s v="Comercial"/>
    <x v="0"/>
    <x v="0"/>
    <s v="Não se aplica"/>
    <x v="2"/>
    <x v="2"/>
    <n v="0"/>
    <n v="0"/>
    <n v="1E-3"/>
    <n v="1E-3"/>
    <n v="1E-3"/>
    <n v="1E-3"/>
    <n v="0"/>
    <s v="CATIVO"/>
    <n v="0"/>
    <s v="44652A3aVerdeNão se aplicaNão se aplicaNão se aplicaNão se aplicaPonta"/>
    <s v="44652A3aEnergia horáriaNão se aplicaNão se aplicaNão se aplicaNão se aplicaPonta"/>
    <n v="0"/>
    <n v="7"/>
    <n v="62"/>
  </r>
  <r>
    <s v="Regular"/>
    <x v="0"/>
    <x v="0"/>
    <s v="Industrial"/>
    <x v="0"/>
    <x v="1"/>
    <s v="Não se aplica"/>
    <x v="0"/>
    <x v="6"/>
    <n v="0"/>
    <n v="0"/>
    <n v="376.49400000000003"/>
    <n v="376.49400000000003"/>
    <n v="0"/>
    <n v="0"/>
    <n v="0"/>
    <s v="LIVRE"/>
    <n v="0"/>
    <s v="44348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7"/>
    <n v="0"/>
    <n v="0"/>
    <n v="381.70499999999998"/>
    <n v="381.70499999999998"/>
    <n v="0"/>
    <n v="0"/>
    <n v="0"/>
    <s v="LIVRE"/>
    <n v="0"/>
    <s v="44378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8"/>
    <n v="0"/>
    <n v="0"/>
    <n v="336.59899999999999"/>
    <n v="336.59899999999999"/>
    <n v="0"/>
    <n v="0"/>
    <n v="0"/>
    <s v="LIVRE"/>
    <n v="0"/>
    <s v="44409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9"/>
    <n v="0"/>
    <n v="0"/>
    <n v="346.28800000000001"/>
    <n v="346.28800000000001"/>
    <n v="0"/>
    <n v="0"/>
    <n v="0"/>
    <s v="LIVRE"/>
    <n v="0"/>
    <s v="44440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10"/>
    <n v="0"/>
    <n v="0"/>
    <n v="373.08699999999999"/>
    <n v="373.08699999999999"/>
    <n v="0"/>
    <n v="0"/>
    <n v="0"/>
    <s v="LIVRE"/>
    <n v="0"/>
    <s v="44470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11"/>
    <n v="0"/>
    <n v="0"/>
    <n v="314.17099999999999"/>
    <n v="314.17099999999999"/>
    <n v="0"/>
    <n v="0"/>
    <n v="0"/>
    <s v="LIVRE"/>
    <n v="0"/>
    <s v="44501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3"/>
    <n v="0"/>
    <n v="0"/>
    <n v="296.71800000000002"/>
    <n v="296.71800000000002"/>
    <n v="0"/>
    <n v="0"/>
    <n v="0"/>
    <s v="LIVRE"/>
    <n v="0"/>
    <s v="44531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0"/>
    <n v="0"/>
    <n v="0"/>
    <n v="302.404"/>
    <n v="302.404"/>
    <n v="0"/>
    <n v="0"/>
    <n v="0"/>
    <s v="LIVRE"/>
    <n v="0"/>
    <s v="44562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4"/>
    <n v="0"/>
    <n v="0"/>
    <n v="309.673"/>
    <n v="309.673"/>
    <n v="0"/>
    <n v="0"/>
    <n v="0"/>
    <s v="LIVRE"/>
    <n v="0"/>
    <s v="44593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1"/>
    <n v="0"/>
    <n v="0"/>
    <n v="315.755"/>
    <n v="315.755"/>
    <n v="0"/>
    <n v="0"/>
    <n v="0"/>
    <s v="LIVRE"/>
    <n v="0"/>
    <s v="44621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2"/>
    <n v="0"/>
    <n v="0"/>
    <n v="367.464"/>
    <n v="367.464"/>
    <n v="0"/>
    <n v="0"/>
    <n v="0"/>
    <s v="LIVRE"/>
    <n v="0"/>
    <s v="44652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0"/>
    <x v="5"/>
    <n v="0"/>
    <n v="0"/>
    <n v="918.67"/>
    <n v="918.67"/>
    <n v="0"/>
    <n v="0"/>
    <n v="0"/>
    <s v="LIVRE"/>
    <n v="0"/>
    <s v="44682A3aVerdeNão se aplicaNão se aplicaNão se aplicaNão se aplicaFora ponta"/>
    <m/>
    <n v="0"/>
    <n v="8"/>
    <n v="0"/>
  </r>
  <r>
    <s v="Regular"/>
    <x v="0"/>
    <x v="0"/>
    <s v="Industrial"/>
    <x v="0"/>
    <x v="1"/>
    <s v="Não se aplica"/>
    <x v="1"/>
    <x v="6"/>
    <n v="2450"/>
    <n v="1225"/>
    <n v="0"/>
    <n v="0"/>
    <n v="0"/>
    <n v="0"/>
    <n v="2"/>
    <s v="LIVRE"/>
    <n v="0"/>
    <s v="44348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7"/>
    <n v="2450"/>
    <n v="1225"/>
    <n v="0"/>
    <n v="0"/>
    <n v="0"/>
    <n v="0"/>
    <n v="2"/>
    <s v="LIVRE"/>
    <n v="0"/>
    <s v="44378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8"/>
    <n v="2450"/>
    <n v="1225"/>
    <n v="0"/>
    <n v="0"/>
    <n v="0"/>
    <n v="0"/>
    <n v="2"/>
    <s v="LIVRE"/>
    <n v="0"/>
    <s v="44409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9"/>
    <n v="2462"/>
    <n v="1231"/>
    <n v="0"/>
    <n v="0"/>
    <n v="0"/>
    <n v="0"/>
    <n v="2"/>
    <s v="LIVRE"/>
    <n v="0"/>
    <s v="44440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10"/>
    <n v="2450"/>
    <n v="1225"/>
    <n v="0"/>
    <n v="0"/>
    <n v="0"/>
    <n v="0"/>
    <n v="2"/>
    <s v="LIVRE"/>
    <n v="0"/>
    <s v="44470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11"/>
    <n v="2450"/>
    <n v="1225"/>
    <n v="0"/>
    <n v="0"/>
    <n v="0"/>
    <n v="0"/>
    <n v="2"/>
    <s v="LIVRE"/>
    <n v="0"/>
    <s v="44501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3"/>
    <n v="2450"/>
    <n v="1225"/>
    <n v="0"/>
    <n v="0"/>
    <n v="0"/>
    <n v="0"/>
    <n v="2"/>
    <s v="LIVRE"/>
    <n v="0"/>
    <s v="44531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0"/>
    <n v="2450"/>
    <n v="1225"/>
    <n v="0"/>
    <n v="0"/>
    <n v="0"/>
    <n v="0"/>
    <n v="2"/>
    <s v="LIVRE"/>
    <n v="0"/>
    <s v="44562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4"/>
    <n v="2450"/>
    <n v="1225"/>
    <n v="0"/>
    <n v="0"/>
    <n v="0"/>
    <n v="0"/>
    <n v="2"/>
    <s v="LIVRE"/>
    <n v="0"/>
    <s v="44593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1"/>
    <n v="2450"/>
    <n v="1225"/>
    <n v="0"/>
    <n v="0"/>
    <n v="0"/>
    <n v="0"/>
    <n v="2"/>
    <s v="LIVRE"/>
    <n v="0"/>
    <s v="44621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2"/>
    <n v="2486"/>
    <n v="1243"/>
    <n v="0"/>
    <n v="0"/>
    <n v="0"/>
    <n v="0"/>
    <n v="2"/>
    <s v="LIVRE"/>
    <n v="0"/>
    <s v="44652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1"/>
    <x v="5"/>
    <n v="4014"/>
    <n v="2007"/>
    <n v="0"/>
    <n v="0"/>
    <n v="0"/>
    <n v="0"/>
    <n v="3"/>
    <s v="LIVRE"/>
    <n v="0"/>
    <s v="44682A3aVerdeNão se aplicaNão se aplicaNão se aplicaNão se aplicaNão se aplica"/>
    <m/>
    <n v="6"/>
    <n v="0"/>
    <n v="0"/>
  </r>
  <r>
    <s v="Regular"/>
    <x v="0"/>
    <x v="0"/>
    <s v="Industrial"/>
    <x v="0"/>
    <x v="1"/>
    <s v="Não se aplica"/>
    <x v="2"/>
    <x v="6"/>
    <n v="0"/>
    <n v="0"/>
    <n v="42.637999999999998"/>
    <n v="21.318999999999999"/>
    <n v="0"/>
    <n v="0"/>
    <n v="0"/>
    <s v="LIVRE"/>
    <n v="0"/>
    <s v="44348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7"/>
    <n v="0"/>
    <n v="0"/>
    <n v="37.92"/>
    <n v="18.96"/>
    <n v="0"/>
    <n v="0"/>
    <n v="0"/>
    <s v="LIVRE"/>
    <n v="0"/>
    <s v="44378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8"/>
    <n v="0"/>
    <n v="0"/>
    <n v="9.3849999999999998"/>
    <n v="4.6924999999999999"/>
    <n v="0"/>
    <n v="0"/>
    <n v="0"/>
    <s v="LIVRE"/>
    <n v="0"/>
    <s v="44409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9"/>
    <n v="0"/>
    <n v="0"/>
    <n v="8.7360000000000007"/>
    <n v="4.3680000000000003"/>
    <n v="0"/>
    <n v="0"/>
    <n v="0"/>
    <s v="LIVRE"/>
    <n v="0"/>
    <s v="44440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10"/>
    <n v="0"/>
    <n v="0"/>
    <n v="38.771000000000001"/>
    <n v="19.3855"/>
    <n v="0"/>
    <n v="0"/>
    <n v="0"/>
    <s v="LIVRE"/>
    <n v="0"/>
    <s v="44470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11"/>
    <n v="0"/>
    <n v="0"/>
    <n v="35.023000000000003"/>
    <n v="17.511500000000002"/>
    <n v="0"/>
    <n v="0"/>
    <n v="0"/>
    <s v="LIVRE"/>
    <n v="0"/>
    <s v="44501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3"/>
    <n v="0"/>
    <n v="0"/>
    <n v="33.156999999999996"/>
    <n v="16.578499999999998"/>
    <n v="0"/>
    <n v="0"/>
    <n v="0"/>
    <s v="LIVRE"/>
    <n v="0"/>
    <s v="44531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0"/>
    <n v="0"/>
    <n v="0"/>
    <n v="34.494"/>
    <n v="17.247"/>
    <n v="0"/>
    <n v="0"/>
    <n v="0"/>
    <s v="LIVRE"/>
    <n v="0"/>
    <s v="44562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4"/>
    <n v="0"/>
    <n v="0"/>
    <n v="30.69"/>
    <n v="15.345000000000001"/>
    <n v="0"/>
    <n v="0"/>
    <n v="0"/>
    <s v="LIVRE"/>
    <n v="0"/>
    <s v="44593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1"/>
    <n v="0"/>
    <n v="0"/>
    <n v="37.658999999999999"/>
    <n v="18.829499999999999"/>
    <n v="0"/>
    <n v="0"/>
    <n v="0"/>
    <s v="LIVRE"/>
    <n v="0"/>
    <s v="44621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2"/>
    <n v="0"/>
    <n v="0"/>
    <n v="44.530999999999999"/>
    <n v="22.265499999999999"/>
    <n v="0"/>
    <n v="0"/>
    <n v="0"/>
    <s v="LIVRE"/>
    <n v="0"/>
    <s v="44652A3aVerdeNão se aplicaNão se aplicaNão se aplicaNão se aplicaPonta"/>
    <m/>
    <n v="0"/>
    <n v="7"/>
    <n v="0"/>
  </r>
  <r>
    <s v="Regular"/>
    <x v="0"/>
    <x v="0"/>
    <s v="Industrial"/>
    <x v="0"/>
    <x v="1"/>
    <s v="Não se aplica"/>
    <x v="2"/>
    <x v="5"/>
    <n v="0"/>
    <n v="0"/>
    <n v="89.613"/>
    <n v="44.8065"/>
    <n v="0"/>
    <n v="0"/>
    <n v="0"/>
    <s v="LIVRE"/>
    <n v="0"/>
    <s v="44682A3aVerdeNão se aplicaNão se aplicaNão se aplicaNão se aplicaPonta"/>
    <m/>
    <n v="0"/>
    <n v="7"/>
    <n v="0"/>
  </r>
  <r>
    <s v="Regular"/>
    <x v="0"/>
    <x v="0"/>
    <s v="Industrial"/>
    <x v="0"/>
    <x v="0"/>
    <s v="Não se aplica"/>
    <x v="0"/>
    <x v="6"/>
    <n v="0"/>
    <n v="0"/>
    <n v="319.72199999999998"/>
    <n v="319.72199999999998"/>
    <n v="319.72199999999998"/>
    <n v="319.72199999999998"/>
    <n v="0"/>
    <s v="CATIVO"/>
    <n v="0"/>
    <s v="44348A3aVerdeNão se aplicaNão se aplicaNão se aplicaNão se aplicaFora ponta"/>
    <s v="44348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7"/>
    <n v="0"/>
    <n v="0"/>
    <n v="357.517"/>
    <n v="357.517"/>
    <n v="357.517"/>
    <n v="357.517"/>
    <n v="0"/>
    <s v="CATIVO"/>
    <n v="0"/>
    <s v="44378A3aVerdeNão se aplicaNão se aplicaNão se aplicaNão se aplicaFora ponta"/>
    <s v="44378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8"/>
    <n v="0"/>
    <n v="0"/>
    <n v="340.976"/>
    <n v="340.976"/>
    <n v="340.976"/>
    <n v="340.976"/>
    <n v="0"/>
    <s v="CATIVO"/>
    <n v="0"/>
    <s v="44409A3aVerdeNão se aplicaNão se aplicaNão se aplicaNão se aplicaFora ponta"/>
    <s v="44409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9"/>
    <n v="0"/>
    <n v="0"/>
    <n v="328.19200000000001"/>
    <n v="328.19200000000001"/>
    <n v="328.19200000000001"/>
    <n v="328.19200000000001"/>
    <n v="0"/>
    <s v="CATIVO"/>
    <n v="0"/>
    <s v="44440A3aVerdeNão se aplicaNão se aplicaNão se aplicaNão se aplicaFora ponta"/>
    <s v="44440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10"/>
    <n v="0"/>
    <n v="0"/>
    <n v="328.95499999999998"/>
    <n v="328.95499999999998"/>
    <n v="328.95499999999998"/>
    <n v="328.95499999999998"/>
    <n v="0"/>
    <s v="CATIVO"/>
    <n v="0"/>
    <s v="44470A3aVerdeNão se aplicaNão se aplicaNão se aplicaNão se aplicaFora ponta"/>
    <s v="44470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11"/>
    <n v="0"/>
    <n v="0"/>
    <n v="320.24299999999999"/>
    <n v="320.24299999999999"/>
    <n v="320.24299999999999"/>
    <n v="320.24299999999999"/>
    <n v="0"/>
    <s v="CATIVO"/>
    <n v="0"/>
    <s v="44501A3aVerdeNão se aplicaNão se aplicaNão se aplicaNão se aplicaFora ponta"/>
    <s v="44501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3"/>
    <n v="0"/>
    <n v="0"/>
    <n v="296.29300000000001"/>
    <n v="296.29300000000001"/>
    <n v="296.29300000000001"/>
    <n v="296.29300000000001"/>
    <n v="0"/>
    <s v="CATIVO"/>
    <n v="0"/>
    <s v="44531A3aVerdeNão se aplicaNão se aplicaNão se aplicaNão se aplicaFora ponta"/>
    <s v="44531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0"/>
    <n v="0"/>
    <n v="0"/>
    <n v="310.31400000000002"/>
    <n v="310.31400000000002"/>
    <n v="310.31400000000002"/>
    <n v="310.31400000000002"/>
    <n v="0"/>
    <s v="CATIVO"/>
    <n v="0"/>
    <s v="44562A3aVerdeNão se aplicaNão se aplicaNão se aplicaNão se aplicaFora ponta"/>
    <s v="44562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4"/>
    <n v="0"/>
    <n v="0"/>
    <n v="296.92399999999998"/>
    <n v="296.92399999999998"/>
    <n v="296.92399999999998"/>
    <n v="296.92399999999998"/>
    <n v="0"/>
    <s v="CATIVO"/>
    <n v="0"/>
    <s v="44593A3aVerdeNão se aplicaNão se aplicaNão se aplicaNão se aplicaFora ponta"/>
    <s v="44593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1"/>
    <n v="0"/>
    <n v="0"/>
    <n v="340.31599999999997"/>
    <n v="340.31599999999997"/>
    <n v="340.31599999999997"/>
    <n v="340.31599999999997"/>
    <n v="0"/>
    <s v="CATIVO"/>
    <n v="0"/>
    <s v="44621A3aVerdeNão se aplicaNão se aplicaNão se aplicaNão se aplicaFora ponta"/>
    <s v="44621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2"/>
    <n v="0"/>
    <n v="0"/>
    <n v="310.22500000000002"/>
    <n v="310.22500000000002"/>
    <n v="310.22500000000002"/>
    <n v="310.22500000000002"/>
    <n v="0"/>
    <s v="CATIVO"/>
    <n v="0"/>
    <s v="44652A3aVerdeNão se aplicaNão se aplicaNão se aplicaNão se aplicaFora ponta"/>
    <s v="44652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0"/>
    <x v="5"/>
    <n v="0"/>
    <n v="0"/>
    <n v="333.02199999999999"/>
    <n v="333.02199999999999"/>
    <n v="333.02199999999999"/>
    <n v="333.02199999999999"/>
    <n v="0"/>
    <s v="CATIVO"/>
    <n v="0"/>
    <s v="44682A3aVerdeNão se aplicaNão se aplicaNão se aplicaNão se aplicaFora ponta"/>
    <s v="44682A3aEnergia horáriaNão se aplicaNão se aplicaNão se aplicaNão se aplicaFora ponta"/>
    <n v="0"/>
    <n v="8"/>
    <n v="63"/>
  </r>
  <r>
    <s v="Regular"/>
    <x v="0"/>
    <x v="0"/>
    <s v="Industrial"/>
    <x v="0"/>
    <x v="0"/>
    <s v="Não se aplica"/>
    <x v="1"/>
    <x v="6"/>
    <n v="1365"/>
    <n v="1365"/>
    <n v="0"/>
    <n v="0"/>
    <n v="0"/>
    <n v="0"/>
    <n v="4"/>
    <s v="CATIVO"/>
    <n v="0"/>
    <s v="44348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7"/>
    <n v="1427"/>
    <n v="1427"/>
    <n v="0"/>
    <n v="0"/>
    <n v="0"/>
    <n v="0"/>
    <n v="4"/>
    <s v="CATIVO"/>
    <n v="0"/>
    <s v="44378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8"/>
    <n v="1379"/>
    <n v="1379"/>
    <n v="0"/>
    <n v="0"/>
    <n v="0"/>
    <n v="0"/>
    <n v="4"/>
    <s v="CATIVO"/>
    <n v="0"/>
    <s v="44409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9"/>
    <n v="1272"/>
    <n v="1272"/>
    <n v="0"/>
    <n v="0"/>
    <n v="0"/>
    <n v="0"/>
    <n v="3"/>
    <s v="CATIVO"/>
    <n v="0"/>
    <s v="44440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10"/>
    <n v="1164"/>
    <n v="1164"/>
    <n v="0"/>
    <n v="0"/>
    <n v="0"/>
    <n v="0"/>
    <n v="2"/>
    <s v="CATIVO"/>
    <n v="0"/>
    <s v="44470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11"/>
    <n v="1136"/>
    <n v="1136"/>
    <n v="0"/>
    <n v="0"/>
    <n v="0"/>
    <n v="0"/>
    <n v="2"/>
    <s v="CATIVO"/>
    <n v="0"/>
    <s v="44501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3"/>
    <n v="1114"/>
    <n v="1114"/>
    <n v="0"/>
    <n v="0"/>
    <n v="0"/>
    <n v="0"/>
    <n v="2"/>
    <s v="CATIVO"/>
    <n v="0"/>
    <s v="44531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3"/>
    <n v="216"/>
    <n v="216"/>
    <n v="0"/>
    <n v="0"/>
    <n v="0"/>
    <n v="0"/>
    <n v="2"/>
    <s v="CATIVO"/>
    <n v="0"/>
    <s v="44531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0"/>
    <n v="1105"/>
    <n v="1105"/>
    <n v="0"/>
    <n v="0"/>
    <n v="0"/>
    <n v="0"/>
    <n v="2"/>
    <s v="CATIVO"/>
    <n v="0"/>
    <s v="44562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0"/>
    <n v="219"/>
    <n v="219"/>
    <n v="0"/>
    <n v="0"/>
    <n v="0"/>
    <n v="0"/>
    <n v="2"/>
    <s v="CATIVO"/>
    <n v="0"/>
    <s v="44562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4"/>
    <n v="1156"/>
    <n v="1156"/>
    <n v="0"/>
    <n v="0"/>
    <n v="0"/>
    <n v="0"/>
    <n v="2"/>
    <s v="CATIVO"/>
    <n v="0"/>
    <s v="44593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4"/>
    <n v="216"/>
    <n v="216"/>
    <n v="0"/>
    <n v="0"/>
    <n v="0"/>
    <n v="0"/>
    <n v="2"/>
    <s v="CATIVO"/>
    <n v="0"/>
    <s v="44593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1"/>
    <n v="1177"/>
    <n v="1177"/>
    <n v="0"/>
    <n v="0"/>
    <n v="0"/>
    <n v="0"/>
    <n v="2"/>
    <s v="CATIVO"/>
    <n v="0"/>
    <s v="44621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1"/>
    <n v="215"/>
    <n v="215"/>
    <n v="0"/>
    <n v="0"/>
    <n v="0"/>
    <n v="0"/>
    <n v="2"/>
    <s v="CATIVO"/>
    <n v="0"/>
    <s v="44621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2"/>
    <n v="1181"/>
    <n v="1181"/>
    <n v="0"/>
    <n v="0"/>
    <n v="0"/>
    <n v="0"/>
    <n v="2"/>
    <s v="CATIVO"/>
    <n v="0"/>
    <s v="44652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2"/>
    <n v="209"/>
    <n v="209"/>
    <n v="0"/>
    <n v="0"/>
    <n v="0"/>
    <n v="0"/>
    <n v="2"/>
    <s v="CATIVO"/>
    <n v="0"/>
    <s v="44652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1"/>
    <x v="5"/>
    <n v="1180"/>
    <n v="1180"/>
    <n v="0"/>
    <n v="0"/>
    <n v="0"/>
    <n v="0"/>
    <n v="2"/>
    <s v="CATIVO"/>
    <n v="0"/>
    <s v="44682A3aVerdeNão se aplicaNão se aplicaNão se aplicaNão se aplicaNão se aplica"/>
    <m/>
    <n v="6"/>
    <n v="0"/>
    <n v="0"/>
  </r>
  <r>
    <s v="Sistema de Compensação"/>
    <x v="0"/>
    <x v="0"/>
    <s v="Industrial"/>
    <x v="0"/>
    <x v="0"/>
    <s v="Não se aplica"/>
    <x v="1"/>
    <x v="5"/>
    <n v="218"/>
    <n v="218"/>
    <n v="0"/>
    <n v="0"/>
    <n v="0"/>
    <n v="0"/>
    <n v="2"/>
    <s v="CATIVO"/>
    <n v="0"/>
    <s v="44682A3aVerdeNão se aplicaNão se aplicaNão se aplicaNão se aplicaNão se aplica"/>
    <m/>
    <n v="6"/>
    <n v="0"/>
    <n v="0"/>
  </r>
  <r>
    <s v="Regular"/>
    <x v="0"/>
    <x v="0"/>
    <s v="Industrial"/>
    <x v="0"/>
    <x v="0"/>
    <s v="Não se aplica"/>
    <x v="2"/>
    <x v="6"/>
    <n v="0"/>
    <n v="0"/>
    <n v="21.103000000000002"/>
    <n v="21.103000000000002"/>
    <n v="21.103000000000002"/>
    <n v="21.103000000000002"/>
    <n v="0"/>
    <s v="CATIVO"/>
    <n v="0"/>
    <s v="44348A3aVerdeNão se aplicaNão se aplicaNão se aplicaNão se aplicaPonta"/>
    <s v="44348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7"/>
    <n v="0"/>
    <n v="0"/>
    <n v="24.123999999999999"/>
    <n v="24.123999999999999"/>
    <n v="24.123999999999999"/>
    <n v="24.123999999999999"/>
    <n v="0"/>
    <s v="CATIVO"/>
    <n v="0"/>
    <s v="44378A3aVerdeNão se aplicaNão se aplicaNão se aplicaNão se aplicaPonta"/>
    <s v="44378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8"/>
    <n v="0"/>
    <n v="0"/>
    <n v="21.966000000000001"/>
    <n v="21.966000000000001"/>
    <n v="21.966000000000001"/>
    <n v="21.966000000000001"/>
    <n v="0"/>
    <s v="CATIVO"/>
    <n v="0"/>
    <s v="44409A3aVerdeNão se aplicaNão se aplicaNão se aplicaNão se aplicaPonta"/>
    <s v="44409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9"/>
    <n v="0"/>
    <n v="0"/>
    <n v="20.585999999999999"/>
    <n v="20.585999999999999"/>
    <n v="20.585999999999999"/>
    <n v="20.585999999999999"/>
    <n v="0"/>
    <s v="CATIVO"/>
    <n v="0"/>
    <s v="44440A3aVerdeNão se aplicaNão se aplicaNão se aplicaNão se aplicaPonta"/>
    <s v="44440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10"/>
    <n v="0"/>
    <n v="0"/>
    <n v="19.867000000000001"/>
    <n v="19.867000000000001"/>
    <n v="19.867000000000001"/>
    <n v="19.867000000000001"/>
    <n v="0"/>
    <s v="CATIVO"/>
    <n v="0"/>
    <s v="44470A3aVerdeNão se aplicaNão se aplicaNão se aplicaNão se aplicaPonta"/>
    <s v="44470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11"/>
    <n v="0"/>
    <n v="0"/>
    <n v="18.02"/>
    <n v="18.02"/>
    <n v="18.02"/>
    <n v="18.02"/>
    <n v="0"/>
    <s v="CATIVO"/>
    <n v="0"/>
    <s v="44501A3aVerdeNão se aplicaNão se aplicaNão se aplicaNão se aplicaPonta"/>
    <s v="44501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3"/>
    <n v="0"/>
    <n v="0"/>
    <n v="18.055"/>
    <n v="18.055"/>
    <n v="18.055"/>
    <n v="18.055"/>
    <n v="0"/>
    <s v="CATIVO"/>
    <n v="0"/>
    <s v="44531A3aVerdeNão se aplicaNão se aplicaNão se aplicaNão se aplicaPonta"/>
    <s v="44531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0"/>
    <n v="0"/>
    <n v="0"/>
    <n v="16.744"/>
    <n v="16.744"/>
    <n v="16.744"/>
    <n v="16.744"/>
    <n v="0"/>
    <s v="CATIVO"/>
    <n v="0"/>
    <s v="44562A3aVerdeNão se aplicaNão se aplicaNão se aplicaNão se aplicaPonta"/>
    <s v="44562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4"/>
    <n v="0"/>
    <n v="0"/>
    <n v="18.311"/>
    <n v="18.311"/>
    <n v="18.311"/>
    <n v="18.311"/>
    <n v="0"/>
    <s v="CATIVO"/>
    <n v="0"/>
    <s v="44593A3aVerdeNão se aplicaNão se aplicaNão se aplicaNão se aplicaPonta"/>
    <s v="44593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1"/>
    <n v="0"/>
    <n v="0"/>
    <n v="19.638999999999999"/>
    <n v="19.638999999999999"/>
    <n v="19.638999999999999"/>
    <n v="19.638999999999999"/>
    <n v="0"/>
    <s v="CATIVO"/>
    <n v="0"/>
    <s v="44621A3aVerdeNão se aplicaNão se aplicaNão se aplicaNão se aplicaPonta"/>
    <s v="44621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2"/>
    <n v="0"/>
    <n v="0"/>
    <n v="17.62"/>
    <n v="17.62"/>
    <n v="17.62"/>
    <n v="17.62"/>
    <n v="0"/>
    <s v="CATIVO"/>
    <n v="0"/>
    <s v="44652A3aVerdeNão se aplicaNão se aplicaNão se aplicaNão se aplicaPonta"/>
    <s v="44652A3aEnergia horáriaNão se aplicaNão se aplicaNão se aplicaNão se aplicaPonta"/>
    <n v="0"/>
    <n v="7"/>
    <n v="62"/>
  </r>
  <r>
    <s v="Regular"/>
    <x v="0"/>
    <x v="0"/>
    <s v="Industrial"/>
    <x v="0"/>
    <x v="0"/>
    <s v="Não se aplica"/>
    <x v="2"/>
    <x v="5"/>
    <n v="0"/>
    <n v="0"/>
    <n v="19.829000000000001"/>
    <n v="19.829000000000001"/>
    <n v="19.829000000000001"/>
    <n v="19.829000000000001"/>
    <n v="0"/>
    <s v="CATIVO"/>
    <n v="0"/>
    <s v="44682A3aVerdeNão se aplicaNão se aplicaNão se aplicaNão se aplicaPonta"/>
    <s v="44682A3aEnergia horáriaNão se aplicaNão se aplicaNão se aplicaNão se aplicaPonta"/>
    <n v="0"/>
    <n v="7"/>
    <n v="62"/>
  </r>
  <r>
    <s v="Regular"/>
    <x v="1"/>
    <x v="1"/>
    <s v="Comercial"/>
    <x v="0"/>
    <x v="0"/>
    <s v="Não se aplica"/>
    <x v="0"/>
    <x v="6"/>
    <n v="220"/>
    <n v="220"/>
    <n v="44.140999999999998"/>
    <n v="44.140999999999998"/>
    <n v="44.140999999999998"/>
    <n v="44.140999999999998"/>
    <n v="0"/>
    <s v="CATIVO"/>
    <n v="0"/>
    <s v="44348A4AzulNão se aplicaNão se aplicaNão se aplicaNão se aplicaFora ponta"/>
    <s v="44348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6"/>
    <n v="4950"/>
    <n v="4950"/>
    <n v="2436.06"/>
    <n v="2436.06"/>
    <n v="0"/>
    <n v="0"/>
    <n v="0"/>
    <s v="LIVRE"/>
    <n v="0"/>
    <s v="44348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7"/>
    <n v="220"/>
    <n v="220"/>
    <n v="45.847000000000001"/>
    <n v="45.847000000000001"/>
    <n v="45.847000000000001"/>
    <n v="45.847000000000001"/>
    <n v="0"/>
    <s v="CATIVO"/>
    <n v="0"/>
    <s v="44378A4AzulNão se aplicaNão se aplicaNão se aplicaNão se aplicaFora ponta"/>
    <s v="44378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7"/>
    <n v="4950"/>
    <n v="4950"/>
    <n v="2118.0160000000001"/>
    <n v="2118.0160000000001"/>
    <n v="0"/>
    <n v="0"/>
    <n v="0"/>
    <s v="LIVRE"/>
    <n v="0"/>
    <s v="44378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8"/>
    <n v="220"/>
    <n v="220"/>
    <n v="46.393000000000001"/>
    <n v="46.393000000000001"/>
    <n v="46.393000000000001"/>
    <n v="46.393000000000001"/>
    <n v="0"/>
    <s v="CATIVO"/>
    <n v="0"/>
    <s v="44409A4AzulNão se aplicaNão se aplicaNão se aplicaNão se aplicaFora ponta"/>
    <s v="44409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8"/>
    <n v="4950"/>
    <n v="4950"/>
    <n v="2144.0639999999999"/>
    <n v="2144.0639999999999"/>
    <n v="0"/>
    <n v="0"/>
    <n v="0"/>
    <s v="LIVRE"/>
    <n v="0"/>
    <s v="44409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9"/>
    <n v="220"/>
    <n v="220"/>
    <n v="45.607999999999997"/>
    <n v="45.607999999999997"/>
    <n v="45.607999999999997"/>
    <n v="45.607999999999997"/>
    <n v="0"/>
    <s v="CATIVO"/>
    <n v="0"/>
    <s v="44440A4AzulNão se aplicaNão se aplicaNão se aplicaNão se aplicaFora ponta"/>
    <s v="44440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9"/>
    <n v="4950"/>
    <n v="4950"/>
    <n v="2520.5880000000002"/>
    <n v="2520.5880000000002"/>
    <n v="0"/>
    <n v="0"/>
    <n v="0"/>
    <s v="LIVRE"/>
    <n v="0"/>
    <s v="44440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10"/>
    <n v="220"/>
    <n v="220"/>
    <n v="46.792000000000002"/>
    <n v="46.792000000000002"/>
    <n v="46.792000000000002"/>
    <n v="46.792000000000002"/>
    <n v="0"/>
    <s v="CATIVO"/>
    <n v="0"/>
    <s v="44470A4AzulNão se aplicaNão se aplicaNão se aplicaNão se aplicaFora ponta"/>
    <s v="44470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10"/>
    <n v="5072"/>
    <n v="5072"/>
    <n v="2495.377"/>
    <n v="2495.377"/>
    <n v="0"/>
    <n v="0"/>
    <n v="0"/>
    <s v="LIVRE"/>
    <n v="0"/>
    <s v="44470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11"/>
    <n v="231"/>
    <n v="231"/>
    <n v="48.429000000000002"/>
    <n v="48.429000000000002"/>
    <n v="48.429000000000002"/>
    <n v="48.429000000000002"/>
    <n v="0"/>
    <s v="CATIVO"/>
    <n v="0"/>
    <s v="44501A4AzulNão se aplicaNão se aplicaNão se aplicaNão se aplicaFora ponta"/>
    <s v="44501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11"/>
    <n v="4959"/>
    <n v="4959"/>
    <n v="2724.451"/>
    <n v="2724.451"/>
    <n v="0"/>
    <n v="0"/>
    <n v="0"/>
    <s v="LIVRE"/>
    <n v="0"/>
    <s v="44501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3"/>
    <n v="251"/>
    <n v="251"/>
    <n v="50.93"/>
    <n v="50.93"/>
    <n v="50.93"/>
    <n v="50.93"/>
    <n v="0"/>
    <s v="CATIVO"/>
    <n v="0"/>
    <s v="44531A4AzulNão se aplicaNão se aplicaNão se aplicaNão se aplicaFora ponta"/>
    <s v="44531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3"/>
    <n v="5167"/>
    <n v="5167"/>
    <n v="2521.7220000000002"/>
    <n v="2521.7220000000002"/>
    <n v="0"/>
    <n v="0"/>
    <n v="0"/>
    <s v="LIVRE"/>
    <n v="0"/>
    <s v="44531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0"/>
    <n v="275"/>
    <n v="275"/>
    <n v="60.686"/>
    <n v="60.686"/>
    <n v="60.686"/>
    <n v="60.686"/>
    <n v="0"/>
    <s v="CATIVO"/>
    <n v="0"/>
    <s v="44562A4AzulNão se aplicaNão se aplicaNão se aplicaNão se aplicaFora ponta"/>
    <s v="44562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0"/>
    <n v="4951"/>
    <n v="4951"/>
    <n v="2388.4650000000001"/>
    <n v="2388.4650000000001"/>
    <n v="0"/>
    <n v="0"/>
    <n v="0"/>
    <s v="LIVRE"/>
    <n v="0"/>
    <s v="44562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4"/>
    <n v="240"/>
    <n v="240"/>
    <n v="49.173000000000002"/>
    <n v="49.173000000000002"/>
    <n v="49.173000000000002"/>
    <n v="49.173000000000002"/>
    <n v="0"/>
    <s v="CATIVO"/>
    <n v="0"/>
    <s v="44593A4AzulNão se aplicaNão se aplicaNão se aplicaNão se aplicaFora ponta"/>
    <s v="44593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4"/>
    <n v="4950"/>
    <n v="4950"/>
    <n v="2417.962"/>
    <n v="2417.962"/>
    <n v="0"/>
    <n v="0"/>
    <n v="0"/>
    <s v="LIVRE"/>
    <n v="0"/>
    <s v="44593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1"/>
    <n v="256"/>
    <n v="256"/>
    <n v="55.8"/>
    <n v="55.8"/>
    <n v="55.8"/>
    <n v="55.8"/>
    <n v="0"/>
    <s v="CATIVO"/>
    <n v="0"/>
    <s v="44621A4AzulNão se aplicaNão se aplicaNão se aplicaNão se aplicaFora ponta"/>
    <s v="44621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1"/>
    <n v="4994"/>
    <n v="4994"/>
    <n v="2358.5079999999998"/>
    <n v="2358.5079999999998"/>
    <n v="0"/>
    <n v="0"/>
    <n v="0"/>
    <s v="LIVRE"/>
    <n v="0"/>
    <s v="44621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2"/>
    <n v="220"/>
    <n v="220"/>
    <n v="48.951999999999998"/>
    <n v="48.951999999999998"/>
    <n v="48.951999999999998"/>
    <n v="48.951999999999998"/>
    <n v="0"/>
    <s v="CATIVO"/>
    <n v="0"/>
    <s v="44652A4AzulNão se aplicaNão se aplicaNão se aplicaNão se aplicaFora ponta"/>
    <s v="44652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2"/>
    <n v="4950"/>
    <n v="4950"/>
    <n v="2402.2979999999998"/>
    <n v="2402.2979999999998"/>
    <n v="0"/>
    <n v="0"/>
    <n v="0"/>
    <s v="LIVRE"/>
    <n v="0"/>
    <s v="44652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0"/>
    <x v="5"/>
    <n v="220"/>
    <n v="220"/>
    <n v="48.293999999999997"/>
    <n v="48.293999999999997"/>
    <n v="48.293999999999997"/>
    <n v="48.293999999999997"/>
    <n v="0"/>
    <s v="CATIVO"/>
    <n v="0"/>
    <s v="44682A4AzulNão se aplicaNão se aplicaNão se aplicaNão se aplicaFora ponta"/>
    <s v="44682A4Energia horáriaNão se aplicaNão se aplicaNão se aplicaNão se aplicaFora ponta"/>
    <n v="14"/>
    <n v="15"/>
    <n v="66"/>
  </r>
  <r>
    <s v="Regular"/>
    <x v="1"/>
    <x v="1"/>
    <s v="Comercial"/>
    <x v="0"/>
    <x v="0"/>
    <s v="Não se aplica"/>
    <x v="0"/>
    <x v="5"/>
    <n v="4950"/>
    <n v="4950"/>
    <n v="2323.3539999999998"/>
    <n v="2323.3539999999998"/>
    <n v="0"/>
    <n v="0"/>
    <n v="0"/>
    <s v="LIVRE"/>
    <n v="0"/>
    <s v="44682A4AzulNão se aplicaNão se aplicaNão se aplicaNão se aplicaFora ponta"/>
    <m/>
    <n v="14"/>
    <n v="15"/>
    <n v="0"/>
  </r>
  <r>
    <s v="Regular"/>
    <x v="1"/>
    <x v="1"/>
    <s v="Comercial"/>
    <x v="0"/>
    <x v="0"/>
    <s v="Não se aplica"/>
    <x v="2"/>
    <x v="6"/>
    <n v="220"/>
    <n v="220"/>
    <n v="5.8179999999999996"/>
    <n v="5.8179999999999996"/>
    <n v="5.8179999999999996"/>
    <n v="5.8179999999999996"/>
    <n v="0"/>
    <s v="CATIVO"/>
    <n v="0"/>
    <s v="44348A4AzulNão se aplicaNão se aplicaNão se aplicaNão se aplicaPonta"/>
    <s v="44348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6"/>
    <n v="4519"/>
    <n v="4519"/>
    <n v="213.274"/>
    <n v="213.274"/>
    <n v="0"/>
    <n v="0"/>
    <n v="0"/>
    <s v="LIVRE"/>
    <n v="0"/>
    <s v="44348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7"/>
    <n v="220"/>
    <n v="220"/>
    <n v="6.56"/>
    <n v="6.56"/>
    <n v="6.56"/>
    <n v="6.56"/>
    <n v="0"/>
    <s v="CATIVO"/>
    <n v="0"/>
    <s v="44378A4AzulNão se aplicaNão se aplicaNão se aplicaNão se aplicaPonta"/>
    <s v="44378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7"/>
    <n v="4692"/>
    <n v="4692"/>
    <n v="224.55099999999999"/>
    <n v="224.55099999999999"/>
    <n v="0"/>
    <n v="0"/>
    <n v="0"/>
    <s v="LIVRE"/>
    <n v="0"/>
    <s v="44378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8"/>
    <n v="220"/>
    <n v="220"/>
    <n v="6.1950000000000003"/>
    <n v="6.1950000000000003"/>
    <n v="6.1950000000000003"/>
    <n v="6.1950000000000003"/>
    <n v="0"/>
    <s v="CATIVO"/>
    <n v="0"/>
    <s v="44409A4AzulNão se aplicaNão se aplicaNão se aplicaNão se aplicaPonta"/>
    <s v="44409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8"/>
    <n v="4500"/>
    <n v="4500"/>
    <n v="193.452"/>
    <n v="193.452"/>
    <n v="0"/>
    <n v="0"/>
    <n v="0"/>
    <s v="LIVRE"/>
    <n v="0"/>
    <s v="44409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9"/>
    <n v="220"/>
    <n v="220"/>
    <n v="5.8570000000000002"/>
    <n v="5.8570000000000002"/>
    <n v="5.8570000000000002"/>
    <n v="5.8570000000000002"/>
    <n v="0"/>
    <s v="CATIVO"/>
    <n v="0"/>
    <s v="44440A4AzulNão se aplicaNão se aplicaNão se aplicaNão se aplicaPonta"/>
    <s v="44440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9"/>
    <n v="4657"/>
    <n v="4657"/>
    <n v="239.13800000000001"/>
    <n v="239.13800000000001"/>
    <n v="0"/>
    <n v="0"/>
    <n v="0"/>
    <s v="LIVRE"/>
    <n v="0"/>
    <s v="44440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10"/>
    <n v="220"/>
    <n v="220"/>
    <n v="5.5880000000000001"/>
    <n v="5.5880000000000001"/>
    <n v="5.5880000000000001"/>
    <n v="5.5880000000000001"/>
    <n v="0"/>
    <s v="CATIVO"/>
    <n v="0"/>
    <s v="44470A4AzulNão se aplicaNão se aplicaNão se aplicaNão se aplicaPonta"/>
    <s v="44470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10"/>
    <n v="4717"/>
    <n v="4717"/>
    <n v="254.001"/>
    <n v="254.001"/>
    <n v="0"/>
    <n v="0"/>
    <n v="0"/>
    <s v="LIVRE"/>
    <n v="0"/>
    <s v="44470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11"/>
    <n v="220"/>
    <n v="220"/>
    <n v="5.6989999999999998"/>
    <n v="5.6989999999999998"/>
    <n v="5.6989999999999998"/>
    <n v="5.6989999999999998"/>
    <n v="0"/>
    <s v="CATIVO"/>
    <n v="0"/>
    <s v="44501A4AzulNão se aplicaNão se aplicaNão se aplicaNão se aplicaPonta"/>
    <s v="44501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11"/>
    <n v="4787"/>
    <n v="4787"/>
    <n v="238.483"/>
    <n v="238.483"/>
    <n v="0"/>
    <n v="0"/>
    <n v="0"/>
    <s v="LIVRE"/>
    <n v="0"/>
    <s v="44501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3"/>
    <n v="220"/>
    <n v="220"/>
    <n v="6.3109999999999999"/>
    <n v="6.3109999999999999"/>
    <n v="6.3109999999999999"/>
    <n v="6.3109999999999999"/>
    <n v="0"/>
    <s v="CATIVO"/>
    <n v="0"/>
    <s v="44531A4AzulNão se aplicaNão se aplicaNão se aplicaNão se aplicaPonta"/>
    <s v="44531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3"/>
    <n v="4830"/>
    <n v="4830"/>
    <n v="238.26300000000001"/>
    <n v="238.26300000000001"/>
    <n v="0"/>
    <n v="0"/>
    <n v="0"/>
    <s v="LIVRE"/>
    <n v="0"/>
    <s v="44531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0"/>
    <n v="262"/>
    <n v="262"/>
    <n v="7.2290000000000001"/>
    <n v="7.2290000000000001"/>
    <n v="7.2290000000000001"/>
    <n v="7.2290000000000001"/>
    <n v="0"/>
    <s v="CATIVO"/>
    <n v="0"/>
    <s v="44562A4AzulNão se aplicaNão se aplicaNão se aplicaNão se aplicaPonta"/>
    <s v="44562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0"/>
    <n v="4648"/>
    <n v="4648"/>
    <n v="223.71299999999999"/>
    <n v="223.71299999999999"/>
    <n v="0"/>
    <n v="0"/>
    <n v="0"/>
    <s v="LIVRE"/>
    <n v="0"/>
    <s v="44562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4"/>
    <n v="220"/>
    <n v="220"/>
    <n v="5.9640000000000004"/>
    <n v="5.9640000000000004"/>
    <n v="5.9640000000000004"/>
    <n v="5.9640000000000004"/>
    <n v="0"/>
    <s v="CATIVO"/>
    <n v="0"/>
    <s v="44593A4AzulNão se aplicaNão se aplicaNão se aplicaNão se aplicaPonta"/>
    <s v="44593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4"/>
    <n v="4709"/>
    <n v="4709"/>
    <n v="211.92599999999999"/>
    <n v="211.92599999999999"/>
    <n v="0"/>
    <n v="0"/>
    <n v="0"/>
    <s v="LIVRE"/>
    <n v="0"/>
    <s v="44593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1"/>
    <n v="220"/>
    <n v="220"/>
    <n v="6.734"/>
    <n v="6.734"/>
    <n v="6.734"/>
    <n v="6.734"/>
    <n v="0"/>
    <s v="CATIVO"/>
    <n v="0"/>
    <s v="44621A4AzulNão se aplicaNão se aplicaNão se aplicaNão se aplicaPonta"/>
    <s v="44621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1"/>
    <n v="4908"/>
    <n v="4908"/>
    <n v="224.256"/>
    <n v="224.256"/>
    <n v="0"/>
    <n v="0"/>
    <n v="0"/>
    <s v="LIVRE"/>
    <n v="0"/>
    <s v="44621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2"/>
    <n v="220"/>
    <n v="220"/>
    <n v="5.5119999999999996"/>
    <n v="5.5119999999999996"/>
    <n v="5.5119999999999996"/>
    <n v="5.5119999999999996"/>
    <n v="0"/>
    <s v="CATIVO"/>
    <n v="0"/>
    <s v="44652A4AzulNão se aplicaNão se aplicaNão se aplicaNão se aplicaPonta"/>
    <s v="44652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2"/>
    <n v="4692"/>
    <n v="4692"/>
    <n v="237.881"/>
    <n v="237.881"/>
    <n v="0"/>
    <n v="0"/>
    <n v="0"/>
    <s v="LIVRE"/>
    <n v="0"/>
    <s v="44652A4AzulNão se aplicaNão se aplicaNão se aplicaNão se aplicaPonta"/>
    <m/>
    <n v="13"/>
    <n v="15"/>
    <n v="0"/>
  </r>
  <r>
    <s v="Regular"/>
    <x v="1"/>
    <x v="1"/>
    <s v="Comercial"/>
    <x v="0"/>
    <x v="0"/>
    <s v="Não se aplica"/>
    <x v="2"/>
    <x v="5"/>
    <n v="220"/>
    <n v="220"/>
    <n v="6.3659999999999997"/>
    <n v="6.3659999999999997"/>
    <n v="6.3659999999999997"/>
    <n v="6.3659999999999997"/>
    <n v="0"/>
    <s v="CATIVO"/>
    <n v="0"/>
    <s v="44682A4AzulNão se aplicaNão se aplicaNão se aplicaNão se aplicaPonta"/>
    <s v="44682A4Energia horáriaNão se aplicaNão se aplicaNão se aplicaNão se aplicaPonta"/>
    <n v="13"/>
    <n v="15"/>
    <n v="65"/>
  </r>
  <r>
    <s v="Regular"/>
    <x v="1"/>
    <x v="1"/>
    <s v="Comercial"/>
    <x v="0"/>
    <x v="0"/>
    <s v="Não se aplica"/>
    <x v="2"/>
    <x v="5"/>
    <n v="4666"/>
    <n v="4666"/>
    <n v="207.71199999999999"/>
    <n v="207.71199999999999"/>
    <n v="0"/>
    <n v="0"/>
    <n v="0"/>
    <s v="LIVRE"/>
    <n v="0"/>
    <s v="44682A4AzulNão se aplicaNão se aplicaNão se aplicaNão se aplicaPonta"/>
    <m/>
    <n v="13"/>
    <n v="15"/>
    <n v="0"/>
  </r>
  <r>
    <s v="Regular"/>
    <x v="1"/>
    <x v="1"/>
    <s v="Industrial"/>
    <x v="0"/>
    <x v="1"/>
    <s v="Não se aplica"/>
    <x v="0"/>
    <x v="1"/>
    <n v="500"/>
    <n v="250"/>
    <n v="0"/>
    <n v="0"/>
    <n v="0"/>
    <n v="0"/>
    <n v="0"/>
    <s v="LIVRE"/>
    <n v="0"/>
    <s v="44621A4AzulNão se aplicaNão se aplicaNão se aplicaNão se aplicaFora ponta"/>
    <m/>
    <n v="14"/>
    <n v="0"/>
    <n v="0"/>
  </r>
  <r>
    <s v="Regular"/>
    <x v="1"/>
    <x v="1"/>
    <s v="Industrial"/>
    <x v="0"/>
    <x v="1"/>
    <s v="Não se aplica"/>
    <x v="0"/>
    <x v="2"/>
    <n v="500"/>
    <n v="250"/>
    <n v="0"/>
    <n v="0"/>
    <n v="0"/>
    <n v="0"/>
    <n v="0"/>
    <s v="LIVRE"/>
    <n v="0"/>
    <s v="44652A4AzulNão se aplicaNão se aplicaNão se aplicaNão se aplicaFora ponta"/>
    <m/>
    <n v="14"/>
    <n v="0"/>
    <n v="0"/>
  </r>
  <r>
    <s v="Regular"/>
    <x v="1"/>
    <x v="1"/>
    <s v="Industrial"/>
    <x v="0"/>
    <x v="1"/>
    <s v="Não se aplica"/>
    <x v="0"/>
    <x v="5"/>
    <n v="500"/>
    <n v="250"/>
    <n v="0"/>
    <n v="0"/>
    <n v="0"/>
    <n v="0"/>
    <n v="0"/>
    <s v="LIVRE"/>
    <n v="0"/>
    <s v="44682A4AzulNão se aplicaNão se aplicaNão se aplicaNão se aplicaFora ponta"/>
    <m/>
    <n v="14"/>
    <n v="0"/>
    <n v="0"/>
  </r>
  <r>
    <s v="Regular"/>
    <x v="1"/>
    <x v="1"/>
    <s v="Industrial"/>
    <x v="0"/>
    <x v="1"/>
    <s v="Não se aplica"/>
    <x v="1"/>
    <x v="1"/>
    <n v="0"/>
    <n v="0"/>
    <n v="115.642"/>
    <n v="115.642"/>
    <n v="0"/>
    <n v="0"/>
    <n v="2"/>
    <s v="LIVRE"/>
    <n v="0"/>
    <s v="44621A4AzulNão se aplicaNão se aplicaNão se aplicaNão se aplicaNão se aplica"/>
    <m/>
    <n v="0"/>
    <n v="15"/>
    <n v="0"/>
  </r>
  <r>
    <s v="Regular"/>
    <x v="1"/>
    <x v="1"/>
    <s v="Industrial"/>
    <x v="0"/>
    <x v="1"/>
    <s v="Não se aplica"/>
    <x v="1"/>
    <x v="2"/>
    <n v="0"/>
    <n v="0"/>
    <n v="138.791"/>
    <n v="138.791"/>
    <n v="0"/>
    <n v="0"/>
    <n v="2"/>
    <s v="LIVRE"/>
    <n v="0"/>
    <s v="44652A4AzulNão se aplicaNão se aplicaNão se aplicaNão se aplicaNão se aplica"/>
    <m/>
    <n v="0"/>
    <n v="15"/>
    <n v="0"/>
  </r>
  <r>
    <s v="Regular"/>
    <x v="1"/>
    <x v="1"/>
    <s v="Industrial"/>
    <x v="0"/>
    <x v="1"/>
    <s v="Não se aplica"/>
    <x v="1"/>
    <x v="5"/>
    <n v="0"/>
    <n v="0"/>
    <n v="138.709"/>
    <n v="138.709"/>
    <n v="0"/>
    <n v="0"/>
    <n v="2"/>
    <s v="LIVRE"/>
    <n v="0"/>
    <s v="44682A4AzulNão se aplicaNão se aplicaNão se aplicaNão se aplicaNão se aplica"/>
    <m/>
    <n v="0"/>
    <n v="15"/>
    <n v="0"/>
  </r>
  <r>
    <s v="Regular"/>
    <x v="1"/>
    <x v="1"/>
    <s v="Industrial"/>
    <x v="0"/>
    <x v="1"/>
    <s v="Não se aplica"/>
    <x v="2"/>
    <x v="1"/>
    <n v="389"/>
    <n v="194.5"/>
    <n v="0"/>
    <n v="0"/>
    <n v="0"/>
    <n v="0"/>
    <n v="0"/>
    <s v="LIVRE"/>
    <n v="0"/>
    <s v="44621A4AzulNão se aplicaNão se aplicaNão se aplicaNão se aplicaPonta"/>
    <m/>
    <n v="13"/>
    <n v="0"/>
    <n v="0"/>
  </r>
  <r>
    <s v="Regular"/>
    <x v="1"/>
    <x v="1"/>
    <s v="Industrial"/>
    <x v="0"/>
    <x v="1"/>
    <s v="Não se aplica"/>
    <x v="2"/>
    <x v="2"/>
    <n v="389"/>
    <n v="194.5"/>
    <n v="0"/>
    <n v="0"/>
    <n v="0"/>
    <n v="0"/>
    <n v="0"/>
    <s v="LIVRE"/>
    <n v="0"/>
    <s v="44652A4AzulNão se aplicaNão se aplicaNão se aplicaNão se aplicaPonta"/>
    <m/>
    <n v="13"/>
    <n v="0"/>
    <n v="0"/>
  </r>
  <r>
    <s v="Regular"/>
    <x v="1"/>
    <x v="1"/>
    <s v="Industrial"/>
    <x v="0"/>
    <x v="1"/>
    <s v="Não se aplica"/>
    <x v="2"/>
    <x v="5"/>
    <n v="389"/>
    <n v="194.5"/>
    <n v="0"/>
    <n v="0"/>
    <n v="0"/>
    <n v="0"/>
    <n v="0"/>
    <s v="LIVRE"/>
    <n v="0"/>
    <s v="44682A4AzulNão se aplicaNão se aplicaNão se aplicaNão se aplicaPonta"/>
    <m/>
    <n v="13"/>
    <n v="0"/>
    <n v="0"/>
  </r>
  <r>
    <s v="Regular"/>
    <x v="1"/>
    <x v="1"/>
    <s v="Industrial"/>
    <x v="0"/>
    <x v="0"/>
    <s v="Não se aplica"/>
    <x v="0"/>
    <x v="6"/>
    <n v="607"/>
    <n v="607"/>
    <n v="192.94499999999999"/>
    <n v="192.94499999999999"/>
    <n v="192.94499999999999"/>
    <n v="192.94499999999999"/>
    <n v="0"/>
    <s v="CATIVO"/>
    <n v="0"/>
    <s v="44348A4AzulNão se aplicaNão se aplicaNão se aplicaNão se aplicaFora ponta"/>
    <s v="44348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6"/>
    <n v="9141"/>
    <n v="9141"/>
    <n v="5105.5860000000002"/>
    <n v="5105.5860000000002"/>
    <n v="0"/>
    <n v="0"/>
    <n v="0"/>
    <s v="LIVRE"/>
    <n v="0"/>
    <s v="44348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7"/>
    <n v="612"/>
    <n v="612"/>
    <n v="204.67699999999999"/>
    <n v="204.67699999999999"/>
    <n v="204.67699999999999"/>
    <n v="204.67699999999999"/>
    <n v="0"/>
    <s v="CATIVO"/>
    <n v="0"/>
    <s v="44378A4AzulNão se aplicaNão se aplicaNão se aplicaNão se aplicaFora ponta"/>
    <s v="44378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7"/>
    <n v="9086"/>
    <n v="9086"/>
    <n v="4991.241"/>
    <n v="4991.241"/>
    <n v="0"/>
    <n v="0"/>
    <n v="0"/>
    <s v="LIVRE"/>
    <n v="0"/>
    <s v="44378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8"/>
    <n v="607"/>
    <n v="607"/>
    <n v="203.184"/>
    <n v="203.184"/>
    <n v="203.184"/>
    <n v="203.184"/>
    <n v="0"/>
    <s v="CATIVO"/>
    <n v="0"/>
    <s v="44409A4AzulNão se aplicaNão se aplicaNão se aplicaNão se aplicaFora ponta"/>
    <s v="44409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8"/>
    <n v="9115"/>
    <n v="9115"/>
    <n v="5068.4369999999999"/>
    <n v="5068.4369999999999"/>
    <n v="0"/>
    <n v="0"/>
    <n v="0"/>
    <s v="LIVRE"/>
    <n v="0"/>
    <s v="44409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9"/>
    <n v="607"/>
    <n v="607"/>
    <n v="188.74100000000001"/>
    <n v="188.74100000000001"/>
    <n v="188.74100000000001"/>
    <n v="188.74100000000001"/>
    <n v="0"/>
    <s v="CATIVO"/>
    <n v="0"/>
    <s v="44440A4AzulNão se aplicaNão se aplicaNão se aplicaNão se aplicaFora ponta"/>
    <s v="44440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9"/>
    <n v="9607"/>
    <n v="9607"/>
    <n v="5270.0829999999996"/>
    <n v="5270.0829999999996"/>
    <n v="0"/>
    <n v="0"/>
    <n v="0"/>
    <s v="LIVRE"/>
    <n v="0"/>
    <s v="44440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10"/>
    <n v="607"/>
    <n v="607"/>
    <n v="186.57400000000001"/>
    <n v="186.57400000000001"/>
    <n v="186.57400000000001"/>
    <n v="186.57400000000001"/>
    <n v="0"/>
    <s v="CATIVO"/>
    <n v="0"/>
    <s v="44470A4AzulNão se aplicaNão se aplicaNão se aplicaNão se aplicaFora ponta"/>
    <s v="44470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10"/>
    <n v="9590"/>
    <n v="9590"/>
    <n v="5215.5379999999996"/>
    <n v="5215.5379999999996"/>
    <n v="0"/>
    <n v="0"/>
    <n v="0"/>
    <s v="LIVRE"/>
    <n v="0"/>
    <s v="44470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11"/>
    <n v="619"/>
    <n v="619"/>
    <n v="152.964"/>
    <n v="152.964"/>
    <n v="152.964"/>
    <n v="152.964"/>
    <n v="0"/>
    <s v="CATIVO"/>
    <n v="0"/>
    <s v="44501A4AzulNão se aplicaNão se aplicaNão se aplicaNão se aplicaFora ponta"/>
    <s v="44501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11"/>
    <n v="9624"/>
    <n v="9624"/>
    <n v="5336.5339999999997"/>
    <n v="5336.5339999999997"/>
    <n v="0"/>
    <n v="0"/>
    <n v="0"/>
    <s v="LIVRE"/>
    <n v="0"/>
    <s v="44501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3"/>
    <n v="616"/>
    <n v="616"/>
    <n v="145.905"/>
    <n v="145.905"/>
    <n v="145.905"/>
    <n v="145.905"/>
    <n v="0"/>
    <s v="CATIVO"/>
    <n v="0"/>
    <s v="44531A4AzulNão se aplicaNão se aplicaNão se aplicaNão se aplicaFora ponta"/>
    <s v="44531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3"/>
    <n v="9538"/>
    <n v="9538"/>
    <n v="5107.6130000000003"/>
    <n v="5107.6130000000003"/>
    <n v="0"/>
    <n v="0"/>
    <n v="0"/>
    <s v="LIVRE"/>
    <n v="0"/>
    <s v="44531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0"/>
    <n v="615"/>
    <n v="615"/>
    <n v="154.41999999999999"/>
    <n v="154.41999999999999"/>
    <n v="154.41999999999999"/>
    <n v="154.41999999999999"/>
    <n v="0"/>
    <s v="CATIVO"/>
    <n v="0"/>
    <s v="44562A4AzulNão se aplicaNão se aplicaNão se aplicaNão se aplicaFora ponta"/>
    <s v="44562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0"/>
    <n v="9469"/>
    <n v="9469"/>
    <n v="5066.165"/>
    <n v="5066.165"/>
    <n v="0"/>
    <n v="0"/>
    <n v="0"/>
    <s v="LIVRE"/>
    <n v="0"/>
    <s v="44562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4"/>
    <n v="116"/>
    <n v="116"/>
    <n v="38.347000000000001"/>
    <n v="38.347000000000001"/>
    <n v="38.347000000000001"/>
    <n v="38.347000000000001"/>
    <n v="0"/>
    <s v="CATIVO"/>
    <n v="0"/>
    <s v="44593A4AzulNão se aplicaNão se aplicaNão se aplicaNão se aplicaFora ponta"/>
    <s v="44593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4"/>
    <n v="9504"/>
    <n v="9504"/>
    <n v="5285.5519999999997"/>
    <n v="5285.5519999999997"/>
    <n v="0"/>
    <n v="0"/>
    <n v="0"/>
    <s v="LIVRE"/>
    <n v="0"/>
    <s v="44593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1"/>
    <n v="114"/>
    <n v="114"/>
    <n v="40.164000000000001"/>
    <n v="40.164000000000001"/>
    <n v="40.164000000000001"/>
    <n v="40.164000000000001"/>
    <n v="0"/>
    <s v="CATIVO"/>
    <n v="0"/>
    <s v="44621A4AzulNão se aplicaNão se aplicaNão se aplicaNão se aplicaFora ponta"/>
    <s v="44621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1"/>
    <n v="9469"/>
    <n v="9469"/>
    <n v="4649.5370000000003"/>
    <n v="4649.5370000000003"/>
    <n v="0"/>
    <n v="0"/>
    <n v="0"/>
    <s v="LIVRE"/>
    <n v="0"/>
    <s v="44621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2"/>
    <n v="107"/>
    <n v="107"/>
    <n v="37.094999999999999"/>
    <n v="37.094999999999999"/>
    <n v="37.094999999999999"/>
    <n v="37.094999999999999"/>
    <n v="0"/>
    <s v="CATIVO"/>
    <n v="0"/>
    <s v="44652A4AzulNão se aplicaNão se aplicaNão se aplicaNão se aplicaFora ponta"/>
    <s v="44652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2"/>
    <n v="9780"/>
    <n v="9780"/>
    <n v="5263.1970000000001"/>
    <n v="5263.1970000000001"/>
    <n v="0"/>
    <n v="0"/>
    <n v="0"/>
    <s v="LIVRE"/>
    <n v="0"/>
    <s v="44652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0"/>
    <x v="5"/>
    <n v="107"/>
    <n v="107"/>
    <n v="37.933"/>
    <n v="37.933"/>
    <n v="37.933"/>
    <n v="37.933"/>
    <n v="0"/>
    <s v="CATIVO"/>
    <n v="0"/>
    <s v="44682A4AzulNão se aplicaNão se aplicaNão se aplicaNão se aplicaFora ponta"/>
    <s v="44682A4Energia horáriaNão se aplicaNão se aplicaNão se aplicaNão se aplicaFora ponta"/>
    <n v="14"/>
    <n v="15"/>
    <n v="66"/>
  </r>
  <r>
    <s v="Regular"/>
    <x v="1"/>
    <x v="1"/>
    <s v="Industrial"/>
    <x v="0"/>
    <x v="0"/>
    <s v="Não se aplica"/>
    <x v="0"/>
    <x v="5"/>
    <n v="9400"/>
    <n v="9400"/>
    <n v="4687.8620000000001"/>
    <n v="4687.8620000000001"/>
    <n v="0"/>
    <n v="0"/>
    <n v="0"/>
    <s v="LIVRE"/>
    <n v="0"/>
    <s v="44682A4AzulNão se aplicaNão se aplicaNão se aplicaNão se aplicaFora ponta"/>
    <m/>
    <n v="14"/>
    <n v="15"/>
    <n v="0"/>
  </r>
  <r>
    <s v="Regular"/>
    <x v="1"/>
    <x v="1"/>
    <s v="Industrial"/>
    <x v="0"/>
    <x v="0"/>
    <s v="Não se aplica"/>
    <x v="2"/>
    <x v="6"/>
    <n v="479"/>
    <n v="479"/>
    <n v="21.751000000000001"/>
    <n v="21.751000000000001"/>
    <n v="21.751000000000001"/>
    <n v="21.751000000000001"/>
    <n v="0"/>
    <s v="CATIVO"/>
    <n v="0"/>
    <s v="44348A4AzulNão se aplicaNão se aplicaNão se aplicaNão se aplicaPonta"/>
    <s v="44348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6"/>
    <n v="8591"/>
    <n v="8591"/>
    <n v="477"/>
    <n v="477"/>
    <n v="0"/>
    <n v="0"/>
    <n v="0"/>
    <s v="LIVRE"/>
    <n v="0"/>
    <s v="44348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7"/>
    <n v="476"/>
    <n v="476"/>
    <n v="22.577999999999999"/>
    <n v="22.577999999999999"/>
    <n v="22.577999999999999"/>
    <n v="22.577999999999999"/>
    <n v="0"/>
    <s v="CATIVO"/>
    <n v="0"/>
    <s v="44378A4AzulNão se aplicaNão se aplicaNão se aplicaNão se aplicaPonta"/>
    <s v="44378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7"/>
    <n v="8594"/>
    <n v="8594"/>
    <n v="506.93200000000002"/>
    <n v="506.93200000000002"/>
    <n v="0"/>
    <n v="0"/>
    <n v="0"/>
    <s v="LIVRE"/>
    <n v="0"/>
    <s v="44378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8"/>
    <n v="481"/>
    <n v="481"/>
    <n v="21.027000000000001"/>
    <n v="21.027000000000001"/>
    <n v="21.027000000000001"/>
    <n v="21.027000000000001"/>
    <n v="0"/>
    <s v="CATIVO"/>
    <n v="0"/>
    <s v="44409A4AzulNão se aplicaNão se aplicaNão se aplicaNão se aplicaPonta"/>
    <s v="44409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8"/>
    <n v="8660"/>
    <n v="8660"/>
    <n v="489.07400000000001"/>
    <n v="489.07400000000001"/>
    <n v="0"/>
    <n v="0"/>
    <n v="0"/>
    <s v="LIVRE"/>
    <n v="0"/>
    <s v="44409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9"/>
    <n v="484"/>
    <n v="484"/>
    <n v="19.154"/>
    <n v="19.154"/>
    <n v="19.154"/>
    <n v="19.154"/>
    <n v="0"/>
    <s v="CATIVO"/>
    <n v="0"/>
    <s v="44440A4AzulNão se aplicaNão se aplicaNão se aplicaNão se aplicaPonta"/>
    <s v="44440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9"/>
    <n v="9000"/>
    <n v="9000"/>
    <n v="511.15499999999997"/>
    <n v="511.15499999999997"/>
    <n v="0"/>
    <n v="0"/>
    <n v="0"/>
    <s v="LIVRE"/>
    <n v="0"/>
    <s v="44440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10"/>
    <n v="476"/>
    <n v="476"/>
    <n v="19.699000000000002"/>
    <n v="19.699000000000002"/>
    <n v="19.699000000000002"/>
    <n v="19.699000000000002"/>
    <n v="0"/>
    <s v="CATIVO"/>
    <n v="0"/>
    <s v="44470A4AzulNão se aplicaNão se aplicaNão se aplicaNão se aplicaPonta"/>
    <s v="44470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10"/>
    <n v="9041"/>
    <n v="9041"/>
    <n v="523.86800000000005"/>
    <n v="523.86800000000005"/>
    <n v="0"/>
    <n v="0"/>
    <n v="0"/>
    <s v="LIVRE"/>
    <n v="0"/>
    <s v="44470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11"/>
    <n v="495"/>
    <n v="495"/>
    <n v="22.966000000000001"/>
    <n v="22.966000000000001"/>
    <n v="22.966000000000001"/>
    <n v="22.966000000000001"/>
    <n v="0"/>
    <s v="CATIVO"/>
    <n v="0"/>
    <s v="44501A4AzulNão se aplicaNão se aplicaNão se aplicaNão se aplicaPonta"/>
    <s v="44501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11"/>
    <n v="9058"/>
    <n v="9058"/>
    <n v="492.63200000000001"/>
    <n v="492.63200000000001"/>
    <n v="0"/>
    <n v="0"/>
    <n v="0"/>
    <s v="LIVRE"/>
    <n v="0"/>
    <s v="44501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3"/>
    <n v="505"/>
    <n v="505"/>
    <n v="18.074999999999999"/>
    <n v="18.074999999999999"/>
    <n v="18.074999999999999"/>
    <n v="18.074999999999999"/>
    <n v="0"/>
    <s v="CATIVO"/>
    <n v="0"/>
    <s v="44531A4AzulNão se aplicaNão se aplicaNão se aplicaNão se aplicaPonta"/>
    <s v="44531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3"/>
    <n v="8989"/>
    <n v="8989"/>
    <n v="513.66800000000001"/>
    <n v="513.66800000000001"/>
    <n v="0"/>
    <n v="0"/>
    <n v="0"/>
    <s v="LIVRE"/>
    <n v="0"/>
    <s v="44531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0"/>
    <n v="488"/>
    <n v="488"/>
    <n v="18.401"/>
    <n v="18.401"/>
    <n v="18.401"/>
    <n v="18.401"/>
    <n v="0"/>
    <s v="CATIVO"/>
    <n v="0"/>
    <s v="44562A4AzulNão se aplicaNão se aplicaNão se aplicaNão se aplicaPonta"/>
    <s v="44562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0"/>
    <n v="9075"/>
    <n v="9075"/>
    <n v="507.16899999999998"/>
    <n v="507.16899999999998"/>
    <n v="0"/>
    <n v="0"/>
    <n v="0"/>
    <s v="LIVRE"/>
    <n v="0"/>
    <s v="44562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4"/>
    <n v="98"/>
    <n v="98"/>
    <n v="4.5609999999999999"/>
    <n v="4.5609999999999999"/>
    <n v="4.5609999999999999"/>
    <n v="4.5609999999999999"/>
    <n v="0"/>
    <s v="CATIVO"/>
    <n v="0"/>
    <s v="44593A4AzulNão se aplicaNão se aplicaNão se aplicaNão se aplicaPonta"/>
    <s v="44593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4"/>
    <n v="9127"/>
    <n v="9127"/>
    <n v="498.80099999999999"/>
    <n v="498.80099999999999"/>
    <n v="0"/>
    <n v="0"/>
    <n v="0"/>
    <s v="LIVRE"/>
    <n v="0"/>
    <s v="44593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1"/>
    <n v="89"/>
    <n v="89"/>
    <n v="4.7130000000000001"/>
    <n v="4.7130000000000001"/>
    <n v="4.7130000000000001"/>
    <n v="4.7130000000000001"/>
    <n v="0"/>
    <s v="CATIVO"/>
    <n v="0"/>
    <s v="44621A4AzulNão se aplicaNão se aplicaNão se aplicaNão se aplicaPonta"/>
    <s v="44621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1"/>
    <n v="9000"/>
    <n v="9000"/>
    <n v="445.197"/>
    <n v="445.197"/>
    <n v="0"/>
    <n v="0"/>
    <n v="0"/>
    <s v="LIVRE"/>
    <n v="0"/>
    <s v="44621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2"/>
    <n v="99"/>
    <n v="99"/>
    <n v="4.2839999999999998"/>
    <n v="4.2839999999999998"/>
    <n v="4.2839999999999998"/>
    <n v="4.2839999999999998"/>
    <n v="0"/>
    <s v="CATIVO"/>
    <n v="0"/>
    <s v="44652A4AzulNão se aplicaNão se aplicaNão se aplicaNão se aplicaPonta"/>
    <s v="44652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2"/>
    <n v="9455"/>
    <n v="9455"/>
    <n v="539.15800000000002"/>
    <n v="539.15800000000002"/>
    <n v="0"/>
    <n v="0"/>
    <n v="0"/>
    <s v="LIVRE"/>
    <n v="0"/>
    <s v="44652A4AzulNão se aplicaNão se aplicaNão se aplicaNão se aplicaPonta"/>
    <m/>
    <n v="13"/>
    <n v="15"/>
    <n v="0"/>
  </r>
  <r>
    <s v="Regular"/>
    <x v="1"/>
    <x v="1"/>
    <s v="Industrial"/>
    <x v="0"/>
    <x v="0"/>
    <s v="Não se aplica"/>
    <x v="2"/>
    <x v="5"/>
    <n v="92"/>
    <n v="92"/>
    <n v="4.9260000000000002"/>
    <n v="4.9260000000000002"/>
    <n v="4.9260000000000002"/>
    <n v="4.9260000000000002"/>
    <n v="0"/>
    <s v="CATIVO"/>
    <n v="0"/>
    <s v="44682A4AzulNão se aplicaNão se aplicaNão se aplicaNão se aplicaPonta"/>
    <s v="44682A4Energia horáriaNão se aplicaNão se aplicaNão se aplicaNão se aplicaPonta"/>
    <n v="13"/>
    <n v="15"/>
    <n v="65"/>
  </r>
  <r>
    <s v="Regular"/>
    <x v="1"/>
    <x v="1"/>
    <s v="Industrial"/>
    <x v="0"/>
    <x v="0"/>
    <s v="Não se aplica"/>
    <x v="2"/>
    <x v="5"/>
    <n v="9000"/>
    <n v="9000"/>
    <n v="455.83199999999999"/>
    <n v="455.83199999999999"/>
    <n v="0"/>
    <n v="0"/>
    <n v="0"/>
    <s v="LIVRE"/>
    <n v="0"/>
    <s v="44682A4AzulNão se aplicaNão se aplicaNão se aplicaNão se aplicaPonta"/>
    <m/>
    <n v="13"/>
    <n v="15"/>
    <n v="0"/>
  </r>
  <r>
    <s v="Regular"/>
    <x v="1"/>
    <x v="1"/>
    <s v="Poder público"/>
    <x v="0"/>
    <x v="0"/>
    <s v="Não se aplica"/>
    <x v="0"/>
    <x v="6"/>
    <n v="229"/>
    <n v="229"/>
    <n v="68.180000000000007"/>
    <n v="68.180000000000007"/>
    <n v="68.180000000000007"/>
    <n v="68.180000000000007"/>
    <n v="0"/>
    <s v="CATIVO"/>
    <n v="0"/>
    <s v="44348A4AzulNão se aplicaNão se aplicaNão se aplicaNão se aplicaFora ponta"/>
    <s v="44348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7"/>
    <n v="202"/>
    <n v="202"/>
    <n v="75.519000000000005"/>
    <n v="75.519000000000005"/>
    <n v="75.519000000000005"/>
    <n v="75.519000000000005"/>
    <n v="0"/>
    <s v="CATIVO"/>
    <n v="0"/>
    <s v="44378A4AzulNão se aplicaNão se aplicaNão se aplicaNão se aplicaFora ponta"/>
    <s v="44378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8"/>
    <n v="180"/>
    <n v="180"/>
    <n v="66.025000000000006"/>
    <n v="66.025000000000006"/>
    <n v="66.025000000000006"/>
    <n v="66.025000000000006"/>
    <n v="0"/>
    <s v="CATIVO"/>
    <n v="0"/>
    <s v="44409A4AzulNão se aplicaNão se aplicaNão se aplicaNão se aplicaFora ponta"/>
    <s v="44409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9"/>
    <n v="180"/>
    <n v="180"/>
    <n v="61.225999999999999"/>
    <n v="61.225999999999999"/>
    <n v="61.225999999999999"/>
    <n v="61.225999999999999"/>
    <n v="0"/>
    <s v="CATIVO"/>
    <n v="0"/>
    <s v="44440A4AzulNão se aplicaNão se aplicaNão se aplicaNão se aplicaFora ponta"/>
    <s v="44440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10"/>
    <n v="165"/>
    <n v="165"/>
    <n v="52.749000000000002"/>
    <n v="52.749000000000002"/>
    <n v="52.749000000000002"/>
    <n v="52.749000000000002"/>
    <n v="0"/>
    <s v="CATIVO"/>
    <n v="0"/>
    <s v="44470A4AzulNão se aplicaNão se aplicaNão se aplicaNão se aplicaFora ponta"/>
    <s v="44470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11"/>
    <n v="194"/>
    <n v="194"/>
    <n v="58.695"/>
    <n v="58.695"/>
    <n v="58.695"/>
    <n v="58.695"/>
    <n v="0"/>
    <s v="CATIVO"/>
    <n v="0"/>
    <s v="44501A4AzulNão se aplicaNão se aplicaNão se aplicaNão se aplicaFora ponta"/>
    <s v="44501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3"/>
    <n v="207"/>
    <n v="207"/>
    <n v="63.817"/>
    <n v="63.817"/>
    <n v="63.817"/>
    <n v="63.817"/>
    <n v="0"/>
    <s v="CATIVO"/>
    <n v="0"/>
    <s v="44531A4AzulNão se aplicaNão se aplicaNão se aplicaNão se aplicaFora ponta"/>
    <s v="44531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0"/>
    <n v="211"/>
    <n v="211"/>
    <n v="70.194000000000003"/>
    <n v="70.194000000000003"/>
    <n v="70.194000000000003"/>
    <n v="70.194000000000003"/>
    <n v="0"/>
    <s v="CATIVO"/>
    <n v="0"/>
    <s v="44562A4AzulNão se aplicaNão se aplicaNão se aplicaNão se aplicaFora ponta"/>
    <s v="44562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4"/>
    <n v="213"/>
    <n v="213"/>
    <n v="67.41"/>
    <n v="67.41"/>
    <n v="67.41"/>
    <n v="67.41"/>
    <n v="0"/>
    <s v="CATIVO"/>
    <n v="0"/>
    <s v="44593A4AzulNão se aplicaNão se aplicaNão se aplicaNão se aplicaFora ponta"/>
    <s v="44593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1"/>
    <n v="199"/>
    <n v="199"/>
    <n v="74.602000000000004"/>
    <n v="74.602000000000004"/>
    <n v="74.602000000000004"/>
    <n v="74.602000000000004"/>
    <n v="0"/>
    <s v="CATIVO"/>
    <n v="0"/>
    <s v="44621A4AzulNão se aplicaNão se aplicaNão se aplicaNão se aplicaFora ponta"/>
    <s v="44621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2"/>
    <n v="194"/>
    <n v="194"/>
    <n v="58.408999999999999"/>
    <n v="58.408999999999999"/>
    <n v="58.408999999999999"/>
    <n v="58.408999999999999"/>
    <n v="0"/>
    <s v="CATIVO"/>
    <n v="0"/>
    <s v="44652A4AzulNão se aplicaNão se aplicaNão se aplicaNão se aplicaFora ponta"/>
    <s v="44652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0"/>
    <x v="5"/>
    <n v="192"/>
    <n v="192"/>
    <n v="61.29"/>
    <n v="61.29"/>
    <n v="61.29"/>
    <n v="61.29"/>
    <n v="0"/>
    <s v="CATIVO"/>
    <n v="0"/>
    <s v="44682A4AzulNão se aplicaNão se aplicaNão se aplicaNão se aplicaFora ponta"/>
    <s v="44682A4Energia horáriaNão se aplicaNão se aplicaNão se aplicaNão se aplicaFora ponta"/>
    <n v="14"/>
    <n v="15"/>
    <n v="66"/>
  </r>
  <r>
    <s v="Regular"/>
    <x v="1"/>
    <x v="1"/>
    <s v="Poder público"/>
    <x v="0"/>
    <x v="0"/>
    <s v="Não se aplica"/>
    <x v="2"/>
    <x v="6"/>
    <n v="179"/>
    <n v="179"/>
    <n v="7.194"/>
    <n v="7.194"/>
    <n v="7.194"/>
    <n v="7.194"/>
    <n v="0"/>
    <s v="CATIVO"/>
    <n v="0"/>
    <s v="44348A4AzulNão se aplicaNão se aplicaNão se aplicaNão se aplicaPonta"/>
    <s v="44348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7"/>
    <n v="173"/>
    <n v="173"/>
    <n v="7.718"/>
    <n v="7.718"/>
    <n v="7.718"/>
    <n v="7.718"/>
    <n v="0"/>
    <s v="CATIVO"/>
    <n v="0"/>
    <s v="44378A4AzulNão se aplicaNão se aplicaNão se aplicaNão se aplicaPonta"/>
    <s v="44378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8"/>
    <n v="154"/>
    <n v="154"/>
    <n v="6.681"/>
    <n v="6.681"/>
    <n v="6.681"/>
    <n v="6.681"/>
    <n v="0"/>
    <s v="CATIVO"/>
    <n v="0"/>
    <s v="44409A4AzulNão se aplicaNão se aplicaNão se aplicaNão se aplicaPonta"/>
    <s v="44409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9"/>
    <n v="176"/>
    <n v="176"/>
    <n v="7.0259999999999998"/>
    <n v="7.0259999999999998"/>
    <n v="7.0259999999999998"/>
    <n v="7.0259999999999998"/>
    <n v="0"/>
    <s v="CATIVO"/>
    <n v="0"/>
    <s v="44440A4AzulNão se aplicaNão se aplicaNão se aplicaNão se aplicaPonta"/>
    <s v="44440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10"/>
    <n v="126"/>
    <n v="126"/>
    <n v="5.4720000000000004"/>
    <n v="5.4720000000000004"/>
    <n v="5.4720000000000004"/>
    <n v="5.4720000000000004"/>
    <n v="0"/>
    <s v="CATIVO"/>
    <n v="0"/>
    <s v="44470A4AzulNão se aplicaNão se aplicaNão se aplicaNão se aplicaPonta"/>
    <s v="44470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11"/>
    <n v="126"/>
    <n v="126"/>
    <n v="6.4649999999999999"/>
    <n v="6.4649999999999999"/>
    <n v="6.4649999999999999"/>
    <n v="6.4649999999999999"/>
    <n v="0"/>
    <s v="CATIVO"/>
    <n v="0"/>
    <s v="44501A4AzulNão se aplicaNão se aplicaNão se aplicaNão se aplicaPonta"/>
    <s v="44501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3"/>
    <n v="149"/>
    <n v="149"/>
    <n v="6.9580000000000002"/>
    <n v="6.9580000000000002"/>
    <n v="6.9580000000000002"/>
    <n v="6.9580000000000002"/>
    <n v="0"/>
    <s v="CATIVO"/>
    <n v="0"/>
    <s v="44531A4AzulNão se aplicaNão se aplicaNão se aplicaNão se aplicaPonta"/>
    <s v="44531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0"/>
    <n v="177"/>
    <n v="177"/>
    <n v="6.9720000000000004"/>
    <n v="6.9720000000000004"/>
    <n v="6.9720000000000004"/>
    <n v="6.9720000000000004"/>
    <n v="0"/>
    <s v="CATIVO"/>
    <n v="0"/>
    <s v="44562A4AzulNão se aplicaNão se aplicaNão se aplicaNão se aplicaPonta"/>
    <s v="44562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4"/>
    <n v="153"/>
    <n v="153"/>
    <n v="7.0359999999999996"/>
    <n v="7.0359999999999996"/>
    <n v="7.0359999999999996"/>
    <n v="7.0359999999999996"/>
    <n v="0"/>
    <s v="CATIVO"/>
    <n v="0"/>
    <s v="44593A4AzulNão se aplicaNão se aplicaNão se aplicaNão se aplicaPonta"/>
    <s v="44593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1"/>
    <n v="187"/>
    <n v="187"/>
    <n v="7.6870000000000003"/>
    <n v="7.6870000000000003"/>
    <n v="7.6870000000000003"/>
    <n v="7.6870000000000003"/>
    <n v="0"/>
    <s v="CATIVO"/>
    <n v="0"/>
    <s v="44621A4AzulNão se aplicaNão se aplicaNão se aplicaNão se aplicaPonta"/>
    <s v="44621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2"/>
    <n v="128"/>
    <n v="128"/>
    <n v="5.65"/>
    <n v="5.65"/>
    <n v="5.65"/>
    <n v="5.65"/>
    <n v="0"/>
    <s v="CATIVO"/>
    <n v="0"/>
    <s v="44652A4AzulNão se aplicaNão se aplicaNão se aplicaNão se aplicaPonta"/>
    <s v="44652A4Energia horáriaNão se aplicaNão se aplicaNão se aplicaNão se aplicaPonta"/>
    <n v="13"/>
    <n v="15"/>
    <n v="65"/>
  </r>
  <r>
    <s v="Regular"/>
    <x v="1"/>
    <x v="1"/>
    <s v="Poder público"/>
    <x v="0"/>
    <x v="0"/>
    <s v="Não se aplica"/>
    <x v="2"/>
    <x v="5"/>
    <n v="135"/>
    <n v="135"/>
    <n v="6.0190000000000001"/>
    <n v="6.0190000000000001"/>
    <n v="6.0190000000000001"/>
    <n v="6.0190000000000001"/>
    <n v="0"/>
    <s v="CATIVO"/>
    <n v="0"/>
    <s v="44682A4AzulNão se aplicaNão se aplicaNão se aplicaNão se aplicaPonta"/>
    <s v="44682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0"/>
    <x v="6"/>
    <n v="228"/>
    <n v="214.32"/>
    <n v="32.115000000000002"/>
    <n v="30.188099999999999"/>
    <n v="32.115000000000002"/>
    <n v="30.188099999999999"/>
    <n v="0"/>
    <s v="CATIVO"/>
    <n v="0"/>
    <s v="44348A4AzulNão se aplicaNão se aplicaNão se aplicaNão se aplicaFora ponta"/>
    <s v="44348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7"/>
    <n v="228"/>
    <n v="214.32"/>
    <n v="48.148000000000003"/>
    <n v="45.259120000000003"/>
    <n v="48.148000000000003"/>
    <n v="45.259120000000003"/>
    <n v="0"/>
    <s v="CATIVO"/>
    <n v="0"/>
    <s v="44378A4AzulNão se aplicaNão se aplicaNão se aplicaNão se aplicaFora ponta"/>
    <s v="44378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8"/>
    <n v="228"/>
    <n v="214.32"/>
    <n v="47.905000000000001"/>
    <n v="45.030700000000003"/>
    <n v="47.905000000000001"/>
    <n v="45.030700000000003"/>
    <n v="0"/>
    <s v="CATIVO"/>
    <n v="0"/>
    <s v="44409A4AzulNão se aplicaNão se aplicaNão se aplicaNão se aplicaFora ponta"/>
    <s v="44409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9"/>
    <n v="228"/>
    <n v="214.32"/>
    <n v="33.082999999999998"/>
    <n v="31.098020000000002"/>
    <n v="33.082999999999998"/>
    <n v="31.098020000000002"/>
    <n v="0"/>
    <s v="CATIVO"/>
    <n v="0"/>
    <s v="44440A4AzulNão se aplicaNão se aplicaNão se aplicaNão se aplicaFora ponta"/>
    <s v="44440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10"/>
    <n v="228"/>
    <n v="214.32"/>
    <n v="61.505000000000003"/>
    <n v="57.814700000000002"/>
    <n v="61.505000000000003"/>
    <n v="57.814700000000002"/>
    <n v="0"/>
    <s v="CATIVO"/>
    <n v="0"/>
    <s v="44470A4AzulNão se aplicaNão se aplicaNão se aplicaNão se aplicaFora ponta"/>
    <s v="44470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11"/>
    <n v="228"/>
    <n v="214.32"/>
    <n v="38.808"/>
    <n v="36.479520000000001"/>
    <n v="38.808"/>
    <n v="36.479520000000001"/>
    <n v="0"/>
    <s v="CATIVO"/>
    <n v="0"/>
    <s v="44501A4AzulNão se aplicaNão se aplicaNão se aplicaNão se aplicaFora ponta"/>
    <s v="44501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3"/>
    <n v="228"/>
    <n v="214.32"/>
    <n v="31.431999999999999"/>
    <n v="29.54608"/>
    <n v="31.431999999999999"/>
    <n v="29.54608"/>
    <n v="0"/>
    <s v="CATIVO"/>
    <n v="0"/>
    <s v="44531A4AzulNão se aplicaNão se aplicaNão se aplicaNão se aplicaFora ponta"/>
    <s v="44531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0"/>
    <n v="228"/>
    <n v="214.32"/>
    <n v="37.186"/>
    <n v="34.954839999999997"/>
    <n v="37.186"/>
    <n v="34.954839999999997"/>
    <n v="0"/>
    <s v="CATIVO"/>
    <n v="0"/>
    <s v="44562A4AzulNão se aplicaNão se aplicaNão se aplicaNão se aplicaFora ponta"/>
    <s v="44562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4"/>
    <n v="228"/>
    <n v="214.32"/>
    <n v="56.317"/>
    <n v="52.937980000000003"/>
    <n v="56.317"/>
    <n v="52.937980000000003"/>
    <n v="0"/>
    <s v="CATIVO"/>
    <n v="0"/>
    <s v="44593A4AzulNão se aplicaNão se aplicaNão se aplicaNão se aplicaFora ponta"/>
    <s v="44593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1"/>
    <n v="228"/>
    <n v="214.32"/>
    <n v="20.756"/>
    <n v="19.510639999999999"/>
    <n v="20.756"/>
    <n v="19.510639999999999"/>
    <n v="0"/>
    <s v="CATIVO"/>
    <n v="0"/>
    <s v="44621A4AzulNão se aplicaNão se aplicaNão se aplicaNão se aplicaFora ponta"/>
    <s v="44621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2"/>
    <n v="228"/>
    <n v="214.32"/>
    <n v="24.324999999999999"/>
    <n v="22.865500000000001"/>
    <n v="24.324999999999999"/>
    <n v="22.865500000000001"/>
    <n v="0"/>
    <s v="CATIVO"/>
    <n v="0"/>
    <s v="44652A4AzulNão se aplicaNão se aplicaNão se aplicaNão se aplicaFora ponta"/>
    <s v="44652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0"/>
    <x v="5"/>
    <n v="228"/>
    <n v="214.32"/>
    <n v="29.733000000000001"/>
    <n v="27.949020000000001"/>
    <n v="29.733000000000001"/>
    <n v="27.949020000000001"/>
    <n v="0"/>
    <s v="CATIVO"/>
    <n v="0"/>
    <s v="44682A4AzulNão se aplicaNão se aplicaNão se aplicaNão se aplicaFora ponta"/>
    <s v="44682A4Energia horáriaNão se aplicaNão se aplicaNão se aplicaNão se aplicaFora ponta"/>
    <n v="14"/>
    <n v="15"/>
    <n v="66"/>
  </r>
  <r>
    <s v="Regular"/>
    <x v="1"/>
    <x v="1"/>
    <s v="Serviço público"/>
    <x v="1"/>
    <x v="0"/>
    <s v="Não se aplica"/>
    <x v="2"/>
    <x v="6"/>
    <n v="228"/>
    <n v="214.32"/>
    <n v="4.1959999999999997"/>
    <n v="3.9442399999999993"/>
    <n v="4.1959999999999997"/>
    <n v="3.9442399999999993"/>
    <n v="0"/>
    <s v="CATIVO"/>
    <n v="0"/>
    <s v="44348A4AzulNão se aplicaNão se aplicaNão se aplicaNão se aplicaPonta"/>
    <s v="44348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7"/>
    <n v="228"/>
    <n v="214.32"/>
    <n v="6.3650000000000002"/>
    <n v="5.9831000000000003"/>
    <n v="6.3650000000000002"/>
    <n v="5.9831000000000003"/>
    <n v="0"/>
    <s v="CATIVO"/>
    <n v="0"/>
    <s v="44378A4AzulNão se aplicaNão se aplicaNão se aplicaNão se aplicaPonta"/>
    <s v="44378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8"/>
    <n v="228"/>
    <n v="214.32"/>
    <n v="6.4050000000000002"/>
    <n v="6.0206999999999997"/>
    <n v="6.4050000000000002"/>
    <n v="6.0206999999999997"/>
    <n v="0"/>
    <s v="CATIVO"/>
    <n v="0"/>
    <s v="44409A4AzulNão se aplicaNão se aplicaNão se aplicaNão se aplicaPonta"/>
    <s v="44409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9"/>
    <n v="228"/>
    <n v="214.32"/>
    <n v="3.7879999999999998"/>
    <n v="3.5607199999999999"/>
    <n v="3.7879999999999998"/>
    <n v="3.5607199999999999"/>
    <n v="0"/>
    <s v="CATIVO"/>
    <n v="0"/>
    <s v="44440A4AzulNão se aplicaNão se aplicaNão se aplicaNão se aplicaPonta"/>
    <s v="44440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10"/>
    <n v="228"/>
    <n v="214.32"/>
    <n v="8.0120000000000005"/>
    <n v="7.5312799999999998"/>
    <n v="8.0120000000000005"/>
    <n v="7.5312799999999998"/>
    <n v="0"/>
    <s v="CATIVO"/>
    <n v="0"/>
    <s v="44470A4AzulNão se aplicaNão se aplicaNão se aplicaNão se aplicaPonta"/>
    <s v="44470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11"/>
    <n v="228"/>
    <n v="214.32"/>
    <n v="4.8719999999999999"/>
    <n v="4.5796799999999998"/>
    <n v="4.8719999999999999"/>
    <n v="4.5796799999999998"/>
    <n v="0"/>
    <s v="CATIVO"/>
    <n v="0"/>
    <s v="44501A4AzulNão se aplicaNão se aplicaNão se aplicaNão se aplicaPonta"/>
    <s v="44501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3"/>
    <n v="228"/>
    <n v="214.32"/>
    <n v="1.9990000000000001"/>
    <n v="1.87906"/>
    <n v="1.9990000000000001"/>
    <n v="1.87906"/>
    <n v="0"/>
    <s v="CATIVO"/>
    <n v="0"/>
    <s v="44531A4AzulNão se aplicaNão se aplicaNão se aplicaNão se aplicaPonta"/>
    <s v="44531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0"/>
    <n v="228"/>
    <n v="214.32"/>
    <n v="4.0750000000000002"/>
    <n v="3.8304999999999998"/>
    <n v="4.0750000000000002"/>
    <n v="3.8304999999999998"/>
    <n v="0"/>
    <s v="CATIVO"/>
    <n v="0"/>
    <s v="44562A4AzulNão se aplicaNão se aplicaNão se aplicaNão se aplicaPonta"/>
    <s v="44562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4"/>
    <n v="228"/>
    <n v="214.32"/>
    <n v="1.7290000000000001"/>
    <n v="1.6252599999999999"/>
    <n v="1.7290000000000001"/>
    <n v="1.6252599999999999"/>
    <n v="0"/>
    <s v="CATIVO"/>
    <n v="0"/>
    <s v="44593A4AzulNão se aplicaNão se aplicaNão se aplicaNão se aplicaPonta"/>
    <s v="44593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1"/>
    <n v="228"/>
    <n v="214.32"/>
    <n v="0.53400000000000003"/>
    <n v="0.50195999999999996"/>
    <n v="0.53400000000000003"/>
    <n v="0.50195999999999996"/>
    <n v="0"/>
    <s v="CATIVO"/>
    <n v="0"/>
    <s v="44621A4AzulNão se aplicaNão se aplicaNão se aplicaNão se aplicaPonta"/>
    <s v="44621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2"/>
    <n v="228"/>
    <n v="214.32"/>
    <n v="0.55200000000000005"/>
    <n v="0.51888000000000001"/>
    <n v="0.55200000000000005"/>
    <n v="0.51888000000000001"/>
    <n v="0"/>
    <s v="CATIVO"/>
    <n v="0"/>
    <s v="44652A4AzulNão se aplicaNão se aplicaNão se aplicaNão se aplicaPonta"/>
    <s v="44652A4Energia horáriaNão se aplicaNão se aplicaNão se aplicaNão se aplicaPonta"/>
    <n v="13"/>
    <n v="15"/>
    <n v="65"/>
  </r>
  <r>
    <s v="Regular"/>
    <x v="1"/>
    <x v="1"/>
    <s v="Serviço público"/>
    <x v="1"/>
    <x v="0"/>
    <s v="Não se aplica"/>
    <x v="2"/>
    <x v="5"/>
    <n v="228"/>
    <n v="214.32"/>
    <n v="0.63400000000000001"/>
    <n v="0.59596000000000005"/>
    <n v="0.63400000000000001"/>
    <n v="0.59596000000000005"/>
    <n v="0"/>
    <s v="CATIVO"/>
    <n v="0"/>
    <s v="44682A4AzulNão se aplicaNão se aplicaNão se aplicaNão se aplicaPonta"/>
    <s v="44682A4Energia horáriaNão se aplicaNão se aplicaNão se aplicaNão se aplicaPonta"/>
    <n v="13"/>
    <n v="15"/>
    <n v="65"/>
  </r>
  <r>
    <s v="Regular"/>
    <x v="1"/>
    <x v="0"/>
    <s v="Comercial"/>
    <x v="0"/>
    <x v="0"/>
    <s v="Não se aplica"/>
    <x v="0"/>
    <x v="6"/>
    <n v="0"/>
    <n v="0"/>
    <n v="841.98099999999999"/>
    <n v="841.98099999999999"/>
    <n v="841.98099999999999"/>
    <n v="841.98099999999999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7"/>
    <n v="0"/>
    <n v="0"/>
    <n v="872.77300000000002"/>
    <n v="872.77300000000002"/>
    <n v="872.77300000000002"/>
    <n v="872.77300000000002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8"/>
    <n v="0"/>
    <n v="0"/>
    <n v="884.68600000000004"/>
    <n v="884.68600000000004"/>
    <n v="884.68600000000004"/>
    <n v="884.68600000000004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8"/>
    <n v="0"/>
    <n v="0"/>
    <n v="4.5960000000000001"/>
    <n v="4.5960000000000001"/>
    <n v="4.5960000000000001"/>
    <n v="4.5960000000000001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9"/>
    <n v="0"/>
    <n v="0"/>
    <n v="910.68399999999997"/>
    <n v="910.68399999999997"/>
    <n v="910.68399999999997"/>
    <n v="910.68399999999997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faturamento - Regular"/>
    <x v="1"/>
    <x v="0"/>
    <s v="Comercial"/>
    <x v="0"/>
    <x v="0"/>
    <s v="Não se aplica"/>
    <x v="0"/>
    <x v="9"/>
    <n v="0"/>
    <n v="0"/>
    <n v="64.281999999999996"/>
    <n v="64.281999999999996"/>
    <n v="64.281999999999996"/>
    <n v="64.281999999999996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9"/>
    <n v="0"/>
    <n v="0"/>
    <n v="12.022"/>
    <n v="12.022"/>
    <n v="12.022"/>
    <n v="12.022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10"/>
    <n v="0"/>
    <n v="0"/>
    <n v="944.654"/>
    <n v="944.654"/>
    <n v="944.654"/>
    <n v="944.654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10"/>
    <n v="0"/>
    <n v="0"/>
    <n v="7.556"/>
    <n v="7.556"/>
    <n v="7.556"/>
    <n v="7.556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11"/>
    <n v="0"/>
    <n v="0"/>
    <n v="1113.5930000000001"/>
    <n v="1113.5930000000001"/>
    <n v="1113.5930000000001"/>
    <n v="1113.5930000000001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3"/>
    <n v="0"/>
    <n v="0"/>
    <n v="837.38800000000003"/>
    <n v="837.38800000000003"/>
    <n v="837.38800000000003"/>
    <n v="837.38800000000003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3"/>
    <n v="0"/>
    <n v="0"/>
    <n v="186.56700000000001"/>
    <n v="186.56700000000001"/>
    <n v="186.56700000000001"/>
    <n v="186.56700000000001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0"/>
    <n v="0"/>
    <n v="0"/>
    <n v="1032.8920000000001"/>
    <n v="1032.8920000000001"/>
    <n v="1032.8920000000001"/>
    <n v="1032.8920000000001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0"/>
    <n v="0"/>
    <n v="0"/>
    <n v="22.465"/>
    <n v="22.465"/>
    <n v="22.465"/>
    <n v="22.465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4"/>
    <n v="0"/>
    <n v="0"/>
    <n v="944.30499999999995"/>
    <n v="944.30499999999995"/>
    <n v="944.30499999999995"/>
    <n v="944.30499999999995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4"/>
    <n v="0"/>
    <n v="0"/>
    <n v="21.838999999999999"/>
    <n v="21.838999999999999"/>
    <n v="21.838999999999999"/>
    <n v="21.838999999999999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1"/>
    <n v="0"/>
    <n v="0"/>
    <n v="993.05100000000004"/>
    <n v="993.05100000000004"/>
    <n v="993.05100000000004"/>
    <n v="993.05100000000004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Sistema de Compensação"/>
    <x v="1"/>
    <x v="0"/>
    <s v="Comercial"/>
    <x v="0"/>
    <x v="0"/>
    <s v="Não se aplica"/>
    <x v="0"/>
    <x v="1"/>
    <n v="0"/>
    <n v="0"/>
    <n v="39.170999999999999"/>
    <n v="39.170999999999999"/>
    <n v="39.170999999999999"/>
    <n v="39.170999999999999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2"/>
    <n v="0"/>
    <n v="0"/>
    <n v="962.26"/>
    <n v="962.26"/>
    <n v="962.26"/>
    <n v="962.26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faturamento - Regular"/>
    <x v="1"/>
    <x v="0"/>
    <s v="Comercial"/>
    <x v="0"/>
    <x v="0"/>
    <s v="Não se aplica"/>
    <x v="0"/>
    <x v="2"/>
    <n v="0"/>
    <n v="0"/>
    <n v="31.629000000000001"/>
    <n v="31.629000000000001"/>
    <n v="31.629000000000001"/>
    <n v="31.62900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0"/>
    <x v="5"/>
    <n v="0"/>
    <n v="0"/>
    <n v="956.60799999999995"/>
    <n v="956.60799999999995"/>
    <n v="956.60799999999995"/>
    <n v="956.60799999999995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Comercial"/>
    <x v="0"/>
    <x v="0"/>
    <s v="Não se aplica"/>
    <x v="1"/>
    <x v="6"/>
    <n v="4469"/>
    <n v="4469"/>
    <n v="0"/>
    <n v="0"/>
    <n v="0"/>
    <n v="0"/>
    <n v="58"/>
    <s v="CATIVO"/>
    <n v="0"/>
    <s v="44348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6"/>
    <n v="278"/>
    <n v="278"/>
    <n v="0"/>
    <n v="0"/>
    <n v="0"/>
    <n v="0"/>
    <n v="2"/>
    <s v="CATIVO"/>
    <n v="0"/>
    <s v="44348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7"/>
    <n v="4491"/>
    <n v="4491"/>
    <n v="0"/>
    <n v="0"/>
    <n v="0"/>
    <n v="0"/>
    <n v="58"/>
    <s v="CATIVO"/>
    <n v="0"/>
    <s v="44378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7"/>
    <n v="325"/>
    <n v="325"/>
    <n v="0"/>
    <n v="0"/>
    <n v="0"/>
    <n v="0"/>
    <n v="3"/>
    <s v="CATIVO"/>
    <n v="0"/>
    <s v="44378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8"/>
    <n v="4436"/>
    <n v="4436"/>
    <n v="0"/>
    <n v="0"/>
    <n v="0"/>
    <n v="0"/>
    <n v="57"/>
    <s v="CATIVO"/>
    <n v="0"/>
    <s v="44409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8"/>
    <n v="338"/>
    <n v="338"/>
    <n v="0"/>
    <n v="0"/>
    <n v="0"/>
    <n v="0"/>
    <n v="3"/>
    <s v="CATIVO"/>
    <n v="0"/>
    <s v="44409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9"/>
    <n v="4617"/>
    <n v="4617"/>
    <n v="0"/>
    <n v="0"/>
    <n v="0"/>
    <n v="0"/>
    <n v="58"/>
    <s v="CATIVO"/>
    <n v="0"/>
    <s v="44440A4VerdeNão se aplicaNão se aplicaNão se aplicaNão se aplicaNão se aplica"/>
    <m/>
    <n v="18"/>
    <n v="0"/>
    <n v="0"/>
  </r>
  <r>
    <s v="Refaturamento - Regular"/>
    <x v="1"/>
    <x v="0"/>
    <s v="Comercial"/>
    <x v="0"/>
    <x v="0"/>
    <s v="Não se aplica"/>
    <x v="1"/>
    <x v="9"/>
    <n v="88"/>
    <n v="88"/>
    <n v="0"/>
    <n v="0"/>
    <n v="0"/>
    <n v="0"/>
    <n v="0"/>
    <s v="CATIVO"/>
    <n v="0"/>
    <s v="44440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9"/>
    <n v="338"/>
    <n v="338"/>
    <n v="0"/>
    <n v="0"/>
    <n v="0"/>
    <n v="0"/>
    <n v="3"/>
    <s v="CATIVO"/>
    <n v="0"/>
    <s v="44440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10"/>
    <n v="4719"/>
    <n v="4719"/>
    <n v="0"/>
    <n v="0"/>
    <n v="0"/>
    <n v="0"/>
    <n v="57"/>
    <s v="CATIVO"/>
    <n v="0"/>
    <s v="44470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10"/>
    <n v="338"/>
    <n v="338"/>
    <n v="0"/>
    <n v="0"/>
    <n v="0"/>
    <n v="0"/>
    <n v="3"/>
    <s v="CATIVO"/>
    <n v="0"/>
    <s v="44470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10"/>
    <n v="13"/>
    <n v="13"/>
    <n v="0"/>
    <n v="0"/>
    <n v="0"/>
    <n v="0"/>
    <n v="2"/>
    <s v="CATIVO"/>
    <n v="0"/>
    <s v="44470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11"/>
    <n v="4979"/>
    <n v="4979"/>
    <n v="0"/>
    <n v="0"/>
    <n v="0"/>
    <n v="0"/>
    <n v="60"/>
    <s v="CATIVO"/>
    <n v="0"/>
    <s v="44501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11"/>
    <n v="338"/>
    <n v="338"/>
    <n v="0"/>
    <n v="0"/>
    <n v="0"/>
    <n v="0"/>
    <n v="3"/>
    <s v="CATIVO"/>
    <n v="0"/>
    <s v="44501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3"/>
    <n v="4348"/>
    <n v="4348"/>
    <n v="0"/>
    <n v="0"/>
    <n v="0"/>
    <n v="0"/>
    <n v="56"/>
    <s v="CATIVO"/>
    <n v="0"/>
    <s v="44531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3"/>
    <n v="993"/>
    <n v="993"/>
    <n v="0"/>
    <n v="0"/>
    <n v="0"/>
    <n v="0"/>
    <n v="7"/>
    <s v="CATIVO"/>
    <n v="0"/>
    <s v="44531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0"/>
    <n v="5051"/>
    <n v="5051"/>
    <n v="0"/>
    <n v="0"/>
    <n v="0"/>
    <n v="0"/>
    <n v="61"/>
    <s v="CATIVO"/>
    <n v="0"/>
    <s v="44562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0"/>
    <n v="508"/>
    <n v="508"/>
    <n v="0"/>
    <n v="0"/>
    <n v="0"/>
    <n v="0"/>
    <n v="4"/>
    <s v="CATIVO"/>
    <n v="0"/>
    <s v="44562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4"/>
    <n v="4814"/>
    <n v="4814"/>
    <n v="0"/>
    <n v="0"/>
    <n v="0"/>
    <n v="0"/>
    <n v="59"/>
    <s v="CATIVO"/>
    <n v="0"/>
    <s v="44593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4"/>
    <n v="508"/>
    <n v="508"/>
    <n v="0"/>
    <n v="0"/>
    <n v="0"/>
    <n v="0"/>
    <n v="4"/>
    <s v="CATIVO"/>
    <n v="0"/>
    <s v="44593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1"/>
    <n v="4985"/>
    <n v="4985"/>
    <n v="0"/>
    <n v="0"/>
    <n v="0"/>
    <n v="0"/>
    <n v="58"/>
    <s v="CATIVO"/>
    <n v="0"/>
    <s v="44621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1"/>
    <n v="558"/>
    <n v="558"/>
    <n v="0"/>
    <n v="0"/>
    <n v="0"/>
    <n v="0"/>
    <n v="5"/>
    <s v="CATIVO"/>
    <n v="0"/>
    <s v="44621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2"/>
    <n v="5113"/>
    <n v="5113"/>
    <n v="0"/>
    <n v="0"/>
    <n v="0"/>
    <n v="0"/>
    <n v="59"/>
    <s v="CATIVO"/>
    <n v="0"/>
    <s v="44652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2"/>
    <n v="388"/>
    <n v="388"/>
    <n v="0"/>
    <n v="0"/>
    <n v="0"/>
    <n v="0"/>
    <n v="4"/>
    <s v="CATIVO"/>
    <n v="0"/>
    <s v="44652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1"/>
    <x v="5"/>
    <n v="4872"/>
    <n v="4872"/>
    <n v="0"/>
    <n v="0"/>
    <n v="0"/>
    <n v="0"/>
    <n v="57"/>
    <s v="CATIVO"/>
    <n v="0"/>
    <s v="44682A4VerdeNão se aplicaNão se aplicaNão se aplicaNão se aplicaNão se aplica"/>
    <m/>
    <n v="18"/>
    <n v="0"/>
    <n v="0"/>
  </r>
  <r>
    <s v="Sistema de Compensação"/>
    <x v="1"/>
    <x v="0"/>
    <s v="Comercial"/>
    <x v="0"/>
    <x v="0"/>
    <s v="Não se aplica"/>
    <x v="1"/>
    <x v="5"/>
    <n v="558"/>
    <n v="558"/>
    <n v="0"/>
    <n v="0"/>
    <n v="0"/>
    <n v="0"/>
    <n v="5"/>
    <s v="CATIVO"/>
    <n v="0"/>
    <s v="44682A4VerdeNão se aplicaNão se aplicaNão se aplicaNão se aplicaNão se aplica"/>
    <m/>
    <n v="18"/>
    <n v="0"/>
    <n v="0"/>
  </r>
  <r>
    <s v="Regular"/>
    <x v="1"/>
    <x v="0"/>
    <s v="Comercial"/>
    <x v="0"/>
    <x v="0"/>
    <s v="Não se aplica"/>
    <x v="2"/>
    <x v="6"/>
    <n v="0"/>
    <n v="0"/>
    <n v="66.244"/>
    <n v="66.244"/>
    <n v="66.244"/>
    <n v="66.244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7"/>
    <n v="0"/>
    <n v="0"/>
    <n v="71.768000000000001"/>
    <n v="71.768000000000001"/>
    <n v="71.768000000000001"/>
    <n v="71.768000000000001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Sistema de Compensação"/>
    <x v="1"/>
    <x v="0"/>
    <s v="Comercial"/>
    <x v="0"/>
    <x v="0"/>
    <s v="Não se aplica"/>
    <x v="2"/>
    <x v="7"/>
    <n v="0"/>
    <n v="0"/>
    <n v="0.20300000000000001"/>
    <n v="0.20300000000000001"/>
    <n v="0.20300000000000001"/>
    <n v="0.20300000000000001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8"/>
    <n v="0"/>
    <n v="0"/>
    <n v="71.180999999999997"/>
    <n v="71.180999999999997"/>
    <n v="71.180999999999997"/>
    <n v="71.180999999999997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Sistema de Compensação"/>
    <x v="1"/>
    <x v="0"/>
    <s v="Comercial"/>
    <x v="0"/>
    <x v="0"/>
    <s v="Não se aplica"/>
    <x v="2"/>
    <x v="8"/>
    <n v="0"/>
    <n v="0"/>
    <n v="0.98799999999999999"/>
    <n v="0.98799999999999999"/>
    <n v="0.98799999999999999"/>
    <n v="0.98799999999999999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9"/>
    <n v="0"/>
    <n v="0"/>
    <n v="73.046999999999997"/>
    <n v="73.046999999999997"/>
    <n v="73.046999999999997"/>
    <n v="73.046999999999997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faturamento - Regular"/>
    <x v="1"/>
    <x v="0"/>
    <s v="Comercial"/>
    <x v="0"/>
    <x v="0"/>
    <s v="Não se aplica"/>
    <x v="2"/>
    <x v="9"/>
    <n v="0"/>
    <n v="0"/>
    <n v="9.7200000000000006"/>
    <n v="9.7200000000000006"/>
    <n v="9.7200000000000006"/>
    <n v="9.7200000000000006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Sistema de Compensação"/>
    <x v="1"/>
    <x v="0"/>
    <s v="Comercial"/>
    <x v="0"/>
    <x v="0"/>
    <s v="Não se aplica"/>
    <x v="2"/>
    <x v="9"/>
    <n v="0"/>
    <n v="0"/>
    <n v="1.278"/>
    <n v="1.278"/>
    <n v="1.278"/>
    <n v="1.278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10"/>
    <n v="0"/>
    <n v="0"/>
    <n v="73.611999999999995"/>
    <n v="73.611999999999995"/>
    <n v="73.611999999999995"/>
    <n v="73.611999999999995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Sistema de Compensação"/>
    <x v="1"/>
    <x v="0"/>
    <s v="Comercial"/>
    <x v="0"/>
    <x v="0"/>
    <s v="Não se aplica"/>
    <x v="2"/>
    <x v="10"/>
    <n v="0"/>
    <n v="0"/>
    <n v="1.07"/>
    <n v="1.07"/>
    <n v="1.07"/>
    <n v="1.07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11"/>
    <n v="0"/>
    <n v="0"/>
    <n v="97.316000000000003"/>
    <n v="97.316000000000003"/>
    <n v="97.316000000000003"/>
    <n v="97.316000000000003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3"/>
    <n v="0"/>
    <n v="0"/>
    <n v="83.456999999999994"/>
    <n v="83.456999999999994"/>
    <n v="83.456999999999994"/>
    <n v="83.456999999999994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Sistema de Compensação"/>
    <x v="1"/>
    <x v="0"/>
    <s v="Comercial"/>
    <x v="0"/>
    <x v="0"/>
    <s v="Não se aplica"/>
    <x v="2"/>
    <x v="3"/>
    <n v="0"/>
    <n v="0"/>
    <n v="15.183"/>
    <n v="15.183"/>
    <n v="15.183"/>
    <n v="15.183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0"/>
    <n v="0"/>
    <n v="0"/>
    <n v="80.004000000000005"/>
    <n v="80.004000000000005"/>
    <n v="80.004000000000005"/>
    <n v="80.004000000000005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4"/>
    <n v="0"/>
    <n v="0"/>
    <n v="75.513000000000005"/>
    <n v="75.513000000000005"/>
    <n v="75.513000000000005"/>
    <n v="75.513000000000005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1"/>
    <n v="0"/>
    <n v="0"/>
    <n v="81.575999999999993"/>
    <n v="81.575999999999993"/>
    <n v="81.575999999999993"/>
    <n v="81.575999999999993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2"/>
    <n v="0"/>
    <n v="0"/>
    <n v="63.951999999999998"/>
    <n v="63.951999999999998"/>
    <n v="63.951999999999998"/>
    <n v="63.951999999999998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faturamento - Regular"/>
    <x v="1"/>
    <x v="0"/>
    <s v="Comercial"/>
    <x v="0"/>
    <x v="0"/>
    <s v="Não se aplica"/>
    <x v="2"/>
    <x v="2"/>
    <n v="0"/>
    <n v="0"/>
    <n v="3.145"/>
    <n v="3.145"/>
    <n v="3.145"/>
    <n v="3.145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Comercial"/>
    <x v="0"/>
    <x v="0"/>
    <s v="Não se aplica"/>
    <x v="2"/>
    <x v="5"/>
    <n v="0"/>
    <n v="0"/>
    <n v="76.406999999999996"/>
    <n v="76.406999999999996"/>
    <n v="76.406999999999996"/>
    <n v="76.406999999999996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1"/>
    <x v="0"/>
    <s v="Industrial"/>
    <x v="0"/>
    <x v="1"/>
    <s v="Não se aplica"/>
    <x v="0"/>
    <x v="6"/>
    <n v="0"/>
    <n v="0"/>
    <n v="2193.7249999999999"/>
    <n v="2193.7249999999999"/>
    <n v="0"/>
    <n v="0"/>
    <n v="0"/>
    <s v="LIVRE"/>
    <n v="0"/>
    <s v="44348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7"/>
    <n v="0"/>
    <n v="0"/>
    <n v="2078.8359999999998"/>
    <n v="2078.8359999999998"/>
    <n v="0"/>
    <n v="0"/>
    <n v="0"/>
    <s v="LIVRE"/>
    <n v="0"/>
    <s v="44378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8"/>
    <n v="0"/>
    <n v="0"/>
    <n v="2262.5709999999999"/>
    <n v="2262.5709999999999"/>
    <n v="0"/>
    <n v="0"/>
    <n v="0"/>
    <s v="LIVRE"/>
    <n v="0"/>
    <s v="44409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9"/>
    <n v="0"/>
    <n v="0"/>
    <n v="1877.665"/>
    <n v="1877.665"/>
    <n v="0"/>
    <n v="0"/>
    <n v="0"/>
    <s v="LIVRE"/>
    <n v="0"/>
    <s v="44440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10"/>
    <n v="0"/>
    <n v="0"/>
    <n v="2452.4029999999998"/>
    <n v="2452.4029999999998"/>
    <n v="0"/>
    <n v="0"/>
    <n v="0"/>
    <s v="LIVRE"/>
    <n v="0"/>
    <s v="44470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11"/>
    <n v="0"/>
    <n v="0"/>
    <n v="2507.5810000000001"/>
    <n v="2507.5810000000001"/>
    <n v="0"/>
    <n v="0"/>
    <n v="0"/>
    <s v="LIVRE"/>
    <n v="0"/>
    <s v="44501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3"/>
    <n v="0"/>
    <n v="0"/>
    <n v="2568.9499999999998"/>
    <n v="2568.9499999999998"/>
    <n v="0"/>
    <n v="0"/>
    <n v="0"/>
    <s v="LIVRE"/>
    <n v="0"/>
    <s v="44531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0"/>
    <n v="0"/>
    <n v="0"/>
    <n v="2392.5479999999998"/>
    <n v="2392.5479999999998"/>
    <n v="0"/>
    <n v="0"/>
    <n v="0"/>
    <s v="LIVRE"/>
    <n v="0"/>
    <s v="44562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4"/>
    <n v="0"/>
    <n v="0"/>
    <n v="2477.0079999999998"/>
    <n v="2477.0079999999998"/>
    <n v="0"/>
    <n v="0"/>
    <n v="0"/>
    <s v="LIVRE"/>
    <n v="0"/>
    <s v="44593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1"/>
    <n v="0"/>
    <n v="0"/>
    <n v="2495.9270000000001"/>
    <n v="2495.9270000000001"/>
    <n v="0"/>
    <n v="0"/>
    <n v="0"/>
    <s v="LIVRE"/>
    <n v="0"/>
    <s v="44621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2"/>
    <n v="0"/>
    <n v="0"/>
    <n v="2841.056"/>
    <n v="2841.056"/>
    <n v="0"/>
    <n v="0"/>
    <n v="0"/>
    <s v="LIVRE"/>
    <n v="0"/>
    <s v="44652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0"/>
    <x v="5"/>
    <n v="0"/>
    <n v="0"/>
    <n v="1900.19"/>
    <n v="1900.19"/>
    <n v="0"/>
    <n v="0"/>
    <n v="0"/>
    <s v="LIVRE"/>
    <n v="0"/>
    <s v="44682A4VerdeNão se aplicaNão se aplicaNão se aplicaNão se aplicaFora ponta"/>
    <m/>
    <n v="0"/>
    <n v="20"/>
    <n v="0"/>
  </r>
  <r>
    <s v="Regular"/>
    <x v="1"/>
    <x v="0"/>
    <s v="Industrial"/>
    <x v="0"/>
    <x v="1"/>
    <s v="Não se aplica"/>
    <x v="1"/>
    <x v="6"/>
    <n v="6743"/>
    <n v="3371.5"/>
    <n v="0"/>
    <n v="0"/>
    <n v="0"/>
    <n v="0"/>
    <n v="10"/>
    <s v="LIVRE"/>
    <n v="0"/>
    <s v="44348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7"/>
    <n v="6840"/>
    <n v="3420"/>
    <n v="0"/>
    <n v="0"/>
    <n v="0"/>
    <n v="0"/>
    <n v="10"/>
    <s v="LIVRE"/>
    <n v="0"/>
    <s v="44378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8"/>
    <n v="6855"/>
    <n v="3427.5"/>
    <n v="0"/>
    <n v="0"/>
    <n v="0"/>
    <n v="0"/>
    <n v="10"/>
    <s v="LIVRE"/>
    <n v="0"/>
    <s v="44409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9"/>
    <n v="5195"/>
    <n v="2597.5"/>
    <n v="0"/>
    <n v="0"/>
    <n v="0"/>
    <n v="0"/>
    <n v="10"/>
    <s v="LIVRE"/>
    <n v="0"/>
    <s v="44440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10"/>
    <n v="6646"/>
    <n v="3323"/>
    <n v="0"/>
    <n v="0"/>
    <n v="0"/>
    <n v="0"/>
    <n v="11"/>
    <s v="LIVRE"/>
    <n v="0"/>
    <s v="44470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11"/>
    <n v="6803"/>
    <n v="3401.5"/>
    <n v="0"/>
    <n v="0"/>
    <n v="0"/>
    <n v="0"/>
    <n v="12"/>
    <s v="LIVRE"/>
    <n v="0"/>
    <s v="44501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3"/>
    <n v="6862"/>
    <n v="3431"/>
    <n v="0"/>
    <n v="0"/>
    <n v="0"/>
    <n v="0"/>
    <n v="12"/>
    <s v="LIVRE"/>
    <n v="0"/>
    <s v="44531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0"/>
    <n v="6817"/>
    <n v="3408.5"/>
    <n v="0"/>
    <n v="0"/>
    <n v="0"/>
    <n v="0"/>
    <n v="12"/>
    <s v="LIVRE"/>
    <n v="0"/>
    <s v="44562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4"/>
    <n v="6956"/>
    <n v="3478"/>
    <n v="0"/>
    <n v="0"/>
    <n v="0"/>
    <n v="0"/>
    <n v="12"/>
    <s v="LIVRE"/>
    <n v="0"/>
    <s v="44593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1"/>
    <n v="6826"/>
    <n v="3413"/>
    <n v="0"/>
    <n v="0"/>
    <n v="0"/>
    <n v="0"/>
    <n v="12"/>
    <s v="LIVRE"/>
    <n v="0"/>
    <s v="44621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2"/>
    <n v="7054"/>
    <n v="3527"/>
    <n v="0"/>
    <n v="0"/>
    <n v="0"/>
    <n v="0"/>
    <n v="12"/>
    <s v="LIVRE"/>
    <n v="0"/>
    <s v="44652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1"/>
    <x v="5"/>
    <n v="5327"/>
    <n v="2663.5"/>
    <n v="0"/>
    <n v="0"/>
    <n v="0"/>
    <n v="0"/>
    <n v="11"/>
    <s v="LIVRE"/>
    <n v="0"/>
    <s v="44682A4VerdeNão se aplicaNão se aplicaNão se aplicaNão se aplicaNão se aplica"/>
    <m/>
    <n v="18"/>
    <n v="0"/>
    <n v="0"/>
  </r>
  <r>
    <s v="Regular"/>
    <x v="1"/>
    <x v="0"/>
    <s v="Industrial"/>
    <x v="0"/>
    <x v="1"/>
    <s v="Não se aplica"/>
    <x v="2"/>
    <x v="6"/>
    <n v="0"/>
    <n v="0"/>
    <n v="226.70599999999999"/>
    <n v="113.35299999999999"/>
    <n v="0"/>
    <n v="0"/>
    <n v="0"/>
    <s v="LIVRE"/>
    <n v="0"/>
    <s v="44348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7"/>
    <n v="0"/>
    <n v="0"/>
    <n v="222.68600000000001"/>
    <n v="111.343"/>
    <n v="0"/>
    <n v="0"/>
    <n v="0"/>
    <s v="LIVRE"/>
    <n v="0"/>
    <s v="44378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8"/>
    <n v="0"/>
    <n v="0"/>
    <n v="230.55199999999999"/>
    <n v="115.276"/>
    <n v="0"/>
    <n v="0"/>
    <n v="0"/>
    <s v="LIVRE"/>
    <n v="0"/>
    <s v="44409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9"/>
    <n v="0"/>
    <n v="0"/>
    <n v="201.41900000000001"/>
    <n v="100.70950000000001"/>
    <n v="0"/>
    <n v="0"/>
    <n v="0"/>
    <s v="LIVRE"/>
    <n v="0"/>
    <s v="44440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10"/>
    <n v="0"/>
    <n v="0"/>
    <n v="266.76"/>
    <n v="133.38"/>
    <n v="0"/>
    <n v="0"/>
    <n v="0"/>
    <s v="LIVRE"/>
    <n v="0"/>
    <s v="44470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11"/>
    <n v="0"/>
    <n v="0"/>
    <n v="257.44299999999998"/>
    <n v="128.72149999999999"/>
    <n v="0"/>
    <n v="0"/>
    <n v="0"/>
    <s v="LIVRE"/>
    <n v="0"/>
    <s v="44501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3"/>
    <n v="0"/>
    <n v="0"/>
    <n v="276.63499999999999"/>
    <n v="138.3175"/>
    <n v="0"/>
    <n v="0"/>
    <n v="0"/>
    <s v="LIVRE"/>
    <n v="0"/>
    <s v="44531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0"/>
    <n v="0"/>
    <n v="0"/>
    <n v="262.87700000000001"/>
    <n v="131.4385"/>
    <n v="0"/>
    <n v="0"/>
    <n v="0"/>
    <s v="LIVRE"/>
    <n v="0"/>
    <s v="44562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4"/>
    <n v="0"/>
    <n v="0"/>
    <n v="261.62799999999999"/>
    <n v="130.81399999999999"/>
    <n v="0"/>
    <n v="0"/>
    <n v="0"/>
    <s v="LIVRE"/>
    <n v="0"/>
    <s v="44593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1"/>
    <n v="0"/>
    <n v="0"/>
    <n v="277.09199999999998"/>
    <n v="138.54599999999999"/>
    <n v="0"/>
    <n v="0"/>
    <n v="0"/>
    <s v="LIVRE"/>
    <n v="0"/>
    <s v="44621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2"/>
    <n v="0"/>
    <n v="0"/>
    <n v="318.57600000000002"/>
    <n v="159.28800000000001"/>
    <n v="0"/>
    <n v="0"/>
    <n v="0"/>
    <s v="LIVRE"/>
    <n v="0"/>
    <s v="44652A4VerdeNão se aplicaNão se aplicaNão se aplicaNão se aplicaPonta"/>
    <m/>
    <n v="0"/>
    <n v="19"/>
    <n v="0"/>
  </r>
  <r>
    <s v="Regular"/>
    <x v="1"/>
    <x v="0"/>
    <s v="Industrial"/>
    <x v="0"/>
    <x v="1"/>
    <s v="Não se aplica"/>
    <x v="2"/>
    <x v="5"/>
    <n v="0"/>
    <n v="0"/>
    <n v="206.87200000000001"/>
    <n v="103.43600000000001"/>
    <n v="0"/>
    <n v="0"/>
    <n v="0"/>
    <s v="LIVRE"/>
    <n v="0"/>
    <s v="44682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0"/>
    <x v="6"/>
    <n v="0"/>
    <n v="0"/>
    <n v="3057.0749999999998"/>
    <n v="3057.0749999999998"/>
    <n v="3057.0749999999998"/>
    <n v="3057.0749999999998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6"/>
    <n v="0"/>
    <n v="0"/>
    <n v="1102.6579999999999"/>
    <n v="1102.6579999999999"/>
    <n v="0"/>
    <n v="0"/>
    <n v="0"/>
    <s v="LIVRE"/>
    <n v="0"/>
    <s v="44348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7"/>
    <n v="0"/>
    <n v="0"/>
    <n v="3203.6149999999998"/>
    <n v="3203.6149999999998"/>
    <n v="3203.6149999999998"/>
    <n v="3203.6149999999998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7"/>
    <n v="0"/>
    <n v="0"/>
    <n v="1087.0160000000001"/>
    <n v="1087.0160000000001"/>
    <n v="0"/>
    <n v="0"/>
    <n v="0"/>
    <s v="LIVRE"/>
    <n v="0"/>
    <s v="44378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8"/>
    <n v="0"/>
    <n v="0"/>
    <n v="3170.1239999999998"/>
    <n v="3170.1239999999998"/>
    <n v="3170.1239999999998"/>
    <n v="3170.1239999999998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8"/>
    <n v="0"/>
    <n v="0"/>
    <n v="927.79300000000001"/>
    <n v="927.79300000000001"/>
    <n v="0"/>
    <n v="0"/>
    <n v="0"/>
    <s v="LIVRE"/>
    <n v="0"/>
    <s v="44409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9"/>
    <n v="0"/>
    <n v="0"/>
    <n v="2499.0369999999998"/>
    <n v="2499.0369999999998"/>
    <n v="2499.0369999999998"/>
    <n v="2499.0369999999998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9"/>
    <n v="0"/>
    <n v="0"/>
    <n v="1500.617"/>
    <n v="1500.617"/>
    <n v="0"/>
    <n v="0"/>
    <n v="0"/>
    <s v="LIVRE"/>
    <n v="0"/>
    <s v="44440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10"/>
    <n v="0"/>
    <n v="0"/>
    <n v="2360.2080000000001"/>
    <n v="2360.2080000000001"/>
    <n v="2360.2080000000001"/>
    <n v="2360.2080000000001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10"/>
    <n v="0"/>
    <n v="0"/>
    <n v="1505.259"/>
    <n v="1505.259"/>
    <n v="0"/>
    <n v="0"/>
    <n v="0"/>
    <s v="LIVRE"/>
    <n v="0"/>
    <s v="44470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11"/>
    <n v="0"/>
    <n v="0"/>
    <n v="2343.73"/>
    <n v="2343.73"/>
    <n v="2343.73"/>
    <n v="2343.73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11"/>
    <n v="0"/>
    <n v="0"/>
    <n v="1210.21"/>
    <n v="1210.21"/>
    <n v="0"/>
    <n v="0"/>
    <n v="0"/>
    <s v="LIVRE"/>
    <n v="0"/>
    <s v="44501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3"/>
    <n v="0"/>
    <n v="0"/>
    <n v="2227.1109999999999"/>
    <n v="2227.1109999999999"/>
    <n v="2227.1109999999999"/>
    <n v="2227.1109999999999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3"/>
    <n v="0"/>
    <n v="0"/>
    <n v="1486.385"/>
    <n v="1486.385"/>
    <n v="0"/>
    <n v="0"/>
    <n v="0"/>
    <s v="LIVRE"/>
    <n v="0"/>
    <s v="44531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0"/>
    <n v="0"/>
    <n v="0"/>
    <n v="2130.0970000000002"/>
    <n v="2130.0970000000002"/>
    <n v="2130.0970000000002"/>
    <n v="2130.0970000000002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Sistema de Compensação"/>
    <x v="1"/>
    <x v="0"/>
    <s v="Industrial"/>
    <x v="0"/>
    <x v="0"/>
    <s v="Não se aplica"/>
    <x v="0"/>
    <x v="0"/>
    <n v="0"/>
    <n v="0"/>
    <n v="9.0370000000000008"/>
    <n v="9.0370000000000008"/>
    <n v="9.0370000000000008"/>
    <n v="9.0370000000000008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0"/>
    <n v="0"/>
    <n v="0"/>
    <n v="1045.3130000000001"/>
    <n v="1045.3130000000001"/>
    <n v="0"/>
    <n v="0"/>
    <n v="0"/>
    <s v="LIVRE"/>
    <n v="0"/>
    <s v="44562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4"/>
    <n v="0"/>
    <n v="0"/>
    <n v="2147.5100000000002"/>
    <n v="2147.5100000000002"/>
    <n v="2147.5100000000002"/>
    <n v="2147.5100000000002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Sistema de Compensação"/>
    <x v="1"/>
    <x v="0"/>
    <s v="Industrial"/>
    <x v="0"/>
    <x v="0"/>
    <s v="Não se aplica"/>
    <x v="0"/>
    <x v="4"/>
    <n v="0"/>
    <n v="0"/>
    <n v="15.106"/>
    <n v="15.106"/>
    <n v="15.106"/>
    <n v="15.106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4"/>
    <n v="0"/>
    <n v="0"/>
    <n v="1217.2239999999999"/>
    <n v="1217.2239999999999"/>
    <n v="0"/>
    <n v="0"/>
    <n v="0"/>
    <s v="LIVRE"/>
    <n v="0"/>
    <s v="44593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1"/>
    <n v="0"/>
    <n v="0"/>
    <n v="2303.9630000000002"/>
    <n v="2303.9630000000002"/>
    <n v="2303.9630000000002"/>
    <n v="2303.9630000000002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Sistema de Compensação"/>
    <x v="1"/>
    <x v="0"/>
    <s v="Industrial"/>
    <x v="0"/>
    <x v="0"/>
    <s v="Não se aplica"/>
    <x v="0"/>
    <x v="1"/>
    <n v="0"/>
    <n v="0"/>
    <n v="25.742000000000001"/>
    <n v="25.742000000000001"/>
    <n v="25.742000000000001"/>
    <n v="25.742000000000001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1"/>
    <n v="0"/>
    <n v="0"/>
    <n v="1248.2180000000001"/>
    <n v="1248.2180000000001"/>
    <n v="0"/>
    <n v="0"/>
    <n v="0"/>
    <s v="LIVRE"/>
    <n v="0"/>
    <s v="44621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2"/>
    <n v="0"/>
    <n v="0"/>
    <n v="2278.2260000000001"/>
    <n v="2278.2260000000001"/>
    <n v="2278.2260000000001"/>
    <n v="2278.226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Sistema de Compensação"/>
    <x v="1"/>
    <x v="0"/>
    <s v="Industrial"/>
    <x v="0"/>
    <x v="0"/>
    <s v="Não se aplica"/>
    <x v="0"/>
    <x v="2"/>
    <n v="0"/>
    <n v="0"/>
    <n v="19.172000000000001"/>
    <n v="19.172000000000001"/>
    <n v="19.172000000000001"/>
    <n v="19.17200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2"/>
    <n v="0"/>
    <n v="0"/>
    <n v="1454.5050000000001"/>
    <n v="1454.5050000000001"/>
    <n v="0"/>
    <n v="0"/>
    <n v="0"/>
    <s v="LIVRE"/>
    <n v="0"/>
    <s v="44652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0"/>
    <x v="5"/>
    <n v="0"/>
    <n v="0"/>
    <n v="2448.098"/>
    <n v="2448.098"/>
    <n v="2448.098"/>
    <n v="2448.098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Sistema de Compensação"/>
    <x v="1"/>
    <x v="0"/>
    <s v="Industrial"/>
    <x v="0"/>
    <x v="0"/>
    <s v="Não se aplica"/>
    <x v="0"/>
    <x v="5"/>
    <n v="0"/>
    <n v="0"/>
    <n v="21.18"/>
    <n v="21.18"/>
    <n v="21.18"/>
    <n v="21.18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Industrial"/>
    <x v="0"/>
    <x v="0"/>
    <s v="Não se aplica"/>
    <x v="0"/>
    <x v="5"/>
    <n v="0"/>
    <n v="0"/>
    <n v="1225.2950000000001"/>
    <n v="1225.2950000000001"/>
    <n v="0"/>
    <n v="0"/>
    <n v="0"/>
    <s v="LIVRE"/>
    <n v="0"/>
    <s v="44682A4VerdeNão se aplicaNão se aplicaNão se aplicaNão se aplicaFora ponta"/>
    <m/>
    <n v="0"/>
    <n v="20"/>
    <n v="0"/>
  </r>
  <r>
    <s v="Regular"/>
    <x v="1"/>
    <x v="0"/>
    <s v="Industrial"/>
    <x v="0"/>
    <x v="0"/>
    <s v="Não se aplica"/>
    <x v="1"/>
    <x v="6"/>
    <n v="15381"/>
    <n v="15381"/>
    <n v="0"/>
    <n v="0"/>
    <n v="0"/>
    <n v="0"/>
    <n v="81"/>
    <s v="CATIVO"/>
    <n v="0"/>
    <s v="44348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6"/>
    <n v="4750"/>
    <n v="4750"/>
    <n v="0"/>
    <n v="0"/>
    <n v="0"/>
    <n v="0"/>
    <n v="1"/>
    <s v="LIVRE"/>
    <n v="0"/>
    <s v="44348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7"/>
    <n v="15303"/>
    <n v="15303"/>
    <n v="0"/>
    <n v="0"/>
    <n v="0"/>
    <n v="0"/>
    <n v="80"/>
    <s v="CATIVO"/>
    <n v="0"/>
    <s v="44378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7"/>
    <n v="4750"/>
    <n v="4750"/>
    <n v="0"/>
    <n v="0"/>
    <n v="0"/>
    <n v="0"/>
    <n v="1"/>
    <s v="LIVRE"/>
    <n v="0"/>
    <s v="44378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8"/>
    <n v="15329"/>
    <n v="15329"/>
    <n v="0"/>
    <n v="0"/>
    <n v="0"/>
    <n v="0"/>
    <n v="80"/>
    <s v="CATIVO"/>
    <n v="0"/>
    <s v="44409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8"/>
    <n v="4750"/>
    <n v="4750"/>
    <n v="0"/>
    <n v="0"/>
    <n v="0"/>
    <n v="0"/>
    <n v="1"/>
    <s v="LIVRE"/>
    <n v="0"/>
    <s v="44409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9"/>
    <n v="13950"/>
    <n v="13950"/>
    <n v="0"/>
    <n v="0"/>
    <n v="0"/>
    <n v="0"/>
    <n v="79"/>
    <s v="CATIVO"/>
    <n v="0"/>
    <s v="44440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9"/>
    <n v="6350"/>
    <n v="6350"/>
    <n v="0"/>
    <n v="0"/>
    <n v="0"/>
    <n v="0"/>
    <n v="2"/>
    <s v="LIVRE"/>
    <n v="0"/>
    <s v="44440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0"/>
    <n v="13821"/>
    <n v="13821"/>
    <n v="0"/>
    <n v="0"/>
    <n v="0"/>
    <n v="0"/>
    <n v="78"/>
    <s v="CATIVO"/>
    <n v="0"/>
    <s v="44470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0"/>
    <n v="6350"/>
    <n v="6350"/>
    <n v="0"/>
    <n v="0"/>
    <n v="0"/>
    <n v="0"/>
    <n v="2"/>
    <s v="LIVRE"/>
    <n v="0"/>
    <s v="44470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1"/>
    <n v="13823"/>
    <n v="13823"/>
    <n v="0"/>
    <n v="0"/>
    <n v="0"/>
    <n v="0"/>
    <n v="78"/>
    <s v="CATIVO"/>
    <n v="0"/>
    <s v="4450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1"/>
    <n v="6350"/>
    <n v="6350"/>
    <n v="0"/>
    <n v="0"/>
    <n v="0"/>
    <n v="0"/>
    <n v="2"/>
    <s v="LIVRE"/>
    <n v="0"/>
    <s v="4450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3"/>
    <n v="13606"/>
    <n v="13606"/>
    <n v="0"/>
    <n v="0"/>
    <n v="0"/>
    <n v="0"/>
    <n v="77"/>
    <s v="CATIVO"/>
    <n v="0"/>
    <s v="44531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3"/>
    <n v="280"/>
    <n v="280"/>
    <n v="0"/>
    <n v="0"/>
    <n v="0"/>
    <n v="0"/>
    <n v="1"/>
    <s v="CATIVO"/>
    <n v="0"/>
    <s v="4453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3"/>
    <n v="6350"/>
    <n v="6350"/>
    <n v="0"/>
    <n v="0"/>
    <n v="0"/>
    <n v="0"/>
    <n v="2"/>
    <s v="LIVRE"/>
    <n v="0"/>
    <s v="4453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0"/>
    <n v="13577"/>
    <n v="13577"/>
    <n v="0"/>
    <n v="0"/>
    <n v="0"/>
    <n v="0"/>
    <n v="76"/>
    <s v="CATIVO"/>
    <n v="0"/>
    <s v="44562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0"/>
    <n v="280"/>
    <n v="280"/>
    <n v="0"/>
    <n v="0"/>
    <n v="0"/>
    <n v="0"/>
    <n v="1"/>
    <s v="CATIVO"/>
    <n v="0"/>
    <s v="4456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0"/>
    <n v="6350"/>
    <n v="6350"/>
    <n v="0"/>
    <n v="0"/>
    <n v="0"/>
    <n v="0"/>
    <n v="2"/>
    <s v="LIVRE"/>
    <n v="0"/>
    <s v="4456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4"/>
    <n v="13674"/>
    <n v="13674"/>
    <n v="0"/>
    <n v="0"/>
    <n v="0"/>
    <n v="0"/>
    <n v="77"/>
    <s v="CATIVO"/>
    <n v="0"/>
    <s v="44593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4"/>
    <n v="280"/>
    <n v="280"/>
    <n v="0"/>
    <n v="0"/>
    <n v="0"/>
    <n v="0"/>
    <n v="1"/>
    <s v="CATIVO"/>
    <n v="0"/>
    <s v="44593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4"/>
    <n v="6350"/>
    <n v="6350"/>
    <n v="0"/>
    <n v="0"/>
    <n v="0"/>
    <n v="0"/>
    <n v="2"/>
    <s v="LIVRE"/>
    <n v="0"/>
    <s v="44593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"/>
    <n v="13669"/>
    <n v="13669"/>
    <n v="0"/>
    <n v="0"/>
    <n v="0"/>
    <n v="0"/>
    <n v="76"/>
    <s v="CATIVO"/>
    <n v="0"/>
    <s v="44621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1"/>
    <n v="281"/>
    <n v="281"/>
    <n v="0"/>
    <n v="0"/>
    <n v="0"/>
    <n v="0"/>
    <n v="1"/>
    <s v="CATIVO"/>
    <n v="0"/>
    <s v="4462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1"/>
    <n v="6000"/>
    <n v="6000"/>
    <n v="0"/>
    <n v="0"/>
    <n v="0"/>
    <n v="0"/>
    <n v="2"/>
    <s v="LIVRE"/>
    <n v="0"/>
    <s v="44621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2"/>
    <n v="13744"/>
    <n v="13744"/>
    <n v="0"/>
    <n v="0"/>
    <n v="0"/>
    <n v="0"/>
    <n v="77"/>
    <s v="CATIVO"/>
    <n v="0"/>
    <s v="44652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2"/>
    <n v="280"/>
    <n v="280"/>
    <n v="0"/>
    <n v="0"/>
    <n v="0"/>
    <n v="0"/>
    <n v="1"/>
    <s v="CATIVO"/>
    <n v="0"/>
    <s v="4465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2"/>
    <n v="6145"/>
    <n v="6145"/>
    <n v="0"/>
    <n v="0"/>
    <n v="0"/>
    <n v="0"/>
    <n v="2"/>
    <s v="LIVRE"/>
    <n v="0"/>
    <s v="4465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5"/>
    <n v="13786"/>
    <n v="13786"/>
    <n v="0"/>
    <n v="0"/>
    <n v="0"/>
    <n v="0"/>
    <n v="78"/>
    <s v="CATIVO"/>
    <n v="0"/>
    <s v="44682A4VerdeNão se aplicaNão se aplicaNão se aplicaNão se aplicaNão se aplica"/>
    <m/>
    <n v="18"/>
    <n v="0"/>
    <n v="0"/>
  </r>
  <r>
    <s v="Sistema de Compensação"/>
    <x v="1"/>
    <x v="0"/>
    <s v="Industrial"/>
    <x v="0"/>
    <x v="0"/>
    <s v="Não se aplica"/>
    <x v="1"/>
    <x v="5"/>
    <n v="296"/>
    <n v="296"/>
    <n v="0"/>
    <n v="0"/>
    <n v="0"/>
    <n v="0"/>
    <n v="1"/>
    <s v="CATIVO"/>
    <n v="0"/>
    <s v="4468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1"/>
    <x v="5"/>
    <n v="6000"/>
    <n v="6000"/>
    <n v="0"/>
    <n v="0"/>
    <n v="0"/>
    <n v="0"/>
    <n v="2"/>
    <s v="LIVRE"/>
    <n v="0"/>
    <s v="44682A4VerdeNão se aplicaNão se aplicaNão se aplicaNão se aplicaNão se aplica"/>
    <m/>
    <n v="18"/>
    <n v="0"/>
    <n v="0"/>
  </r>
  <r>
    <s v="Regular"/>
    <x v="1"/>
    <x v="0"/>
    <s v="Industrial"/>
    <x v="0"/>
    <x v="0"/>
    <s v="Não se aplica"/>
    <x v="2"/>
    <x v="6"/>
    <n v="0"/>
    <n v="0"/>
    <n v="146.16"/>
    <n v="146.16"/>
    <n v="146.16"/>
    <n v="146.16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6"/>
    <n v="0"/>
    <n v="0"/>
    <n v="66.706999999999994"/>
    <n v="66.706999999999994"/>
    <n v="0"/>
    <n v="0"/>
    <n v="0"/>
    <s v="LIVRE"/>
    <n v="0"/>
    <s v="44348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7"/>
    <n v="0"/>
    <n v="0"/>
    <n v="150.155"/>
    <n v="150.155"/>
    <n v="150.155"/>
    <n v="150.155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7"/>
    <n v="0"/>
    <n v="0"/>
    <n v="62.363999999999997"/>
    <n v="62.363999999999997"/>
    <n v="0"/>
    <n v="0"/>
    <n v="0"/>
    <s v="LIVRE"/>
    <n v="0"/>
    <s v="44378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8"/>
    <n v="0"/>
    <n v="0"/>
    <n v="165.23599999999999"/>
    <n v="165.23599999999999"/>
    <n v="165.23599999999999"/>
    <n v="165.23599999999999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8"/>
    <n v="0"/>
    <n v="0"/>
    <n v="54.103999999999999"/>
    <n v="54.103999999999999"/>
    <n v="0"/>
    <n v="0"/>
    <n v="0"/>
    <s v="LIVRE"/>
    <n v="0"/>
    <s v="44409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9"/>
    <n v="0"/>
    <n v="0"/>
    <n v="146.303"/>
    <n v="146.303"/>
    <n v="146.303"/>
    <n v="146.303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9"/>
    <n v="0"/>
    <n v="0"/>
    <n v="129.36799999999999"/>
    <n v="129.36799999999999"/>
    <n v="0"/>
    <n v="0"/>
    <n v="0"/>
    <s v="LIVRE"/>
    <n v="0"/>
    <s v="44440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10"/>
    <n v="0"/>
    <n v="0"/>
    <n v="131.60599999999999"/>
    <n v="131.60599999999999"/>
    <n v="131.60599999999999"/>
    <n v="131.60599999999999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10"/>
    <n v="0"/>
    <n v="0"/>
    <n v="120.376"/>
    <n v="120.376"/>
    <n v="0"/>
    <n v="0"/>
    <n v="0"/>
    <s v="LIVRE"/>
    <n v="0"/>
    <s v="44470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11"/>
    <n v="0"/>
    <n v="0"/>
    <n v="133.28399999999999"/>
    <n v="133.28399999999999"/>
    <n v="133.28399999999999"/>
    <n v="133.28399999999999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11"/>
    <n v="0"/>
    <n v="0"/>
    <n v="100.55800000000001"/>
    <n v="100.55800000000001"/>
    <n v="0"/>
    <n v="0"/>
    <n v="0"/>
    <s v="LIVRE"/>
    <n v="0"/>
    <s v="44501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3"/>
    <n v="0"/>
    <n v="0"/>
    <n v="127.95399999999999"/>
    <n v="127.95399999999999"/>
    <n v="127.95399999999999"/>
    <n v="127.95399999999999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3"/>
    <n v="0"/>
    <n v="0"/>
    <n v="0.70799999999999996"/>
    <n v="0.70799999999999996"/>
    <n v="0.70799999999999996"/>
    <n v="0.70799999999999996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3"/>
    <n v="0"/>
    <n v="0"/>
    <n v="135.91800000000001"/>
    <n v="135.91800000000001"/>
    <n v="0"/>
    <n v="0"/>
    <n v="0"/>
    <s v="LIVRE"/>
    <n v="0"/>
    <s v="44531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0"/>
    <n v="0"/>
    <n v="0"/>
    <n v="127.07299999999999"/>
    <n v="127.07299999999999"/>
    <n v="127.07299999999999"/>
    <n v="127.07299999999999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0"/>
    <n v="0"/>
    <n v="0"/>
    <n v="0.40100000000000002"/>
    <n v="0.40100000000000002"/>
    <n v="0.40100000000000002"/>
    <n v="0.40100000000000002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0"/>
    <n v="0"/>
    <n v="0"/>
    <n v="90.295000000000002"/>
    <n v="90.295000000000002"/>
    <n v="0"/>
    <n v="0"/>
    <n v="0"/>
    <s v="LIVRE"/>
    <n v="0"/>
    <s v="44562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4"/>
    <n v="0"/>
    <n v="0"/>
    <n v="125.185"/>
    <n v="125.185"/>
    <n v="125.185"/>
    <n v="125.185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4"/>
    <n v="0"/>
    <n v="0"/>
    <n v="0.34399999999999997"/>
    <n v="0.34399999999999997"/>
    <n v="0.34399999999999997"/>
    <n v="0.34399999999999997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4"/>
    <n v="0"/>
    <n v="0"/>
    <n v="80.036000000000001"/>
    <n v="80.036000000000001"/>
    <n v="0"/>
    <n v="0"/>
    <n v="0"/>
    <s v="LIVRE"/>
    <n v="0"/>
    <s v="44593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1"/>
    <n v="0"/>
    <n v="0"/>
    <n v="133.631"/>
    <n v="133.631"/>
    <n v="133.631"/>
    <n v="133.631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1"/>
    <n v="0"/>
    <n v="0"/>
    <n v="0.746"/>
    <n v="0.746"/>
    <n v="0.746"/>
    <n v="0.746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1"/>
    <n v="0"/>
    <n v="0"/>
    <n v="82.472999999999999"/>
    <n v="82.472999999999999"/>
    <n v="0"/>
    <n v="0"/>
    <n v="0"/>
    <s v="LIVRE"/>
    <n v="0"/>
    <s v="44621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2"/>
    <n v="0"/>
    <n v="0"/>
    <n v="139.10300000000001"/>
    <n v="139.10300000000001"/>
    <n v="139.10300000000001"/>
    <n v="139.10300000000001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2"/>
    <n v="0"/>
    <n v="0"/>
    <n v="0.57599999999999996"/>
    <n v="0.57599999999999996"/>
    <n v="0.57599999999999996"/>
    <n v="0.57599999999999996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2"/>
    <n v="0"/>
    <n v="0"/>
    <n v="98.531000000000006"/>
    <n v="98.531000000000006"/>
    <n v="0"/>
    <n v="0"/>
    <n v="0"/>
    <s v="LIVRE"/>
    <n v="0"/>
    <s v="44652A4VerdeNão se aplicaNão se aplicaNão se aplicaNão se aplicaPonta"/>
    <m/>
    <n v="0"/>
    <n v="19"/>
    <n v="0"/>
  </r>
  <r>
    <s v="Regular"/>
    <x v="1"/>
    <x v="0"/>
    <s v="Industrial"/>
    <x v="0"/>
    <x v="0"/>
    <s v="Não se aplica"/>
    <x v="2"/>
    <x v="5"/>
    <n v="0"/>
    <n v="0"/>
    <n v="146.923"/>
    <n v="146.923"/>
    <n v="146.923"/>
    <n v="146.923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Sistema de Compensação"/>
    <x v="1"/>
    <x v="0"/>
    <s v="Industrial"/>
    <x v="0"/>
    <x v="0"/>
    <s v="Não se aplica"/>
    <x v="2"/>
    <x v="5"/>
    <n v="0"/>
    <n v="0"/>
    <n v="0.75800000000000001"/>
    <n v="0.75800000000000001"/>
    <n v="0.75800000000000001"/>
    <n v="0.75800000000000001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1"/>
    <x v="0"/>
    <s v="Industrial"/>
    <x v="0"/>
    <x v="0"/>
    <s v="Não se aplica"/>
    <x v="2"/>
    <x v="5"/>
    <n v="0"/>
    <n v="0"/>
    <n v="87.602000000000004"/>
    <n v="87.602000000000004"/>
    <n v="0"/>
    <n v="0"/>
    <n v="0"/>
    <s v="LIVRE"/>
    <n v="0"/>
    <s v="44682A4VerdeNão se aplicaNão se aplicaNão se aplicaNão se aplicaPonta"/>
    <m/>
    <n v="0"/>
    <n v="19"/>
    <n v="0"/>
  </r>
  <r>
    <s v="Regular"/>
    <x v="1"/>
    <x v="0"/>
    <s v="Poder público"/>
    <x v="0"/>
    <x v="0"/>
    <s v="Não se aplica"/>
    <x v="0"/>
    <x v="6"/>
    <n v="0"/>
    <n v="0"/>
    <n v="54.496000000000002"/>
    <n v="54.496000000000002"/>
    <n v="54.496000000000002"/>
    <n v="54.496000000000002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6"/>
    <n v="0"/>
    <n v="0"/>
    <n v="2.1139999999999999"/>
    <n v="2.1139999999999999"/>
    <n v="2.1139999999999999"/>
    <n v="2.1139999999999999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7"/>
    <n v="0"/>
    <n v="0"/>
    <n v="58.798999999999999"/>
    <n v="58.798999999999999"/>
    <n v="58.798999999999999"/>
    <n v="58.798999999999999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7"/>
    <n v="0"/>
    <n v="0"/>
    <n v="1.413"/>
    <n v="1.413"/>
    <n v="1.413"/>
    <n v="1.413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8"/>
    <n v="0"/>
    <n v="0"/>
    <n v="55.762"/>
    <n v="55.762"/>
    <n v="55.762"/>
    <n v="55.762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8"/>
    <n v="0"/>
    <n v="0"/>
    <n v="1.7689999999999999"/>
    <n v="1.7689999999999999"/>
    <n v="1.7689999999999999"/>
    <n v="1.7689999999999999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9"/>
    <n v="0"/>
    <n v="0"/>
    <n v="49.957000000000001"/>
    <n v="49.957000000000001"/>
    <n v="49.957000000000001"/>
    <n v="49.957000000000001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9"/>
    <n v="0"/>
    <n v="0"/>
    <n v="1.742"/>
    <n v="1.742"/>
    <n v="1.742"/>
    <n v="1.742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10"/>
    <n v="0"/>
    <n v="0"/>
    <n v="49.451999999999998"/>
    <n v="49.451999999999998"/>
    <n v="49.451999999999998"/>
    <n v="49.451999999999998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10"/>
    <n v="0"/>
    <n v="0"/>
    <n v="2.2709999999999999"/>
    <n v="2.2709999999999999"/>
    <n v="2.2709999999999999"/>
    <n v="2.2709999999999999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11"/>
    <n v="0"/>
    <n v="0"/>
    <n v="53.615000000000002"/>
    <n v="53.615000000000002"/>
    <n v="53.615000000000002"/>
    <n v="53.615000000000002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11"/>
    <n v="0"/>
    <n v="0"/>
    <n v="2.242"/>
    <n v="2.242"/>
    <n v="2.242"/>
    <n v="2.242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3"/>
    <n v="0"/>
    <n v="0"/>
    <n v="52.048000000000002"/>
    <n v="52.048000000000002"/>
    <n v="52.048000000000002"/>
    <n v="52.048000000000002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3"/>
    <n v="0"/>
    <n v="0"/>
    <n v="2.5059999999999998"/>
    <n v="2.5059999999999998"/>
    <n v="2.5059999999999998"/>
    <n v="2.5059999999999998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0"/>
    <n v="0"/>
    <n v="0"/>
    <n v="56.295999999999999"/>
    <n v="56.295999999999999"/>
    <n v="56.295999999999999"/>
    <n v="56.295999999999999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0"/>
    <n v="0"/>
    <n v="0"/>
    <n v="2.1160000000000001"/>
    <n v="2.1160000000000001"/>
    <n v="2.1160000000000001"/>
    <n v="2.1160000000000001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4"/>
    <n v="0"/>
    <n v="0"/>
    <n v="59.365000000000002"/>
    <n v="59.365000000000002"/>
    <n v="59.365000000000002"/>
    <n v="59.365000000000002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1"/>
    <n v="0"/>
    <n v="0"/>
    <n v="66.935000000000002"/>
    <n v="66.935000000000002"/>
    <n v="66.935000000000002"/>
    <n v="66.935000000000002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1"/>
    <n v="0"/>
    <n v="0"/>
    <n v="7.3609999999999998"/>
    <n v="7.3609999999999998"/>
    <n v="7.3609999999999998"/>
    <n v="7.3609999999999998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2"/>
    <n v="0"/>
    <n v="0"/>
    <n v="49.951000000000001"/>
    <n v="49.951000000000001"/>
    <n v="49.951000000000001"/>
    <n v="49.95100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2"/>
    <n v="0"/>
    <n v="0"/>
    <n v="6.6920000000000002"/>
    <n v="6.6920000000000002"/>
    <n v="6.6920000000000002"/>
    <n v="6.6920000000000002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0"/>
    <x v="5"/>
    <n v="0"/>
    <n v="0"/>
    <n v="60.122"/>
    <n v="60.122"/>
    <n v="60.122"/>
    <n v="60.122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Sistema de Compensação"/>
    <x v="1"/>
    <x v="0"/>
    <s v="Poder público"/>
    <x v="0"/>
    <x v="0"/>
    <s v="Não se aplica"/>
    <x v="0"/>
    <x v="5"/>
    <n v="0"/>
    <n v="0"/>
    <n v="8.782"/>
    <n v="8.782"/>
    <n v="8.782"/>
    <n v="8.782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Poder público"/>
    <x v="0"/>
    <x v="0"/>
    <s v="Não se aplica"/>
    <x v="1"/>
    <x v="6"/>
    <n v="595"/>
    <n v="595"/>
    <n v="0"/>
    <n v="0"/>
    <n v="0"/>
    <n v="0"/>
    <n v="9"/>
    <s v="CATIVO"/>
    <n v="0"/>
    <s v="44348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6"/>
    <n v="40"/>
    <n v="40"/>
    <n v="0"/>
    <n v="0"/>
    <n v="0"/>
    <n v="0"/>
    <n v="1"/>
    <s v="CATIVO"/>
    <n v="0"/>
    <s v="44348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7"/>
    <n v="591"/>
    <n v="591"/>
    <n v="0"/>
    <n v="0"/>
    <n v="0"/>
    <n v="0"/>
    <n v="9"/>
    <s v="CATIVO"/>
    <n v="0"/>
    <s v="44378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7"/>
    <n v="40"/>
    <n v="40"/>
    <n v="0"/>
    <n v="0"/>
    <n v="0"/>
    <n v="0"/>
    <n v="1"/>
    <s v="CATIVO"/>
    <n v="0"/>
    <s v="44378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8"/>
    <n v="577"/>
    <n v="577"/>
    <n v="0"/>
    <n v="0"/>
    <n v="0"/>
    <n v="0"/>
    <n v="9"/>
    <s v="CATIVO"/>
    <n v="0"/>
    <s v="44409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8"/>
    <n v="40"/>
    <n v="40"/>
    <n v="0"/>
    <n v="0"/>
    <n v="0"/>
    <n v="0"/>
    <n v="1"/>
    <s v="CATIVO"/>
    <n v="0"/>
    <s v="44409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9"/>
    <n v="575"/>
    <n v="575"/>
    <n v="0"/>
    <n v="0"/>
    <n v="0"/>
    <n v="0"/>
    <n v="9"/>
    <s v="CATIVO"/>
    <n v="0"/>
    <s v="44440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9"/>
    <n v="40"/>
    <n v="40"/>
    <n v="0"/>
    <n v="0"/>
    <n v="0"/>
    <n v="0"/>
    <n v="1"/>
    <s v="CATIVO"/>
    <n v="0"/>
    <s v="44440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10"/>
    <n v="575"/>
    <n v="575"/>
    <n v="0"/>
    <n v="0"/>
    <n v="0"/>
    <n v="0"/>
    <n v="9"/>
    <s v="CATIVO"/>
    <n v="0"/>
    <s v="44470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10"/>
    <n v="40"/>
    <n v="40"/>
    <n v="0"/>
    <n v="0"/>
    <n v="0"/>
    <n v="0"/>
    <n v="1"/>
    <s v="CATIVO"/>
    <n v="0"/>
    <s v="44470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11"/>
    <n v="588"/>
    <n v="588"/>
    <n v="0"/>
    <n v="0"/>
    <n v="0"/>
    <n v="0"/>
    <n v="9"/>
    <s v="CATIVO"/>
    <n v="0"/>
    <s v="44501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11"/>
    <n v="40"/>
    <n v="40"/>
    <n v="0"/>
    <n v="0"/>
    <n v="0"/>
    <n v="0"/>
    <n v="1"/>
    <s v="CATIVO"/>
    <n v="0"/>
    <s v="44501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3"/>
    <n v="607"/>
    <n v="607"/>
    <n v="0"/>
    <n v="0"/>
    <n v="0"/>
    <n v="0"/>
    <n v="9"/>
    <s v="CATIVO"/>
    <n v="0"/>
    <s v="44531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3"/>
    <n v="40"/>
    <n v="40"/>
    <n v="0"/>
    <n v="0"/>
    <n v="0"/>
    <n v="0"/>
    <n v="1"/>
    <s v="CATIVO"/>
    <n v="0"/>
    <s v="44531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0"/>
    <n v="599"/>
    <n v="599"/>
    <n v="0"/>
    <n v="0"/>
    <n v="0"/>
    <n v="0"/>
    <n v="9"/>
    <s v="CATIVO"/>
    <n v="0"/>
    <s v="44562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0"/>
    <n v="40"/>
    <n v="40"/>
    <n v="0"/>
    <n v="0"/>
    <n v="0"/>
    <n v="0"/>
    <n v="1"/>
    <s v="CATIVO"/>
    <n v="0"/>
    <s v="44562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4"/>
    <n v="610"/>
    <n v="610"/>
    <n v="0"/>
    <n v="0"/>
    <n v="0"/>
    <n v="0"/>
    <n v="9"/>
    <s v="CATIVO"/>
    <n v="0"/>
    <s v="44593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1"/>
    <n v="627"/>
    <n v="627"/>
    <n v="0"/>
    <n v="0"/>
    <n v="0"/>
    <n v="0"/>
    <n v="9"/>
    <s v="CATIVO"/>
    <n v="0"/>
    <s v="44621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1"/>
    <n v="42"/>
    <n v="42"/>
    <n v="0"/>
    <n v="0"/>
    <n v="0"/>
    <n v="0"/>
    <n v="1"/>
    <s v="CATIVO"/>
    <n v="0"/>
    <s v="44621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2"/>
    <n v="575"/>
    <n v="575"/>
    <n v="0"/>
    <n v="0"/>
    <n v="0"/>
    <n v="0"/>
    <n v="9"/>
    <s v="CATIVO"/>
    <n v="0"/>
    <s v="44652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2"/>
    <n v="40"/>
    <n v="40"/>
    <n v="0"/>
    <n v="0"/>
    <n v="0"/>
    <n v="0"/>
    <n v="1"/>
    <s v="CATIVO"/>
    <n v="0"/>
    <s v="44652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1"/>
    <x v="5"/>
    <n v="579"/>
    <n v="579"/>
    <n v="0"/>
    <n v="0"/>
    <n v="0"/>
    <n v="0"/>
    <n v="9"/>
    <s v="CATIVO"/>
    <n v="0"/>
    <s v="44682A4VerdeNão se aplicaNão se aplicaNão se aplicaNão se aplicaNão se aplica"/>
    <m/>
    <n v="18"/>
    <n v="0"/>
    <n v="0"/>
  </r>
  <r>
    <s v="Sistema de Compensação"/>
    <x v="1"/>
    <x v="0"/>
    <s v="Poder público"/>
    <x v="0"/>
    <x v="0"/>
    <s v="Não se aplica"/>
    <x v="1"/>
    <x v="5"/>
    <n v="53"/>
    <n v="53"/>
    <n v="0"/>
    <n v="0"/>
    <n v="0"/>
    <n v="0"/>
    <n v="1"/>
    <s v="CATIVO"/>
    <n v="0"/>
    <s v="44682A4VerdeNão se aplicaNão se aplicaNão se aplicaNão se aplicaNão se aplica"/>
    <m/>
    <n v="18"/>
    <n v="0"/>
    <n v="0"/>
  </r>
  <r>
    <s v="Regular"/>
    <x v="1"/>
    <x v="0"/>
    <s v="Poder público"/>
    <x v="0"/>
    <x v="0"/>
    <s v="Não se aplica"/>
    <x v="2"/>
    <x v="6"/>
    <n v="0"/>
    <n v="0"/>
    <n v="4.1100000000000003"/>
    <n v="4.1100000000000003"/>
    <n v="4.1100000000000003"/>
    <n v="4.1100000000000003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6"/>
    <n v="0"/>
    <n v="0"/>
    <n v="0.35799999999999998"/>
    <n v="0.35799999999999998"/>
    <n v="0.35799999999999998"/>
    <n v="0.35799999999999998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7"/>
    <n v="0"/>
    <n v="0"/>
    <n v="4.3680000000000003"/>
    <n v="4.3680000000000003"/>
    <n v="4.3680000000000003"/>
    <n v="4.3680000000000003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7"/>
    <n v="0"/>
    <n v="0"/>
    <n v="0.35199999999999998"/>
    <n v="0.35199999999999998"/>
    <n v="0.35199999999999998"/>
    <n v="0.35199999999999998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8"/>
    <n v="0"/>
    <n v="0"/>
    <n v="4.242"/>
    <n v="4.242"/>
    <n v="4.242"/>
    <n v="4.242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8"/>
    <n v="0"/>
    <n v="0"/>
    <n v="0.39900000000000002"/>
    <n v="0.39900000000000002"/>
    <n v="0.39900000000000002"/>
    <n v="0.39900000000000002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9"/>
    <n v="0"/>
    <n v="0"/>
    <n v="3.9380000000000002"/>
    <n v="3.9380000000000002"/>
    <n v="3.9380000000000002"/>
    <n v="3.9380000000000002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9"/>
    <n v="0"/>
    <n v="0"/>
    <n v="0.38"/>
    <n v="0.38"/>
    <n v="0.38"/>
    <n v="0.38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10"/>
    <n v="0"/>
    <n v="0"/>
    <n v="3.7810000000000001"/>
    <n v="3.7810000000000001"/>
    <n v="3.7810000000000001"/>
    <n v="3.7810000000000001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10"/>
    <n v="0"/>
    <n v="0"/>
    <n v="0.32600000000000001"/>
    <n v="0.32600000000000001"/>
    <n v="0.32600000000000001"/>
    <n v="0.32600000000000001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11"/>
    <n v="0"/>
    <n v="0"/>
    <n v="4.0570000000000004"/>
    <n v="4.0570000000000004"/>
    <n v="4.0570000000000004"/>
    <n v="4.0570000000000004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11"/>
    <n v="0"/>
    <n v="0"/>
    <n v="0.51300000000000001"/>
    <n v="0.51300000000000001"/>
    <n v="0.51300000000000001"/>
    <n v="0.51300000000000001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3"/>
    <n v="0"/>
    <n v="0"/>
    <n v="4.41"/>
    <n v="4.41"/>
    <n v="4.41"/>
    <n v="4.41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3"/>
    <n v="0"/>
    <n v="0"/>
    <n v="0.66500000000000004"/>
    <n v="0.66500000000000004"/>
    <n v="0.66500000000000004"/>
    <n v="0.66500000000000004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0"/>
    <n v="0"/>
    <n v="0"/>
    <n v="4.3259999999999996"/>
    <n v="4.3259999999999996"/>
    <n v="4.3259999999999996"/>
    <n v="4.3259999999999996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0"/>
    <n v="0"/>
    <n v="0"/>
    <n v="0.35299999999999998"/>
    <n v="0.35299999999999998"/>
    <n v="0.35299999999999998"/>
    <n v="0.35299999999999998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4"/>
    <n v="0"/>
    <n v="0"/>
    <n v="4.3650000000000002"/>
    <n v="4.3650000000000002"/>
    <n v="4.3650000000000002"/>
    <n v="4.3650000000000002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1"/>
    <n v="0"/>
    <n v="0"/>
    <n v="4.7930000000000001"/>
    <n v="4.7930000000000001"/>
    <n v="4.7930000000000001"/>
    <n v="4.7930000000000001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1"/>
    <n v="0"/>
    <n v="0"/>
    <n v="1.859"/>
    <n v="1.859"/>
    <n v="1.859"/>
    <n v="1.859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2"/>
    <n v="0"/>
    <n v="0"/>
    <n v="3.782"/>
    <n v="3.782"/>
    <n v="3.782"/>
    <n v="3.782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2"/>
    <n v="0"/>
    <n v="0"/>
    <n v="1.6759999999999999"/>
    <n v="1.6759999999999999"/>
    <n v="1.6759999999999999"/>
    <n v="1.6759999999999999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Poder público"/>
    <x v="0"/>
    <x v="0"/>
    <s v="Não se aplica"/>
    <x v="2"/>
    <x v="5"/>
    <n v="0"/>
    <n v="0"/>
    <n v="4.5629999999999997"/>
    <n v="4.5629999999999997"/>
    <n v="4.5629999999999997"/>
    <n v="4.5629999999999997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Sistema de Compensação"/>
    <x v="1"/>
    <x v="0"/>
    <s v="Poder público"/>
    <x v="0"/>
    <x v="0"/>
    <s v="Não se aplica"/>
    <x v="2"/>
    <x v="5"/>
    <n v="0"/>
    <n v="0"/>
    <n v="2.444"/>
    <n v="2.444"/>
    <n v="2.444"/>
    <n v="2.444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0"/>
    <x v="6"/>
    <n v="0"/>
    <n v="0"/>
    <n v="1.1679999999999999"/>
    <n v="1.1679999999999999"/>
    <n v="1.1679999999999999"/>
    <n v="1.1679999999999999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7"/>
    <n v="0"/>
    <n v="0"/>
    <n v="1.3240000000000001"/>
    <n v="1.3240000000000001"/>
    <n v="1.3240000000000001"/>
    <n v="1.3240000000000001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8"/>
    <n v="0"/>
    <n v="0"/>
    <n v="1.2330000000000001"/>
    <n v="1.2330000000000001"/>
    <n v="1.2330000000000001"/>
    <n v="1.2330000000000001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9"/>
    <n v="0"/>
    <n v="0"/>
    <n v="1.385"/>
    <n v="1.385"/>
    <n v="1.385"/>
    <n v="1.385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10"/>
    <n v="0"/>
    <n v="0"/>
    <n v="1.3320000000000001"/>
    <n v="1.3320000000000001"/>
    <n v="1.3320000000000001"/>
    <n v="1.3320000000000001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11"/>
    <n v="0"/>
    <n v="0"/>
    <n v="1.327"/>
    <n v="1.327"/>
    <n v="1.327"/>
    <n v="1.327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3"/>
    <n v="0"/>
    <n v="0"/>
    <n v="2.3889999999999998"/>
    <n v="2.3889999999999998"/>
    <n v="2.3889999999999998"/>
    <n v="2.3889999999999998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0"/>
    <n v="0"/>
    <n v="0"/>
    <n v="1.429"/>
    <n v="1.429"/>
    <n v="1.429"/>
    <n v="1.429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4"/>
    <n v="0"/>
    <n v="0"/>
    <n v="1.653"/>
    <n v="1.653"/>
    <n v="1.653"/>
    <n v="1.653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1"/>
    <n v="0"/>
    <n v="0"/>
    <n v="1.2490000000000001"/>
    <n v="1.2490000000000001"/>
    <n v="1.2490000000000001"/>
    <n v="1.2490000000000001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2"/>
    <n v="0"/>
    <n v="0"/>
    <n v="1.2390000000000001"/>
    <n v="1.2390000000000001"/>
    <n v="1.2390000000000001"/>
    <n v="1.239000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0"/>
    <x v="5"/>
    <n v="0"/>
    <n v="0"/>
    <n v="1.054"/>
    <n v="1.054"/>
    <n v="1.054"/>
    <n v="1.054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Residencial"/>
    <x v="2"/>
    <x v="0"/>
    <s v="Não se aplica"/>
    <x v="1"/>
    <x v="6"/>
    <n v="30"/>
    <n v="30"/>
    <n v="0"/>
    <n v="0"/>
    <n v="0"/>
    <n v="0"/>
    <n v="1"/>
    <s v="CATIVO"/>
    <n v="0"/>
    <s v="44348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7"/>
    <n v="30"/>
    <n v="30"/>
    <n v="0"/>
    <n v="0"/>
    <n v="0"/>
    <n v="0"/>
    <n v="1"/>
    <s v="CATIVO"/>
    <n v="0"/>
    <s v="44378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8"/>
    <n v="30"/>
    <n v="30"/>
    <n v="0"/>
    <n v="0"/>
    <n v="0"/>
    <n v="0"/>
    <n v="1"/>
    <s v="CATIVO"/>
    <n v="0"/>
    <s v="44409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9"/>
    <n v="30"/>
    <n v="30"/>
    <n v="0"/>
    <n v="0"/>
    <n v="0"/>
    <n v="0"/>
    <n v="1"/>
    <s v="CATIVO"/>
    <n v="0"/>
    <s v="44440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10"/>
    <n v="30"/>
    <n v="30"/>
    <n v="0"/>
    <n v="0"/>
    <n v="0"/>
    <n v="0"/>
    <n v="1"/>
    <s v="CATIVO"/>
    <n v="0"/>
    <s v="44470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11"/>
    <n v="30"/>
    <n v="30"/>
    <n v="0"/>
    <n v="0"/>
    <n v="0"/>
    <n v="0"/>
    <n v="1"/>
    <s v="CATIVO"/>
    <n v="0"/>
    <s v="44501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3"/>
    <n v="30"/>
    <n v="30"/>
    <n v="0"/>
    <n v="0"/>
    <n v="0"/>
    <n v="0"/>
    <n v="1"/>
    <s v="CATIVO"/>
    <n v="0"/>
    <s v="44531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0"/>
    <n v="30"/>
    <n v="30"/>
    <n v="0"/>
    <n v="0"/>
    <n v="0"/>
    <n v="0"/>
    <n v="1"/>
    <s v="CATIVO"/>
    <n v="0"/>
    <s v="44562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4"/>
    <n v="30"/>
    <n v="30"/>
    <n v="0"/>
    <n v="0"/>
    <n v="0"/>
    <n v="0"/>
    <n v="1"/>
    <s v="CATIVO"/>
    <n v="0"/>
    <s v="44593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1"/>
    <n v="30"/>
    <n v="30"/>
    <n v="0"/>
    <n v="0"/>
    <n v="0"/>
    <n v="0"/>
    <n v="1"/>
    <s v="CATIVO"/>
    <n v="0"/>
    <s v="44621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2"/>
    <n v="30"/>
    <n v="30"/>
    <n v="0"/>
    <n v="0"/>
    <n v="0"/>
    <n v="0"/>
    <n v="1"/>
    <s v="CATIVO"/>
    <n v="0"/>
    <s v="44652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1"/>
    <x v="5"/>
    <n v="30"/>
    <n v="30"/>
    <n v="0"/>
    <n v="0"/>
    <n v="0"/>
    <n v="0"/>
    <n v="1"/>
    <s v="CATIVO"/>
    <n v="0"/>
    <s v="44682A4VerdeNão se aplicaNão se aplicaNão se aplicaNão se aplicaNão se aplica"/>
    <m/>
    <n v="18"/>
    <n v="0"/>
    <n v="0"/>
  </r>
  <r>
    <s v="Regular"/>
    <x v="1"/>
    <x v="0"/>
    <s v="Residencial"/>
    <x v="2"/>
    <x v="0"/>
    <s v="Não se aplica"/>
    <x v="2"/>
    <x v="7"/>
    <n v="0"/>
    <n v="0"/>
    <n v="8.8999999999999996E-2"/>
    <n v="8.8999999999999996E-2"/>
    <n v="8.8999999999999996E-2"/>
    <n v="8.8999999999999996E-2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8"/>
    <n v="0"/>
    <n v="0"/>
    <n v="5.6000000000000001E-2"/>
    <n v="5.6000000000000001E-2"/>
    <n v="5.6000000000000001E-2"/>
    <n v="5.6000000000000001E-2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9"/>
    <n v="0"/>
    <n v="0"/>
    <n v="7.6999999999999999E-2"/>
    <n v="7.6999999999999999E-2"/>
    <n v="7.6999999999999999E-2"/>
    <n v="7.6999999999999999E-2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10"/>
    <n v="0"/>
    <n v="0"/>
    <n v="5.6000000000000001E-2"/>
    <n v="5.6000000000000001E-2"/>
    <n v="5.6000000000000001E-2"/>
    <n v="5.6000000000000001E-2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11"/>
    <n v="0"/>
    <n v="0"/>
    <n v="8.6999999999999994E-2"/>
    <n v="8.6999999999999994E-2"/>
    <n v="8.6999999999999994E-2"/>
    <n v="8.6999999999999994E-2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3"/>
    <n v="0"/>
    <n v="0"/>
    <n v="0.22"/>
    <n v="0.22"/>
    <n v="0.22"/>
    <n v="0.22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0"/>
    <n v="0"/>
    <n v="0"/>
    <n v="0.128"/>
    <n v="0.128"/>
    <n v="0.128"/>
    <n v="0.128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4"/>
    <n v="0"/>
    <n v="0"/>
    <n v="0.13700000000000001"/>
    <n v="0.13700000000000001"/>
    <n v="0.13700000000000001"/>
    <n v="0.13700000000000001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1"/>
    <n v="0"/>
    <n v="0"/>
    <n v="0.112"/>
    <n v="0.112"/>
    <n v="0.112"/>
    <n v="0.112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2"/>
    <n v="0"/>
    <n v="0"/>
    <n v="4.5999999999999999E-2"/>
    <n v="4.5999999999999999E-2"/>
    <n v="4.5999999999999999E-2"/>
    <n v="4.5999999999999999E-2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Residencial"/>
    <x v="2"/>
    <x v="0"/>
    <s v="Não se aplica"/>
    <x v="2"/>
    <x v="5"/>
    <n v="0"/>
    <n v="0"/>
    <n v="0.13100000000000001"/>
    <n v="0.13100000000000001"/>
    <n v="0.13100000000000001"/>
    <n v="0.13100000000000001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0"/>
    <x v="6"/>
    <n v="0"/>
    <n v="0"/>
    <n v="5.0549999999999997"/>
    <n v="4.8527999999999993"/>
    <n v="5.0549999999999997"/>
    <n v="4.8527999999999993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7"/>
    <n v="0"/>
    <n v="0"/>
    <n v="3.0209999999999999"/>
    <n v="2.9001600000000001"/>
    <n v="3.0209999999999999"/>
    <n v="2.9001600000000001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8"/>
    <n v="0"/>
    <n v="0"/>
    <n v="2.4289999999999998"/>
    <n v="2.3318400000000001"/>
    <n v="2.4289999999999998"/>
    <n v="2.3318400000000001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9"/>
    <n v="0"/>
    <n v="0"/>
    <n v="2.7210000000000001"/>
    <n v="2.6121599999999998"/>
    <n v="2.7210000000000001"/>
    <n v="2.6121599999999998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10"/>
    <n v="0"/>
    <n v="0"/>
    <n v="2.7639999999999998"/>
    <n v="2.6534399999999998"/>
    <n v="2.7639999999999998"/>
    <n v="2.6534399999999998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11"/>
    <n v="0"/>
    <n v="0"/>
    <n v="2.819"/>
    <n v="2.7062400000000002"/>
    <n v="2.819"/>
    <n v="2.7062400000000002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3"/>
    <n v="0"/>
    <n v="0"/>
    <n v="2.294"/>
    <n v="2.2022400000000002"/>
    <n v="2.294"/>
    <n v="2.2022400000000002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4"/>
    <n v="0"/>
    <n v="0"/>
    <n v="3.8010000000000002"/>
    <n v="3.6489600000000002"/>
    <n v="3.8010000000000002"/>
    <n v="3.6489600000000002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1"/>
    <n v="0"/>
    <n v="0"/>
    <n v="3.0979999999999999"/>
    <n v="2.9740799999999998"/>
    <n v="3.0979999999999999"/>
    <n v="2.9740799999999998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2"/>
    <n v="0"/>
    <n v="0"/>
    <n v="2.2429999999999999"/>
    <n v="2.1532800000000001"/>
    <n v="2.2429999999999999"/>
    <n v="2.1532800000000001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0"/>
    <x v="5"/>
    <n v="0"/>
    <n v="0"/>
    <n v="2.492"/>
    <n v="2.3923199999999998"/>
    <n v="2.492"/>
    <n v="2.3923199999999998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Rural"/>
    <x v="0"/>
    <x v="0"/>
    <s v="Não se aplica"/>
    <x v="1"/>
    <x v="6"/>
    <n v="98"/>
    <n v="94.08"/>
    <n v="0"/>
    <n v="0"/>
    <n v="0"/>
    <n v="0"/>
    <n v="2"/>
    <s v="CATIVO"/>
    <n v="0"/>
    <s v="44348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7"/>
    <n v="37"/>
    <n v="35.520000000000003"/>
    <n v="0"/>
    <n v="0"/>
    <n v="0"/>
    <n v="0"/>
    <n v="2"/>
    <s v="CATIVO"/>
    <n v="0"/>
    <s v="44378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8"/>
    <n v="37"/>
    <n v="35.520000000000003"/>
    <n v="0"/>
    <n v="0"/>
    <n v="0"/>
    <n v="0"/>
    <n v="2"/>
    <s v="CATIVO"/>
    <n v="0"/>
    <s v="44409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9"/>
    <n v="37"/>
    <n v="35.520000000000003"/>
    <n v="0"/>
    <n v="0"/>
    <n v="0"/>
    <n v="0"/>
    <n v="2"/>
    <s v="CATIVO"/>
    <n v="0"/>
    <s v="44440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10"/>
    <n v="37"/>
    <n v="35.520000000000003"/>
    <n v="0"/>
    <n v="0"/>
    <n v="0"/>
    <n v="0"/>
    <n v="2"/>
    <s v="CATIVO"/>
    <n v="0"/>
    <s v="44470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11"/>
    <n v="37"/>
    <n v="35.520000000000003"/>
    <n v="0"/>
    <n v="0"/>
    <n v="0"/>
    <n v="0"/>
    <n v="2"/>
    <s v="CATIVO"/>
    <n v="0"/>
    <s v="44501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3"/>
    <n v="37"/>
    <n v="35.520000000000003"/>
    <n v="0"/>
    <n v="0"/>
    <n v="0"/>
    <n v="0"/>
    <n v="2"/>
    <s v="CATIVO"/>
    <n v="0"/>
    <s v="44531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4"/>
    <n v="30"/>
    <n v="28.8"/>
    <n v="0"/>
    <n v="0"/>
    <n v="0"/>
    <n v="0"/>
    <n v="1"/>
    <s v="CATIVO"/>
    <n v="0"/>
    <s v="44593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1"/>
    <n v="30"/>
    <n v="28.8"/>
    <n v="0"/>
    <n v="0"/>
    <n v="0"/>
    <n v="0"/>
    <n v="1"/>
    <s v="CATIVO"/>
    <n v="0"/>
    <s v="44621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2"/>
    <n v="30"/>
    <n v="28.8"/>
    <n v="0"/>
    <n v="0"/>
    <n v="0"/>
    <n v="0"/>
    <n v="1"/>
    <s v="CATIVO"/>
    <n v="0"/>
    <s v="44652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1"/>
    <x v="5"/>
    <n v="30"/>
    <n v="28.8"/>
    <n v="0"/>
    <n v="0"/>
    <n v="0"/>
    <n v="0"/>
    <n v="1"/>
    <s v="CATIVO"/>
    <n v="0"/>
    <s v="44682A4VerdeNão se aplicaNão se aplicaNão se aplicaNão se aplicaNão se aplica"/>
    <m/>
    <n v="18"/>
    <n v="0"/>
    <n v="0"/>
  </r>
  <r>
    <s v="Regular"/>
    <x v="1"/>
    <x v="0"/>
    <s v="Rural"/>
    <x v="0"/>
    <x v="0"/>
    <s v="Não se aplica"/>
    <x v="2"/>
    <x v="6"/>
    <n v="0"/>
    <n v="0"/>
    <n v="0.33300000000000002"/>
    <n v="0.31968000000000002"/>
    <n v="0.33300000000000002"/>
    <n v="0.31968000000000002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7"/>
    <n v="0"/>
    <n v="0"/>
    <n v="0.39800000000000002"/>
    <n v="0.38207999999999998"/>
    <n v="0.39800000000000002"/>
    <n v="0.38207999999999998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8"/>
    <n v="0"/>
    <n v="0"/>
    <n v="0.35799999999999998"/>
    <n v="0.34367999999999999"/>
    <n v="0.35799999999999998"/>
    <n v="0.34367999999999999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9"/>
    <n v="0"/>
    <n v="0"/>
    <n v="0.371"/>
    <n v="0.35615999999999998"/>
    <n v="0.371"/>
    <n v="0.35615999999999998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10"/>
    <n v="0"/>
    <n v="0"/>
    <n v="0.34499999999999997"/>
    <n v="0.33119999999999999"/>
    <n v="0.34499999999999997"/>
    <n v="0.33119999999999999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11"/>
    <n v="0"/>
    <n v="0"/>
    <n v="0.34399999999999997"/>
    <n v="0.33023999999999998"/>
    <n v="0.34399999999999997"/>
    <n v="0.33023999999999998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3"/>
    <n v="0"/>
    <n v="0"/>
    <n v="0.31"/>
    <n v="0.29759999999999998"/>
    <n v="0.31"/>
    <n v="0.29759999999999998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4"/>
    <n v="0"/>
    <n v="0"/>
    <n v="0.49299999999999999"/>
    <n v="0.47327999999999998"/>
    <n v="0.49299999999999999"/>
    <n v="0.47327999999999998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1"/>
    <n v="0"/>
    <n v="0"/>
    <n v="0.34200000000000003"/>
    <n v="0.32832"/>
    <n v="0.34200000000000003"/>
    <n v="0.32832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2"/>
    <n v="0"/>
    <n v="0"/>
    <n v="0.27100000000000002"/>
    <n v="0.26016"/>
    <n v="0.27100000000000002"/>
    <n v="0.26016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Rural"/>
    <x v="0"/>
    <x v="0"/>
    <s v="Não se aplica"/>
    <x v="2"/>
    <x v="5"/>
    <n v="0"/>
    <n v="0"/>
    <n v="0.33300000000000002"/>
    <n v="0.31968000000000002"/>
    <n v="0.33300000000000002"/>
    <n v="0.31968000000000002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0"/>
    <x v="6"/>
    <n v="0"/>
    <n v="0"/>
    <n v="392.327"/>
    <n v="368.78737999999998"/>
    <n v="392.327"/>
    <n v="368.78737999999998"/>
    <n v="0"/>
    <s v="CATIVO"/>
    <n v="0"/>
    <s v="44348A4VerdeNão se aplicaNão se aplicaNão se aplicaNão se aplicaFora ponta"/>
    <s v="44348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7"/>
    <n v="0"/>
    <n v="0"/>
    <n v="387.32"/>
    <n v="364.08080000000001"/>
    <n v="387.32"/>
    <n v="364.08080000000001"/>
    <n v="0"/>
    <s v="CATIVO"/>
    <n v="0"/>
    <s v="44378A4VerdeNão se aplicaNão se aplicaNão se aplicaNão se aplicaFora ponta"/>
    <s v="44378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8"/>
    <n v="0"/>
    <n v="0"/>
    <n v="393.12599999999998"/>
    <n v="369.53843999999998"/>
    <n v="393.12599999999998"/>
    <n v="369.53843999999998"/>
    <n v="0"/>
    <s v="CATIVO"/>
    <n v="0"/>
    <s v="44409A4VerdeNão se aplicaNão se aplicaNão se aplicaNão se aplicaFora ponta"/>
    <s v="44409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9"/>
    <n v="0"/>
    <n v="0"/>
    <n v="388.779"/>
    <n v="365.45226000000002"/>
    <n v="388.779"/>
    <n v="365.45226000000002"/>
    <n v="0"/>
    <s v="CATIVO"/>
    <n v="0"/>
    <s v="44440A4VerdeNão se aplicaNão se aplicaNão se aplicaNão se aplicaFora ponta"/>
    <s v="44440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10"/>
    <n v="0"/>
    <n v="0"/>
    <n v="389.73399999999998"/>
    <n v="366.34996000000001"/>
    <n v="389.73399999999998"/>
    <n v="366.34996000000001"/>
    <n v="0"/>
    <s v="CATIVO"/>
    <n v="0"/>
    <s v="44470A4VerdeNão se aplicaNão se aplicaNão se aplicaNão se aplicaFora ponta"/>
    <s v="44470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11"/>
    <n v="0"/>
    <n v="0"/>
    <n v="397.99599999999998"/>
    <n v="374.11624"/>
    <n v="397.99599999999998"/>
    <n v="374.11624"/>
    <n v="0"/>
    <s v="CATIVO"/>
    <n v="0"/>
    <s v="44501A4VerdeNão se aplicaNão se aplicaNão se aplicaNão se aplicaFora ponta"/>
    <s v="44501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3"/>
    <n v="0"/>
    <n v="0"/>
    <n v="428.596"/>
    <n v="402.88024000000001"/>
    <n v="428.596"/>
    <n v="402.88024000000001"/>
    <n v="0"/>
    <s v="CATIVO"/>
    <n v="0"/>
    <s v="44531A4VerdeNão se aplicaNão se aplicaNão se aplicaNão se aplicaFora ponta"/>
    <s v="44531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0"/>
    <n v="0"/>
    <n v="0"/>
    <n v="447.78"/>
    <n v="420.91320000000002"/>
    <n v="447.78"/>
    <n v="420.91320000000002"/>
    <n v="0"/>
    <s v="CATIVO"/>
    <n v="0"/>
    <s v="44562A4VerdeNão se aplicaNão se aplicaNão se aplicaNão se aplicaFora ponta"/>
    <s v="44562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4"/>
    <n v="0"/>
    <n v="0"/>
    <n v="417.27699999999999"/>
    <n v="392.24038000000002"/>
    <n v="417.27699999999999"/>
    <n v="392.24038000000002"/>
    <n v="0"/>
    <s v="CATIVO"/>
    <n v="0"/>
    <s v="44593A4VerdeNão se aplicaNão se aplicaNão se aplicaNão se aplicaFora ponta"/>
    <s v="44593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1"/>
    <n v="0"/>
    <n v="0"/>
    <n v="385.72699999999998"/>
    <n v="362.58337999999998"/>
    <n v="385.72699999999998"/>
    <n v="362.58337999999998"/>
    <n v="0"/>
    <s v="CATIVO"/>
    <n v="0"/>
    <s v="44621A4VerdeNão se aplicaNão se aplicaNão se aplicaNão se aplicaFora ponta"/>
    <s v="44621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2"/>
    <n v="0"/>
    <n v="0"/>
    <n v="450.798"/>
    <n v="423.75011999999998"/>
    <n v="450.798"/>
    <n v="423.75011999999998"/>
    <n v="0"/>
    <s v="CATIVO"/>
    <n v="0"/>
    <s v="44652A4VerdeNão se aplicaNão se aplicaNão se aplicaNão se aplicaFora ponta"/>
    <s v="44652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0"/>
    <x v="5"/>
    <n v="0"/>
    <n v="0"/>
    <n v="444.18599999999998"/>
    <n v="417.53483999999997"/>
    <n v="444.18599999999998"/>
    <n v="417.53483999999997"/>
    <n v="0"/>
    <s v="CATIVO"/>
    <n v="0"/>
    <s v="44682A4VerdeNão se aplicaNão se aplicaNão se aplicaNão se aplicaFora ponta"/>
    <s v="44682A4Energia horáriaNão se aplicaNão se aplicaNão se aplicaNão se aplicaFora ponta"/>
    <n v="0"/>
    <n v="20"/>
    <n v="66"/>
  </r>
  <r>
    <s v="Regular"/>
    <x v="1"/>
    <x v="0"/>
    <s v="Serviço público"/>
    <x v="1"/>
    <x v="0"/>
    <s v="Não se aplica"/>
    <x v="1"/>
    <x v="6"/>
    <n v="1428"/>
    <n v="1342.32"/>
    <n v="0"/>
    <n v="0"/>
    <n v="0"/>
    <n v="0"/>
    <n v="11"/>
    <s v="CATIVO"/>
    <n v="0"/>
    <s v="44348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7"/>
    <n v="1416"/>
    <n v="1331.04"/>
    <n v="0"/>
    <n v="0"/>
    <n v="0"/>
    <n v="0"/>
    <n v="11"/>
    <s v="CATIVO"/>
    <n v="0"/>
    <s v="44378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8"/>
    <n v="1427"/>
    <n v="1341.38"/>
    <n v="0"/>
    <n v="0"/>
    <n v="0"/>
    <n v="0"/>
    <n v="11"/>
    <s v="CATIVO"/>
    <n v="0"/>
    <s v="44409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9"/>
    <n v="1372"/>
    <n v="1289.68"/>
    <n v="0"/>
    <n v="0"/>
    <n v="0"/>
    <n v="0"/>
    <n v="11"/>
    <s v="CATIVO"/>
    <n v="0"/>
    <s v="44440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10"/>
    <n v="1428"/>
    <n v="1342.32"/>
    <n v="0"/>
    <n v="0"/>
    <n v="0"/>
    <n v="0"/>
    <n v="11"/>
    <s v="CATIVO"/>
    <n v="0"/>
    <s v="44470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11"/>
    <n v="1394"/>
    <n v="1310.3599999999999"/>
    <n v="0"/>
    <n v="0"/>
    <n v="0"/>
    <n v="0"/>
    <n v="10"/>
    <s v="CATIVO"/>
    <n v="0"/>
    <s v="44501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3"/>
    <n v="1422"/>
    <n v="1336.68"/>
    <n v="0"/>
    <n v="0"/>
    <n v="0"/>
    <n v="0"/>
    <n v="11"/>
    <s v="CATIVO"/>
    <n v="0"/>
    <s v="44531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0"/>
    <n v="1419"/>
    <n v="1333.86"/>
    <n v="0"/>
    <n v="0"/>
    <n v="0"/>
    <n v="0"/>
    <n v="11"/>
    <s v="CATIVO"/>
    <n v="0"/>
    <s v="44562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4"/>
    <n v="1408"/>
    <n v="1323.52"/>
    <n v="0"/>
    <n v="0"/>
    <n v="0"/>
    <n v="0"/>
    <n v="11"/>
    <s v="CATIVO"/>
    <n v="0"/>
    <s v="44593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1"/>
    <n v="1384"/>
    <n v="1300.96"/>
    <n v="0"/>
    <n v="0"/>
    <n v="0"/>
    <n v="0"/>
    <n v="11"/>
    <s v="CATIVO"/>
    <n v="0"/>
    <s v="44621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2"/>
    <n v="1423"/>
    <n v="1337.62"/>
    <n v="0"/>
    <n v="0"/>
    <n v="0"/>
    <n v="0"/>
    <n v="11"/>
    <s v="CATIVO"/>
    <n v="0"/>
    <s v="44652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1"/>
    <x v="5"/>
    <n v="1426"/>
    <n v="1340.44"/>
    <n v="0"/>
    <n v="0"/>
    <n v="0"/>
    <n v="0"/>
    <n v="11"/>
    <s v="CATIVO"/>
    <n v="0"/>
    <s v="44682A4VerdeNão se aplicaNão se aplicaNão se aplicaNão se aplicaNão se aplica"/>
    <m/>
    <n v="18"/>
    <n v="0"/>
    <n v="0"/>
  </r>
  <r>
    <s v="Regular"/>
    <x v="1"/>
    <x v="0"/>
    <s v="Serviço público"/>
    <x v="1"/>
    <x v="0"/>
    <s v="Não se aplica"/>
    <x v="2"/>
    <x v="6"/>
    <n v="0"/>
    <n v="0"/>
    <n v="44.351999999999997"/>
    <n v="41.690879999999993"/>
    <n v="44.351999999999997"/>
    <n v="41.690879999999993"/>
    <n v="0"/>
    <s v="CATIVO"/>
    <n v="0"/>
    <s v="44348A4VerdeNão se aplicaNão se aplicaNão se aplicaNão se aplicaPonta"/>
    <s v="44348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7"/>
    <n v="0"/>
    <n v="0"/>
    <n v="41.981000000000002"/>
    <n v="39.462139999999998"/>
    <n v="41.981000000000002"/>
    <n v="39.462139999999998"/>
    <n v="0"/>
    <s v="CATIVO"/>
    <n v="0"/>
    <s v="44378A4VerdeNão se aplicaNão se aplicaNão se aplicaNão se aplicaPonta"/>
    <s v="44378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8"/>
    <n v="0"/>
    <n v="0"/>
    <n v="45.158000000000001"/>
    <n v="42.448520000000002"/>
    <n v="45.158000000000001"/>
    <n v="42.448520000000002"/>
    <n v="0"/>
    <s v="CATIVO"/>
    <n v="0"/>
    <s v="44409A4VerdeNão se aplicaNão se aplicaNão se aplicaNão se aplicaPonta"/>
    <s v="44409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9"/>
    <n v="0"/>
    <n v="0"/>
    <n v="42.091000000000001"/>
    <n v="39.565539999999999"/>
    <n v="42.091000000000001"/>
    <n v="39.565539999999999"/>
    <n v="0"/>
    <s v="CATIVO"/>
    <n v="0"/>
    <s v="44440A4VerdeNão se aplicaNão se aplicaNão se aplicaNão se aplicaPonta"/>
    <s v="44440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10"/>
    <n v="0"/>
    <n v="0"/>
    <n v="43.345999999999997"/>
    <n v="40.745240000000003"/>
    <n v="43.345999999999997"/>
    <n v="40.745240000000003"/>
    <n v="0"/>
    <s v="CATIVO"/>
    <n v="0"/>
    <s v="44470A4VerdeNão se aplicaNão se aplicaNão se aplicaNão se aplicaPonta"/>
    <s v="44470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11"/>
    <n v="0"/>
    <n v="0"/>
    <n v="44.795999999999999"/>
    <n v="42.108240000000002"/>
    <n v="44.795999999999999"/>
    <n v="42.108240000000002"/>
    <n v="0"/>
    <s v="CATIVO"/>
    <n v="0"/>
    <s v="44501A4VerdeNão se aplicaNão se aplicaNão se aplicaNão se aplicaPonta"/>
    <s v="44501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3"/>
    <n v="0"/>
    <n v="0"/>
    <n v="52.677"/>
    <n v="49.516379999999998"/>
    <n v="52.677"/>
    <n v="49.516379999999998"/>
    <n v="0"/>
    <s v="CATIVO"/>
    <n v="0"/>
    <s v="44531A4VerdeNão se aplicaNão se aplicaNão se aplicaNão se aplicaPonta"/>
    <s v="44531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0"/>
    <n v="0"/>
    <n v="0"/>
    <n v="49.811999999999998"/>
    <n v="46.823279999999997"/>
    <n v="49.811999999999998"/>
    <n v="46.823279999999997"/>
    <n v="0"/>
    <s v="CATIVO"/>
    <n v="0"/>
    <s v="44562A4VerdeNão se aplicaNão se aplicaNão se aplicaNão se aplicaPonta"/>
    <s v="44562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4"/>
    <n v="0"/>
    <n v="0"/>
    <n v="47.137999999999998"/>
    <n v="44.309719999999999"/>
    <n v="47.137999999999998"/>
    <n v="44.309719999999999"/>
    <n v="0"/>
    <s v="CATIVO"/>
    <n v="0"/>
    <s v="44593A4VerdeNão se aplicaNão se aplicaNão se aplicaNão se aplicaPonta"/>
    <s v="44593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1"/>
    <n v="0"/>
    <n v="0"/>
    <n v="44.237000000000002"/>
    <n v="41.58278"/>
    <n v="44.237000000000002"/>
    <n v="41.58278"/>
    <n v="0"/>
    <s v="CATIVO"/>
    <n v="0"/>
    <s v="44621A4VerdeNão se aplicaNão se aplicaNão se aplicaNão se aplicaPonta"/>
    <s v="44621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2"/>
    <n v="0"/>
    <n v="0"/>
    <n v="45.927999999999997"/>
    <n v="43.172319999999999"/>
    <n v="45.927999999999997"/>
    <n v="43.172319999999999"/>
    <n v="0"/>
    <s v="CATIVO"/>
    <n v="0"/>
    <s v="44652A4VerdeNão se aplicaNão se aplicaNão se aplicaNão se aplicaPonta"/>
    <s v="44652A4Energia horáriaNão se aplicaNão se aplicaNão se aplicaNão se aplicaPonta"/>
    <n v="0"/>
    <n v="19"/>
    <n v="65"/>
  </r>
  <r>
    <s v="Regular"/>
    <x v="1"/>
    <x v="0"/>
    <s v="Serviço público"/>
    <x v="1"/>
    <x v="0"/>
    <s v="Não se aplica"/>
    <x v="2"/>
    <x v="5"/>
    <n v="0"/>
    <n v="0"/>
    <n v="52.463999999999999"/>
    <n v="49.316160000000004"/>
    <n v="52.463999999999999"/>
    <n v="49.316160000000004"/>
    <n v="0"/>
    <s v="CATIVO"/>
    <n v="0"/>
    <s v="44682A4VerdeNão se aplicaNão se aplicaNão se aplicaNão se aplicaPonta"/>
    <s v="44682A4Energia horáriaNão se aplicaNão se aplicaNão se aplicaNão se aplicaPonta"/>
    <n v="0"/>
    <n v="19"/>
    <n v="65"/>
  </r>
  <r>
    <s v="Regular"/>
    <x v="2"/>
    <x v="2"/>
    <s v="Residencial"/>
    <x v="2"/>
    <x v="0"/>
    <s v="Não se aplica"/>
    <x v="0"/>
    <x v="6"/>
    <n v="0"/>
    <n v="0"/>
    <n v="2.1080000000000001"/>
    <n v="2.1080000000000001"/>
    <n v="2.1080000000000001"/>
    <n v="2.1080000000000001"/>
    <n v="0"/>
    <s v="CATIVO"/>
    <n v="0"/>
    <s v="44348B1BrancaResidencialResidencialNão se aplicaNão se aplicaFora ponta"/>
    <s v="44348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7"/>
    <n v="0"/>
    <n v="0"/>
    <n v="2.0760000000000001"/>
    <n v="2.0760000000000001"/>
    <n v="2.0760000000000001"/>
    <n v="2.0760000000000001"/>
    <n v="0"/>
    <s v="CATIVO"/>
    <n v="0"/>
    <s v="44378B1BrancaResidencialResidencialNão se aplicaNão se aplicaFora ponta"/>
    <s v="44378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8"/>
    <n v="0"/>
    <n v="0"/>
    <n v="1.903"/>
    <n v="1.903"/>
    <n v="1.903"/>
    <n v="1.903"/>
    <n v="0"/>
    <s v="CATIVO"/>
    <n v="0"/>
    <s v="44409B1BrancaResidencialResidencialNão se aplicaNão se aplicaFora ponta"/>
    <s v="44409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9"/>
    <n v="0"/>
    <n v="0"/>
    <n v="1.9359999999999999"/>
    <n v="1.9359999999999999"/>
    <n v="1.9359999999999999"/>
    <n v="1.9359999999999999"/>
    <n v="0"/>
    <s v="CATIVO"/>
    <n v="0"/>
    <s v="44440B1BrancaResidencialResidencialNão se aplicaNão se aplicaFora ponta"/>
    <s v="44440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10"/>
    <n v="0"/>
    <n v="0"/>
    <n v="1.9530000000000001"/>
    <n v="1.9530000000000001"/>
    <n v="1.9530000000000001"/>
    <n v="1.9530000000000001"/>
    <n v="0"/>
    <s v="CATIVO"/>
    <n v="0"/>
    <s v="44470B1BrancaResidencialResidencialNão se aplicaNão se aplicaFora ponta"/>
    <s v="44470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11"/>
    <n v="0"/>
    <n v="0"/>
    <n v="2.177"/>
    <n v="2.177"/>
    <n v="2.177"/>
    <n v="2.177"/>
    <n v="0"/>
    <s v="CATIVO"/>
    <n v="0"/>
    <s v="44501B1BrancaResidencialResidencialNão se aplicaNão se aplicaFora ponta"/>
    <s v="44501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3"/>
    <n v="0"/>
    <n v="0"/>
    <n v="2.2120000000000002"/>
    <n v="2.2120000000000002"/>
    <n v="2.2120000000000002"/>
    <n v="2.2120000000000002"/>
    <n v="0"/>
    <s v="CATIVO"/>
    <n v="0"/>
    <s v="44531B1BrancaResidencialResidencialNão se aplicaNão se aplicaFora ponta"/>
    <s v="44531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0"/>
    <n v="0"/>
    <n v="0"/>
    <n v="1.9159999999999999"/>
    <n v="1.9159999999999999"/>
    <n v="1.9159999999999999"/>
    <n v="1.9159999999999999"/>
    <n v="0"/>
    <s v="CATIVO"/>
    <n v="0"/>
    <s v="44562B1BrancaResidencialResidencialNão se aplicaNão se aplicaFora ponta"/>
    <s v="44562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4"/>
    <n v="0"/>
    <n v="0"/>
    <n v="2.0550000000000002"/>
    <n v="2.0550000000000002"/>
    <n v="2.0550000000000002"/>
    <n v="2.0550000000000002"/>
    <n v="0"/>
    <s v="CATIVO"/>
    <n v="0"/>
    <s v="44593B1BrancaResidencialResidencialNão se aplicaNão se aplicaFora ponta"/>
    <s v="44593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1"/>
    <n v="0"/>
    <n v="0"/>
    <n v="1.95"/>
    <n v="1.95"/>
    <n v="1.95"/>
    <n v="1.95"/>
    <n v="0"/>
    <s v="CATIVO"/>
    <n v="0"/>
    <s v="44621B1BrancaResidencialResidencialNão se aplicaNão se aplicaFora ponta"/>
    <s v="44621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2"/>
    <n v="0"/>
    <n v="0"/>
    <n v="1.927"/>
    <n v="1.927"/>
    <n v="1.927"/>
    <n v="1.927"/>
    <n v="0"/>
    <s v="CATIVO"/>
    <n v="0"/>
    <s v="44652B1BrancaResidencialResidencialNão se aplicaNão se aplicaFora ponta"/>
    <s v="44652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0"/>
    <x v="5"/>
    <n v="0"/>
    <n v="0"/>
    <n v="1.7849999999999999"/>
    <n v="1.7849999999999999"/>
    <n v="1.7849999999999999"/>
    <n v="1.7849999999999999"/>
    <n v="0"/>
    <s v="CATIVO"/>
    <n v="0"/>
    <s v="44682B1BrancaResidencialResidencialNão se aplicaNão se aplicaFora ponta"/>
    <s v="44682B1Energia horáriaResidencialResidencialNão se aplicaNão se aplicaFora ponta"/>
    <n v="0"/>
    <n v="29"/>
    <n v="70"/>
  </r>
  <r>
    <s v="Regular"/>
    <x v="2"/>
    <x v="2"/>
    <s v="Residencial"/>
    <x v="2"/>
    <x v="0"/>
    <s v="Não se aplica"/>
    <x v="3"/>
    <x v="6"/>
    <n v="0"/>
    <n v="0"/>
    <n v="0.155"/>
    <n v="0.155"/>
    <n v="0.155"/>
    <n v="0.155"/>
    <n v="0"/>
    <s v="CATIVO"/>
    <n v="0"/>
    <s v="44348B1BrancaResidencialResidencialNão se aplicaNão se aplicaIntermediário"/>
    <s v="44348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7"/>
    <n v="0"/>
    <n v="0"/>
    <n v="0.17699999999999999"/>
    <n v="0.17699999999999999"/>
    <n v="0.17699999999999999"/>
    <n v="0.17699999999999999"/>
    <n v="0"/>
    <s v="CATIVO"/>
    <n v="0"/>
    <s v="44378B1BrancaResidencialResidencialNão se aplicaNão se aplicaIntermediário"/>
    <s v="44378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8"/>
    <n v="0"/>
    <n v="0"/>
    <n v="0.14000000000000001"/>
    <n v="0.14000000000000001"/>
    <n v="0.14000000000000001"/>
    <n v="0.14000000000000001"/>
    <n v="0"/>
    <s v="CATIVO"/>
    <n v="0"/>
    <s v="44409B1BrancaResidencialResidencialNão se aplicaNão se aplicaIntermediário"/>
    <s v="44409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9"/>
    <n v="0"/>
    <n v="0"/>
    <n v="0.13500000000000001"/>
    <n v="0.13500000000000001"/>
    <n v="0.13500000000000001"/>
    <n v="0.13500000000000001"/>
    <n v="0"/>
    <s v="CATIVO"/>
    <n v="0"/>
    <s v="44440B1BrancaResidencialResidencialNão se aplicaNão se aplicaIntermediário"/>
    <s v="44440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10"/>
    <n v="0"/>
    <n v="0"/>
    <n v="0.13600000000000001"/>
    <n v="0.13600000000000001"/>
    <n v="0.13600000000000001"/>
    <n v="0.13600000000000001"/>
    <n v="0"/>
    <s v="CATIVO"/>
    <n v="0"/>
    <s v="44470B1BrancaResidencialResidencialNão se aplicaNão se aplicaIntermediário"/>
    <s v="44470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11"/>
    <n v="0"/>
    <n v="0"/>
    <n v="1.1850000000000001"/>
    <n v="1.1850000000000001"/>
    <n v="1.1850000000000001"/>
    <n v="1.1850000000000001"/>
    <n v="0"/>
    <s v="CATIVO"/>
    <n v="0"/>
    <s v="44501B1BrancaResidencialResidencialNão se aplicaNão se aplicaIntermediário"/>
    <s v="44501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3"/>
    <n v="0"/>
    <n v="0"/>
    <n v="0.124"/>
    <n v="0.124"/>
    <n v="0.124"/>
    <n v="0.124"/>
    <n v="0"/>
    <s v="CATIVO"/>
    <n v="0"/>
    <s v="44531B1BrancaResidencialResidencialNão se aplicaNão se aplicaIntermediário"/>
    <s v="44531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0"/>
    <n v="0"/>
    <n v="0"/>
    <n v="0.13200000000000001"/>
    <n v="0.13200000000000001"/>
    <n v="0.13200000000000001"/>
    <n v="0.13200000000000001"/>
    <n v="0"/>
    <s v="CATIVO"/>
    <n v="0"/>
    <s v="44562B1BrancaResidencialResidencialNão se aplicaNão se aplicaIntermediário"/>
    <s v="44562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4"/>
    <n v="0"/>
    <n v="0"/>
    <n v="0.13600000000000001"/>
    <n v="0.13600000000000001"/>
    <n v="0.13600000000000001"/>
    <n v="0.13600000000000001"/>
    <n v="0"/>
    <s v="CATIVO"/>
    <n v="0"/>
    <s v="44593B1BrancaResidencialResidencialNão se aplicaNão se aplicaIntermediário"/>
    <s v="44593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1"/>
    <n v="0"/>
    <n v="0"/>
    <n v="0.11600000000000001"/>
    <n v="0.11600000000000001"/>
    <n v="0.11600000000000001"/>
    <n v="0.11600000000000001"/>
    <n v="0"/>
    <s v="CATIVO"/>
    <n v="0"/>
    <s v="44621B1BrancaResidencialResidencialNão se aplicaNão se aplicaIntermediário"/>
    <s v="44621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2"/>
    <n v="0"/>
    <n v="0"/>
    <n v="0.125"/>
    <n v="0.125"/>
    <n v="0.125"/>
    <n v="0.125"/>
    <n v="0"/>
    <s v="CATIVO"/>
    <n v="0"/>
    <s v="44652B1BrancaResidencialResidencialNão se aplicaNão se aplicaIntermediário"/>
    <s v="44652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3"/>
    <x v="5"/>
    <n v="0"/>
    <n v="0"/>
    <n v="0.115"/>
    <n v="0.115"/>
    <n v="0.115"/>
    <n v="0.115"/>
    <n v="0"/>
    <s v="CATIVO"/>
    <n v="0"/>
    <s v="44682B1BrancaResidencialResidencialNão se aplicaNão se aplicaIntermediário"/>
    <s v="44682B1Energia horáriaResidencialResidencialNão se aplicaNão se aplicaIntermediário"/>
    <n v="0"/>
    <n v="28"/>
    <n v="69"/>
  </r>
  <r>
    <s v="Regular"/>
    <x v="2"/>
    <x v="2"/>
    <s v="Residencial"/>
    <x v="2"/>
    <x v="0"/>
    <s v="Não se aplica"/>
    <x v="2"/>
    <x v="6"/>
    <n v="0"/>
    <n v="0"/>
    <n v="0.192"/>
    <n v="0.192"/>
    <n v="0.192"/>
    <n v="0.192"/>
    <n v="0"/>
    <s v="CATIVO"/>
    <n v="0"/>
    <s v="44348B1BrancaResidencialResidencialNão se aplicaNão se aplicaPonta"/>
    <s v="44348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7"/>
    <n v="0"/>
    <n v="0"/>
    <n v="0.16400000000000001"/>
    <n v="0.16400000000000001"/>
    <n v="0.16400000000000001"/>
    <n v="0.16400000000000001"/>
    <n v="0"/>
    <s v="CATIVO"/>
    <n v="0"/>
    <s v="44378B1BrancaResidencialResidencialNão se aplicaNão se aplicaPonta"/>
    <s v="44378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8"/>
    <n v="0"/>
    <n v="0"/>
    <n v="0.153"/>
    <n v="0.153"/>
    <n v="0.153"/>
    <n v="0.153"/>
    <n v="0"/>
    <s v="CATIVO"/>
    <n v="0"/>
    <s v="44409B1BrancaResidencialResidencialNão se aplicaNão se aplicaPonta"/>
    <s v="44409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9"/>
    <n v="0"/>
    <n v="0"/>
    <n v="0.16200000000000001"/>
    <n v="0.16200000000000001"/>
    <n v="0.16200000000000001"/>
    <n v="0.16200000000000001"/>
    <n v="0"/>
    <s v="CATIVO"/>
    <n v="0"/>
    <s v="44440B1BrancaResidencialResidencialNão se aplicaNão se aplicaPonta"/>
    <s v="44440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10"/>
    <n v="0"/>
    <n v="0"/>
    <n v="0.33600000000000002"/>
    <n v="0.33600000000000002"/>
    <n v="0.33600000000000002"/>
    <n v="0.33600000000000002"/>
    <n v="0"/>
    <s v="CATIVO"/>
    <n v="0"/>
    <s v="44470B1BrancaResidencialResidencialNão se aplicaNão se aplicaPonta"/>
    <s v="44470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11"/>
    <n v="0"/>
    <n v="0"/>
    <n v="0.188"/>
    <n v="0.188"/>
    <n v="0.188"/>
    <n v="0.188"/>
    <n v="0"/>
    <s v="CATIVO"/>
    <n v="0"/>
    <s v="44501B1BrancaResidencialResidencialNão se aplicaNão se aplicaPonta"/>
    <s v="44501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3"/>
    <n v="0"/>
    <n v="0"/>
    <n v="0.17199999999999999"/>
    <n v="0.17199999999999999"/>
    <n v="0.17199999999999999"/>
    <n v="0.17199999999999999"/>
    <n v="0"/>
    <s v="CATIVO"/>
    <n v="0"/>
    <s v="44531B1BrancaResidencialResidencialNão se aplicaNão se aplicaPonta"/>
    <s v="44531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0"/>
    <n v="0"/>
    <n v="0"/>
    <n v="0.17699999999999999"/>
    <n v="0.17699999999999999"/>
    <n v="0.17699999999999999"/>
    <n v="0.17699999999999999"/>
    <n v="0"/>
    <s v="CATIVO"/>
    <n v="0"/>
    <s v="44562B1BrancaResidencialResidencialNão se aplicaNão se aplicaPonta"/>
    <s v="44562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4"/>
    <n v="0"/>
    <n v="0"/>
    <n v="0.188"/>
    <n v="0.188"/>
    <n v="0.188"/>
    <n v="0.188"/>
    <n v="0"/>
    <s v="CATIVO"/>
    <n v="0"/>
    <s v="44593B1BrancaResidencialResidencialNão se aplicaNão se aplicaPonta"/>
    <s v="44593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1"/>
    <n v="0"/>
    <n v="0"/>
    <n v="0.17899999999999999"/>
    <n v="0.17899999999999999"/>
    <n v="0.17899999999999999"/>
    <n v="0.17899999999999999"/>
    <n v="0"/>
    <s v="CATIVO"/>
    <n v="0"/>
    <s v="44621B1BrancaResidencialResidencialNão se aplicaNão se aplicaPonta"/>
    <s v="44621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2"/>
    <n v="0"/>
    <n v="0"/>
    <n v="0.16700000000000001"/>
    <n v="0.16700000000000001"/>
    <n v="0.16700000000000001"/>
    <n v="0.16700000000000001"/>
    <n v="0"/>
    <s v="CATIVO"/>
    <n v="0"/>
    <s v="44652B1BrancaResidencialResidencialNão se aplicaNão se aplicaPonta"/>
    <s v="44652B1Energia horáriaResidencialResidencialNão se aplicaNão se aplicaPonta"/>
    <n v="0"/>
    <n v="27"/>
    <n v="68"/>
  </r>
  <r>
    <s v="Regular"/>
    <x v="2"/>
    <x v="2"/>
    <s v="Residencial"/>
    <x v="2"/>
    <x v="0"/>
    <s v="Não se aplica"/>
    <x v="2"/>
    <x v="5"/>
    <n v="0"/>
    <n v="0"/>
    <n v="0.14099999999999999"/>
    <n v="0.14099999999999999"/>
    <n v="0.14099999999999999"/>
    <n v="0.14099999999999999"/>
    <n v="0"/>
    <s v="CATIVO"/>
    <n v="0"/>
    <s v="44682B1BrancaResidencialResidencialNão se aplicaNão se aplicaPonta"/>
    <s v="44682B1Energia horáriaResidencialResidencialNão se aplicaNão se aplicaPonta"/>
    <n v="0"/>
    <n v="27"/>
    <n v="68"/>
  </r>
  <r>
    <s v="Regular"/>
    <x v="2"/>
    <x v="3"/>
    <s v="Residencial"/>
    <x v="2"/>
    <x v="0"/>
    <s v="Não se aplica"/>
    <x v="1"/>
    <x v="6"/>
    <n v="0"/>
    <n v="0"/>
    <n v="7050.8720000000003"/>
    <n v="7050.8720000000003"/>
    <n v="7050.8720000000003"/>
    <n v="7050.8720000000003"/>
    <n v="43492"/>
    <s v="CATIVO"/>
    <n v="0"/>
    <s v="44348B1ConvencionalResidencialResidencialNão se aplicaNão se aplicaNão se aplica"/>
    <s v="44348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6"/>
    <n v="0"/>
    <n v="0"/>
    <n v="-11.6"/>
    <n v="-11.6"/>
    <n v="-11.6"/>
    <n v="-11.6"/>
    <n v="0"/>
    <s v="CATIVO"/>
    <n v="0"/>
    <s v="44348B1ConvencionalResidencialResidencialNão se aplicaNão se aplicaNão se aplica"/>
    <s v="44348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6"/>
    <n v="0"/>
    <n v="0"/>
    <n v="21.725000000000001"/>
    <n v="21.725000000000001"/>
    <n v="21.725000000000001"/>
    <n v="21.725000000000001"/>
    <n v="107"/>
    <s v="CATIVO"/>
    <n v="0"/>
    <s v="44348B1ConvencionalResidencialResidencialNão se aplicaNão se aplicaNão se aplica"/>
    <s v="44348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7"/>
    <n v="0"/>
    <n v="0"/>
    <n v="7344.5290000000005"/>
    <n v="7344.5290000000005"/>
    <n v="7344.5290000000005"/>
    <n v="7344.5290000000005"/>
    <n v="43505"/>
    <s v="CATIVO"/>
    <n v="0"/>
    <s v="44378B1ConvencionalResidencialResidencialNão se aplicaNão se aplicaNão se aplica"/>
    <s v="44378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7"/>
    <n v="0"/>
    <n v="0"/>
    <n v="-108.758"/>
    <n v="-108.758"/>
    <n v="-108.758"/>
    <n v="-108.758"/>
    <n v="0"/>
    <s v="CATIVO"/>
    <n v="0"/>
    <s v="44378B1ConvencionalResidencialResidencialNão se aplicaNão se aplicaNão se aplica"/>
    <s v="44378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7"/>
    <n v="0"/>
    <n v="0"/>
    <n v="26.963000000000001"/>
    <n v="26.963000000000001"/>
    <n v="26.963000000000001"/>
    <n v="26.963000000000001"/>
    <n v="115"/>
    <s v="CATIVO"/>
    <n v="0"/>
    <s v="44378B1ConvencionalResidencialResidencialNão se aplicaNão se aplicaNão se aplica"/>
    <s v="44378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8"/>
    <n v="0"/>
    <n v="0"/>
    <n v="7438.7420000000002"/>
    <n v="7438.7420000000002"/>
    <n v="7438.7420000000002"/>
    <n v="7438.7420000000002"/>
    <n v="43533"/>
    <s v="CATIVO"/>
    <n v="0"/>
    <s v="44409B1ConvencionalResidencialResidencialNão se aplicaNão se aplicaNão se aplica"/>
    <s v="44409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8"/>
    <n v="0"/>
    <n v="0"/>
    <n v="-190.488"/>
    <n v="-190.488"/>
    <n v="-190.488"/>
    <n v="-190.488"/>
    <n v="0"/>
    <s v="CATIVO"/>
    <n v="0"/>
    <s v="44409B1ConvencionalResidencialResidencialNão se aplicaNão se aplicaNão se aplica"/>
    <s v="44409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8"/>
    <n v="0"/>
    <n v="0"/>
    <n v="24.37"/>
    <n v="24.37"/>
    <n v="24.37"/>
    <n v="24.37"/>
    <n v="125"/>
    <s v="CATIVO"/>
    <n v="0"/>
    <s v="44409B1ConvencionalResidencialResidencialNão se aplicaNão se aplicaNão se aplica"/>
    <s v="44409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9"/>
    <n v="0"/>
    <n v="0"/>
    <n v="6926.53"/>
    <n v="6926.53"/>
    <n v="6926.53"/>
    <n v="6926.53"/>
    <n v="43503"/>
    <s v="CATIVO"/>
    <n v="0"/>
    <s v="44440B1ConvencionalResidencialResidencialNão se aplicaNão se aplicaNão se aplica"/>
    <s v="44440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9"/>
    <n v="0"/>
    <n v="0"/>
    <n v="-7.5220000000000002"/>
    <n v="-7.5220000000000002"/>
    <n v="-7.5220000000000002"/>
    <n v="-7.5220000000000002"/>
    <n v="0"/>
    <s v="CATIVO"/>
    <n v="0"/>
    <s v="44440B1ConvencionalResidencialResidencialNão se aplicaNão se aplicaNão se aplica"/>
    <s v="44440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9"/>
    <n v="0"/>
    <n v="0"/>
    <n v="26.727"/>
    <n v="26.727"/>
    <n v="26.727"/>
    <n v="26.727"/>
    <n v="140"/>
    <s v="CATIVO"/>
    <n v="0"/>
    <s v="44440B1ConvencionalResidencialResidencialNão se aplicaNão se aplicaNão se aplica"/>
    <s v="44440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10"/>
    <n v="0"/>
    <n v="0"/>
    <n v="6937.9660000000003"/>
    <n v="6937.9660000000003"/>
    <n v="6937.9660000000003"/>
    <n v="6937.9660000000003"/>
    <n v="43646"/>
    <s v="CATIVO"/>
    <n v="0"/>
    <s v="44470B1ConvencionalResidencialResidencialNão se aplicaNão se aplicaNão se aplica"/>
    <s v="44470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10"/>
    <n v="0"/>
    <n v="0"/>
    <n v="-6.5350000000000001"/>
    <n v="-6.5350000000000001"/>
    <n v="-6.5350000000000001"/>
    <n v="-6.5350000000000001"/>
    <n v="0"/>
    <s v="CATIVO"/>
    <n v="0"/>
    <s v="44470B1ConvencionalResidencialResidencialNão se aplicaNão se aplicaNão se aplica"/>
    <s v="44470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10"/>
    <n v="0"/>
    <n v="0"/>
    <n v="24.908000000000001"/>
    <n v="24.908000000000001"/>
    <n v="24.908000000000001"/>
    <n v="24.908000000000001"/>
    <n v="153"/>
    <s v="CATIVO"/>
    <n v="0"/>
    <s v="44470B1ConvencionalResidencialResidencialNão se aplicaNão se aplicaNão se aplica"/>
    <s v="44470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11"/>
    <n v="0"/>
    <n v="0"/>
    <n v="6876.5110000000004"/>
    <n v="6876.5110000000004"/>
    <n v="6876.5110000000004"/>
    <n v="6876.5110000000004"/>
    <n v="43980"/>
    <s v="CATIVO"/>
    <n v="0"/>
    <s v="44501B1ConvencionalResidencialResidencialNão se aplicaNão se aplicaNão se aplica"/>
    <s v="44501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11"/>
    <n v="0"/>
    <n v="0"/>
    <n v="-6.35"/>
    <n v="-6.35"/>
    <n v="-6.35"/>
    <n v="-6.35"/>
    <n v="0"/>
    <s v="CATIVO"/>
    <n v="0"/>
    <s v="44501B1ConvencionalResidencialResidencialNão se aplicaNão se aplicaNão se aplica"/>
    <s v="44501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11"/>
    <n v="0"/>
    <n v="0"/>
    <n v="21.52"/>
    <n v="21.52"/>
    <n v="21.52"/>
    <n v="21.52"/>
    <n v="162"/>
    <s v="CATIVO"/>
    <n v="0"/>
    <s v="44501B1ConvencionalResidencialResidencialNão se aplicaNão se aplicaNão se aplica"/>
    <s v="44501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3"/>
    <n v="0"/>
    <n v="0"/>
    <n v="6856.2129999999997"/>
    <n v="6856.2129999999997"/>
    <n v="6856.2129999999997"/>
    <n v="6856.2129999999997"/>
    <n v="44242"/>
    <s v="CATIVO"/>
    <n v="0"/>
    <s v="44531B1ConvencionalResidencialResidencialNão se aplicaNão se aplicaNão se aplica"/>
    <s v="44531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3"/>
    <n v="0"/>
    <n v="0"/>
    <n v="-4.88"/>
    <n v="-4.88"/>
    <n v="-4.88"/>
    <n v="-4.88"/>
    <n v="0"/>
    <s v="CATIVO"/>
    <n v="0"/>
    <s v="44531B1ConvencionalResidencialResidencialNão se aplicaNão se aplicaNão se aplica"/>
    <s v="44531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3"/>
    <n v="0"/>
    <n v="0"/>
    <n v="18.059999999999999"/>
    <n v="18.059999999999999"/>
    <n v="18.059999999999999"/>
    <n v="18.059999999999999"/>
    <n v="174"/>
    <s v="CATIVO"/>
    <n v="0"/>
    <s v="44531B1ConvencionalResidencialResidencialNão se aplicaNão se aplicaNão se aplica"/>
    <s v="44531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3"/>
    <n v="0"/>
    <n v="0"/>
    <n v="-0.17100000000000001"/>
    <n v="-0.17100000000000001"/>
    <n v="-0.17100000000000001"/>
    <n v="-0.17100000000000001"/>
    <n v="4"/>
    <s v="CATIVO"/>
    <n v="0"/>
    <s v="44531B1ConvencionalResidencialResidencialNão se aplicaNão se aplicaNão se aplica"/>
    <s v="44531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0"/>
    <n v="0"/>
    <n v="0"/>
    <n v="6939.0129999999999"/>
    <n v="6939.0129999999999"/>
    <n v="6939.0129999999999"/>
    <n v="6939.0129999999999"/>
    <n v="44215"/>
    <s v="CATIVO"/>
    <n v="0"/>
    <s v="44562B1ConvencionalResidencialResidencialNão se aplicaNão se aplicaNão se aplica"/>
    <s v="44562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0"/>
    <n v="0"/>
    <n v="0"/>
    <n v="-9.3409999999999993"/>
    <n v="-9.3409999999999993"/>
    <n v="-9.3409999999999993"/>
    <n v="-9.3409999999999993"/>
    <n v="0"/>
    <s v="CATIVO"/>
    <n v="0"/>
    <s v="44562B1ConvencionalResidencialResidencialNão se aplicaNão se aplicaNão se aplica"/>
    <s v="44562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0"/>
    <n v="0"/>
    <n v="0"/>
    <n v="21.228999999999999"/>
    <n v="21.228999999999999"/>
    <n v="21.228999999999999"/>
    <n v="21.228999999999999"/>
    <n v="192"/>
    <s v="CATIVO"/>
    <n v="0"/>
    <s v="44562B1ConvencionalResidencialResidencialNão se aplicaNão se aplicaNão se aplica"/>
    <s v="44562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4"/>
    <n v="0"/>
    <n v="0"/>
    <n v="7259.8360000000002"/>
    <n v="7259.8360000000002"/>
    <n v="7259.8360000000002"/>
    <n v="7259.8360000000002"/>
    <n v="44109"/>
    <s v="CATIVO"/>
    <n v="0"/>
    <s v="44593B1ConvencionalResidencialResidencialNão se aplicaNão se aplicaNão se aplica"/>
    <s v="44593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4"/>
    <n v="0"/>
    <n v="0"/>
    <n v="22.004999999999999"/>
    <n v="22.004999999999999"/>
    <n v="22.004999999999999"/>
    <n v="22.004999999999999"/>
    <n v="198"/>
    <s v="CATIVO"/>
    <n v="0"/>
    <s v="44593B1ConvencionalResidencialResidencialNão se aplicaNão se aplicaNão se aplica"/>
    <s v="44593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1"/>
    <n v="0"/>
    <n v="0"/>
    <n v="7015.7569999999996"/>
    <n v="7015.7569999999996"/>
    <n v="7015.7569999999996"/>
    <n v="7015.7569999999996"/>
    <n v="43821"/>
    <s v="CATIVO"/>
    <n v="0"/>
    <s v="44621B1ConvencionalResidencialResidencialNão se aplicaNão se aplicaNão se aplica"/>
    <s v="44621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1"/>
    <n v="0"/>
    <n v="0"/>
    <n v="-0.56100000000000005"/>
    <n v="-0.56100000000000005"/>
    <n v="-0.56100000000000005"/>
    <n v="-0.56100000000000005"/>
    <n v="0"/>
    <s v="CATIVO"/>
    <n v="0"/>
    <s v="44621B1ConvencionalResidencialResidencialNão se aplicaNão se aplicaNão se aplica"/>
    <s v="44621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1"/>
    <n v="0"/>
    <n v="0"/>
    <n v="25.526"/>
    <n v="25.526"/>
    <n v="25.526"/>
    <n v="25.526"/>
    <n v="220"/>
    <s v="CATIVO"/>
    <n v="0"/>
    <s v="44621B1ConvencionalResidencialResidencialNão se aplicaNão se aplicaNão se aplica"/>
    <s v="44621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2"/>
    <n v="0"/>
    <n v="0"/>
    <n v="6796.78"/>
    <n v="6796.78"/>
    <n v="6796.78"/>
    <n v="6796.78"/>
    <n v="43907"/>
    <s v="CATIVO"/>
    <n v="0"/>
    <s v="44652B1ConvencionalResidencialResidencialNão se aplicaNão se aplicaNão se aplica"/>
    <s v="44652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2"/>
    <n v="0"/>
    <n v="0"/>
    <n v="-1.5169999999999999"/>
    <n v="-1.5169999999999999"/>
    <n v="-1.5169999999999999"/>
    <n v="-1.5169999999999999"/>
    <n v="0"/>
    <s v="CATIVO"/>
    <n v="0"/>
    <s v="44652B1ConvencionalResidencialResidencialNão se aplicaNão se aplicaNão se aplica"/>
    <s v="44652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2"/>
    <n v="0"/>
    <n v="0"/>
    <n v="32.314"/>
    <n v="32.314"/>
    <n v="32.314"/>
    <n v="32.314"/>
    <n v="226"/>
    <s v="CATIVO"/>
    <n v="0"/>
    <s v="44652B1ConvencionalResidencialResidencialNão se aplicaNão se aplicaNão se aplica"/>
    <s v="44652B1Energia convencionalResidencialResidencialNão se aplicaNão se aplicaNão se aplica"/>
    <n v="0"/>
    <n v="30"/>
    <n v="71"/>
  </r>
  <r>
    <s v="Regular"/>
    <x v="2"/>
    <x v="3"/>
    <s v="Residencial"/>
    <x v="2"/>
    <x v="0"/>
    <s v="Não se aplica"/>
    <x v="1"/>
    <x v="5"/>
    <n v="0"/>
    <n v="0"/>
    <n v="6872.0820000000003"/>
    <n v="6872.0820000000003"/>
    <n v="6872.0820000000003"/>
    <n v="6872.0820000000003"/>
    <n v="43891"/>
    <s v="CATIVO"/>
    <n v="0"/>
    <s v="44682B1ConvencionalResidencialResidencialNão se aplicaNão se aplicaNão se aplica"/>
    <s v="44682B1Energia convencionalResidencialResidencialNão se aplicaNão se aplicaNão se aplica"/>
    <n v="0"/>
    <n v="30"/>
    <n v="71"/>
  </r>
  <r>
    <s v="Refaturamento - Regular"/>
    <x v="2"/>
    <x v="3"/>
    <s v="Residencial"/>
    <x v="2"/>
    <x v="0"/>
    <s v="Não se aplica"/>
    <x v="1"/>
    <x v="5"/>
    <n v="0"/>
    <n v="0"/>
    <n v="-2.9249999999999998"/>
    <n v="-2.9249999999999998"/>
    <n v="-2.9249999999999998"/>
    <n v="-2.9249999999999998"/>
    <n v="0"/>
    <s v="CATIVO"/>
    <n v="0"/>
    <s v="44682B1ConvencionalResidencialResidencialNão se aplicaNão se aplicaNão se aplica"/>
    <s v="44682B1Energia convencionalResidencialResidencialNão se aplicaNão se aplicaNão se aplica"/>
    <n v="0"/>
    <n v="30"/>
    <n v="71"/>
  </r>
  <r>
    <s v="Sistema de Compensação"/>
    <x v="2"/>
    <x v="3"/>
    <s v="Residencial"/>
    <x v="2"/>
    <x v="0"/>
    <s v="Não se aplica"/>
    <x v="1"/>
    <x v="5"/>
    <n v="0"/>
    <n v="0"/>
    <n v="42.796999999999997"/>
    <n v="42.796999999999997"/>
    <n v="42.796999999999997"/>
    <n v="42.796999999999997"/>
    <n v="266"/>
    <s v="CATIVO"/>
    <n v="0"/>
    <s v="44682B1ConvencionalResidencialResidencialNão se aplicaNão se aplicaNão se aplica"/>
    <s v="44682B1Energia convencionalResidencialResidencialNão se aplicaNão se aplicaNão se aplica"/>
    <n v="0"/>
    <n v="30"/>
    <n v="71"/>
  </r>
  <r>
    <s v="Regular"/>
    <x v="2"/>
    <x v="3"/>
    <s v="Residencial"/>
    <x v="3"/>
    <x v="0"/>
    <s v="Não se aplica"/>
    <x v="1"/>
    <x v="6"/>
    <n v="0"/>
    <n v="0"/>
    <n v="139.75299999999999"/>
    <n v="139.75299999999999"/>
    <n v="139.75299999999999"/>
    <n v="139.75299999999999"/>
    <n v="227"/>
    <s v="CATIVO"/>
    <n v="0"/>
    <s v="44348B1ConvencionalResidencialResidencial baixa renda – faixa 01Não se aplicaNão se aplicaNão se aplica"/>
    <s v="44348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7"/>
    <n v="0"/>
    <n v="0"/>
    <n v="141.46"/>
    <n v="141.46"/>
    <n v="141.46"/>
    <n v="141.46"/>
    <n v="254"/>
    <s v="CATIVO"/>
    <n v="0"/>
    <s v="44378B1ConvencionalResidencialResidencial baixa renda – faixa 01Não se aplicaNão se aplicaNão se aplica"/>
    <s v="44378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8"/>
    <n v="0"/>
    <n v="0"/>
    <n v="143.18799999999999"/>
    <n v="143.18799999999999"/>
    <n v="143.18799999999999"/>
    <n v="143.18799999999999"/>
    <n v="251"/>
    <s v="CATIVO"/>
    <n v="0"/>
    <s v="44409B1ConvencionalResidencialResidencial baixa renda – faixa 01Não se aplicaNão se aplicaNão se aplica"/>
    <s v="44409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9"/>
    <n v="0"/>
    <n v="0"/>
    <n v="144.38200000000001"/>
    <n v="144.38200000000001"/>
    <n v="144.38200000000001"/>
    <n v="144.38200000000001"/>
    <n v="217"/>
    <s v="CATIVO"/>
    <n v="0"/>
    <s v="44440B1ConvencionalResidencialResidencial baixa renda – faixa 01Não se aplicaNão se aplicaNão se aplica"/>
    <s v="44440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10"/>
    <n v="0"/>
    <n v="0"/>
    <n v="143.66900000000001"/>
    <n v="143.66900000000001"/>
    <n v="143.66900000000001"/>
    <n v="143.66900000000001"/>
    <n v="214"/>
    <s v="CATIVO"/>
    <n v="0"/>
    <s v="44470B1ConvencionalResidencialResidencial baixa renda – faixa 01Não se aplicaNão se aplicaNão se aplica"/>
    <s v="44470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11"/>
    <n v="0"/>
    <n v="0"/>
    <n v="140.34"/>
    <n v="140.34"/>
    <n v="140.34"/>
    <n v="140.34"/>
    <n v="217"/>
    <s v="CATIVO"/>
    <n v="0"/>
    <s v="44501B1ConvencionalResidencialResidencial baixa renda – faixa 01Não se aplicaNão se aplicaNão se aplica"/>
    <s v="44501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3"/>
    <n v="0"/>
    <n v="0"/>
    <n v="136.69900000000001"/>
    <n v="136.69900000000001"/>
    <n v="136.69900000000001"/>
    <n v="136.69900000000001"/>
    <n v="178"/>
    <s v="CATIVO"/>
    <n v="0"/>
    <s v="44531B1ConvencionalResidencialResidencial baixa renda – faixa 01Não se aplicaNão se aplicaNão se aplica"/>
    <s v="44531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0"/>
    <n v="0"/>
    <n v="0"/>
    <n v="137.904"/>
    <n v="137.904"/>
    <n v="137.904"/>
    <n v="137.904"/>
    <n v="181"/>
    <s v="CATIVO"/>
    <n v="0"/>
    <s v="44562B1ConvencionalResidencialResidencial baixa renda – faixa 01Não se aplicaNão se aplicaNão se aplica"/>
    <s v="44562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4"/>
    <n v="0"/>
    <n v="0"/>
    <n v="142.95599999999999"/>
    <n v="142.95599999999999"/>
    <n v="142.95599999999999"/>
    <n v="142.95599999999999"/>
    <n v="186"/>
    <s v="CATIVO"/>
    <n v="0"/>
    <s v="44593B1ConvencionalResidencialResidencial baixa renda – faixa 01Não se aplicaNão se aplicaNão se aplica"/>
    <s v="44593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1"/>
    <n v="0"/>
    <n v="0"/>
    <n v="153.839"/>
    <n v="153.839"/>
    <n v="153.839"/>
    <n v="153.839"/>
    <n v="200"/>
    <s v="CATIVO"/>
    <n v="0"/>
    <s v="44621B1ConvencionalResidencialResidencial baixa renda – faixa 01Não se aplicaNão se aplicaNão se aplica"/>
    <s v="44621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2"/>
    <n v="0"/>
    <n v="0"/>
    <n v="154.833"/>
    <n v="154.833"/>
    <n v="154.833"/>
    <n v="154.833"/>
    <n v="226"/>
    <s v="CATIVO"/>
    <n v="0"/>
    <s v="44652B1ConvencionalResidencialResidencial baixa renda – faixa 01Não se aplicaNão se aplicaNão se aplica"/>
    <s v="44652B1Energia convencionalResidencialResidencial baixa renda – faixa 01Não se aplicaNão se aplicaNão se aplica"/>
    <n v="0"/>
    <n v="31"/>
    <n v="72"/>
  </r>
  <r>
    <s v="Regular"/>
    <x v="2"/>
    <x v="3"/>
    <s v="Residencial"/>
    <x v="3"/>
    <x v="0"/>
    <s v="Não se aplica"/>
    <x v="1"/>
    <x v="5"/>
    <n v="0"/>
    <n v="0"/>
    <n v="156.267"/>
    <n v="156.267"/>
    <n v="156.267"/>
    <n v="156.267"/>
    <n v="247"/>
    <s v="CATIVO"/>
    <n v="0"/>
    <s v="44682B1ConvencionalResidencialResidencial baixa renda – faixa 01Não se aplicaNão se aplicaNão se aplica"/>
    <s v="44682B1Energia convencionalResidencialResidencial baixa renda – faixa 01Não se aplicaNão se aplicaNão se aplica"/>
    <n v="0"/>
    <n v="31"/>
    <n v="72"/>
  </r>
  <r>
    <s v="Refaturamento - Regular"/>
    <x v="2"/>
    <x v="3"/>
    <s v="Residencial"/>
    <x v="3"/>
    <x v="0"/>
    <s v="Não se aplica"/>
    <x v="1"/>
    <x v="5"/>
    <n v="0"/>
    <n v="0"/>
    <n v="0.06"/>
    <n v="0.06"/>
    <n v="0.06"/>
    <n v="0.06"/>
    <n v="0"/>
    <s v="CATIVO"/>
    <n v="0"/>
    <s v="44682B1ConvencionalResidencialResidencial baixa renda – faixa 01Não se aplicaNão se aplicaNão se aplica"/>
    <s v="44682B1Energia convencionalResidencialResidencial baixa renda – faixa 01Não se aplicaNão se aplicaNão se aplica"/>
    <n v="0"/>
    <n v="31"/>
    <n v="72"/>
  </r>
  <r>
    <s v="Regular"/>
    <x v="2"/>
    <x v="3"/>
    <s v="Residencial"/>
    <x v="4"/>
    <x v="0"/>
    <s v="Não se aplica"/>
    <x v="1"/>
    <x v="6"/>
    <n v="0"/>
    <n v="0"/>
    <n v="261.74599999999998"/>
    <n v="261.74599999999998"/>
    <n v="261.74599999999998"/>
    <n v="261.74599999999998"/>
    <n v="1688"/>
    <s v="CATIVO"/>
    <n v="0"/>
    <s v="44348B1ConvencionalResidencialResidencial baixa renda – faixa 02Não se aplicaNão se aplicaNão se aplica"/>
    <s v="44348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6"/>
    <n v="0"/>
    <n v="0"/>
    <n v="-8.9999999999999993E-3"/>
    <n v="-8.9999999999999993E-3"/>
    <n v="-8.9999999999999993E-3"/>
    <n v="-8.9999999999999993E-3"/>
    <n v="0"/>
    <s v="CATIVO"/>
    <n v="0"/>
    <s v="44348B1ConvencionalResidencialResidencial baixa renda – faixa 02Não se aplicaNão se aplicaNão se aplica"/>
    <s v="44348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7"/>
    <n v="0"/>
    <n v="0"/>
    <n v="261.61599999999999"/>
    <n v="261.61599999999999"/>
    <n v="261.61599999999999"/>
    <n v="261.61599999999999"/>
    <n v="1732"/>
    <s v="CATIVO"/>
    <n v="0"/>
    <s v="44378B1ConvencionalResidencialResidencial baixa renda – faixa 02Não se aplicaNão se aplicaNão se aplica"/>
    <s v="44378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7"/>
    <n v="0"/>
    <n v="0"/>
    <n v="-4.0000000000000001E-3"/>
    <n v="-4.0000000000000001E-3"/>
    <n v="-4.0000000000000001E-3"/>
    <n v="-4.0000000000000001E-3"/>
    <n v="0"/>
    <s v="CATIVO"/>
    <n v="0"/>
    <s v="44378B1ConvencionalResidencialResidencial baixa renda – faixa 02Não se aplicaNão se aplicaNão se aplica"/>
    <s v="44378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8"/>
    <n v="0"/>
    <n v="0"/>
    <n v="265.65699999999998"/>
    <n v="265.65699999999998"/>
    <n v="265.65699999999998"/>
    <n v="265.65699999999998"/>
    <n v="1693"/>
    <s v="CATIVO"/>
    <n v="0"/>
    <s v="44409B1ConvencionalResidencialResidencial baixa renda – faixa 02Não se aplicaNão se aplicaNão se aplica"/>
    <s v="44409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8"/>
    <n v="0"/>
    <n v="0"/>
    <n v="-3.9E-2"/>
    <n v="-3.9E-2"/>
    <n v="-3.9E-2"/>
    <n v="-3.9E-2"/>
    <n v="0"/>
    <s v="CATIVO"/>
    <n v="0"/>
    <s v="44409B1ConvencionalResidencialResidencial baixa renda – faixa 02Não se aplicaNão se aplicaNão se aplica"/>
    <s v="44409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9"/>
    <n v="0"/>
    <n v="0"/>
    <n v="273.36700000000002"/>
    <n v="273.36700000000002"/>
    <n v="273.36700000000002"/>
    <n v="273.36700000000002"/>
    <n v="1663"/>
    <s v="CATIVO"/>
    <n v="0"/>
    <s v="44440B1ConvencionalResidencialResidencial baixa renda – faixa 02Não se aplicaNão se aplicaNão se aplica"/>
    <s v="44440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9"/>
    <n v="0"/>
    <n v="0"/>
    <n v="-0.13500000000000001"/>
    <n v="-0.13500000000000001"/>
    <n v="-0.13500000000000001"/>
    <n v="-0.13500000000000001"/>
    <n v="0"/>
    <s v="CATIVO"/>
    <n v="0"/>
    <s v="44440B1ConvencionalResidencialResidencial baixa renda – faixa 02Não se aplicaNão se aplicaNão se aplica"/>
    <s v="44440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10"/>
    <n v="0"/>
    <n v="0"/>
    <n v="273.81"/>
    <n v="273.81"/>
    <n v="273.81"/>
    <n v="273.81"/>
    <n v="1632"/>
    <s v="CATIVO"/>
    <n v="0"/>
    <s v="44470B1ConvencionalResidencialResidencial baixa renda – faixa 02Não se aplicaNão se aplicaNão se aplica"/>
    <s v="44470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10"/>
    <n v="0"/>
    <n v="0"/>
    <n v="-6.5000000000000002E-2"/>
    <n v="-6.5000000000000002E-2"/>
    <n v="-6.5000000000000002E-2"/>
    <n v="-6.5000000000000002E-2"/>
    <n v="0"/>
    <s v="CATIVO"/>
    <n v="0"/>
    <s v="44470B1ConvencionalResidencialResidencial baixa renda – faixa 02Não se aplicaNão se aplicaNão se aplica"/>
    <s v="44470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11"/>
    <n v="0"/>
    <n v="0"/>
    <n v="265.63600000000002"/>
    <n v="265.63600000000002"/>
    <n v="265.63600000000002"/>
    <n v="265.63600000000002"/>
    <n v="1637"/>
    <s v="CATIVO"/>
    <n v="0"/>
    <s v="44501B1ConvencionalResidencialResidencial baixa renda – faixa 02Não se aplicaNão se aplicaNão se aplica"/>
    <s v="44501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11"/>
    <n v="0"/>
    <n v="0"/>
    <n v="-6.4000000000000001E-2"/>
    <n v="-6.4000000000000001E-2"/>
    <n v="-6.4000000000000001E-2"/>
    <n v="-6.4000000000000001E-2"/>
    <n v="0"/>
    <s v="CATIVO"/>
    <n v="0"/>
    <s v="44501B1ConvencionalResidencialResidencial baixa renda – faixa 02Não se aplicaNão se aplicaNão se aplica"/>
    <s v="44501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3"/>
    <n v="0"/>
    <n v="0"/>
    <n v="263.64100000000002"/>
    <n v="263.64100000000002"/>
    <n v="263.64100000000002"/>
    <n v="263.64100000000002"/>
    <n v="1554"/>
    <s v="CATIVO"/>
    <n v="0"/>
    <s v="44531B1ConvencionalResidencialResidencial baixa renda – faixa 02Não se aplicaNão se aplicaNão se aplica"/>
    <s v="44531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3"/>
    <n v="0"/>
    <n v="0"/>
    <n v="1.6E-2"/>
    <n v="1.6E-2"/>
    <n v="1.6E-2"/>
    <n v="1.6E-2"/>
    <n v="0"/>
    <s v="CATIVO"/>
    <n v="0"/>
    <s v="44531B1ConvencionalResidencialResidencial baixa renda – faixa 02Não se aplicaNão se aplicaNão se aplica"/>
    <s v="44531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0"/>
    <n v="0"/>
    <n v="0"/>
    <n v="267.75400000000002"/>
    <n v="267.75400000000002"/>
    <n v="267.75400000000002"/>
    <n v="267.75400000000002"/>
    <n v="1520"/>
    <s v="CATIVO"/>
    <n v="0"/>
    <s v="44562B1ConvencionalResidencialResidencial baixa renda – faixa 02Não se aplicaNão se aplicaNão se aplica"/>
    <s v="44562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0"/>
    <n v="0"/>
    <n v="0"/>
    <n v="-0.09"/>
    <n v="-0.09"/>
    <n v="-0.09"/>
    <n v="-0.09"/>
    <n v="0"/>
    <s v="CATIVO"/>
    <n v="0"/>
    <s v="44562B1ConvencionalResidencialResidencial baixa renda – faixa 02Não se aplicaNão se aplicaNão se aplica"/>
    <s v="44562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4"/>
    <n v="0"/>
    <n v="0"/>
    <n v="283.09500000000003"/>
    <n v="283.09500000000003"/>
    <n v="283.09500000000003"/>
    <n v="283.09500000000003"/>
    <n v="1423"/>
    <s v="CATIVO"/>
    <n v="0"/>
    <s v="44593B1ConvencionalResidencialResidencial baixa renda – faixa 02Não se aplicaNão se aplicaNão se aplica"/>
    <s v="44593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1"/>
    <n v="0"/>
    <n v="0"/>
    <n v="299.08600000000001"/>
    <n v="299.08600000000001"/>
    <n v="299.08600000000001"/>
    <n v="299.08600000000001"/>
    <n v="1670"/>
    <s v="CATIVO"/>
    <n v="0"/>
    <s v="44621B1ConvencionalResidencialResidencial baixa renda – faixa 02Não se aplicaNão se aplicaNão se aplica"/>
    <s v="44621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2"/>
    <n v="0"/>
    <n v="0"/>
    <n v="295.02300000000002"/>
    <n v="295.02300000000002"/>
    <n v="295.02300000000002"/>
    <n v="295.02300000000002"/>
    <n v="1800"/>
    <s v="CATIVO"/>
    <n v="0"/>
    <s v="44652B1ConvencionalResidencialResidencial baixa renda – faixa 02Não se aplicaNão se aplicaNão se aplica"/>
    <s v="44652B1Energia convencionalResidencialResidencial baixa renda – faixa 02Não se aplicaNão se aplicaNão se aplica"/>
    <n v="0"/>
    <n v="32"/>
    <n v="73"/>
  </r>
  <r>
    <s v="Regular"/>
    <x v="2"/>
    <x v="3"/>
    <s v="Residencial"/>
    <x v="4"/>
    <x v="0"/>
    <s v="Não se aplica"/>
    <x v="1"/>
    <x v="5"/>
    <n v="0"/>
    <n v="0"/>
    <n v="296.60599999999999"/>
    <n v="296.60599999999999"/>
    <n v="296.60599999999999"/>
    <n v="296.60599999999999"/>
    <n v="1802"/>
    <s v="CATIVO"/>
    <n v="0"/>
    <s v="44682B1ConvencionalResidencialResidencial baixa renda – faixa 02Não se aplicaNão se aplicaNão se aplica"/>
    <s v="44682B1Energia convencionalResidencialResidencial baixa renda – faixa 02Não se aplicaNão se aplicaNão se aplica"/>
    <n v="0"/>
    <n v="32"/>
    <n v="73"/>
  </r>
  <r>
    <s v="Refaturamento - Regular"/>
    <x v="2"/>
    <x v="3"/>
    <s v="Residencial"/>
    <x v="4"/>
    <x v="0"/>
    <s v="Não se aplica"/>
    <x v="1"/>
    <x v="5"/>
    <n v="0"/>
    <n v="0"/>
    <n v="7.0000000000000007E-2"/>
    <n v="7.0000000000000007E-2"/>
    <n v="7.0000000000000007E-2"/>
    <n v="7.0000000000000007E-2"/>
    <n v="0"/>
    <s v="CATIVO"/>
    <n v="0"/>
    <s v="44682B1ConvencionalResidencialResidencial baixa renda – faixa 02Não se aplicaNão se aplicaNão se aplica"/>
    <s v="44682B1Energia convencionalResidencialResidencial baixa renda – faixa 02Não se aplicaNão se aplicaNão se aplica"/>
    <n v="0"/>
    <n v="32"/>
    <n v="73"/>
  </r>
  <r>
    <s v="Regular"/>
    <x v="2"/>
    <x v="3"/>
    <s v="Residencial"/>
    <x v="5"/>
    <x v="0"/>
    <s v="Não se aplica"/>
    <x v="1"/>
    <x v="6"/>
    <n v="0"/>
    <n v="0"/>
    <n v="165.16200000000001"/>
    <n v="165.16200000000001"/>
    <n v="165.16200000000001"/>
    <n v="165.16200000000001"/>
    <n v="2235"/>
    <s v="CATIVO"/>
    <n v="0"/>
    <s v="44348B1ConvencionalResidencialResidencial baixa renda – faixa 03Não se aplicaNão se aplicaNão se aplica"/>
    <s v="44348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6"/>
    <n v="0"/>
    <n v="0"/>
    <n v="-0.14000000000000001"/>
    <n v="-0.14000000000000001"/>
    <n v="-0.14000000000000001"/>
    <n v="-0.14000000000000001"/>
    <n v="0"/>
    <s v="CATIVO"/>
    <n v="0"/>
    <s v="44348B1ConvencionalResidencialResidencial baixa renda – faixa 03Não se aplicaNão se aplicaNão se aplica"/>
    <s v="44348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7"/>
    <n v="0"/>
    <n v="0"/>
    <n v="164.381"/>
    <n v="164.381"/>
    <n v="164.381"/>
    <n v="164.381"/>
    <n v="2212"/>
    <s v="CATIVO"/>
    <n v="0"/>
    <s v="44378B1ConvencionalResidencialResidencial baixa renda – faixa 03Não se aplicaNão se aplicaNão se aplica"/>
    <s v="44378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7"/>
    <n v="0"/>
    <n v="0"/>
    <n v="-0.13900000000000001"/>
    <n v="-0.13900000000000001"/>
    <n v="-0.13900000000000001"/>
    <n v="-0.13900000000000001"/>
    <n v="0"/>
    <s v="CATIVO"/>
    <n v="0"/>
    <s v="44378B1ConvencionalResidencialResidencial baixa renda – faixa 03Não se aplicaNão se aplicaNão se aplica"/>
    <s v="44378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8"/>
    <n v="0"/>
    <n v="0"/>
    <n v="172.28899999999999"/>
    <n v="172.28899999999999"/>
    <n v="172.28899999999999"/>
    <n v="172.28899999999999"/>
    <n v="2288"/>
    <s v="CATIVO"/>
    <n v="0"/>
    <s v="44409B1ConvencionalResidencialResidencial baixa renda – faixa 03Não se aplicaNão se aplicaNão se aplica"/>
    <s v="44409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8"/>
    <n v="0"/>
    <n v="0"/>
    <n v="-0.41199999999999998"/>
    <n v="-0.41199999999999998"/>
    <n v="-0.41199999999999998"/>
    <n v="-0.41199999999999998"/>
    <n v="0"/>
    <s v="CATIVO"/>
    <n v="0"/>
    <s v="44409B1ConvencionalResidencialResidencial baixa renda – faixa 03Não se aplicaNão se aplicaNão se aplica"/>
    <s v="44409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9"/>
    <n v="0"/>
    <n v="0"/>
    <n v="172.27199999999999"/>
    <n v="172.27199999999999"/>
    <n v="172.27199999999999"/>
    <n v="172.27199999999999"/>
    <n v="2446"/>
    <s v="CATIVO"/>
    <n v="0"/>
    <s v="44440B1ConvencionalResidencialResidencial baixa renda – faixa 03Não se aplicaNão se aplicaNão se aplica"/>
    <s v="44440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9"/>
    <n v="0"/>
    <n v="0"/>
    <n v="-0.23200000000000001"/>
    <n v="-0.23200000000000001"/>
    <n v="-0.23200000000000001"/>
    <n v="-0.23200000000000001"/>
    <n v="0"/>
    <s v="CATIVO"/>
    <n v="0"/>
    <s v="44440B1ConvencionalResidencialResidencial baixa renda – faixa 03Não se aplicaNão se aplicaNão se aplica"/>
    <s v="44440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10"/>
    <n v="0"/>
    <n v="0"/>
    <n v="173.268"/>
    <n v="173.268"/>
    <n v="173.268"/>
    <n v="173.268"/>
    <n v="2438"/>
    <s v="CATIVO"/>
    <n v="0"/>
    <s v="44470B1ConvencionalResidencialResidencial baixa renda – faixa 03Não se aplicaNão se aplicaNão se aplica"/>
    <s v="44470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10"/>
    <n v="0"/>
    <n v="0"/>
    <n v="-0.32200000000000001"/>
    <n v="-0.32200000000000001"/>
    <n v="-0.32200000000000001"/>
    <n v="-0.32200000000000001"/>
    <n v="0"/>
    <s v="CATIVO"/>
    <n v="0"/>
    <s v="44470B1ConvencionalResidencialResidencial baixa renda – faixa 03Não se aplicaNão se aplicaNão se aplica"/>
    <s v="44470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11"/>
    <n v="0"/>
    <n v="0"/>
    <n v="163.98"/>
    <n v="163.98"/>
    <n v="163.98"/>
    <n v="163.98"/>
    <n v="2360"/>
    <s v="CATIVO"/>
    <n v="0"/>
    <s v="44501B1ConvencionalResidencialResidencial baixa renda – faixa 03Não se aplicaNão se aplicaNão se aplica"/>
    <s v="44501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11"/>
    <n v="0"/>
    <n v="0"/>
    <n v="-0.16700000000000001"/>
    <n v="-0.16700000000000001"/>
    <n v="-0.16700000000000001"/>
    <n v="-0.16700000000000001"/>
    <n v="0"/>
    <s v="CATIVO"/>
    <n v="0"/>
    <s v="44501B1ConvencionalResidencialResidencial baixa renda – faixa 03Não se aplicaNão se aplicaNão se aplica"/>
    <s v="44501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3"/>
    <n v="0"/>
    <n v="0"/>
    <n v="157.48400000000001"/>
    <n v="157.48400000000001"/>
    <n v="157.48400000000001"/>
    <n v="157.48400000000001"/>
    <n v="2424"/>
    <s v="CATIVO"/>
    <n v="0"/>
    <s v="44531B1ConvencionalResidencialResidencial baixa renda – faixa 03Não se aplicaNão se aplicaNão se aplica"/>
    <s v="44531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3"/>
    <n v="0"/>
    <n v="0"/>
    <n v="-0.33300000000000002"/>
    <n v="-0.33300000000000002"/>
    <n v="-0.33300000000000002"/>
    <n v="-0.33300000000000002"/>
    <n v="0"/>
    <s v="CATIVO"/>
    <n v="0"/>
    <s v="44531B1ConvencionalResidencialResidencial baixa renda – faixa 03Não se aplicaNão se aplicaNão se aplica"/>
    <s v="44531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0"/>
    <n v="0"/>
    <n v="0"/>
    <n v="164.59299999999999"/>
    <n v="164.59299999999999"/>
    <n v="164.59299999999999"/>
    <n v="164.59299999999999"/>
    <n v="2457"/>
    <s v="CATIVO"/>
    <n v="0"/>
    <s v="44562B1ConvencionalResidencialResidencial baixa renda – faixa 03Não se aplicaNão se aplicaNão se aplica"/>
    <s v="44562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0"/>
    <n v="0"/>
    <n v="0"/>
    <n v="-0.313"/>
    <n v="-0.313"/>
    <n v="-0.313"/>
    <n v="-0.313"/>
    <n v="0"/>
    <s v="CATIVO"/>
    <n v="0"/>
    <s v="44562B1ConvencionalResidencialResidencial baixa renda – faixa 03Não se aplicaNão se aplicaNão se aplica"/>
    <s v="44562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4"/>
    <n v="0"/>
    <n v="0"/>
    <n v="191.77099999999999"/>
    <n v="191.77099999999999"/>
    <n v="191.77099999999999"/>
    <n v="191.77099999999999"/>
    <n v="2580"/>
    <s v="CATIVO"/>
    <n v="0"/>
    <s v="44593B1ConvencionalResidencialResidencial baixa renda – faixa 03Não se aplicaNão se aplicaNão se aplica"/>
    <s v="44593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1"/>
    <n v="0"/>
    <n v="0"/>
    <n v="193.261"/>
    <n v="193.261"/>
    <n v="193.261"/>
    <n v="193.261"/>
    <n v="2685"/>
    <s v="CATIVO"/>
    <n v="0"/>
    <s v="44621B1ConvencionalResidencialResidencial baixa renda – faixa 03Não se aplicaNão se aplicaNão se aplica"/>
    <s v="44621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2"/>
    <n v="0"/>
    <n v="0"/>
    <n v="183.00200000000001"/>
    <n v="183.00200000000001"/>
    <n v="183.00200000000001"/>
    <n v="183.00200000000001"/>
    <n v="2618"/>
    <s v="CATIVO"/>
    <n v="0"/>
    <s v="44652B1ConvencionalResidencialResidencial baixa renda – faixa 03Não se aplicaNão se aplicaNão se aplica"/>
    <s v="44652B1Energia convencionalResidencialResidencial baixa renda – faixa 03Não se aplicaNão se aplicaNão se aplica"/>
    <n v="0"/>
    <n v="33"/>
    <n v="74"/>
  </r>
  <r>
    <s v="Regular"/>
    <x v="2"/>
    <x v="3"/>
    <s v="Residencial"/>
    <x v="5"/>
    <x v="0"/>
    <s v="Não se aplica"/>
    <x v="1"/>
    <x v="5"/>
    <n v="0"/>
    <n v="0"/>
    <n v="185.56899999999999"/>
    <n v="185.56899999999999"/>
    <n v="185.56899999999999"/>
    <n v="185.56899999999999"/>
    <n v="2619"/>
    <s v="CATIVO"/>
    <n v="0"/>
    <s v="44682B1ConvencionalResidencialResidencial baixa renda – faixa 03Não se aplicaNão se aplicaNão se aplica"/>
    <s v="44682B1Energia convencionalResidencialResidencial baixa renda – faixa 03Não se aplicaNão se aplicaNão se aplica"/>
    <n v="0"/>
    <n v="33"/>
    <n v="74"/>
  </r>
  <r>
    <s v="Refaturamento - Regular"/>
    <x v="2"/>
    <x v="3"/>
    <s v="Residencial"/>
    <x v="5"/>
    <x v="0"/>
    <s v="Não se aplica"/>
    <x v="1"/>
    <x v="5"/>
    <n v="0"/>
    <n v="0"/>
    <n v="-0.157"/>
    <n v="-0.157"/>
    <n v="-0.157"/>
    <n v="-0.157"/>
    <n v="0"/>
    <s v="CATIVO"/>
    <n v="0"/>
    <s v="44682B1ConvencionalResidencialResidencial baixa renda – faixa 03Não se aplicaNão se aplicaNão se aplica"/>
    <s v="44682B1Energia convencionalResidencialResidencial baixa renda – faixa 03Não se aplicaNão se aplicaNão se aplica"/>
    <n v="0"/>
    <n v="33"/>
    <n v="74"/>
  </r>
  <r>
    <s v="Regular"/>
    <x v="2"/>
    <x v="3"/>
    <s v="Residencial"/>
    <x v="6"/>
    <x v="0"/>
    <s v="Não se aplica"/>
    <x v="1"/>
    <x v="6"/>
    <n v="0"/>
    <n v="0"/>
    <n v="32.509"/>
    <n v="32.509"/>
    <n v="32.509"/>
    <n v="32.509"/>
    <n v="507"/>
    <s v="CATIVO"/>
    <n v="0"/>
    <s v="44348B1ConvencionalResidencialResidencial baixa renda – faixa 04Não se aplicaNão se aplicaNão se aplica"/>
    <s v="44348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6"/>
    <n v="0"/>
    <n v="0"/>
    <n v="-0.16300000000000001"/>
    <n v="-0.16300000000000001"/>
    <n v="-0.16300000000000001"/>
    <n v="-0.16300000000000001"/>
    <n v="0"/>
    <s v="CATIVO"/>
    <n v="0"/>
    <s v="44348B1ConvencionalResidencialResidencial baixa renda – faixa 04Não se aplicaNão se aplicaNão se aplica"/>
    <s v="44348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7"/>
    <n v="0"/>
    <n v="0"/>
    <n v="37.683"/>
    <n v="37.683"/>
    <n v="37.683"/>
    <n v="37.683"/>
    <n v="514"/>
    <s v="CATIVO"/>
    <n v="0"/>
    <s v="44378B1ConvencionalResidencialResidencial baixa renda – faixa 04Não se aplicaNão se aplicaNão se aplica"/>
    <s v="44378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7"/>
    <n v="0"/>
    <n v="0"/>
    <n v="-0.79"/>
    <n v="-0.79"/>
    <n v="-0.79"/>
    <n v="-0.79"/>
    <n v="0"/>
    <s v="CATIVO"/>
    <n v="0"/>
    <s v="44378B1ConvencionalResidencialResidencial baixa renda – faixa 04Não se aplicaNão se aplicaNão se aplica"/>
    <s v="44378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8"/>
    <n v="0"/>
    <n v="0"/>
    <n v="37.825000000000003"/>
    <n v="37.825000000000003"/>
    <n v="37.825000000000003"/>
    <n v="37.825000000000003"/>
    <n v="539"/>
    <s v="CATIVO"/>
    <n v="0"/>
    <s v="44409B1ConvencionalResidencialResidencial baixa renda – faixa 04Não se aplicaNão se aplicaNão se aplica"/>
    <s v="44409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8"/>
    <n v="0"/>
    <n v="0"/>
    <n v="-0.34699999999999998"/>
    <n v="-0.34699999999999998"/>
    <n v="-0.34699999999999998"/>
    <n v="-0.34699999999999998"/>
    <n v="0"/>
    <s v="CATIVO"/>
    <n v="0"/>
    <s v="44409B1ConvencionalResidencialResidencial baixa renda – faixa 04Não se aplicaNão se aplicaNão se aplica"/>
    <s v="44409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9"/>
    <n v="0"/>
    <n v="0"/>
    <n v="30.623000000000001"/>
    <n v="30.623000000000001"/>
    <n v="30.623000000000001"/>
    <n v="30.623000000000001"/>
    <n v="487"/>
    <s v="CATIVO"/>
    <n v="0"/>
    <s v="44440B1ConvencionalResidencialResidencial baixa renda – faixa 04Não se aplicaNão se aplicaNão se aplica"/>
    <s v="44440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9"/>
    <n v="0"/>
    <n v="0"/>
    <n v="-1.9E-2"/>
    <n v="-1.9E-2"/>
    <n v="-1.9E-2"/>
    <n v="-1.9E-2"/>
    <n v="0"/>
    <s v="CATIVO"/>
    <n v="0"/>
    <s v="44440B1ConvencionalResidencialResidencial baixa renda – faixa 04Não se aplicaNão se aplicaNão se aplica"/>
    <s v="44440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10"/>
    <n v="0"/>
    <n v="0"/>
    <n v="31.774000000000001"/>
    <n v="31.774000000000001"/>
    <n v="31.774000000000001"/>
    <n v="31.774000000000001"/>
    <n v="503"/>
    <s v="CATIVO"/>
    <n v="0"/>
    <s v="44470B1ConvencionalResidencialResidencial baixa renda – faixa 04Não se aplicaNão se aplicaNão se aplica"/>
    <s v="44470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10"/>
    <n v="0"/>
    <n v="0"/>
    <n v="-0.60399999999999998"/>
    <n v="-0.60399999999999998"/>
    <n v="-0.60399999999999998"/>
    <n v="-0.60399999999999998"/>
    <n v="0"/>
    <s v="CATIVO"/>
    <n v="0"/>
    <s v="44470B1ConvencionalResidencialResidencial baixa renda – faixa 04Não se aplicaNão se aplicaNão se aplica"/>
    <s v="44470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11"/>
    <n v="0"/>
    <n v="0"/>
    <n v="30.585999999999999"/>
    <n v="30.585999999999999"/>
    <n v="30.585999999999999"/>
    <n v="30.585999999999999"/>
    <n v="464"/>
    <s v="CATIVO"/>
    <n v="0"/>
    <s v="44501B1ConvencionalResidencialResidencial baixa renda – faixa 04Não se aplicaNão se aplicaNão se aplica"/>
    <s v="44501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11"/>
    <n v="0"/>
    <n v="0"/>
    <n v="-0.45100000000000001"/>
    <n v="-0.45100000000000001"/>
    <n v="-0.45100000000000001"/>
    <n v="-0.45100000000000001"/>
    <n v="0"/>
    <s v="CATIVO"/>
    <n v="0"/>
    <s v="44501B1ConvencionalResidencialResidencial baixa renda – faixa 04Não se aplicaNão se aplicaNão se aplica"/>
    <s v="44501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3"/>
    <n v="0"/>
    <n v="0"/>
    <n v="25.991"/>
    <n v="25.991"/>
    <n v="25.991"/>
    <n v="25.991"/>
    <n v="398"/>
    <s v="CATIVO"/>
    <n v="0"/>
    <s v="44531B1ConvencionalResidencialResidencial baixa renda – faixa 04Não se aplicaNão se aplicaNão se aplica"/>
    <s v="44531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3"/>
    <n v="0"/>
    <n v="0"/>
    <n v="-7.0000000000000001E-3"/>
    <n v="-7.0000000000000001E-3"/>
    <n v="-7.0000000000000001E-3"/>
    <n v="-7.0000000000000001E-3"/>
    <n v="0"/>
    <s v="CATIVO"/>
    <n v="0"/>
    <s v="44531B1ConvencionalResidencialResidencial baixa renda – faixa 04Não se aplicaNão se aplicaNão se aplica"/>
    <s v="44531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0"/>
    <n v="0"/>
    <n v="0"/>
    <n v="30.13"/>
    <n v="30.13"/>
    <n v="30.13"/>
    <n v="30.13"/>
    <n v="440"/>
    <s v="CATIVO"/>
    <n v="0"/>
    <s v="44562B1ConvencionalResidencialResidencial baixa renda – faixa 04Não se aplicaNão se aplicaNão se aplica"/>
    <s v="44562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0"/>
    <n v="0"/>
    <n v="0"/>
    <n v="-0.183"/>
    <n v="-0.183"/>
    <n v="-0.183"/>
    <n v="-0.183"/>
    <n v="0"/>
    <s v="CATIVO"/>
    <n v="0"/>
    <s v="44562B1ConvencionalResidencialResidencial baixa renda – faixa 04Não se aplicaNão se aplicaNão se aplica"/>
    <s v="44562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4"/>
    <n v="0"/>
    <n v="0"/>
    <n v="41.759"/>
    <n v="41.759"/>
    <n v="41.759"/>
    <n v="41.759"/>
    <n v="578"/>
    <s v="CATIVO"/>
    <n v="0"/>
    <s v="44593B1ConvencionalResidencialResidencial baixa renda – faixa 04Não se aplicaNão se aplicaNão se aplica"/>
    <s v="44593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1"/>
    <n v="0"/>
    <n v="0"/>
    <n v="43.734999999999999"/>
    <n v="43.734999999999999"/>
    <n v="43.734999999999999"/>
    <n v="43.734999999999999"/>
    <n v="572"/>
    <s v="CATIVO"/>
    <n v="0"/>
    <s v="44621B1ConvencionalResidencialResidencial baixa renda – faixa 04Não se aplicaNão se aplicaNão se aplica"/>
    <s v="44621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2"/>
    <n v="0"/>
    <n v="0"/>
    <n v="34.807000000000002"/>
    <n v="34.807000000000002"/>
    <n v="34.807000000000002"/>
    <n v="34.807000000000002"/>
    <n v="514"/>
    <s v="CATIVO"/>
    <n v="0"/>
    <s v="44652B1ConvencionalResidencialResidencial baixa renda – faixa 04Não se aplicaNão se aplicaNão se aplica"/>
    <s v="44652B1Energia convencionalResidencialResidencial baixa renda – faixa 04Não se aplicaNão se aplicaNão se aplica"/>
    <n v="0"/>
    <n v="34"/>
    <n v="75"/>
  </r>
  <r>
    <s v="Regular"/>
    <x v="2"/>
    <x v="3"/>
    <s v="Residencial"/>
    <x v="6"/>
    <x v="0"/>
    <s v="Não se aplica"/>
    <x v="1"/>
    <x v="5"/>
    <n v="0"/>
    <n v="0"/>
    <n v="37.749000000000002"/>
    <n v="37.749000000000002"/>
    <n v="37.749000000000002"/>
    <n v="37.749000000000002"/>
    <n v="540"/>
    <s v="CATIVO"/>
    <n v="0"/>
    <s v="44682B1ConvencionalResidencialResidencial baixa renda – faixa 04Não se aplicaNão se aplicaNão se aplica"/>
    <s v="44682B1Energia convencionalResidencialResidencial baixa renda – faixa 04Não se aplicaNão se aplicaNão se aplica"/>
    <n v="0"/>
    <n v="34"/>
    <n v="75"/>
  </r>
  <r>
    <s v="Refaturamento - Regular"/>
    <x v="2"/>
    <x v="3"/>
    <s v="Residencial"/>
    <x v="6"/>
    <x v="0"/>
    <s v="Não se aplica"/>
    <x v="1"/>
    <x v="5"/>
    <n v="0"/>
    <n v="0"/>
    <n v="-0.39300000000000002"/>
    <n v="-0.39300000000000002"/>
    <n v="-0.39300000000000002"/>
    <n v="-0.39300000000000002"/>
    <n v="0"/>
    <s v="CATIVO"/>
    <n v="0"/>
    <s v="44682B1ConvencionalResidencialResidencial baixa renda – faixa 04Não se aplicaNão se aplicaNão se aplica"/>
    <s v="44682B1Energia convencionalResidencialResidencial baixa renda – faixa 04Não se aplicaNão se aplicaNão se aplica"/>
    <n v="0"/>
    <n v="34"/>
    <n v="75"/>
  </r>
  <r>
    <s v="Regular"/>
    <x v="3"/>
    <x v="3"/>
    <s v="Rural"/>
    <x v="0"/>
    <x v="0"/>
    <s v="Não se aplica"/>
    <x v="1"/>
    <x v="6"/>
    <n v="0"/>
    <n v="0"/>
    <n v="538.70600000000002"/>
    <n v="538.70600000000002"/>
    <n v="538.70600000000002"/>
    <n v="538.70600000000002"/>
    <n v="1770"/>
    <s v="CATIVO"/>
    <n v="0"/>
    <s v="44348B2ConvencionalRuralNão se aplicaNão se aplicaNão se aplicaNão se aplica"/>
    <s v="44348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6"/>
    <n v="0"/>
    <n v="0"/>
    <n v="0.57799999999999996"/>
    <n v="0.57799999999999996"/>
    <n v="0.57799999999999996"/>
    <n v="0.57799999999999996"/>
    <n v="0"/>
    <s v="CATIVO"/>
    <n v="0"/>
    <s v="44348B2ConvencionalRuralNão se aplicaNão se aplicaNão se aplicaNão se aplica"/>
    <s v="44348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6"/>
    <n v="0"/>
    <n v="0"/>
    <n v="1.46"/>
    <n v="1.46"/>
    <n v="1.46"/>
    <n v="1.46"/>
    <n v="8"/>
    <s v="CATIVO"/>
    <n v="0"/>
    <s v="44348B2ConvencionalRuralNão se aplicaNão se aplicaNão se aplicaNão se aplica"/>
    <s v="44348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7"/>
    <n v="0"/>
    <n v="0"/>
    <n v="562.96199999999999"/>
    <n v="562.96199999999999"/>
    <n v="562.96199999999999"/>
    <n v="562.96199999999999"/>
    <n v="1772"/>
    <s v="CATIVO"/>
    <n v="0"/>
    <s v="44378B2ConvencionalRuralNão se aplicaNão se aplicaNão se aplicaNão se aplica"/>
    <s v="44378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7"/>
    <n v="0"/>
    <n v="0"/>
    <n v="-0.11"/>
    <n v="-0.11"/>
    <n v="-0.11"/>
    <n v="-0.11"/>
    <n v="0"/>
    <s v="CATIVO"/>
    <n v="0"/>
    <s v="44378B2ConvencionalRuralNão se aplicaNão se aplicaNão se aplicaNão se aplica"/>
    <s v="44378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7"/>
    <n v="0"/>
    <n v="0"/>
    <n v="0.84199999999999997"/>
    <n v="0.84199999999999997"/>
    <n v="0.84199999999999997"/>
    <n v="0.84199999999999997"/>
    <n v="7"/>
    <s v="CATIVO"/>
    <n v="0"/>
    <s v="44378B2ConvencionalRuralNão se aplicaNão se aplicaNão se aplicaNão se aplica"/>
    <s v="44378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8"/>
    <n v="0"/>
    <n v="0"/>
    <n v="539.01599999999996"/>
    <n v="539.01599999999996"/>
    <n v="539.01599999999996"/>
    <n v="539.01599999999996"/>
    <n v="1770"/>
    <s v="CATIVO"/>
    <n v="0"/>
    <s v="44409B2ConvencionalRuralNão se aplicaNão se aplicaNão se aplicaNão se aplica"/>
    <s v="44409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8"/>
    <n v="0"/>
    <n v="0"/>
    <n v="0.09"/>
    <n v="0.09"/>
    <n v="0.09"/>
    <n v="0.09"/>
    <n v="0"/>
    <s v="CATIVO"/>
    <n v="0"/>
    <s v="44409B2ConvencionalRuralNão se aplicaNão se aplicaNão se aplicaNão se aplica"/>
    <s v="44409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8"/>
    <n v="0"/>
    <n v="0"/>
    <n v="1.9710000000000001"/>
    <n v="1.9710000000000001"/>
    <n v="1.9710000000000001"/>
    <n v="1.9710000000000001"/>
    <n v="8"/>
    <s v="CATIVO"/>
    <n v="0"/>
    <s v="44409B2ConvencionalRuralNão se aplicaNão se aplicaNão se aplicaNão se aplica"/>
    <s v="44409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9"/>
    <n v="0"/>
    <n v="0"/>
    <n v="525.69899999999996"/>
    <n v="525.69899999999996"/>
    <n v="525.69899999999996"/>
    <n v="525.69899999999996"/>
    <n v="1768"/>
    <s v="CATIVO"/>
    <n v="0"/>
    <s v="44440B2ConvencionalRuralNão se aplicaNão se aplicaNão se aplicaNão se aplica"/>
    <s v="44440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9"/>
    <n v="0"/>
    <n v="0"/>
    <n v="-0.26700000000000002"/>
    <n v="-0.26700000000000002"/>
    <n v="-0.26700000000000002"/>
    <n v="-0.26700000000000002"/>
    <n v="0"/>
    <s v="CATIVO"/>
    <n v="0"/>
    <s v="44440B2ConvencionalRuralNão se aplicaNão se aplicaNão se aplicaNão se aplica"/>
    <s v="44440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9"/>
    <n v="0"/>
    <n v="0"/>
    <n v="2.528"/>
    <n v="2.528"/>
    <n v="2.528"/>
    <n v="2.528"/>
    <n v="11"/>
    <s v="CATIVO"/>
    <n v="0"/>
    <s v="44440B2ConvencionalRuralNão se aplicaNão se aplicaNão se aplicaNão se aplica"/>
    <s v="44440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10"/>
    <n v="0"/>
    <n v="0"/>
    <n v="541.39200000000005"/>
    <n v="541.39200000000005"/>
    <n v="541.39200000000005"/>
    <n v="541.39200000000005"/>
    <n v="1763"/>
    <s v="CATIVO"/>
    <n v="0"/>
    <s v="44470B2ConvencionalRuralNão se aplicaNão se aplicaNão se aplicaNão se aplica"/>
    <s v="44470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10"/>
    <n v="0"/>
    <n v="0"/>
    <n v="-0.81200000000000006"/>
    <n v="-0.81200000000000006"/>
    <n v="-0.81200000000000006"/>
    <n v="-0.81200000000000006"/>
    <n v="0"/>
    <s v="CATIVO"/>
    <n v="0"/>
    <s v="44470B2ConvencionalRuralNão se aplicaNão se aplicaNão se aplicaNão se aplica"/>
    <s v="44470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10"/>
    <n v="0"/>
    <n v="0"/>
    <n v="1.7310000000000001"/>
    <n v="1.7310000000000001"/>
    <n v="1.7310000000000001"/>
    <n v="1.7310000000000001"/>
    <n v="11"/>
    <s v="CATIVO"/>
    <n v="0"/>
    <s v="44470B2ConvencionalRuralNão se aplicaNão se aplicaNão se aplicaNão se aplica"/>
    <s v="44470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11"/>
    <n v="0"/>
    <n v="0"/>
    <n v="512.59900000000005"/>
    <n v="512.59900000000005"/>
    <n v="512.59900000000005"/>
    <n v="512.59900000000005"/>
    <n v="1754"/>
    <s v="CATIVO"/>
    <n v="0"/>
    <s v="44501B2ConvencionalRuralNão se aplicaNão se aplicaNão se aplicaNão se aplica"/>
    <s v="44501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11"/>
    <n v="0"/>
    <n v="0"/>
    <n v="-0.185"/>
    <n v="-0.185"/>
    <n v="-0.185"/>
    <n v="-0.185"/>
    <n v="0"/>
    <s v="CATIVO"/>
    <n v="0"/>
    <s v="44501B2ConvencionalRuralNão se aplicaNão se aplicaNão se aplicaNão se aplica"/>
    <s v="44501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11"/>
    <n v="0"/>
    <n v="0"/>
    <n v="1.8939999999999999"/>
    <n v="1.8939999999999999"/>
    <n v="1.8939999999999999"/>
    <n v="1.8939999999999999"/>
    <n v="12"/>
    <s v="CATIVO"/>
    <n v="0"/>
    <s v="44501B2ConvencionalRuralNão se aplicaNão se aplicaNão se aplicaNão se aplica"/>
    <s v="44501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3"/>
    <n v="0"/>
    <n v="0"/>
    <n v="543.45000000000005"/>
    <n v="543.45000000000005"/>
    <n v="543.45000000000005"/>
    <n v="543.45000000000005"/>
    <n v="1739"/>
    <s v="CATIVO"/>
    <n v="0"/>
    <s v="44531B2ConvencionalRuralNão se aplicaNão se aplicaNão se aplicaNão se aplica"/>
    <s v="44531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3"/>
    <n v="0"/>
    <n v="0"/>
    <n v="-0.155"/>
    <n v="-0.155"/>
    <n v="-0.155"/>
    <n v="-0.155"/>
    <n v="0"/>
    <s v="CATIVO"/>
    <n v="0"/>
    <s v="44531B2ConvencionalRuralNão se aplicaNão se aplicaNão se aplicaNão se aplica"/>
    <s v="44531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3"/>
    <n v="0"/>
    <n v="0"/>
    <n v="2.7130000000000001"/>
    <n v="2.7130000000000001"/>
    <n v="2.7130000000000001"/>
    <n v="2.7130000000000001"/>
    <n v="19"/>
    <s v="CATIVO"/>
    <n v="0"/>
    <s v="44531B2ConvencionalRuralNão se aplicaNão se aplicaNão se aplicaNão se aplica"/>
    <s v="44531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0"/>
    <n v="0"/>
    <n v="0"/>
    <n v="523.37199999999996"/>
    <n v="523.37199999999996"/>
    <n v="523.37199999999996"/>
    <n v="523.37199999999996"/>
    <n v="1733"/>
    <s v="CATIVO"/>
    <n v="0"/>
    <s v="44562B2ConvencionalRuralNão se aplicaNão se aplicaNão se aplicaNão se aplica"/>
    <s v="44562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0"/>
    <n v="0"/>
    <n v="0"/>
    <n v="-0.97599999999999998"/>
    <n v="-0.97599999999999998"/>
    <n v="-0.97599999999999998"/>
    <n v="-0.97599999999999998"/>
    <n v="0"/>
    <s v="CATIVO"/>
    <n v="0"/>
    <s v="44562B2ConvencionalRuralNão se aplicaNão se aplicaNão se aplicaNão se aplica"/>
    <s v="44562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0"/>
    <n v="0"/>
    <n v="0"/>
    <n v="3.7149999999999999"/>
    <n v="3.7149999999999999"/>
    <n v="3.7149999999999999"/>
    <n v="3.7149999999999999"/>
    <n v="21"/>
    <s v="CATIVO"/>
    <n v="0"/>
    <s v="44562B2ConvencionalRuralNão se aplicaNão se aplicaNão se aplicaNão se aplica"/>
    <s v="44562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4"/>
    <n v="0"/>
    <n v="0"/>
    <n v="521.06500000000005"/>
    <n v="521.06500000000005"/>
    <n v="521.06500000000005"/>
    <n v="521.06500000000005"/>
    <n v="1728"/>
    <s v="CATIVO"/>
    <n v="0"/>
    <s v="44593B2ConvencionalRuralNão se aplicaNão se aplicaNão se aplicaNão se aplica"/>
    <s v="44593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1"/>
    <n v="0"/>
    <n v="0"/>
    <n v="508.90899999999999"/>
    <n v="508.90899999999999"/>
    <n v="508.90899999999999"/>
    <n v="508.90899999999999"/>
    <n v="1728"/>
    <s v="CATIVO"/>
    <n v="0"/>
    <s v="44621B2ConvencionalRuralNão se aplicaNão se aplicaNão se aplicaNão se aplica"/>
    <s v="44621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1"/>
    <n v="0"/>
    <n v="0"/>
    <n v="5.8129999999999997"/>
    <n v="5.8129999999999997"/>
    <n v="5.8129999999999997"/>
    <n v="5.8129999999999997"/>
    <n v="24"/>
    <s v="CATIVO"/>
    <n v="0"/>
    <s v="44621B2ConvencionalRuralNão se aplicaNão se aplicaNão se aplicaNão se aplica"/>
    <s v="44621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2"/>
    <n v="0"/>
    <n v="0"/>
    <n v="484.93299999999999"/>
    <n v="484.93299999999999"/>
    <n v="484.93299999999999"/>
    <n v="484.93299999999999"/>
    <n v="1705"/>
    <s v="CATIVO"/>
    <n v="0"/>
    <s v="44652B2ConvencionalRuralNão se aplicaNão se aplicaNão se aplicaNão se aplica"/>
    <s v="44652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2"/>
    <n v="0"/>
    <n v="0"/>
    <n v="7.4870000000000001"/>
    <n v="7.4870000000000001"/>
    <n v="7.4870000000000001"/>
    <n v="7.4870000000000001"/>
    <n v="24"/>
    <s v="CATIVO"/>
    <n v="0"/>
    <s v="44652B2ConvencionalRuralNão se aplicaNão se aplicaNão se aplicaNão se aplica"/>
    <s v="44652B2Energia convencionalRuralNão se aplicaNão se aplicaNão se aplicaNão se aplica"/>
    <n v="0"/>
    <n v="43"/>
    <n v="84"/>
  </r>
  <r>
    <s v="Regular"/>
    <x v="3"/>
    <x v="3"/>
    <s v="Rural"/>
    <x v="0"/>
    <x v="0"/>
    <s v="Não se aplica"/>
    <x v="1"/>
    <x v="5"/>
    <n v="0"/>
    <n v="0"/>
    <n v="504.78500000000003"/>
    <n v="504.78500000000003"/>
    <n v="504.78500000000003"/>
    <n v="504.78500000000003"/>
    <n v="1691"/>
    <s v="CATIVO"/>
    <n v="0"/>
    <s v="44682B2ConvencionalRuralNão se aplicaNão se aplicaNão se aplicaNão se aplica"/>
    <s v="44682B2Energia convencionalRuralNão se aplicaNão se aplicaNão se aplicaNão se aplica"/>
    <n v="0"/>
    <n v="43"/>
    <n v="84"/>
  </r>
  <r>
    <s v="Refaturamento - Regular"/>
    <x v="3"/>
    <x v="3"/>
    <s v="Rural"/>
    <x v="0"/>
    <x v="0"/>
    <s v="Não se aplica"/>
    <x v="1"/>
    <x v="5"/>
    <n v="0"/>
    <n v="0"/>
    <n v="0.27500000000000002"/>
    <n v="0.27500000000000002"/>
    <n v="0.27500000000000002"/>
    <n v="0.27500000000000002"/>
    <n v="0"/>
    <s v="CATIVO"/>
    <n v="0"/>
    <s v="44682B2ConvencionalRuralNão se aplicaNão se aplicaNão se aplicaNão se aplica"/>
    <s v="44682B2Energia convencionalRuralNão se aplicaNão se aplicaNão se aplicaNão se aplica"/>
    <n v="0"/>
    <n v="43"/>
    <n v="84"/>
  </r>
  <r>
    <s v="Sistema de Compensação"/>
    <x v="3"/>
    <x v="3"/>
    <s v="Rural"/>
    <x v="0"/>
    <x v="0"/>
    <s v="Não se aplica"/>
    <x v="1"/>
    <x v="5"/>
    <n v="0"/>
    <n v="0"/>
    <n v="8.8949999999999996"/>
    <n v="8.8949999999999996"/>
    <n v="8.8949999999999996"/>
    <n v="8.8949999999999996"/>
    <n v="29"/>
    <s v="CATIVO"/>
    <n v="0"/>
    <s v="44682B2ConvencionalRuralNão se aplicaNão se aplicaNão se aplicaNão se aplica"/>
    <s v="44682B2Energia convencionalRuralNão se aplicaNão se aplicaNão se aplicaNão se aplica"/>
    <n v="0"/>
    <n v="43"/>
    <n v="84"/>
  </r>
  <r>
    <s v="Regular"/>
    <x v="4"/>
    <x v="2"/>
    <s v="Comercial"/>
    <x v="0"/>
    <x v="0"/>
    <s v="Não se aplica"/>
    <x v="0"/>
    <x v="6"/>
    <n v="0"/>
    <n v="0"/>
    <n v="30.501999999999999"/>
    <n v="30.501999999999999"/>
    <n v="30.501999999999999"/>
    <n v="30.501999999999999"/>
    <n v="0"/>
    <s v="CATIVO"/>
    <n v="0"/>
    <s v="44348B3BrancaNão se aplicaNão se aplicaNão se aplicaNão se aplicaFora ponta"/>
    <s v="44348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7"/>
    <n v="0"/>
    <n v="0"/>
    <n v="31.99"/>
    <n v="31.99"/>
    <n v="31.99"/>
    <n v="31.99"/>
    <n v="0"/>
    <s v="CATIVO"/>
    <n v="0"/>
    <s v="44378B3BrancaNão se aplicaNão se aplicaNão se aplicaNão se aplicaFora ponta"/>
    <s v="44378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8"/>
    <n v="0"/>
    <n v="0"/>
    <n v="32.703000000000003"/>
    <n v="32.703000000000003"/>
    <n v="32.703000000000003"/>
    <n v="32.703000000000003"/>
    <n v="0"/>
    <s v="CATIVO"/>
    <n v="0"/>
    <s v="44409B3BrancaNão se aplicaNão se aplicaNão se aplicaNão se aplicaFora ponta"/>
    <s v="44409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9"/>
    <n v="0"/>
    <n v="0"/>
    <n v="34.878"/>
    <n v="34.878"/>
    <n v="34.878"/>
    <n v="34.878"/>
    <n v="0"/>
    <s v="CATIVO"/>
    <n v="0"/>
    <s v="44440B3BrancaNão se aplicaNão se aplicaNão se aplicaNão se aplicaFora ponta"/>
    <s v="44440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10"/>
    <n v="0"/>
    <n v="0"/>
    <n v="35.561"/>
    <n v="35.561"/>
    <n v="35.561"/>
    <n v="35.561"/>
    <n v="0"/>
    <s v="CATIVO"/>
    <n v="0"/>
    <s v="44470B3BrancaNão se aplicaNão se aplicaNão se aplicaNão se aplicaFora ponta"/>
    <s v="44470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11"/>
    <n v="0"/>
    <n v="0"/>
    <n v="34.975999999999999"/>
    <n v="34.975999999999999"/>
    <n v="34.975999999999999"/>
    <n v="34.975999999999999"/>
    <n v="0"/>
    <s v="CATIVO"/>
    <n v="0"/>
    <s v="44501B3BrancaNão se aplicaNão se aplicaNão se aplicaNão se aplicaFora ponta"/>
    <s v="44501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3"/>
    <n v="0"/>
    <n v="0"/>
    <n v="39.262999999999998"/>
    <n v="39.262999999999998"/>
    <n v="39.262999999999998"/>
    <n v="39.262999999999998"/>
    <n v="0"/>
    <s v="CATIVO"/>
    <n v="0"/>
    <s v="44531B3BrancaNão se aplicaNão se aplicaNão se aplicaNão se aplicaFora ponta"/>
    <s v="44531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0"/>
    <n v="0"/>
    <n v="0"/>
    <n v="35.311999999999998"/>
    <n v="35.311999999999998"/>
    <n v="35.311999999999998"/>
    <n v="35.311999999999998"/>
    <n v="0"/>
    <s v="CATIVO"/>
    <n v="0"/>
    <s v="44562B3BrancaNão se aplicaNão se aplicaNão se aplicaNão se aplicaFora ponta"/>
    <s v="44562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4"/>
    <n v="0"/>
    <n v="0"/>
    <n v="40.908000000000001"/>
    <n v="40.908000000000001"/>
    <n v="40.908000000000001"/>
    <n v="40.908000000000001"/>
    <n v="0"/>
    <s v="CATIVO"/>
    <n v="0"/>
    <s v="44593B3BrancaNão se aplicaNão se aplicaNão se aplicaNão se aplicaFora ponta"/>
    <s v="44593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1"/>
    <n v="0"/>
    <n v="0"/>
    <n v="37.264000000000003"/>
    <n v="37.264000000000003"/>
    <n v="37.264000000000003"/>
    <n v="37.264000000000003"/>
    <n v="0"/>
    <s v="CATIVO"/>
    <n v="0"/>
    <s v="44621B3BrancaNão se aplicaNão se aplicaNão se aplicaNão se aplicaFora ponta"/>
    <s v="44621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2"/>
    <n v="0"/>
    <n v="0"/>
    <n v="30.814"/>
    <n v="30.814"/>
    <n v="30.814"/>
    <n v="30.814"/>
    <n v="0"/>
    <s v="CATIVO"/>
    <n v="0"/>
    <s v="44652B3BrancaNão se aplicaNão se aplicaNão se aplicaNão se aplicaFora ponta"/>
    <s v="44652B3Energia horáriaNão se aplicaNão se aplicaNão se aplicaNão se aplicaFora ponta"/>
    <n v="0"/>
    <n v="57"/>
    <n v="98"/>
  </r>
  <r>
    <s v="Sistema de Compensação"/>
    <x v="4"/>
    <x v="2"/>
    <s v="Comercial"/>
    <x v="0"/>
    <x v="0"/>
    <s v="Não se aplica"/>
    <x v="0"/>
    <x v="2"/>
    <n v="0"/>
    <n v="0"/>
    <n v="0.23"/>
    <n v="0.23"/>
    <n v="0.23"/>
    <n v="0.23"/>
    <n v="0"/>
    <s v="CATIVO"/>
    <n v="0"/>
    <s v="44652B3BrancaNão se aplicaNão se aplicaNão se aplicaNão se aplicaFora ponta"/>
    <s v="44652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0"/>
    <x v="5"/>
    <n v="0"/>
    <n v="0"/>
    <n v="32.301000000000002"/>
    <n v="32.301000000000002"/>
    <n v="32.301000000000002"/>
    <n v="32.301000000000002"/>
    <n v="0"/>
    <s v="CATIVO"/>
    <n v="0"/>
    <s v="44682B3BrancaNão se aplicaNão se aplicaNão se aplicaNão se aplicaFora ponta"/>
    <s v="44682B3Energia horáriaNão se aplicaNão se aplicaNão se aplicaNão se aplicaFora ponta"/>
    <n v="0"/>
    <n v="57"/>
    <n v="98"/>
  </r>
  <r>
    <s v="Regular"/>
    <x v="4"/>
    <x v="2"/>
    <s v="Comercial"/>
    <x v="0"/>
    <x v="0"/>
    <s v="Não se aplica"/>
    <x v="3"/>
    <x v="6"/>
    <n v="0"/>
    <n v="0"/>
    <n v="2.0470000000000002"/>
    <n v="2.0470000000000002"/>
    <n v="2.0470000000000002"/>
    <n v="2.0470000000000002"/>
    <n v="0"/>
    <s v="CATIVO"/>
    <n v="0"/>
    <s v="44348B3BrancaNão se aplicaNão se aplicaNão se aplicaNão se aplicaIntermediário"/>
    <s v="44348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7"/>
    <n v="0"/>
    <n v="0"/>
    <n v="2.145"/>
    <n v="2.145"/>
    <n v="2.145"/>
    <n v="2.145"/>
    <n v="0"/>
    <s v="CATIVO"/>
    <n v="0"/>
    <s v="44378B3BrancaNão se aplicaNão se aplicaNão se aplicaNão se aplicaIntermediário"/>
    <s v="44378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8"/>
    <n v="0"/>
    <n v="0"/>
    <n v="2.1560000000000001"/>
    <n v="2.1560000000000001"/>
    <n v="2.1560000000000001"/>
    <n v="2.1560000000000001"/>
    <n v="0"/>
    <s v="CATIVO"/>
    <n v="0"/>
    <s v="44409B3BrancaNão se aplicaNão se aplicaNão se aplicaNão se aplicaIntermediário"/>
    <s v="44409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9"/>
    <n v="0"/>
    <n v="0"/>
    <n v="2.2599999999999998"/>
    <n v="2.2599999999999998"/>
    <n v="2.2599999999999998"/>
    <n v="2.2599999999999998"/>
    <n v="0"/>
    <s v="CATIVO"/>
    <n v="0"/>
    <s v="44440B3BrancaNão se aplicaNão se aplicaNão se aplicaNão se aplicaIntermediário"/>
    <s v="44440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10"/>
    <n v="0"/>
    <n v="0"/>
    <n v="2.206"/>
    <n v="2.206"/>
    <n v="2.206"/>
    <n v="2.206"/>
    <n v="0"/>
    <s v="CATIVO"/>
    <n v="0"/>
    <s v="44470B3BrancaNão se aplicaNão se aplicaNão se aplicaNão se aplicaIntermediário"/>
    <s v="44470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11"/>
    <n v="0"/>
    <n v="0"/>
    <n v="2.1429999999999998"/>
    <n v="2.1429999999999998"/>
    <n v="2.1429999999999998"/>
    <n v="2.1429999999999998"/>
    <n v="0"/>
    <s v="CATIVO"/>
    <n v="0"/>
    <s v="44501B3BrancaNão se aplicaNão se aplicaNão se aplicaNão se aplicaIntermediário"/>
    <s v="44501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3"/>
    <n v="0"/>
    <n v="0"/>
    <n v="2.3980000000000001"/>
    <n v="2.3980000000000001"/>
    <n v="2.3980000000000001"/>
    <n v="2.3980000000000001"/>
    <n v="0"/>
    <s v="CATIVO"/>
    <n v="0"/>
    <s v="44531B3BrancaNão se aplicaNão se aplicaNão se aplicaNão se aplicaIntermediário"/>
    <s v="44531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0"/>
    <n v="0"/>
    <n v="0"/>
    <n v="2.5150000000000001"/>
    <n v="2.5150000000000001"/>
    <n v="2.5150000000000001"/>
    <n v="2.5150000000000001"/>
    <n v="0"/>
    <s v="CATIVO"/>
    <n v="0"/>
    <s v="44562B3BrancaNão se aplicaNão se aplicaNão se aplicaNão se aplicaIntermediário"/>
    <s v="44562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4"/>
    <n v="0"/>
    <n v="0"/>
    <n v="2.9889999999999999"/>
    <n v="2.9889999999999999"/>
    <n v="2.9889999999999999"/>
    <n v="2.9889999999999999"/>
    <n v="0"/>
    <s v="CATIVO"/>
    <n v="0"/>
    <s v="44593B3BrancaNão se aplicaNão se aplicaNão se aplicaNão se aplicaIntermediário"/>
    <s v="44593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1"/>
    <n v="0"/>
    <n v="0"/>
    <n v="2.52"/>
    <n v="2.52"/>
    <n v="2.52"/>
    <n v="2.52"/>
    <n v="0"/>
    <s v="CATIVO"/>
    <n v="0"/>
    <s v="44621B3BrancaNão se aplicaNão se aplicaNão se aplicaNão se aplicaIntermediário"/>
    <s v="44621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2"/>
    <n v="0"/>
    <n v="0"/>
    <n v="2.093"/>
    <n v="2.093"/>
    <n v="2.093"/>
    <n v="2.093"/>
    <n v="0"/>
    <s v="CATIVO"/>
    <n v="0"/>
    <s v="44652B3BrancaNão se aplicaNão se aplicaNão se aplicaNão se aplicaIntermediário"/>
    <s v="44652B3Energia horáriaNão se aplicaNão se aplicaNão se aplicaNão se aplicaIntermediário"/>
    <n v="0"/>
    <n v="56"/>
    <n v="97"/>
  </r>
  <r>
    <s v="Sistema de Compensação"/>
    <x v="4"/>
    <x v="2"/>
    <s v="Comercial"/>
    <x v="0"/>
    <x v="0"/>
    <s v="Não se aplica"/>
    <x v="3"/>
    <x v="2"/>
    <n v="0"/>
    <n v="0"/>
    <n v="5.0999999999999997E-2"/>
    <n v="5.0999999999999997E-2"/>
    <n v="5.0999999999999997E-2"/>
    <n v="5.0999999999999997E-2"/>
    <n v="0"/>
    <s v="CATIVO"/>
    <n v="0"/>
    <s v="44652B3BrancaNão se aplicaNão se aplicaNão se aplicaNão se aplicaIntermediário"/>
    <s v="44652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3"/>
    <x v="5"/>
    <n v="0"/>
    <n v="0"/>
    <n v="2.1539999999999999"/>
    <n v="2.1539999999999999"/>
    <n v="2.1539999999999999"/>
    <n v="2.1539999999999999"/>
    <n v="0"/>
    <s v="CATIVO"/>
    <n v="0"/>
    <s v="44682B3BrancaNão se aplicaNão se aplicaNão se aplicaNão se aplicaIntermediário"/>
    <s v="44682B3Energia horáriaNão se aplicaNão se aplicaNão se aplicaNão se aplicaIntermediário"/>
    <n v="0"/>
    <n v="56"/>
    <n v="97"/>
  </r>
  <r>
    <s v="Regular"/>
    <x v="4"/>
    <x v="2"/>
    <s v="Comercial"/>
    <x v="0"/>
    <x v="0"/>
    <s v="Não se aplica"/>
    <x v="2"/>
    <x v="6"/>
    <n v="0"/>
    <n v="0"/>
    <n v="2.8239999999999998"/>
    <n v="2.8239999999999998"/>
    <n v="2.8239999999999998"/>
    <n v="2.8239999999999998"/>
    <n v="0"/>
    <s v="CATIVO"/>
    <n v="0"/>
    <s v="44348B3BrancaNão se aplicaNão se aplicaNão se aplicaNão se aplicaPonta"/>
    <s v="44348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7"/>
    <n v="0"/>
    <n v="0"/>
    <n v="3.0110000000000001"/>
    <n v="3.0110000000000001"/>
    <n v="3.0110000000000001"/>
    <n v="3.0110000000000001"/>
    <n v="0"/>
    <s v="CATIVO"/>
    <n v="0"/>
    <s v="44378B3BrancaNão se aplicaNão se aplicaNão se aplicaNão se aplicaPonta"/>
    <s v="44378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8"/>
    <n v="0"/>
    <n v="0"/>
    <n v="3.0510000000000002"/>
    <n v="3.0510000000000002"/>
    <n v="3.0510000000000002"/>
    <n v="3.0510000000000002"/>
    <n v="0"/>
    <s v="CATIVO"/>
    <n v="0"/>
    <s v="44409B3BrancaNão se aplicaNão se aplicaNão se aplicaNão se aplicaPonta"/>
    <s v="44409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9"/>
    <n v="0"/>
    <n v="0"/>
    <n v="2.9340000000000002"/>
    <n v="2.9340000000000002"/>
    <n v="2.9340000000000002"/>
    <n v="2.9340000000000002"/>
    <n v="0"/>
    <s v="CATIVO"/>
    <n v="0"/>
    <s v="44440B3BrancaNão se aplicaNão se aplicaNão se aplicaNão se aplicaPonta"/>
    <s v="44440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10"/>
    <n v="0"/>
    <n v="0"/>
    <n v="3.6360000000000001"/>
    <n v="3.6360000000000001"/>
    <n v="3.6360000000000001"/>
    <n v="3.6360000000000001"/>
    <n v="0"/>
    <s v="CATIVO"/>
    <n v="0"/>
    <s v="44470B3BrancaNão se aplicaNão se aplicaNão se aplicaNão se aplicaPonta"/>
    <s v="44470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11"/>
    <n v="0"/>
    <n v="0"/>
    <n v="4.3"/>
    <n v="4.3"/>
    <n v="4.3"/>
    <n v="4.3"/>
    <n v="0"/>
    <s v="CATIVO"/>
    <n v="0"/>
    <s v="44501B3BrancaNão se aplicaNão se aplicaNão se aplicaNão se aplicaPonta"/>
    <s v="44501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3"/>
    <n v="0"/>
    <n v="0"/>
    <n v="5.367"/>
    <n v="5.367"/>
    <n v="5.367"/>
    <n v="5.367"/>
    <n v="0"/>
    <s v="CATIVO"/>
    <n v="0"/>
    <s v="44531B3BrancaNão se aplicaNão se aplicaNão se aplicaNão se aplicaPonta"/>
    <s v="44531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0"/>
    <n v="0"/>
    <n v="0"/>
    <n v="3.3740000000000001"/>
    <n v="3.3740000000000001"/>
    <n v="3.3740000000000001"/>
    <n v="3.3740000000000001"/>
    <n v="0"/>
    <s v="CATIVO"/>
    <n v="0"/>
    <s v="44562B3BrancaNão se aplicaNão se aplicaNão se aplicaNão se aplicaPonta"/>
    <s v="44562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4"/>
    <n v="0"/>
    <n v="0"/>
    <n v="3.8740000000000001"/>
    <n v="3.8740000000000001"/>
    <n v="3.8740000000000001"/>
    <n v="3.8740000000000001"/>
    <n v="0"/>
    <s v="CATIVO"/>
    <n v="0"/>
    <s v="44593B3BrancaNão se aplicaNão se aplicaNão se aplicaNão se aplicaPonta"/>
    <s v="44593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1"/>
    <n v="0"/>
    <n v="0"/>
    <n v="3.29"/>
    <n v="3.29"/>
    <n v="3.29"/>
    <n v="3.29"/>
    <n v="0"/>
    <s v="CATIVO"/>
    <n v="0"/>
    <s v="44621B3BrancaNão se aplicaNão se aplicaNão se aplicaNão se aplicaPonta"/>
    <s v="44621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2"/>
    <n v="0"/>
    <n v="0"/>
    <n v="2.508"/>
    <n v="2.508"/>
    <n v="2.508"/>
    <n v="2.508"/>
    <n v="0"/>
    <s v="CATIVO"/>
    <n v="0"/>
    <s v="44652B3BrancaNão se aplicaNão se aplicaNão se aplicaNão se aplicaPonta"/>
    <s v="44652B3Energia horáriaNão se aplicaNão se aplicaNão se aplicaNão se aplicaPonta"/>
    <n v="0"/>
    <n v="55"/>
    <n v="96"/>
  </r>
  <r>
    <s v="Sistema de Compensação"/>
    <x v="4"/>
    <x v="2"/>
    <s v="Comercial"/>
    <x v="0"/>
    <x v="0"/>
    <s v="Não se aplica"/>
    <x v="2"/>
    <x v="2"/>
    <n v="0"/>
    <n v="0"/>
    <n v="0.82499999999999996"/>
    <n v="0.82499999999999996"/>
    <n v="0.82499999999999996"/>
    <n v="0.82499999999999996"/>
    <n v="0"/>
    <s v="CATIVO"/>
    <n v="0"/>
    <s v="44652B3BrancaNão se aplicaNão se aplicaNão se aplicaNão se aplicaPonta"/>
    <s v="44652B3Energia horáriaNão se aplicaNão se aplicaNão se aplicaNão se aplicaPonta"/>
    <n v="0"/>
    <n v="55"/>
    <n v="96"/>
  </r>
  <r>
    <s v="Regular"/>
    <x v="4"/>
    <x v="2"/>
    <s v="Comercial"/>
    <x v="0"/>
    <x v="0"/>
    <s v="Não se aplica"/>
    <x v="2"/>
    <x v="5"/>
    <n v="0"/>
    <n v="0"/>
    <n v="2.8730000000000002"/>
    <n v="2.8730000000000002"/>
    <n v="2.8730000000000002"/>
    <n v="2.8730000000000002"/>
    <n v="0"/>
    <s v="CATIVO"/>
    <n v="0"/>
    <s v="44682B3BrancaNão se aplicaNão se aplicaNão se aplicaNão se aplicaPonta"/>
    <s v="44682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0"/>
    <x v="6"/>
    <n v="0"/>
    <n v="0"/>
    <n v="1.972"/>
    <n v="1.972"/>
    <n v="1.972"/>
    <n v="1.972"/>
    <n v="0"/>
    <s v="CATIVO"/>
    <n v="0"/>
    <s v="44348B3BrancaNão se aplicaNão se aplicaNão se aplicaNão se aplicaFora ponta"/>
    <s v="44348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7"/>
    <n v="0"/>
    <n v="0"/>
    <n v="2.1680000000000001"/>
    <n v="2.1680000000000001"/>
    <n v="2.1680000000000001"/>
    <n v="2.1680000000000001"/>
    <n v="0"/>
    <s v="CATIVO"/>
    <n v="0"/>
    <s v="44378B3BrancaNão se aplicaNão se aplicaNão se aplicaNão se aplicaFora ponta"/>
    <s v="44378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8"/>
    <n v="0"/>
    <n v="0"/>
    <n v="2.1709999999999998"/>
    <n v="2.1709999999999998"/>
    <n v="2.1709999999999998"/>
    <n v="2.1709999999999998"/>
    <n v="0"/>
    <s v="CATIVO"/>
    <n v="0"/>
    <s v="44409B3BrancaNão se aplicaNão se aplicaNão se aplicaNão se aplicaFora ponta"/>
    <s v="44409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9"/>
    <n v="0"/>
    <n v="0"/>
    <n v="2.056"/>
    <n v="2.056"/>
    <n v="2.056"/>
    <n v="2.056"/>
    <n v="0"/>
    <s v="CATIVO"/>
    <n v="0"/>
    <s v="44440B3BrancaNão se aplicaNão se aplicaNão se aplicaNão se aplicaFora ponta"/>
    <s v="44440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10"/>
    <n v="0"/>
    <n v="0"/>
    <n v="2.024"/>
    <n v="2.024"/>
    <n v="2.024"/>
    <n v="2.024"/>
    <n v="0"/>
    <s v="CATIVO"/>
    <n v="0"/>
    <s v="44470B3BrancaNão se aplicaNão se aplicaNão se aplicaNão se aplicaFora ponta"/>
    <s v="44470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11"/>
    <n v="0"/>
    <n v="0"/>
    <n v="2.0179999999999998"/>
    <n v="2.0179999999999998"/>
    <n v="2.0179999999999998"/>
    <n v="2.0179999999999998"/>
    <n v="0"/>
    <s v="CATIVO"/>
    <n v="0"/>
    <s v="44501B3BrancaNão se aplicaNão se aplicaNão se aplicaNão se aplicaFora ponta"/>
    <s v="44501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3"/>
    <n v="0"/>
    <n v="0"/>
    <n v="2.08"/>
    <n v="2.08"/>
    <n v="2.08"/>
    <n v="2.08"/>
    <n v="0"/>
    <s v="CATIVO"/>
    <n v="0"/>
    <s v="44531B3BrancaNão se aplicaNão se aplicaNão se aplicaNão se aplicaFora ponta"/>
    <s v="44531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0"/>
    <n v="0"/>
    <n v="0"/>
    <n v="1.895"/>
    <n v="1.895"/>
    <n v="1.895"/>
    <n v="1.895"/>
    <n v="0"/>
    <s v="CATIVO"/>
    <n v="0"/>
    <s v="44562B3BrancaNão se aplicaNão se aplicaNão se aplicaNão se aplicaFora ponta"/>
    <s v="44562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4"/>
    <n v="0"/>
    <n v="0"/>
    <n v="2.2280000000000002"/>
    <n v="2.2280000000000002"/>
    <n v="2.2280000000000002"/>
    <n v="2.2280000000000002"/>
    <n v="0"/>
    <s v="CATIVO"/>
    <n v="0"/>
    <s v="44593B3BrancaNão se aplicaNão se aplicaNão se aplicaNão se aplicaFora ponta"/>
    <s v="44593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1"/>
    <n v="0"/>
    <n v="0"/>
    <n v="2.14"/>
    <n v="2.14"/>
    <n v="2.14"/>
    <n v="2.14"/>
    <n v="0"/>
    <s v="CATIVO"/>
    <n v="0"/>
    <s v="44621B3BrancaNão se aplicaNão se aplicaNão se aplicaNão se aplicaFora ponta"/>
    <s v="44621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2"/>
    <n v="0"/>
    <n v="0"/>
    <n v="2.0470000000000002"/>
    <n v="2.0470000000000002"/>
    <n v="2.0470000000000002"/>
    <n v="2.0470000000000002"/>
    <n v="0"/>
    <s v="CATIVO"/>
    <n v="0"/>
    <s v="44652B3BrancaNão se aplicaNão se aplicaNão se aplicaNão se aplicaFora ponta"/>
    <s v="44652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0"/>
    <x v="5"/>
    <n v="0"/>
    <n v="0"/>
    <n v="2.173"/>
    <n v="2.173"/>
    <n v="2.173"/>
    <n v="2.173"/>
    <n v="0"/>
    <s v="CATIVO"/>
    <n v="0"/>
    <s v="44682B3BrancaNão se aplicaNão se aplicaNão se aplicaNão se aplicaFora ponta"/>
    <s v="44682B3Energia horáriaNão se aplicaNão se aplicaNão se aplicaNão se aplicaFora ponta"/>
    <n v="0"/>
    <n v="57"/>
    <n v="98"/>
  </r>
  <r>
    <s v="Regular"/>
    <x v="4"/>
    <x v="2"/>
    <s v="Industrial"/>
    <x v="0"/>
    <x v="0"/>
    <s v="Não se aplica"/>
    <x v="3"/>
    <x v="6"/>
    <n v="0"/>
    <n v="0"/>
    <n v="8.2000000000000003E-2"/>
    <n v="8.2000000000000003E-2"/>
    <n v="8.2000000000000003E-2"/>
    <n v="8.2000000000000003E-2"/>
    <n v="0"/>
    <s v="CATIVO"/>
    <n v="0"/>
    <s v="44348B3BrancaNão se aplicaNão se aplicaNão se aplicaNão se aplicaIntermediário"/>
    <s v="44348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7"/>
    <n v="0"/>
    <n v="0"/>
    <n v="9.1999999999999998E-2"/>
    <n v="9.1999999999999998E-2"/>
    <n v="9.1999999999999998E-2"/>
    <n v="9.1999999999999998E-2"/>
    <n v="0"/>
    <s v="CATIVO"/>
    <n v="0"/>
    <s v="44378B3BrancaNão se aplicaNão se aplicaNão se aplicaNão se aplicaIntermediário"/>
    <s v="44378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8"/>
    <n v="0"/>
    <n v="0"/>
    <n v="9.5000000000000001E-2"/>
    <n v="9.5000000000000001E-2"/>
    <n v="9.5000000000000001E-2"/>
    <n v="9.5000000000000001E-2"/>
    <n v="0"/>
    <s v="CATIVO"/>
    <n v="0"/>
    <s v="44409B3BrancaNão se aplicaNão se aplicaNão se aplicaNão se aplicaIntermediário"/>
    <s v="44409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9"/>
    <n v="0"/>
    <n v="0"/>
    <n v="9.7000000000000003E-2"/>
    <n v="9.7000000000000003E-2"/>
    <n v="9.7000000000000003E-2"/>
    <n v="9.7000000000000003E-2"/>
    <n v="0"/>
    <s v="CATIVO"/>
    <n v="0"/>
    <s v="44440B3BrancaNão se aplicaNão se aplicaNão se aplicaNão se aplicaIntermediário"/>
    <s v="44440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10"/>
    <n v="0"/>
    <n v="0"/>
    <n v="8.3000000000000004E-2"/>
    <n v="8.3000000000000004E-2"/>
    <n v="8.3000000000000004E-2"/>
    <n v="8.3000000000000004E-2"/>
    <n v="0"/>
    <s v="CATIVO"/>
    <n v="0"/>
    <s v="44470B3BrancaNão se aplicaNão se aplicaNão se aplicaNão se aplicaIntermediário"/>
    <s v="44470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11"/>
    <n v="0"/>
    <n v="0"/>
    <n v="8.8999999999999996E-2"/>
    <n v="8.8999999999999996E-2"/>
    <n v="8.8999999999999996E-2"/>
    <n v="8.8999999999999996E-2"/>
    <n v="0"/>
    <s v="CATIVO"/>
    <n v="0"/>
    <s v="44501B3BrancaNão se aplicaNão se aplicaNão se aplicaNão se aplicaIntermediário"/>
    <s v="44501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3"/>
    <n v="0"/>
    <n v="0"/>
    <n v="0.11"/>
    <n v="0.11"/>
    <n v="0.11"/>
    <n v="0.11"/>
    <n v="0"/>
    <s v="CATIVO"/>
    <n v="0"/>
    <s v="44531B3BrancaNão se aplicaNão se aplicaNão se aplicaNão se aplicaIntermediário"/>
    <s v="44531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0"/>
    <n v="0"/>
    <n v="0"/>
    <n v="0.104"/>
    <n v="0.104"/>
    <n v="0.104"/>
    <n v="0.104"/>
    <n v="0"/>
    <s v="CATIVO"/>
    <n v="0"/>
    <s v="44562B3BrancaNão se aplicaNão se aplicaNão se aplicaNão se aplicaIntermediário"/>
    <s v="44562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4"/>
    <n v="0"/>
    <n v="0"/>
    <n v="0.11799999999999999"/>
    <n v="0.11799999999999999"/>
    <n v="0.11799999999999999"/>
    <n v="0.11799999999999999"/>
    <n v="0"/>
    <s v="CATIVO"/>
    <n v="0"/>
    <s v="44593B3BrancaNão se aplicaNão se aplicaNão se aplicaNão se aplicaIntermediário"/>
    <s v="44593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1"/>
    <n v="0"/>
    <n v="0"/>
    <n v="9.0999999999999998E-2"/>
    <n v="9.0999999999999998E-2"/>
    <n v="9.0999999999999998E-2"/>
    <n v="9.0999999999999998E-2"/>
    <n v="0"/>
    <s v="CATIVO"/>
    <n v="0"/>
    <s v="44621B3BrancaNão se aplicaNão se aplicaNão se aplicaNão se aplicaIntermediário"/>
    <s v="44621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2"/>
    <n v="0"/>
    <n v="0"/>
    <n v="0.09"/>
    <n v="0.09"/>
    <n v="0.09"/>
    <n v="0.09"/>
    <n v="0"/>
    <s v="CATIVO"/>
    <n v="0"/>
    <s v="44652B3BrancaNão se aplicaNão se aplicaNão se aplicaNão se aplicaIntermediário"/>
    <s v="44652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3"/>
    <x v="5"/>
    <n v="0"/>
    <n v="0"/>
    <n v="0.107"/>
    <n v="0.107"/>
    <n v="0.107"/>
    <n v="0.107"/>
    <n v="0"/>
    <s v="CATIVO"/>
    <n v="0"/>
    <s v="44682B3BrancaNão se aplicaNão se aplicaNão se aplicaNão se aplicaIntermediário"/>
    <s v="44682B3Energia horáriaNão se aplicaNão se aplicaNão se aplicaNão se aplicaIntermediário"/>
    <n v="0"/>
    <n v="56"/>
    <n v="97"/>
  </r>
  <r>
    <s v="Regular"/>
    <x v="4"/>
    <x v="2"/>
    <s v="Industrial"/>
    <x v="0"/>
    <x v="0"/>
    <s v="Não se aplica"/>
    <x v="2"/>
    <x v="6"/>
    <n v="0"/>
    <n v="0"/>
    <n v="0.11"/>
    <n v="0.11"/>
    <n v="0.11"/>
    <n v="0.11"/>
    <n v="0"/>
    <s v="CATIVO"/>
    <n v="0"/>
    <s v="44348B3BrancaNão se aplicaNão se aplicaNão se aplicaNão se aplicaPonta"/>
    <s v="44348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7"/>
    <n v="0"/>
    <n v="0"/>
    <n v="0.113"/>
    <n v="0.113"/>
    <n v="0.113"/>
    <n v="0.113"/>
    <n v="0"/>
    <s v="CATIVO"/>
    <n v="0"/>
    <s v="44378B3BrancaNão se aplicaNão se aplicaNão se aplicaNão se aplicaPonta"/>
    <s v="44378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8"/>
    <n v="0"/>
    <n v="0"/>
    <n v="0.104"/>
    <n v="0.104"/>
    <n v="0.104"/>
    <n v="0.104"/>
    <n v="0"/>
    <s v="CATIVO"/>
    <n v="0"/>
    <s v="44409B3BrancaNão se aplicaNão se aplicaNão se aplicaNão se aplicaPonta"/>
    <s v="44409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9"/>
    <n v="0"/>
    <n v="0"/>
    <n v="0.108"/>
    <n v="0.108"/>
    <n v="0.108"/>
    <n v="0.108"/>
    <n v="0"/>
    <s v="CATIVO"/>
    <n v="0"/>
    <s v="44440B3BrancaNão se aplicaNão se aplicaNão se aplicaNão se aplicaPonta"/>
    <s v="44440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10"/>
    <n v="0"/>
    <n v="0"/>
    <n v="0.112"/>
    <n v="0.112"/>
    <n v="0.112"/>
    <n v="0.112"/>
    <n v="0"/>
    <s v="CATIVO"/>
    <n v="0"/>
    <s v="44470B3BrancaNão se aplicaNão se aplicaNão se aplicaNão se aplicaPonta"/>
    <s v="44470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11"/>
    <n v="0"/>
    <n v="0"/>
    <n v="0.10199999999999999"/>
    <n v="0.10199999999999999"/>
    <n v="0.10199999999999999"/>
    <n v="0.10199999999999999"/>
    <n v="0"/>
    <s v="CATIVO"/>
    <n v="0"/>
    <s v="44501B3BrancaNão se aplicaNão se aplicaNão se aplicaNão se aplicaPonta"/>
    <s v="44501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3"/>
    <n v="0"/>
    <n v="0"/>
    <n v="0.125"/>
    <n v="0.125"/>
    <n v="0.125"/>
    <n v="0.125"/>
    <n v="0"/>
    <s v="CATIVO"/>
    <n v="0"/>
    <s v="44531B3BrancaNão se aplicaNão se aplicaNão se aplicaNão se aplicaPonta"/>
    <s v="44531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0"/>
    <n v="0"/>
    <n v="0"/>
    <n v="0.125"/>
    <n v="0.125"/>
    <n v="0.125"/>
    <n v="0.125"/>
    <n v="0"/>
    <s v="CATIVO"/>
    <n v="0"/>
    <s v="44562B3BrancaNão se aplicaNão se aplicaNão se aplicaNão se aplicaPonta"/>
    <s v="44562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4"/>
    <n v="0"/>
    <n v="0"/>
    <n v="0.124"/>
    <n v="0.124"/>
    <n v="0.124"/>
    <n v="0.124"/>
    <n v="0"/>
    <s v="CATIVO"/>
    <n v="0"/>
    <s v="44593B3BrancaNão se aplicaNão se aplicaNão se aplicaNão se aplicaPonta"/>
    <s v="44593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1"/>
    <n v="0"/>
    <n v="0"/>
    <n v="0.114"/>
    <n v="0.114"/>
    <n v="0.114"/>
    <n v="0.114"/>
    <n v="0"/>
    <s v="CATIVO"/>
    <n v="0"/>
    <s v="44621B3BrancaNão se aplicaNão se aplicaNão se aplicaNão se aplicaPonta"/>
    <s v="44621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2"/>
    <n v="0"/>
    <n v="0"/>
    <n v="0.11600000000000001"/>
    <n v="0.11600000000000001"/>
    <n v="0.11600000000000001"/>
    <n v="0.11600000000000001"/>
    <n v="0"/>
    <s v="CATIVO"/>
    <n v="0"/>
    <s v="44652B3BrancaNão se aplicaNão se aplicaNão se aplicaNão se aplicaPonta"/>
    <s v="44652B3Energia horáriaNão se aplicaNão se aplicaNão se aplicaNão se aplicaPonta"/>
    <n v="0"/>
    <n v="55"/>
    <n v="96"/>
  </r>
  <r>
    <s v="Regular"/>
    <x v="4"/>
    <x v="2"/>
    <s v="Industrial"/>
    <x v="0"/>
    <x v="0"/>
    <s v="Não se aplica"/>
    <x v="2"/>
    <x v="5"/>
    <n v="0"/>
    <n v="0"/>
    <n v="0.114"/>
    <n v="0.114"/>
    <n v="0.114"/>
    <n v="0.114"/>
    <n v="0"/>
    <s v="CATIVO"/>
    <n v="0"/>
    <s v="44682B3BrancaNão se aplicaNão se aplicaNão se aplicaNão se aplicaPonta"/>
    <s v="44682B3Energia horáriaNão se aplicaNão se aplicaNão se aplicaNão se aplicaPonta"/>
    <n v="0"/>
    <n v="55"/>
    <n v="96"/>
  </r>
  <r>
    <s v="Regular"/>
    <x v="4"/>
    <x v="3"/>
    <s v="Comercial"/>
    <x v="0"/>
    <x v="0"/>
    <s v="Não se aplica"/>
    <x v="1"/>
    <x v="6"/>
    <n v="0"/>
    <n v="0"/>
    <n v="1705.5170000000001"/>
    <n v="1705.5170000000001"/>
    <n v="1705.5170000000001"/>
    <n v="1705.5170000000001"/>
    <n v="3389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6"/>
    <n v="0"/>
    <n v="0"/>
    <n v="-0.81399999999999995"/>
    <n v="-0.81399999999999995"/>
    <n v="-0.81399999999999995"/>
    <n v="-0.81399999999999995"/>
    <n v="0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6"/>
    <n v="0"/>
    <n v="0"/>
    <n v="42.02"/>
    <n v="42.02"/>
    <n v="42.02"/>
    <n v="42.02"/>
    <n v="29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7"/>
    <n v="0"/>
    <n v="0"/>
    <n v="1761.8520000000001"/>
    <n v="1761.8520000000001"/>
    <n v="1761.8520000000001"/>
    <n v="1761.8520000000001"/>
    <n v="3395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7"/>
    <n v="0"/>
    <n v="0"/>
    <n v="-0.50800000000000001"/>
    <n v="-0.50800000000000001"/>
    <n v="-0.50800000000000001"/>
    <n v="-0.50800000000000001"/>
    <n v="0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7"/>
    <n v="0"/>
    <n v="0"/>
    <n v="44.585999999999999"/>
    <n v="44.585999999999999"/>
    <n v="44.585999999999999"/>
    <n v="44.585999999999999"/>
    <n v="30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8"/>
    <n v="0"/>
    <n v="0"/>
    <n v="1803.2190000000001"/>
    <n v="1803.2190000000001"/>
    <n v="1803.2190000000001"/>
    <n v="1803.2190000000001"/>
    <n v="3401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8"/>
    <n v="0"/>
    <n v="0"/>
    <n v="-0.48099999999999998"/>
    <n v="-0.48099999999999998"/>
    <n v="-0.48099999999999998"/>
    <n v="-0.48099999999999998"/>
    <n v="0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8"/>
    <n v="0"/>
    <n v="0"/>
    <n v="49.484000000000002"/>
    <n v="49.484000000000002"/>
    <n v="49.484000000000002"/>
    <n v="49.484000000000002"/>
    <n v="34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9"/>
    <n v="0"/>
    <n v="0"/>
    <n v="1785.528"/>
    <n v="1785.528"/>
    <n v="1785.528"/>
    <n v="1785.528"/>
    <n v="3403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9"/>
    <n v="0"/>
    <n v="0"/>
    <n v="1.4630000000000001"/>
    <n v="1.4630000000000001"/>
    <n v="1.4630000000000001"/>
    <n v="1.4630000000000001"/>
    <n v="0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9"/>
    <n v="0"/>
    <n v="0"/>
    <n v="36.250999999999998"/>
    <n v="36.250999999999998"/>
    <n v="36.250999999999998"/>
    <n v="36.250999999999998"/>
    <n v="39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10"/>
    <n v="0"/>
    <n v="0"/>
    <n v="1825.8389999999999"/>
    <n v="1825.8389999999999"/>
    <n v="1825.8389999999999"/>
    <n v="1825.8389999999999"/>
    <n v="3466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10"/>
    <n v="0"/>
    <n v="0"/>
    <n v="1.978"/>
    <n v="1.978"/>
    <n v="1.978"/>
    <n v="1.978"/>
    <n v="0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10"/>
    <n v="0"/>
    <n v="0"/>
    <n v="45.094000000000001"/>
    <n v="45.094000000000001"/>
    <n v="45.094000000000001"/>
    <n v="45.094000000000001"/>
    <n v="41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11"/>
    <n v="0"/>
    <n v="0"/>
    <n v="1845.65"/>
    <n v="1845.65"/>
    <n v="1845.65"/>
    <n v="1845.65"/>
    <n v="3478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11"/>
    <n v="0"/>
    <n v="0"/>
    <n v="-0.35499999999999998"/>
    <n v="-0.35499999999999998"/>
    <n v="-0.35499999999999998"/>
    <n v="-0.35499999999999998"/>
    <n v="0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11"/>
    <n v="0"/>
    <n v="0"/>
    <n v="35.295999999999999"/>
    <n v="35.295999999999999"/>
    <n v="35.295999999999999"/>
    <n v="35.295999999999999"/>
    <n v="45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3"/>
    <n v="0"/>
    <n v="0"/>
    <n v="1962.22"/>
    <n v="1962.22"/>
    <n v="1962.22"/>
    <n v="1962.22"/>
    <n v="3468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3"/>
    <n v="0"/>
    <n v="0"/>
    <n v="-2.1150000000000002"/>
    <n v="-2.1150000000000002"/>
    <n v="-2.1150000000000002"/>
    <n v="-2.1150000000000002"/>
    <n v="0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3"/>
    <n v="0"/>
    <n v="0"/>
    <n v="30.349"/>
    <n v="30.349"/>
    <n v="30.349"/>
    <n v="30.349"/>
    <n v="46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0"/>
    <n v="0"/>
    <n v="0"/>
    <n v="1891.8610000000001"/>
    <n v="1891.8610000000001"/>
    <n v="1891.8610000000001"/>
    <n v="1891.8610000000001"/>
    <n v="3456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0"/>
    <n v="0"/>
    <n v="0"/>
    <n v="-3.53"/>
    <n v="-3.53"/>
    <n v="-3.53"/>
    <n v="-3.53"/>
    <n v="0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0"/>
    <n v="0"/>
    <n v="0"/>
    <n v="43.569000000000003"/>
    <n v="43.569000000000003"/>
    <n v="43.569000000000003"/>
    <n v="43.569000000000003"/>
    <n v="60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4"/>
    <n v="0"/>
    <n v="0"/>
    <n v="2009.923"/>
    <n v="2009.923"/>
    <n v="2009.923"/>
    <n v="2009.923"/>
    <n v="3440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4"/>
    <n v="0"/>
    <n v="0"/>
    <n v="49.106000000000002"/>
    <n v="49.106000000000002"/>
    <n v="49.106000000000002"/>
    <n v="49.106000000000002"/>
    <n v="67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1"/>
    <n v="0"/>
    <n v="0"/>
    <n v="2002.925"/>
    <n v="2002.925"/>
    <n v="2002.925"/>
    <n v="2002.925"/>
    <n v="3434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1"/>
    <n v="0"/>
    <n v="0"/>
    <n v="55.305"/>
    <n v="55.305"/>
    <n v="55.305"/>
    <n v="55.305"/>
    <n v="67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2"/>
    <n v="0"/>
    <n v="0"/>
    <n v="1803.5989999999999"/>
    <n v="1803.5989999999999"/>
    <n v="1803.5989999999999"/>
    <n v="1803.5989999999999"/>
    <n v="3430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2"/>
    <n v="0"/>
    <n v="0"/>
    <n v="-5.1180000000000003"/>
    <n v="-5.1180000000000003"/>
    <n v="-5.1180000000000003"/>
    <n v="-5.1180000000000003"/>
    <n v="0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2"/>
    <n v="0"/>
    <n v="0"/>
    <n v="67.347999999999999"/>
    <n v="67.347999999999999"/>
    <n v="67.347999999999999"/>
    <n v="67.347999999999999"/>
    <n v="72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gular"/>
    <x v="4"/>
    <x v="3"/>
    <s v="Comercial"/>
    <x v="0"/>
    <x v="0"/>
    <s v="Não se aplica"/>
    <x v="1"/>
    <x v="5"/>
    <n v="0"/>
    <n v="0"/>
    <n v="1746.1179999999999"/>
    <n v="1746.1179999999999"/>
    <n v="1746.1179999999999"/>
    <n v="1746.1179999999999"/>
    <n v="3431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faturamento - Regular"/>
    <x v="4"/>
    <x v="3"/>
    <s v="Comercial"/>
    <x v="0"/>
    <x v="0"/>
    <s v="Não se aplica"/>
    <x v="1"/>
    <x v="5"/>
    <n v="0"/>
    <n v="0"/>
    <n v="-3.5670000000000002"/>
    <n v="-3.5670000000000002"/>
    <n v="-3.5670000000000002"/>
    <n v="-3.5670000000000002"/>
    <n v="0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Sistema de Compensação"/>
    <x v="4"/>
    <x v="3"/>
    <s v="Comercial"/>
    <x v="0"/>
    <x v="0"/>
    <s v="Não se aplica"/>
    <x v="1"/>
    <x v="5"/>
    <n v="0"/>
    <n v="0"/>
    <n v="61.813000000000002"/>
    <n v="61.813000000000002"/>
    <n v="61.813000000000002"/>
    <n v="61.813000000000002"/>
    <n v="76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6"/>
    <n v="0"/>
    <n v="0"/>
    <n v="10.805"/>
    <n v="10.805"/>
    <n v="10.805"/>
    <n v="10.805"/>
    <n v="3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7"/>
    <n v="0"/>
    <n v="0"/>
    <n v="11.516999999999999"/>
    <n v="11.516999999999999"/>
    <n v="11.516999999999999"/>
    <n v="11.516999999999999"/>
    <n v="3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8"/>
    <n v="0"/>
    <n v="0"/>
    <n v="12.363"/>
    <n v="12.363"/>
    <n v="12.363"/>
    <n v="12.363"/>
    <n v="3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9"/>
    <n v="0"/>
    <n v="0"/>
    <n v="11.031000000000001"/>
    <n v="11.031000000000001"/>
    <n v="11.031000000000001"/>
    <n v="11.031000000000001"/>
    <n v="3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10"/>
    <n v="0"/>
    <n v="0"/>
    <n v="10.638999999999999"/>
    <n v="10.638999999999999"/>
    <n v="10.638999999999999"/>
    <n v="10.638999999999999"/>
    <n v="3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11"/>
    <n v="0"/>
    <n v="0"/>
    <n v="10.872"/>
    <n v="10.872"/>
    <n v="10.872"/>
    <n v="10.872"/>
    <n v="3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3"/>
    <n v="0"/>
    <n v="0"/>
    <n v="11.117000000000001"/>
    <n v="11.117000000000001"/>
    <n v="11.117000000000001"/>
    <n v="11.117000000000001"/>
    <n v="3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0"/>
    <n v="0"/>
    <n v="0"/>
    <n v="11.391"/>
    <n v="11.391"/>
    <n v="11.391"/>
    <n v="11.391"/>
    <n v="3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4"/>
    <n v="0"/>
    <n v="0"/>
    <n v="10.548"/>
    <n v="10.548"/>
    <n v="10.548"/>
    <n v="10.548"/>
    <n v="3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1"/>
    <n v="0"/>
    <n v="0"/>
    <n v="11.641"/>
    <n v="11.641"/>
    <n v="11.641"/>
    <n v="11.641"/>
    <n v="3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2"/>
    <n v="0"/>
    <n v="0"/>
    <n v="10.666"/>
    <n v="10.666"/>
    <n v="10.666"/>
    <n v="10.666"/>
    <n v="3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gular"/>
    <x v="4"/>
    <x v="3"/>
    <s v="Consumo próprio"/>
    <x v="0"/>
    <x v="0"/>
    <s v="Não se aplica"/>
    <x v="1"/>
    <x v="5"/>
    <n v="0"/>
    <n v="0"/>
    <n v="10.265000000000001"/>
    <n v="10.265000000000001"/>
    <n v="10.265000000000001"/>
    <n v="10.265000000000001"/>
    <n v="3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6"/>
    <n v="0"/>
    <n v="0"/>
    <n v="278.79899999999998"/>
    <n v="278.79899999999998"/>
    <n v="278.79899999999998"/>
    <n v="278.79899999999998"/>
    <n v="284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faturamento - Regular"/>
    <x v="4"/>
    <x v="3"/>
    <s v="Industrial"/>
    <x v="0"/>
    <x v="0"/>
    <s v="Não se aplica"/>
    <x v="1"/>
    <x v="6"/>
    <n v="0"/>
    <n v="0"/>
    <n v="-1.7999999999999999E-2"/>
    <n v="-1.7999999999999999E-2"/>
    <n v="-1.7999999999999999E-2"/>
    <n v="-1.7999999999999999E-2"/>
    <n v="0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6"/>
    <n v="0"/>
    <n v="0"/>
    <n v="1.6619999999999999"/>
    <n v="1.6619999999999999"/>
    <n v="1.6619999999999999"/>
    <n v="1.6619999999999999"/>
    <n v="2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7"/>
    <n v="0"/>
    <n v="0"/>
    <n v="291.45699999999999"/>
    <n v="291.45699999999999"/>
    <n v="291.45699999999999"/>
    <n v="291.45699999999999"/>
    <n v="283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faturamento - Regular"/>
    <x v="4"/>
    <x v="3"/>
    <s v="Industrial"/>
    <x v="0"/>
    <x v="0"/>
    <s v="Não se aplica"/>
    <x v="1"/>
    <x v="7"/>
    <n v="0"/>
    <n v="0"/>
    <n v="-0.51700000000000002"/>
    <n v="-0.51700000000000002"/>
    <n v="-0.51700000000000002"/>
    <n v="-0.51700000000000002"/>
    <n v="0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7"/>
    <n v="0"/>
    <n v="0"/>
    <n v="1.052"/>
    <n v="1.052"/>
    <n v="1.052"/>
    <n v="1.052"/>
    <n v="2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8"/>
    <n v="0"/>
    <n v="0"/>
    <n v="302.52699999999999"/>
    <n v="302.52699999999999"/>
    <n v="302.52699999999999"/>
    <n v="302.52699999999999"/>
    <n v="285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faturamento - Regular"/>
    <x v="4"/>
    <x v="3"/>
    <s v="Industrial"/>
    <x v="0"/>
    <x v="0"/>
    <s v="Não se aplica"/>
    <x v="1"/>
    <x v="8"/>
    <n v="0"/>
    <n v="0"/>
    <n v="-0.34"/>
    <n v="-0.34"/>
    <n v="-0.34"/>
    <n v="-0.34"/>
    <n v="0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8"/>
    <n v="0"/>
    <n v="0"/>
    <n v="0.73699999999999999"/>
    <n v="0.73699999999999999"/>
    <n v="0.73699999999999999"/>
    <n v="0.73699999999999999"/>
    <n v="2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9"/>
    <n v="0"/>
    <n v="0"/>
    <n v="295.16800000000001"/>
    <n v="295.16800000000001"/>
    <n v="295.16800000000001"/>
    <n v="295.16800000000001"/>
    <n v="284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9"/>
    <n v="0"/>
    <n v="0"/>
    <n v="0.59"/>
    <n v="0.59"/>
    <n v="0.59"/>
    <n v="0.59"/>
    <n v="2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10"/>
    <n v="0"/>
    <n v="0"/>
    <n v="298.017"/>
    <n v="298.017"/>
    <n v="298.017"/>
    <n v="298.017"/>
    <n v="287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10"/>
    <n v="0"/>
    <n v="0"/>
    <n v="0.68600000000000005"/>
    <n v="0.68600000000000005"/>
    <n v="0.68600000000000005"/>
    <n v="0.68600000000000005"/>
    <n v="2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11"/>
    <n v="0"/>
    <n v="0"/>
    <n v="295.75"/>
    <n v="295.75"/>
    <n v="295.75"/>
    <n v="295.75"/>
    <n v="284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11"/>
    <n v="0"/>
    <n v="0"/>
    <n v="0.53600000000000003"/>
    <n v="0.53600000000000003"/>
    <n v="0.53600000000000003"/>
    <n v="0.53600000000000003"/>
    <n v="2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3"/>
    <n v="0"/>
    <n v="0"/>
    <n v="302.40300000000002"/>
    <n v="302.40300000000002"/>
    <n v="302.40300000000002"/>
    <n v="302.40300000000002"/>
    <n v="279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faturamento - Regular"/>
    <x v="4"/>
    <x v="3"/>
    <s v="Industrial"/>
    <x v="0"/>
    <x v="0"/>
    <s v="Não se aplica"/>
    <x v="1"/>
    <x v="3"/>
    <n v="0"/>
    <n v="0"/>
    <n v="-9.9000000000000005E-2"/>
    <n v="-9.9000000000000005E-2"/>
    <n v="-9.9000000000000005E-2"/>
    <n v="-9.9000000000000005E-2"/>
    <n v="0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3"/>
    <n v="0"/>
    <n v="0"/>
    <n v="0.372"/>
    <n v="0.372"/>
    <n v="0.372"/>
    <n v="0.372"/>
    <n v="2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0"/>
    <n v="0"/>
    <n v="0"/>
    <n v="240.11500000000001"/>
    <n v="240.11500000000001"/>
    <n v="240.11500000000001"/>
    <n v="240.11500000000001"/>
    <n v="279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faturamento - Regular"/>
    <x v="4"/>
    <x v="3"/>
    <s v="Industrial"/>
    <x v="0"/>
    <x v="0"/>
    <s v="Não se aplica"/>
    <x v="1"/>
    <x v="0"/>
    <n v="0"/>
    <n v="0"/>
    <n v="0.314"/>
    <n v="0.314"/>
    <n v="0.314"/>
    <n v="0.314"/>
    <n v="0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0"/>
    <n v="0"/>
    <n v="0"/>
    <n v="0.36799999999999999"/>
    <n v="0.36799999999999999"/>
    <n v="0.36799999999999999"/>
    <n v="0.36799999999999999"/>
    <n v="2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4"/>
    <n v="0"/>
    <n v="0"/>
    <n v="284.11599999999999"/>
    <n v="284.11599999999999"/>
    <n v="284.11599999999999"/>
    <n v="284.11599999999999"/>
    <n v="277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4"/>
    <n v="0"/>
    <n v="0"/>
    <n v="0.51200000000000001"/>
    <n v="0.51200000000000001"/>
    <n v="0.51200000000000001"/>
    <n v="0.51200000000000001"/>
    <n v="2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1"/>
    <n v="0"/>
    <n v="0"/>
    <n v="289.50700000000001"/>
    <n v="289.50700000000001"/>
    <n v="289.50700000000001"/>
    <n v="289.50700000000001"/>
    <n v="276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1"/>
    <n v="0"/>
    <n v="0"/>
    <n v="0.504"/>
    <n v="0.504"/>
    <n v="0.504"/>
    <n v="0.504"/>
    <n v="2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2"/>
    <n v="0"/>
    <n v="0"/>
    <n v="271.29899999999998"/>
    <n v="271.29899999999998"/>
    <n v="271.29899999999998"/>
    <n v="271.29899999999998"/>
    <n v="266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2"/>
    <n v="0"/>
    <n v="0"/>
    <n v="0.58899999999999997"/>
    <n v="0.58899999999999997"/>
    <n v="0.58899999999999997"/>
    <n v="0.58899999999999997"/>
    <n v="2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gular"/>
    <x v="4"/>
    <x v="3"/>
    <s v="Industrial"/>
    <x v="0"/>
    <x v="0"/>
    <s v="Não se aplica"/>
    <x v="1"/>
    <x v="5"/>
    <n v="0"/>
    <n v="0"/>
    <n v="266.976"/>
    <n v="266.976"/>
    <n v="266.976"/>
    <n v="266.976"/>
    <n v="262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Sistema de Compensação"/>
    <x v="4"/>
    <x v="3"/>
    <s v="Industrial"/>
    <x v="0"/>
    <x v="0"/>
    <s v="Não se aplica"/>
    <x v="1"/>
    <x v="5"/>
    <n v="0"/>
    <n v="0"/>
    <n v="0.57799999999999996"/>
    <n v="0.57799999999999996"/>
    <n v="0.57799999999999996"/>
    <n v="0.57799999999999996"/>
    <n v="2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6"/>
    <n v="0"/>
    <n v="0"/>
    <n v="116.09"/>
    <n v="116.09"/>
    <n v="116.09"/>
    <n v="116.09"/>
    <n v="305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6"/>
    <n v="0"/>
    <n v="0"/>
    <n v="0.56699999999999995"/>
    <n v="0.56699999999999995"/>
    <n v="0.56699999999999995"/>
    <n v="0.56699999999999995"/>
    <n v="2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7"/>
    <n v="0"/>
    <n v="0"/>
    <n v="120.57599999999999"/>
    <n v="120.57599999999999"/>
    <n v="120.57599999999999"/>
    <n v="120.57599999999999"/>
    <n v="301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faturamento - Regular"/>
    <x v="4"/>
    <x v="3"/>
    <s v="Poder público"/>
    <x v="0"/>
    <x v="0"/>
    <s v="Não se aplica"/>
    <x v="1"/>
    <x v="7"/>
    <n v="0"/>
    <n v="0"/>
    <n v="-0.72299999999999998"/>
    <n v="-0.72299999999999998"/>
    <n v="-0.72299999999999998"/>
    <n v="-0.72299999999999998"/>
    <n v="0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7"/>
    <n v="0"/>
    <n v="0"/>
    <n v="4.7930000000000001"/>
    <n v="4.7930000000000001"/>
    <n v="4.7930000000000001"/>
    <n v="4.7930000000000001"/>
    <n v="5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8"/>
    <n v="0"/>
    <n v="0"/>
    <n v="143.05600000000001"/>
    <n v="143.05600000000001"/>
    <n v="143.05600000000001"/>
    <n v="143.05600000000001"/>
    <n v="299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8"/>
    <n v="0"/>
    <n v="0"/>
    <n v="3.0139999999999998"/>
    <n v="3.0139999999999998"/>
    <n v="3.0139999999999998"/>
    <n v="3.0139999999999998"/>
    <n v="6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9"/>
    <n v="0"/>
    <n v="0"/>
    <n v="142.28200000000001"/>
    <n v="142.28200000000001"/>
    <n v="142.28200000000001"/>
    <n v="142.28200000000001"/>
    <n v="299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9"/>
    <n v="0"/>
    <n v="0"/>
    <n v="5.1660000000000004"/>
    <n v="5.1660000000000004"/>
    <n v="5.1660000000000004"/>
    <n v="5.1660000000000004"/>
    <n v="6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10"/>
    <n v="0"/>
    <n v="0"/>
    <n v="142.167"/>
    <n v="142.167"/>
    <n v="142.167"/>
    <n v="142.167"/>
    <n v="299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10"/>
    <n v="0"/>
    <n v="0"/>
    <n v="6.24"/>
    <n v="6.24"/>
    <n v="6.24"/>
    <n v="6.24"/>
    <n v="6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11"/>
    <n v="0"/>
    <n v="0"/>
    <n v="136.66200000000001"/>
    <n v="136.66200000000001"/>
    <n v="136.66200000000001"/>
    <n v="136.66200000000001"/>
    <n v="299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11"/>
    <n v="0"/>
    <n v="0"/>
    <n v="6.6740000000000004"/>
    <n v="6.6740000000000004"/>
    <n v="6.6740000000000004"/>
    <n v="6.6740000000000004"/>
    <n v="6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3"/>
    <n v="0"/>
    <n v="0"/>
    <n v="145.38200000000001"/>
    <n v="145.38200000000001"/>
    <n v="145.38200000000001"/>
    <n v="145.38200000000001"/>
    <n v="302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3"/>
    <n v="0"/>
    <n v="0"/>
    <n v="6.18"/>
    <n v="6.18"/>
    <n v="6.18"/>
    <n v="6.18"/>
    <n v="6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0"/>
    <n v="0"/>
    <n v="0"/>
    <n v="109.54900000000001"/>
    <n v="109.54900000000001"/>
    <n v="109.54900000000001"/>
    <n v="109.54900000000001"/>
    <n v="302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0"/>
    <n v="0"/>
    <n v="0"/>
    <n v="7.5069999999999997"/>
    <n v="7.5069999999999997"/>
    <n v="7.5069999999999997"/>
    <n v="7.5069999999999997"/>
    <n v="6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4"/>
    <n v="0"/>
    <n v="0"/>
    <n v="135.85599999999999"/>
    <n v="135.85599999999999"/>
    <n v="135.85599999999999"/>
    <n v="135.85599999999999"/>
    <n v="303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1"/>
    <n v="0"/>
    <n v="0"/>
    <n v="161.43600000000001"/>
    <n v="161.43600000000001"/>
    <n v="161.43600000000001"/>
    <n v="161.43600000000001"/>
    <n v="304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1"/>
    <n v="0"/>
    <n v="0"/>
    <n v="3.7759999999999998"/>
    <n v="3.7759999999999998"/>
    <n v="3.7759999999999998"/>
    <n v="3.7759999999999998"/>
    <n v="6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2"/>
    <n v="0"/>
    <n v="0"/>
    <n v="151.37100000000001"/>
    <n v="151.37100000000001"/>
    <n v="151.37100000000001"/>
    <n v="151.37100000000001"/>
    <n v="301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2"/>
    <n v="0"/>
    <n v="0"/>
    <n v="5.266"/>
    <n v="5.266"/>
    <n v="5.266"/>
    <n v="5.266"/>
    <n v="6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gular"/>
    <x v="4"/>
    <x v="3"/>
    <s v="Poder público"/>
    <x v="0"/>
    <x v="0"/>
    <s v="Não se aplica"/>
    <x v="1"/>
    <x v="5"/>
    <n v="0"/>
    <n v="0"/>
    <n v="152.90199999999999"/>
    <n v="152.90199999999999"/>
    <n v="152.90199999999999"/>
    <n v="152.90199999999999"/>
    <n v="304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Sistema de Compensação"/>
    <x v="4"/>
    <x v="3"/>
    <s v="Poder público"/>
    <x v="0"/>
    <x v="0"/>
    <s v="Não se aplica"/>
    <x v="1"/>
    <x v="5"/>
    <n v="0"/>
    <n v="0"/>
    <n v="6.1769999999999996"/>
    <n v="6.1769999999999996"/>
    <n v="6.1769999999999996"/>
    <n v="6.1769999999999996"/>
    <n v="6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6"/>
    <n v="0"/>
    <n v="0"/>
    <n v="42.679000000000002"/>
    <n v="40.118259999999999"/>
    <n v="42.679000000000002"/>
    <n v="40.118259999999999"/>
    <n v="49"/>
    <s v="CATIVO"/>
    <n v="0"/>
    <s v="44348B3ConvencionalNão se aplicaNão se aplicaNão se aplicaNão se aplicaNão se aplica"/>
    <s v="44348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7"/>
    <n v="0"/>
    <n v="0"/>
    <n v="50.063000000000002"/>
    <n v="47.059219999999996"/>
    <n v="50.063000000000002"/>
    <n v="47.059219999999996"/>
    <n v="49"/>
    <s v="CATIVO"/>
    <n v="0"/>
    <s v="44378B3ConvencionalNão se aplicaNão se aplicaNão se aplicaNão se aplicaNão se aplica"/>
    <s v="44378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8"/>
    <n v="0"/>
    <n v="0"/>
    <n v="49.665999999999997"/>
    <n v="46.686039999999998"/>
    <n v="49.665999999999997"/>
    <n v="46.686039999999998"/>
    <n v="49"/>
    <s v="CATIVO"/>
    <n v="0"/>
    <s v="44409B3ConvencionalNão se aplicaNão se aplicaNão se aplicaNão se aplicaNão se aplica"/>
    <s v="44409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9"/>
    <n v="0"/>
    <n v="0"/>
    <n v="46.872"/>
    <n v="44.05968"/>
    <n v="46.872"/>
    <n v="44.05968"/>
    <n v="49"/>
    <s v="CATIVO"/>
    <n v="0"/>
    <s v="44440B3ConvencionalNão se aplicaNão se aplicaNão se aplicaNão se aplicaNão se aplica"/>
    <s v="44440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10"/>
    <n v="0"/>
    <n v="0"/>
    <n v="44.296999999999997"/>
    <n v="41.639180000000003"/>
    <n v="44.296999999999997"/>
    <n v="41.639180000000003"/>
    <n v="49"/>
    <s v="CATIVO"/>
    <n v="0"/>
    <s v="44470B3ConvencionalNão se aplicaNão se aplicaNão se aplicaNão se aplicaNão se aplica"/>
    <s v="44470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11"/>
    <n v="0"/>
    <n v="0"/>
    <n v="44.539000000000001"/>
    <n v="41.866660000000003"/>
    <n v="44.539000000000001"/>
    <n v="41.866660000000003"/>
    <n v="49"/>
    <s v="CATIVO"/>
    <n v="0"/>
    <s v="44501B3ConvencionalNão se aplicaNão se aplicaNão se aplicaNão se aplicaNão se aplica"/>
    <s v="44501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3"/>
    <n v="0"/>
    <n v="0"/>
    <n v="57.579000000000001"/>
    <n v="54.12426"/>
    <n v="57.579000000000001"/>
    <n v="54.12426"/>
    <n v="51"/>
    <s v="CATIVO"/>
    <n v="0"/>
    <s v="44531B3ConvencionalNão se aplicaNão se aplicaNão se aplicaNão se aplicaNão se aplica"/>
    <s v="44531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0"/>
    <n v="0"/>
    <n v="0"/>
    <n v="61.433999999999997"/>
    <n v="57.747959999999999"/>
    <n v="61.433999999999997"/>
    <n v="57.747959999999999"/>
    <n v="51"/>
    <s v="CATIVO"/>
    <n v="0"/>
    <s v="44562B3ConvencionalNão se aplicaNão se aplicaNão se aplicaNão se aplicaNão se aplica"/>
    <s v="44562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4"/>
    <n v="0"/>
    <n v="0"/>
    <n v="66.64"/>
    <n v="62.641599999999997"/>
    <n v="66.64"/>
    <n v="62.641599999999997"/>
    <n v="51"/>
    <s v="CATIVO"/>
    <n v="0"/>
    <s v="44593B3ConvencionalNão se aplicaNão se aplicaNão se aplicaNão se aplicaNão se aplica"/>
    <s v="44593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1"/>
    <n v="0"/>
    <n v="0"/>
    <n v="65.355000000000004"/>
    <n v="61.433700000000002"/>
    <n v="65.355000000000004"/>
    <n v="61.433700000000002"/>
    <n v="51"/>
    <s v="CATIVO"/>
    <n v="0"/>
    <s v="44621B3ConvencionalNão se aplicaNão se aplicaNão se aplicaNão se aplicaNão se aplica"/>
    <s v="44621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2"/>
    <n v="0"/>
    <n v="0"/>
    <n v="63.993000000000002"/>
    <n v="60.153419999999997"/>
    <n v="63.993000000000002"/>
    <n v="60.153419999999997"/>
    <n v="50"/>
    <s v="CATIVO"/>
    <n v="0"/>
    <s v="44652B3ConvencionalNão se aplicaNão se aplicaNão se aplicaNão se aplicaNão se aplica"/>
    <s v="44652B3Energia convencionalNão se aplicaNão se aplicaNão se aplicaNão se aplicaNão se aplica"/>
    <n v="0"/>
    <n v="58"/>
    <n v="99"/>
  </r>
  <r>
    <s v="Regular"/>
    <x v="4"/>
    <x v="3"/>
    <s v="Serviço público"/>
    <x v="1"/>
    <x v="0"/>
    <s v="Não se aplica"/>
    <x v="1"/>
    <x v="5"/>
    <n v="0"/>
    <n v="0"/>
    <n v="65.480999999999995"/>
    <n v="61.552140000000001"/>
    <n v="65.480999999999995"/>
    <n v="61.552140000000001"/>
    <n v="50"/>
    <s v="CATIVO"/>
    <n v="0"/>
    <s v="44682B3ConvencionalNão se aplicaNão se aplicaNão se aplicaNão se aplicaNão se aplica"/>
    <s v="44682B3Energia convencionalNão se aplicaNão se aplicaNão se aplicaNão se aplicaNão se aplica"/>
    <n v="0"/>
    <n v="58"/>
    <n v="99"/>
  </r>
  <r>
    <s v="Regular"/>
    <x v="5"/>
    <x v="3"/>
    <s v="Iluminação pública"/>
    <x v="7"/>
    <x v="0"/>
    <s v="Não se aplica"/>
    <x v="1"/>
    <x v="6"/>
    <n v="0"/>
    <n v="0"/>
    <n v="993.76"/>
    <n v="993.76"/>
    <n v="993.76"/>
    <n v="993.76"/>
    <n v="1"/>
    <s v="CATIVO"/>
    <n v="0"/>
    <s v="44348B4ConvencionalIluminação públicaIluminação pública – B4aNão se aplicaNão se aplicaNão se aplica"/>
    <s v="44348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7"/>
    <n v="0"/>
    <n v="0"/>
    <n v="1093.136"/>
    <n v="1093.136"/>
    <n v="1093.136"/>
    <n v="1093.136"/>
    <n v="1"/>
    <s v="CATIVO"/>
    <n v="0"/>
    <s v="44378B4ConvencionalIluminação públicaIluminação pública – B4aNão se aplicaNão se aplicaNão se aplica"/>
    <s v="44378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8"/>
    <n v="0"/>
    <n v="0"/>
    <n v="1093.135"/>
    <n v="1093.135"/>
    <n v="1093.135"/>
    <n v="1093.135"/>
    <n v="1"/>
    <s v="CATIVO"/>
    <n v="0"/>
    <s v="44409B4ConvencionalIluminação públicaIluminação pública – B4aNão se aplicaNão se aplicaNão se aplica"/>
    <s v="44409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9"/>
    <n v="0"/>
    <n v="0"/>
    <n v="1026.885"/>
    <n v="1026.885"/>
    <n v="1026.885"/>
    <n v="1026.885"/>
    <n v="1"/>
    <s v="CATIVO"/>
    <n v="0"/>
    <s v="44440B4ConvencionalIluminação públicaIluminação pública – B4aNão se aplicaNão se aplicaNão se aplica"/>
    <s v="44440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10"/>
    <n v="0"/>
    <n v="0"/>
    <n v="1026.885"/>
    <n v="1026.885"/>
    <n v="1026.885"/>
    <n v="1026.885"/>
    <n v="1"/>
    <s v="CATIVO"/>
    <n v="0"/>
    <s v="44470B4ConvencionalIluminação públicaIluminação pública – B4aNão se aplicaNão se aplicaNão se aplica"/>
    <s v="44470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11"/>
    <n v="0"/>
    <n v="0"/>
    <n v="993.76"/>
    <n v="993.76"/>
    <n v="993.76"/>
    <n v="993.76"/>
    <n v="1"/>
    <s v="CATIVO"/>
    <n v="0"/>
    <s v="44501B4ConvencionalIluminação públicaIluminação pública – B4aNão se aplicaNão se aplicaNão se aplica"/>
    <s v="44501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3"/>
    <n v="0"/>
    <n v="0"/>
    <n v="1026.885"/>
    <n v="1026.885"/>
    <n v="1026.885"/>
    <n v="1026.885"/>
    <n v="1"/>
    <s v="CATIVO"/>
    <n v="0"/>
    <s v="44531B4ConvencionalIluminação públicaIluminação pública – B4aNão se aplicaNão se aplicaNão se aplica"/>
    <s v="44531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0"/>
    <n v="0"/>
    <n v="0"/>
    <n v="899.43499999999995"/>
    <n v="899.43499999999995"/>
    <n v="899.43499999999995"/>
    <n v="899.43499999999995"/>
    <n v="1"/>
    <s v="CATIVO"/>
    <n v="0"/>
    <s v="44562B4ConvencionalIluminação públicaIluminação pública – B4aNão se aplicaNão se aplicaNão se aplica"/>
    <s v="44562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4"/>
    <n v="0"/>
    <n v="0"/>
    <n v="858.42399999999998"/>
    <n v="858.42399999999998"/>
    <n v="858.42399999999998"/>
    <n v="858.42399999999998"/>
    <n v="1"/>
    <s v="CATIVO"/>
    <n v="0"/>
    <s v="44593B4ConvencionalIluminação públicaIluminação pública – B4aNão se aplicaNão se aplicaNão se aplica"/>
    <s v="44593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1"/>
    <n v="0"/>
    <n v="0"/>
    <n v="1004.369"/>
    <n v="1004.369"/>
    <n v="1004.369"/>
    <n v="1004.369"/>
    <n v="1"/>
    <s v="CATIVO"/>
    <n v="0"/>
    <s v="44621B4ConvencionalIluminação públicaIluminação pública – B4aNão se aplicaNão se aplicaNão se aplica"/>
    <s v="44621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2"/>
    <n v="0"/>
    <n v="0"/>
    <n v="1044.548"/>
    <n v="1044.548"/>
    <n v="1044.548"/>
    <n v="1044.548"/>
    <n v="1"/>
    <s v="CATIVO"/>
    <n v="0"/>
    <s v="44652B4ConvencionalIluminação públicaIluminação pública – B4aNão se aplicaNão se aplicaNão se aplica"/>
    <s v="44652B4Energia convencionalIluminação públicaIluminação pública – B4aNão se aplicaNão se aplicaNão se aplica"/>
    <n v="0"/>
    <n v="60"/>
    <n v="101"/>
  </r>
  <r>
    <s v="Regular"/>
    <x v="5"/>
    <x v="3"/>
    <s v="Iluminação pública"/>
    <x v="7"/>
    <x v="0"/>
    <s v="Não se aplica"/>
    <x v="1"/>
    <x v="5"/>
    <n v="0"/>
    <n v="0"/>
    <n v="1139.2840000000001"/>
    <n v="1139.2840000000001"/>
    <n v="1139.2840000000001"/>
    <n v="1139.2840000000001"/>
    <n v="1"/>
    <s v="CATIVO"/>
    <n v="0"/>
    <s v="44682B4ConvencionalIluminação públicaIluminação pública – B4aNão se aplicaNão se aplicaNão se aplica"/>
    <s v="44682B4Energia convencionalIluminação públicaIluminação pública – B4aNão se aplicaNão se aplicaNão se aplica"/>
    <n v="0"/>
    <n v="60"/>
    <n v="101"/>
  </r>
  <r>
    <m/>
    <x v="6"/>
    <x v="4"/>
    <m/>
    <x v="8"/>
    <x v="2"/>
    <m/>
    <x v="4"/>
    <x v="12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7E399-F257-4C86-A318-1207825FD190}" name="Tabela dinâ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40" firstHeaderRow="1" firstDataRow="2" firstDataCol="1"/>
  <pivotFields count="25">
    <pivotField showAll="0"/>
    <pivotField axis="axisRow" multipleItemSelectionAllowed="1" showAll="0">
      <items count="8">
        <item h="1" x="0"/>
        <item h="1" x="1"/>
        <item x="2"/>
        <item x="3"/>
        <item x="4"/>
        <item x="5"/>
        <item x="6"/>
        <item t="default"/>
      </items>
    </pivotField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axis="axisRow" showAll="0">
      <items count="10">
        <item x="1"/>
        <item x="7"/>
        <item x="0"/>
        <item x="2"/>
        <item x="3"/>
        <item x="4"/>
        <item x="5"/>
        <item x="6"/>
        <item x="8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axis="axisCol" multipleItemSelectionAllowed="1" showAll="0">
      <items count="15">
        <item h="1"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h="1"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x="2"/>
        <item sd="0" x="3"/>
        <item t="default"/>
      </items>
    </pivotField>
  </pivotFields>
  <rowFields count="4">
    <field x="1"/>
    <field x="2"/>
    <field x="7"/>
    <field x="4"/>
  </rowFields>
  <rowItems count="36">
    <i>
      <x v="2"/>
    </i>
    <i r="1">
      <x v="1"/>
    </i>
    <i r="2">
      <x/>
    </i>
    <i r="3">
      <x v="3"/>
    </i>
    <i r="2">
      <x v="1"/>
    </i>
    <i r="3">
      <x v="3"/>
    </i>
    <i r="2">
      <x v="3"/>
    </i>
    <i r="3">
      <x v="3"/>
    </i>
    <i r="1">
      <x v="2"/>
    </i>
    <i r="2">
      <x v="2"/>
    </i>
    <i r="3">
      <x v="3"/>
    </i>
    <i r="3">
      <x v="4"/>
    </i>
    <i r="3">
      <x v="5"/>
    </i>
    <i r="3">
      <x v="6"/>
    </i>
    <i r="3">
      <x v="7"/>
    </i>
    <i>
      <x v="3"/>
    </i>
    <i r="1">
      <x v="2"/>
    </i>
    <i r="2">
      <x v="2"/>
    </i>
    <i r="3">
      <x v="2"/>
    </i>
    <i>
      <x v="4"/>
    </i>
    <i r="1">
      <x v="1"/>
    </i>
    <i r="2">
      <x/>
    </i>
    <i r="3">
      <x v="2"/>
    </i>
    <i r="2">
      <x v="1"/>
    </i>
    <i r="3">
      <x v="2"/>
    </i>
    <i r="2">
      <x v="3"/>
    </i>
    <i r="3">
      <x v="2"/>
    </i>
    <i r="1">
      <x v="2"/>
    </i>
    <i r="2">
      <x v="2"/>
    </i>
    <i r="3">
      <x/>
    </i>
    <i r="3">
      <x v="2"/>
    </i>
    <i>
      <x v="5"/>
    </i>
    <i r="1">
      <x v="2"/>
    </i>
    <i r="2">
      <x v="2"/>
    </i>
    <i r="3">
      <x v="1"/>
    </i>
    <i t="grand">
      <x/>
    </i>
  </rowItems>
  <colFields count="1">
    <field x="8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oma de TUSD_Eaj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9A1BF-09AE-4DFD-8658-0949E042A34F}" name="Efeito Resumo" cacheId="7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990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9">
        <item x="0"/>
        <item x="6"/>
        <item x="7"/>
        <item x="1"/>
        <item x="2"/>
        <item x="4"/>
        <item x="5"/>
        <item x="3"/>
        <item t="default"/>
      </items>
    </pivotField>
    <pivotField axis="axisRow" showAll="0">
      <items count="9">
        <item x="1"/>
        <item x="7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6"/>
        <item x="7"/>
        <item x="8"/>
        <item x="9"/>
        <item x="10"/>
        <item x="11"/>
        <item x="3"/>
        <item x="0"/>
        <item x="4"/>
        <item x="1"/>
        <item x="2"/>
        <item x="5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989">
    <i>
      <x/>
    </i>
    <i r="1">
      <x/>
    </i>
    <i r="2">
      <x v="3"/>
    </i>
    <i r="3">
      <x/>
    </i>
    <i r="4">
      <x v="2"/>
    </i>
    <i r="5">
      <x v="1"/>
    </i>
    <i r="6">
      <x/>
    </i>
    <i r="7">
      <x/>
    </i>
    <i r="8">
      <x v="7"/>
    </i>
    <i r="8">
      <x v="9"/>
    </i>
    <i r="8">
      <x v="10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7"/>
    </i>
    <i r="8">
      <x v="8"/>
    </i>
    <i r="8">
      <x v="9"/>
    </i>
    <i r="8">
      <x v="10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3">
      <x v="7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5"/>
    </i>
    <i r="4">
      <x v="3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5"/>
    </i>
    <i r="4">
      <x v="3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6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/>
    </i>
    <i r="6">
      <x/>
    </i>
    <i r="7">
      <x/>
    </i>
    <i r="8">
      <x v="9"/>
    </i>
    <i r="8">
      <x v="10"/>
    </i>
    <i r="8">
      <x v="11"/>
    </i>
    <i r="7">
      <x v="2"/>
    </i>
    <i r="8">
      <x v="9"/>
    </i>
    <i r="8">
      <x v="10"/>
    </i>
    <i r="8">
      <x v="11"/>
    </i>
    <i r="7">
      <x v="3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8"/>
    <dataField name="Soma de Variação TE" fld="34" baseField="0" baseItem="0" numFmtId="168"/>
    <dataField name="Soma de Variação" fld="35" baseField="0" baseItem="0" numFmtId="168"/>
  </dataFields>
  <formats count="444">
    <format dxfId="64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4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4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4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43">
      <pivotArea type="all" dataOnly="0" outline="0" fieldPosition="0"/>
    </format>
    <format dxfId="642">
      <pivotArea outline="0" collapsedLevelsAreSubtotals="1" fieldPosition="0"/>
    </format>
    <format dxfId="641">
      <pivotArea field="16" type="button" dataOnly="0" labelOnly="1" outline="0" axis="axisRow" fieldPosition="0"/>
    </format>
    <format dxfId="640">
      <pivotArea dataOnly="0" labelOnly="1" fieldPosition="0">
        <references count="1">
          <reference field="16" count="0"/>
        </references>
      </pivotArea>
    </format>
    <format dxfId="63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63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3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6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6">
            <x v="0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61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1"/>
          </reference>
        </references>
      </pivotArea>
    </format>
    <format dxfId="61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61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9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9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59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56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56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1"/>
          </reference>
        </references>
      </pivotArea>
    </format>
    <format dxfId="56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1"/>
          </reference>
        </references>
      </pivotArea>
    </format>
    <format dxfId="55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52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2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52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1"/>
          </reference>
        </references>
      </pivotArea>
    </format>
    <format dxfId="49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1"/>
          </reference>
        </references>
      </pivotArea>
    </format>
    <format dxfId="49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7"/>
            <x v="9"/>
            <x v="10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4"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3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3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3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3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43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43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2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2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23">
      <pivotArea type="all" dataOnly="0" outline="0" fieldPosition="0"/>
    </format>
    <format dxfId="422">
      <pivotArea outline="0" collapsedLevelsAreSubtotals="1" fieldPosition="0"/>
    </format>
    <format dxfId="421">
      <pivotArea field="16" type="button" dataOnly="0" labelOnly="1" outline="0" axis="axisRow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41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41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415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414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413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412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41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41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40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40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6">
            <x v="0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40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40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40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40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40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40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40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39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1"/>
          </reference>
        </references>
      </pivotArea>
    </format>
    <format dxfId="39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39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39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9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8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38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8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38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8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7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7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7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7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37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37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37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37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37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37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6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5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34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34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34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1"/>
          </reference>
        </references>
      </pivotArea>
    </format>
    <format dxfId="34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1"/>
          </reference>
        </references>
      </pivotArea>
    </format>
    <format dxfId="33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3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2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31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31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31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30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30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16" count="1" selected="0">
            <x v="1"/>
          </reference>
        </references>
      </pivotArea>
    </format>
    <format dxfId="30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0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0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0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0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30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9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9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9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9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8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8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80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27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1"/>
          </reference>
        </references>
      </pivotArea>
    </format>
    <format dxfId="2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7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2">
            <x v="0"/>
            <x v="3"/>
          </reference>
          <reference field="16" count="1" selected="0">
            <x v="1"/>
          </reference>
        </references>
      </pivotArea>
    </format>
    <format dxfId="27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7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3">
            <x v="7"/>
            <x v="9"/>
            <x v="10"/>
          </reference>
          <reference field="16" count="1" selected="0">
            <x v="0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4"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4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4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4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4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4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4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4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4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4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3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3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3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3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3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2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2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2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2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2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1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21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21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1"/>
          </reference>
        </references>
      </pivotArea>
    </format>
    <format dxfId="21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1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1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0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20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0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0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20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6FA11-A452-4342-A397-D760ADBBF8A1}" name="Subsidio Resumo" cacheId="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44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8"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6">
        <item x="1"/>
        <item x="4"/>
        <item x="0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43">
    <i>
      <x/>
    </i>
    <i r="1">
      <x v="1"/>
    </i>
    <i r="2">
      <x/>
    </i>
    <i r="3">
      <x v="3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1"/>
    </i>
    <i r="4">
      <x v="3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1"/>
    </i>
    <i r="5">
      <x/>
    </i>
    <i r="6">
      <x/>
    </i>
    <i r="7">
      <x/>
    </i>
    <i r="8">
      <x v="9"/>
    </i>
    <i r="8">
      <x v="10"/>
    </i>
    <i r="8">
      <x v="11"/>
    </i>
    <i r="7">
      <x v="1"/>
    </i>
    <i r="8">
      <x v="9"/>
    </i>
    <i r="8">
      <x v="10"/>
    </i>
    <i r="8">
      <x v="11"/>
    </i>
    <i r="7">
      <x v="2"/>
    </i>
    <i r="8">
      <x v="9"/>
    </i>
    <i r="8">
      <x v="10"/>
    </i>
    <i r="8">
      <x v="11"/>
    </i>
    <i r="2">
      <x v="2"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 v="2"/>
    </i>
    <i r="3">
      <x v="2"/>
    </i>
    <i r="4">
      <x v="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2"/>
    </i>
    <i r="4">
      <x v="1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1"/>
    </i>
    <i r="3">
      <x v="1"/>
    </i>
    <i r="4">
      <x v="2"/>
    </i>
    <i r="5">
      <x v="1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04">
    <format dxfId="203">
      <pivotArea outline="0" collapsedLevelsAreSubtotals="1" fieldPosition="0"/>
    </format>
    <format dxfId="20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31" type="button" dataOnly="0" labelOnly="1" outline="0" axis="axisRow" fieldPosition="0"/>
    </format>
    <format dxfId="198">
      <pivotArea dataOnly="0" labelOnly="1" fieldPosition="0">
        <references count="1">
          <reference field="31" count="0"/>
        </references>
      </pivotArea>
    </format>
    <format dxfId="197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196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194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3"/>
          </reference>
        </references>
      </pivotArea>
    </format>
    <format dxfId="193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19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2"/>
          </reference>
          <reference field="31" count="1" selected="0">
            <x v="0"/>
          </reference>
        </references>
      </pivotArea>
    </format>
    <format dxfId="19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19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18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18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187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186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18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18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183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18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18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180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7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78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7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17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17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17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73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7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7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17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16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168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16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16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16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16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6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6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16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6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5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157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5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5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5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15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15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15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15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14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14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1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1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14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14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4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4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4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14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13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3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3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13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13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3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3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3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13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13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12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12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3"/>
          </reference>
        </references>
      </pivotArea>
    </format>
    <format dxfId="1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12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12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2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2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2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2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2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1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1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1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1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1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1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1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11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11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10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0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0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0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0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0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0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0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10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31" type="button" dataOnly="0" labelOnly="1" outline="0" axis="axisRow" fieldPosition="0"/>
    </format>
    <format dxfId="97">
      <pivotArea dataOnly="0" labelOnly="1" fieldPosition="0">
        <references count="1">
          <reference field="31" count="0"/>
        </references>
      </pivotArea>
    </format>
    <format dxfId="96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95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94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93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3"/>
          </reference>
        </references>
      </pivotArea>
    </format>
    <format dxfId="92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9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2"/>
          </reference>
          <reference field="31" count="1" selected="0">
            <x v="0"/>
          </reference>
        </references>
      </pivotArea>
    </format>
    <format dxfId="90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8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8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8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86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8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84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8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82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81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8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7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7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7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7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7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4"/>
          </reference>
        </references>
      </pivotArea>
    </format>
    <format dxfId="7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72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7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7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6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6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6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6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6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6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6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6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6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6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5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5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5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5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5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5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4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4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0"/>
          </reference>
        </references>
      </pivotArea>
    </format>
    <format dxfId="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4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4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/>
          <reference field="31" count="1" selected="0">
            <x v="1"/>
          </reference>
        </references>
      </pivotArea>
    </format>
    <format dxfId="4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4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4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4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3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/>
          <reference field="31" count="1" selected="0">
            <x v="3"/>
          </reference>
        </references>
      </pivotArea>
    </format>
    <format dxfId="3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3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2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0"/>
          <reference field="31" count="1" selected="0">
            <x v="3"/>
          </reference>
        </references>
      </pivotArea>
    </format>
    <format dxfId="2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2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1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2"/>
          </reference>
        </references>
      </pivotArea>
    </format>
    <format dxfId="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407-5C81-481B-AB4E-60880EE4D0FC}" name="Efeito" displayName="Efeito" ref="A1:AG987" totalsRowShown="0" headerRowDxfId="751" dataDxfId="750">
  <autoFilter ref="A1:AG987" xr:uid="{CE0FE407-5C81-481B-AB4E-60880EE4D0FC}"/>
  <tableColumns count="33">
    <tableColumn id="1" xr3:uid="{B0B35325-B658-4E4C-B36D-1D21614E7585}" name="TipoMercado" dataDxfId="749"/>
    <tableColumn id="2" xr3:uid="{F631F2D1-7348-41ED-92FD-F96DC1296802}" name="Subgrupo" dataDxfId="748"/>
    <tableColumn id="3" xr3:uid="{47E93E87-35E6-4C4F-8F1A-8AE483DE6C5F}" name="Modalidade" dataDxfId="747"/>
    <tableColumn id="4" xr3:uid="{68A82655-40A7-4CDE-8343-60245A5EF31E}" name="Classe" dataDxfId="746"/>
    <tableColumn id="5" xr3:uid="{51D48A1C-2885-4AAB-AE1F-83D995FDB268}" name="Subclasse" dataDxfId="745"/>
    <tableColumn id="6" xr3:uid="{9682CC03-A68F-484D-91E4-C06866FCA314}" name="Detalhe" dataDxfId="744"/>
    <tableColumn id="7" xr3:uid="{4FB2BBAB-319F-4181-9072-DA3621990D56}" name="Agente" dataDxfId="743"/>
    <tableColumn id="8" xr3:uid="{AA04625E-E5A0-48C4-B887-223CAFDFCF3F}" name="Posto" dataDxfId="742"/>
    <tableColumn id="9" xr3:uid="{B959A9DC-B4FE-4B05-BA21-D657C4C4377B}" name="AnoMes" dataDxfId="741"/>
    <tableColumn id="10" xr3:uid="{035ABA64-0E57-411E-8C86-BEE2562A7130}" name="D" dataDxfId="740"/>
    <tableColumn id="11" xr3:uid="{C46C881A-5D21-48B2-959D-66D3F3E992E6}" name="Daj" dataDxfId="739"/>
    <tableColumn id="12" xr3:uid="{2633EABD-70BA-4EF0-B833-EA531A548E78}" name="TUSD_E" dataDxfId="738"/>
    <tableColumn id="13" xr3:uid="{93A7243C-8729-4F21-8E5F-D29E6584277D}" name="TUSD_Eaj" dataDxfId="737"/>
    <tableColumn id="14" xr3:uid="{FFC17933-9493-4BFD-88E9-C37356D5022A}" name="TE_E" dataDxfId="736"/>
    <tableColumn id="15" xr3:uid="{8AC8105F-6715-4656-8446-69B380A0EA65}" name="TE_Eaj" dataDxfId="735"/>
    <tableColumn id="16" xr3:uid="{8BC33FAC-DD7B-479D-BCA4-49B57FAA4BBB}" name="UC" dataDxfId="734"/>
    <tableColumn id="17" xr3:uid="{1B48B178-E35C-4857-B64B-9ADD91EAAE11}" name="OPÇÃO" dataDxfId="733"/>
    <tableColumn id="18" xr3:uid="{841DEA7D-9ACA-4060-BC03-58EC8114BD02}" name="CóD. AUX." dataDxfId="732"/>
    <tableColumn id="19" xr3:uid="{A2AC6211-B0B4-43FB-B26F-A14CD3C8BCDB}" name="CóD. AUX. TUSD R$/kW" dataDxfId="731"/>
    <tableColumn id="20" xr3:uid="{C696D718-8F81-4585-8BDE-7E7295D92111}" name="CóD. AUX. TUSD R$/MWh" dataDxfId="730"/>
    <tableColumn id="21" xr3:uid="{8CDC5C6E-939A-4C26-8DA0-1CE4003DBD7D}" name="CóD. AUX. TE R$/MWh" dataDxfId="729"/>
    <tableColumn id="22" xr3:uid="{72E003B7-733B-45C8-BCCE-30BD819DB498}" name="TUSD (R$/kW)" dataDxfId="728"/>
    <tableColumn id="23" xr3:uid="{D7086694-B7F1-423E-8B5E-02D74178BC63}" name="TUSD (R$/MWh)" dataDxfId="727"/>
    <tableColumn id="24" xr3:uid="{44572724-6BD9-40B3-8304-812745945B8B}" name="TE (R$/MWh)" dataDxfId="726"/>
    <tableColumn id="25" xr3:uid="{1BD79869-8472-4520-A25C-EFB9F8A62AF0}" name="TUSD (R$/kW) NOVA" dataDxfId="725"/>
    <tableColumn id="26" xr3:uid="{7FF2623E-4D8A-4B93-A10A-D6C15E2A1465}" name="TUSD (R$/MWh) NOVA" dataDxfId="724">
      <calculatedColumnFormula>('TUSD BE'!$AM$60+'TUSD BF'!$AM$60+'TUSD CVA'!$AM$60)*1</calculatedColumnFormula>
    </tableColumn>
    <tableColumn id="27" xr3:uid="{B8A254E4-05B9-4E9E-AD56-9BB6EBBF4292}" name="TE (R$/MWh) NOVA" dataDxfId="723">
      <calculatedColumnFormula>('TE BE'!$AB$44+'TE BF'!$AB$44+'TE CVA'!$AB$44)*1</calculatedColumnFormula>
    </tableColumn>
    <tableColumn id="28" xr3:uid="{71937623-BA5A-495C-8B48-09BFC5ED410D}" name="RA0 ou RV - TUSD (kW)" dataDxfId="722"/>
    <tableColumn id="29" xr3:uid="{88FAEF1E-A71D-41B1-B62B-FE0249B3E018}" name="RA0 ou RV - TUSD (MWh)" dataDxfId="721"/>
    <tableColumn id="30" xr3:uid="{5E8C7F17-FC56-4B92-9556-BD2F2BC25797}" name="RA0 ou RV - TE (MWh)" dataDxfId="720"/>
    <tableColumn id="31" xr3:uid="{C1BA6486-623B-41EF-AAF8-84F4A0DD739C}" name="RA1 ou RRD - TUSD (kW)" dataDxfId="719"/>
    <tableColumn id="32" xr3:uid="{7847E9BB-4B59-48AE-B87E-A6C6C4BE100E}" name="RA1 ou RRD - TUSD (MWh)" dataDxfId="718"/>
    <tableColumn id="33" xr3:uid="{C07BF965-CC2B-4154-ADD1-FCD1353EE470}" name="RA1 ou RRD - TE (MWh)" dataDxfId="7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69A662-257F-491B-953A-BFDD13605048}" name="Efeito4" displayName="Efeito4" ref="A1:AG987" totalsRowShown="0" headerRowDxfId="716" dataDxfId="715">
  <autoFilter ref="A1:AG987" xr:uid="{CE0FE407-5C81-481B-AB4E-60880EE4D0FC}"/>
  <tableColumns count="33">
    <tableColumn id="1" xr3:uid="{364EC26A-932C-4D19-8457-467AD4FEF9D9}" name="TipoMercado" dataDxfId="714"/>
    <tableColumn id="2" xr3:uid="{7B2397D7-9215-47B1-B7DD-B83B1FE342B8}" name="Subgrupo" dataDxfId="713"/>
    <tableColumn id="3" xr3:uid="{21BBF2D9-A112-4871-80A6-7C2FD8BC36E4}" name="Modalidade" dataDxfId="712"/>
    <tableColumn id="4" xr3:uid="{CD4831F6-74E0-4F5D-BD4B-16223CD73933}" name="Classe" dataDxfId="711"/>
    <tableColumn id="5" xr3:uid="{AFE35BFE-4F26-4028-B13F-AA46BAE10E82}" name="Subclasse" dataDxfId="710"/>
    <tableColumn id="6" xr3:uid="{050D8529-9602-4DF6-B49E-5289DEF4A7B7}" name="Detalhe" dataDxfId="709"/>
    <tableColumn id="7" xr3:uid="{863D78D9-2870-43D2-A899-13F885904A3F}" name="Agente" dataDxfId="708"/>
    <tableColumn id="8" xr3:uid="{371B4423-CB6B-4BCA-A4DD-2B3363A94BA1}" name="Posto" dataDxfId="707"/>
    <tableColumn id="9" xr3:uid="{BC872FFA-CCDD-4479-968C-981B8AD7235E}" name="AnoMes" dataDxfId="706"/>
    <tableColumn id="10" xr3:uid="{FB803A01-CFBD-4F25-A3B9-091D41DBADCB}" name="D" dataDxfId="705"/>
    <tableColumn id="11" xr3:uid="{9A991D85-98D9-402E-AE8D-04FCE4E5EEAD}" name="Daj" dataDxfId="704"/>
    <tableColumn id="12" xr3:uid="{C9CB1A30-CB07-49B3-A560-B6ECE823E25C}" name="TUSD_E" dataDxfId="703"/>
    <tableColumn id="13" xr3:uid="{A30BEB3E-F791-4B2B-B439-EEAC355E7CC2}" name="TUSD_Eaj" dataDxfId="702"/>
    <tableColumn id="14" xr3:uid="{96B374E2-9127-4ACD-8F0C-B6BF69CAFAFD}" name="TE_E" dataDxfId="701"/>
    <tableColumn id="15" xr3:uid="{0E050194-1CE1-4AB3-9524-870E4D8680D9}" name="TE_Eaj" dataDxfId="700"/>
    <tableColumn id="16" xr3:uid="{C938EAB6-9AA0-4E8C-B4C4-FD496B2AD655}" name="UC" dataDxfId="699"/>
    <tableColumn id="17" xr3:uid="{A43E9D2C-90A8-4677-960F-161580C2158E}" name="OPÇÃO" dataDxfId="698"/>
    <tableColumn id="18" xr3:uid="{C3C8C020-8FB5-4B17-8D46-280D809E960A}" name="CóD. AUX." dataDxfId="697"/>
    <tableColumn id="19" xr3:uid="{F653883A-CA72-4C29-B38C-4ADAC36E96CE}" name="CóD. AUX. TUSD R$/kW" dataDxfId="696"/>
    <tableColumn id="20" xr3:uid="{7716FBB9-1B3F-4CAF-BFD2-79B4E445859E}" name="CóD. AUX. TUSD R$/MWh" dataDxfId="695"/>
    <tableColumn id="21" xr3:uid="{5204F25B-DC2B-4DCA-86C3-EFECDFC2FD94}" name="CóD. AUX. TE R$/MWh" dataDxfId="694"/>
    <tableColumn id="22" xr3:uid="{6026B5B7-2B2E-4170-80C6-742E3934FB42}" name="TUSD (R$/kW)" dataDxfId="693"/>
    <tableColumn id="23" xr3:uid="{06CE4B9D-D528-4625-8806-86E36ACEFE66}" name="TUSD (R$/MWh)" dataDxfId="692"/>
    <tableColumn id="24" xr3:uid="{53527FD7-13C9-4A71-A409-F1B2B185AA77}" name="TE (R$/MWh)" dataDxfId="691"/>
    <tableColumn id="25" xr3:uid="{0F52D5F8-37E8-4EFC-9E72-18E6FE7677F2}" name="TUSD (R$/kW) NOVA" dataDxfId="690"/>
    <tableColumn id="26" xr3:uid="{140B705F-0AD6-4B2E-AC3F-D637970E1BAE}" name="TUSD (R$/MWh) NOVA" dataDxfId="689">
      <calculatedColumnFormula>('TUSD BE'!$AM$60+'TUSD BF'!$AM$60+'TUSD CVA'!$AM$60)*1</calculatedColumnFormula>
    </tableColumn>
    <tableColumn id="27" xr3:uid="{47583372-9109-4900-AF42-6FFD98A09DD5}" name="TE (R$/MWh) NOVA" dataDxfId="688">
      <calculatedColumnFormula>('TE BE'!$AB$44+'TE BF'!$AB$44+'TE CVA'!$AB$44)*1</calculatedColumnFormula>
    </tableColumn>
    <tableColumn id="28" xr3:uid="{2EBE0D7E-3F95-4762-B82F-D82FD6188248}" name="RA0 ou RV - TUSD (kW)" dataDxfId="687"/>
    <tableColumn id="29" xr3:uid="{06CC9CE2-ED98-4398-8671-691B23953697}" name="RA0 ou RV - TUSD (MWh)" dataDxfId="686"/>
    <tableColumn id="30" xr3:uid="{1B8853C4-A738-4323-B02F-1338B2A5BB2D}" name="RA0 ou RV - TE (MWh)" dataDxfId="685"/>
    <tableColumn id="31" xr3:uid="{D97893ED-AB26-4A6C-A48A-2DBA60A93E57}" name="RA1 ou RRD - TUSD (kW)" dataDxfId="684"/>
    <tableColumn id="32" xr3:uid="{D7EC2040-A746-4667-9C90-E1E92CBDE5D8}" name="RA1 ou RRD - TUSD (MWh)" dataDxfId="683"/>
    <tableColumn id="33" xr3:uid="{88AE7506-2D5C-4BCC-A83F-EE43732ACAFB}" name="RA1 ou RRD - TE (MWh)" dataDxfId="68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AAAAF1-0D26-454E-8EC3-97616F1A0258}" name="Subsidio" displayName="Subsidio" ref="A1:AF296" totalsRowShown="0" headerRowDxfId="681" dataDxfId="680">
  <autoFilter ref="A1:AF296" xr:uid="{A8AAAAF1-0D26-454E-8EC3-97616F1A0258}"/>
  <tableColumns count="32">
    <tableColumn id="1" xr3:uid="{74C4D38F-4BF9-4B4F-8885-CA68E84B13FA}" name="TipoMercado" dataDxfId="679"/>
    <tableColumn id="2" xr3:uid="{68E17B56-1410-40D8-8416-DF6D091D8B1A}" name="Subgrupo" dataDxfId="678"/>
    <tableColumn id="3" xr3:uid="{740FA076-386E-43F6-B4A8-D02E68D42216}" name="Modalidade" dataDxfId="677"/>
    <tableColumn id="4" xr3:uid="{FA4CCF4A-0C35-4D41-B1BD-8D19B3CA7A3F}" name="Classe" dataDxfId="676"/>
    <tableColumn id="5" xr3:uid="{C4E58735-DACC-4030-9B22-1FE49D8F06CE}" name="Subclasse" dataDxfId="675"/>
    <tableColumn id="6" xr3:uid="{53C51219-9685-4719-A6E4-6652B541E400}" name="Detalhe" dataDxfId="674"/>
    <tableColumn id="7" xr3:uid="{D65EA1CD-CBC5-4106-9BF1-0AE3DC882BB8}" name="Agente" dataDxfId="673"/>
    <tableColumn id="8" xr3:uid="{5CB8CD0C-E07A-4D77-81AA-E637EE2041AA}" name="Posto" dataDxfId="672"/>
    <tableColumn id="9" xr3:uid="{F972C141-0C1E-4298-AD37-7A75076FDAB4}" name="AnoMes" dataDxfId="671"/>
    <tableColumn id="10" xr3:uid="{32A129E1-DDFE-4B04-ACB7-6A51391678CA}" name="D" dataDxfId="670"/>
    <tableColumn id="11" xr3:uid="{EB86FFBC-BE58-41F4-AF1A-12EBDEA2C069}" name="Daj" dataDxfId="669"/>
    <tableColumn id="12" xr3:uid="{3351E609-85DA-4C98-AC7E-BA2427B8C188}" name="TUSD_E" dataDxfId="668"/>
    <tableColumn id="13" xr3:uid="{CB28BB4C-4D72-4225-9708-B80A6E84B798}" name="TUSD_Eaj" dataDxfId="667"/>
    <tableColumn id="14" xr3:uid="{1BD1F762-E60C-48A9-B217-754518B9D5FA}" name="TE_E" dataDxfId="666"/>
    <tableColumn id="15" xr3:uid="{6A7CA4F4-3A90-452B-BF2D-498288FF0EE2}" name="TE_Eaj" dataDxfId="665"/>
    <tableColumn id="16" xr3:uid="{5A27D213-A870-46FF-8B17-B05D371D3EDF}" name="UC" dataDxfId="664"/>
    <tableColumn id="17" xr3:uid="{D027BAED-19CD-4677-B946-F53576CB34D4}" name="OPÇÃO" dataDxfId="663"/>
    <tableColumn id="18" xr3:uid="{ED29FB7F-A59D-4C32-8F58-9D76D80E04C2}" name="CóD. AUX." dataDxfId="662"/>
    <tableColumn id="19" xr3:uid="{797FEC86-331D-4412-A697-37A2D855D681}" name="CóD. AUX. TUSD R$/kW" dataDxfId="661"/>
    <tableColumn id="20" xr3:uid="{B7FBDA75-FF0A-4E49-955F-D4CB1A14B60B}" name="CóD. AUX. TUSD R$/MWh" dataDxfId="660"/>
    <tableColumn id="21" xr3:uid="{ED70C790-BA77-48AA-993D-D06CAAECE7F0}" name="CóD. AUX. TE R$/MWh" dataDxfId="659"/>
    <tableColumn id="22" xr3:uid="{8BA17FBC-42A2-4406-9001-3865DBA7CBD5}" name="TUSD (R$/kW)" dataDxfId="658"/>
    <tableColumn id="23" xr3:uid="{8BECF816-86C5-4FB6-B8C4-579CA082A888}" name="TUSD (R$/MWh)" dataDxfId="657"/>
    <tableColumn id="24" xr3:uid="{FC82353A-FCD5-4CCA-A51D-DCC6EC5C26BC}" name="TE (R$/MWh)" dataDxfId="656"/>
    <tableColumn id="25" xr3:uid="{1E405464-131B-4E72-AA2B-7C38F2886831}" name="TUSD (R$/kW) NOVA" dataDxfId="655"/>
    <tableColumn id="26" xr3:uid="{AA55DC95-0D3C-4EB9-8F01-E9F9A50B3883}" name="TUSD (R$/MWh) NOVA" dataDxfId="654">
      <calculatedColumnFormula>('TUSD BE'!$AM$58+'TUSD BF'!$AM$58+'TUSD CVA'!$AM$58)*1</calculatedColumnFormula>
    </tableColumn>
    <tableColumn id="27" xr3:uid="{F3A9C329-B96B-4956-AEF9-AFCDABEF0026}" name="TE (R$/MWh) NOVA" dataDxfId="653">
      <calculatedColumnFormula>('TE BE'!$AB$42+'TE BF'!$AB$42+'TE CVA'!$AB$42)*1</calculatedColumnFormula>
    </tableColumn>
    <tableColumn id="28" xr3:uid="{286CB3A4-A18E-4468-96A3-6AA1FDCD2913}" name="SUBSIDIO kW - TV" dataDxfId="652">
      <calculatedColumnFormula>(J2-K2)*V2</calculatedColumnFormula>
    </tableColumn>
    <tableColumn id="29" xr3:uid="{30C62014-C9A2-4844-95CD-E15DDD5E80FE}" name="SUBSIDIO MWh - TV" dataDxfId="651">
      <calculatedColumnFormula>(L2-M2)*W2+(N2-O2)*X2</calculatedColumnFormula>
    </tableColumn>
    <tableColumn id="30" xr3:uid="{C0F6D5EA-B3FD-4277-88C3-27F6E87E3B5B}" name="SUBSIDIO kW - TN" dataDxfId="650">
      <calculatedColumnFormula>(J2-K2)*Y2</calculatedColumnFormula>
    </tableColumn>
    <tableColumn id="31" xr3:uid="{2DFE40C8-5982-49AE-B7F9-0936F5D135DC}" name="SUBSIDIO MWh - TN" dataDxfId="649">
      <calculatedColumnFormula>(L2-M2)*Z2+(N2-O2)*AA2</calculatedColumnFormula>
    </tableColumn>
    <tableColumn id="32" xr3:uid="{C628F7B2-1CED-403E-9202-F95B4EEEAE7D}" name="TIPO" dataDxfId="64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6756-DCB9-4825-9C57-6803E98AD387}">
  <dimension ref="A3:G40"/>
  <sheetViews>
    <sheetView topLeftCell="K1" workbookViewId="0">
      <selection activeCell="A4" sqref="A4:G40"/>
    </sheetView>
  </sheetViews>
  <sheetFormatPr defaultRowHeight="15" x14ac:dyDescent="0.25"/>
  <cols>
    <col min="1" max="1" width="38.7109375" bestFit="1" customWidth="1"/>
    <col min="2" max="2" width="19.5703125" bestFit="1" customWidth="1"/>
    <col min="3" max="4" width="11" bestFit="1" customWidth="1"/>
    <col min="5" max="7" width="12" bestFit="1" customWidth="1"/>
    <col min="8" max="8" width="17.5703125" bestFit="1" customWidth="1"/>
    <col min="9" max="9" width="14.7109375" bestFit="1" customWidth="1"/>
    <col min="10" max="10" width="17.5703125" bestFit="1" customWidth="1"/>
    <col min="11" max="11" width="14.7109375" bestFit="1" customWidth="1"/>
    <col min="12" max="12" width="22.5703125" bestFit="1" customWidth="1"/>
    <col min="13" max="13" width="19.7109375" bestFit="1" customWidth="1"/>
    <col min="14" max="14" width="10.85546875" bestFit="1" customWidth="1"/>
    <col min="15" max="15" width="10" bestFit="1" customWidth="1"/>
    <col min="16" max="16" width="9" bestFit="1" customWidth="1"/>
    <col min="17" max="18" width="10" bestFit="1" customWidth="1"/>
    <col min="19" max="19" width="10.85546875" bestFit="1" customWidth="1"/>
    <col min="20" max="20" width="10" bestFit="1" customWidth="1"/>
    <col min="21" max="21" width="9" bestFit="1" customWidth="1"/>
    <col min="22" max="22" width="10.85546875" bestFit="1" customWidth="1"/>
    <col min="23" max="23" width="10" bestFit="1" customWidth="1"/>
    <col min="24" max="24" width="11" bestFit="1" customWidth="1"/>
  </cols>
  <sheetData>
    <row r="3" spans="1:7" x14ac:dyDescent="0.25">
      <c r="A3" s="115" t="s">
        <v>1355</v>
      </c>
      <c r="B3" s="115" t="s">
        <v>1349</v>
      </c>
    </row>
    <row r="4" spans="1:7" x14ac:dyDescent="0.25">
      <c r="A4" s="115" t="s">
        <v>762</v>
      </c>
      <c r="B4" t="s">
        <v>1350</v>
      </c>
      <c r="C4" t="s">
        <v>1351</v>
      </c>
      <c r="D4" t="s">
        <v>1352</v>
      </c>
      <c r="E4" t="s">
        <v>1353</v>
      </c>
      <c r="F4" t="s">
        <v>1354</v>
      </c>
      <c r="G4" t="s">
        <v>1348</v>
      </c>
    </row>
    <row r="5" spans="1:7" x14ac:dyDescent="0.25">
      <c r="A5" s="116" t="s">
        <v>22</v>
      </c>
      <c r="B5">
        <v>7552.9210000000003</v>
      </c>
      <c r="C5">
        <v>7943.8010000000004</v>
      </c>
      <c r="D5">
        <v>7732.8879999999999</v>
      </c>
      <c r="E5">
        <v>7497.4609999999993</v>
      </c>
      <c r="F5">
        <v>7589.7660000000014</v>
      </c>
      <c r="G5">
        <v>38316.836999999992</v>
      </c>
    </row>
    <row r="6" spans="1:7" x14ac:dyDescent="0.25">
      <c r="A6" s="117" t="s">
        <v>36</v>
      </c>
      <c r="B6">
        <v>2.2250000000000001</v>
      </c>
      <c r="C6">
        <v>2.3790000000000004</v>
      </c>
      <c r="D6">
        <v>2.2449999999999997</v>
      </c>
      <c r="E6">
        <v>2.2189999999999999</v>
      </c>
      <c r="F6">
        <v>2.0409999999999999</v>
      </c>
      <c r="G6">
        <v>11.109000000000002</v>
      </c>
    </row>
    <row r="7" spans="1:7" x14ac:dyDescent="0.25">
      <c r="A7" s="118" t="s">
        <v>35</v>
      </c>
      <c r="B7">
        <v>1.9159999999999999</v>
      </c>
      <c r="C7">
        <v>2.0550000000000002</v>
      </c>
      <c r="D7">
        <v>1.95</v>
      </c>
      <c r="E7">
        <v>1.927</v>
      </c>
      <c r="F7">
        <v>1.7849999999999999</v>
      </c>
      <c r="G7">
        <v>9.6330000000000009</v>
      </c>
    </row>
    <row r="8" spans="1:7" x14ac:dyDescent="0.25">
      <c r="A8" s="119" t="s">
        <v>24</v>
      </c>
      <c r="B8">
        <v>1.9159999999999999</v>
      </c>
      <c r="C8">
        <v>2.0550000000000002</v>
      </c>
      <c r="D8">
        <v>1.95</v>
      </c>
      <c r="E8">
        <v>1.927</v>
      </c>
      <c r="F8">
        <v>1.7849999999999999</v>
      </c>
      <c r="G8">
        <v>9.6330000000000009</v>
      </c>
    </row>
    <row r="9" spans="1:7" x14ac:dyDescent="0.25">
      <c r="A9" s="118" t="s">
        <v>38</v>
      </c>
      <c r="B9">
        <v>0.13200000000000001</v>
      </c>
      <c r="C9">
        <v>0.13600000000000001</v>
      </c>
      <c r="D9">
        <v>0.11600000000000001</v>
      </c>
      <c r="E9">
        <v>0.125</v>
      </c>
      <c r="F9">
        <v>0.115</v>
      </c>
      <c r="G9">
        <v>0.624</v>
      </c>
    </row>
    <row r="10" spans="1:7" x14ac:dyDescent="0.25">
      <c r="A10" s="119" t="s">
        <v>24</v>
      </c>
      <c r="B10">
        <v>0.13200000000000001</v>
      </c>
      <c r="C10">
        <v>0.13600000000000001</v>
      </c>
      <c r="D10">
        <v>0.11600000000000001</v>
      </c>
      <c r="E10">
        <v>0.125</v>
      </c>
      <c r="F10">
        <v>0.115</v>
      </c>
      <c r="G10">
        <v>0.624</v>
      </c>
    </row>
    <row r="11" spans="1:7" x14ac:dyDescent="0.25">
      <c r="A11" s="118" t="s">
        <v>37</v>
      </c>
      <c r="B11">
        <v>0.17699999999999999</v>
      </c>
      <c r="C11">
        <v>0.188</v>
      </c>
      <c r="D11">
        <v>0.17899999999999999</v>
      </c>
      <c r="E11">
        <v>0.16700000000000001</v>
      </c>
      <c r="F11">
        <v>0.14099999999999999</v>
      </c>
      <c r="G11">
        <v>0.85200000000000009</v>
      </c>
    </row>
    <row r="12" spans="1:7" x14ac:dyDescent="0.25">
      <c r="A12" s="119" t="s">
        <v>24</v>
      </c>
      <c r="B12">
        <v>0.17699999999999999</v>
      </c>
      <c r="C12">
        <v>0.188</v>
      </c>
      <c r="D12">
        <v>0.17899999999999999</v>
      </c>
      <c r="E12">
        <v>0.16700000000000001</v>
      </c>
      <c r="F12">
        <v>0.14099999999999999</v>
      </c>
      <c r="G12">
        <v>0.85200000000000009</v>
      </c>
    </row>
    <row r="13" spans="1:7" x14ac:dyDescent="0.25">
      <c r="A13" s="117" t="s">
        <v>23</v>
      </c>
      <c r="B13">
        <v>7550.6959999999999</v>
      </c>
      <c r="C13">
        <v>7941.4220000000005</v>
      </c>
      <c r="D13">
        <v>7730.643</v>
      </c>
      <c r="E13">
        <v>7495.2419999999993</v>
      </c>
      <c r="F13">
        <v>7587.7250000000013</v>
      </c>
      <c r="G13">
        <v>38305.727999999996</v>
      </c>
    </row>
    <row r="14" spans="1:7" x14ac:dyDescent="0.25">
      <c r="A14" s="118" t="s">
        <v>25</v>
      </c>
      <c r="B14">
        <v>7550.6959999999999</v>
      </c>
      <c r="C14">
        <v>7941.4220000000005</v>
      </c>
      <c r="D14">
        <v>7730.643</v>
      </c>
      <c r="E14">
        <v>7495.2419999999993</v>
      </c>
      <c r="F14">
        <v>7587.7250000000013</v>
      </c>
      <c r="G14">
        <v>38305.727999999996</v>
      </c>
    </row>
    <row r="15" spans="1:7" x14ac:dyDescent="0.25">
      <c r="A15" s="119" t="s">
        <v>24</v>
      </c>
      <c r="B15">
        <v>6950.9009999999998</v>
      </c>
      <c r="C15">
        <v>7281.8410000000003</v>
      </c>
      <c r="D15">
        <v>7040.7219999999998</v>
      </c>
      <c r="E15">
        <v>6827.5769999999993</v>
      </c>
      <c r="F15">
        <v>6911.9540000000006</v>
      </c>
      <c r="G15">
        <v>35012.994999999995</v>
      </c>
    </row>
    <row r="16" spans="1:7" x14ac:dyDescent="0.25">
      <c r="A16" s="119" t="s">
        <v>29</v>
      </c>
      <c r="B16">
        <v>137.904</v>
      </c>
      <c r="C16">
        <v>142.95599999999999</v>
      </c>
      <c r="D16">
        <v>153.839</v>
      </c>
      <c r="E16">
        <v>154.833</v>
      </c>
      <c r="F16">
        <v>156.327</v>
      </c>
      <c r="G16">
        <v>745.85900000000004</v>
      </c>
    </row>
    <row r="17" spans="1:7" x14ac:dyDescent="0.25">
      <c r="A17" s="119" t="s">
        <v>30</v>
      </c>
      <c r="B17">
        <v>267.66400000000004</v>
      </c>
      <c r="C17">
        <v>283.09500000000003</v>
      </c>
      <c r="D17">
        <v>299.08600000000001</v>
      </c>
      <c r="E17">
        <v>295.02300000000002</v>
      </c>
      <c r="F17">
        <v>296.67599999999999</v>
      </c>
      <c r="G17">
        <v>1441.5439999999999</v>
      </c>
    </row>
    <row r="18" spans="1:7" x14ac:dyDescent="0.25">
      <c r="A18" s="119" t="s">
        <v>31</v>
      </c>
      <c r="B18">
        <v>164.28</v>
      </c>
      <c r="C18">
        <v>191.77099999999999</v>
      </c>
      <c r="D18">
        <v>193.261</v>
      </c>
      <c r="E18">
        <v>183.00200000000001</v>
      </c>
      <c r="F18">
        <v>185.41199999999998</v>
      </c>
      <c r="G18">
        <v>917.72600000000011</v>
      </c>
    </row>
    <row r="19" spans="1:7" x14ac:dyDescent="0.25">
      <c r="A19" s="119" t="s">
        <v>32</v>
      </c>
      <c r="B19">
        <v>29.946999999999999</v>
      </c>
      <c r="C19">
        <v>41.759</v>
      </c>
      <c r="D19">
        <v>43.734999999999999</v>
      </c>
      <c r="E19">
        <v>34.807000000000002</v>
      </c>
      <c r="F19">
        <v>37.356000000000002</v>
      </c>
      <c r="G19">
        <v>187.60399999999998</v>
      </c>
    </row>
    <row r="20" spans="1:7" x14ac:dyDescent="0.25">
      <c r="A20" s="116" t="s">
        <v>44</v>
      </c>
      <c r="B20">
        <v>526.11099999999999</v>
      </c>
      <c r="C20">
        <v>521.06500000000005</v>
      </c>
      <c r="D20">
        <v>514.72199999999998</v>
      </c>
      <c r="E20">
        <v>492.42</v>
      </c>
      <c r="F20">
        <v>513.95500000000004</v>
      </c>
      <c r="G20">
        <v>2568.2729999999997</v>
      </c>
    </row>
    <row r="21" spans="1:7" x14ac:dyDescent="0.25">
      <c r="A21" s="117" t="s">
        <v>23</v>
      </c>
      <c r="B21">
        <v>526.11099999999999</v>
      </c>
      <c r="C21">
        <v>521.06500000000005</v>
      </c>
      <c r="D21">
        <v>514.72199999999998</v>
      </c>
      <c r="E21">
        <v>492.42</v>
      </c>
      <c r="F21">
        <v>513.95500000000004</v>
      </c>
      <c r="G21">
        <v>2568.2729999999997</v>
      </c>
    </row>
    <row r="22" spans="1:7" x14ac:dyDescent="0.25">
      <c r="A22" s="118" t="s">
        <v>25</v>
      </c>
      <c r="B22">
        <v>526.11099999999999</v>
      </c>
      <c r="C22">
        <v>521.06500000000005</v>
      </c>
      <c r="D22">
        <v>514.72199999999998</v>
      </c>
      <c r="E22">
        <v>492.42</v>
      </c>
      <c r="F22">
        <v>513.95500000000004</v>
      </c>
      <c r="G22">
        <v>2568.2729999999997</v>
      </c>
    </row>
    <row r="23" spans="1:7" x14ac:dyDescent="0.25">
      <c r="A23" s="119" t="s">
        <v>25</v>
      </c>
      <c r="B23">
        <v>526.11099999999999</v>
      </c>
      <c r="C23">
        <v>521.06500000000005</v>
      </c>
      <c r="D23">
        <v>514.72199999999998</v>
      </c>
      <c r="E23">
        <v>492.42</v>
      </c>
      <c r="F23">
        <v>513.95500000000004</v>
      </c>
      <c r="G23">
        <v>2568.2729999999997</v>
      </c>
    </row>
    <row r="24" spans="1:7" x14ac:dyDescent="0.25">
      <c r="A24" s="116" t="s">
        <v>39</v>
      </c>
      <c r="B24">
        <v>2402.2169600000002</v>
      </c>
      <c r="C24">
        <v>2602.9436000000001</v>
      </c>
      <c r="D24">
        <v>2631.9467</v>
      </c>
      <c r="E24">
        <v>2403.94742</v>
      </c>
      <c r="F24">
        <v>2342.5361399999997</v>
      </c>
      <c r="G24">
        <v>12383.590819999998</v>
      </c>
    </row>
    <row r="25" spans="1:7" x14ac:dyDescent="0.25">
      <c r="A25" s="117" t="s">
        <v>36</v>
      </c>
      <c r="B25">
        <v>43.325000000000003</v>
      </c>
      <c r="C25">
        <v>50.241</v>
      </c>
      <c r="D25">
        <v>45.418999999999997</v>
      </c>
      <c r="E25">
        <v>38.774000000000001</v>
      </c>
      <c r="F25">
        <v>39.722000000000008</v>
      </c>
      <c r="G25">
        <v>217.48099999999999</v>
      </c>
    </row>
    <row r="26" spans="1:7" x14ac:dyDescent="0.25">
      <c r="A26" s="118" t="s">
        <v>35</v>
      </c>
      <c r="B26">
        <v>37.207000000000001</v>
      </c>
      <c r="C26">
        <v>43.136000000000003</v>
      </c>
      <c r="D26">
        <v>39.404000000000003</v>
      </c>
      <c r="E26">
        <v>33.091000000000001</v>
      </c>
      <c r="F26">
        <v>34.474000000000004</v>
      </c>
      <c r="G26">
        <v>187.31200000000001</v>
      </c>
    </row>
    <row r="27" spans="1:7" x14ac:dyDescent="0.25">
      <c r="A27" s="119" t="s">
        <v>25</v>
      </c>
      <c r="B27">
        <v>37.207000000000001</v>
      </c>
      <c r="C27">
        <v>43.136000000000003</v>
      </c>
      <c r="D27">
        <v>39.404000000000003</v>
      </c>
      <c r="E27">
        <v>33.091000000000001</v>
      </c>
      <c r="F27">
        <v>34.474000000000004</v>
      </c>
      <c r="G27">
        <v>187.31200000000001</v>
      </c>
    </row>
    <row r="28" spans="1:7" x14ac:dyDescent="0.25">
      <c r="A28" s="118" t="s">
        <v>38</v>
      </c>
      <c r="B28">
        <v>2.6190000000000002</v>
      </c>
      <c r="C28">
        <v>3.1069999999999998</v>
      </c>
      <c r="D28">
        <v>2.6110000000000002</v>
      </c>
      <c r="E28">
        <v>2.234</v>
      </c>
      <c r="F28">
        <v>2.2610000000000001</v>
      </c>
      <c r="G28">
        <v>12.832000000000001</v>
      </c>
    </row>
    <row r="29" spans="1:7" x14ac:dyDescent="0.25">
      <c r="A29" s="119" t="s">
        <v>25</v>
      </c>
      <c r="B29">
        <v>2.6190000000000002</v>
      </c>
      <c r="C29">
        <v>3.1069999999999998</v>
      </c>
      <c r="D29">
        <v>2.6110000000000002</v>
      </c>
      <c r="E29">
        <v>2.234</v>
      </c>
      <c r="F29">
        <v>2.2610000000000001</v>
      </c>
      <c r="G29">
        <v>12.832000000000001</v>
      </c>
    </row>
    <row r="30" spans="1:7" x14ac:dyDescent="0.25">
      <c r="A30" s="118" t="s">
        <v>37</v>
      </c>
      <c r="B30">
        <v>3.4990000000000001</v>
      </c>
      <c r="C30">
        <v>3.9980000000000002</v>
      </c>
      <c r="D30">
        <v>3.4039999999999999</v>
      </c>
      <c r="E30">
        <v>3.4489999999999998</v>
      </c>
      <c r="F30">
        <v>2.9870000000000001</v>
      </c>
      <c r="G30">
        <v>17.337</v>
      </c>
    </row>
    <row r="31" spans="1:7" x14ac:dyDescent="0.25">
      <c r="A31" s="119" t="s">
        <v>25</v>
      </c>
      <c r="B31">
        <v>3.4990000000000001</v>
      </c>
      <c r="C31">
        <v>3.9980000000000002</v>
      </c>
      <c r="D31">
        <v>3.4039999999999999</v>
      </c>
      <c r="E31">
        <v>3.4489999999999998</v>
      </c>
      <c r="F31">
        <v>2.9870000000000001</v>
      </c>
      <c r="G31">
        <v>17.337</v>
      </c>
    </row>
    <row r="32" spans="1:7" x14ac:dyDescent="0.25">
      <c r="A32" s="117" t="s">
        <v>23</v>
      </c>
      <c r="B32">
        <v>2358.8919600000004</v>
      </c>
      <c r="C32">
        <v>2552.7026000000001</v>
      </c>
      <c r="D32">
        <v>2586.5277000000001</v>
      </c>
      <c r="E32">
        <v>2365.1734200000001</v>
      </c>
      <c r="F32">
        <v>2302.8141399999995</v>
      </c>
      <c r="G32">
        <v>12166.109819999998</v>
      </c>
    </row>
    <row r="33" spans="1:7" x14ac:dyDescent="0.25">
      <c r="A33" s="118" t="s">
        <v>25</v>
      </c>
      <c r="B33">
        <v>2358.8919600000004</v>
      </c>
      <c r="C33">
        <v>2552.7026000000001</v>
      </c>
      <c r="D33">
        <v>2586.5277000000001</v>
      </c>
      <c r="E33">
        <v>2365.1734200000001</v>
      </c>
      <c r="F33">
        <v>2302.8141399999995</v>
      </c>
      <c r="G33">
        <v>12166.109819999998</v>
      </c>
    </row>
    <row r="34" spans="1:7" x14ac:dyDescent="0.25">
      <c r="A34" s="119" t="s">
        <v>51</v>
      </c>
      <c r="B34">
        <v>57.747959999999999</v>
      </c>
      <c r="C34">
        <v>62.641599999999997</v>
      </c>
      <c r="D34">
        <v>61.433700000000002</v>
      </c>
      <c r="E34">
        <v>60.153419999999997</v>
      </c>
      <c r="F34">
        <v>61.552140000000001</v>
      </c>
      <c r="G34">
        <v>303.52882</v>
      </c>
    </row>
    <row r="35" spans="1:7" x14ac:dyDescent="0.25">
      <c r="A35" s="119" t="s">
        <v>25</v>
      </c>
      <c r="B35">
        <v>2301.1440000000002</v>
      </c>
      <c r="C35">
        <v>2490.0610000000001</v>
      </c>
      <c r="D35">
        <v>2525.0940000000001</v>
      </c>
      <c r="E35">
        <v>2305.02</v>
      </c>
      <c r="F35">
        <v>2241.2619999999997</v>
      </c>
      <c r="G35">
        <v>11862.580999999998</v>
      </c>
    </row>
    <row r="36" spans="1:7" x14ac:dyDescent="0.25">
      <c r="A36" s="116" t="s">
        <v>47</v>
      </c>
      <c r="B36">
        <v>899.43499999999995</v>
      </c>
      <c r="C36">
        <v>858.42399999999998</v>
      </c>
      <c r="D36">
        <v>1004.369</v>
      </c>
      <c r="E36">
        <v>1044.548</v>
      </c>
      <c r="F36">
        <v>1139.2840000000001</v>
      </c>
      <c r="G36">
        <v>4946.0599999999995</v>
      </c>
    </row>
    <row r="37" spans="1:7" x14ac:dyDescent="0.25">
      <c r="A37" s="117" t="s">
        <v>23</v>
      </c>
      <c r="B37">
        <v>899.43499999999995</v>
      </c>
      <c r="C37">
        <v>858.42399999999998</v>
      </c>
      <c r="D37">
        <v>1004.369</v>
      </c>
      <c r="E37">
        <v>1044.548</v>
      </c>
      <c r="F37">
        <v>1139.2840000000001</v>
      </c>
      <c r="G37">
        <v>4946.0599999999995</v>
      </c>
    </row>
    <row r="38" spans="1:7" x14ac:dyDescent="0.25">
      <c r="A38" s="118" t="s">
        <v>25</v>
      </c>
      <c r="B38">
        <v>899.43499999999995</v>
      </c>
      <c r="C38">
        <v>858.42399999999998</v>
      </c>
      <c r="D38">
        <v>1004.369</v>
      </c>
      <c r="E38">
        <v>1044.548</v>
      </c>
      <c r="F38">
        <v>1139.2840000000001</v>
      </c>
      <c r="G38">
        <v>4946.0599999999995</v>
      </c>
    </row>
    <row r="39" spans="1:7" x14ac:dyDescent="0.25">
      <c r="A39" s="119" t="s">
        <v>49</v>
      </c>
      <c r="B39">
        <v>899.43499999999995</v>
      </c>
      <c r="C39">
        <v>858.42399999999998</v>
      </c>
      <c r="D39">
        <v>1004.369</v>
      </c>
      <c r="E39">
        <v>1044.548</v>
      </c>
      <c r="F39">
        <v>1139.2840000000001</v>
      </c>
      <c r="G39">
        <v>4946.0599999999995</v>
      </c>
    </row>
    <row r="40" spans="1:7" x14ac:dyDescent="0.25">
      <c r="A40" s="116" t="s">
        <v>1348</v>
      </c>
      <c r="B40">
        <v>11380.68396</v>
      </c>
      <c r="C40">
        <v>11926.2336</v>
      </c>
      <c r="D40">
        <v>11883.925700000002</v>
      </c>
      <c r="E40">
        <v>11438.376420000001</v>
      </c>
      <c r="F40">
        <v>11585.541140000001</v>
      </c>
      <c r="G40">
        <v>58214.760819999989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3E67-B5E8-42FD-B250-D0FEF70E0715}">
  <dimension ref="A1:W987"/>
  <sheetViews>
    <sheetView showGridLines="0" workbookViewId="0">
      <selection activeCell="E24" sqref="E24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1" width="7.85546875" style="6" bestFit="1" customWidth="1"/>
    <col min="12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90</v>
      </c>
      <c r="T1" s="1" t="s">
        <v>358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28</v>
      </c>
      <c r="B2" s="4" t="s">
        <v>42</v>
      </c>
      <c r="C2" s="4" t="s">
        <v>34</v>
      </c>
      <c r="D2" s="4" t="s">
        <v>43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0</v>
      </c>
      <c r="K2" s="6">
        <v>0</v>
      </c>
      <c r="L2" s="6">
        <v>2E-3</v>
      </c>
      <c r="M2" s="6">
        <v>2E-3</v>
      </c>
      <c r="N2" s="6">
        <v>2E-3</v>
      </c>
      <c r="O2" s="6">
        <v>2E-3</v>
      </c>
      <c r="P2" s="6">
        <v>0</v>
      </c>
      <c r="Q2" s="4" t="s">
        <v>26</v>
      </c>
      <c r="R2" s="4">
        <v>0</v>
      </c>
      <c r="S2" s="4" t="s">
        <v>91</v>
      </c>
      <c r="T2" s="4" t="s">
        <v>359</v>
      </c>
      <c r="U2" s="4">
        <v>0</v>
      </c>
      <c r="V2" s="4">
        <v>8</v>
      </c>
      <c r="W2" s="4">
        <v>63</v>
      </c>
    </row>
    <row r="3" spans="1:23" ht="11.25" customHeight="1" x14ac:dyDescent="0.25">
      <c r="A3" s="4" t="s">
        <v>28</v>
      </c>
      <c r="B3" s="4" t="s">
        <v>42</v>
      </c>
      <c r="C3" s="4" t="s">
        <v>34</v>
      </c>
      <c r="D3" s="4" t="s">
        <v>43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44621</v>
      </c>
      <c r="J3" s="6">
        <v>0</v>
      </c>
      <c r="K3" s="6">
        <v>0</v>
      </c>
      <c r="L3" s="6">
        <v>1E-3</v>
      </c>
      <c r="M3" s="6">
        <v>1E-3</v>
      </c>
      <c r="N3" s="6">
        <v>1E-3</v>
      </c>
      <c r="O3" s="6">
        <v>1E-3</v>
      </c>
      <c r="P3" s="6">
        <v>0</v>
      </c>
      <c r="Q3" s="4" t="s">
        <v>26</v>
      </c>
      <c r="R3" s="4">
        <v>0</v>
      </c>
      <c r="S3" s="4" t="s">
        <v>92</v>
      </c>
      <c r="T3" s="4" t="s">
        <v>360</v>
      </c>
      <c r="U3" s="4">
        <v>0</v>
      </c>
      <c r="V3" s="4">
        <v>8</v>
      </c>
      <c r="W3" s="4">
        <v>63</v>
      </c>
    </row>
    <row r="4" spans="1:23" ht="11.25" customHeight="1" x14ac:dyDescent="0.25">
      <c r="A4" s="4" t="s">
        <v>28</v>
      </c>
      <c r="B4" s="4" t="s">
        <v>42</v>
      </c>
      <c r="C4" s="4" t="s">
        <v>34</v>
      </c>
      <c r="D4" s="4" t="s">
        <v>43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44652</v>
      </c>
      <c r="J4" s="6">
        <v>0</v>
      </c>
      <c r="K4" s="6">
        <v>0</v>
      </c>
      <c r="L4" s="6">
        <v>2E-3</v>
      </c>
      <c r="M4" s="6">
        <v>2E-3</v>
      </c>
      <c r="N4" s="6">
        <v>2E-3</v>
      </c>
      <c r="O4" s="6">
        <v>2E-3</v>
      </c>
      <c r="P4" s="6">
        <v>0</v>
      </c>
      <c r="Q4" s="4" t="s">
        <v>26</v>
      </c>
      <c r="R4" s="4">
        <v>0</v>
      </c>
      <c r="S4" s="4" t="s">
        <v>93</v>
      </c>
      <c r="T4" s="4" t="s">
        <v>361</v>
      </c>
      <c r="U4" s="4">
        <v>0</v>
      </c>
      <c r="V4" s="4">
        <v>8</v>
      </c>
      <c r="W4" s="4">
        <v>63</v>
      </c>
    </row>
    <row r="5" spans="1:23" ht="11.25" customHeight="1" x14ac:dyDescent="0.25">
      <c r="A5" s="4" t="s">
        <v>28</v>
      </c>
      <c r="B5" s="4" t="s">
        <v>42</v>
      </c>
      <c r="C5" s="4" t="s">
        <v>34</v>
      </c>
      <c r="D5" s="4" t="s">
        <v>43</v>
      </c>
      <c r="E5" s="4" t="s">
        <v>25</v>
      </c>
      <c r="F5" s="4" t="s">
        <v>25</v>
      </c>
      <c r="G5" s="4" t="s">
        <v>25</v>
      </c>
      <c r="H5" s="4" t="s">
        <v>25</v>
      </c>
      <c r="I5" s="5">
        <v>44531</v>
      </c>
      <c r="J5" s="6">
        <v>636</v>
      </c>
      <c r="K5" s="6">
        <v>636</v>
      </c>
      <c r="L5" s="6">
        <v>0</v>
      </c>
      <c r="M5" s="6">
        <v>0</v>
      </c>
      <c r="N5" s="6">
        <v>0</v>
      </c>
      <c r="O5" s="6">
        <v>0</v>
      </c>
      <c r="P5" s="6">
        <v>6</v>
      </c>
      <c r="Q5" s="4" t="s">
        <v>26</v>
      </c>
      <c r="R5" s="4">
        <v>0</v>
      </c>
      <c r="S5" s="4" t="s">
        <v>94</v>
      </c>
      <c r="U5" s="4">
        <v>6</v>
      </c>
      <c r="V5" s="4">
        <v>0</v>
      </c>
      <c r="W5" s="4">
        <v>0</v>
      </c>
    </row>
    <row r="6" spans="1:23" ht="11.25" customHeight="1" x14ac:dyDescent="0.25">
      <c r="A6" s="4" t="s">
        <v>28</v>
      </c>
      <c r="B6" s="4" t="s">
        <v>42</v>
      </c>
      <c r="C6" s="4" t="s">
        <v>34</v>
      </c>
      <c r="D6" s="4" t="s">
        <v>43</v>
      </c>
      <c r="E6" s="4" t="s">
        <v>25</v>
      </c>
      <c r="F6" s="4" t="s">
        <v>25</v>
      </c>
      <c r="G6" s="4" t="s">
        <v>25</v>
      </c>
      <c r="H6" s="4" t="s">
        <v>25</v>
      </c>
      <c r="I6" s="5">
        <v>44562</v>
      </c>
      <c r="J6" s="6">
        <v>639</v>
      </c>
      <c r="K6" s="6">
        <v>639</v>
      </c>
      <c r="L6" s="6">
        <v>0</v>
      </c>
      <c r="M6" s="6">
        <v>0</v>
      </c>
      <c r="N6" s="6">
        <v>0</v>
      </c>
      <c r="O6" s="6">
        <v>0</v>
      </c>
      <c r="P6" s="6">
        <v>6</v>
      </c>
      <c r="Q6" s="4" t="s">
        <v>26</v>
      </c>
      <c r="R6" s="4">
        <v>0</v>
      </c>
      <c r="S6" s="4" t="s">
        <v>95</v>
      </c>
      <c r="U6" s="4">
        <v>6</v>
      </c>
      <c r="V6" s="4">
        <v>0</v>
      </c>
      <c r="W6" s="4">
        <v>0</v>
      </c>
    </row>
    <row r="7" spans="1:23" ht="11.25" customHeight="1" x14ac:dyDescent="0.25">
      <c r="A7" s="4" t="s">
        <v>28</v>
      </c>
      <c r="B7" s="4" t="s">
        <v>42</v>
      </c>
      <c r="C7" s="4" t="s">
        <v>34</v>
      </c>
      <c r="D7" s="4" t="s">
        <v>43</v>
      </c>
      <c r="E7" s="4" t="s">
        <v>25</v>
      </c>
      <c r="F7" s="4" t="s">
        <v>25</v>
      </c>
      <c r="G7" s="4" t="s">
        <v>25</v>
      </c>
      <c r="H7" s="4" t="s">
        <v>25</v>
      </c>
      <c r="I7" s="5">
        <v>44593</v>
      </c>
      <c r="J7" s="6">
        <v>632</v>
      </c>
      <c r="K7" s="6">
        <v>632</v>
      </c>
      <c r="L7" s="6">
        <v>0</v>
      </c>
      <c r="M7" s="6">
        <v>0</v>
      </c>
      <c r="N7" s="6">
        <v>0</v>
      </c>
      <c r="O7" s="6">
        <v>0</v>
      </c>
      <c r="P7" s="6">
        <v>6</v>
      </c>
      <c r="Q7" s="4" t="s">
        <v>26</v>
      </c>
      <c r="R7" s="4">
        <v>0</v>
      </c>
      <c r="S7" s="4" t="s">
        <v>96</v>
      </c>
      <c r="U7" s="4">
        <v>6</v>
      </c>
      <c r="V7" s="4">
        <v>0</v>
      </c>
      <c r="W7" s="4">
        <v>0</v>
      </c>
    </row>
    <row r="8" spans="1:23" ht="11.25" customHeight="1" x14ac:dyDescent="0.25">
      <c r="A8" s="4" t="s">
        <v>28</v>
      </c>
      <c r="B8" s="4" t="s">
        <v>42</v>
      </c>
      <c r="C8" s="4" t="s">
        <v>34</v>
      </c>
      <c r="D8" s="4" t="s">
        <v>43</v>
      </c>
      <c r="E8" s="4" t="s">
        <v>25</v>
      </c>
      <c r="F8" s="4" t="s">
        <v>25</v>
      </c>
      <c r="G8" s="4" t="s">
        <v>25</v>
      </c>
      <c r="H8" s="4" t="s">
        <v>25</v>
      </c>
      <c r="I8" s="5">
        <v>44621</v>
      </c>
      <c r="J8" s="6">
        <v>633</v>
      </c>
      <c r="K8" s="6">
        <v>633</v>
      </c>
      <c r="L8" s="6">
        <v>0</v>
      </c>
      <c r="M8" s="6">
        <v>0</v>
      </c>
      <c r="N8" s="6">
        <v>0</v>
      </c>
      <c r="O8" s="6">
        <v>0</v>
      </c>
      <c r="P8" s="6">
        <v>6</v>
      </c>
      <c r="Q8" s="4" t="s">
        <v>26</v>
      </c>
      <c r="R8" s="4">
        <v>0</v>
      </c>
      <c r="S8" s="4" t="s">
        <v>97</v>
      </c>
      <c r="U8" s="4">
        <v>6</v>
      </c>
      <c r="V8" s="4">
        <v>0</v>
      </c>
      <c r="W8" s="4">
        <v>0</v>
      </c>
    </row>
    <row r="9" spans="1:23" ht="11.25" customHeight="1" x14ac:dyDescent="0.25">
      <c r="A9" s="4" t="s">
        <v>28</v>
      </c>
      <c r="B9" s="4" t="s">
        <v>42</v>
      </c>
      <c r="C9" s="4" t="s">
        <v>34</v>
      </c>
      <c r="D9" s="4" t="s">
        <v>43</v>
      </c>
      <c r="E9" s="4" t="s">
        <v>25</v>
      </c>
      <c r="F9" s="4" t="s">
        <v>25</v>
      </c>
      <c r="G9" s="4" t="s">
        <v>25</v>
      </c>
      <c r="H9" s="4" t="s">
        <v>25</v>
      </c>
      <c r="I9" s="5">
        <v>44652</v>
      </c>
      <c r="J9" s="6">
        <v>631</v>
      </c>
      <c r="K9" s="6">
        <v>631</v>
      </c>
      <c r="L9" s="6">
        <v>0</v>
      </c>
      <c r="M9" s="6">
        <v>0</v>
      </c>
      <c r="N9" s="6">
        <v>0</v>
      </c>
      <c r="O9" s="6">
        <v>0</v>
      </c>
      <c r="P9" s="6">
        <v>6</v>
      </c>
      <c r="Q9" s="4" t="s">
        <v>26</v>
      </c>
      <c r="R9" s="4">
        <v>0</v>
      </c>
      <c r="S9" s="4" t="s">
        <v>98</v>
      </c>
      <c r="U9" s="4">
        <v>6</v>
      </c>
      <c r="V9" s="4">
        <v>0</v>
      </c>
      <c r="W9" s="4">
        <v>0</v>
      </c>
    </row>
    <row r="10" spans="1:23" ht="11.25" customHeight="1" x14ac:dyDescent="0.25">
      <c r="A10" s="4" t="s">
        <v>28</v>
      </c>
      <c r="B10" s="4" t="s">
        <v>42</v>
      </c>
      <c r="C10" s="4" t="s">
        <v>34</v>
      </c>
      <c r="D10" s="4" t="s">
        <v>43</v>
      </c>
      <c r="E10" s="4" t="s">
        <v>25</v>
      </c>
      <c r="F10" s="4" t="s">
        <v>25</v>
      </c>
      <c r="G10" s="4" t="s">
        <v>25</v>
      </c>
      <c r="H10" s="4" t="s">
        <v>25</v>
      </c>
      <c r="I10" s="5">
        <v>44682</v>
      </c>
      <c r="J10" s="6">
        <v>648</v>
      </c>
      <c r="K10" s="6">
        <v>648</v>
      </c>
      <c r="L10" s="6">
        <v>0</v>
      </c>
      <c r="M10" s="6">
        <v>0</v>
      </c>
      <c r="N10" s="6">
        <v>0</v>
      </c>
      <c r="O10" s="6">
        <v>0</v>
      </c>
      <c r="P10" s="6">
        <v>6</v>
      </c>
      <c r="Q10" s="4" t="s">
        <v>26</v>
      </c>
      <c r="R10" s="4">
        <v>0</v>
      </c>
      <c r="S10" s="4" t="s">
        <v>99</v>
      </c>
      <c r="U10" s="4">
        <v>6</v>
      </c>
      <c r="V10" s="4">
        <v>0</v>
      </c>
      <c r="W10" s="4">
        <v>0</v>
      </c>
    </row>
    <row r="11" spans="1:23" ht="11.25" customHeight="1" x14ac:dyDescent="0.25">
      <c r="A11" s="4" t="s">
        <v>28</v>
      </c>
      <c r="B11" s="4" t="s">
        <v>42</v>
      </c>
      <c r="C11" s="4" t="s">
        <v>34</v>
      </c>
      <c r="D11" s="4" t="s">
        <v>43</v>
      </c>
      <c r="E11" s="4" t="s">
        <v>25</v>
      </c>
      <c r="F11" s="4" t="s">
        <v>25</v>
      </c>
      <c r="G11" s="4" t="s">
        <v>25</v>
      </c>
      <c r="H11" s="4" t="s">
        <v>37</v>
      </c>
      <c r="I11" s="5">
        <v>44562</v>
      </c>
      <c r="J11" s="6">
        <v>0</v>
      </c>
      <c r="K11" s="6">
        <v>0</v>
      </c>
      <c r="L11" s="6">
        <v>3.0000000000000001E-3</v>
      </c>
      <c r="M11" s="6">
        <v>3.0000000000000001E-3</v>
      </c>
      <c r="N11" s="6">
        <v>3.0000000000000001E-3</v>
      </c>
      <c r="O11" s="6">
        <v>3.0000000000000001E-3</v>
      </c>
      <c r="P11" s="6">
        <v>0</v>
      </c>
      <c r="Q11" s="4" t="s">
        <v>26</v>
      </c>
      <c r="R11" s="4">
        <v>0</v>
      </c>
      <c r="S11" s="4" t="s">
        <v>100</v>
      </c>
      <c r="T11" s="4" t="s">
        <v>366</v>
      </c>
      <c r="U11" s="4">
        <v>0</v>
      </c>
      <c r="V11" s="4">
        <v>7</v>
      </c>
      <c r="W11" s="4">
        <v>62</v>
      </c>
    </row>
    <row r="12" spans="1:23" ht="11.25" customHeight="1" x14ac:dyDescent="0.25">
      <c r="A12" s="4" t="s">
        <v>28</v>
      </c>
      <c r="B12" s="4" t="s">
        <v>42</v>
      </c>
      <c r="C12" s="4" t="s">
        <v>34</v>
      </c>
      <c r="D12" s="4" t="s">
        <v>43</v>
      </c>
      <c r="E12" s="4" t="s">
        <v>25</v>
      </c>
      <c r="F12" s="4" t="s">
        <v>25</v>
      </c>
      <c r="G12" s="4" t="s">
        <v>25</v>
      </c>
      <c r="H12" s="4" t="s">
        <v>37</v>
      </c>
      <c r="I12" s="5">
        <v>44593</v>
      </c>
      <c r="J12" s="6">
        <v>0</v>
      </c>
      <c r="K12" s="6">
        <v>0</v>
      </c>
      <c r="L12" s="6">
        <v>2E-3</v>
      </c>
      <c r="M12" s="6">
        <v>2E-3</v>
      </c>
      <c r="N12" s="6">
        <v>2E-3</v>
      </c>
      <c r="O12" s="6">
        <v>2E-3</v>
      </c>
      <c r="P12" s="6">
        <v>0</v>
      </c>
      <c r="Q12" s="4" t="s">
        <v>26</v>
      </c>
      <c r="R12" s="4">
        <v>0</v>
      </c>
      <c r="S12" s="4" t="s">
        <v>101</v>
      </c>
      <c r="T12" s="4" t="s">
        <v>367</v>
      </c>
      <c r="U12" s="4">
        <v>0</v>
      </c>
      <c r="V12" s="4">
        <v>7</v>
      </c>
      <c r="W12" s="4">
        <v>62</v>
      </c>
    </row>
    <row r="13" spans="1:23" ht="11.25" customHeight="1" x14ac:dyDescent="0.25">
      <c r="A13" s="4" t="s">
        <v>28</v>
      </c>
      <c r="B13" s="4" t="s">
        <v>42</v>
      </c>
      <c r="C13" s="4" t="s">
        <v>34</v>
      </c>
      <c r="D13" s="4" t="s">
        <v>43</v>
      </c>
      <c r="E13" s="4" t="s">
        <v>25</v>
      </c>
      <c r="F13" s="4" t="s">
        <v>25</v>
      </c>
      <c r="G13" s="4" t="s">
        <v>25</v>
      </c>
      <c r="H13" s="4" t="s">
        <v>37</v>
      </c>
      <c r="I13" s="5">
        <v>44621</v>
      </c>
      <c r="J13" s="6">
        <v>0</v>
      </c>
      <c r="K13" s="6">
        <v>0</v>
      </c>
      <c r="L13" s="6">
        <v>1E-3</v>
      </c>
      <c r="M13" s="6">
        <v>1E-3</v>
      </c>
      <c r="N13" s="6">
        <v>1E-3</v>
      </c>
      <c r="O13" s="6">
        <v>1E-3</v>
      </c>
      <c r="P13" s="6">
        <v>0</v>
      </c>
      <c r="Q13" s="4" t="s">
        <v>26</v>
      </c>
      <c r="R13" s="4">
        <v>0</v>
      </c>
      <c r="S13" s="4" t="s">
        <v>102</v>
      </c>
      <c r="T13" s="4" t="s">
        <v>368</v>
      </c>
      <c r="U13" s="4">
        <v>0</v>
      </c>
      <c r="V13" s="4">
        <v>7</v>
      </c>
      <c r="W13" s="4">
        <v>62</v>
      </c>
    </row>
    <row r="14" spans="1:23" ht="11.25" customHeight="1" x14ac:dyDescent="0.25">
      <c r="A14" s="4" t="s">
        <v>28</v>
      </c>
      <c r="B14" s="4" t="s">
        <v>42</v>
      </c>
      <c r="C14" s="4" t="s">
        <v>34</v>
      </c>
      <c r="D14" s="4" t="s">
        <v>43</v>
      </c>
      <c r="E14" s="4" t="s">
        <v>25</v>
      </c>
      <c r="F14" s="4" t="s">
        <v>25</v>
      </c>
      <c r="G14" s="4" t="s">
        <v>25</v>
      </c>
      <c r="H14" s="4" t="s">
        <v>37</v>
      </c>
      <c r="I14" s="5">
        <v>44652</v>
      </c>
      <c r="J14" s="6">
        <v>0</v>
      </c>
      <c r="K14" s="6">
        <v>0</v>
      </c>
      <c r="L14" s="6">
        <v>1E-3</v>
      </c>
      <c r="M14" s="6">
        <v>1E-3</v>
      </c>
      <c r="N14" s="6">
        <v>1E-3</v>
      </c>
      <c r="O14" s="6">
        <v>1E-3</v>
      </c>
      <c r="P14" s="6">
        <v>0</v>
      </c>
      <c r="Q14" s="4" t="s">
        <v>26</v>
      </c>
      <c r="R14" s="4">
        <v>0</v>
      </c>
      <c r="S14" s="4" t="s">
        <v>103</v>
      </c>
      <c r="T14" s="4" t="s">
        <v>369</v>
      </c>
      <c r="U14" s="4">
        <v>0</v>
      </c>
      <c r="V14" s="4">
        <v>7</v>
      </c>
      <c r="W14" s="4">
        <v>62</v>
      </c>
    </row>
    <row r="15" spans="1:23" ht="11.25" customHeight="1" x14ac:dyDescent="0.25">
      <c r="A15" s="4" t="s">
        <v>21</v>
      </c>
      <c r="B15" s="4" t="s">
        <v>42</v>
      </c>
      <c r="C15" s="4" t="s">
        <v>34</v>
      </c>
      <c r="D15" s="4" t="s">
        <v>40</v>
      </c>
      <c r="E15" s="4" t="s">
        <v>25</v>
      </c>
      <c r="F15" s="4" t="s">
        <v>54</v>
      </c>
      <c r="G15" s="4" t="s">
        <v>25</v>
      </c>
      <c r="H15" s="4" t="s">
        <v>35</v>
      </c>
      <c r="I15" s="5">
        <v>44348</v>
      </c>
      <c r="J15" s="6">
        <v>0</v>
      </c>
      <c r="K15" s="6">
        <v>0</v>
      </c>
      <c r="L15" s="6">
        <v>376.49400000000003</v>
      </c>
      <c r="M15" s="6">
        <v>376.49400000000003</v>
      </c>
      <c r="N15" s="6">
        <v>0</v>
      </c>
      <c r="O15" s="6">
        <v>0</v>
      </c>
      <c r="P15" s="6">
        <v>0</v>
      </c>
      <c r="Q15" s="4" t="s">
        <v>53</v>
      </c>
      <c r="R15" s="4">
        <v>0</v>
      </c>
      <c r="S15" s="4" t="s">
        <v>104</v>
      </c>
      <c r="U15" s="4">
        <v>0</v>
      </c>
      <c r="V15" s="4">
        <v>8</v>
      </c>
      <c r="W15" s="4">
        <v>0</v>
      </c>
    </row>
    <row r="16" spans="1:23" ht="11.25" customHeight="1" x14ac:dyDescent="0.25">
      <c r="A16" s="4" t="s">
        <v>21</v>
      </c>
      <c r="B16" s="4" t="s">
        <v>42</v>
      </c>
      <c r="C16" s="4" t="s">
        <v>34</v>
      </c>
      <c r="D16" s="4" t="s">
        <v>40</v>
      </c>
      <c r="E16" s="4" t="s">
        <v>25</v>
      </c>
      <c r="F16" s="4" t="s">
        <v>54</v>
      </c>
      <c r="G16" s="4" t="s">
        <v>25</v>
      </c>
      <c r="H16" s="4" t="s">
        <v>35</v>
      </c>
      <c r="I16" s="5">
        <v>44378</v>
      </c>
      <c r="J16" s="6">
        <v>0</v>
      </c>
      <c r="K16" s="6">
        <v>0</v>
      </c>
      <c r="L16" s="6">
        <v>381.70499999999998</v>
      </c>
      <c r="M16" s="6">
        <v>381.70499999999998</v>
      </c>
      <c r="N16" s="6">
        <v>0</v>
      </c>
      <c r="O16" s="6">
        <v>0</v>
      </c>
      <c r="P16" s="6">
        <v>0</v>
      </c>
      <c r="Q16" s="4" t="s">
        <v>53</v>
      </c>
      <c r="R16" s="4">
        <v>0</v>
      </c>
      <c r="S16" s="4" t="s">
        <v>105</v>
      </c>
      <c r="U16" s="4">
        <v>0</v>
      </c>
      <c r="V16" s="4">
        <v>8</v>
      </c>
      <c r="W16" s="4">
        <v>0</v>
      </c>
    </row>
    <row r="17" spans="1:23" ht="11.25" customHeight="1" x14ac:dyDescent="0.25">
      <c r="A17" s="4" t="s">
        <v>21</v>
      </c>
      <c r="B17" s="4" t="s">
        <v>42</v>
      </c>
      <c r="C17" s="4" t="s">
        <v>34</v>
      </c>
      <c r="D17" s="4" t="s">
        <v>40</v>
      </c>
      <c r="E17" s="4" t="s">
        <v>25</v>
      </c>
      <c r="F17" s="4" t="s">
        <v>54</v>
      </c>
      <c r="G17" s="4" t="s">
        <v>25</v>
      </c>
      <c r="H17" s="4" t="s">
        <v>35</v>
      </c>
      <c r="I17" s="5">
        <v>44409</v>
      </c>
      <c r="J17" s="6">
        <v>0</v>
      </c>
      <c r="K17" s="6">
        <v>0</v>
      </c>
      <c r="L17" s="6">
        <v>336.59899999999999</v>
      </c>
      <c r="M17" s="6">
        <v>336.59899999999999</v>
      </c>
      <c r="N17" s="6">
        <v>0</v>
      </c>
      <c r="O17" s="6">
        <v>0</v>
      </c>
      <c r="P17" s="6">
        <v>0</v>
      </c>
      <c r="Q17" s="4" t="s">
        <v>53</v>
      </c>
      <c r="R17" s="4">
        <v>0</v>
      </c>
      <c r="S17" s="4" t="s">
        <v>106</v>
      </c>
      <c r="U17" s="4">
        <v>0</v>
      </c>
      <c r="V17" s="4">
        <v>8</v>
      </c>
      <c r="W17" s="4">
        <v>0</v>
      </c>
    </row>
    <row r="18" spans="1:23" ht="11.25" customHeight="1" x14ac:dyDescent="0.25">
      <c r="A18" s="4" t="s">
        <v>21</v>
      </c>
      <c r="B18" s="4" t="s">
        <v>42</v>
      </c>
      <c r="C18" s="4" t="s">
        <v>34</v>
      </c>
      <c r="D18" s="4" t="s">
        <v>40</v>
      </c>
      <c r="E18" s="4" t="s">
        <v>25</v>
      </c>
      <c r="F18" s="4" t="s">
        <v>54</v>
      </c>
      <c r="G18" s="4" t="s">
        <v>25</v>
      </c>
      <c r="H18" s="4" t="s">
        <v>35</v>
      </c>
      <c r="I18" s="5">
        <v>44440</v>
      </c>
      <c r="J18" s="6">
        <v>0</v>
      </c>
      <c r="K18" s="6">
        <v>0</v>
      </c>
      <c r="L18" s="6">
        <v>346.28800000000001</v>
      </c>
      <c r="M18" s="6">
        <v>346.28800000000001</v>
      </c>
      <c r="N18" s="6">
        <v>0</v>
      </c>
      <c r="O18" s="6">
        <v>0</v>
      </c>
      <c r="P18" s="6">
        <v>0</v>
      </c>
      <c r="Q18" s="4" t="s">
        <v>53</v>
      </c>
      <c r="R18" s="4">
        <v>0</v>
      </c>
      <c r="S18" s="4" t="s">
        <v>107</v>
      </c>
      <c r="U18" s="4">
        <v>0</v>
      </c>
      <c r="V18" s="4">
        <v>8</v>
      </c>
      <c r="W18" s="4">
        <v>0</v>
      </c>
    </row>
    <row r="19" spans="1:23" ht="11.25" customHeight="1" x14ac:dyDescent="0.25">
      <c r="A19" s="4" t="s">
        <v>21</v>
      </c>
      <c r="B19" s="4" t="s">
        <v>42</v>
      </c>
      <c r="C19" s="4" t="s">
        <v>34</v>
      </c>
      <c r="D19" s="4" t="s">
        <v>40</v>
      </c>
      <c r="E19" s="4" t="s">
        <v>25</v>
      </c>
      <c r="F19" s="4" t="s">
        <v>54</v>
      </c>
      <c r="G19" s="4" t="s">
        <v>25</v>
      </c>
      <c r="H19" s="4" t="s">
        <v>35</v>
      </c>
      <c r="I19" s="5">
        <v>44470</v>
      </c>
      <c r="J19" s="6">
        <v>0</v>
      </c>
      <c r="K19" s="6">
        <v>0</v>
      </c>
      <c r="L19" s="6">
        <v>373.08699999999999</v>
      </c>
      <c r="M19" s="6">
        <v>373.08699999999999</v>
      </c>
      <c r="N19" s="6">
        <v>0</v>
      </c>
      <c r="O19" s="6">
        <v>0</v>
      </c>
      <c r="P19" s="6">
        <v>0</v>
      </c>
      <c r="Q19" s="4" t="s">
        <v>53</v>
      </c>
      <c r="R19" s="4">
        <v>0</v>
      </c>
      <c r="S19" s="4" t="s">
        <v>108</v>
      </c>
      <c r="U19" s="4">
        <v>0</v>
      </c>
      <c r="V19" s="4">
        <v>8</v>
      </c>
      <c r="W19" s="4">
        <v>0</v>
      </c>
    </row>
    <row r="20" spans="1:23" ht="11.25" customHeight="1" x14ac:dyDescent="0.25">
      <c r="A20" s="4" t="s">
        <v>21</v>
      </c>
      <c r="B20" s="4" t="s">
        <v>42</v>
      </c>
      <c r="C20" s="4" t="s">
        <v>34</v>
      </c>
      <c r="D20" s="4" t="s">
        <v>40</v>
      </c>
      <c r="E20" s="4" t="s">
        <v>25</v>
      </c>
      <c r="F20" s="4" t="s">
        <v>54</v>
      </c>
      <c r="G20" s="4" t="s">
        <v>25</v>
      </c>
      <c r="H20" s="4" t="s">
        <v>35</v>
      </c>
      <c r="I20" s="5">
        <v>44501</v>
      </c>
      <c r="J20" s="6">
        <v>0</v>
      </c>
      <c r="K20" s="6">
        <v>0</v>
      </c>
      <c r="L20" s="6">
        <v>314.17099999999999</v>
      </c>
      <c r="M20" s="6">
        <v>314.17099999999999</v>
      </c>
      <c r="N20" s="6">
        <v>0</v>
      </c>
      <c r="O20" s="6">
        <v>0</v>
      </c>
      <c r="P20" s="6">
        <v>0</v>
      </c>
      <c r="Q20" s="4" t="s">
        <v>53</v>
      </c>
      <c r="R20" s="4">
        <v>0</v>
      </c>
      <c r="S20" s="4" t="s">
        <v>109</v>
      </c>
      <c r="U20" s="4">
        <v>0</v>
      </c>
      <c r="V20" s="4">
        <v>8</v>
      </c>
      <c r="W20" s="4">
        <v>0</v>
      </c>
    </row>
    <row r="21" spans="1:23" ht="11.25" customHeight="1" x14ac:dyDescent="0.25">
      <c r="A21" s="4" t="s">
        <v>21</v>
      </c>
      <c r="B21" s="4" t="s">
        <v>42</v>
      </c>
      <c r="C21" s="4" t="s">
        <v>34</v>
      </c>
      <c r="D21" s="4" t="s">
        <v>40</v>
      </c>
      <c r="E21" s="4" t="s">
        <v>25</v>
      </c>
      <c r="F21" s="4" t="s">
        <v>54</v>
      </c>
      <c r="G21" s="4" t="s">
        <v>25</v>
      </c>
      <c r="H21" s="4" t="s">
        <v>35</v>
      </c>
      <c r="I21" s="5">
        <v>44531</v>
      </c>
      <c r="J21" s="6">
        <v>0</v>
      </c>
      <c r="K21" s="6">
        <v>0</v>
      </c>
      <c r="L21" s="6">
        <v>296.71800000000002</v>
      </c>
      <c r="M21" s="6">
        <v>296.71800000000002</v>
      </c>
      <c r="N21" s="6">
        <v>0</v>
      </c>
      <c r="O21" s="6">
        <v>0</v>
      </c>
      <c r="P21" s="6">
        <v>0</v>
      </c>
      <c r="Q21" s="4" t="s">
        <v>53</v>
      </c>
      <c r="R21" s="4">
        <v>0</v>
      </c>
      <c r="S21" s="4" t="s">
        <v>110</v>
      </c>
      <c r="U21" s="4">
        <v>0</v>
      </c>
      <c r="V21" s="4">
        <v>8</v>
      </c>
      <c r="W21" s="4">
        <v>0</v>
      </c>
    </row>
    <row r="22" spans="1:23" ht="11.25" customHeight="1" x14ac:dyDescent="0.25">
      <c r="A22" s="4" t="s">
        <v>21</v>
      </c>
      <c r="B22" s="4" t="s">
        <v>42</v>
      </c>
      <c r="C22" s="4" t="s">
        <v>34</v>
      </c>
      <c r="D22" s="4" t="s">
        <v>40</v>
      </c>
      <c r="E22" s="4" t="s">
        <v>25</v>
      </c>
      <c r="F22" s="4" t="s">
        <v>54</v>
      </c>
      <c r="G22" s="4" t="s">
        <v>25</v>
      </c>
      <c r="H22" s="4" t="s">
        <v>35</v>
      </c>
      <c r="I22" s="5">
        <v>44562</v>
      </c>
      <c r="J22" s="6">
        <v>0</v>
      </c>
      <c r="K22" s="6">
        <v>0</v>
      </c>
      <c r="L22" s="6">
        <v>302.404</v>
      </c>
      <c r="M22" s="6">
        <v>302.404</v>
      </c>
      <c r="N22" s="6">
        <v>0</v>
      </c>
      <c r="O22" s="6">
        <v>0</v>
      </c>
      <c r="P22" s="6">
        <v>0</v>
      </c>
      <c r="Q22" s="4" t="s">
        <v>53</v>
      </c>
      <c r="R22" s="4">
        <v>0</v>
      </c>
      <c r="S22" s="4" t="s">
        <v>91</v>
      </c>
      <c r="U22" s="4">
        <v>0</v>
      </c>
      <c r="V22" s="4">
        <v>8</v>
      </c>
      <c r="W22" s="4">
        <v>0</v>
      </c>
    </row>
    <row r="23" spans="1:23" ht="11.25" customHeight="1" x14ac:dyDescent="0.25">
      <c r="A23" s="4" t="s">
        <v>21</v>
      </c>
      <c r="B23" s="4" t="s">
        <v>42</v>
      </c>
      <c r="C23" s="4" t="s">
        <v>34</v>
      </c>
      <c r="D23" s="4" t="s">
        <v>40</v>
      </c>
      <c r="E23" s="4" t="s">
        <v>25</v>
      </c>
      <c r="F23" s="4" t="s">
        <v>54</v>
      </c>
      <c r="G23" s="4" t="s">
        <v>25</v>
      </c>
      <c r="H23" s="4" t="s">
        <v>35</v>
      </c>
      <c r="I23" s="5">
        <v>44593</v>
      </c>
      <c r="J23" s="6">
        <v>0</v>
      </c>
      <c r="K23" s="6">
        <v>0</v>
      </c>
      <c r="L23" s="6">
        <v>309.673</v>
      </c>
      <c r="M23" s="6">
        <v>309.673</v>
      </c>
      <c r="N23" s="6">
        <v>0</v>
      </c>
      <c r="O23" s="6">
        <v>0</v>
      </c>
      <c r="P23" s="6">
        <v>0</v>
      </c>
      <c r="Q23" s="4" t="s">
        <v>53</v>
      </c>
      <c r="R23" s="4">
        <v>0</v>
      </c>
      <c r="S23" s="4" t="s">
        <v>111</v>
      </c>
      <c r="U23" s="4">
        <v>0</v>
      </c>
      <c r="V23" s="4">
        <v>8</v>
      </c>
      <c r="W23" s="4">
        <v>0</v>
      </c>
    </row>
    <row r="24" spans="1:23" ht="11.25" customHeight="1" x14ac:dyDescent="0.25">
      <c r="A24" s="4" t="s">
        <v>21</v>
      </c>
      <c r="B24" s="4" t="s">
        <v>42</v>
      </c>
      <c r="C24" s="4" t="s">
        <v>34</v>
      </c>
      <c r="D24" s="4" t="s">
        <v>40</v>
      </c>
      <c r="E24" s="4" t="s">
        <v>25</v>
      </c>
      <c r="F24" s="4" t="s">
        <v>54</v>
      </c>
      <c r="G24" s="4" t="s">
        <v>25</v>
      </c>
      <c r="H24" s="4" t="s">
        <v>35</v>
      </c>
      <c r="I24" s="5">
        <v>44621</v>
      </c>
      <c r="J24" s="6">
        <v>0</v>
      </c>
      <c r="K24" s="6">
        <v>0</v>
      </c>
      <c r="L24" s="6">
        <v>315.755</v>
      </c>
      <c r="M24" s="6">
        <v>315.755</v>
      </c>
      <c r="N24" s="6">
        <v>0</v>
      </c>
      <c r="O24" s="6">
        <v>0</v>
      </c>
      <c r="P24" s="6">
        <v>0</v>
      </c>
      <c r="Q24" s="4" t="s">
        <v>53</v>
      </c>
      <c r="R24" s="4">
        <v>0</v>
      </c>
      <c r="S24" s="4" t="s">
        <v>92</v>
      </c>
      <c r="U24" s="4">
        <v>0</v>
      </c>
      <c r="V24" s="4">
        <v>8</v>
      </c>
      <c r="W24" s="4">
        <v>0</v>
      </c>
    </row>
    <row r="25" spans="1:23" ht="11.25" customHeight="1" x14ac:dyDescent="0.25">
      <c r="A25" s="4" t="s">
        <v>21</v>
      </c>
      <c r="B25" s="4" t="s">
        <v>42</v>
      </c>
      <c r="C25" s="4" t="s">
        <v>34</v>
      </c>
      <c r="D25" s="4" t="s">
        <v>40</v>
      </c>
      <c r="E25" s="4" t="s">
        <v>25</v>
      </c>
      <c r="F25" s="4" t="s">
        <v>54</v>
      </c>
      <c r="G25" s="4" t="s">
        <v>25</v>
      </c>
      <c r="H25" s="4" t="s">
        <v>35</v>
      </c>
      <c r="I25" s="5">
        <v>44652</v>
      </c>
      <c r="J25" s="6">
        <v>0</v>
      </c>
      <c r="K25" s="6">
        <v>0</v>
      </c>
      <c r="L25" s="6">
        <v>367.464</v>
      </c>
      <c r="M25" s="6">
        <v>367.464</v>
      </c>
      <c r="N25" s="6">
        <v>0</v>
      </c>
      <c r="O25" s="6">
        <v>0</v>
      </c>
      <c r="P25" s="6">
        <v>0</v>
      </c>
      <c r="Q25" s="4" t="s">
        <v>53</v>
      </c>
      <c r="R25" s="4">
        <v>0</v>
      </c>
      <c r="S25" s="4" t="s">
        <v>93</v>
      </c>
      <c r="U25" s="4">
        <v>0</v>
      </c>
      <c r="V25" s="4">
        <v>8</v>
      </c>
      <c r="W25" s="4">
        <v>0</v>
      </c>
    </row>
    <row r="26" spans="1:23" ht="11.25" customHeight="1" x14ac:dyDescent="0.25">
      <c r="A26" s="4" t="s">
        <v>21</v>
      </c>
      <c r="B26" s="4" t="s">
        <v>42</v>
      </c>
      <c r="C26" s="4" t="s">
        <v>34</v>
      </c>
      <c r="D26" s="4" t="s">
        <v>40</v>
      </c>
      <c r="E26" s="4" t="s">
        <v>25</v>
      </c>
      <c r="F26" s="4" t="s">
        <v>54</v>
      </c>
      <c r="G26" s="4" t="s">
        <v>25</v>
      </c>
      <c r="H26" s="4" t="s">
        <v>35</v>
      </c>
      <c r="I26" s="5">
        <v>44682</v>
      </c>
      <c r="J26" s="6">
        <v>0</v>
      </c>
      <c r="K26" s="6">
        <v>0</v>
      </c>
      <c r="L26" s="6">
        <v>918.67</v>
      </c>
      <c r="M26" s="6">
        <v>918.67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4" t="s">
        <v>112</v>
      </c>
      <c r="U26" s="4">
        <v>0</v>
      </c>
      <c r="V26" s="4">
        <v>8</v>
      </c>
      <c r="W26" s="4">
        <v>0</v>
      </c>
    </row>
    <row r="27" spans="1:23" ht="11.25" customHeight="1" x14ac:dyDescent="0.25">
      <c r="A27" s="4" t="s">
        <v>21</v>
      </c>
      <c r="B27" s="4" t="s">
        <v>42</v>
      </c>
      <c r="C27" s="4" t="s">
        <v>34</v>
      </c>
      <c r="D27" s="4" t="s">
        <v>40</v>
      </c>
      <c r="E27" s="4" t="s">
        <v>25</v>
      </c>
      <c r="F27" s="4" t="s">
        <v>54</v>
      </c>
      <c r="G27" s="4" t="s">
        <v>25</v>
      </c>
      <c r="H27" s="4" t="s">
        <v>25</v>
      </c>
      <c r="I27" s="5">
        <v>44348</v>
      </c>
      <c r="J27" s="6">
        <v>2450</v>
      </c>
      <c r="K27" s="6">
        <v>1225</v>
      </c>
      <c r="L27" s="6">
        <v>0</v>
      </c>
      <c r="M27" s="6">
        <v>0</v>
      </c>
      <c r="N27" s="6">
        <v>0</v>
      </c>
      <c r="O27" s="6">
        <v>0</v>
      </c>
      <c r="P27" s="6">
        <v>2</v>
      </c>
      <c r="Q27" s="4" t="s">
        <v>53</v>
      </c>
      <c r="R27" s="4">
        <v>0</v>
      </c>
      <c r="S27" s="4" t="s">
        <v>113</v>
      </c>
      <c r="U27" s="4">
        <v>6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42</v>
      </c>
      <c r="C28" s="4" t="s">
        <v>34</v>
      </c>
      <c r="D28" s="4" t="s">
        <v>40</v>
      </c>
      <c r="E28" s="4" t="s">
        <v>25</v>
      </c>
      <c r="F28" s="4" t="s">
        <v>54</v>
      </c>
      <c r="G28" s="4" t="s">
        <v>25</v>
      </c>
      <c r="H28" s="4" t="s">
        <v>25</v>
      </c>
      <c r="I28" s="5">
        <v>44378</v>
      </c>
      <c r="J28" s="6">
        <v>2450</v>
      </c>
      <c r="K28" s="6">
        <v>1225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53</v>
      </c>
      <c r="R28" s="4">
        <v>0</v>
      </c>
      <c r="S28" s="4" t="s">
        <v>114</v>
      </c>
      <c r="U28" s="4">
        <v>6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42</v>
      </c>
      <c r="C29" s="4" t="s">
        <v>34</v>
      </c>
      <c r="D29" s="4" t="s">
        <v>40</v>
      </c>
      <c r="E29" s="4" t="s">
        <v>25</v>
      </c>
      <c r="F29" s="4" t="s">
        <v>54</v>
      </c>
      <c r="G29" s="4" t="s">
        <v>25</v>
      </c>
      <c r="H29" s="4" t="s">
        <v>25</v>
      </c>
      <c r="I29" s="5">
        <v>44409</v>
      </c>
      <c r="J29" s="6">
        <v>2450</v>
      </c>
      <c r="K29" s="6">
        <v>1225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4" t="s">
        <v>53</v>
      </c>
      <c r="R29" s="4">
        <v>0</v>
      </c>
      <c r="S29" s="4" t="s">
        <v>115</v>
      </c>
      <c r="U29" s="4">
        <v>6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42</v>
      </c>
      <c r="C30" s="4" t="s">
        <v>34</v>
      </c>
      <c r="D30" s="4" t="s">
        <v>40</v>
      </c>
      <c r="E30" s="4" t="s">
        <v>25</v>
      </c>
      <c r="F30" s="4" t="s">
        <v>54</v>
      </c>
      <c r="G30" s="4" t="s">
        <v>25</v>
      </c>
      <c r="H30" s="4" t="s">
        <v>25</v>
      </c>
      <c r="I30" s="5">
        <v>44440</v>
      </c>
      <c r="J30" s="6">
        <v>2462</v>
      </c>
      <c r="K30" s="6">
        <v>1231</v>
      </c>
      <c r="L30" s="6">
        <v>0</v>
      </c>
      <c r="M30" s="6">
        <v>0</v>
      </c>
      <c r="N30" s="6">
        <v>0</v>
      </c>
      <c r="O30" s="6">
        <v>0</v>
      </c>
      <c r="P30" s="6">
        <v>2</v>
      </c>
      <c r="Q30" s="4" t="s">
        <v>53</v>
      </c>
      <c r="R30" s="4">
        <v>0</v>
      </c>
      <c r="S30" s="4" t="s">
        <v>116</v>
      </c>
      <c r="U30" s="4">
        <v>6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42</v>
      </c>
      <c r="C31" s="4" t="s">
        <v>34</v>
      </c>
      <c r="D31" s="4" t="s">
        <v>40</v>
      </c>
      <c r="E31" s="4" t="s">
        <v>25</v>
      </c>
      <c r="F31" s="4" t="s">
        <v>54</v>
      </c>
      <c r="G31" s="4" t="s">
        <v>25</v>
      </c>
      <c r="H31" s="4" t="s">
        <v>25</v>
      </c>
      <c r="I31" s="5">
        <v>44470</v>
      </c>
      <c r="J31" s="6">
        <v>2450</v>
      </c>
      <c r="K31" s="6">
        <v>1225</v>
      </c>
      <c r="L31" s="6">
        <v>0</v>
      </c>
      <c r="M31" s="6">
        <v>0</v>
      </c>
      <c r="N31" s="6">
        <v>0</v>
      </c>
      <c r="O31" s="6">
        <v>0</v>
      </c>
      <c r="P31" s="6">
        <v>2</v>
      </c>
      <c r="Q31" s="4" t="s">
        <v>53</v>
      </c>
      <c r="R31" s="4">
        <v>0</v>
      </c>
      <c r="S31" s="4" t="s">
        <v>117</v>
      </c>
      <c r="U31" s="4">
        <v>6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42</v>
      </c>
      <c r="C32" s="4" t="s">
        <v>34</v>
      </c>
      <c r="D32" s="4" t="s">
        <v>40</v>
      </c>
      <c r="E32" s="4" t="s">
        <v>25</v>
      </c>
      <c r="F32" s="4" t="s">
        <v>54</v>
      </c>
      <c r="G32" s="4" t="s">
        <v>25</v>
      </c>
      <c r="H32" s="4" t="s">
        <v>25</v>
      </c>
      <c r="I32" s="5">
        <v>44501</v>
      </c>
      <c r="J32" s="6">
        <v>2450</v>
      </c>
      <c r="K32" s="6">
        <v>1225</v>
      </c>
      <c r="L32" s="6">
        <v>0</v>
      </c>
      <c r="M32" s="6">
        <v>0</v>
      </c>
      <c r="N32" s="6">
        <v>0</v>
      </c>
      <c r="O32" s="6">
        <v>0</v>
      </c>
      <c r="P32" s="6">
        <v>2</v>
      </c>
      <c r="Q32" s="4" t="s">
        <v>53</v>
      </c>
      <c r="R32" s="4">
        <v>0</v>
      </c>
      <c r="S32" s="4" t="s">
        <v>118</v>
      </c>
      <c r="U32" s="4">
        <v>6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42</v>
      </c>
      <c r="C33" s="4" t="s">
        <v>34</v>
      </c>
      <c r="D33" s="4" t="s">
        <v>40</v>
      </c>
      <c r="E33" s="4" t="s">
        <v>25</v>
      </c>
      <c r="F33" s="4" t="s">
        <v>54</v>
      </c>
      <c r="G33" s="4" t="s">
        <v>25</v>
      </c>
      <c r="H33" s="4" t="s">
        <v>25</v>
      </c>
      <c r="I33" s="5">
        <v>44531</v>
      </c>
      <c r="J33" s="6">
        <v>2450</v>
      </c>
      <c r="K33" s="6">
        <v>1225</v>
      </c>
      <c r="L33" s="6">
        <v>0</v>
      </c>
      <c r="M33" s="6">
        <v>0</v>
      </c>
      <c r="N33" s="6">
        <v>0</v>
      </c>
      <c r="O33" s="6">
        <v>0</v>
      </c>
      <c r="P33" s="6">
        <v>2</v>
      </c>
      <c r="Q33" s="4" t="s">
        <v>53</v>
      </c>
      <c r="R33" s="4">
        <v>0</v>
      </c>
      <c r="S33" s="4" t="s">
        <v>94</v>
      </c>
      <c r="U33" s="4">
        <v>6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42</v>
      </c>
      <c r="C34" s="4" t="s">
        <v>34</v>
      </c>
      <c r="D34" s="4" t="s">
        <v>40</v>
      </c>
      <c r="E34" s="4" t="s">
        <v>25</v>
      </c>
      <c r="F34" s="4" t="s">
        <v>54</v>
      </c>
      <c r="G34" s="4" t="s">
        <v>25</v>
      </c>
      <c r="H34" s="4" t="s">
        <v>25</v>
      </c>
      <c r="I34" s="5">
        <v>44562</v>
      </c>
      <c r="J34" s="6">
        <v>2450</v>
      </c>
      <c r="K34" s="6">
        <v>1225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4" t="s">
        <v>53</v>
      </c>
      <c r="R34" s="4">
        <v>0</v>
      </c>
      <c r="S34" s="4" t="s">
        <v>95</v>
      </c>
      <c r="U34" s="4">
        <v>6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42</v>
      </c>
      <c r="C35" s="4" t="s">
        <v>34</v>
      </c>
      <c r="D35" s="4" t="s">
        <v>40</v>
      </c>
      <c r="E35" s="4" t="s">
        <v>25</v>
      </c>
      <c r="F35" s="4" t="s">
        <v>54</v>
      </c>
      <c r="G35" s="4" t="s">
        <v>25</v>
      </c>
      <c r="H35" s="4" t="s">
        <v>25</v>
      </c>
      <c r="I35" s="5">
        <v>44593</v>
      </c>
      <c r="J35" s="6">
        <v>2450</v>
      </c>
      <c r="K35" s="6">
        <v>1225</v>
      </c>
      <c r="L35" s="6">
        <v>0</v>
      </c>
      <c r="M35" s="6">
        <v>0</v>
      </c>
      <c r="N35" s="6">
        <v>0</v>
      </c>
      <c r="O35" s="6">
        <v>0</v>
      </c>
      <c r="P35" s="6">
        <v>2</v>
      </c>
      <c r="Q35" s="4" t="s">
        <v>53</v>
      </c>
      <c r="R35" s="4">
        <v>0</v>
      </c>
      <c r="S35" s="4" t="s">
        <v>96</v>
      </c>
      <c r="U35" s="4">
        <v>6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42</v>
      </c>
      <c r="C36" s="4" t="s">
        <v>34</v>
      </c>
      <c r="D36" s="4" t="s">
        <v>40</v>
      </c>
      <c r="E36" s="4" t="s">
        <v>25</v>
      </c>
      <c r="F36" s="4" t="s">
        <v>54</v>
      </c>
      <c r="G36" s="4" t="s">
        <v>25</v>
      </c>
      <c r="H36" s="4" t="s">
        <v>25</v>
      </c>
      <c r="I36" s="5">
        <v>44621</v>
      </c>
      <c r="J36" s="6">
        <v>2450</v>
      </c>
      <c r="K36" s="6">
        <v>1225</v>
      </c>
      <c r="L36" s="6">
        <v>0</v>
      </c>
      <c r="M36" s="6">
        <v>0</v>
      </c>
      <c r="N36" s="6">
        <v>0</v>
      </c>
      <c r="O36" s="6">
        <v>0</v>
      </c>
      <c r="P36" s="6">
        <v>2</v>
      </c>
      <c r="Q36" s="4" t="s">
        <v>53</v>
      </c>
      <c r="R36" s="4">
        <v>0</v>
      </c>
      <c r="S36" s="4" t="s">
        <v>97</v>
      </c>
      <c r="U36" s="4">
        <v>6</v>
      </c>
      <c r="V36" s="4">
        <v>0</v>
      </c>
      <c r="W36" s="4">
        <v>0</v>
      </c>
    </row>
    <row r="37" spans="1:23" ht="11.25" customHeight="1" x14ac:dyDescent="0.25">
      <c r="A37" s="4" t="s">
        <v>21</v>
      </c>
      <c r="B37" s="4" t="s">
        <v>42</v>
      </c>
      <c r="C37" s="4" t="s">
        <v>34</v>
      </c>
      <c r="D37" s="4" t="s">
        <v>40</v>
      </c>
      <c r="E37" s="4" t="s">
        <v>25</v>
      </c>
      <c r="F37" s="4" t="s">
        <v>54</v>
      </c>
      <c r="G37" s="4" t="s">
        <v>25</v>
      </c>
      <c r="H37" s="4" t="s">
        <v>25</v>
      </c>
      <c r="I37" s="5">
        <v>44652</v>
      </c>
      <c r="J37" s="6">
        <v>2486</v>
      </c>
      <c r="K37" s="6">
        <v>1243</v>
      </c>
      <c r="L37" s="6">
        <v>0</v>
      </c>
      <c r="M37" s="6">
        <v>0</v>
      </c>
      <c r="N37" s="6">
        <v>0</v>
      </c>
      <c r="O37" s="6">
        <v>0</v>
      </c>
      <c r="P37" s="6">
        <v>2</v>
      </c>
      <c r="Q37" s="4" t="s">
        <v>53</v>
      </c>
      <c r="R37" s="4">
        <v>0</v>
      </c>
      <c r="S37" s="4" t="s">
        <v>98</v>
      </c>
      <c r="U37" s="4">
        <v>6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42</v>
      </c>
      <c r="C38" s="4" t="s">
        <v>34</v>
      </c>
      <c r="D38" s="4" t="s">
        <v>40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44682</v>
      </c>
      <c r="J38" s="6">
        <v>4014</v>
      </c>
      <c r="K38" s="6">
        <v>2007</v>
      </c>
      <c r="L38" s="6">
        <v>0</v>
      </c>
      <c r="M38" s="6">
        <v>0</v>
      </c>
      <c r="N38" s="6">
        <v>0</v>
      </c>
      <c r="O38" s="6">
        <v>0</v>
      </c>
      <c r="P38" s="6">
        <v>3</v>
      </c>
      <c r="Q38" s="4" t="s">
        <v>53</v>
      </c>
      <c r="R38" s="4">
        <v>0</v>
      </c>
      <c r="S38" s="4" t="s">
        <v>99</v>
      </c>
      <c r="U38" s="4">
        <v>6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42</v>
      </c>
      <c r="C39" s="4" t="s">
        <v>34</v>
      </c>
      <c r="D39" s="4" t="s">
        <v>40</v>
      </c>
      <c r="E39" s="4" t="s">
        <v>25</v>
      </c>
      <c r="F39" s="4" t="s">
        <v>54</v>
      </c>
      <c r="G39" s="4" t="s">
        <v>25</v>
      </c>
      <c r="H39" s="4" t="s">
        <v>37</v>
      </c>
      <c r="I39" s="5">
        <v>44348</v>
      </c>
      <c r="J39" s="6">
        <v>0</v>
      </c>
      <c r="K39" s="6">
        <v>0</v>
      </c>
      <c r="L39" s="6">
        <v>42.637999999999998</v>
      </c>
      <c r="M39" s="6">
        <v>21.318999999999999</v>
      </c>
      <c r="N39" s="6">
        <v>0</v>
      </c>
      <c r="O39" s="6">
        <v>0</v>
      </c>
      <c r="P39" s="6">
        <v>0</v>
      </c>
      <c r="Q39" s="4" t="s">
        <v>53</v>
      </c>
      <c r="R39" s="4">
        <v>0</v>
      </c>
      <c r="S39" s="4" t="s">
        <v>119</v>
      </c>
      <c r="U39" s="4">
        <v>0</v>
      </c>
      <c r="V39" s="4">
        <v>7</v>
      </c>
      <c r="W39" s="4">
        <v>0</v>
      </c>
    </row>
    <row r="40" spans="1:23" ht="11.25" customHeight="1" x14ac:dyDescent="0.25">
      <c r="A40" s="4" t="s">
        <v>21</v>
      </c>
      <c r="B40" s="4" t="s">
        <v>42</v>
      </c>
      <c r="C40" s="4" t="s">
        <v>34</v>
      </c>
      <c r="D40" s="4" t="s">
        <v>40</v>
      </c>
      <c r="E40" s="4" t="s">
        <v>25</v>
      </c>
      <c r="F40" s="4" t="s">
        <v>54</v>
      </c>
      <c r="G40" s="4" t="s">
        <v>25</v>
      </c>
      <c r="H40" s="4" t="s">
        <v>37</v>
      </c>
      <c r="I40" s="5">
        <v>44378</v>
      </c>
      <c r="J40" s="6">
        <v>0</v>
      </c>
      <c r="K40" s="6">
        <v>0</v>
      </c>
      <c r="L40" s="6">
        <v>37.92</v>
      </c>
      <c r="M40" s="6">
        <v>18.96</v>
      </c>
      <c r="N40" s="6">
        <v>0</v>
      </c>
      <c r="O40" s="6">
        <v>0</v>
      </c>
      <c r="P40" s="6">
        <v>0</v>
      </c>
      <c r="Q40" s="4" t="s">
        <v>53</v>
      </c>
      <c r="R40" s="4">
        <v>0</v>
      </c>
      <c r="S40" s="4" t="s">
        <v>120</v>
      </c>
      <c r="U40" s="4">
        <v>0</v>
      </c>
      <c r="V40" s="4">
        <v>7</v>
      </c>
      <c r="W40" s="4">
        <v>0</v>
      </c>
    </row>
    <row r="41" spans="1:23" ht="11.25" customHeight="1" x14ac:dyDescent="0.25">
      <c r="A41" s="4" t="s">
        <v>21</v>
      </c>
      <c r="B41" s="4" t="s">
        <v>42</v>
      </c>
      <c r="C41" s="4" t="s">
        <v>34</v>
      </c>
      <c r="D41" s="4" t="s">
        <v>40</v>
      </c>
      <c r="E41" s="4" t="s">
        <v>25</v>
      </c>
      <c r="F41" s="4" t="s">
        <v>54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9.3849999999999998</v>
      </c>
      <c r="M41" s="6">
        <v>4.6924999999999999</v>
      </c>
      <c r="N41" s="6">
        <v>0</v>
      </c>
      <c r="O41" s="6">
        <v>0</v>
      </c>
      <c r="P41" s="6">
        <v>0</v>
      </c>
      <c r="Q41" s="4" t="s">
        <v>53</v>
      </c>
      <c r="R41" s="4">
        <v>0</v>
      </c>
      <c r="S41" s="4" t="s">
        <v>121</v>
      </c>
      <c r="U41" s="4">
        <v>0</v>
      </c>
      <c r="V41" s="4">
        <v>7</v>
      </c>
      <c r="W41" s="4">
        <v>0</v>
      </c>
    </row>
    <row r="42" spans="1:23" ht="11.25" customHeight="1" x14ac:dyDescent="0.25">
      <c r="A42" s="4" t="s">
        <v>21</v>
      </c>
      <c r="B42" s="4" t="s">
        <v>42</v>
      </c>
      <c r="C42" s="4" t="s">
        <v>34</v>
      </c>
      <c r="D42" s="4" t="s">
        <v>40</v>
      </c>
      <c r="E42" s="4" t="s">
        <v>25</v>
      </c>
      <c r="F42" s="4" t="s">
        <v>54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8.7360000000000007</v>
      </c>
      <c r="M42" s="6">
        <v>4.3680000000000003</v>
      </c>
      <c r="N42" s="6">
        <v>0</v>
      </c>
      <c r="O42" s="6">
        <v>0</v>
      </c>
      <c r="P42" s="6">
        <v>0</v>
      </c>
      <c r="Q42" s="4" t="s">
        <v>53</v>
      </c>
      <c r="R42" s="4">
        <v>0</v>
      </c>
      <c r="S42" s="4" t="s">
        <v>122</v>
      </c>
      <c r="U42" s="4">
        <v>0</v>
      </c>
      <c r="V42" s="4">
        <v>7</v>
      </c>
      <c r="W42" s="4">
        <v>0</v>
      </c>
    </row>
    <row r="43" spans="1:23" ht="11.25" customHeight="1" x14ac:dyDescent="0.25">
      <c r="A43" s="4" t="s">
        <v>21</v>
      </c>
      <c r="B43" s="4" t="s">
        <v>42</v>
      </c>
      <c r="C43" s="4" t="s">
        <v>34</v>
      </c>
      <c r="D43" s="4" t="s">
        <v>40</v>
      </c>
      <c r="E43" s="4" t="s">
        <v>25</v>
      </c>
      <c r="F43" s="4" t="s">
        <v>54</v>
      </c>
      <c r="G43" s="4" t="s">
        <v>25</v>
      </c>
      <c r="H43" s="4" t="s">
        <v>37</v>
      </c>
      <c r="I43" s="5">
        <v>44470</v>
      </c>
      <c r="J43" s="6">
        <v>0</v>
      </c>
      <c r="K43" s="6">
        <v>0</v>
      </c>
      <c r="L43" s="6">
        <v>38.771000000000001</v>
      </c>
      <c r="M43" s="6">
        <v>19.3855</v>
      </c>
      <c r="N43" s="6">
        <v>0</v>
      </c>
      <c r="O43" s="6">
        <v>0</v>
      </c>
      <c r="P43" s="6">
        <v>0</v>
      </c>
      <c r="Q43" s="4" t="s">
        <v>53</v>
      </c>
      <c r="R43" s="4">
        <v>0</v>
      </c>
      <c r="S43" s="4" t="s">
        <v>123</v>
      </c>
      <c r="U43" s="4">
        <v>0</v>
      </c>
      <c r="V43" s="4">
        <v>7</v>
      </c>
      <c r="W43" s="4">
        <v>0</v>
      </c>
    </row>
    <row r="44" spans="1:23" ht="11.25" customHeight="1" x14ac:dyDescent="0.25">
      <c r="A44" s="4" t="s">
        <v>21</v>
      </c>
      <c r="B44" s="4" t="s">
        <v>42</v>
      </c>
      <c r="C44" s="4" t="s">
        <v>34</v>
      </c>
      <c r="D44" s="4" t="s">
        <v>40</v>
      </c>
      <c r="E44" s="4" t="s">
        <v>25</v>
      </c>
      <c r="F44" s="4" t="s">
        <v>54</v>
      </c>
      <c r="G44" s="4" t="s">
        <v>25</v>
      </c>
      <c r="H44" s="4" t="s">
        <v>37</v>
      </c>
      <c r="I44" s="5">
        <v>44501</v>
      </c>
      <c r="J44" s="6">
        <v>0</v>
      </c>
      <c r="K44" s="6">
        <v>0</v>
      </c>
      <c r="L44" s="6">
        <v>35.023000000000003</v>
      </c>
      <c r="M44" s="6">
        <v>17.511500000000002</v>
      </c>
      <c r="N44" s="6">
        <v>0</v>
      </c>
      <c r="O44" s="6">
        <v>0</v>
      </c>
      <c r="P44" s="6">
        <v>0</v>
      </c>
      <c r="Q44" s="4" t="s">
        <v>53</v>
      </c>
      <c r="R44" s="4">
        <v>0</v>
      </c>
      <c r="S44" s="4" t="s">
        <v>124</v>
      </c>
      <c r="U44" s="4">
        <v>0</v>
      </c>
      <c r="V44" s="4">
        <v>7</v>
      </c>
      <c r="W44" s="4">
        <v>0</v>
      </c>
    </row>
    <row r="45" spans="1:23" ht="11.25" customHeight="1" x14ac:dyDescent="0.25">
      <c r="A45" s="4" t="s">
        <v>21</v>
      </c>
      <c r="B45" s="4" t="s">
        <v>42</v>
      </c>
      <c r="C45" s="4" t="s">
        <v>34</v>
      </c>
      <c r="D45" s="4" t="s">
        <v>40</v>
      </c>
      <c r="E45" s="4" t="s">
        <v>25</v>
      </c>
      <c r="F45" s="4" t="s">
        <v>54</v>
      </c>
      <c r="G45" s="4" t="s">
        <v>25</v>
      </c>
      <c r="H45" s="4" t="s">
        <v>37</v>
      </c>
      <c r="I45" s="5">
        <v>44531</v>
      </c>
      <c r="J45" s="6">
        <v>0</v>
      </c>
      <c r="K45" s="6">
        <v>0</v>
      </c>
      <c r="L45" s="6">
        <v>33.156999999999996</v>
      </c>
      <c r="M45" s="6">
        <v>16.578499999999998</v>
      </c>
      <c r="N45" s="6">
        <v>0</v>
      </c>
      <c r="O45" s="6">
        <v>0</v>
      </c>
      <c r="P45" s="6">
        <v>0</v>
      </c>
      <c r="Q45" s="4" t="s">
        <v>53</v>
      </c>
      <c r="R45" s="4">
        <v>0</v>
      </c>
      <c r="S45" s="4" t="s">
        <v>125</v>
      </c>
      <c r="U45" s="4">
        <v>0</v>
      </c>
      <c r="V45" s="4">
        <v>7</v>
      </c>
      <c r="W45" s="4">
        <v>0</v>
      </c>
    </row>
    <row r="46" spans="1:23" ht="11.25" customHeight="1" x14ac:dyDescent="0.25">
      <c r="A46" s="4" t="s">
        <v>21</v>
      </c>
      <c r="B46" s="4" t="s">
        <v>42</v>
      </c>
      <c r="C46" s="4" t="s">
        <v>34</v>
      </c>
      <c r="D46" s="4" t="s">
        <v>40</v>
      </c>
      <c r="E46" s="4" t="s">
        <v>25</v>
      </c>
      <c r="F46" s="4" t="s">
        <v>54</v>
      </c>
      <c r="G46" s="4" t="s">
        <v>25</v>
      </c>
      <c r="H46" s="4" t="s">
        <v>37</v>
      </c>
      <c r="I46" s="5">
        <v>44562</v>
      </c>
      <c r="J46" s="6">
        <v>0</v>
      </c>
      <c r="K46" s="6">
        <v>0</v>
      </c>
      <c r="L46" s="6">
        <v>34.494</v>
      </c>
      <c r="M46" s="6">
        <v>17.247</v>
      </c>
      <c r="N46" s="6">
        <v>0</v>
      </c>
      <c r="O46" s="6">
        <v>0</v>
      </c>
      <c r="P46" s="6">
        <v>0</v>
      </c>
      <c r="Q46" s="4" t="s">
        <v>53</v>
      </c>
      <c r="R46" s="4">
        <v>0</v>
      </c>
      <c r="S46" s="4" t="s">
        <v>100</v>
      </c>
      <c r="U46" s="4">
        <v>0</v>
      </c>
      <c r="V46" s="4">
        <v>7</v>
      </c>
      <c r="W46" s="4">
        <v>0</v>
      </c>
    </row>
    <row r="47" spans="1:23" ht="11.25" customHeight="1" x14ac:dyDescent="0.25">
      <c r="A47" s="4" t="s">
        <v>21</v>
      </c>
      <c r="B47" s="4" t="s">
        <v>42</v>
      </c>
      <c r="C47" s="4" t="s">
        <v>34</v>
      </c>
      <c r="D47" s="4" t="s">
        <v>40</v>
      </c>
      <c r="E47" s="4" t="s">
        <v>25</v>
      </c>
      <c r="F47" s="4" t="s">
        <v>54</v>
      </c>
      <c r="G47" s="4" t="s">
        <v>25</v>
      </c>
      <c r="H47" s="4" t="s">
        <v>37</v>
      </c>
      <c r="I47" s="5">
        <v>44593</v>
      </c>
      <c r="J47" s="6">
        <v>0</v>
      </c>
      <c r="K47" s="6">
        <v>0</v>
      </c>
      <c r="L47" s="6">
        <v>30.69</v>
      </c>
      <c r="M47" s="6">
        <v>15.345000000000001</v>
      </c>
      <c r="N47" s="6">
        <v>0</v>
      </c>
      <c r="O47" s="6">
        <v>0</v>
      </c>
      <c r="P47" s="6">
        <v>0</v>
      </c>
      <c r="Q47" s="4" t="s">
        <v>53</v>
      </c>
      <c r="R47" s="4">
        <v>0</v>
      </c>
      <c r="S47" s="4" t="s">
        <v>101</v>
      </c>
      <c r="U47" s="4">
        <v>0</v>
      </c>
      <c r="V47" s="4">
        <v>7</v>
      </c>
      <c r="W47" s="4">
        <v>0</v>
      </c>
    </row>
    <row r="48" spans="1:23" ht="11.25" customHeight="1" x14ac:dyDescent="0.25">
      <c r="A48" s="4" t="s">
        <v>21</v>
      </c>
      <c r="B48" s="4" t="s">
        <v>42</v>
      </c>
      <c r="C48" s="4" t="s">
        <v>34</v>
      </c>
      <c r="D48" s="4" t="s">
        <v>40</v>
      </c>
      <c r="E48" s="4" t="s">
        <v>25</v>
      </c>
      <c r="F48" s="4" t="s">
        <v>54</v>
      </c>
      <c r="G48" s="4" t="s">
        <v>25</v>
      </c>
      <c r="H48" s="4" t="s">
        <v>37</v>
      </c>
      <c r="I48" s="5">
        <v>44621</v>
      </c>
      <c r="J48" s="6">
        <v>0</v>
      </c>
      <c r="K48" s="6">
        <v>0</v>
      </c>
      <c r="L48" s="6">
        <v>37.658999999999999</v>
      </c>
      <c r="M48" s="6">
        <v>18.829499999999999</v>
      </c>
      <c r="N48" s="6">
        <v>0</v>
      </c>
      <c r="O48" s="6">
        <v>0</v>
      </c>
      <c r="P48" s="6">
        <v>0</v>
      </c>
      <c r="Q48" s="4" t="s">
        <v>53</v>
      </c>
      <c r="R48" s="4">
        <v>0</v>
      </c>
      <c r="S48" s="4" t="s">
        <v>102</v>
      </c>
      <c r="U48" s="4">
        <v>0</v>
      </c>
      <c r="V48" s="4">
        <v>7</v>
      </c>
      <c r="W48" s="4">
        <v>0</v>
      </c>
    </row>
    <row r="49" spans="1:23" ht="11.25" customHeight="1" x14ac:dyDescent="0.25">
      <c r="A49" s="4" t="s">
        <v>21</v>
      </c>
      <c r="B49" s="4" t="s">
        <v>42</v>
      </c>
      <c r="C49" s="4" t="s">
        <v>34</v>
      </c>
      <c r="D49" s="4" t="s">
        <v>40</v>
      </c>
      <c r="E49" s="4" t="s">
        <v>25</v>
      </c>
      <c r="F49" s="4" t="s">
        <v>54</v>
      </c>
      <c r="G49" s="4" t="s">
        <v>25</v>
      </c>
      <c r="H49" s="4" t="s">
        <v>37</v>
      </c>
      <c r="I49" s="5">
        <v>44652</v>
      </c>
      <c r="J49" s="6">
        <v>0</v>
      </c>
      <c r="K49" s="6">
        <v>0</v>
      </c>
      <c r="L49" s="6">
        <v>44.530999999999999</v>
      </c>
      <c r="M49" s="6">
        <v>22.265499999999999</v>
      </c>
      <c r="N49" s="6">
        <v>0</v>
      </c>
      <c r="O49" s="6">
        <v>0</v>
      </c>
      <c r="P49" s="6">
        <v>0</v>
      </c>
      <c r="Q49" s="4" t="s">
        <v>53</v>
      </c>
      <c r="R49" s="4">
        <v>0</v>
      </c>
      <c r="S49" s="4" t="s">
        <v>103</v>
      </c>
      <c r="U49" s="4">
        <v>0</v>
      </c>
      <c r="V49" s="4">
        <v>7</v>
      </c>
      <c r="W49" s="4">
        <v>0</v>
      </c>
    </row>
    <row r="50" spans="1:23" ht="11.25" customHeight="1" x14ac:dyDescent="0.25">
      <c r="A50" s="4" t="s">
        <v>21</v>
      </c>
      <c r="B50" s="4" t="s">
        <v>42</v>
      </c>
      <c r="C50" s="4" t="s">
        <v>34</v>
      </c>
      <c r="D50" s="4" t="s">
        <v>40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44682</v>
      </c>
      <c r="J50" s="6">
        <v>0</v>
      </c>
      <c r="K50" s="6">
        <v>0</v>
      </c>
      <c r="L50" s="6">
        <v>89.613</v>
      </c>
      <c r="M50" s="6">
        <v>44.8065</v>
      </c>
      <c r="N50" s="6">
        <v>0</v>
      </c>
      <c r="O50" s="6">
        <v>0</v>
      </c>
      <c r="P50" s="6">
        <v>0</v>
      </c>
      <c r="Q50" s="4" t="s">
        <v>53</v>
      </c>
      <c r="R50" s="4">
        <v>0</v>
      </c>
      <c r="S50" s="4" t="s">
        <v>126</v>
      </c>
      <c r="U50" s="4">
        <v>0</v>
      </c>
      <c r="V50" s="4">
        <v>7</v>
      </c>
      <c r="W50" s="4">
        <v>0</v>
      </c>
    </row>
    <row r="51" spans="1:23" ht="11.25" customHeight="1" x14ac:dyDescent="0.25">
      <c r="A51" s="4" t="s">
        <v>21</v>
      </c>
      <c r="B51" s="4" t="s">
        <v>42</v>
      </c>
      <c r="C51" s="4" t="s">
        <v>34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44348</v>
      </c>
      <c r="J51" s="6">
        <v>0</v>
      </c>
      <c r="K51" s="6">
        <v>0</v>
      </c>
      <c r="L51" s="6">
        <v>319.72199999999998</v>
      </c>
      <c r="M51" s="6">
        <v>319.72199999999998</v>
      </c>
      <c r="N51" s="6">
        <v>319.72199999999998</v>
      </c>
      <c r="O51" s="6">
        <v>319.72199999999998</v>
      </c>
      <c r="P51" s="6">
        <v>0</v>
      </c>
      <c r="Q51" s="4" t="s">
        <v>26</v>
      </c>
      <c r="R51" s="4">
        <v>0</v>
      </c>
      <c r="S51" s="4" t="s">
        <v>104</v>
      </c>
      <c r="T51" s="4" t="s">
        <v>370</v>
      </c>
      <c r="U51" s="4">
        <v>0</v>
      </c>
      <c r="V51" s="4">
        <v>8</v>
      </c>
      <c r="W51" s="4">
        <v>63</v>
      </c>
    </row>
    <row r="52" spans="1:23" ht="11.25" customHeight="1" x14ac:dyDescent="0.25">
      <c r="A52" s="4" t="s">
        <v>21</v>
      </c>
      <c r="B52" s="4" t="s">
        <v>42</v>
      </c>
      <c r="C52" s="4" t="s">
        <v>34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44378</v>
      </c>
      <c r="J52" s="6">
        <v>0</v>
      </c>
      <c r="K52" s="6">
        <v>0</v>
      </c>
      <c r="L52" s="6">
        <v>357.517</v>
      </c>
      <c r="M52" s="6">
        <v>357.517</v>
      </c>
      <c r="N52" s="6">
        <v>357.517</v>
      </c>
      <c r="O52" s="6">
        <v>357.517</v>
      </c>
      <c r="P52" s="6">
        <v>0</v>
      </c>
      <c r="Q52" s="4" t="s">
        <v>26</v>
      </c>
      <c r="R52" s="4">
        <v>0</v>
      </c>
      <c r="S52" s="4" t="s">
        <v>105</v>
      </c>
      <c r="T52" s="4" t="s">
        <v>371</v>
      </c>
      <c r="U52" s="4">
        <v>0</v>
      </c>
      <c r="V52" s="4">
        <v>8</v>
      </c>
      <c r="W52" s="4">
        <v>63</v>
      </c>
    </row>
    <row r="53" spans="1:23" ht="11.25" customHeight="1" x14ac:dyDescent="0.25">
      <c r="A53" s="4" t="s">
        <v>21</v>
      </c>
      <c r="B53" s="4" t="s">
        <v>42</v>
      </c>
      <c r="C53" s="4" t="s">
        <v>34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44409</v>
      </c>
      <c r="J53" s="6">
        <v>0</v>
      </c>
      <c r="K53" s="6">
        <v>0</v>
      </c>
      <c r="L53" s="6">
        <v>340.976</v>
      </c>
      <c r="M53" s="6">
        <v>340.976</v>
      </c>
      <c r="N53" s="6">
        <v>340.976</v>
      </c>
      <c r="O53" s="6">
        <v>340.976</v>
      </c>
      <c r="P53" s="6">
        <v>0</v>
      </c>
      <c r="Q53" s="4" t="s">
        <v>26</v>
      </c>
      <c r="R53" s="4">
        <v>0</v>
      </c>
      <c r="S53" s="4" t="s">
        <v>106</v>
      </c>
      <c r="T53" s="4" t="s">
        <v>372</v>
      </c>
      <c r="U53" s="4">
        <v>0</v>
      </c>
      <c r="V53" s="4">
        <v>8</v>
      </c>
      <c r="W53" s="4">
        <v>63</v>
      </c>
    </row>
    <row r="54" spans="1:23" ht="11.25" customHeight="1" x14ac:dyDescent="0.25">
      <c r="A54" s="4" t="s">
        <v>21</v>
      </c>
      <c r="B54" s="4" t="s">
        <v>42</v>
      </c>
      <c r="C54" s="4" t="s">
        <v>34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44440</v>
      </c>
      <c r="J54" s="6">
        <v>0</v>
      </c>
      <c r="K54" s="6">
        <v>0</v>
      </c>
      <c r="L54" s="6">
        <v>328.19200000000001</v>
      </c>
      <c r="M54" s="6">
        <v>328.19200000000001</v>
      </c>
      <c r="N54" s="6">
        <v>328.19200000000001</v>
      </c>
      <c r="O54" s="6">
        <v>328.19200000000001</v>
      </c>
      <c r="P54" s="6">
        <v>0</v>
      </c>
      <c r="Q54" s="4" t="s">
        <v>26</v>
      </c>
      <c r="R54" s="4">
        <v>0</v>
      </c>
      <c r="S54" s="4" t="s">
        <v>107</v>
      </c>
      <c r="T54" s="4" t="s">
        <v>373</v>
      </c>
      <c r="U54" s="4">
        <v>0</v>
      </c>
      <c r="V54" s="4">
        <v>8</v>
      </c>
      <c r="W54" s="4">
        <v>63</v>
      </c>
    </row>
    <row r="55" spans="1:23" ht="11.25" customHeight="1" x14ac:dyDescent="0.25">
      <c r="A55" s="4" t="s">
        <v>21</v>
      </c>
      <c r="B55" s="4" t="s">
        <v>42</v>
      </c>
      <c r="C55" s="4" t="s">
        <v>34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44470</v>
      </c>
      <c r="J55" s="6">
        <v>0</v>
      </c>
      <c r="K55" s="6">
        <v>0</v>
      </c>
      <c r="L55" s="6">
        <v>328.95499999999998</v>
      </c>
      <c r="M55" s="6">
        <v>328.95499999999998</v>
      </c>
      <c r="N55" s="6">
        <v>328.95499999999998</v>
      </c>
      <c r="O55" s="6">
        <v>328.95499999999998</v>
      </c>
      <c r="P55" s="6">
        <v>0</v>
      </c>
      <c r="Q55" s="4" t="s">
        <v>26</v>
      </c>
      <c r="R55" s="4">
        <v>0</v>
      </c>
      <c r="S55" s="4" t="s">
        <v>108</v>
      </c>
      <c r="T55" s="4" t="s">
        <v>374</v>
      </c>
      <c r="U55" s="4">
        <v>0</v>
      </c>
      <c r="V55" s="4">
        <v>8</v>
      </c>
      <c r="W55" s="4">
        <v>63</v>
      </c>
    </row>
    <row r="56" spans="1:23" ht="11.25" customHeight="1" x14ac:dyDescent="0.25">
      <c r="A56" s="4" t="s">
        <v>21</v>
      </c>
      <c r="B56" s="4" t="s">
        <v>42</v>
      </c>
      <c r="C56" s="4" t="s">
        <v>34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44501</v>
      </c>
      <c r="J56" s="6">
        <v>0</v>
      </c>
      <c r="K56" s="6">
        <v>0</v>
      </c>
      <c r="L56" s="6">
        <v>320.24299999999999</v>
      </c>
      <c r="M56" s="6">
        <v>320.24299999999999</v>
      </c>
      <c r="N56" s="6">
        <v>320.24299999999999</v>
      </c>
      <c r="O56" s="6">
        <v>320.24299999999999</v>
      </c>
      <c r="P56" s="6">
        <v>0</v>
      </c>
      <c r="Q56" s="4" t="s">
        <v>26</v>
      </c>
      <c r="R56" s="4">
        <v>0</v>
      </c>
      <c r="S56" s="4" t="s">
        <v>109</v>
      </c>
      <c r="T56" s="4" t="s">
        <v>375</v>
      </c>
      <c r="U56" s="4">
        <v>0</v>
      </c>
      <c r="V56" s="4">
        <v>8</v>
      </c>
      <c r="W56" s="4">
        <v>63</v>
      </c>
    </row>
    <row r="57" spans="1:23" ht="11.25" customHeight="1" x14ac:dyDescent="0.25">
      <c r="A57" s="4" t="s">
        <v>21</v>
      </c>
      <c r="B57" s="4" t="s">
        <v>42</v>
      </c>
      <c r="C57" s="4" t="s">
        <v>34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44531</v>
      </c>
      <c r="J57" s="6">
        <v>0</v>
      </c>
      <c r="K57" s="6">
        <v>0</v>
      </c>
      <c r="L57" s="6">
        <v>296.29300000000001</v>
      </c>
      <c r="M57" s="6">
        <v>296.29300000000001</v>
      </c>
      <c r="N57" s="6">
        <v>296.29300000000001</v>
      </c>
      <c r="O57" s="6">
        <v>296.29300000000001</v>
      </c>
      <c r="P57" s="6">
        <v>0</v>
      </c>
      <c r="Q57" s="4" t="s">
        <v>26</v>
      </c>
      <c r="R57" s="4">
        <v>0</v>
      </c>
      <c r="S57" s="4" t="s">
        <v>110</v>
      </c>
      <c r="T57" s="4" t="s">
        <v>376</v>
      </c>
      <c r="U57" s="4">
        <v>0</v>
      </c>
      <c r="V57" s="4">
        <v>8</v>
      </c>
      <c r="W57" s="4">
        <v>63</v>
      </c>
    </row>
    <row r="58" spans="1:23" ht="11.25" customHeight="1" x14ac:dyDescent="0.25">
      <c r="A58" s="4" t="s">
        <v>21</v>
      </c>
      <c r="B58" s="4" t="s">
        <v>42</v>
      </c>
      <c r="C58" s="4" t="s">
        <v>34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44562</v>
      </c>
      <c r="J58" s="6">
        <v>0</v>
      </c>
      <c r="K58" s="6">
        <v>0</v>
      </c>
      <c r="L58" s="6">
        <v>310.31400000000002</v>
      </c>
      <c r="M58" s="6">
        <v>310.31400000000002</v>
      </c>
      <c r="N58" s="6">
        <v>310.31400000000002</v>
      </c>
      <c r="O58" s="6">
        <v>310.31400000000002</v>
      </c>
      <c r="P58" s="6">
        <v>0</v>
      </c>
      <c r="Q58" s="4" t="s">
        <v>26</v>
      </c>
      <c r="R58" s="4">
        <v>0</v>
      </c>
      <c r="S58" s="4" t="s">
        <v>91</v>
      </c>
      <c r="T58" s="4" t="s">
        <v>359</v>
      </c>
      <c r="U58" s="4">
        <v>0</v>
      </c>
      <c r="V58" s="4">
        <v>8</v>
      </c>
      <c r="W58" s="4">
        <v>63</v>
      </c>
    </row>
    <row r="59" spans="1:23" ht="11.25" customHeight="1" x14ac:dyDescent="0.25">
      <c r="A59" s="4" t="s">
        <v>21</v>
      </c>
      <c r="B59" s="4" t="s">
        <v>42</v>
      </c>
      <c r="C59" s="4" t="s">
        <v>34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44593</v>
      </c>
      <c r="J59" s="6">
        <v>0</v>
      </c>
      <c r="K59" s="6">
        <v>0</v>
      </c>
      <c r="L59" s="6">
        <v>296.92399999999998</v>
      </c>
      <c r="M59" s="6">
        <v>296.92399999999998</v>
      </c>
      <c r="N59" s="6">
        <v>296.92399999999998</v>
      </c>
      <c r="O59" s="6">
        <v>296.92399999999998</v>
      </c>
      <c r="P59" s="6">
        <v>0</v>
      </c>
      <c r="Q59" s="4" t="s">
        <v>26</v>
      </c>
      <c r="R59" s="4">
        <v>0</v>
      </c>
      <c r="S59" s="4" t="s">
        <v>111</v>
      </c>
      <c r="T59" s="4" t="s">
        <v>377</v>
      </c>
      <c r="U59" s="4">
        <v>0</v>
      </c>
      <c r="V59" s="4">
        <v>8</v>
      </c>
      <c r="W59" s="4">
        <v>63</v>
      </c>
    </row>
    <row r="60" spans="1:23" ht="11.25" customHeight="1" x14ac:dyDescent="0.25">
      <c r="A60" s="4" t="s">
        <v>21</v>
      </c>
      <c r="B60" s="4" t="s">
        <v>42</v>
      </c>
      <c r="C60" s="4" t="s">
        <v>34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44621</v>
      </c>
      <c r="J60" s="6">
        <v>0</v>
      </c>
      <c r="K60" s="6">
        <v>0</v>
      </c>
      <c r="L60" s="6">
        <v>340.31599999999997</v>
      </c>
      <c r="M60" s="6">
        <v>340.31599999999997</v>
      </c>
      <c r="N60" s="6">
        <v>340.31599999999997</v>
      </c>
      <c r="O60" s="6">
        <v>340.31599999999997</v>
      </c>
      <c r="P60" s="6">
        <v>0</v>
      </c>
      <c r="Q60" s="4" t="s">
        <v>26</v>
      </c>
      <c r="R60" s="4">
        <v>0</v>
      </c>
      <c r="S60" s="4" t="s">
        <v>92</v>
      </c>
      <c r="T60" s="4" t="s">
        <v>360</v>
      </c>
      <c r="U60" s="4">
        <v>0</v>
      </c>
      <c r="V60" s="4">
        <v>8</v>
      </c>
      <c r="W60" s="4">
        <v>63</v>
      </c>
    </row>
    <row r="61" spans="1:23" ht="11.25" customHeight="1" x14ac:dyDescent="0.25">
      <c r="A61" s="4" t="s">
        <v>21</v>
      </c>
      <c r="B61" s="4" t="s">
        <v>42</v>
      </c>
      <c r="C61" s="4" t="s">
        <v>34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44652</v>
      </c>
      <c r="J61" s="6">
        <v>0</v>
      </c>
      <c r="K61" s="6">
        <v>0</v>
      </c>
      <c r="L61" s="6">
        <v>310.22500000000002</v>
      </c>
      <c r="M61" s="6">
        <v>310.22500000000002</v>
      </c>
      <c r="N61" s="6">
        <v>310.22500000000002</v>
      </c>
      <c r="O61" s="6">
        <v>310.22500000000002</v>
      </c>
      <c r="P61" s="6">
        <v>0</v>
      </c>
      <c r="Q61" s="4" t="s">
        <v>26</v>
      </c>
      <c r="R61" s="4">
        <v>0</v>
      </c>
      <c r="S61" s="4" t="s">
        <v>93</v>
      </c>
      <c r="T61" s="4" t="s">
        <v>361</v>
      </c>
      <c r="U61" s="4">
        <v>0</v>
      </c>
      <c r="V61" s="4">
        <v>8</v>
      </c>
      <c r="W61" s="4">
        <v>63</v>
      </c>
    </row>
    <row r="62" spans="1:23" ht="11.25" customHeight="1" x14ac:dyDescent="0.25">
      <c r="A62" s="4" t="s">
        <v>21</v>
      </c>
      <c r="B62" s="4" t="s">
        <v>42</v>
      </c>
      <c r="C62" s="4" t="s">
        <v>34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44682</v>
      </c>
      <c r="J62" s="6">
        <v>0</v>
      </c>
      <c r="K62" s="6">
        <v>0</v>
      </c>
      <c r="L62" s="6">
        <v>333.02199999999999</v>
      </c>
      <c r="M62" s="6">
        <v>333.02199999999999</v>
      </c>
      <c r="N62" s="6">
        <v>333.02199999999999</v>
      </c>
      <c r="O62" s="6">
        <v>333.02199999999999</v>
      </c>
      <c r="P62" s="6">
        <v>0</v>
      </c>
      <c r="Q62" s="4" t="s">
        <v>26</v>
      </c>
      <c r="R62" s="4">
        <v>0</v>
      </c>
      <c r="S62" s="4" t="s">
        <v>112</v>
      </c>
      <c r="T62" s="4" t="s">
        <v>378</v>
      </c>
      <c r="U62" s="4">
        <v>0</v>
      </c>
      <c r="V62" s="4">
        <v>8</v>
      </c>
      <c r="W62" s="4">
        <v>63</v>
      </c>
    </row>
    <row r="63" spans="1:23" ht="11.25" customHeight="1" x14ac:dyDescent="0.25">
      <c r="A63" s="4" t="s">
        <v>21</v>
      </c>
      <c r="B63" s="4" t="s">
        <v>42</v>
      </c>
      <c r="C63" s="4" t="s">
        <v>34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44348</v>
      </c>
      <c r="J63" s="6">
        <v>1365</v>
      </c>
      <c r="K63" s="6">
        <v>1365</v>
      </c>
      <c r="L63" s="6">
        <v>0</v>
      </c>
      <c r="M63" s="6">
        <v>0</v>
      </c>
      <c r="N63" s="6">
        <v>0</v>
      </c>
      <c r="O63" s="6">
        <v>0</v>
      </c>
      <c r="P63" s="6">
        <v>4</v>
      </c>
      <c r="Q63" s="4" t="s">
        <v>26</v>
      </c>
      <c r="R63" s="4">
        <v>0</v>
      </c>
      <c r="S63" s="4" t="s">
        <v>113</v>
      </c>
      <c r="U63" s="4">
        <v>6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42</v>
      </c>
      <c r="C64" s="4" t="s">
        <v>34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44378</v>
      </c>
      <c r="J64" s="6">
        <v>1427</v>
      </c>
      <c r="K64" s="6">
        <v>1427</v>
      </c>
      <c r="L64" s="6">
        <v>0</v>
      </c>
      <c r="M64" s="6">
        <v>0</v>
      </c>
      <c r="N64" s="6">
        <v>0</v>
      </c>
      <c r="O64" s="6">
        <v>0</v>
      </c>
      <c r="P64" s="6">
        <v>4</v>
      </c>
      <c r="Q64" s="4" t="s">
        <v>26</v>
      </c>
      <c r="R64" s="4">
        <v>0</v>
      </c>
      <c r="S64" s="4" t="s">
        <v>114</v>
      </c>
      <c r="U64" s="4">
        <v>6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42</v>
      </c>
      <c r="C65" s="4" t="s">
        <v>34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1379</v>
      </c>
      <c r="K65" s="6">
        <v>1379</v>
      </c>
      <c r="L65" s="6">
        <v>0</v>
      </c>
      <c r="M65" s="6">
        <v>0</v>
      </c>
      <c r="N65" s="6">
        <v>0</v>
      </c>
      <c r="O65" s="6">
        <v>0</v>
      </c>
      <c r="P65" s="6">
        <v>4</v>
      </c>
      <c r="Q65" s="4" t="s">
        <v>26</v>
      </c>
      <c r="R65" s="4">
        <v>0</v>
      </c>
      <c r="S65" s="4" t="s">
        <v>115</v>
      </c>
      <c r="U65" s="4">
        <v>6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42</v>
      </c>
      <c r="C66" s="4" t="s">
        <v>34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1272</v>
      </c>
      <c r="K66" s="6">
        <v>1272</v>
      </c>
      <c r="L66" s="6">
        <v>0</v>
      </c>
      <c r="M66" s="6">
        <v>0</v>
      </c>
      <c r="N66" s="6">
        <v>0</v>
      </c>
      <c r="O66" s="6">
        <v>0</v>
      </c>
      <c r="P66" s="6">
        <v>3</v>
      </c>
      <c r="Q66" s="4" t="s">
        <v>26</v>
      </c>
      <c r="R66" s="4">
        <v>0</v>
      </c>
      <c r="S66" s="4" t="s">
        <v>116</v>
      </c>
      <c r="U66" s="4">
        <v>6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42</v>
      </c>
      <c r="C67" s="4" t="s">
        <v>34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44470</v>
      </c>
      <c r="J67" s="6">
        <v>1164</v>
      </c>
      <c r="K67" s="6">
        <v>1164</v>
      </c>
      <c r="L67" s="6">
        <v>0</v>
      </c>
      <c r="M67" s="6">
        <v>0</v>
      </c>
      <c r="N67" s="6">
        <v>0</v>
      </c>
      <c r="O67" s="6">
        <v>0</v>
      </c>
      <c r="P67" s="6">
        <v>2</v>
      </c>
      <c r="Q67" s="4" t="s">
        <v>26</v>
      </c>
      <c r="R67" s="4">
        <v>0</v>
      </c>
      <c r="S67" s="4" t="s">
        <v>117</v>
      </c>
      <c r="U67" s="4">
        <v>6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42</v>
      </c>
      <c r="C68" s="4" t="s">
        <v>34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44501</v>
      </c>
      <c r="J68" s="6">
        <v>1136</v>
      </c>
      <c r="K68" s="6">
        <v>1136</v>
      </c>
      <c r="L68" s="6">
        <v>0</v>
      </c>
      <c r="M68" s="6">
        <v>0</v>
      </c>
      <c r="N68" s="6">
        <v>0</v>
      </c>
      <c r="O68" s="6">
        <v>0</v>
      </c>
      <c r="P68" s="6">
        <v>2</v>
      </c>
      <c r="Q68" s="4" t="s">
        <v>26</v>
      </c>
      <c r="R68" s="4">
        <v>0</v>
      </c>
      <c r="S68" s="4" t="s">
        <v>118</v>
      </c>
      <c r="U68" s="4">
        <v>6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42</v>
      </c>
      <c r="C69" s="4" t="s">
        <v>34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1114</v>
      </c>
      <c r="K69" s="6">
        <v>1114</v>
      </c>
      <c r="L69" s="6">
        <v>0</v>
      </c>
      <c r="M69" s="6">
        <v>0</v>
      </c>
      <c r="N69" s="6">
        <v>0</v>
      </c>
      <c r="O69" s="6">
        <v>0</v>
      </c>
      <c r="P69" s="6">
        <v>2</v>
      </c>
      <c r="Q69" s="4" t="s">
        <v>26</v>
      </c>
      <c r="R69" s="4">
        <v>0</v>
      </c>
      <c r="S69" s="4" t="s">
        <v>94</v>
      </c>
      <c r="U69" s="4">
        <v>6</v>
      </c>
      <c r="V69" s="4">
        <v>0</v>
      </c>
      <c r="W69" s="4">
        <v>0</v>
      </c>
    </row>
    <row r="70" spans="1:23" ht="11.25" customHeight="1" x14ac:dyDescent="0.25">
      <c r="A70" s="4" t="s">
        <v>28</v>
      </c>
      <c r="B70" s="4" t="s">
        <v>42</v>
      </c>
      <c r="C70" s="4" t="s">
        <v>34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44531</v>
      </c>
      <c r="J70" s="6">
        <v>216</v>
      </c>
      <c r="K70" s="6">
        <v>216</v>
      </c>
      <c r="L70" s="6">
        <v>0</v>
      </c>
      <c r="M70" s="6">
        <v>0</v>
      </c>
      <c r="N70" s="6">
        <v>0</v>
      </c>
      <c r="O70" s="6">
        <v>0</v>
      </c>
      <c r="P70" s="6">
        <v>2</v>
      </c>
      <c r="Q70" s="4" t="s">
        <v>26</v>
      </c>
      <c r="R70" s="4">
        <v>0</v>
      </c>
      <c r="S70" s="4" t="s">
        <v>94</v>
      </c>
      <c r="U70" s="4">
        <v>6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42</v>
      </c>
      <c r="C71" s="4" t="s">
        <v>34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44562</v>
      </c>
      <c r="J71" s="6">
        <v>1105</v>
      </c>
      <c r="K71" s="6">
        <v>1105</v>
      </c>
      <c r="L71" s="6">
        <v>0</v>
      </c>
      <c r="M71" s="6">
        <v>0</v>
      </c>
      <c r="N71" s="6">
        <v>0</v>
      </c>
      <c r="O71" s="6">
        <v>0</v>
      </c>
      <c r="P71" s="6">
        <v>2</v>
      </c>
      <c r="Q71" s="4" t="s">
        <v>26</v>
      </c>
      <c r="R71" s="4">
        <v>0</v>
      </c>
      <c r="S71" s="4" t="s">
        <v>95</v>
      </c>
      <c r="U71" s="4">
        <v>6</v>
      </c>
      <c r="V71" s="4">
        <v>0</v>
      </c>
      <c r="W71" s="4">
        <v>0</v>
      </c>
    </row>
    <row r="72" spans="1:23" ht="11.25" customHeight="1" x14ac:dyDescent="0.25">
      <c r="A72" s="4" t="s">
        <v>28</v>
      </c>
      <c r="B72" s="4" t="s">
        <v>42</v>
      </c>
      <c r="C72" s="4" t="s">
        <v>34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44562</v>
      </c>
      <c r="J72" s="6">
        <v>219</v>
      </c>
      <c r="K72" s="6">
        <v>219</v>
      </c>
      <c r="L72" s="6">
        <v>0</v>
      </c>
      <c r="M72" s="6">
        <v>0</v>
      </c>
      <c r="N72" s="6">
        <v>0</v>
      </c>
      <c r="O72" s="6">
        <v>0</v>
      </c>
      <c r="P72" s="6">
        <v>2</v>
      </c>
      <c r="Q72" s="4" t="s">
        <v>26</v>
      </c>
      <c r="R72" s="4">
        <v>0</v>
      </c>
      <c r="S72" s="4" t="s">
        <v>95</v>
      </c>
      <c r="U72" s="4">
        <v>6</v>
      </c>
      <c r="V72" s="4">
        <v>0</v>
      </c>
      <c r="W72" s="4">
        <v>0</v>
      </c>
    </row>
    <row r="73" spans="1:23" ht="11.25" customHeight="1" x14ac:dyDescent="0.25">
      <c r="A73" s="4" t="s">
        <v>21</v>
      </c>
      <c r="B73" s="4" t="s">
        <v>42</v>
      </c>
      <c r="C73" s="4" t="s">
        <v>34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44593</v>
      </c>
      <c r="J73" s="6">
        <v>1156</v>
      </c>
      <c r="K73" s="6">
        <v>1156</v>
      </c>
      <c r="L73" s="6">
        <v>0</v>
      </c>
      <c r="M73" s="6">
        <v>0</v>
      </c>
      <c r="N73" s="6">
        <v>0</v>
      </c>
      <c r="O73" s="6">
        <v>0</v>
      </c>
      <c r="P73" s="6">
        <v>2</v>
      </c>
      <c r="Q73" s="4" t="s">
        <v>26</v>
      </c>
      <c r="R73" s="4">
        <v>0</v>
      </c>
      <c r="S73" s="4" t="s">
        <v>96</v>
      </c>
      <c r="U73" s="4">
        <v>6</v>
      </c>
      <c r="V73" s="4">
        <v>0</v>
      </c>
      <c r="W73" s="4">
        <v>0</v>
      </c>
    </row>
    <row r="74" spans="1:23" ht="11.25" customHeight="1" x14ac:dyDescent="0.25">
      <c r="A74" s="4" t="s">
        <v>28</v>
      </c>
      <c r="B74" s="4" t="s">
        <v>42</v>
      </c>
      <c r="C74" s="4" t="s">
        <v>34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44593</v>
      </c>
      <c r="J74" s="6">
        <v>216</v>
      </c>
      <c r="K74" s="6">
        <v>216</v>
      </c>
      <c r="L74" s="6">
        <v>0</v>
      </c>
      <c r="M74" s="6">
        <v>0</v>
      </c>
      <c r="N74" s="6">
        <v>0</v>
      </c>
      <c r="O74" s="6">
        <v>0</v>
      </c>
      <c r="P74" s="6">
        <v>2</v>
      </c>
      <c r="Q74" s="4" t="s">
        <v>26</v>
      </c>
      <c r="R74" s="4">
        <v>0</v>
      </c>
      <c r="S74" s="4" t="s">
        <v>96</v>
      </c>
      <c r="U74" s="4">
        <v>6</v>
      </c>
      <c r="V74" s="4">
        <v>0</v>
      </c>
      <c r="W74" s="4">
        <v>0</v>
      </c>
    </row>
    <row r="75" spans="1:23" ht="11.25" customHeight="1" x14ac:dyDescent="0.25">
      <c r="A75" s="4" t="s">
        <v>21</v>
      </c>
      <c r="B75" s="4" t="s">
        <v>42</v>
      </c>
      <c r="C75" s="4" t="s">
        <v>34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44621</v>
      </c>
      <c r="J75" s="6">
        <v>1177</v>
      </c>
      <c r="K75" s="6">
        <v>1177</v>
      </c>
      <c r="L75" s="6">
        <v>0</v>
      </c>
      <c r="M75" s="6">
        <v>0</v>
      </c>
      <c r="N75" s="6">
        <v>0</v>
      </c>
      <c r="O75" s="6">
        <v>0</v>
      </c>
      <c r="P75" s="6">
        <v>2</v>
      </c>
      <c r="Q75" s="4" t="s">
        <v>26</v>
      </c>
      <c r="R75" s="4">
        <v>0</v>
      </c>
      <c r="S75" s="4" t="s">
        <v>97</v>
      </c>
      <c r="U75" s="4">
        <v>6</v>
      </c>
      <c r="V75" s="4">
        <v>0</v>
      </c>
      <c r="W75" s="4">
        <v>0</v>
      </c>
    </row>
    <row r="76" spans="1:23" ht="11.25" customHeight="1" x14ac:dyDescent="0.25">
      <c r="A76" s="4" t="s">
        <v>28</v>
      </c>
      <c r="B76" s="4" t="s">
        <v>42</v>
      </c>
      <c r="C76" s="4" t="s">
        <v>34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44621</v>
      </c>
      <c r="J76" s="6">
        <v>215</v>
      </c>
      <c r="K76" s="6">
        <v>215</v>
      </c>
      <c r="L76" s="6">
        <v>0</v>
      </c>
      <c r="M76" s="6">
        <v>0</v>
      </c>
      <c r="N76" s="6">
        <v>0</v>
      </c>
      <c r="O76" s="6">
        <v>0</v>
      </c>
      <c r="P76" s="6">
        <v>2</v>
      </c>
      <c r="Q76" s="4" t="s">
        <v>26</v>
      </c>
      <c r="R76" s="4">
        <v>0</v>
      </c>
      <c r="S76" s="4" t="s">
        <v>97</v>
      </c>
      <c r="U76" s="4">
        <v>6</v>
      </c>
      <c r="V76" s="4">
        <v>0</v>
      </c>
      <c r="W76" s="4">
        <v>0</v>
      </c>
    </row>
    <row r="77" spans="1:23" ht="11.25" customHeight="1" x14ac:dyDescent="0.25">
      <c r="A77" s="4" t="s">
        <v>21</v>
      </c>
      <c r="B77" s="4" t="s">
        <v>42</v>
      </c>
      <c r="C77" s="4" t="s">
        <v>34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44652</v>
      </c>
      <c r="J77" s="6">
        <v>1181</v>
      </c>
      <c r="K77" s="6">
        <v>1181</v>
      </c>
      <c r="L77" s="6">
        <v>0</v>
      </c>
      <c r="M77" s="6">
        <v>0</v>
      </c>
      <c r="N77" s="6">
        <v>0</v>
      </c>
      <c r="O77" s="6">
        <v>0</v>
      </c>
      <c r="P77" s="6">
        <v>2</v>
      </c>
      <c r="Q77" s="4" t="s">
        <v>26</v>
      </c>
      <c r="R77" s="4">
        <v>0</v>
      </c>
      <c r="S77" s="4" t="s">
        <v>98</v>
      </c>
      <c r="U77" s="4">
        <v>6</v>
      </c>
      <c r="V77" s="4">
        <v>0</v>
      </c>
      <c r="W77" s="4">
        <v>0</v>
      </c>
    </row>
    <row r="78" spans="1:23" ht="11.25" customHeight="1" x14ac:dyDescent="0.25">
      <c r="A78" s="4" t="s">
        <v>28</v>
      </c>
      <c r="B78" s="4" t="s">
        <v>42</v>
      </c>
      <c r="C78" s="4" t="s">
        <v>34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44652</v>
      </c>
      <c r="J78" s="6">
        <v>209</v>
      </c>
      <c r="K78" s="6">
        <v>209</v>
      </c>
      <c r="L78" s="6">
        <v>0</v>
      </c>
      <c r="M78" s="6">
        <v>0</v>
      </c>
      <c r="N78" s="6">
        <v>0</v>
      </c>
      <c r="O78" s="6">
        <v>0</v>
      </c>
      <c r="P78" s="6">
        <v>2</v>
      </c>
      <c r="Q78" s="4" t="s">
        <v>26</v>
      </c>
      <c r="R78" s="4">
        <v>0</v>
      </c>
      <c r="S78" s="4" t="s">
        <v>98</v>
      </c>
      <c r="U78" s="4">
        <v>6</v>
      </c>
      <c r="V78" s="4">
        <v>0</v>
      </c>
      <c r="W78" s="4">
        <v>0</v>
      </c>
    </row>
    <row r="79" spans="1:23" ht="11.25" customHeight="1" x14ac:dyDescent="0.25">
      <c r="A79" s="4" t="s">
        <v>21</v>
      </c>
      <c r="B79" s="4" t="s">
        <v>42</v>
      </c>
      <c r="C79" s="4" t="s">
        <v>34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44682</v>
      </c>
      <c r="J79" s="6">
        <v>1180</v>
      </c>
      <c r="K79" s="6">
        <v>1180</v>
      </c>
      <c r="L79" s="6">
        <v>0</v>
      </c>
      <c r="M79" s="6">
        <v>0</v>
      </c>
      <c r="N79" s="6">
        <v>0</v>
      </c>
      <c r="O79" s="6">
        <v>0</v>
      </c>
      <c r="P79" s="6">
        <v>2</v>
      </c>
      <c r="Q79" s="4" t="s">
        <v>26</v>
      </c>
      <c r="R79" s="4">
        <v>0</v>
      </c>
      <c r="S79" s="4" t="s">
        <v>99</v>
      </c>
      <c r="U79" s="4">
        <v>6</v>
      </c>
      <c r="V79" s="4">
        <v>0</v>
      </c>
      <c r="W79" s="4">
        <v>0</v>
      </c>
    </row>
    <row r="80" spans="1:23" ht="11.25" customHeight="1" x14ac:dyDescent="0.25">
      <c r="A80" s="4" t="s">
        <v>28</v>
      </c>
      <c r="B80" s="4" t="s">
        <v>42</v>
      </c>
      <c r="C80" s="4" t="s">
        <v>34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44682</v>
      </c>
      <c r="J80" s="6">
        <v>218</v>
      </c>
      <c r="K80" s="6">
        <v>218</v>
      </c>
      <c r="L80" s="6">
        <v>0</v>
      </c>
      <c r="M80" s="6">
        <v>0</v>
      </c>
      <c r="N80" s="6">
        <v>0</v>
      </c>
      <c r="O80" s="6">
        <v>0</v>
      </c>
      <c r="P80" s="6">
        <v>2</v>
      </c>
      <c r="Q80" s="4" t="s">
        <v>26</v>
      </c>
      <c r="R80" s="4">
        <v>0</v>
      </c>
      <c r="S80" s="4" t="s">
        <v>99</v>
      </c>
      <c r="U80" s="4">
        <v>6</v>
      </c>
      <c r="V80" s="4">
        <v>0</v>
      </c>
      <c r="W80" s="4">
        <v>0</v>
      </c>
    </row>
    <row r="81" spans="1:23" ht="11.25" customHeight="1" x14ac:dyDescent="0.25">
      <c r="A81" s="4" t="s">
        <v>21</v>
      </c>
      <c r="B81" s="4" t="s">
        <v>42</v>
      </c>
      <c r="C81" s="4" t="s">
        <v>34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44348</v>
      </c>
      <c r="J81" s="6">
        <v>0</v>
      </c>
      <c r="K81" s="6">
        <v>0</v>
      </c>
      <c r="L81" s="6">
        <v>21.103000000000002</v>
      </c>
      <c r="M81" s="6">
        <v>21.103000000000002</v>
      </c>
      <c r="N81" s="6">
        <v>21.103000000000002</v>
      </c>
      <c r="O81" s="6">
        <v>21.103000000000002</v>
      </c>
      <c r="P81" s="6">
        <v>0</v>
      </c>
      <c r="Q81" s="4" t="s">
        <v>26</v>
      </c>
      <c r="R81" s="4">
        <v>0</v>
      </c>
      <c r="S81" s="4" t="s">
        <v>119</v>
      </c>
      <c r="T81" s="4" t="s">
        <v>379</v>
      </c>
      <c r="U81" s="4">
        <v>0</v>
      </c>
      <c r="V81" s="4">
        <v>7</v>
      </c>
      <c r="W81" s="4">
        <v>62</v>
      </c>
    </row>
    <row r="82" spans="1:23" ht="11.25" customHeight="1" x14ac:dyDescent="0.25">
      <c r="A82" s="4" t="s">
        <v>21</v>
      </c>
      <c r="B82" s="4" t="s">
        <v>42</v>
      </c>
      <c r="C82" s="4" t="s">
        <v>34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44378</v>
      </c>
      <c r="J82" s="6">
        <v>0</v>
      </c>
      <c r="K82" s="6">
        <v>0</v>
      </c>
      <c r="L82" s="6">
        <v>24.123999999999999</v>
      </c>
      <c r="M82" s="6">
        <v>24.123999999999999</v>
      </c>
      <c r="N82" s="6">
        <v>24.123999999999999</v>
      </c>
      <c r="O82" s="6">
        <v>24.123999999999999</v>
      </c>
      <c r="P82" s="6">
        <v>0</v>
      </c>
      <c r="Q82" s="4" t="s">
        <v>26</v>
      </c>
      <c r="R82" s="4">
        <v>0</v>
      </c>
      <c r="S82" s="4" t="s">
        <v>120</v>
      </c>
      <c r="T82" s="4" t="s">
        <v>380</v>
      </c>
      <c r="U82" s="4">
        <v>0</v>
      </c>
      <c r="V82" s="4">
        <v>7</v>
      </c>
      <c r="W82" s="4">
        <v>62</v>
      </c>
    </row>
    <row r="83" spans="1:23" ht="11.25" customHeight="1" x14ac:dyDescent="0.25">
      <c r="A83" s="4" t="s">
        <v>21</v>
      </c>
      <c r="B83" s="4" t="s">
        <v>42</v>
      </c>
      <c r="C83" s="4" t="s">
        <v>34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44409</v>
      </c>
      <c r="J83" s="6">
        <v>0</v>
      </c>
      <c r="K83" s="6">
        <v>0</v>
      </c>
      <c r="L83" s="6">
        <v>21.966000000000001</v>
      </c>
      <c r="M83" s="6">
        <v>21.966000000000001</v>
      </c>
      <c r="N83" s="6">
        <v>21.966000000000001</v>
      </c>
      <c r="O83" s="6">
        <v>21.966000000000001</v>
      </c>
      <c r="P83" s="6">
        <v>0</v>
      </c>
      <c r="Q83" s="4" t="s">
        <v>26</v>
      </c>
      <c r="R83" s="4">
        <v>0</v>
      </c>
      <c r="S83" s="4" t="s">
        <v>121</v>
      </c>
      <c r="T83" s="4" t="s">
        <v>381</v>
      </c>
      <c r="U83" s="4">
        <v>0</v>
      </c>
      <c r="V83" s="4">
        <v>7</v>
      </c>
      <c r="W83" s="4">
        <v>62</v>
      </c>
    </row>
    <row r="84" spans="1:23" ht="11.25" customHeight="1" x14ac:dyDescent="0.25">
      <c r="A84" s="4" t="s">
        <v>21</v>
      </c>
      <c r="B84" s="4" t="s">
        <v>42</v>
      </c>
      <c r="C84" s="4" t="s">
        <v>34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44440</v>
      </c>
      <c r="J84" s="6">
        <v>0</v>
      </c>
      <c r="K84" s="6">
        <v>0</v>
      </c>
      <c r="L84" s="6">
        <v>20.585999999999999</v>
      </c>
      <c r="M84" s="6">
        <v>20.585999999999999</v>
      </c>
      <c r="N84" s="6">
        <v>20.585999999999999</v>
      </c>
      <c r="O84" s="6">
        <v>20.585999999999999</v>
      </c>
      <c r="P84" s="6">
        <v>0</v>
      </c>
      <c r="Q84" s="4" t="s">
        <v>26</v>
      </c>
      <c r="R84" s="4">
        <v>0</v>
      </c>
      <c r="S84" s="4" t="s">
        <v>122</v>
      </c>
      <c r="T84" s="4" t="s">
        <v>382</v>
      </c>
      <c r="U84" s="4">
        <v>0</v>
      </c>
      <c r="V84" s="4">
        <v>7</v>
      </c>
      <c r="W84" s="4">
        <v>62</v>
      </c>
    </row>
    <row r="85" spans="1:23" ht="11.25" customHeight="1" x14ac:dyDescent="0.25">
      <c r="A85" s="4" t="s">
        <v>21</v>
      </c>
      <c r="B85" s="4" t="s">
        <v>42</v>
      </c>
      <c r="C85" s="4" t="s">
        <v>34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44470</v>
      </c>
      <c r="J85" s="6">
        <v>0</v>
      </c>
      <c r="K85" s="6">
        <v>0</v>
      </c>
      <c r="L85" s="6">
        <v>19.867000000000001</v>
      </c>
      <c r="M85" s="6">
        <v>19.867000000000001</v>
      </c>
      <c r="N85" s="6">
        <v>19.867000000000001</v>
      </c>
      <c r="O85" s="6">
        <v>19.867000000000001</v>
      </c>
      <c r="P85" s="6">
        <v>0</v>
      </c>
      <c r="Q85" s="4" t="s">
        <v>26</v>
      </c>
      <c r="R85" s="4">
        <v>0</v>
      </c>
      <c r="S85" s="4" t="s">
        <v>123</v>
      </c>
      <c r="T85" s="4" t="s">
        <v>383</v>
      </c>
      <c r="U85" s="4">
        <v>0</v>
      </c>
      <c r="V85" s="4">
        <v>7</v>
      </c>
      <c r="W85" s="4">
        <v>62</v>
      </c>
    </row>
    <row r="86" spans="1:23" ht="11.25" customHeight="1" x14ac:dyDescent="0.25">
      <c r="A86" s="4" t="s">
        <v>21</v>
      </c>
      <c r="B86" s="4" t="s">
        <v>42</v>
      </c>
      <c r="C86" s="4" t="s">
        <v>34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44501</v>
      </c>
      <c r="J86" s="6">
        <v>0</v>
      </c>
      <c r="K86" s="6">
        <v>0</v>
      </c>
      <c r="L86" s="6">
        <v>18.02</v>
      </c>
      <c r="M86" s="6">
        <v>18.02</v>
      </c>
      <c r="N86" s="6">
        <v>18.02</v>
      </c>
      <c r="O86" s="6">
        <v>18.02</v>
      </c>
      <c r="P86" s="6">
        <v>0</v>
      </c>
      <c r="Q86" s="4" t="s">
        <v>26</v>
      </c>
      <c r="R86" s="4">
        <v>0</v>
      </c>
      <c r="S86" s="4" t="s">
        <v>124</v>
      </c>
      <c r="T86" s="4" t="s">
        <v>384</v>
      </c>
      <c r="U86" s="4">
        <v>0</v>
      </c>
      <c r="V86" s="4">
        <v>7</v>
      </c>
      <c r="W86" s="4">
        <v>62</v>
      </c>
    </row>
    <row r="87" spans="1:23" ht="11.25" customHeight="1" x14ac:dyDescent="0.25">
      <c r="A87" s="4" t="s">
        <v>21</v>
      </c>
      <c r="B87" s="4" t="s">
        <v>42</v>
      </c>
      <c r="C87" s="4" t="s">
        <v>34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44531</v>
      </c>
      <c r="J87" s="6">
        <v>0</v>
      </c>
      <c r="K87" s="6">
        <v>0</v>
      </c>
      <c r="L87" s="6">
        <v>18.055</v>
      </c>
      <c r="M87" s="6">
        <v>18.055</v>
      </c>
      <c r="N87" s="6">
        <v>18.055</v>
      </c>
      <c r="O87" s="6">
        <v>18.055</v>
      </c>
      <c r="P87" s="6">
        <v>0</v>
      </c>
      <c r="Q87" s="4" t="s">
        <v>26</v>
      </c>
      <c r="R87" s="4">
        <v>0</v>
      </c>
      <c r="S87" s="4" t="s">
        <v>125</v>
      </c>
      <c r="T87" s="4" t="s">
        <v>385</v>
      </c>
      <c r="U87" s="4">
        <v>0</v>
      </c>
      <c r="V87" s="4">
        <v>7</v>
      </c>
      <c r="W87" s="4">
        <v>62</v>
      </c>
    </row>
    <row r="88" spans="1:23" ht="11.25" customHeight="1" x14ac:dyDescent="0.25">
      <c r="A88" s="4" t="s">
        <v>21</v>
      </c>
      <c r="B88" s="4" t="s">
        <v>42</v>
      </c>
      <c r="C88" s="4" t="s">
        <v>34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44562</v>
      </c>
      <c r="J88" s="6">
        <v>0</v>
      </c>
      <c r="K88" s="6">
        <v>0</v>
      </c>
      <c r="L88" s="6">
        <v>16.744</v>
      </c>
      <c r="M88" s="6">
        <v>16.744</v>
      </c>
      <c r="N88" s="6">
        <v>16.744</v>
      </c>
      <c r="O88" s="6">
        <v>16.744</v>
      </c>
      <c r="P88" s="6">
        <v>0</v>
      </c>
      <c r="Q88" s="4" t="s">
        <v>26</v>
      </c>
      <c r="R88" s="4">
        <v>0</v>
      </c>
      <c r="S88" s="4" t="s">
        <v>100</v>
      </c>
      <c r="T88" s="4" t="s">
        <v>366</v>
      </c>
      <c r="U88" s="4">
        <v>0</v>
      </c>
      <c r="V88" s="4">
        <v>7</v>
      </c>
      <c r="W88" s="4">
        <v>62</v>
      </c>
    </row>
    <row r="89" spans="1:23" ht="11.25" customHeight="1" x14ac:dyDescent="0.25">
      <c r="A89" s="4" t="s">
        <v>21</v>
      </c>
      <c r="B89" s="4" t="s">
        <v>42</v>
      </c>
      <c r="C89" s="4" t="s">
        <v>34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44593</v>
      </c>
      <c r="J89" s="6">
        <v>0</v>
      </c>
      <c r="K89" s="6">
        <v>0</v>
      </c>
      <c r="L89" s="6">
        <v>18.311</v>
      </c>
      <c r="M89" s="6">
        <v>18.311</v>
      </c>
      <c r="N89" s="6">
        <v>18.311</v>
      </c>
      <c r="O89" s="6">
        <v>18.311</v>
      </c>
      <c r="P89" s="6">
        <v>0</v>
      </c>
      <c r="Q89" s="4" t="s">
        <v>26</v>
      </c>
      <c r="R89" s="4">
        <v>0</v>
      </c>
      <c r="S89" s="4" t="s">
        <v>101</v>
      </c>
      <c r="T89" s="4" t="s">
        <v>367</v>
      </c>
      <c r="U89" s="4">
        <v>0</v>
      </c>
      <c r="V89" s="4">
        <v>7</v>
      </c>
      <c r="W89" s="4">
        <v>62</v>
      </c>
    </row>
    <row r="90" spans="1:23" ht="11.25" customHeight="1" x14ac:dyDescent="0.25">
      <c r="A90" s="4" t="s">
        <v>21</v>
      </c>
      <c r="B90" s="4" t="s">
        <v>42</v>
      </c>
      <c r="C90" s="4" t="s">
        <v>34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44621</v>
      </c>
      <c r="J90" s="6">
        <v>0</v>
      </c>
      <c r="K90" s="6">
        <v>0</v>
      </c>
      <c r="L90" s="6">
        <v>19.638999999999999</v>
      </c>
      <c r="M90" s="6">
        <v>19.638999999999999</v>
      </c>
      <c r="N90" s="6">
        <v>19.638999999999999</v>
      </c>
      <c r="O90" s="6">
        <v>19.638999999999999</v>
      </c>
      <c r="P90" s="6">
        <v>0</v>
      </c>
      <c r="Q90" s="4" t="s">
        <v>26</v>
      </c>
      <c r="R90" s="4">
        <v>0</v>
      </c>
      <c r="S90" s="4" t="s">
        <v>102</v>
      </c>
      <c r="T90" s="4" t="s">
        <v>368</v>
      </c>
      <c r="U90" s="4">
        <v>0</v>
      </c>
      <c r="V90" s="4">
        <v>7</v>
      </c>
      <c r="W90" s="4">
        <v>62</v>
      </c>
    </row>
    <row r="91" spans="1:23" ht="11.25" customHeight="1" x14ac:dyDescent="0.25">
      <c r="A91" s="4" t="s">
        <v>21</v>
      </c>
      <c r="B91" s="4" t="s">
        <v>42</v>
      </c>
      <c r="C91" s="4" t="s">
        <v>34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17.62</v>
      </c>
      <c r="M91" s="6">
        <v>17.62</v>
      </c>
      <c r="N91" s="6">
        <v>17.62</v>
      </c>
      <c r="O91" s="6">
        <v>17.62</v>
      </c>
      <c r="P91" s="6">
        <v>0</v>
      </c>
      <c r="Q91" s="4" t="s">
        <v>26</v>
      </c>
      <c r="R91" s="4">
        <v>0</v>
      </c>
      <c r="S91" s="4" t="s">
        <v>103</v>
      </c>
      <c r="T91" s="4" t="s">
        <v>369</v>
      </c>
      <c r="U91" s="4">
        <v>0</v>
      </c>
      <c r="V91" s="4">
        <v>7</v>
      </c>
      <c r="W91" s="4">
        <v>62</v>
      </c>
    </row>
    <row r="92" spans="1:23" ht="11.25" customHeight="1" x14ac:dyDescent="0.25">
      <c r="A92" s="4" t="s">
        <v>21</v>
      </c>
      <c r="B92" s="4" t="s">
        <v>42</v>
      </c>
      <c r="C92" s="4" t="s">
        <v>34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19.829000000000001</v>
      </c>
      <c r="M92" s="6">
        <v>19.829000000000001</v>
      </c>
      <c r="N92" s="6">
        <v>19.829000000000001</v>
      </c>
      <c r="O92" s="6">
        <v>19.829000000000001</v>
      </c>
      <c r="P92" s="6">
        <v>0</v>
      </c>
      <c r="Q92" s="4" t="s">
        <v>26</v>
      </c>
      <c r="R92" s="4">
        <v>0</v>
      </c>
      <c r="S92" s="4" t="s">
        <v>126</v>
      </c>
      <c r="T92" s="4" t="s">
        <v>386</v>
      </c>
      <c r="U92" s="4">
        <v>0</v>
      </c>
      <c r="V92" s="4">
        <v>7</v>
      </c>
      <c r="W92" s="4">
        <v>62</v>
      </c>
    </row>
    <row r="93" spans="1:23" ht="11.25" customHeight="1" x14ac:dyDescent="0.25">
      <c r="A93" s="4" t="s">
        <v>21</v>
      </c>
      <c r="B93" s="4" t="s">
        <v>33</v>
      </c>
      <c r="C93" s="4" t="s">
        <v>41</v>
      </c>
      <c r="D93" s="4" t="s">
        <v>43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44348</v>
      </c>
      <c r="J93" s="6">
        <v>220</v>
      </c>
      <c r="K93" s="6">
        <v>220</v>
      </c>
      <c r="L93" s="6">
        <v>44.140999999999998</v>
      </c>
      <c r="M93" s="6">
        <v>44.140999999999998</v>
      </c>
      <c r="N93" s="6">
        <v>44.140999999999998</v>
      </c>
      <c r="O93" s="6">
        <v>44.140999999999998</v>
      </c>
      <c r="P93" s="6">
        <v>0</v>
      </c>
      <c r="Q93" s="4" t="s">
        <v>26</v>
      </c>
      <c r="R93" s="4">
        <v>0</v>
      </c>
      <c r="S93" s="4" t="s">
        <v>127</v>
      </c>
      <c r="T93" s="4" t="s">
        <v>387</v>
      </c>
      <c r="U93" s="4">
        <v>14</v>
      </c>
      <c r="V93" s="4">
        <v>15</v>
      </c>
      <c r="W93" s="4">
        <v>66</v>
      </c>
    </row>
    <row r="94" spans="1:23" ht="11.25" customHeight="1" x14ac:dyDescent="0.25">
      <c r="A94" s="4" t="s">
        <v>21</v>
      </c>
      <c r="B94" s="4" t="s">
        <v>33</v>
      </c>
      <c r="C94" s="4" t="s">
        <v>41</v>
      </c>
      <c r="D94" s="4" t="s">
        <v>43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44348</v>
      </c>
      <c r="J94" s="6">
        <v>4950</v>
      </c>
      <c r="K94" s="6">
        <v>4950</v>
      </c>
      <c r="L94" s="6">
        <v>2436.06</v>
      </c>
      <c r="M94" s="6">
        <v>2436.06</v>
      </c>
      <c r="N94" s="6">
        <v>0</v>
      </c>
      <c r="O94" s="6">
        <v>0</v>
      </c>
      <c r="P94" s="6">
        <v>0</v>
      </c>
      <c r="Q94" s="4" t="s">
        <v>53</v>
      </c>
      <c r="R94" s="4">
        <v>0</v>
      </c>
      <c r="S94" s="4" t="s">
        <v>127</v>
      </c>
      <c r="U94" s="4">
        <v>14</v>
      </c>
      <c r="V94" s="4">
        <v>15</v>
      </c>
      <c r="W94" s="4">
        <v>0</v>
      </c>
    </row>
    <row r="95" spans="1:23" ht="11.25" customHeight="1" x14ac:dyDescent="0.25">
      <c r="A95" s="4" t="s">
        <v>21</v>
      </c>
      <c r="B95" s="4" t="s">
        <v>33</v>
      </c>
      <c r="C95" s="4" t="s">
        <v>41</v>
      </c>
      <c r="D95" s="4" t="s">
        <v>43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44378</v>
      </c>
      <c r="J95" s="6">
        <v>220</v>
      </c>
      <c r="K95" s="6">
        <v>220</v>
      </c>
      <c r="L95" s="6">
        <v>45.847000000000001</v>
      </c>
      <c r="M95" s="6">
        <v>45.847000000000001</v>
      </c>
      <c r="N95" s="6">
        <v>45.847000000000001</v>
      </c>
      <c r="O95" s="6">
        <v>45.847000000000001</v>
      </c>
      <c r="P95" s="6">
        <v>0</v>
      </c>
      <c r="Q95" s="4" t="s">
        <v>26</v>
      </c>
      <c r="R95" s="4">
        <v>0</v>
      </c>
      <c r="S95" s="4" t="s">
        <v>128</v>
      </c>
      <c r="T95" s="4" t="s">
        <v>388</v>
      </c>
      <c r="U95" s="4">
        <v>14</v>
      </c>
      <c r="V95" s="4">
        <v>15</v>
      </c>
      <c r="W95" s="4">
        <v>66</v>
      </c>
    </row>
    <row r="96" spans="1:23" ht="11.25" customHeight="1" x14ac:dyDescent="0.25">
      <c r="A96" s="4" t="s">
        <v>21</v>
      </c>
      <c r="B96" s="4" t="s">
        <v>33</v>
      </c>
      <c r="C96" s="4" t="s">
        <v>41</v>
      </c>
      <c r="D96" s="4" t="s">
        <v>43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44378</v>
      </c>
      <c r="J96" s="6">
        <v>4950</v>
      </c>
      <c r="K96" s="6">
        <v>4950</v>
      </c>
      <c r="L96" s="6">
        <v>2118.0160000000001</v>
      </c>
      <c r="M96" s="6">
        <v>2118.0160000000001</v>
      </c>
      <c r="N96" s="6">
        <v>0</v>
      </c>
      <c r="O96" s="6">
        <v>0</v>
      </c>
      <c r="P96" s="6">
        <v>0</v>
      </c>
      <c r="Q96" s="4" t="s">
        <v>53</v>
      </c>
      <c r="R96" s="4">
        <v>0</v>
      </c>
      <c r="S96" s="4" t="s">
        <v>128</v>
      </c>
      <c r="U96" s="4">
        <v>14</v>
      </c>
      <c r="V96" s="4">
        <v>15</v>
      </c>
      <c r="W96" s="4">
        <v>0</v>
      </c>
    </row>
    <row r="97" spans="1:23" ht="11.25" customHeight="1" x14ac:dyDescent="0.25">
      <c r="A97" s="4" t="s">
        <v>21</v>
      </c>
      <c r="B97" s="4" t="s">
        <v>33</v>
      </c>
      <c r="C97" s="4" t="s">
        <v>41</v>
      </c>
      <c r="D97" s="4" t="s">
        <v>43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44409</v>
      </c>
      <c r="J97" s="6">
        <v>220</v>
      </c>
      <c r="K97" s="6">
        <v>220</v>
      </c>
      <c r="L97" s="6">
        <v>46.393000000000001</v>
      </c>
      <c r="M97" s="6">
        <v>46.393000000000001</v>
      </c>
      <c r="N97" s="6">
        <v>46.393000000000001</v>
      </c>
      <c r="O97" s="6">
        <v>46.393000000000001</v>
      </c>
      <c r="P97" s="6">
        <v>0</v>
      </c>
      <c r="Q97" s="4" t="s">
        <v>26</v>
      </c>
      <c r="R97" s="4">
        <v>0</v>
      </c>
      <c r="S97" s="4" t="s">
        <v>129</v>
      </c>
      <c r="T97" s="4" t="s">
        <v>389</v>
      </c>
      <c r="U97" s="4">
        <v>14</v>
      </c>
      <c r="V97" s="4">
        <v>15</v>
      </c>
      <c r="W97" s="4">
        <v>66</v>
      </c>
    </row>
    <row r="98" spans="1:23" ht="11.25" customHeight="1" x14ac:dyDescent="0.25">
      <c r="A98" s="4" t="s">
        <v>21</v>
      </c>
      <c r="B98" s="4" t="s">
        <v>33</v>
      </c>
      <c r="C98" s="4" t="s">
        <v>41</v>
      </c>
      <c r="D98" s="4" t="s">
        <v>43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44409</v>
      </c>
      <c r="J98" s="6">
        <v>4950</v>
      </c>
      <c r="K98" s="6">
        <v>4950</v>
      </c>
      <c r="L98" s="6">
        <v>2144.0639999999999</v>
      </c>
      <c r="M98" s="6">
        <v>2144.0639999999999</v>
      </c>
      <c r="N98" s="6">
        <v>0</v>
      </c>
      <c r="O98" s="6">
        <v>0</v>
      </c>
      <c r="P98" s="6">
        <v>0</v>
      </c>
      <c r="Q98" s="4" t="s">
        <v>53</v>
      </c>
      <c r="R98" s="4">
        <v>0</v>
      </c>
      <c r="S98" s="4" t="s">
        <v>129</v>
      </c>
      <c r="U98" s="4">
        <v>14</v>
      </c>
      <c r="V98" s="4">
        <v>15</v>
      </c>
      <c r="W98" s="4">
        <v>0</v>
      </c>
    </row>
    <row r="99" spans="1:23" ht="11.25" customHeight="1" x14ac:dyDescent="0.25">
      <c r="A99" s="4" t="s">
        <v>21</v>
      </c>
      <c r="B99" s="4" t="s">
        <v>33</v>
      </c>
      <c r="C99" s="4" t="s">
        <v>41</v>
      </c>
      <c r="D99" s="4" t="s">
        <v>43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44440</v>
      </c>
      <c r="J99" s="6">
        <v>220</v>
      </c>
      <c r="K99" s="6">
        <v>220</v>
      </c>
      <c r="L99" s="6">
        <v>45.607999999999997</v>
      </c>
      <c r="M99" s="6">
        <v>45.607999999999997</v>
      </c>
      <c r="N99" s="6">
        <v>45.607999999999997</v>
      </c>
      <c r="O99" s="6">
        <v>45.607999999999997</v>
      </c>
      <c r="P99" s="6">
        <v>0</v>
      </c>
      <c r="Q99" s="4" t="s">
        <v>26</v>
      </c>
      <c r="R99" s="4">
        <v>0</v>
      </c>
      <c r="S99" s="4" t="s">
        <v>130</v>
      </c>
      <c r="T99" s="4" t="s">
        <v>390</v>
      </c>
      <c r="U99" s="4">
        <v>14</v>
      </c>
      <c r="V99" s="4">
        <v>15</v>
      </c>
      <c r="W99" s="4">
        <v>66</v>
      </c>
    </row>
    <row r="100" spans="1:23" ht="11.25" customHeight="1" x14ac:dyDescent="0.25">
      <c r="A100" s="4" t="s">
        <v>21</v>
      </c>
      <c r="B100" s="4" t="s">
        <v>33</v>
      </c>
      <c r="C100" s="4" t="s">
        <v>41</v>
      </c>
      <c r="D100" s="4" t="s">
        <v>43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44440</v>
      </c>
      <c r="J100" s="6">
        <v>4950</v>
      </c>
      <c r="K100" s="6">
        <v>4950</v>
      </c>
      <c r="L100" s="6">
        <v>2520.5880000000002</v>
      </c>
      <c r="M100" s="6">
        <v>2520.5880000000002</v>
      </c>
      <c r="N100" s="6">
        <v>0</v>
      </c>
      <c r="O100" s="6">
        <v>0</v>
      </c>
      <c r="P100" s="6">
        <v>0</v>
      </c>
      <c r="Q100" s="4" t="s">
        <v>53</v>
      </c>
      <c r="R100" s="4">
        <v>0</v>
      </c>
      <c r="S100" s="4" t="s">
        <v>130</v>
      </c>
      <c r="U100" s="4">
        <v>14</v>
      </c>
      <c r="V100" s="4">
        <v>15</v>
      </c>
      <c r="W100" s="4">
        <v>0</v>
      </c>
    </row>
    <row r="101" spans="1:23" ht="11.25" customHeight="1" x14ac:dyDescent="0.25">
      <c r="A101" s="4" t="s">
        <v>21</v>
      </c>
      <c r="B101" s="4" t="s">
        <v>33</v>
      </c>
      <c r="C101" s="4" t="s">
        <v>41</v>
      </c>
      <c r="D101" s="4" t="s">
        <v>43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44470</v>
      </c>
      <c r="J101" s="6">
        <v>220</v>
      </c>
      <c r="K101" s="6">
        <v>220</v>
      </c>
      <c r="L101" s="6">
        <v>46.792000000000002</v>
      </c>
      <c r="M101" s="6">
        <v>46.792000000000002</v>
      </c>
      <c r="N101" s="6">
        <v>46.792000000000002</v>
      </c>
      <c r="O101" s="6">
        <v>46.792000000000002</v>
      </c>
      <c r="P101" s="6">
        <v>0</v>
      </c>
      <c r="Q101" s="4" t="s">
        <v>26</v>
      </c>
      <c r="R101" s="4">
        <v>0</v>
      </c>
      <c r="S101" s="4" t="s">
        <v>131</v>
      </c>
      <c r="T101" s="4" t="s">
        <v>391</v>
      </c>
      <c r="U101" s="4">
        <v>14</v>
      </c>
      <c r="V101" s="4">
        <v>15</v>
      </c>
      <c r="W101" s="4">
        <v>66</v>
      </c>
    </row>
    <row r="102" spans="1:23" ht="11.25" customHeight="1" x14ac:dyDescent="0.25">
      <c r="A102" s="4" t="s">
        <v>21</v>
      </c>
      <c r="B102" s="4" t="s">
        <v>33</v>
      </c>
      <c r="C102" s="4" t="s">
        <v>41</v>
      </c>
      <c r="D102" s="4" t="s">
        <v>43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44470</v>
      </c>
      <c r="J102" s="6">
        <v>5072</v>
      </c>
      <c r="K102" s="6">
        <v>5072</v>
      </c>
      <c r="L102" s="6">
        <v>2495.377</v>
      </c>
      <c r="M102" s="6">
        <v>2495.377</v>
      </c>
      <c r="N102" s="6">
        <v>0</v>
      </c>
      <c r="O102" s="6">
        <v>0</v>
      </c>
      <c r="P102" s="6">
        <v>0</v>
      </c>
      <c r="Q102" s="4" t="s">
        <v>53</v>
      </c>
      <c r="R102" s="4">
        <v>0</v>
      </c>
      <c r="S102" s="4" t="s">
        <v>131</v>
      </c>
      <c r="U102" s="4">
        <v>14</v>
      </c>
      <c r="V102" s="4">
        <v>15</v>
      </c>
      <c r="W102" s="4">
        <v>0</v>
      </c>
    </row>
    <row r="103" spans="1:23" ht="11.25" customHeight="1" x14ac:dyDescent="0.25">
      <c r="A103" s="4" t="s">
        <v>21</v>
      </c>
      <c r="B103" s="4" t="s">
        <v>33</v>
      </c>
      <c r="C103" s="4" t="s">
        <v>41</v>
      </c>
      <c r="D103" s="4" t="s">
        <v>43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44501</v>
      </c>
      <c r="J103" s="6">
        <v>231</v>
      </c>
      <c r="K103" s="6">
        <v>231</v>
      </c>
      <c r="L103" s="6">
        <v>48.429000000000002</v>
      </c>
      <c r="M103" s="6">
        <v>48.429000000000002</v>
      </c>
      <c r="N103" s="6">
        <v>48.429000000000002</v>
      </c>
      <c r="O103" s="6">
        <v>48.429000000000002</v>
      </c>
      <c r="P103" s="6">
        <v>0</v>
      </c>
      <c r="Q103" s="4" t="s">
        <v>26</v>
      </c>
      <c r="R103" s="4">
        <v>0</v>
      </c>
      <c r="S103" s="4" t="s">
        <v>132</v>
      </c>
      <c r="T103" s="4" t="s">
        <v>392</v>
      </c>
      <c r="U103" s="4">
        <v>14</v>
      </c>
      <c r="V103" s="4">
        <v>15</v>
      </c>
      <c r="W103" s="4">
        <v>66</v>
      </c>
    </row>
    <row r="104" spans="1:23" ht="11.25" customHeight="1" x14ac:dyDescent="0.25">
      <c r="A104" s="4" t="s">
        <v>21</v>
      </c>
      <c r="B104" s="4" t="s">
        <v>33</v>
      </c>
      <c r="C104" s="4" t="s">
        <v>41</v>
      </c>
      <c r="D104" s="4" t="s">
        <v>43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44501</v>
      </c>
      <c r="J104" s="6">
        <v>4959</v>
      </c>
      <c r="K104" s="6">
        <v>4959</v>
      </c>
      <c r="L104" s="6">
        <v>2724.451</v>
      </c>
      <c r="M104" s="6">
        <v>2724.451</v>
      </c>
      <c r="N104" s="6">
        <v>0</v>
      </c>
      <c r="O104" s="6">
        <v>0</v>
      </c>
      <c r="P104" s="6">
        <v>0</v>
      </c>
      <c r="Q104" s="4" t="s">
        <v>53</v>
      </c>
      <c r="R104" s="4">
        <v>0</v>
      </c>
      <c r="S104" s="4" t="s">
        <v>132</v>
      </c>
      <c r="U104" s="4">
        <v>14</v>
      </c>
      <c r="V104" s="4">
        <v>15</v>
      </c>
      <c r="W104" s="4">
        <v>0</v>
      </c>
    </row>
    <row r="105" spans="1:23" ht="11.25" customHeight="1" x14ac:dyDescent="0.25">
      <c r="A105" s="4" t="s">
        <v>21</v>
      </c>
      <c r="B105" s="4" t="s">
        <v>33</v>
      </c>
      <c r="C105" s="4" t="s">
        <v>41</v>
      </c>
      <c r="D105" s="4" t="s">
        <v>43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251</v>
      </c>
      <c r="K105" s="6">
        <v>251</v>
      </c>
      <c r="L105" s="6">
        <v>50.93</v>
      </c>
      <c r="M105" s="6">
        <v>50.93</v>
      </c>
      <c r="N105" s="6">
        <v>50.93</v>
      </c>
      <c r="O105" s="6">
        <v>50.93</v>
      </c>
      <c r="P105" s="6">
        <v>0</v>
      </c>
      <c r="Q105" s="4" t="s">
        <v>26</v>
      </c>
      <c r="R105" s="4">
        <v>0</v>
      </c>
      <c r="S105" s="4" t="s">
        <v>133</v>
      </c>
      <c r="T105" s="4" t="s">
        <v>393</v>
      </c>
      <c r="U105" s="4">
        <v>14</v>
      </c>
      <c r="V105" s="4">
        <v>15</v>
      </c>
      <c r="W105" s="4">
        <v>66</v>
      </c>
    </row>
    <row r="106" spans="1:23" ht="11.25" customHeight="1" x14ac:dyDescent="0.25">
      <c r="A106" s="4" t="s">
        <v>21</v>
      </c>
      <c r="B106" s="4" t="s">
        <v>33</v>
      </c>
      <c r="C106" s="4" t="s">
        <v>41</v>
      </c>
      <c r="D106" s="4" t="s">
        <v>43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44531</v>
      </c>
      <c r="J106" s="6">
        <v>5167</v>
      </c>
      <c r="K106" s="6">
        <v>5167</v>
      </c>
      <c r="L106" s="6">
        <v>2521.7220000000002</v>
      </c>
      <c r="M106" s="6">
        <v>2521.7220000000002</v>
      </c>
      <c r="N106" s="6">
        <v>0</v>
      </c>
      <c r="O106" s="6">
        <v>0</v>
      </c>
      <c r="P106" s="6">
        <v>0</v>
      </c>
      <c r="Q106" s="4" t="s">
        <v>53</v>
      </c>
      <c r="R106" s="4">
        <v>0</v>
      </c>
      <c r="S106" s="4" t="s">
        <v>133</v>
      </c>
      <c r="U106" s="4">
        <v>14</v>
      </c>
      <c r="V106" s="4">
        <v>15</v>
      </c>
      <c r="W106" s="4">
        <v>0</v>
      </c>
    </row>
    <row r="107" spans="1:23" ht="11.25" customHeight="1" x14ac:dyDescent="0.25">
      <c r="A107" s="4" t="s">
        <v>21</v>
      </c>
      <c r="B107" s="4" t="s">
        <v>33</v>
      </c>
      <c r="C107" s="4" t="s">
        <v>41</v>
      </c>
      <c r="D107" s="4" t="s">
        <v>43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44562</v>
      </c>
      <c r="J107" s="6">
        <v>275</v>
      </c>
      <c r="K107" s="6">
        <v>275</v>
      </c>
      <c r="L107" s="6">
        <v>60.686</v>
      </c>
      <c r="M107" s="6">
        <v>60.686</v>
      </c>
      <c r="N107" s="6">
        <v>60.686</v>
      </c>
      <c r="O107" s="6">
        <v>60.686</v>
      </c>
      <c r="P107" s="6">
        <v>0</v>
      </c>
      <c r="Q107" s="4" t="s">
        <v>26</v>
      </c>
      <c r="R107" s="4">
        <v>0</v>
      </c>
      <c r="S107" s="4" t="s">
        <v>134</v>
      </c>
      <c r="T107" s="4" t="s">
        <v>394</v>
      </c>
      <c r="U107" s="4">
        <v>14</v>
      </c>
      <c r="V107" s="4">
        <v>15</v>
      </c>
      <c r="W107" s="4">
        <v>66</v>
      </c>
    </row>
    <row r="108" spans="1:23" ht="11.25" customHeight="1" x14ac:dyDescent="0.25">
      <c r="A108" s="4" t="s">
        <v>21</v>
      </c>
      <c r="B108" s="4" t="s">
        <v>33</v>
      </c>
      <c r="C108" s="4" t="s">
        <v>41</v>
      </c>
      <c r="D108" s="4" t="s">
        <v>43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44562</v>
      </c>
      <c r="J108" s="6">
        <v>4951</v>
      </c>
      <c r="K108" s="6">
        <v>4951</v>
      </c>
      <c r="L108" s="6">
        <v>2388.4650000000001</v>
      </c>
      <c r="M108" s="6">
        <v>2388.4650000000001</v>
      </c>
      <c r="N108" s="6">
        <v>0</v>
      </c>
      <c r="O108" s="6">
        <v>0</v>
      </c>
      <c r="P108" s="6">
        <v>0</v>
      </c>
      <c r="Q108" s="4" t="s">
        <v>53</v>
      </c>
      <c r="R108" s="4">
        <v>0</v>
      </c>
      <c r="S108" s="4" t="s">
        <v>134</v>
      </c>
      <c r="U108" s="4">
        <v>14</v>
      </c>
      <c r="V108" s="4">
        <v>15</v>
      </c>
      <c r="W108" s="4">
        <v>0</v>
      </c>
    </row>
    <row r="109" spans="1:23" ht="11.25" customHeight="1" x14ac:dyDescent="0.25">
      <c r="A109" s="4" t="s">
        <v>21</v>
      </c>
      <c r="B109" s="4" t="s">
        <v>33</v>
      </c>
      <c r="C109" s="4" t="s">
        <v>41</v>
      </c>
      <c r="D109" s="4" t="s">
        <v>43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44593</v>
      </c>
      <c r="J109" s="6">
        <v>240</v>
      </c>
      <c r="K109" s="6">
        <v>240</v>
      </c>
      <c r="L109" s="6">
        <v>49.173000000000002</v>
      </c>
      <c r="M109" s="6">
        <v>49.173000000000002</v>
      </c>
      <c r="N109" s="6">
        <v>49.173000000000002</v>
      </c>
      <c r="O109" s="6">
        <v>49.173000000000002</v>
      </c>
      <c r="P109" s="6">
        <v>0</v>
      </c>
      <c r="Q109" s="4" t="s">
        <v>26</v>
      </c>
      <c r="R109" s="4">
        <v>0</v>
      </c>
      <c r="S109" s="4" t="s">
        <v>135</v>
      </c>
      <c r="T109" s="4" t="s">
        <v>395</v>
      </c>
      <c r="U109" s="4">
        <v>14</v>
      </c>
      <c r="V109" s="4">
        <v>15</v>
      </c>
      <c r="W109" s="4">
        <v>66</v>
      </c>
    </row>
    <row r="110" spans="1:23" ht="11.25" customHeight="1" x14ac:dyDescent="0.25">
      <c r="A110" s="4" t="s">
        <v>21</v>
      </c>
      <c r="B110" s="4" t="s">
        <v>33</v>
      </c>
      <c r="C110" s="4" t="s">
        <v>41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44593</v>
      </c>
      <c r="J110" s="6">
        <v>4950</v>
      </c>
      <c r="K110" s="6">
        <v>4950</v>
      </c>
      <c r="L110" s="6">
        <v>2417.962</v>
      </c>
      <c r="M110" s="6">
        <v>2417.962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4" t="s">
        <v>135</v>
      </c>
      <c r="U110" s="4">
        <v>14</v>
      </c>
      <c r="V110" s="4">
        <v>15</v>
      </c>
      <c r="W110" s="4">
        <v>0</v>
      </c>
    </row>
    <row r="111" spans="1:23" ht="11.25" customHeight="1" x14ac:dyDescent="0.25">
      <c r="A111" s="4" t="s">
        <v>21</v>
      </c>
      <c r="B111" s="4" t="s">
        <v>33</v>
      </c>
      <c r="C111" s="4" t="s">
        <v>41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44621</v>
      </c>
      <c r="J111" s="6">
        <v>256</v>
      </c>
      <c r="K111" s="6">
        <v>256</v>
      </c>
      <c r="L111" s="6">
        <v>55.8</v>
      </c>
      <c r="M111" s="6">
        <v>55.8</v>
      </c>
      <c r="N111" s="6">
        <v>55.8</v>
      </c>
      <c r="O111" s="6">
        <v>55.8</v>
      </c>
      <c r="P111" s="6">
        <v>0</v>
      </c>
      <c r="Q111" s="4" t="s">
        <v>26</v>
      </c>
      <c r="R111" s="4">
        <v>0</v>
      </c>
      <c r="S111" s="4" t="s">
        <v>136</v>
      </c>
      <c r="T111" s="4" t="s">
        <v>396</v>
      </c>
      <c r="U111" s="4">
        <v>14</v>
      </c>
      <c r="V111" s="4">
        <v>15</v>
      </c>
      <c r="W111" s="4">
        <v>66</v>
      </c>
    </row>
    <row r="112" spans="1:23" ht="11.25" customHeight="1" x14ac:dyDescent="0.25">
      <c r="A112" s="4" t="s">
        <v>21</v>
      </c>
      <c r="B112" s="4" t="s">
        <v>33</v>
      </c>
      <c r="C112" s="4" t="s">
        <v>41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4994</v>
      </c>
      <c r="K112" s="6">
        <v>4994</v>
      </c>
      <c r="L112" s="6">
        <v>2358.5079999999998</v>
      </c>
      <c r="M112" s="6">
        <v>2358.5079999999998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4" t="s">
        <v>136</v>
      </c>
      <c r="U112" s="4">
        <v>14</v>
      </c>
      <c r="V112" s="4">
        <v>15</v>
      </c>
      <c r="W112" s="4">
        <v>0</v>
      </c>
    </row>
    <row r="113" spans="1:23" ht="11.25" customHeight="1" x14ac:dyDescent="0.25">
      <c r="A113" s="4" t="s">
        <v>21</v>
      </c>
      <c r="B113" s="4" t="s">
        <v>33</v>
      </c>
      <c r="C113" s="4" t="s">
        <v>41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220</v>
      </c>
      <c r="K113" s="6">
        <v>220</v>
      </c>
      <c r="L113" s="6">
        <v>48.951999999999998</v>
      </c>
      <c r="M113" s="6">
        <v>48.951999999999998</v>
      </c>
      <c r="N113" s="6">
        <v>48.951999999999998</v>
      </c>
      <c r="O113" s="6">
        <v>48.951999999999998</v>
      </c>
      <c r="P113" s="6">
        <v>0</v>
      </c>
      <c r="Q113" s="4" t="s">
        <v>26</v>
      </c>
      <c r="R113" s="4">
        <v>0</v>
      </c>
      <c r="S113" s="4" t="s">
        <v>137</v>
      </c>
      <c r="T113" s="4" t="s">
        <v>397</v>
      </c>
      <c r="U113" s="4">
        <v>14</v>
      </c>
      <c r="V113" s="4">
        <v>15</v>
      </c>
      <c r="W113" s="4">
        <v>66</v>
      </c>
    </row>
    <row r="114" spans="1:23" ht="11.25" customHeight="1" x14ac:dyDescent="0.25">
      <c r="A114" s="4" t="s">
        <v>21</v>
      </c>
      <c r="B114" s="4" t="s">
        <v>33</v>
      </c>
      <c r="C114" s="4" t="s">
        <v>41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44652</v>
      </c>
      <c r="J114" s="6">
        <v>4950</v>
      </c>
      <c r="K114" s="6">
        <v>4950</v>
      </c>
      <c r="L114" s="6">
        <v>2402.2979999999998</v>
      </c>
      <c r="M114" s="6">
        <v>2402.2979999999998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4" t="s">
        <v>137</v>
      </c>
      <c r="U114" s="4">
        <v>14</v>
      </c>
      <c r="V114" s="4">
        <v>15</v>
      </c>
      <c r="W114" s="4">
        <v>0</v>
      </c>
    </row>
    <row r="115" spans="1:23" ht="11.25" customHeight="1" x14ac:dyDescent="0.25">
      <c r="A115" s="4" t="s">
        <v>21</v>
      </c>
      <c r="B115" s="4" t="s">
        <v>33</v>
      </c>
      <c r="C115" s="4" t="s">
        <v>41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44682</v>
      </c>
      <c r="J115" s="6">
        <v>220</v>
      </c>
      <c r="K115" s="6">
        <v>220</v>
      </c>
      <c r="L115" s="6">
        <v>48.293999999999997</v>
      </c>
      <c r="M115" s="6">
        <v>48.293999999999997</v>
      </c>
      <c r="N115" s="6">
        <v>48.293999999999997</v>
      </c>
      <c r="O115" s="6">
        <v>48.293999999999997</v>
      </c>
      <c r="P115" s="6">
        <v>0</v>
      </c>
      <c r="Q115" s="4" t="s">
        <v>26</v>
      </c>
      <c r="R115" s="4">
        <v>0</v>
      </c>
      <c r="S115" s="4" t="s">
        <v>138</v>
      </c>
      <c r="T115" s="4" t="s">
        <v>398</v>
      </c>
      <c r="U115" s="4">
        <v>14</v>
      </c>
      <c r="V115" s="4">
        <v>15</v>
      </c>
      <c r="W115" s="4">
        <v>66</v>
      </c>
    </row>
    <row r="116" spans="1:23" ht="11.25" customHeight="1" x14ac:dyDescent="0.25">
      <c r="A116" s="4" t="s">
        <v>21</v>
      </c>
      <c r="B116" s="4" t="s">
        <v>33</v>
      </c>
      <c r="C116" s="4" t="s">
        <v>41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44682</v>
      </c>
      <c r="J116" s="6">
        <v>4950</v>
      </c>
      <c r="K116" s="6">
        <v>4950</v>
      </c>
      <c r="L116" s="6">
        <v>2323.3539999999998</v>
      </c>
      <c r="M116" s="6">
        <v>2323.3539999999998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4" t="s">
        <v>138</v>
      </c>
      <c r="U116" s="4">
        <v>14</v>
      </c>
      <c r="V116" s="4">
        <v>15</v>
      </c>
      <c r="W116" s="4">
        <v>0</v>
      </c>
    </row>
    <row r="117" spans="1:23" ht="11.25" customHeight="1" x14ac:dyDescent="0.25">
      <c r="A117" s="4" t="s">
        <v>21</v>
      </c>
      <c r="B117" s="4" t="s">
        <v>33</v>
      </c>
      <c r="C117" s="4" t="s">
        <v>41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44348</v>
      </c>
      <c r="J117" s="6">
        <v>220</v>
      </c>
      <c r="K117" s="6">
        <v>220</v>
      </c>
      <c r="L117" s="6">
        <v>5.8179999999999996</v>
      </c>
      <c r="M117" s="6">
        <v>5.8179999999999996</v>
      </c>
      <c r="N117" s="6">
        <v>5.8179999999999996</v>
      </c>
      <c r="O117" s="6">
        <v>5.8179999999999996</v>
      </c>
      <c r="P117" s="6">
        <v>0</v>
      </c>
      <c r="Q117" s="4" t="s">
        <v>26</v>
      </c>
      <c r="R117" s="4">
        <v>0</v>
      </c>
      <c r="S117" s="4" t="s">
        <v>139</v>
      </c>
      <c r="T117" s="4" t="s">
        <v>399</v>
      </c>
      <c r="U117" s="4">
        <v>13</v>
      </c>
      <c r="V117" s="4">
        <v>15</v>
      </c>
      <c r="W117" s="4">
        <v>65</v>
      </c>
    </row>
    <row r="118" spans="1:23" ht="11.25" customHeight="1" x14ac:dyDescent="0.25">
      <c r="A118" s="4" t="s">
        <v>21</v>
      </c>
      <c r="B118" s="4" t="s">
        <v>33</v>
      </c>
      <c r="C118" s="4" t="s">
        <v>41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44348</v>
      </c>
      <c r="J118" s="6">
        <v>4519</v>
      </c>
      <c r="K118" s="6">
        <v>4519</v>
      </c>
      <c r="L118" s="6">
        <v>213.274</v>
      </c>
      <c r="M118" s="6">
        <v>213.274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4" t="s">
        <v>139</v>
      </c>
      <c r="U118" s="4">
        <v>13</v>
      </c>
      <c r="V118" s="4">
        <v>15</v>
      </c>
      <c r="W118" s="4">
        <v>0</v>
      </c>
    </row>
    <row r="119" spans="1:23" ht="11.25" customHeight="1" x14ac:dyDescent="0.25">
      <c r="A119" s="4" t="s">
        <v>21</v>
      </c>
      <c r="B119" s="4" t="s">
        <v>33</v>
      </c>
      <c r="C119" s="4" t="s">
        <v>41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44378</v>
      </c>
      <c r="J119" s="6">
        <v>220</v>
      </c>
      <c r="K119" s="6">
        <v>220</v>
      </c>
      <c r="L119" s="6">
        <v>6.56</v>
      </c>
      <c r="M119" s="6">
        <v>6.56</v>
      </c>
      <c r="N119" s="6">
        <v>6.56</v>
      </c>
      <c r="O119" s="6">
        <v>6.56</v>
      </c>
      <c r="P119" s="6">
        <v>0</v>
      </c>
      <c r="Q119" s="4" t="s">
        <v>26</v>
      </c>
      <c r="R119" s="4">
        <v>0</v>
      </c>
      <c r="S119" s="4" t="s">
        <v>140</v>
      </c>
      <c r="T119" s="4" t="s">
        <v>400</v>
      </c>
      <c r="U119" s="4">
        <v>13</v>
      </c>
      <c r="V119" s="4">
        <v>15</v>
      </c>
      <c r="W119" s="4">
        <v>65</v>
      </c>
    </row>
    <row r="120" spans="1:23" ht="11.25" customHeight="1" x14ac:dyDescent="0.25">
      <c r="A120" s="4" t="s">
        <v>21</v>
      </c>
      <c r="B120" s="4" t="s">
        <v>33</v>
      </c>
      <c r="C120" s="4" t="s">
        <v>41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44378</v>
      </c>
      <c r="J120" s="6">
        <v>4692</v>
      </c>
      <c r="K120" s="6">
        <v>4692</v>
      </c>
      <c r="L120" s="6">
        <v>224.55099999999999</v>
      </c>
      <c r="M120" s="6">
        <v>224.55099999999999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4" t="s">
        <v>140</v>
      </c>
      <c r="U120" s="4">
        <v>13</v>
      </c>
      <c r="V120" s="4">
        <v>15</v>
      </c>
      <c r="W120" s="4">
        <v>0</v>
      </c>
    </row>
    <row r="121" spans="1:23" ht="11.25" customHeight="1" x14ac:dyDescent="0.25">
      <c r="A121" s="4" t="s">
        <v>21</v>
      </c>
      <c r="B121" s="4" t="s">
        <v>33</v>
      </c>
      <c r="C121" s="4" t="s">
        <v>41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44409</v>
      </c>
      <c r="J121" s="6">
        <v>220</v>
      </c>
      <c r="K121" s="6">
        <v>220</v>
      </c>
      <c r="L121" s="6">
        <v>6.1950000000000003</v>
      </c>
      <c r="M121" s="6">
        <v>6.1950000000000003</v>
      </c>
      <c r="N121" s="6">
        <v>6.1950000000000003</v>
      </c>
      <c r="O121" s="6">
        <v>6.1950000000000003</v>
      </c>
      <c r="P121" s="6">
        <v>0</v>
      </c>
      <c r="Q121" s="4" t="s">
        <v>26</v>
      </c>
      <c r="R121" s="4">
        <v>0</v>
      </c>
      <c r="S121" s="4" t="s">
        <v>141</v>
      </c>
      <c r="T121" s="4" t="s">
        <v>401</v>
      </c>
      <c r="U121" s="4">
        <v>13</v>
      </c>
      <c r="V121" s="4">
        <v>15</v>
      </c>
      <c r="W121" s="4">
        <v>65</v>
      </c>
    </row>
    <row r="122" spans="1:23" ht="11.25" customHeight="1" x14ac:dyDescent="0.25">
      <c r="A122" s="4" t="s">
        <v>21</v>
      </c>
      <c r="B122" s="4" t="s">
        <v>33</v>
      </c>
      <c r="C122" s="4" t="s">
        <v>41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44409</v>
      </c>
      <c r="J122" s="6">
        <v>4500</v>
      </c>
      <c r="K122" s="6">
        <v>4500</v>
      </c>
      <c r="L122" s="6">
        <v>193.452</v>
      </c>
      <c r="M122" s="6">
        <v>193.452</v>
      </c>
      <c r="N122" s="6">
        <v>0</v>
      </c>
      <c r="O122" s="6">
        <v>0</v>
      </c>
      <c r="P122" s="6">
        <v>0</v>
      </c>
      <c r="Q122" s="4" t="s">
        <v>53</v>
      </c>
      <c r="R122" s="4">
        <v>0</v>
      </c>
      <c r="S122" s="4" t="s">
        <v>141</v>
      </c>
      <c r="U122" s="4">
        <v>13</v>
      </c>
      <c r="V122" s="4">
        <v>15</v>
      </c>
      <c r="W122" s="4">
        <v>0</v>
      </c>
    </row>
    <row r="123" spans="1:23" ht="11.25" customHeight="1" x14ac:dyDescent="0.25">
      <c r="A123" s="4" t="s">
        <v>21</v>
      </c>
      <c r="B123" s="4" t="s">
        <v>33</v>
      </c>
      <c r="C123" s="4" t="s">
        <v>41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44440</v>
      </c>
      <c r="J123" s="6">
        <v>220</v>
      </c>
      <c r="K123" s="6">
        <v>220</v>
      </c>
      <c r="L123" s="6">
        <v>5.8570000000000002</v>
      </c>
      <c r="M123" s="6">
        <v>5.8570000000000002</v>
      </c>
      <c r="N123" s="6">
        <v>5.8570000000000002</v>
      </c>
      <c r="O123" s="6">
        <v>5.8570000000000002</v>
      </c>
      <c r="P123" s="6">
        <v>0</v>
      </c>
      <c r="Q123" s="4" t="s">
        <v>26</v>
      </c>
      <c r="R123" s="4">
        <v>0</v>
      </c>
      <c r="S123" s="4" t="s">
        <v>142</v>
      </c>
      <c r="T123" s="4" t="s">
        <v>402</v>
      </c>
      <c r="U123" s="4">
        <v>13</v>
      </c>
      <c r="V123" s="4">
        <v>15</v>
      </c>
      <c r="W123" s="4">
        <v>65</v>
      </c>
    </row>
    <row r="124" spans="1:23" ht="11.25" customHeight="1" x14ac:dyDescent="0.25">
      <c r="A124" s="4" t="s">
        <v>21</v>
      </c>
      <c r="B124" s="4" t="s">
        <v>33</v>
      </c>
      <c r="C124" s="4" t="s">
        <v>41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44440</v>
      </c>
      <c r="J124" s="6">
        <v>4657</v>
      </c>
      <c r="K124" s="6">
        <v>4657</v>
      </c>
      <c r="L124" s="6">
        <v>239.13800000000001</v>
      </c>
      <c r="M124" s="6">
        <v>239.13800000000001</v>
      </c>
      <c r="N124" s="6">
        <v>0</v>
      </c>
      <c r="O124" s="6">
        <v>0</v>
      </c>
      <c r="P124" s="6">
        <v>0</v>
      </c>
      <c r="Q124" s="4" t="s">
        <v>53</v>
      </c>
      <c r="R124" s="4">
        <v>0</v>
      </c>
      <c r="S124" s="4" t="s">
        <v>142</v>
      </c>
      <c r="U124" s="4">
        <v>13</v>
      </c>
      <c r="V124" s="4">
        <v>15</v>
      </c>
      <c r="W124" s="4">
        <v>0</v>
      </c>
    </row>
    <row r="125" spans="1:23" ht="11.25" customHeight="1" x14ac:dyDescent="0.25">
      <c r="A125" s="4" t="s">
        <v>21</v>
      </c>
      <c r="B125" s="4" t="s">
        <v>33</v>
      </c>
      <c r="C125" s="4" t="s">
        <v>41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44470</v>
      </c>
      <c r="J125" s="6">
        <v>220</v>
      </c>
      <c r="K125" s="6">
        <v>220</v>
      </c>
      <c r="L125" s="6">
        <v>5.5880000000000001</v>
      </c>
      <c r="M125" s="6">
        <v>5.5880000000000001</v>
      </c>
      <c r="N125" s="6">
        <v>5.5880000000000001</v>
      </c>
      <c r="O125" s="6">
        <v>5.5880000000000001</v>
      </c>
      <c r="P125" s="6">
        <v>0</v>
      </c>
      <c r="Q125" s="4" t="s">
        <v>26</v>
      </c>
      <c r="R125" s="4">
        <v>0</v>
      </c>
      <c r="S125" s="4" t="s">
        <v>143</v>
      </c>
      <c r="T125" s="4" t="s">
        <v>403</v>
      </c>
      <c r="U125" s="4">
        <v>13</v>
      </c>
      <c r="V125" s="4">
        <v>15</v>
      </c>
      <c r="W125" s="4">
        <v>65</v>
      </c>
    </row>
    <row r="126" spans="1:23" ht="11.25" customHeight="1" x14ac:dyDescent="0.25">
      <c r="A126" s="4" t="s">
        <v>21</v>
      </c>
      <c r="B126" s="4" t="s">
        <v>33</v>
      </c>
      <c r="C126" s="4" t="s">
        <v>41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37</v>
      </c>
      <c r="I126" s="5">
        <v>44470</v>
      </c>
      <c r="J126" s="6">
        <v>4717</v>
      </c>
      <c r="K126" s="6">
        <v>4717</v>
      </c>
      <c r="L126" s="6">
        <v>254.001</v>
      </c>
      <c r="M126" s="6">
        <v>254.001</v>
      </c>
      <c r="N126" s="6">
        <v>0</v>
      </c>
      <c r="O126" s="6">
        <v>0</v>
      </c>
      <c r="P126" s="6">
        <v>0</v>
      </c>
      <c r="Q126" s="4" t="s">
        <v>53</v>
      </c>
      <c r="R126" s="4">
        <v>0</v>
      </c>
      <c r="S126" s="4" t="s">
        <v>143</v>
      </c>
      <c r="U126" s="4">
        <v>13</v>
      </c>
      <c r="V126" s="4">
        <v>15</v>
      </c>
      <c r="W126" s="4">
        <v>0</v>
      </c>
    </row>
    <row r="127" spans="1:23" ht="11.25" customHeight="1" x14ac:dyDescent="0.25">
      <c r="A127" s="4" t="s">
        <v>21</v>
      </c>
      <c r="B127" s="4" t="s">
        <v>33</v>
      </c>
      <c r="C127" s="4" t="s">
        <v>41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37</v>
      </c>
      <c r="I127" s="5">
        <v>44501</v>
      </c>
      <c r="J127" s="6">
        <v>220</v>
      </c>
      <c r="K127" s="6">
        <v>220</v>
      </c>
      <c r="L127" s="6">
        <v>5.6989999999999998</v>
      </c>
      <c r="M127" s="6">
        <v>5.6989999999999998</v>
      </c>
      <c r="N127" s="6">
        <v>5.6989999999999998</v>
      </c>
      <c r="O127" s="6">
        <v>5.6989999999999998</v>
      </c>
      <c r="P127" s="6">
        <v>0</v>
      </c>
      <c r="Q127" s="4" t="s">
        <v>26</v>
      </c>
      <c r="R127" s="4">
        <v>0</v>
      </c>
      <c r="S127" s="4" t="s">
        <v>144</v>
      </c>
      <c r="T127" s="4" t="s">
        <v>404</v>
      </c>
      <c r="U127" s="4">
        <v>13</v>
      </c>
      <c r="V127" s="4">
        <v>15</v>
      </c>
      <c r="W127" s="4">
        <v>65</v>
      </c>
    </row>
    <row r="128" spans="1:23" ht="11.25" customHeight="1" x14ac:dyDescent="0.25">
      <c r="A128" s="4" t="s">
        <v>21</v>
      </c>
      <c r="B128" s="4" t="s">
        <v>33</v>
      </c>
      <c r="C128" s="4" t="s">
        <v>41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44501</v>
      </c>
      <c r="J128" s="6">
        <v>4787</v>
      </c>
      <c r="K128" s="6">
        <v>4787</v>
      </c>
      <c r="L128" s="6">
        <v>238.483</v>
      </c>
      <c r="M128" s="6">
        <v>238.483</v>
      </c>
      <c r="N128" s="6">
        <v>0</v>
      </c>
      <c r="O128" s="6">
        <v>0</v>
      </c>
      <c r="P128" s="6">
        <v>0</v>
      </c>
      <c r="Q128" s="4" t="s">
        <v>53</v>
      </c>
      <c r="R128" s="4">
        <v>0</v>
      </c>
      <c r="S128" s="4" t="s">
        <v>144</v>
      </c>
      <c r="U128" s="4">
        <v>13</v>
      </c>
      <c r="V128" s="4">
        <v>15</v>
      </c>
      <c r="W128" s="4">
        <v>0</v>
      </c>
    </row>
    <row r="129" spans="1:23" ht="11.25" customHeight="1" x14ac:dyDescent="0.25">
      <c r="A129" s="4" t="s">
        <v>21</v>
      </c>
      <c r="B129" s="4" t="s">
        <v>33</v>
      </c>
      <c r="C129" s="4" t="s">
        <v>41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44531</v>
      </c>
      <c r="J129" s="6">
        <v>220</v>
      </c>
      <c r="K129" s="6">
        <v>220</v>
      </c>
      <c r="L129" s="6">
        <v>6.3109999999999999</v>
      </c>
      <c r="M129" s="6">
        <v>6.3109999999999999</v>
      </c>
      <c r="N129" s="6">
        <v>6.3109999999999999</v>
      </c>
      <c r="O129" s="6">
        <v>6.3109999999999999</v>
      </c>
      <c r="P129" s="6">
        <v>0</v>
      </c>
      <c r="Q129" s="4" t="s">
        <v>26</v>
      </c>
      <c r="R129" s="4">
        <v>0</v>
      </c>
      <c r="S129" s="4" t="s">
        <v>145</v>
      </c>
      <c r="T129" s="4" t="s">
        <v>405</v>
      </c>
      <c r="U129" s="4">
        <v>13</v>
      </c>
      <c r="V129" s="4">
        <v>15</v>
      </c>
      <c r="W129" s="4">
        <v>65</v>
      </c>
    </row>
    <row r="130" spans="1:23" ht="11.25" customHeight="1" x14ac:dyDescent="0.25">
      <c r="A130" s="4" t="s">
        <v>21</v>
      </c>
      <c r="B130" s="4" t="s">
        <v>33</v>
      </c>
      <c r="C130" s="4" t="s">
        <v>41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44531</v>
      </c>
      <c r="J130" s="6">
        <v>4830</v>
      </c>
      <c r="K130" s="6">
        <v>4830</v>
      </c>
      <c r="L130" s="6">
        <v>238.26300000000001</v>
      </c>
      <c r="M130" s="6">
        <v>238.26300000000001</v>
      </c>
      <c r="N130" s="6">
        <v>0</v>
      </c>
      <c r="O130" s="6">
        <v>0</v>
      </c>
      <c r="P130" s="6">
        <v>0</v>
      </c>
      <c r="Q130" s="4" t="s">
        <v>53</v>
      </c>
      <c r="R130" s="4">
        <v>0</v>
      </c>
      <c r="S130" s="4" t="s">
        <v>145</v>
      </c>
      <c r="U130" s="4">
        <v>13</v>
      </c>
      <c r="V130" s="4">
        <v>15</v>
      </c>
      <c r="W130" s="4">
        <v>0</v>
      </c>
    </row>
    <row r="131" spans="1:23" ht="11.25" customHeight="1" x14ac:dyDescent="0.25">
      <c r="A131" s="4" t="s">
        <v>21</v>
      </c>
      <c r="B131" s="4" t="s">
        <v>33</v>
      </c>
      <c r="C131" s="4" t="s">
        <v>41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44562</v>
      </c>
      <c r="J131" s="6">
        <v>262</v>
      </c>
      <c r="K131" s="6">
        <v>262</v>
      </c>
      <c r="L131" s="6">
        <v>7.2290000000000001</v>
      </c>
      <c r="M131" s="6">
        <v>7.2290000000000001</v>
      </c>
      <c r="N131" s="6">
        <v>7.2290000000000001</v>
      </c>
      <c r="O131" s="6">
        <v>7.2290000000000001</v>
      </c>
      <c r="P131" s="6">
        <v>0</v>
      </c>
      <c r="Q131" s="4" t="s">
        <v>26</v>
      </c>
      <c r="R131" s="4">
        <v>0</v>
      </c>
      <c r="S131" s="4" t="s">
        <v>146</v>
      </c>
      <c r="T131" s="4" t="s">
        <v>406</v>
      </c>
      <c r="U131" s="4">
        <v>13</v>
      </c>
      <c r="V131" s="4">
        <v>15</v>
      </c>
      <c r="W131" s="4">
        <v>65</v>
      </c>
    </row>
    <row r="132" spans="1:23" ht="11.25" customHeight="1" x14ac:dyDescent="0.25">
      <c r="A132" s="4" t="s">
        <v>21</v>
      </c>
      <c r="B132" s="4" t="s">
        <v>33</v>
      </c>
      <c r="C132" s="4" t="s">
        <v>41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44562</v>
      </c>
      <c r="J132" s="6">
        <v>4648</v>
      </c>
      <c r="K132" s="6">
        <v>4648</v>
      </c>
      <c r="L132" s="6">
        <v>223.71299999999999</v>
      </c>
      <c r="M132" s="6">
        <v>223.71299999999999</v>
      </c>
      <c r="N132" s="6">
        <v>0</v>
      </c>
      <c r="O132" s="6">
        <v>0</v>
      </c>
      <c r="P132" s="6">
        <v>0</v>
      </c>
      <c r="Q132" s="4" t="s">
        <v>53</v>
      </c>
      <c r="R132" s="4">
        <v>0</v>
      </c>
      <c r="S132" s="4" t="s">
        <v>146</v>
      </c>
      <c r="U132" s="4">
        <v>13</v>
      </c>
      <c r="V132" s="4">
        <v>15</v>
      </c>
      <c r="W132" s="4">
        <v>0</v>
      </c>
    </row>
    <row r="133" spans="1:23" ht="11.25" customHeight="1" x14ac:dyDescent="0.25">
      <c r="A133" s="4" t="s">
        <v>21</v>
      </c>
      <c r="B133" s="4" t="s">
        <v>33</v>
      </c>
      <c r="C133" s="4" t="s">
        <v>41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44593</v>
      </c>
      <c r="J133" s="6">
        <v>220</v>
      </c>
      <c r="K133" s="6">
        <v>220</v>
      </c>
      <c r="L133" s="6">
        <v>5.9640000000000004</v>
      </c>
      <c r="M133" s="6">
        <v>5.9640000000000004</v>
      </c>
      <c r="N133" s="6">
        <v>5.9640000000000004</v>
      </c>
      <c r="O133" s="6">
        <v>5.9640000000000004</v>
      </c>
      <c r="P133" s="6">
        <v>0</v>
      </c>
      <c r="Q133" s="4" t="s">
        <v>26</v>
      </c>
      <c r="R133" s="4">
        <v>0</v>
      </c>
      <c r="S133" s="4" t="s">
        <v>147</v>
      </c>
      <c r="T133" s="4" t="s">
        <v>407</v>
      </c>
      <c r="U133" s="4">
        <v>13</v>
      </c>
      <c r="V133" s="4">
        <v>15</v>
      </c>
      <c r="W133" s="4">
        <v>65</v>
      </c>
    </row>
    <row r="134" spans="1:23" ht="11.25" customHeight="1" x14ac:dyDescent="0.25">
      <c r="A134" s="4" t="s">
        <v>21</v>
      </c>
      <c r="B134" s="4" t="s">
        <v>33</v>
      </c>
      <c r="C134" s="4" t="s">
        <v>41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44593</v>
      </c>
      <c r="J134" s="6">
        <v>4709</v>
      </c>
      <c r="K134" s="6">
        <v>4709</v>
      </c>
      <c r="L134" s="6">
        <v>211.92599999999999</v>
      </c>
      <c r="M134" s="6">
        <v>211.92599999999999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4" t="s">
        <v>147</v>
      </c>
      <c r="U134" s="4">
        <v>13</v>
      </c>
      <c r="V134" s="4">
        <v>15</v>
      </c>
      <c r="W134" s="4">
        <v>0</v>
      </c>
    </row>
    <row r="135" spans="1:23" ht="11.25" customHeight="1" x14ac:dyDescent="0.25">
      <c r="A135" s="4" t="s">
        <v>21</v>
      </c>
      <c r="B135" s="4" t="s">
        <v>33</v>
      </c>
      <c r="C135" s="4" t="s">
        <v>41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44621</v>
      </c>
      <c r="J135" s="6">
        <v>220</v>
      </c>
      <c r="K135" s="6">
        <v>220</v>
      </c>
      <c r="L135" s="6">
        <v>6.734</v>
      </c>
      <c r="M135" s="6">
        <v>6.734</v>
      </c>
      <c r="N135" s="6">
        <v>6.734</v>
      </c>
      <c r="O135" s="6">
        <v>6.734</v>
      </c>
      <c r="P135" s="6">
        <v>0</v>
      </c>
      <c r="Q135" s="4" t="s">
        <v>26</v>
      </c>
      <c r="R135" s="4">
        <v>0</v>
      </c>
      <c r="S135" s="4" t="s">
        <v>148</v>
      </c>
      <c r="T135" s="4" t="s">
        <v>408</v>
      </c>
      <c r="U135" s="4">
        <v>13</v>
      </c>
      <c r="V135" s="4">
        <v>15</v>
      </c>
      <c r="W135" s="4">
        <v>65</v>
      </c>
    </row>
    <row r="136" spans="1:23" ht="11.25" customHeight="1" x14ac:dyDescent="0.25">
      <c r="A136" s="4" t="s">
        <v>21</v>
      </c>
      <c r="B136" s="4" t="s">
        <v>33</v>
      </c>
      <c r="C136" s="4" t="s">
        <v>41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44621</v>
      </c>
      <c r="J136" s="6">
        <v>4908</v>
      </c>
      <c r="K136" s="6">
        <v>4908</v>
      </c>
      <c r="L136" s="6">
        <v>224.256</v>
      </c>
      <c r="M136" s="6">
        <v>224.256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4" t="s">
        <v>148</v>
      </c>
      <c r="U136" s="4">
        <v>13</v>
      </c>
      <c r="V136" s="4">
        <v>15</v>
      </c>
      <c r="W136" s="4">
        <v>0</v>
      </c>
    </row>
    <row r="137" spans="1:23" ht="11.25" customHeight="1" x14ac:dyDescent="0.25">
      <c r="A137" s="4" t="s">
        <v>21</v>
      </c>
      <c r="B137" s="4" t="s">
        <v>33</v>
      </c>
      <c r="C137" s="4" t="s">
        <v>41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37</v>
      </c>
      <c r="I137" s="5">
        <v>44652</v>
      </c>
      <c r="J137" s="6">
        <v>220</v>
      </c>
      <c r="K137" s="6">
        <v>220</v>
      </c>
      <c r="L137" s="6">
        <v>5.5119999999999996</v>
      </c>
      <c r="M137" s="6">
        <v>5.5119999999999996</v>
      </c>
      <c r="N137" s="6">
        <v>5.5119999999999996</v>
      </c>
      <c r="O137" s="6">
        <v>5.5119999999999996</v>
      </c>
      <c r="P137" s="6">
        <v>0</v>
      </c>
      <c r="Q137" s="4" t="s">
        <v>26</v>
      </c>
      <c r="R137" s="4">
        <v>0</v>
      </c>
      <c r="S137" s="4" t="s">
        <v>149</v>
      </c>
      <c r="T137" s="4" t="s">
        <v>409</v>
      </c>
      <c r="U137" s="4">
        <v>13</v>
      </c>
      <c r="V137" s="4">
        <v>15</v>
      </c>
      <c r="W137" s="4">
        <v>65</v>
      </c>
    </row>
    <row r="138" spans="1:23" ht="11.25" customHeight="1" x14ac:dyDescent="0.25">
      <c r="A138" s="4" t="s">
        <v>21</v>
      </c>
      <c r="B138" s="4" t="s">
        <v>33</v>
      </c>
      <c r="C138" s="4" t="s">
        <v>41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44652</v>
      </c>
      <c r="J138" s="6">
        <v>4692</v>
      </c>
      <c r="K138" s="6">
        <v>4692</v>
      </c>
      <c r="L138" s="6">
        <v>237.881</v>
      </c>
      <c r="M138" s="6">
        <v>237.881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4" t="s">
        <v>149</v>
      </c>
      <c r="U138" s="4">
        <v>13</v>
      </c>
      <c r="V138" s="4">
        <v>15</v>
      </c>
      <c r="W138" s="4">
        <v>0</v>
      </c>
    </row>
    <row r="139" spans="1:23" ht="11.25" customHeight="1" x14ac:dyDescent="0.25">
      <c r="A139" s="4" t="s">
        <v>21</v>
      </c>
      <c r="B139" s="4" t="s">
        <v>33</v>
      </c>
      <c r="C139" s="4" t="s">
        <v>41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44682</v>
      </c>
      <c r="J139" s="6">
        <v>220</v>
      </c>
      <c r="K139" s="6">
        <v>220</v>
      </c>
      <c r="L139" s="6">
        <v>6.3659999999999997</v>
      </c>
      <c r="M139" s="6">
        <v>6.3659999999999997</v>
      </c>
      <c r="N139" s="6">
        <v>6.3659999999999997</v>
      </c>
      <c r="O139" s="6">
        <v>6.3659999999999997</v>
      </c>
      <c r="P139" s="6">
        <v>0</v>
      </c>
      <c r="Q139" s="4" t="s">
        <v>26</v>
      </c>
      <c r="R139" s="4">
        <v>0</v>
      </c>
      <c r="S139" s="4" t="s">
        <v>150</v>
      </c>
      <c r="T139" s="4" t="s">
        <v>410</v>
      </c>
      <c r="U139" s="4">
        <v>13</v>
      </c>
      <c r="V139" s="4">
        <v>15</v>
      </c>
      <c r="W139" s="4">
        <v>65</v>
      </c>
    </row>
    <row r="140" spans="1:23" ht="11.25" customHeight="1" x14ac:dyDescent="0.25">
      <c r="A140" s="4" t="s">
        <v>21</v>
      </c>
      <c r="B140" s="4" t="s">
        <v>33</v>
      </c>
      <c r="C140" s="4" t="s">
        <v>41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37</v>
      </c>
      <c r="I140" s="5">
        <v>44682</v>
      </c>
      <c r="J140" s="6">
        <v>4666</v>
      </c>
      <c r="K140" s="6">
        <v>4666</v>
      </c>
      <c r="L140" s="6">
        <v>207.71199999999999</v>
      </c>
      <c r="M140" s="6">
        <v>207.71199999999999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4" t="s">
        <v>150</v>
      </c>
      <c r="U140" s="4">
        <v>13</v>
      </c>
      <c r="V140" s="4">
        <v>15</v>
      </c>
      <c r="W140" s="4">
        <v>0</v>
      </c>
    </row>
    <row r="141" spans="1:23" ht="11.25" customHeight="1" x14ac:dyDescent="0.25">
      <c r="A141" s="4" t="s">
        <v>21</v>
      </c>
      <c r="B141" s="4" t="s">
        <v>33</v>
      </c>
      <c r="C141" s="4" t="s">
        <v>41</v>
      </c>
      <c r="D141" s="4" t="s">
        <v>40</v>
      </c>
      <c r="E141" s="4" t="s">
        <v>25</v>
      </c>
      <c r="F141" s="4" t="s">
        <v>54</v>
      </c>
      <c r="G141" s="4" t="s">
        <v>25</v>
      </c>
      <c r="H141" s="4" t="s">
        <v>35</v>
      </c>
      <c r="I141" s="5">
        <v>44621</v>
      </c>
      <c r="J141" s="6">
        <v>500</v>
      </c>
      <c r="K141" s="6">
        <v>250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4" t="s">
        <v>136</v>
      </c>
      <c r="U141" s="4">
        <v>14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33</v>
      </c>
      <c r="C142" s="4" t="s">
        <v>41</v>
      </c>
      <c r="D142" s="4" t="s">
        <v>40</v>
      </c>
      <c r="E142" s="4" t="s">
        <v>25</v>
      </c>
      <c r="F142" s="4" t="s">
        <v>54</v>
      </c>
      <c r="G142" s="4" t="s">
        <v>25</v>
      </c>
      <c r="H142" s="4" t="s">
        <v>35</v>
      </c>
      <c r="I142" s="5">
        <v>44652</v>
      </c>
      <c r="J142" s="6">
        <v>500</v>
      </c>
      <c r="K142" s="6">
        <v>250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4" t="s">
        <v>137</v>
      </c>
      <c r="U142" s="4">
        <v>14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33</v>
      </c>
      <c r="C143" s="4" t="s">
        <v>41</v>
      </c>
      <c r="D143" s="4" t="s">
        <v>40</v>
      </c>
      <c r="E143" s="4" t="s">
        <v>25</v>
      </c>
      <c r="F143" s="4" t="s">
        <v>54</v>
      </c>
      <c r="G143" s="4" t="s">
        <v>25</v>
      </c>
      <c r="H143" s="4" t="s">
        <v>35</v>
      </c>
      <c r="I143" s="5">
        <v>44682</v>
      </c>
      <c r="J143" s="6">
        <v>500</v>
      </c>
      <c r="K143" s="6">
        <v>250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4" t="s">
        <v>138</v>
      </c>
      <c r="U143" s="4">
        <v>14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33</v>
      </c>
      <c r="C144" s="4" t="s">
        <v>41</v>
      </c>
      <c r="D144" s="4" t="s">
        <v>40</v>
      </c>
      <c r="E144" s="4" t="s">
        <v>25</v>
      </c>
      <c r="F144" s="4" t="s">
        <v>54</v>
      </c>
      <c r="G144" s="4" t="s">
        <v>25</v>
      </c>
      <c r="H144" s="4" t="s">
        <v>25</v>
      </c>
      <c r="I144" s="5">
        <v>44621</v>
      </c>
      <c r="J144" s="6">
        <v>0</v>
      </c>
      <c r="K144" s="6">
        <v>0</v>
      </c>
      <c r="L144" s="6">
        <v>115.642</v>
      </c>
      <c r="M144" s="6">
        <v>115.642</v>
      </c>
      <c r="N144" s="6">
        <v>0</v>
      </c>
      <c r="O144" s="6">
        <v>0</v>
      </c>
      <c r="P144" s="6">
        <v>2</v>
      </c>
      <c r="Q144" s="4" t="s">
        <v>53</v>
      </c>
      <c r="R144" s="4">
        <v>0</v>
      </c>
      <c r="S144" s="4" t="s">
        <v>151</v>
      </c>
      <c r="U144" s="4">
        <v>0</v>
      </c>
      <c r="V144" s="4">
        <v>15</v>
      </c>
      <c r="W144" s="4">
        <v>0</v>
      </c>
    </row>
    <row r="145" spans="1:23" ht="11.25" customHeight="1" x14ac:dyDescent="0.25">
      <c r="A145" s="4" t="s">
        <v>21</v>
      </c>
      <c r="B145" s="4" t="s">
        <v>33</v>
      </c>
      <c r="C145" s="4" t="s">
        <v>41</v>
      </c>
      <c r="D145" s="4" t="s">
        <v>40</v>
      </c>
      <c r="E145" s="4" t="s">
        <v>25</v>
      </c>
      <c r="F145" s="4" t="s">
        <v>54</v>
      </c>
      <c r="G145" s="4" t="s">
        <v>25</v>
      </c>
      <c r="H145" s="4" t="s">
        <v>25</v>
      </c>
      <c r="I145" s="5">
        <v>44652</v>
      </c>
      <c r="J145" s="6">
        <v>0</v>
      </c>
      <c r="K145" s="6">
        <v>0</v>
      </c>
      <c r="L145" s="6">
        <v>138.791</v>
      </c>
      <c r="M145" s="6">
        <v>138.791</v>
      </c>
      <c r="N145" s="6">
        <v>0</v>
      </c>
      <c r="O145" s="6">
        <v>0</v>
      </c>
      <c r="P145" s="6">
        <v>2</v>
      </c>
      <c r="Q145" s="4" t="s">
        <v>53</v>
      </c>
      <c r="R145" s="4">
        <v>0</v>
      </c>
      <c r="S145" s="4" t="s">
        <v>152</v>
      </c>
      <c r="U145" s="4">
        <v>0</v>
      </c>
      <c r="V145" s="4">
        <v>15</v>
      </c>
      <c r="W145" s="4">
        <v>0</v>
      </c>
    </row>
    <row r="146" spans="1:23" ht="11.25" customHeight="1" x14ac:dyDescent="0.25">
      <c r="A146" s="4" t="s">
        <v>21</v>
      </c>
      <c r="B146" s="4" t="s">
        <v>33</v>
      </c>
      <c r="C146" s="4" t="s">
        <v>41</v>
      </c>
      <c r="D146" s="4" t="s">
        <v>40</v>
      </c>
      <c r="E146" s="4" t="s">
        <v>25</v>
      </c>
      <c r="F146" s="4" t="s">
        <v>54</v>
      </c>
      <c r="G146" s="4" t="s">
        <v>25</v>
      </c>
      <c r="H146" s="4" t="s">
        <v>25</v>
      </c>
      <c r="I146" s="5">
        <v>44682</v>
      </c>
      <c r="J146" s="6">
        <v>0</v>
      </c>
      <c r="K146" s="6">
        <v>0</v>
      </c>
      <c r="L146" s="6">
        <v>138.709</v>
      </c>
      <c r="M146" s="6">
        <v>138.709</v>
      </c>
      <c r="N146" s="6">
        <v>0</v>
      </c>
      <c r="O146" s="6">
        <v>0</v>
      </c>
      <c r="P146" s="6">
        <v>2</v>
      </c>
      <c r="Q146" s="4" t="s">
        <v>53</v>
      </c>
      <c r="R146" s="4">
        <v>0</v>
      </c>
      <c r="S146" s="4" t="s">
        <v>153</v>
      </c>
      <c r="U146" s="4">
        <v>0</v>
      </c>
      <c r="V146" s="4">
        <v>15</v>
      </c>
      <c r="W146" s="4">
        <v>0</v>
      </c>
    </row>
    <row r="147" spans="1:23" ht="11.25" customHeight="1" x14ac:dyDescent="0.25">
      <c r="A147" s="4" t="s">
        <v>21</v>
      </c>
      <c r="B147" s="4" t="s">
        <v>33</v>
      </c>
      <c r="C147" s="4" t="s">
        <v>41</v>
      </c>
      <c r="D147" s="4" t="s">
        <v>40</v>
      </c>
      <c r="E147" s="4" t="s">
        <v>25</v>
      </c>
      <c r="F147" s="4" t="s">
        <v>54</v>
      </c>
      <c r="G147" s="4" t="s">
        <v>25</v>
      </c>
      <c r="H147" s="4" t="s">
        <v>37</v>
      </c>
      <c r="I147" s="5">
        <v>44621</v>
      </c>
      <c r="J147" s="6">
        <v>389</v>
      </c>
      <c r="K147" s="6">
        <v>194.5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53</v>
      </c>
      <c r="R147" s="4">
        <v>0</v>
      </c>
      <c r="S147" s="4" t="s">
        <v>148</v>
      </c>
      <c r="U147" s="4">
        <v>13</v>
      </c>
      <c r="V147" s="4">
        <v>0</v>
      </c>
      <c r="W147" s="4">
        <v>0</v>
      </c>
    </row>
    <row r="148" spans="1:23" ht="11.25" customHeight="1" x14ac:dyDescent="0.25">
      <c r="A148" s="4" t="s">
        <v>21</v>
      </c>
      <c r="B148" s="4" t="s">
        <v>33</v>
      </c>
      <c r="C148" s="4" t="s">
        <v>41</v>
      </c>
      <c r="D148" s="4" t="s">
        <v>40</v>
      </c>
      <c r="E148" s="4" t="s">
        <v>25</v>
      </c>
      <c r="F148" s="4" t="s">
        <v>54</v>
      </c>
      <c r="G148" s="4" t="s">
        <v>25</v>
      </c>
      <c r="H148" s="4" t="s">
        <v>37</v>
      </c>
      <c r="I148" s="5">
        <v>44652</v>
      </c>
      <c r="J148" s="6">
        <v>389</v>
      </c>
      <c r="K148" s="6">
        <v>194.5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53</v>
      </c>
      <c r="R148" s="4">
        <v>0</v>
      </c>
      <c r="S148" s="4" t="s">
        <v>149</v>
      </c>
      <c r="U148" s="4">
        <v>13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33</v>
      </c>
      <c r="C149" s="4" t="s">
        <v>41</v>
      </c>
      <c r="D149" s="4" t="s">
        <v>40</v>
      </c>
      <c r="E149" s="4" t="s">
        <v>25</v>
      </c>
      <c r="F149" s="4" t="s">
        <v>54</v>
      </c>
      <c r="G149" s="4" t="s">
        <v>25</v>
      </c>
      <c r="H149" s="4" t="s">
        <v>37</v>
      </c>
      <c r="I149" s="5">
        <v>44682</v>
      </c>
      <c r="J149" s="6">
        <v>389</v>
      </c>
      <c r="K149" s="6">
        <v>194.5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53</v>
      </c>
      <c r="R149" s="4">
        <v>0</v>
      </c>
      <c r="S149" s="4" t="s">
        <v>150</v>
      </c>
      <c r="U149" s="4">
        <v>13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33</v>
      </c>
      <c r="C150" s="4" t="s">
        <v>41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44348</v>
      </c>
      <c r="J150" s="6">
        <v>607</v>
      </c>
      <c r="K150" s="6">
        <v>607</v>
      </c>
      <c r="L150" s="6">
        <v>192.94499999999999</v>
      </c>
      <c r="M150" s="6">
        <v>192.94499999999999</v>
      </c>
      <c r="N150" s="6">
        <v>192.94499999999999</v>
      </c>
      <c r="O150" s="6">
        <v>192.94499999999999</v>
      </c>
      <c r="P150" s="6">
        <v>0</v>
      </c>
      <c r="Q150" s="4" t="s">
        <v>26</v>
      </c>
      <c r="R150" s="4">
        <v>0</v>
      </c>
      <c r="S150" s="4" t="s">
        <v>127</v>
      </c>
      <c r="T150" s="4" t="s">
        <v>387</v>
      </c>
      <c r="U150" s="4">
        <v>14</v>
      </c>
      <c r="V150" s="4">
        <v>15</v>
      </c>
      <c r="W150" s="4">
        <v>66</v>
      </c>
    </row>
    <row r="151" spans="1:23" ht="11.25" customHeight="1" x14ac:dyDescent="0.25">
      <c r="A151" s="4" t="s">
        <v>21</v>
      </c>
      <c r="B151" s="4" t="s">
        <v>33</v>
      </c>
      <c r="C151" s="4" t="s">
        <v>41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44348</v>
      </c>
      <c r="J151" s="6">
        <v>9141</v>
      </c>
      <c r="K151" s="6">
        <v>9141</v>
      </c>
      <c r="L151" s="6">
        <v>5105.5860000000002</v>
      </c>
      <c r="M151" s="6">
        <v>5105.5860000000002</v>
      </c>
      <c r="N151" s="6">
        <v>0</v>
      </c>
      <c r="O151" s="6">
        <v>0</v>
      </c>
      <c r="P151" s="6">
        <v>0</v>
      </c>
      <c r="Q151" s="4" t="s">
        <v>53</v>
      </c>
      <c r="R151" s="4">
        <v>0</v>
      </c>
      <c r="S151" s="4" t="s">
        <v>127</v>
      </c>
      <c r="U151" s="4">
        <v>14</v>
      </c>
      <c r="V151" s="4">
        <v>15</v>
      </c>
      <c r="W151" s="4">
        <v>0</v>
      </c>
    </row>
    <row r="152" spans="1:23" ht="11.25" customHeight="1" x14ac:dyDescent="0.25">
      <c r="A152" s="4" t="s">
        <v>21</v>
      </c>
      <c r="B152" s="4" t="s">
        <v>33</v>
      </c>
      <c r="C152" s="4" t="s">
        <v>41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44378</v>
      </c>
      <c r="J152" s="6">
        <v>612</v>
      </c>
      <c r="K152" s="6">
        <v>612</v>
      </c>
      <c r="L152" s="6">
        <v>204.67699999999999</v>
      </c>
      <c r="M152" s="6">
        <v>204.67699999999999</v>
      </c>
      <c r="N152" s="6">
        <v>204.67699999999999</v>
      </c>
      <c r="O152" s="6">
        <v>204.67699999999999</v>
      </c>
      <c r="P152" s="6">
        <v>0</v>
      </c>
      <c r="Q152" s="4" t="s">
        <v>26</v>
      </c>
      <c r="R152" s="4">
        <v>0</v>
      </c>
      <c r="S152" s="4" t="s">
        <v>128</v>
      </c>
      <c r="T152" s="4" t="s">
        <v>388</v>
      </c>
      <c r="U152" s="4">
        <v>14</v>
      </c>
      <c r="V152" s="4">
        <v>15</v>
      </c>
      <c r="W152" s="4">
        <v>66</v>
      </c>
    </row>
    <row r="153" spans="1:23" ht="11.25" customHeight="1" x14ac:dyDescent="0.25">
      <c r="A153" s="4" t="s">
        <v>21</v>
      </c>
      <c r="B153" s="4" t="s">
        <v>33</v>
      </c>
      <c r="C153" s="4" t="s">
        <v>41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44378</v>
      </c>
      <c r="J153" s="6">
        <v>9086</v>
      </c>
      <c r="K153" s="6">
        <v>9086</v>
      </c>
      <c r="L153" s="6">
        <v>4991.241</v>
      </c>
      <c r="M153" s="6">
        <v>4991.241</v>
      </c>
      <c r="N153" s="6">
        <v>0</v>
      </c>
      <c r="O153" s="6">
        <v>0</v>
      </c>
      <c r="P153" s="6">
        <v>0</v>
      </c>
      <c r="Q153" s="4" t="s">
        <v>53</v>
      </c>
      <c r="R153" s="4">
        <v>0</v>
      </c>
      <c r="S153" s="4" t="s">
        <v>128</v>
      </c>
      <c r="U153" s="4">
        <v>14</v>
      </c>
      <c r="V153" s="4">
        <v>15</v>
      </c>
      <c r="W153" s="4">
        <v>0</v>
      </c>
    </row>
    <row r="154" spans="1:23" ht="11.25" customHeight="1" x14ac:dyDescent="0.25">
      <c r="A154" s="4" t="s">
        <v>21</v>
      </c>
      <c r="B154" s="4" t="s">
        <v>33</v>
      </c>
      <c r="C154" s="4" t="s">
        <v>41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44409</v>
      </c>
      <c r="J154" s="6">
        <v>607</v>
      </c>
      <c r="K154" s="6">
        <v>607</v>
      </c>
      <c r="L154" s="6">
        <v>203.184</v>
      </c>
      <c r="M154" s="6">
        <v>203.184</v>
      </c>
      <c r="N154" s="6">
        <v>203.184</v>
      </c>
      <c r="O154" s="6">
        <v>203.184</v>
      </c>
      <c r="P154" s="6">
        <v>0</v>
      </c>
      <c r="Q154" s="4" t="s">
        <v>26</v>
      </c>
      <c r="R154" s="4">
        <v>0</v>
      </c>
      <c r="S154" s="4" t="s">
        <v>129</v>
      </c>
      <c r="T154" s="4" t="s">
        <v>389</v>
      </c>
      <c r="U154" s="4">
        <v>14</v>
      </c>
      <c r="V154" s="4">
        <v>15</v>
      </c>
      <c r="W154" s="4">
        <v>66</v>
      </c>
    </row>
    <row r="155" spans="1:23" ht="11.25" customHeight="1" x14ac:dyDescent="0.25">
      <c r="A155" s="4" t="s">
        <v>21</v>
      </c>
      <c r="B155" s="4" t="s">
        <v>33</v>
      </c>
      <c r="C155" s="4" t="s">
        <v>41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44409</v>
      </c>
      <c r="J155" s="6">
        <v>9115</v>
      </c>
      <c r="K155" s="6">
        <v>9115</v>
      </c>
      <c r="L155" s="6">
        <v>5068.4369999999999</v>
      </c>
      <c r="M155" s="6">
        <v>5068.4369999999999</v>
      </c>
      <c r="N155" s="6">
        <v>0</v>
      </c>
      <c r="O155" s="6">
        <v>0</v>
      </c>
      <c r="P155" s="6">
        <v>0</v>
      </c>
      <c r="Q155" s="4" t="s">
        <v>53</v>
      </c>
      <c r="R155" s="4">
        <v>0</v>
      </c>
      <c r="S155" s="4" t="s">
        <v>129</v>
      </c>
      <c r="U155" s="4">
        <v>14</v>
      </c>
      <c r="V155" s="4">
        <v>15</v>
      </c>
      <c r="W155" s="4">
        <v>0</v>
      </c>
    </row>
    <row r="156" spans="1:23" ht="11.25" customHeight="1" x14ac:dyDescent="0.25">
      <c r="A156" s="4" t="s">
        <v>21</v>
      </c>
      <c r="B156" s="4" t="s">
        <v>33</v>
      </c>
      <c r="C156" s="4" t="s">
        <v>41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44440</v>
      </c>
      <c r="J156" s="6">
        <v>607</v>
      </c>
      <c r="K156" s="6">
        <v>607</v>
      </c>
      <c r="L156" s="6">
        <v>188.74100000000001</v>
      </c>
      <c r="M156" s="6">
        <v>188.74100000000001</v>
      </c>
      <c r="N156" s="6">
        <v>188.74100000000001</v>
      </c>
      <c r="O156" s="6">
        <v>188.74100000000001</v>
      </c>
      <c r="P156" s="6">
        <v>0</v>
      </c>
      <c r="Q156" s="4" t="s">
        <v>26</v>
      </c>
      <c r="R156" s="4">
        <v>0</v>
      </c>
      <c r="S156" s="4" t="s">
        <v>130</v>
      </c>
      <c r="T156" s="4" t="s">
        <v>390</v>
      </c>
      <c r="U156" s="4">
        <v>14</v>
      </c>
      <c r="V156" s="4">
        <v>15</v>
      </c>
      <c r="W156" s="4">
        <v>66</v>
      </c>
    </row>
    <row r="157" spans="1:23" ht="11.25" customHeight="1" x14ac:dyDescent="0.25">
      <c r="A157" s="4" t="s">
        <v>21</v>
      </c>
      <c r="B157" s="4" t="s">
        <v>33</v>
      </c>
      <c r="C157" s="4" t="s">
        <v>41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44440</v>
      </c>
      <c r="J157" s="6">
        <v>9607</v>
      </c>
      <c r="K157" s="6">
        <v>9607</v>
      </c>
      <c r="L157" s="6">
        <v>5270.0829999999996</v>
      </c>
      <c r="M157" s="6">
        <v>5270.0829999999996</v>
      </c>
      <c r="N157" s="6">
        <v>0</v>
      </c>
      <c r="O157" s="6">
        <v>0</v>
      </c>
      <c r="P157" s="6">
        <v>0</v>
      </c>
      <c r="Q157" s="4" t="s">
        <v>53</v>
      </c>
      <c r="R157" s="4">
        <v>0</v>
      </c>
      <c r="S157" s="4" t="s">
        <v>130</v>
      </c>
      <c r="U157" s="4">
        <v>14</v>
      </c>
      <c r="V157" s="4">
        <v>15</v>
      </c>
      <c r="W157" s="4">
        <v>0</v>
      </c>
    </row>
    <row r="158" spans="1:23" ht="11.25" customHeight="1" x14ac:dyDescent="0.25">
      <c r="A158" s="4" t="s">
        <v>21</v>
      </c>
      <c r="B158" s="4" t="s">
        <v>33</v>
      </c>
      <c r="C158" s="4" t="s">
        <v>41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44470</v>
      </c>
      <c r="J158" s="6">
        <v>607</v>
      </c>
      <c r="K158" s="6">
        <v>607</v>
      </c>
      <c r="L158" s="6">
        <v>186.57400000000001</v>
      </c>
      <c r="M158" s="6">
        <v>186.57400000000001</v>
      </c>
      <c r="N158" s="6">
        <v>186.57400000000001</v>
      </c>
      <c r="O158" s="6">
        <v>186.57400000000001</v>
      </c>
      <c r="P158" s="6">
        <v>0</v>
      </c>
      <c r="Q158" s="4" t="s">
        <v>26</v>
      </c>
      <c r="R158" s="4">
        <v>0</v>
      </c>
      <c r="S158" s="4" t="s">
        <v>131</v>
      </c>
      <c r="T158" s="4" t="s">
        <v>391</v>
      </c>
      <c r="U158" s="4">
        <v>14</v>
      </c>
      <c r="V158" s="4">
        <v>15</v>
      </c>
      <c r="W158" s="4">
        <v>66</v>
      </c>
    </row>
    <row r="159" spans="1:23" ht="11.25" customHeight="1" x14ac:dyDescent="0.25">
      <c r="A159" s="4" t="s">
        <v>21</v>
      </c>
      <c r="B159" s="4" t="s">
        <v>33</v>
      </c>
      <c r="C159" s="4" t="s">
        <v>41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44470</v>
      </c>
      <c r="J159" s="6">
        <v>9590</v>
      </c>
      <c r="K159" s="6">
        <v>9590</v>
      </c>
      <c r="L159" s="6">
        <v>5215.5379999999996</v>
      </c>
      <c r="M159" s="6">
        <v>5215.5379999999996</v>
      </c>
      <c r="N159" s="6">
        <v>0</v>
      </c>
      <c r="O159" s="6">
        <v>0</v>
      </c>
      <c r="P159" s="6">
        <v>0</v>
      </c>
      <c r="Q159" s="4" t="s">
        <v>53</v>
      </c>
      <c r="R159" s="4">
        <v>0</v>
      </c>
      <c r="S159" s="4" t="s">
        <v>131</v>
      </c>
      <c r="U159" s="4">
        <v>14</v>
      </c>
      <c r="V159" s="4">
        <v>15</v>
      </c>
      <c r="W159" s="4">
        <v>0</v>
      </c>
    </row>
    <row r="160" spans="1:23" ht="11.25" customHeight="1" x14ac:dyDescent="0.25">
      <c r="A160" s="4" t="s">
        <v>21</v>
      </c>
      <c r="B160" s="4" t="s">
        <v>33</v>
      </c>
      <c r="C160" s="4" t="s">
        <v>41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44501</v>
      </c>
      <c r="J160" s="6">
        <v>619</v>
      </c>
      <c r="K160" s="6">
        <v>619</v>
      </c>
      <c r="L160" s="6">
        <v>152.964</v>
      </c>
      <c r="M160" s="6">
        <v>152.964</v>
      </c>
      <c r="N160" s="6">
        <v>152.964</v>
      </c>
      <c r="O160" s="6">
        <v>152.964</v>
      </c>
      <c r="P160" s="6">
        <v>0</v>
      </c>
      <c r="Q160" s="4" t="s">
        <v>26</v>
      </c>
      <c r="R160" s="4">
        <v>0</v>
      </c>
      <c r="S160" s="4" t="s">
        <v>132</v>
      </c>
      <c r="T160" s="4" t="s">
        <v>392</v>
      </c>
      <c r="U160" s="4">
        <v>14</v>
      </c>
      <c r="V160" s="4">
        <v>15</v>
      </c>
      <c r="W160" s="4">
        <v>66</v>
      </c>
    </row>
    <row r="161" spans="1:23" ht="11.25" customHeight="1" x14ac:dyDescent="0.25">
      <c r="A161" s="4" t="s">
        <v>21</v>
      </c>
      <c r="B161" s="4" t="s">
        <v>33</v>
      </c>
      <c r="C161" s="4" t="s">
        <v>41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9624</v>
      </c>
      <c r="K161" s="6">
        <v>9624</v>
      </c>
      <c r="L161" s="6">
        <v>5336.5339999999997</v>
      </c>
      <c r="M161" s="6">
        <v>5336.5339999999997</v>
      </c>
      <c r="N161" s="6">
        <v>0</v>
      </c>
      <c r="O161" s="6">
        <v>0</v>
      </c>
      <c r="P161" s="6">
        <v>0</v>
      </c>
      <c r="Q161" s="4" t="s">
        <v>53</v>
      </c>
      <c r="R161" s="4">
        <v>0</v>
      </c>
      <c r="S161" s="4" t="s">
        <v>132</v>
      </c>
      <c r="U161" s="4">
        <v>14</v>
      </c>
      <c r="V161" s="4">
        <v>15</v>
      </c>
      <c r="W161" s="4">
        <v>0</v>
      </c>
    </row>
    <row r="162" spans="1:23" ht="11.25" customHeight="1" x14ac:dyDescent="0.25">
      <c r="A162" s="4" t="s">
        <v>21</v>
      </c>
      <c r="B162" s="4" t="s">
        <v>33</v>
      </c>
      <c r="C162" s="4" t="s">
        <v>41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44531</v>
      </c>
      <c r="J162" s="6">
        <v>616</v>
      </c>
      <c r="K162" s="6">
        <v>616</v>
      </c>
      <c r="L162" s="6">
        <v>145.905</v>
      </c>
      <c r="M162" s="6">
        <v>145.905</v>
      </c>
      <c r="N162" s="6">
        <v>145.905</v>
      </c>
      <c r="O162" s="6">
        <v>145.905</v>
      </c>
      <c r="P162" s="6">
        <v>0</v>
      </c>
      <c r="Q162" s="4" t="s">
        <v>26</v>
      </c>
      <c r="R162" s="4">
        <v>0</v>
      </c>
      <c r="S162" s="4" t="s">
        <v>133</v>
      </c>
      <c r="T162" s="4" t="s">
        <v>393</v>
      </c>
      <c r="U162" s="4">
        <v>14</v>
      </c>
      <c r="V162" s="4">
        <v>15</v>
      </c>
      <c r="W162" s="4">
        <v>66</v>
      </c>
    </row>
    <row r="163" spans="1:23" ht="11.25" customHeight="1" x14ac:dyDescent="0.25">
      <c r="A163" s="4" t="s">
        <v>21</v>
      </c>
      <c r="B163" s="4" t="s">
        <v>33</v>
      </c>
      <c r="C163" s="4" t="s">
        <v>41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44531</v>
      </c>
      <c r="J163" s="6">
        <v>9538</v>
      </c>
      <c r="K163" s="6">
        <v>9538</v>
      </c>
      <c r="L163" s="6">
        <v>5107.6130000000003</v>
      </c>
      <c r="M163" s="6">
        <v>5107.6130000000003</v>
      </c>
      <c r="N163" s="6">
        <v>0</v>
      </c>
      <c r="O163" s="6">
        <v>0</v>
      </c>
      <c r="P163" s="6">
        <v>0</v>
      </c>
      <c r="Q163" s="4" t="s">
        <v>53</v>
      </c>
      <c r="R163" s="4">
        <v>0</v>
      </c>
      <c r="S163" s="4" t="s">
        <v>133</v>
      </c>
      <c r="U163" s="4">
        <v>14</v>
      </c>
      <c r="V163" s="4">
        <v>15</v>
      </c>
      <c r="W163" s="4">
        <v>0</v>
      </c>
    </row>
    <row r="164" spans="1:23" ht="11.25" customHeight="1" x14ac:dyDescent="0.25">
      <c r="A164" s="4" t="s">
        <v>21</v>
      </c>
      <c r="B164" s="4" t="s">
        <v>33</v>
      </c>
      <c r="C164" s="4" t="s">
        <v>41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44562</v>
      </c>
      <c r="J164" s="6">
        <v>615</v>
      </c>
      <c r="K164" s="6">
        <v>615</v>
      </c>
      <c r="L164" s="6">
        <v>154.41999999999999</v>
      </c>
      <c r="M164" s="6">
        <v>154.41999999999999</v>
      </c>
      <c r="N164" s="6">
        <v>154.41999999999999</v>
      </c>
      <c r="O164" s="6">
        <v>154.41999999999999</v>
      </c>
      <c r="P164" s="6">
        <v>0</v>
      </c>
      <c r="Q164" s="4" t="s">
        <v>26</v>
      </c>
      <c r="R164" s="4">
        <v>0</v>
      </c>
      <c r="S164" s="4" t="s">
        <v>134</v>
      </c>
      <c r="T164" s="4" t="s">
        <v>394</v>
      </c>
      <c r="U164" s="4">
        <v>14</v>
      </c>
      <c r="V164" s="4">
        <v>15</v>
      </c>
      <c r="W164" s="4">
        <v>66</v>
      </c>
    </row>
    <row r="165" spans="1:23" ht="11.25" customHeight="1" x14ac:dyDescent="0.25">
      <c r="A165" s="4" t="s">
        <v>21</v>
      </c>
      <c r="B165" s="4" t="s">
        <v>33</v>
      </c>
      <c r="C165" s="4" t="s">
        <v>41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44562</v>
      </c>
      <c r="J165" s="6">
        <v>9469</v>
      </c>
      <c r="K165" s="6">
        <v>9469</v>
      </c>
      <c r="L165" s="6">
        <v>5066.165</v>
      </c>
      <c r="M165" s="6">
        <v>5066.165</v>
      </c>
      <c r="N165" s="6">
        <v>0</v>
      </c>
      <c r="O165" s="6">
        <v>0</v>
      </c>
      <c r="P165" s="6">
        <v>0</v>
      </c>
      <c r="Q165" s="4" t="s">
        <v>53</v>
      </c>
      <c r="R165" s="4">
        <v>0</v>
      </c>
      <c r="S165" s="4" t="s">
        <v>134</v>
      </c>
      <c r="U165" s="4">
        <v>14</v>
      </c>
      <c r="V165" s="4">
        <v>15</v>
      </c>
      <c r="W165" s="4">
        <v>0</v>
      </c>
    </row>
    <row r="166" spans="1:23" ht="11.25" customHeight="1" x14ac:dyDescent="0.25">
      <c r="A166" s="4" t="s">
        <v>21</v>
      </c>
      <c r="B166" s="4" t="s">
        <v>33</v>
      </c>
      <c r="C166" s="4" t="s">
        <v>41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44593</v>
      </c>
      <c r="J166" s="6">
        <v>116</v>
      </c>
      <c r="K166" s="6">
        <v>116</v>
      </c>
      <c r="L166" s="6">
        <v>38.347000000000001</v>
      </c>
      <c r="M166" s="6">
        <v>38.347000000000001</v>
      </c>
      <c r="N166" s="6">
        <v>38.347000000000001</v>
      </c>
      <c r="O166" s="6">
        <v>38.347000000000001</v>
      </c>
      <c r="P166" s="6">
        <v>0</v>
      </c>
      <c r="Q166" s="4" t="s">
        <v>26</v>
      </c>
      <c r="R166" s="4">
        <v>0</v>
      </c>
      <c r="S166" s="4" t="s">
        <v>135</v>
      </c>
      <c r="T166" s="4" t="s">
        <v>395</v>
      </c>
      <c r="U166" s="4">
        <v>14</v>
      </c>
      <c r="V166" s="4">
        <v>15</v>
      </c>
      <c r="W166" s="4">
        <v>66</v>
      </c>
    </row>
    <row r="167" spans="1:23" ht="11.25" customHeight="1" x14ac:dyDescent="0.25">
      <c r="A167" s="4" t="s">
        <v>21</v>
      </c>
      <c r="B167" s="4" t="s">
        <v>33</v>
      </c>
      <c r="C167" s="4" t="s">
        <v>41</v>
      </c>
      <c r="D167" s="4" t="s">
        <v>40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44593</v>
      </c>
      <c r="J167" s="6">
        <v>9504</v>
      </c>
      <c r="K167" s="6">
        <v>9504</v>
      </c>
      <c r="L167" s="6">
        <v>5285.5519999999997</v>
      </c>
      <c r="M167" s="6">
        <v>5285.5519999999997</v>
      </c>
      <c r="N167" s="6">
        <v>0</v>
      </c>
      <c r="O167" s="6">
        <v>0</v>
      </c>
      <c r="P167" s="6">
        <v>0</v>
      </c>
      <c r="Q167" s="4" t="s">
        <v>53</v>
      </c>
      <c r="R167" s="4">
        <v>0</v>
      </c>
      <c r="S167" s="4" t="s">
        <v>135</v>
      </c>
      <c r="U167" s="4">
        <v>14</v>
      </c>
      <c r="V167" s="4">
        <v>15</v>
      </c>
      <c r="W167" s="4">
        <v>0</v>
      </c>
    </row>
    <row r="168" spans="1:23" ht="11.25" customHeight="1" x14ac:dyDescent="0.25">
      <c r="A168" s="4" t="s">
        <v>21</v>
      </c>
      <c r="B168" s="4" t="s">
        <v>33</v>
      </c>
      <c r="C168" s="4" t="s">
        <v>41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44621</v>
      </c>
      <c r="J168" s="6">
        <v>114</v>
      </c>
      <c r="K168" s="6">
        <v>114</v>
      </c>
      <c r="L168" s="6">
        <v>40.164000000000001</v>
      </c>
      <c r="M168" s="6">
        <v>40.164000000000001</v>
      </c>
      <c r="N168" s="6">
        <v>40.164000000000001</v>
      </c>
      <c r="O168" s="6">
        <v>40.164000000000001</v>
      </c>
      <c r="P168" s="6">
        <v>0</v>
      </c>
      <c r="Q168" s="4" t="s">
        <v>26</v>
      </c>
      <c r="R168" s="4">
        <v>0</v>
      </c>
      <c r="S168" s="4" t="s">
        <v>136</v>
      </c>
      <c r="T168" s="4" t="s">
        <v>396</v>
      </c>
      <c r="U168" s="4">
        <v>14</v>
      </c>
      <c r="V168" s="4">
        <v>15</v>
      </c>
      <c r="W168" s="4">
        <v>66</v>
      </c>
    </row>
    <row r="169" spans="1:23" ht="11.25" customHeight="1" x14ac:dyDescent="0.25">
      <c r="A169" s="4" t="s">
        <v>21</v>
      </c>
      <c r="B169" s="4" t="s">
        <v>33</v>
      </c>
      <c r="C169" s="4" t="s">
        <v>41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44621</v>
      </c>
      <c r="J169" s="6">
        <v>9469</v>
      </c>
      <c r="K169" s="6">
        <v>9469</v>
      </c>
      <c r="L169" s="6">
        <v>4649.5370000000003</v>
      </c>
      <c r="M169" s="6">
        <v>4649.5370000000003</v>
      </c>
      <c r="N169" s="6">
        <v>0</v>
      </c>
      <c r="O169" s="6">
        <v>0</v>
      </c>
      <c r="P169" s="6">
        <v>0</v>
      </c>
      <c r="Q169" s="4" t="s">
        <v>53</v>
      </c>
      <c r="R169" s="4">
        <v>0</v>
      </c>
      <c r="S169" s="4" t="s">
        <v>136</v>
      </c>
      <c r="U169" s="4">
        <v>14</v>
      </c>
      <c r="V169" s="4">
        <v>15</v>
      </c>
      <c r="W169" s="4">
        <v>0</v>
      </c>
    </row>
    <row r="170" spans="1:23" ht="11.25" customHeight="1" x14ac:dyDescent="0.25">
      <c r="A170" s="4" t="s">
        <v>21</v>
      </c>
      <c r="B170" s="4" t="s">
        <v>33</v>
      </c>
      <c r="C170" s="4" t="s">
        <v>41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44652</v>
      </c>
      <c r="J170" s="6">
        <v>107</v>
      </c>
      <c r="K170" s="6">
        <v>107</v>
      </c>
      <c r="L170" s="6">
        <v>37.094999999999999</v>
      </c>
      <c r="M170" s="6">
        <v>37.094999999999999</v>
      </c>
      <c r="N170" s="6">
        <v>37.094999999999999</v>
      </c>
      <c r="O170" s="6">
        <v>37.094999999999999</v>
      </c>
      <c r="P170" s="6">
        <v>0</v>
      </c>
      <c r="Q170" s="4" t="s">
        <v>26</v>
      </c>
      <c r="R170" s="4">
        <v>0</v>
      </c>
      <c r="S170" s="4" t="s">
        <v>137</v>
      </c>
      <c r="T170" s="4" t="s">
        <v>397</v>
      </c>
      <c r="U170" s="4">
        <v>14</v>
      </c>
      <c r="V170" s="4">
        <v>15</v>
      </c>
      <c r="W170" s="4">
        <v>66</v>
      </c>
    </row>
    <row r="171" spans="1:23" ht="11.25" customHeight="1" x14ac:dyDescent="0.25">
      <c r="A171" s="4" t="s">
        <v>21</v>
      </c>
      <c r="B171" s="4" t="s">
        <v>33</v>
      </c>
      <c r="C171" s="4" t="s">
        <v>41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44652</v>
      </c>
      <c r="J171" s="6">
        <v>9780</v>
      </c>
      <c r="K171" s="6">
        <v>9780</v>
      </c>
      <c r="L171" s="6">
        <v>5263.1970000000001</v>
      </c>
      <c r="M171" s="6">
        <v>5263.1970000000001</v>
      </c>
      <c r="N171" s="6">
        <v>0</v>
      </c>
      <c r="O171" s="6">
        <v>0</v>
      </c>
      <c r="P171" s="6">
        <v>0</v>
      </c>
      <c r="Q171" s="4" t="s">
        <v>53</v>
      </c>
      <c r="R171" s="4">
        <v>0</v>
      </c>
      <c r="S171" s="4" t="s">
        <v>137</v>
      </c>
      <c r="U171" s="4">
        <v>14</v>
      </c>
      <c r="V171" s="4">
        <v>15</v>
      </c>
      <c r="W171" s="4">
        <v>0</v>
      </c>
    </row>
    <row r="172" spans="1:23" ht="11.25" customHeight="1" x14ac:dyDescent="0.25">
      <c r="A172" s="4" t="s">
        <v>21</v>
      </c>
      <c r="B172" s="4" t="s">
        <v>33</v>
      </c>
      <c r="C172" s="4" t="s">
        <v>41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44682</v>
      </c>
      <c r="J172" s="6">
        <v>107</v>
      </c>
      <c r="K172" s="6">
        <v>107</v>
      </c>
      <c r="L172" s="6">
        <v>37.933</v>
      </c>
      <c r="M172" s="6">
        <v>37.933</v>
      </c>
      <c r="N172" s="6">
        <v>37.933</v>
      </c>
      <c r="O172" s="6">
        <v>37.933</v>
      </c>
      <c r="P172" s="6">
        <v>0</v>
      </c>
      <c r="Q172" s="4" t="s">
        <v>26</v>
      </c>
      <c r="R172" s="4">
        <v>0</v>
      </c>
      <c r="S172" s="4" t="s">
        <v>138</v>
      </c>
      <c r="T172" s="4" t="s">
        <v>398</v>
      </c>
      <c r="U172" s="4">
        <v>14</v>
      </c>
      <c r="V172" s="4">
        <v>15</v>
      </c>
      <c r="W172" s="4">
        <v>66</v>
      </c>
    </row>
    <row r="173" spans="1:23" ht="11.25" customHeight="1" x14ac:dyDescent="0.25">
      <c r="A173" s="4" t="s">
        <v>21</v>
      </c>
      <c r="B173" s="4" t="s">
        <v>33</v>
      </c>
      <c r="C173" s="4" t="s">
        <v>41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44682</v>
      </c>
      <c r="J173" s="6">
        <v>9400</v>
      </c>
      <c r="K173" s="6">
        <v>9400</v>
      </c>
      <c r="L173" s="6">
        <v>4687.8620000000001</v>
      </c>
      <c r="M173" s="6">
        <v>4687.8620000000001</v>
      </c>
      <c r="N173" s="6">
        <v>0</v>
      </c>
      <c r="O173" s="6">
        <v>0</v>
      </c>
      <c r="P173" s="6">
        <v>0</v>
      </c>
      <c r="Q173" s="4" t="s">
        <v>53</v>
      </c>
      <c r="R173" s="4">
        <v>0</v>
      </c>
      <c r="S173" s="4" t="s">
        <v>138</v>
      </c>
      <c r="U173" s="4">
        <v>14</v>
      </c>
      <c r="V173" s="4">
        <v>15</v>
      </c>
      <c r="W173" s="4">
        <v>0</v>
      </c>
    </row>
    <row r="174" spans="1:23" ht="11.25" customHeight="1" x14ac:dyDescent="0.25">
      <c r="A174" s="4" t="s">
        <v>21</v>
      </c>
      <c r="B174" s="4" t="s">
        <v>33</v>
      </c>
      <c r="C174" s="4" t="s">
        <v>41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44348</v>
      </c>
      <c r="J174" s="6">
        <v>479</v>
      </c>
      <c r="K174" s="6">
        <v>479</v>
      </c>
      <c r="L174" s="6">
        <v>21.751000000000001</v>
      </c>
      <c r="M174" s="6">
        <v>21.751000000000001</v>
      </c>
      <c r="N174" s="6">
        <v>21.751000000000001</v>
      </c>
      <c r="O174" s="6">
        <v>21.751000000000001</v>
      </c>
      <c r="P174" s="6">
        <v>0</v>
      </c>
      <c r="Q174" s="4" t="s">
        <v>26</v>
      </c>
      <c r="R174" s="4">
        <v>0</v>
      </c>
      <c r="S174" s="4" t="s">
        <v>139</v>
      </c>
      <c r="T174" s="4" t="s">
        <v>399</v>
      </c>
      <c r="U174" s="4">
        <v>13</v>
      </c>
      <c r="V174" s="4">
        <v>15</v>
      </c>
      <c r="W174" s="4">
        <v>65</v>
      </c>
    </row>
    <row r="175" spans="1:23" ht="11.25" customHeight="1" x14ac:dyDescent="0.25">
      <c r="A175" s="4" t="s">
        <v>21</v>
      </c>
      <c r="B175" s="4" t="s">
        <v>33</v>
      </c>
      <c r="C175" s="4" t="s">
        <v>41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44348</v>
      </c>
      <c r="J175" s="6">
        <v>8591</v>
      </c>
      <c r="K175" s="6">
        <v>8591</v>
      </c>
      <c r="L175" s="6">
        <v>477</v>
      </c>
      <c r="M175" s="6">
        <v>477</v>
      </c>
      <c r="N175" s="6">
        <v>0</v>
      </c>
      <c r="O175" s="6">
        <v>0</v>
      </c>
      <c r="P175" s="6">
        <v>0</v>
      </c>
      <c r="Q175" s="4" t="s">
        <v>53</v>
      </c>
      <c r="R175" s="4">
        <v>0</v>
      </c>
      <c r="S175" s="4" t="s">
        <v>139</v>
      </c>
      <c r="U175" s="4">
        <v>13</v>
      </c>
      <c r="V175" s="4">
        <v>15</v>
      </c>
      <c r="W175" s="4">
        <v>0</v>
      </c>
    </row>
    <row r="176" spans="1:23" ht="11.25" customHeight="1" x14ac:dyDescent="0.25">
      <c r="A176" s="4" t="s">
        <v>21</v>
      </c>
      <c r="B176" s="4" t="s">
        <v>33</v>
      </c>
      <c r="C176" s="4" t="s">
        <v>41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44378</v>
      </c>
      <c r="J176" s="6">
        <v>476</v>
      </c>
      <c r="K176" s="6">
        <v>476</v>
      </c>
      <c r="L176" s="6">
        <v>22.577999999999999</v>
      </c>
      <c r="M176" s="6">
        <v>22.577999999999999</v>
      </c>
      <c r="N176" s="6">
        <v>22.577999999999999</v>
      </c>
      <c r="O176" s="6">
        <v>22.577999999999999</v>
      </c>
      <c r="P176" s="6">
        <v>0</v>
      </c>
      <c r="Q176" s="4" t="s">
        <v>26</v>
      </c>
      <c r="R176" s="4">
        <v>0</v>
      </c>
      <c r="S176" s="4" t="s">
        <v>140</v>
      </c>
      <c r="T176" s="4" t="s">
        <v>400</v>
      </c>
      <c r="U176" s="4">
        <v>13</v>
      </c>
      <c r="V176" s="4">
        <v>15</v>
      </c>
      <c r="W176" s="4">
        <v>65</v>
      </c>
    </row>
    <row r="177" spans="1:23" ht="11.25" customHeight="1" x14ac:dyDescent="0.25">
      <c r="A177" s="4" t="s">
        <v>21</v>
      </c>
      <c r="B177" s="4" t="s">
        <v>33</v>
      </c>
      <c r="C177" s="4" t="s">
        <v>41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44378</v>
      </c>
      <c r="J177" s="6">
        <v>8594</v>
      </c>
      <c r="K177" s="6">
        <v>8594</v>
      </c>
      <c r="L177" s="6">
        <v>506.93200000000002</v>
      </c>
      <c r="M177" s="6">
        <v>506.93200000000002</v>
      </c>
      <c r="N177" s="6">
        <v>0</v>
      </c>
      <c r="O177" s="6">
        <v>0</v>
      </c>
      <c r="P177" s="6">
        <v>0</v>
      </c>
      <c r="Q177" s="4" t="s">
        <v>53</v>
      </c>
      <c r="R177" s="4">
        <v>0</v>
      </c>
      <c r="S177" s="4" t="s">
        <v>140</v>
      </c>
      <c r="U177" s="4">
        <v>13</v>
      </c>
      <c r="V177" s="4">
        <v>15</v>
      </c>
      <c r="W177" s="4">
        <v>0</v>
      </c>
    </row>
    <row r="178" spans="1:23" ht="11.25" customHeight="1" x14ac:dyDescent="0.25">
      <c r="A178" s="4" t="s">
        <v>21</v>
      </c>
      <c r="B178" s="4" t="s">
        <v>33</v>
      </c>
      <c r="C178" s="4" t="s">
        <v>41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44409</v>
      </c>
      <c r="J178" s="6">
        <v>481</v>
      </c>
      <c r="K178" s="6">
        <v>481</v>
      </c>
      <c r="L178" s="6">
        <v>21.027000000000001</v>
      </c>
      <c r="M178" s="6">
        <v>21.027000000000001</v>
      </c>
      <c r="N178" s="6">
        <v>21.027000000000001</v>
      </c>
      <c r="O178" s="6">
        <v>21.027000000000001</v>
      </c>
      <c r="P178" s="6">
        <v>0</v>
      </c>
      <c r="Q178" s="4" t="s">
        <v>26</v>
      </c>
      <c r="R178" s="4">
        <v>0</v>
      </c>
      <c r="S178" s="4" t="s">
        <v>141</v>
      </c>
      <c r="T178" s="4" t="s">
        <v>401</v>
      </c>
      <c r="U178" s="4">
        <v>13</v>
      </c>
      <c r="V178" s="4">
        <v>15</v>
      </c>
      <c r="W178" s="4">
        <v>65</v>
      </c>
    </row>
    <row r="179" spans="1:23" ht="11.25" customHeight="1" x14ac:dyDescent="0.25">
      <c r="A179" s="4" t="s">
        <v>21</v>
      </c>
      <c r="B179" s="4" t="s">
        <v>33</v>
      </c>
      <c r="C179" s="4" t="s">
        <v>41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44409</v>
      </c>
      <c r="J179" s="6">
        <v>8660</v>
      </c>
      <c r="K179" s="6">
        <v>8660</v>
      </c>
      <c r="L179" s="6">
        <v>489.07400000000001</v>
      </c>
      <c r="M179" s="6">
        <v>489.07400000000001</v>
      </c>
      <c r="N179" s="6">
        <v>0</v>
      </c>
      <c r="O179" s="6">
        <v>0</v>
      </c>
      <c r="P179" s="6">
        <v>0</v>
      </c>
      <c r="Q179" s="4" t="s">
        <v>53</v>
      </c>
      <c r="R179" s="4">
        <v>0</v>
      </c>
      <c r="S179" s="4" t="s">
        <v>141</v>
      </c>
      <c r="U179" s="4">
        <v>13</v>
      </c>
      <c r="V179" s="4">
        <v>15</v>
      </c>
      <c r="W179" s="4">
        <v>0</v>
      </c>
    </row>
    <row r="180" spans="1:23" ht="11.25" customHeight="1" x14ac:dyDescent="0.25">
      <c r="A180" s="4" t="s">
        <v>21</v>
      </c>
      <c r="B180" s="4" t="s">
        <v>33</v>
      </c>
      <c r="C180" s="4" t="s">
        <v>41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44440</v>
      </c>
      <c r="J180" s="6">
        <v>484</v>
      </c>
      <c r="K180" s="6">
        <v>484</v>
      </c>
      <c r="L180" s="6">
        <v>19.154</v>
      </c>
      <c r="M180" s="6">
        <v>19.154</v>
      </c>
      <c r="N180" s="6">
        <v>19.154</v>
      </c>
      <c r="O180" s="6">
        <v>19.154</v>
      </c>
      <c r="P180" s="6">
        <v>0</v>
      </c>
      <c r="Q180" s="4" t="s">
        <v>26</v>
      </c>
      <c r="R180" s="4">
        <v>0</v>
      </c>
      <c r="S180" s="4" t="s">
        <v>142</v>
      </c>
      <c r="T180" s="4" t="s">
        <v>402</v>
      </c>
      <c r="U180" s="4">
        <v>13</v>
      </c>
      <c r="V180" s="4">
        <v>15</v>
      </c>
      <c r="W180" s="4">
        <v>65</v>
      </c>
    </row>
    <row r="181" spans="1:23" ht="11.25" customHeight="1" x14ac:dyDescent="0.25">
      <c r="A181" s="4" t="s">
        <v>21</v>
      </c>
      <c r="B181" s="4" t="s">
        <v>33</v>
      </c>
      <c r="C181" s="4" t="s">
        <v>41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44440</v>
      </c>
      <c r="J181" s="6">
        <v>9000</v>
      </c>
      <c r="K181" s="6">
        <v>9000</v>
      </c>
      <c r="L181" s="6">
        <v>511.15499999999997</v>
      </c>
      <c r="M181" s="6">
        <v>511.15499999999997</v>
      </c>
      <c r="N181" s="6">
        <v>0</v>
      </c>
      <c r="O181" s="6">
        <v>0</v>
      </c>
      <c r="P181" s="6">
        <v>0</v>
      </c>
      <c r="Q181" s="4" t="s">
        <v>53</v>
      </c>
      <c r="R181" s="4">
        <v>0</v>
      </c>
      <c r="S181" s="4" t="s">
        <v>142</v>
      </c>
      <c r="U181" s="4">
        <v>13</v>
      </c>
      <c r="V181" s="4">
        <v>15</v>
      </c>
      <c r="W181" s="4">
        <v>0</v>
      </c>
    </row>
    <row r="182" spans="1:23" ht="11.25" customHeight="1" x14ac:dyDescent="0.25">
      <c r="A182" s="4" t="s">
        <v>21</v>
      </c>
      <c r="B182" s="4" t="s">
        <v>33</v>
      </c>
      <c r="C182" s="4" t="s">
        <v>41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44470</v>
      </c>
      <c r="J182" s="6">
        <v>476</v>
      </c>
      <c r="K182" s="6">
        <v>476</v>
      </c>
      <c r="L182" s="6">
        <v>19.699000000000002</v>
      </c>
      <c r="M182" s="6">
        <v>19.699000000000002</v>
      </c>
      <c r="N182" s="6">
        <v>19.699000000000002</v>
      </c>
      <c r="O182" s="6">
        <v>19.699000000000002</v>
      </c>
      <c r="P182" s="6">
        <v>0</v>
      </c>
      <c r="Q182" s="4" t="s">
        <v>26</v>
      </c>
      <c r="R182" s="4">
        <v>0</v>
      </c>
      <c r="S182" s="4" t="s">
        <v>143</v>
      </c>
      <c r="T182" s="4" t="s">
        <v>403</v>
      </c>
      <c r="U182" s="4">
        <v>13</v>
      </c>
      <c r="V182" s="4">
        <v>15</v>
      </c>
      <c r="W182" s="4">
        <v>65</v>
      </c>
    </row>
    <row r="183" spans="1:23" ht="11.25" customHeight="1" x14ac:dyDescent="0.25">
      <c r="A183" s="4" t="s">
        <v>21</v>
      </c>
      <c r="B183" s="4" t="s">
        <v>33</v>
      </c>
      <c r="C183" s="4" t="s">
        <v>41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44470</v>
      </c>
      <c r="J183" s="6">
        <v>9041</v>
      </c>
      <c r="K183" s="6">
        <v>9041</v>
      </c>
      <c r="L183" s="6">
        <v>523.86800000000005</v>
      </c>
      <c r="M183" s="6">
        <v>523.86800000000005</v>
      </c>
      <c r="N183" s="6">
        <v>0</v>
      </c>
      <c r="O183" s="6">
        <v>0</v>
      </c>
      <c r="P183" s="6">
        <v>0</v>
      </c>
      <c r="Q183" s="4" t="s">
        <v>53</v>
      </c>
      <c r="R183" s="4">
        <v>0</v>
      </c>
      <c r="S183" s="4" t="s">
        <v>143</v>
      </c>
      <c r="U183" s="4">
        <v>13</v>
      </c>
      <c r="V183" s="4">
        <v>15</v>
      </c>
      <c r="W183" s="4">
        <v>0</v>
      </c>
    </row>
    <row r="184" spans="1:23" ht="11.25" customHeight="1" x14ac:dyDescent="0.25">
      <c r="A184" s="4" t="s">
        <v>21</v>
      </c>
      <c r="B184" s="4" t="s">
        <v>33</v>
      </c>
      <c r="C184" s="4" t="s">
        <v>41</v>
      </c>
      <c r="D184" s="4" t="s">
        <v>40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44501</v>
      </c>
      <c r="J184" s="6">
        <v>495</v>
      </c>
      <c r="K184" s="6">
        <v>495</v>
      </c>
      <c r="L184" s="6">
        <v>22.966000000000001</v>
      </c>
      <c r="M184" s="6">
        <v>22.966000000000001</v>
      </c>
      <c r="N184" s="6">
        <v>22.966000000000001</v>
      </c>
      <c r="O184" s="6">
        <v>22.966000000000001</v>
      </c>
      <c r="P184" s="6">
        <v>0</v>
      </c>
      <c r="Q184" s="4" t="s">
        <v>26</v>
      </c>
      <c r="R184" s="4">
        <v>0</v>
      </c>
      <c r="S184" s="4" t="s">
        <v>144</v>
      </c>
      <c r="T184" s="4" t="s">
        <v>404</v>
      </c>
      <c r="U184" s="4">
        <v>13</v>
      </c>
      <c r="V184" s="4">
        <v>15</v>
      </c>
      <c r="W184" s="4">
        <v>65</v>
      </c>
    </row>
    <row r="185" spans="1:23" ht="11.25" customHeight="1" x14ac:dyDescent="0.25">
      <c r="A185" s="4" t="s">
        <v>21</v>
      </c>
      <c r="B185" s="4" t="s">
        <v>33</v>
      </c>
      <c r="C185" s="4" t="s">
        <v>41</v>
      </c>
      <c r="D185" s="4" t="s">
        <v>40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44501</v>
      </c>
      <c r="J185" s="6">
        <v>9058</v>
      </c>
      <c r="K185" s="6">
        <v>9058</v>
      </c>
      <c r="L185" s="6">
        <v>492.63200000000001</v>
      </c>
      <c r="M185" s="6">
        <v>492.63200000000001</v>
      </c>
      <c r="N185" s="6">
        <v>0</v>
      </c>
      <c r="O185" s="6">
        <v>0</v>
      </c>
      <c r="P185" s="6">
        <v>0</v>
      </c>
      <c r="Q185" s="4" t="s">
        <v>53</v>
      </c>
      <c r="R185" s="4">
        <v>0</v>
      </c>
      <c r="S185" s="4" t="s">
        <v>144</v>
      </c>
      <c r="U185" s="4">
        <v>13</v>
      </c>
      <c r="V185" s="4">
        <v>15</v>
      </c>
      <c r="W185" s="4">
        <v>0</v>
      </c>
    </row>
    <row r="186" spans="1:23" ht="11.25" customHeight="1" x14ac:dyDescent="0.25">
      <c r="A186" s="4" t="s">
        <v>21</v>
      </c>
      <c r="B186" s="4" t="s">
        <v>33</v>
      </c>
      <c r="C186" s="4" t="s">
        <v>41</v>
      </c>
      <c r="D186" s="4" t="s">
        <v>40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44531</v>
      </c>
      <c r="J186" s="6">
        <v>505</v>
      </c>
      <c r="K186" s="6">
        <v>505</v>
      </c>
      <c r="L186" s="6">
        <v>18.074999999999999</v>
      </c>
      <c r="M186" s="6">
        <v>18.074999999999999</v>
      </c>
      <c r="N186" s="6">
        <v>18.074999999999999</v>
      </c>
      <c r="O186" s="6">
        <v>18.074999999999999</v>
      </c>
      <c r="P186" s="6">
        <v>0</v>
      </c>
      <c r="Q186" s="4" t="s">
        <v>26</v>
      </c>
      <c r="R186" s="4">
        <v>0</v>
      </c>
      <c r="S186" s="4" t="s">
        <v>145</v>
      </c>
      <c r="T186" s="4" t="s">
        <v>405</v>
      </c>
      <c r="U186" s="4">
        <v>13</v>
      </c>
      <c r="V186" s="4">
        <v>15</v>
      </c>
      <c r="W186" s="4">
        <v>65</v>
      </c>
    </row>
    <row r="187" spans="1:23" ht="11.25" customHeight="1" x14ac:dyDescent="0.25">
      <c r="A187" s="4" t="s">
        <v>21</v>
      </c>
      <c r="B187" s="4" t="s">
        <v>33</v>
      </c>
      <c r="C187" s="4" t="s">
        <v>41</v>
      </c>
      <c r="D187" s="4" t="s">
        <v>40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8989</v>
      </c>
      <c r="K187" s="6">
        <v>8989</v>
      </c>
      <c r="L187" s="6">
        <v>513.66800000000001</v>
      </c>
      <c r="M187" s="6">
        <v>513.66800000000001</v>
      </c>
      <c r="N187" s="6">
        <v>0</v>
      </c>
      <c r="O187" s="6">
        <v>0</v>
      </c>
      <c r="P187" s="6">
        <v>0</v>
      </c>
      <c r="Q187" s="4" t="s">
        <v>53</v>
      </c>
      <c r="R187" s="4">
        <v>0</v>
      </c>
      <c r="S187" s="4" t="s">
        <v>145</v>
      </c>
      <c r="U187" s="4">
        <v>13</v>
      </c>
      <c r="V187" s="4">
        <v>15</v>
      </c>
      <c r="W187" s="4">
        <v>0</v>
      </c>
    </row>
    <row r="188" spans="1:23" ht="11.25" customHeight="1" x14ac:dyDescent="0.25">
      <c r="A188" s="4" t="s">
        <v>21</v>
      </c>
      <c r="B188" s="4" t="s">
        <v>33</v>
      </c>
      <c r="C188" s="4" t="s">
        <v>41</v>
      </c>
      <c r="D188" s="4" t="s">
        <v>40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488</v>
      </c>
      <c r="K188" s="6">
        <v>488</v>
      </c>
      <c r="L188" s="6">
        <v>18.401</v>
      </c>
      <c r="M188" s="6">
        <v>18.401</v>
      </c>
      <c r="N188" s="6">
        <v>18.401</v>
      </c>
      <c r="O188" s="6">
        <v>18.401</v>
      </c>
      <c r="P188" s="6">
        <v>0</v>
      </c>
      <c r="Q188" s="4" t="s">
        <v>26</v>
      </c>
      <c r="R188" s="4">
        <v>0</v>
      </c>
      <c r="S188" s="4" t="s">
        <v>146</v>
      </c>
      <c r="T188" s="4" t="s">
        <v>406</v>
      </c>
      <c r="U188" s="4">
        <v>13</v>
      </c>
      <c r="V188" s="4">
        <v>15</v>
      </c>
      <c r="W188" s="4">
        <v>65</v>
      </c>
    </row>
    <row r="189" spans="1:23" ht="11.25" customHeight="1" x14ac:dyDescent="0.25">
      <c r="A189" s="4" t="s">
        <v>21</v>
      </c>
      <c r="B189" s="4" t="s">
        <v>33</v>
      </c>
      <c r="C189" s="4" t="s">
        <v>41</v>
      </c>
      <c r="D189" s="4" t="s">
        <v>40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44562</v>
      </c>
      <c r="J189" s="6">
        <v>9075</v>
      </c>
      <c r="K189" s="6">
        <v>9075</v>
      </c>
      <c r="L189" s="6">
        <v>507.16899999999998</v>
      </c>
      <c r="M189" s="6">
        <v>507.16899999999998</v>
      </c>
      <c r="N189" s="6">
        <v>0</v>
      </c>
      <c r="O189" s="6">
        <v>0</v>
      </c>
      <c r="P189" s="6">
        <v>0</v>
      </c>
      <c r="Q189" s="4" t="s">
        <v>53</v>
      </c>
      <c r="R189" s="4">
        <v>0</v>
      </c>
      <c r="S189" s="4" t="s">
        <v>146</v>
      </c>
      <c r="U189" s="4">
        <v>13</v>
      </c>
      <c r="V189" s="4">
        <v>15</v>
      </c>
      <c r="W189" s="4">
        <v>0</v>
      </c>
    </row>
    <row r="190" spans="1:23" ht="11.25" customHeight="1" x14ac:dyDescent="0.25">
      <c r="A190" s="4" t="s">
        <v>21</v>
      </c>
      <c r="B190" s="4" t="s">
        <v>33</v>
      </c>
      <c r="C190" s="4" t="s">
        <v>41</v>
      </c>
      <c r="D190" s="4" t="s">
        <v>40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44593</v>
      </c>
      <c r="J190" s="6">
        <v>98</v>
      </c>
      <c r="K190" s="6">
        <v>98</v>
      </c>
      <c r="L190" s="6">
        <v>4.5609999999999999</v>
      </c>
      <c r="M190" s="6">
        <v>4.5609999999999999</v>
      </c>
      <c r="N190" s="6">
        <v>4.5609999999999999</v>
      </c>
      <c r="O190" s="6">
        <v>4.5609999999999999</v>
      </c>
      <c r="P190" s="6">
        <v>0</v>
      </c>
      <c r="Q190" s="4" t="s">
        <v>26</v>
      </c>
      <c r="R190" s="4">
        <v>0</v>
      </c>
      <c r="S190" s="4" t="s">
        <v>147</v>
      </c>
      <c r="T190" s="4" t="s">
        <v>407</v>
      </c>
      <c r="U190" s="4">
        <v>13</v>
      </c>
      <c r="V190" s="4">
        <v>15</v>
      </c>
      <c r="W190" s="4">
        <v>65</v>
      </c>
    </row>
    <row r="191" spans="1:23" ht="11.25" customHeight="1" x14ac:dyDescent="0.25">
      <c r="A191" s="4" t="s">
        <v>21</v>
      </c>
      <c r="B191" s="4" t="s">
        <v>33</v>
      </c>
      <c r="C191" s="4" t="s">
        <v>41</v>
      </c>
      <c r="D191" s="4" t="s">
        <v>40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44593</v>
      </c>
      <c r="J191" s="6">
        <v>9127</v>
      </c>
      <c r="K191" s="6">
        <v>9127</v>
      </c>
      <c r="L191" s="6">
        <v>498.80099999999999</v>
      </c>
      <c r="M191" s="6">
        <v>498.80099999999999</v>
      </c>
      <c r="N191" s="6">
        <v>0</v>
      </c>
      <c r="O191" s="6">
        <v>0</v>
      </c>
      <c r="P191" s="6">
        <v>0</v>
      </c>
      <c r="Q191" s="4" t="s">
        <v>53</v>
      </c>
      <c r="R191" s="4">
        <v>0</v>
      </c>
      <c r="S191" s="4" t="s">
        <v>147</v>
      </c>
      <c r="U191" s="4">
        <v>13</v>
      </c>
      <c r="V191" s="4">
        <v>15</v>
      </c>
      <c r="W191" s="4">
        <v>0</v>
      </c>
    </row>
    <row r="192" spans="1:23" ht="11.25" customHeight="1" x14ac:dyDescent="0.25">
      <c r="A192" s="4" t="s">
        <v>21</v>
      </c>
      <c r="B192" s="4" t="s">
        <v>33</v>
      </c>
      <c r="C192" s="4" t="s">
        <v>41</v>
      </c>
      <c r="D192" s="4" t="s">
        <v>40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44621</v>
      </c>
      <c r="J192" s="6">
        <v>89</v>
      </c>
      <c r="K192" s="6">
        <v>89</v>
      </c>
      <c r="L192" s="6">
        <v>4.7130000000000001</v>
      </c>
      <c r="M192" s="6">
        <v>4.7130000000000001</v>
      </c>
      <c r="N192" s="6">
        <v>4.7130000000000001</v>
      </c>
      <c r="O192" s="6">
        <v>4.7130000000000001</v>
      </c>
      <c r="P192" s="6">
        <v>0</v>
      </c>
      <c r="Q192" s="4" t="s">
        <v>26</v>
      </c>
      <c r="R192" s="4">
        <v>0</v>
      </c>
      <c r="S192" s="4" t="s">
        <v>148</v>
      </c>
      <c r="T192" s="4" t="s">
        <v>408</v>
      </c>
      <c r="U192" s="4">
        <v>13</v>
      </c>
      <c r="V192" s="4">
        <v>15</v>
      </c>
      <c r="W192" s="4">
        <v>65</v>
      </c>
    </row>
    <row r="193" spans="1:23" ht="11.25" customHeight="1" x14ac:dyDescent="0.25">
      <c r="A193" s="4" t="s">
        <v>21</v>
      </c>
      <c r="B193" s="4" t="s">
        <v>33</v>
      </c>
      <c r="C193" s="4" t="s">
        <v>41</v>
      </c>
      <c r="D193" s="4" t="s">
        <v>40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44621</v>
      </c>
      <c r="J193" s="6">
        <v>9000</v>
      </c>
      <c r="K193" s="6">
        <v>9000</v>
      </c>
      <c r="L193" s="6">
        <v>445.197</v>
      </c>
      <c r="M193" s="6">
        <v>445.197</v>
      </c>
      <c r="N193" s="6">
        <v>0</v>
      </c>
      <c r="O193" s="6">
        <v>0</v>
      </c>
      <c r="P193" s="6">
        <v>0</v>
      </c>
      <c r="Q193" s="4" t="s">
        <v>53</v>
      </c>
      <c r="R193" s="4">
        <v>0</v>
      </c>
      <c r="S193" s="4" t="s">
        <v>148</v>
      </c>
      <c r="U193" s="4">
        <v>13</v>
      </c>
      <c r="V193" s="4">
        <v>15</v>
      </c>
      <c r="W193" s="4">
        <v>0</v>
      </c>
    </row>
    <row r="194" spans="1:23" ht="11.25" customHeight="1" x14ac:dyDescent="0.25">
      <c r="A194" s="4" t="s">
        <v>21</v>
      </c>
      <c r="B194" s="4" t="s">
        <v>33</v>
      </c>
      <c r="C194" s="4" t="s">
        <v>41</v>
      </c>
      <c r="D194" s="4" t="s">
        <v>40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44652</v>
      </c>
      <c r="J194" s="6">
        <v>99</v>
      </c>
      <c r="K194" s="6">
        <v>99</v>
      </c>
      <c r="L194" s="6">
        <v>4.2839999999999998</v>
      </c>
      <c r="M194" s="6">
        <v>4.2839999999999998</v>
      </c>
      <c r="N194" s="6">
        <v>4.2839999999999998</v>
      </c>
      <c r="O194" s="6">
        <v>4.2839999999999998</v>
      </c>
      <c r="P194" s="6">
        <v>0</v>
      </c>
      <c r="Q194" s="4" t="s">
        <v>26</v>
      </c>
      <c r="R194" s="4">
        <v>0</v>
      </c>
      <c r="S194" s="4" t="s">
        <v>149</v>
      </c>
      <c r="T194" s="4" t="s">
        <v>409</v>
      </c>
      <c r="U194" s="4">
        <v>13</v>
      </c>
      <c r="V194" s="4">
        <v>15</v>
      </c>
      <c r="W194" s="4">
        <v>65</v>
      </c>
    </row>
    <row r="195" spans="1:23" ht="11.25" customHeight="1" x14ac:dyDescent="0.25">
      <c r="A195" s="4" t="s">
        <v>21</v>
      </c>
      <c r="B195" s="4" t="s">
        <v>33</v>
      </c>
      <c r="C195" s="4" t="s">
        <v>41</v>
      </c>
      <c r="D195" s="4" t="s">
        <v>40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44652</v>
      </c>
      <c r="J195" s="6">
        <v>9455</v>
      </c>
      <c r="K195" s="6">
        <v>9455</v>
      </c>
      <c r="L195" s="6">
        <v>539.15800000000002</v>
      </c>
      <c r="M195" s="6">
        <v>539.15800000000002</v>
      </c>
      <c r="N195" s="6">
        <v>0</v>
      </c>
      <c r="O195" s="6">
        <v>0</v>
      </c>
      <c r="P195" s="6">
        <v>0</v>
      </c>
      <c r="Q195" s="4" t="s">
        <v>53</v>
      </c>
      <c r="R195" s="4">
        <v>0</v>
      </c>
      <c r="S195" s="4" t="s">
        <v>149</v>
      </c>
      <c r="U195" s="4">
        <v>13</v>
      </c>
      <c r="V195" s="4">
        <v>15</v>
      </c>
      <c r="W195" s="4">
        <v>0</v>
      </c>
    </row>
    <row r="196" spans="1:23" ht="11.25" customHeight="1" x14ac:dyDescent="0.25">
      <c r="A196" s="4" t="s">
        <v>21</v>
      </c>
      <c r="B196" s="4" t="s">
        <v>33</v>
      </c>
      <c r="C196" s="4" t="s">
        <v>41</v>
      </c>
      <c r="D196" s="4" t="s">
        <v>40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44682</v>
      </c>
      <c r="J196" s="6">
        <v>92</v>
      </c>
      <c r="K196" s="6">
        <v>92</v>
      </c>
      <c r="L196" s="6">
        <v>4.9260000000000002</v>
      </c>
      <c r="M196" s="6">
        <v>4.9260000000000002</v>
      </c>
      <c r="N196" s="6">
        <v>4.9260000000000002</v>
      </c>
      <c r="O196" s="6">
        <v>4.9260000000000002</v>
      </c>
      <c r="P196" s="6">
        <v>0</v>
      </c>
      <c r="Q196" s="4" t="s">
        <v>26</v>
      </c>
      <c r="R196" s="4">
        <v>0</v>
      </c>
      <c r="S196" s="4" t="s">
        <v>150</v>
      </c>
      <c r="T196" s="4" t="s">
        <v>410</v>
      </c>
      <c r="U196" s="4">
        <v>13</v>
      </c>
      <c r="V196" s="4">
        <v>15</v>
      </c>
      <c r="W196" s="4">
        <v>65</v>
      </c>
    </row>
    <row r="197" spans="1:23" ht="11.25" customHeight="1" x14ac:dyDescent="0.25">
      <c r="A197" s="4" t="s">
        <v>21</v>
      </c>
      <c r="B197" s="4" t="s">
        <v>33</v>
      </c>
      <c r="C197" s="4" t="s">
        <v>41</v>
      </c>
      <c r="D197" s="4" t="s">
        <v>40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44682</v>
      </c>
      <c r="J197" s="6">
        <v>9000</v>
      </c>
      <c r="K197" s="6">
        <v>9000</v>
      </c>
      <c r="L197" s="6">
        <v>455.83199999999999</v>
      </c>
      <c r="M197" s="6">
        <v>455.83199999999999</v>
      </c>
      <c r="N197" s="6">
        <v>0</v>
      </c>
      <c r="O197" s="6">
        <v>0</v>
      </c>
      <c r="P197" s="6">
        <v>0</v>
      </c>
      <c r="Q197" s="4" t="s">
        <v>53</v>
      </c>
      <c r="R197" s="4">
        <v>0</v>
      </c>
      <c r="S197" s="4" t="s">
        <v>150</v>
      </c>
      <c r="U197" s="4">
        <v>13</v>
      </c>
      <c r="V197" s="4">
        <v>15</v>
      </c>
      <c r="W197" s="4">
        <v>0</v>
      </c>
    </row>
    <row r="198" spans="1:23" ht="11.25" customHeight="1" x14ac:dyDescent="0.25">
      <c r="A198" s="4" t="s">
        <v>21</v>
      </c>
      <c r="B198" s="4" t="s">
        <v>33</v>
      </c>
      <c r="C198" s="4" t="s">
        <v>41</v>
      </c>
      <c r="D198" s="4" t="s">
        <v>46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44348</v>
      </c>
      <c r="J198" s="6">
        <v>229</v>
      </c>
      <c r="K198" s="6">
        <v>229</v>
      </c>
      <c r="L198" s="6">
        <v>68.180000000000007</v>
      </c>
      <c r="M198" s="6">
        <v>68.180000000000007</v>
      </c>
      <c r="N198" s="6">
        <v>68.180000000000007</v>
      </c>
      <c r="O198" s="6">
        <v>68.180000000000007</v>
      </c>
      <c r="P198" s="6">
        <v>0</v>
      </c>
      <c r="Q198" s="4" t="s">
        <v>26</v>
      </c>
      <c r="R198" s="4">
        <v>0</v>
      </c>
      <c r="S198" s="4" t="s">
        <v>127</v>
      </c>
      <c r="T198" s="4" t="s">
        <v>387</v>
      </c>
      <c r="U198" s="4">
        <v>14</v>
      </c>
      <c r="V198" s="4">
        <v>15</v>
      </c>
      <c r="W198" s="4">
        <v>66</v>
      </c>
    </row>
    <row r="199" spans="1:23" ht="11.25" customHeight="1" x14ac:dyDescent="0.25">
      <c r="A199" s="4" t="s">
        <v>21</v>
      </c>
      <c r="B199" s="4" t="s">
        <v>33</v>
      </c>
      <c r="C199" s="4" t="s">
        <v>41</v>
      </c>
      <c r="D199" s="4" t="s">
        <v>46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44378</v>
      </c>
      <c r="J199" s="6">
        <v>202</v>
      </c>
      <c r="K199" s="6">
        <v>202</v>
      </c>
      <c r="L199" s="6">
        <v>75.519000000000005</v>
      </c>
      <c r="M199" s="6">
        <v>75.519000000000005</v>
      </c>
      <c r="N199" s="6">
        <v>75.519000000000005</v>
      </c>
      <c r="O199" s="6">
        <v>75.519000000000005</v>
      </c>
      <c r="P199" s="6">
        <v>0</v>
      </c>
      <c r="Q199" s="4" t="s">
        <v>26</v>
      </c>
      <c r="R199" s="4">
        <v>0</v>
      </c>
      <c r="S199" s="4" t="s">
        <v>128</v>
      </c>
      <c r="T199" s="4" t="s">
        <v>388</v>
      </c>
      <c r="U199" s="4">
        <v>14</v>
      </c>
      <c r="V199" s="4">
        <v>15</v>
      </c>
      <c r="W199" s="4">
        <v>66</v>
      </c>
    </row>
    <row r="200" spans="1:23" ht="11.25" customHeight="1" x14ac:dyDescent="0.25">
      <c r="A200" s="4" t="s">
        <v>21</v>
      </c>
      <c r="B200" s="4" t="s">
        <v>33</v>
      </c>
      <c r="C200" s="4" t="s">
        <v>41</v>
      </c>
      <c r="D200" s="4" t="s">
        <v>46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44409</v>
      </c>
      <c r="J200" s="6">
        <v>180</v>
      </c>
      <c r="K200" s="6">
        <v>180</v>
      </c>
      <c r="L200" s="6">
        <v>66.025000000000006</v>
      </c>
      <c r="M200" s="6">
        <v>66.025000000000006</v>
      </c>
      <c r="N200" s="6">
        <v>66.025000000000006</v>
      </c>
      <c r="O200" s="6">
        <v>66.025000000000006</v>
      </c>
      <c r="P200" s="6">
        <v>0</v>
      </c>
      <c r="Q200" s="4" t="s">
        <v>26</v>
      </c>
      <c r="R200" s="4">
        <v>0</v>
      </c>
      <c r="S200" s="4" t="s">
        <v>129</v>
      </c>
      <c r="T200" s="4" t="s">
        <v>389</v>
      </c>
      <c r="U200" s="4">
        <v>14</v>
      </c>
      <c r="V200" s="4">
        <v>15</v>
      </c>
      <c r="W200" s="4">
        <v>66</v>
      </c>
    </row>
    <row r="201" spans="1:23" ht="11.25" customHeight="1" x14ac:dyDescent="0.25">
      <c r="A201" s="4" t="s">
        <v>21</v>
      </c>
      <c r="B201" s="4" t="s">
        <v>33</v>
      </c>
      <c r="C201" s="4" t="s">
        <v>41</v>
      </c>
      <c r="D201" s="4" t="s">
        <v>46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44440</v>
      </c>
      <c r="J201" s="6">
        <v>180</v>
      </c>
      <c r="K201" s="6">
        <v>180</v>
      </c>
      <c r="L201" s="6">
        <v>61.225999999999999</v>
      </c>
      <c r="M201" s="6">
        <v>61.225999999999999</v>
      </c>
      <c r="N201" s="6">
        <v>61.225999999999999</v>
      </c>
      <c r="O201" s="6">
        <v>61.225999999999999</v>
      </c>
      <c r="P201" s="6">
        <v>0</v>
      </c>
      <c r="Q201" s="4" t="s">
        <v>26</v>
      </c>
      <c r="R201" s="4">
        <v>0</v>
      </c>
      <c r="S201" s="4" t="s">
        <v>130</v>
      </c>
      <c r="T201" s="4" t="s">
        <v>390</v>
      </c>
      <c r="U201" s="4">
        <v>14</v>
      </c>
      <c r="V201" s="4">
        <v>15</v>
      </c>
      <c r="W201" s="4">
        <v>66</v>
      </c>
    </row>
    <row r="202" spans="1:23" ht="11.25" customHeight="1" x14ac:dyDescent="0.25">
      <c r="A202" s="4" t="s">
        <v>21</v>
      </c>
      <c r="B202" s="4" t="s">
        <v>33</v>
      </c>
      <c r="C202" s="4" t="s">
        <v>41</v>
      </c>
      <c r="D202" s="4" t="s">
        <v>46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44470</v>
      </c>
      <c r="J202" s="6">
        <v>165</v>
      </c>
      <c r="K202" s="6">
        <v>165</v>
      </c>
      <c r="L202" s="6">
        <v>52.749000000000002</v>
      </c>
      <c r="M202" s="6">
        <v>52.749000000000002</v>
      </c>
      <c r="N202" s="6">
        <v>52.749000000000002</v>
      </c>
      <c r="O202" s="6">
        <v>52.749000000000002</v>
      </c>
      <c r="P202" s="6">
        <v>0</v>
      </c>
      <c r="Q202" s="4" t="s">
        <v>26</v>
      </c>
      <c r="R202" s="4">
        <v>0</v>
      </c>
      <c r="S202" s="4" t="s">
        <v>131</v>
      </c>
      <c r="T202" s="4" t="s">
        <v>391</v>
      </c>
      <c r="U202" s="4">
        <v>14</v>
      </c>
      <c r="V202" s="4">
        <v>15</v>
      </c>
      <c r="W202" s="4">
        <v>66</v>
      </c>
    </row>
    <row r="203" spans="1:23" ht="11.25" customHeight="1" x14ac:dyDescent="0.25">
      <c r="A203" s="4" t="s">
        <v>21</v>
      </c>
      <c r="B203" s="4" t="s">
        <v>33</v>
      </c>
      <c r="C203" s="4" t="s">
        <v>41</v>
      </c>
      <c r="D203" s="4" t="s">
        <v>46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44501</v>
      </c>
      <c r="J203" s="6">
        <v>194</v>
      </c>
      <c r="K203" s="6">
        <v>194</v>
      </c>
      <c r="L203" s="6">
        <v>58.695</v>
      </c>
      <c r="M203" s="6">
        <v>58.695</v>
      </c>
      <c r="N203" s="6">
        <v>58.695</v>
      </c>
      <c r="O203" s="6">
        <v>58.695</v>
      </c>
      <c r="P203" s="6">
        <v>0</v>
      </c>
      <c r="Q203" s="4" t="s">
        <v>26</v>
      </c>
      <c r="R203" s="4">
        <v>0</v>
      </c>
      <c r="S203" s="4" t="s">
        <v>132</v>
      </c>
      <c r="T203" s="4" t="s">
        <v>392</v>
      </c>
      <c r="U203" s="4">
        <v>14</v>
      </c>
      <c r="V203" s="4">
        <v>15</v>
      </c>
      <c r="W203" s="4">
        <v>66</v>
      </c>
    </row>
    <row r="204" spans="1:23" ht="11.25" customHeight="1" x14ac:dyDescent="0.25">
      <c r="A204" s="4" t="s">
        <v>21</v>
      </c>
      <c r="B204" s="4" t="s">
        <v>33</v>
      </c>
      <c r="C204" s="4" t="s">
        <v>41</v>
      </c>
      <c r="D204" s="4" t="s">
        <v>46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44531</v>
      </c>
      <c r="J204" s="6">
        <v>207</v>
      </c>
      <c r="K204" s="6">
        <v>207</v>
      </c>
      <c r="L204" s="6">
        <v>63.817</v>
      </c>
      <c r="M204" s="6">
        <v>63.817</v>
      </c>
      <c r="N204" s="6">
        <v>63.817</v>
      </c>
      <c r="O204" s="6">
        <v>63.817</v>
      </c>
      <c r="P204" s="6">
        <v>0</v>
      </c>
      <c r="Q204" s="4" t="s">
        <v>26</v>
      </c>
      <c r="R204" s="4">
        <v>0</v>
      </c>
      <c r="S204" s="4" t="s">
        <v>133</v>
      </c>
      <c r="T204" s="4" t="s">
        <v>393</v>
      </c>
      <c r="U204" s="4">
        <v>14</v>
      </c>
      <c r="V204" s="4">
        <v>15</v>
      </c>
      <c r="W204" s="4">
        <v>66</v>
      </c>
    </row>
    <row r="205" spans="1:23" ht="11.25" customHeight="1" x14ac:dyDescent="0.25">
      <c r="A205" s="4" t="s">
        <v>21</v>
      </c>
      <c r="B205" s="4" t="s">
        <v>33</v>
      </c>
      <c r="C205" s="4" t="s">
        <v>41</v>
      </c>
      <c r="D205" s="4" t="s">
        <v>46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211</v>
      </c>
      <c r="K205" s="6">
        <v>211</v>
      </c>
      <c r="L205" s="6">
        <v>70.194000000000003</v>
      </c>
      <c r="M205" s="6">
        <v>70.194000000000003</v>
      </c>
      <c r="N205" s="6">
        <v>70.194000000000003</v>
      </c>
      <c r="O205" s="6">
        <v>70.194000000000003</v>
      </c>
      <c r="P205" s="6">
        <v>0</v>
      </c>
      <c r="Q205" s="4" t="s">
        <v>26</v>
      </c>
      <c r="R205" s="4">
        <v>0</v>
      </c>
      <c r="S205" s="4" t="s">
        <v>134</v>
      </c>
      <c r="T205" s="4" t="s">
        <v>394</v>
      </c>
      <c r="U205" s="4">
        <v>14</v>
      </c>
      <c r="V205" s="4">
        <v>15</v>
      </c>
      <c r="W205" s="4">
        <v>66</v>
      </c>
    </row>
    <row r="206" spans="1:23" ht="11.25" customHeight="1" x14ac:dyDescent="0.25">
      <c r="A206" s="4" t="s">
        <v>21</v>
      </c>
      <c r="B206" s="4" t="s">
        <v>33</v>
      </c>
      <c r="C206" s="4" t="s">
        <v>41</v>
      </c>
      <c r="D206" s="4" t="s">
        <v>46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213</v>
      </c>
      <c r="K206" s="6">
        <v>213</v>
      </c>
      <c r="L206" s="6">
        <v>67.41</v>
      </c>
      <c r="M206" s="6">
        <v>67.41</v>
      </c>
      <c r="N206" s="6">
        <v>67.41</v>
      </c>
      <c r="O206" s="6">
        <v>67.41</v>
      </c>
      <c r="P206" s="6">
        <v>0</v>
      </c>
      <c r="Q206" s="4" t="s">
        <v>26</v>
      </c>
      <c r="R206" s="4">
        <v>0</v>
      </c>
      <c r="S206" s="4" t="s">
        <v>135</v>
      </c>
      <c r="T206" s="4" t="s">
        <v>395</v>
      </c>
      <c r="U206" s="4">
        <v>14</v>
      </c>
      <c r="V206" s="4">
        <v>15</v>
      </c>
      <c r="W206" s="4">
        <v>66</v>
      </c>
    </row>
    <row r="207" spans="1:23" ht="11.25" customHeight="1" x14ac:dyDescent="0.25">
      <c r="A207" s="4" t="s">
        <v>21</v>
      </c>
      <c r="B207" s="4" t="s">
        <v>33</v>
      </c>
      <c r="C207" s="4" t="s">
        <v>41</v>
      </c>
      <c r="D207" s="4" t="s">
        <v>46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44621</v>
      </c>
      <c r="J207" s="6">
        <v>199</v>
      </c>
      <c r="K207" s="6">
        <v>199</v>
      </c>
      <c r="L207" s="6">
        <v>74.602000000000004</v>
      </c>
      <c r="M207" s="6">
        <v>74.602000000000004</v>
      </c>
      <c r="N207" s="6">
        <v>74.602000000000004</v>
      </c>
      <c r="O207" s="6">
        <v>74.602000000000004</v>
      </c>
      <c r="P207" s="6">
        <v>0</v>
      </c>
      <c r="Q207" s="4" t="s">
        <v>26</v>
      </c>
      <c r="R207" s="4">
        <v>0</v>
      </c>
      <c r="S207" s="4" t="s">
        <v>136</v>
      </c>
      <c r="T207" s="4" t="s">
        <v>396</v>
      </c>
      <c r="U207" s="4">
        <v>14</v>
      </c>
      <c r="V207" s="4">
        <v>15</v>
      </c>
      <c r="W207" s="4">
        <v>66</v>
      </c>
    </row>
    <row r="208" spans="1:23" ht="11.25" customHeight="1" x14ac:dyDescent="0.25">
      <c r="A208" s="4" t="s">
        <v>21</v>
      </c>
      <c r="B208" s="4" t="s">
        <v>33</v>
      </c>
      <c r="C208" s="4" t="s">
        <v>41</v>
      </c>
      <c r="D208" s="4" t="s">
        <v>46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44652</v>
      </c>
      <c r="J208" s="6">
        <v>194</v>
      </c>
      <c r="K208" s="6">
        <v>194</v>
      </c>
      <c r="L208" s="6">
        <v>58.408999999999999</v>
      </c>
      <c r="M208" s="6">
        <v>58.408999999999999</v>
      </c>
      <c r="N208" s="6">
        <v>58.408999999999999</v>
      </c>
      <c r="O208" s="6">
        <v>58.408999999999999</v>
      </c>
      <c r="P208" s="6">
        <v>0</v>
      </c>
      <c r="Q208" s="4" t="s">
        <v>26</v>
      </c>
      <c r="R208" s="4">
        <v>0</v>
      </c>
      <c r="S208" s="4" t="s">
        <v>137</v>
      </c>
      <c r="T208" s="4" t="s">
        <v>397</v>
      </c>
      <c r="U208" s="4">
        <v>14</v>
      </c>
      <c r="V208" s="4">
        <v>15</v>
      </c>
      <c r="W208" s="4">
        <v>66</v>
      </c>
    </row>
    <row r="209" spans="1:23" ht="11.25" customHeight="1" x14ac:dyDescent="0.25">
      <c r="A209" s="4" t="s">
        <v>21</v>
      </c>
      <c r="B209" s="4" t="s">
        <v>33</v>
      </c>
      <c r="C209" s="4" t="s">
        <v>41</v>
      </c>
      <c r="D209" s="4" t="s">
        <v>46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44682</v>
      </c>
      <c r="J209" s="6">
        <v>192</v>
      </c>
      <c r="K209" s="6">
        <v>192</v>
      </c>
      <c r="L209" s="6">
        <v>61.29</v>
      </c>
      <c r="M209" s="6">
        <v>61.29</v>
      </c>
      <c r="N209" s="6">
        <v>61.29</v>
      </c>
      <c r="O209" s="6">
        <v>61.29</v>
      </c>
      <c r="P209" s="6">
        <v>0</v>
      </c>
      <c r="Q209" s="4" t="s">
        <v>26</v>
      </c>
      <c r="R209" s="4">
        <v>0</v>
      </c>
      <c r="S209" s="4" t="s">
        <v>138</v>
      </c>
      <c r="T209" s="4" t="s">
        <v>398</v>
      </c>
      <c r="U209" s="4">
        <v>14</v>
      </c>
      <c r="V209" s="4">
        <v>15</v>
      </c>
      <c r="W209" s="4">
        <v>66</v>
      </c>
    </row>
    <row r="210" spans="1:23" ht="11.25" customHeight="1" x14ac:dyDescent="0.25">
      <c r="A210" s="4" t="s">
        <v>21</v>
      </c>
      <c r="B210" s="4" t="s">
        <v>33</v>
      </c>
      <c r="C210" s="4" t="s">
        <v>41</v>
      </c>
      <c r="D210" s="4" t="s">
        <v>46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44348</v>
      </c>
      <c r="J210" s="6">
        <v>179</v>
      </c>
      <c r="K210" s="6">
        <v>179</v>
      </c>
      <c r="L210" s="6">
        <v>7.194</v>
      </c>
      <c r="M210" s="6">
        <v>7.194</v>
      </c>
      <c r="N210" s="6">
        <v>7.194</v>
      </c>
      <c r="O210" s="6">
        <v>7.194</v>
      </c>
      <c r="P210" s="6">
        <v>0</v>
      </c>
      <c r="Q210" s="4" t="s">
        <v>26</v>
      </c>
      <c r="R210" s="4">
        <v>0</v>
      </c>
      <c r="S210" s="4" t="s">
        <v>139</v>
      </c>
      <c r="T210" s="4" t="s">
        <v>399</v>
      </c>
      <c r="U210" s="4">
        <v>13</v>
      </c>
      <c r="V210" s="4">
        <v>15</v>
      </c>
      <c r="W210" s="4">
        <v>65</v>
      </c>
    </row>
    <row r="211" spans="1:23" ht="11.25" customHeight="1" x14ac:dyDescent="0.25">
      <c r="A211" s="4" t="s">
        <v>21</v>
      </c>
      <c r="B211" s="4" t="s">
        <v>33</v>
      </c>
      <c r="C211" s="4" t="s">
        <v>41</v>
      </c>
      <c r="D211" s="4" t="s">
        <v>46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44378</v>
      </c>
      <c r="J211" s="6">
        <v>173</v>
      </c>
      <c r="K211" s="6">
        <v>173</v>
      </c>
      <c r="L211" s="6">
        <v>7.718</v>
      </c>
      <c r="M211" s="6">
        <v>7.718</v>
      </c>
      <c r="N211" s="6">
        <v>7.718</v>
      </c>
      <c r="O211" s="6">
        <v>7.718</v>
      </c>
      <c r="P211" s="6">
        <v>0</v>
      </c>
      <c r="Q211" s="4" t="s">
        <v>26</v>
      </c>
      <c r="R211" s="4">
        <v>0</v>
      </c>
      <c r="S211" s="4" t="s">
        <v>140</v>
      </c>
      <c r="T211" s="4" t="s">
        <v>400</v>
      </c>
      <c r="U211" s="4">
        <v>13</v>
      </c>
      <c r="V211" s="4">
        <v>15</v>
      </c>
      <c r="W211" s="4">
        <v>65</v>
      </c>
    </row>
    <row r="212" spans="1:23" ht="11.25" customHeight="1" x14ac:dyDescent="0.25">
      <c r="A212" s="4" t="s">
        <v>21</v>
      </c>
      <c r="B212" s="4" t="s">
        <v>33</v>
      </c>
      <c r="C212" s="4" t="s">
        <v>41</v>
      </c>
      <c r="D212" s="4" t="s">
        <v>46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44409</v>
      </c>
      <c r="J212" s="6">
        <v>154</v>
      </c>
      <c r="K212" s="6">
        <v>154</v>
      </c>
      <c r="L212" s="6">
        <v>6.681</v>
      </c>
      <c r="M212" s="6">
        <v>6.681</v>
      </c>
      <c r="N212" s="6">
        <v>6.681</v>
      </c>
      <c r="O212" s="6">
        <v>6.681</v>
      </c>
      <c r="P212" s="6">
        <v>0</v>
      </c>
      <c r="Q212" s="4" t="s">
        <v>26</v>
      </c>
      <c r="R212" s="4">
        <v>0</v>
      </c>
      <c r="S212" s="4" t="s">
        <v>141</v>
      </c>
      <c r="T212" s="4" t="s">
        <v>401</v>
      </c>
      <c r="U212" s="4">
        <v>13</v>
      </c>
      <c r="V212" s="4">
        <v>15</v>
      </c>
      <c r="W212" s="4">
        <v>65</v>
      </c>
    </row>
    <row r="213" spans="1:23" ht="11.25" customHeight="1" x14ac:dyDescent="0.25">
      <c r="A213" s="4" t="s">
        <v>21</v>
      </c>
      <c r="B213" s="4" t="s">
        <v>33</v>
      </c>
      <c r="C213" s="4" t="s">
        <v>41</v>
      </c>
      <c r="D213" s="4" t="s">
        <v>46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44440</v>
      </c>
      <c r="J213" s="6">
        <v>176</v>
      </c>
      <c r="K213" s="6">
        <v>176</v>
      </c>
      <c r="L213" s="6">
        <v>7.0259999999999998</v>
      </c>
      <c r="M213" s="6">
        <v>7.0259999999999998</v>
      </c>
      <c r="N213" s="6">
        <v>7.0259999999999998</v>
      </c>
      <c r="O213" s="6">
        <v>7.0259999999999998</v>
      </c>
      <c r="P213" s="6">
        <v>0</v>
      </c>
      <c r="Q213" s="4" t="s">
        <v>26</v>
      </c>
      <c r="R213" s="4">
        <v>0</v>
      </c>
      <c r="S213" s="4" t="s">
        <v>142</v>
      </c>
      <c r="T213" s="4" t="s">
        <v>402</v>
      </c>
      <c r="U213" s="4">
        <v>13</v>
      </c>
      <c r="V213" s="4">
        <v>15</v>
      </c>
      <c r="W213" s="4">
        <v>65</v>
      </c>
    </row>
    <row r="214" spans="1:23" ht="11.25" customHeight="1" x14ac:dyDescent="0.25">
      <c r="A214" s="4" t="s">
        <v>21</v>
      </c>
      <c r="B214" s="4" t="s">
        <v>33</v>
      </c>
      <c r="C214" s="4" t="s">
        <v>41</v>
      </c>
      <c r="D214" s="4" t="s">
        <v>46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44470</v>
      </c>
      <c r="J214" s="6">
        <v>126</v>
      </c>
      <c r="K214" s="6">
        <v>126</v>
      </c>
      <c r="L214" s="6">
        <v>5.4720000000000004</v>
      </c>
      <c r="M214" s="6">
        <v>5.4720000000000004</v>
      </c>
      <c r="N214" s="6">
        <v>5.4720000000000004</v>
      </c>
      <c r="O214" s="6">
        <v>5.4720000000000004</v>
      </c>
      <c r="P214" s="6">
        <v>0</v>
      </c>
      <c r="Q214" s="4" t="s">
        <v>26</v>
      </c>
      <c r="R214" s="4">
        <v>0</v>
      </c>
      <c r="S214" s="4" t="s">
        <v>143</v>
      </c>
      <c r="T214" s="4" t="s">
        <v>403</v>
      </c>
      <c r="U214" s="4">
        <v>13</v>
      </c>
      <c r="V214" s="4">
        <v>15</v>
      </c>
      <c r="W214" s="4">
        <v>65</v>
      </c>
    </row>
    <row r="215" spans="1:23" ht="11.25" customHeight="1" x14ac:dyDescent="0.25">
      <c r="A215" s="4" t="s">
        <v>21</v>
      </c>
      <c r="B215" s="4" t="s">
        <v>33</v>
      </c>
      <c r="C215" s="4" t="s">
        <v>41</v>
      </c>
      <c r="D215" s="4" t="s">
        <v>46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44501</v>
      </c>
      <c r="J215" s="6">
        <v>126</v>
      </c>
      <c r="K215" s="6">
        <v>126</v>
      </c>
      <c r="L215" s="6">
        <v>6.4649999999999999</v>
      </c>
      <c r="M215" s="6">
        <v>6.4649999999999999</v>
      </c>
      <c r="N215" s="6">
        <v>6.4649999999999999</v>
      </c>
      <c r="O215" s="6">
        <v>6.4649999999999999</v>
      </c>
      <c r="P215" s="6">
        <v>0</v>
      </c>
      <c r="Q215" s="4" t="s">
        <v>26</v>
      </c>
      <c r="R215" s="4">
        <v>0</v>
      </c>
      <c r="S215" s="4" t="s">
        <v>144</v>
      </c>
      <c r="T215" s="4" t="s">
        <v>404</v>
      </c>
      <c r="U215" s="4">
        <v>13</v>
      </c>
      <c r="V215" s="4">
        <v>15</v>
      </c>
      <c r="W215" s="4">
        <v>65</v>
      </c>
    </row>
    <row r="216" spans="1:23" ht="11.25" customHeight="1" x14ac:dyDescent="0.25">
      <c r="A216" s="4" t="s">
        <v>21</v>
      </c>
      <c r="B216" s="4" t="s">
        <v>33</v>
      </c>
      <c r="C216" s="4" t="s">
        <v>41</v>
      </c>
      <c r="D216" s="4" t="s">
        <v>46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44531</v>
      </c>
      <c r="J216" s="6">
        <v>149</v>
      </c>
      <c r="K216" s="6">
        <v>149</v>
      </c>
      <c r="L216" s="6">
        <v>6.9580000000000002</v>
      </c>
      <c r="M216" s="6">
        <v>6.9580000000000002</v>
      </c>
      <c r="N216" s="6">
        <v>6.9580000000000002</v>
      </c>
      <c r="O216" s="6">
        <v>6.9580000000000002</v>
      </c>
      <c r="P216" s="6">
        <v>0</v>
      </c>
      <c r="Q216" s="4" t="s">
        <v>26</v>
      </c>
      <c r="R216" s="4">
        <v>0</v>
      </c>
      <c r="S216" s="4" t="s">
        <v>145</v>
      </c>
      <c r="T216" s="4" t="s">
        <v>405</v>
      </c>
      <c r="U216" s="4">
        <v>13</v>
      </c>
      <c r="V216" s="4">
        <v>15</v>
      </c>
      <c r="W216" s="4">
        <v>65</v>
      </c>
    </row>
    <row r="217" spans="1:23" ht="11.25" customHeight="1" x14ac:dyDescent="0.25">
      <c r="A217" s="4" t="s">
        <v>21</v>
      </c>
      <c r="B217" s="4" t="s">
        <v>33</v>
      </c>
      <c r="C217" s="4" t="s">
        <v>41</v>
      </c>
      <c r="D217" s="4" t="s">
        <v>46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177</v>
      </c>
      <c r="K217" s="6">
        <v>177</v>
      </c>
      <c r="L217" s="6">
        <v>6.9720000000000004</v>
      </c>
      <c r="M217" s="6">
        <v>6.9720000000000004</v>
      </c>
      <c r="N217" s="6">
        <v>6.9720000000000004</v>
      </c>
      <c r="O217" s="6">
        <v>6.9720000000000004</v>
      </c>
      <c r="P217" s="6">
        <v>0</v>
      </c>
      <c r="Q217" s="4" t="s">
        <v>26</v>
      </c>
      <c r="R217" s="4">
        <v>0</v>
      </c>
      <c r="S217" s="4" t="s">
        <v>146</v>
      </c>
      <c r="T217" s="4" t="s">
        <v>406</v>
      </c>
      <c r="U217" s="4">
        <v>13</v>
      </c>
      <c r="V217" s="4">
        <v>15</v>
      </c>
      <c r="W217" s="4">
        <v>65</v>
      </c>
    </row>
    <row r="218" spans="1:23" ht="11.25" customHeight="1" x14ac:dyDescent="0.25">
      <c r="A218" s="4" t="s">
        <v>21</v>
      </c>
      <c r="B218" s="4" t="s">
        <v>33</v>
      </c>
      <c r="C218" s="4" t="s">
        <v>41</v>
      </c>
      <c r="D218" s="4" t="s">
        <v>46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153</v>
      </c>
      <c r="K218" s="6">
        <v>153</v>
      </c>
      <c r="L218" s="6">
        <v>7.0359999999999996</v>
      </c>
      <c r="M218" s="6">
        <v>7.0359999999999996</v>
      </c>
      <c r="N218" s="6">
        <v>7.0359999999999996</v>
      </c>
      <c r="O218" s="6">
        <v>7.0359999999999996</v>
      </c>
      <c r="P218" s="6">
        <v>0</v>
      </c>
      <c r="Q218" s="4" t="s">
        <v>26</v>
      </c>
      <c r="R218" s="4">
        <v>0</v>
      </c>
      <c r="S218" s="4" t="s">
        <v>147</v>
      </c>
      <c r="T218" s="4" t="s">
        <v>407</v>
      </c>
      <c r="U218" s="4">
        <v>13</v>
      </c>
      <c r="V218" s="4">
        <v>15</v>
      </c>
      <c r="W218" s="4">
        <v>65</v>
      </c>
    </row>
    <row r="219" spans="1:23" ht="11.25" customHeight="1" x14ac:dyDescent="0.25">
      <c r="A219" s="4" t="s">
        <v>21</v>
      </c>
      <c r="B219" s="4" t="s">
        <v>33</v>
      </c>
      <c r="C219" s="4" t="s">
        <v>41</v>
      </c>
      <c r="D219" s="4" t="s">
        <v>46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44621</v>
      </c>
      <c r="J219" s="6">
        <v>187</v>
      </c>
      <c r="K219" s="6">
        <v>187</v>
      </c>
      <c r="L219" s="6">
        <v>7.6870000000000003</v>
      </c>
      <c r="M219" s="6">
        <v>7.6870000000000003</v>
      </c>
      <c r="N219" s="6">
        <v>7.6870000000000003</v>
      </c>
      <c r="O219" s="6">
        <v>7.6870000000000003</v>
      </c>
      <c r="P219" s="6">
        <v>0</v>
      </c>
      <c r="Q219" s="4" t="s">
        <v>26</v>
      </c>
      <c r="R219" s="4">
        <v>0</v>
      </c>
      <c r="S219" s="4" t="s">
        <v>148</v>
      </c>
      <c r="T219" s="4" t="s">
        <v>408</v>
      </c>
      <c r="U219" s="4">
        <v>13</v>
      </c>
      <c r="V219" s="4">
        <v>15</v>
      </c>
      <c r="W219" s="4">
        <v>65</v>
      </c>
    </row>
    <row r="220" spans="1:23" ht="11.25" customHeight="1" x14ac:dyDescent="0.25">
      <c r="A220" s="4" t="s">
        <v>21</v>
      </c>
      <c r="B220" s="4" t="s">
        <v>33</v>
      </c>
      <c r="C220" s="4" t="s">
        <v>41</v>
      </c>
      <c r="D220" s="4" t="s">
        <v>46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44652</v>
      </c>
      <c r="J220" s="6">
        <v>128</v>
      </c>
      <c r="K220" s="6">
        <v>128</v>
      </c>
      <c r="L220" s="6">
        <v>5.65</v>
      </c>
      <c r="M220" s="6">
        <v>5.65</v>
      </c>
      <c r="N220" s="6">
        <v>5.65</v>
      </c>
      <c r="O220" s="6">
        <v>5.65</v>
      </c>
      <c r="P220" s="6">
        <v>0</v>
      </c>
      <c r="Q220" s="4" t="s">
        <v>26</v>
      </c>
      <c r="R220" s="4">
        <v>0</v>
      </c>
      <c r="S220" s="4" t="s">
        <v>149</v>
      </c>
      <c r="T220" s="4" t="s">
        <v>409</v>
      </c>
      <c r="U220" s="4">
        <v>13</v>
      </c>
      <c r="V220" s="4">
        <v>15</v>
      </c>
      <c r="W220" s="4">
        <v>65</v>
      </c>
    </row>
    <row r="221" spans="1:23" ht="11.25" customHeight="1" x14ac:dyDescent="0.25">
      <c r="A221" s="4" t="s">
        <v>21</v>
      </c>
      <c r="B221" s="4" t="s">
        <v>33</v>
      </c>
      <c r="C221" s="4" t="s">
        <v>41</v>
      </c>
      <c r="D221" s="4" t="s">
        <v>46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44682</v>
      </c>
      <c r="J221" s="6">
        <v>135</v>
      </c>
      <c r="K221" s="6">
        <v>135</v>
      </c>
      <c r="L221" s="6">
        <v>6.0190000000000001</v>
      </c>
      <c r="M221" s="6">
        <v>6.0190000000000001</v>
      </c>
      <c r="N221" s="6">
        <v>6.0190000000000001</v>
      </c>
      <c r="O221" s="6">
        <v>6.0190000000000001</v>
      </c>
      <c r="P221" s="6">
        <v>0</v>
      </c>
      <c r="Q221" s="4" t="s">
        <v>26</v>
      </c>
      <c r="R221" s="4">
        <v>0</v>
      </c>
      <c r="S221" s="4" t="s">
        <v>150</v>
      </c>
      <c r="T221" s="4" t="s">
        <v>410</v>
      </c>
      <c r="U221" s="4">
        <v>13</v>
      </c>
      <c r="V221" s="4">
        <v>15</v>
      </c>
      <c r="W221" s="4">
        <v>65</v>
      </c>
    </row>
    <row r="222" spans="1:23" ht="11.25" customHeight="1" x14ac:dyDescent="0.25">
      <c r="A222" s="4" t="s">
        <v>21</v>
      </c>
      <c r="B222" s="4" t="s">
        <v>33</v>
      </c>
      <c r="C222" s="4" t="s">
        <v>41</v>
      </c>
      <c r="D222" s="4" t="s">
        <v>50</v>
      </c>
      <c r="E222" s="4" t="s">
        <v>51</v>
      </c>
      <c r="F222" s="4" t="s">
        <v>25</v>
      </c>
      <c r="G222" s="4" t="s">
        <v>25</v>
      </c>
      <c r="H222" s="4" t="s">
        <v>35</v>
      </c>
      <c r="I222" s="5">
        <v>44348</v>
      </c>
      <c r="J222" s="6">
        <v>228</v>
      </c>
      <c r="K222" s="6">
        <v>214.32</v>
      </c>
      <c r="L222" s="6">
        <v>32.115000000000002</v>
      </c>
      <c r="M222" s="6">
        <v>30.188099999999999</v>
      </c>
      <c r="N222" s="6">
        <v>32.115000000000002</v>
      </c>
      <c r="O222" s="6">
        <v>30.188099999999999</v>
      </c>
      <c r="P222" s="6">
        <v>0</v>
      </c>
      <c r="Q222" s="4" t="s">
        <v>26</v>
      </c>
      <c r="R222" s="4">
        <v>0</v>
      </c>
      <c r="S222" s="4" t="s">
        <v>127</v>
      </c>
      <c r="T222" s="4" t="s">
        <v>387</v>
      </c>
      <c r="U222" s="4">
        <v>14</v>
      </c>
      <c r="V222" s="4">
        <v>15</v>
      </c>
      <c r="W222" s="4">
        <v>66</v>
      </c>
    </row>
    <row r="223" spans="1:23" ht="11.25" customHeight="1" x14ac:dyDescent="0.25">
      <c r="A223" s="4" t="s">
        <v>21</v>
      </c>
      <c r="B223" s="4" t="s">
        <v>33</v>
      </c>
      <c r="C223" s="4" t="s">
        <v>41</v>
      </c>
      <c r="D223" s="4" t="s">
        <v>50</v>
      </c>
      <c r="E223" s="4" t="s">
        <v>51</v>
      </c>
      <c r="F223" s="4" t="s">
        <v>25</v>
      </c>
      <c r="G223" s="4" t="s">
        <v>25</v>
      </c>
      <c r="H223" s="4" t="s">
        <v>35</v>
      </c>
      <c r="I223" s="5">
        <v>44378</v>
      </c>
      <c r="J223" s="6">
        <v>228</v>
      </c>
      <c r="K223" s="6">
        <v>214.32</v>
      </c>
      <c r="L223" s="6">
        <v>48.148000000000003</v>
      </c>
      <c r="M223" s="6">
        <v>45.259120000000003</v>
      </c>
      <c r="N223" s="6">
        <v>48.148000000000003</v>
      </c>
      <c r="O223" s="6">
        <v>45.259120000000003</v>
      </c>
      <c r="P223" s="6">
        <v>0</v>
      </c>
      <c r="Q223" s="4" t="s">
        <v>26</v>
      </c>
      <c r="R223" s="4">
        <v>0</v>
      </c>
      <c r="S223" s="4" t="s">
        <v>128</v>
      </c>
      <c r="T223" s="4" t="s">
        <v>388</v>
      </c>
      <c r="U223" s="4">
        <v>14</v>
      </c>
      <c r="V223" s="4">
        <v>15</v>
      </c>
      <c r="W223" s="4">
        <v>66</v>
      </c>
    </row>
    <row r="224" spans="1:23" ht="11.25" customHeight="1" x14ac:dyDescent="0.25">
      <c r="A224" s="4" t="s">
        <v>21</v>
      </c>
      <c r="B224" s="4" t="s">
        <v>33</v>
      </c>
      <c r="C224" s="4" t="s">
        <v>41</v>
      </c>
      <c r="D224" s="4" t="s">
        <v>50</v>
      </c>
      <c r="E224" s="4" t="s">
        <v>51</v>
      </c>
      <c r="F224" s="4" t="s">
        <v>25</v>
      </c>
      <c r="G224" s="4" t="s">
        <v>25</v>
      </c>
      <c r="H224" s="4" t="s">
        <v>35</v>
      </c>
      <c r="I224" s="5">
        <v>44409</v>
      </c>
      <c r="J224" s="6">
        <v>228</v>
      </c>
      <c r="K224" s="6">
        <v>214.32</v>
      </c>
      <c r="L224" s="6">
        <v>47.905000000000001</v>
      </c>
      <c r="M224" s="6">
        <v>45.030700000000003</v>
      </c>
      <c r="N224" s="6">
        <v>47.905000000000001</v>
      </c>
      <c r="O224" s="6">
        <v>45.030700000000003</v>
      </c>
      <c r="P224" s="6">
        <v>0</v>
      </c>
      <c r="Q224" s="4" t="s">
        <v>26</v>
      </c>
      <c r="R224" s="4">
        <v>0</v>
      </c>
      <c r="S224" s="4" t="s">
        <v>129</v>
      </c>
      <c r="T224" s="4" t="s">
        <v>389</v>
      </c>
      <c r="U224" s="4">
        <v>14</v>
      </c>
      <c r="V224" s="4">
        <v>15</v>
      </c>
      <c r="W224" s="4">
        <v>66</v>
      </c>
    </row>
    <row r="225" spans="1:23" ht="11.25" customHeight="1" x14ac:dyDescent="0.25">
      <c r="A225" s="4" t="s">
        <v>21</v>
      </c>
      <c r="B225" s="4" t="s">
        <v>33</v>
      </c>
      <c r="C225" s="4" t="s">
        <v>41</v>
      </c>
      <c r="D225" s="4" t="s">
        <v>50</v>
      </c>
      <c r="E225" s="4" t="s">
        <v>51</v>
      </c>
      <c r="F225" s="4" t="s">
        <v>25</v>
      </c>
      <c r="G225" s="4" t="s">
        <v>25</v>
      </c>
      <c r="H225" s="4" t="s">
        <v>35</v>
      </c>
      <c r="I225" s="5">
        <v>44440</v>
      </c>
      <c r="J225" s="6">
        <v>228</v>
      </c>
      <c r="K225" s="6">
        <v>214.32</v>
      </c>
      <c r="L225" s="6">
        <v>33.082999999999998</v>
      </c>
      <c r="M225" s="6">
        <v>31.098020000000002</v>
      </c>
      <c r="N225" s="6">
        <v>33.082999999999998</v>
      </c>
      <c r="O225" s="6">
        <v>31.098020000000002</v>
      </c>
      <c r="P225" s="6">
        <v>0</v>
      </c>
      <c r="Q225" s="4" t="s">
        <v>26</v>
      </c>
      <c r="R225" s="4">
        <v>0</v>
      </c>
      <c r="S225" s="4" t="s">
        <v>130</v>
      </c>
      <c r="T225" s="4" t="s">
        <v>390</v>
      </c>
      <c r="U225" s="4">
        <v>14</v>
      </c>
      <c r="V225" s="4">
        <v>15</v>
      </c>
      <c r="W225" s="4">
        <v>66</v>
      </c>
    </row>
    <row r="226" spans="1:23" ht="11.25" customHeight="1" x14ac:dyDescent="0.25">
      <c r="A226" s="4" t="s">
        <v>21</v>
      </c>
      <c r="B226" s="4" t="s">
        <v>33</v>
      </c>
      <c r="C226" s="4" t="s">
        <v>41</v>
      </c>
      <c r="D226" s="4" t="s">
        <v>50</v>
      </c>
      <c r="E226" s="4" t="s">
        <v>51</v>
      </c>
      <c r="F226" s="4" t="s">
        <v>25</v>
      </c>
      <c r="G226" s="4" t="s">
        <v>25</v>
      </c>
      <c r="H226" s="4" t="s">
        <v>35</v>
      </c>
      <c r="I226" s="5">
        <v>44470</v>
      </c>
      <c r="J226" s="6">
        <v>228</v>
      </c>
      <c r="K226" s="6">
        <v>214.32</v>
      </c>
      <c r="L226" s="6">
        <v>61.505000000000003</v>
      </c>
      <c r="M226" s="6">
        <v>57.814700000000002</v>
      </c>
      <c r="N226" s="6">
        <v>61.505000000000003</v>
      </c>
      <c r="O226" s="6">
        <v>57.814700000000002</v>
      </c>
      <c r="P226" s="6">
        <v>0</v>
      </c>
      <c r="Q226" s="4" t="s">
        <v>26</v>
      </c>
      <c r="R226" s="4">
        <v>0</v>
      </c>
      <c r="S226" s="4" t="s">
        <v>131</v>
      </c>
      <c r="T226" s="4" t="s">
        <v>391</v>
      </c>
      <c r="U226" s="4">
        <v>14</v>
      </c>
      <c r="V226" s="4">
        <v>15</v>
      </c>
      <c r="W226" s="4">
        <v>66</v>
      </c>
    </row>
    <row r="227" spans="1:23" ht="11.25" customHeight="1" x14ac:dyDescent="0.25">
      <c r="A227" s="4" t="s">
        <v>21</v>
      </c>
      <c r="B227" s="4" t="s">
        <v>33</v>
      </c>
      <c r="C227" s="4" t="s">
        <v>41</v>
      </c>
      <c r="D227" s="4" t="s">
        <v>50</v>
      </c>
      <c r="E227" s="4" t="s">
        <v>51</v>
      </c>
      <c r="F227" s="4" t="s">
        <v>25</v>
      </c>
      <c r="G227" s="4" t="s">
        <v>25</v>
      </c>
      <c r="H227" s="4" t="s">
        <v>35</v>
      </c>
      <c r="I227" s="5">
        <v>44501</v>
      </c>
      <c r="J227" s="6">
        <v>228</v>
      </c>
      <c r="K227" s="6">
        <v>214.32</v>
      </c>
      <c r="L227" s="6">
        <v>38.808</v>
      </c>
      <c r="M227" s="6">
        <v>36.479520000000001</v>
      </c>
      <c r="N227" s="6">
        <v>38.808</v>
      </c>
      <c r="O227" s="6">
        <v>36.479520000000001</v>
      </c>
      <c r="P227" s="6">
        <v>0</v>
      </c>
      <c r="Q227" s="4" t="s">
        <v>26</v>
      </c>
      <c r="R227" s="4">
        <v>0</v>
      </c>
      <c r="S227" s="4" t="s">
        <v>132</v>
      </c>
      <c r="T227" s="4" t="s">
        <v>392</v>
      </c>
      <c r="U227" s="4">
        <v>14</v>
      </c>
      <c r="V227" s="4">
        <v>15</v>
      </c>
      <c r="W227" s="4">
        <v>66</v>
      </c>
    </row>
    <row r="228" spans="1:23" ht="11.25" customHeight="1" x14ac:dyDescent="0.25">
      <c r="A228" s="4" t="s">
        <v>21</v>
      </c>
      <c r="B228" s="4" t="s">
        <v>33</v>
      </c>
      <c r="C228" s="4" t="s">
        <v>41</v>
      </c>
      <c r="D228" s="4" t="s">
        <v>50</v>
      </c>
      <c r="E228" s="4" t="s">
        <v>51</v>
      </c>
      <c r="F228" s="4" t="s">
        <v>25</v>
      </c>
      <c r="G228" s="4" t="s">
        <v>25</v>
      </c>
      <c r="H228" s="4" t="s">
        <v>35</v>
      </c>
      <c r="I228" s="5">
        <v>44531</v>
      </c>
      <c r="J228" s="6">
        <v>228</v>
      </c>
      <c r="K228" s="6">
        <v>214.32</v>
      </c>
      <c r="L228" s="6">
        <v>31.431999999999999</v>
      </c>
      <c r="M228" s="6">
        <v>29.54608</v>
      </c>
      <c r="N228" s="6">
        <v>31.431999999999999</v>
      </c>
      <c r="O228" s="6">
        <v>29.54608</v>
      </c>
      <c r="P228" s="6">
        <v>0</v>
      </c>
      <c r="Q228" s="4" t="s">
        <v>26</v>
      </c>
      <c r="R228" s="4">
        <v>0</v>
      </c>
      <c r="S228" s="4" t="s">
        <v>133</v>
      </c>
      <c r="T228" s="4" t="s">
        <v>393</v>
      </c>
      <c r="U228" s="4">
        <v>14</v>
      </c>
      <c r="V228" s="4">
        <v>15</v>
      </c>
      <c r="W228" s="4">
        <v>66</v>
      </c>
    </row>
    <row r="229" spans="1:23" ht="11.25" customHeight="1" x14ac:dyDescent="0.25">
      <c r="A229" s="4" t="s">
        <v>21</v>
      </c>
      <c r="B229" s="4" t="s">
        <v>33</v>
      </c>
      <c r="C229" s="4" t="s">
        <v>41</v>
      </c>
      <c r="D229" s="4" t="s">
        <v>50</v>
      </c>
      <c r="E229" s="4" t="s">
        <v>51</v>
      </c>
      <c r="F229" s="4" t="s">
        <v>25</v>
      </c>
      <c r="G229" s="4" t="s">
        <v>25</v>
      </c>
      <c r="H229" s="4" t="s">
        <v>35</v>
      </c>
      <c r="I229" s="5">
        <v>44562</v>
      </c>
      <c r="J229" s="6">
        <v>228</v>
      </c>
      <c r="K229" s="6">
        <v>214.32</v>
      </c>
      <c r="L229" s="6">
        <v>37.186</v>
      </c>
      <c r="M229" s="6">
        <v>34.954839999999997</v>
      </c>
      <c r="N229" s="6">
        <v>37.186</v>
      </c>
      <c r="O229" s="6">
        <v>34.954839999999997</v>
      </c>
      <c r="P229" s="6">
        <v>0</v>
      </c>
      <c r="Q229" s="4" t="s">
        <v>26</v>
      </c>
      <c r="R229" s="4">
        <v>0</v>
      </c>
      <c r="S229" s="4" t="s">
        <v>134</v>
      </c>
      <c r="T229" s="4" t="s">
        <v>394</v>
      </c>
      <c r="U229" s="4">
        <v>14</v>
      </c>
      <c r="V229" s="4">
        <v>15</v>
      </c>
      <c r="W229" s="4">
        <v>66</v>
      </c>
    </row>
    <row r="230" spans="1:23" ht="11.25" customHeight="1" x14ac:dyDescent="0.25">
      <c r="A230" s="4" t="s">
        <v>21</v>
      </c>
      <c r="B230" s="4" t="s">
        <v>33</v>
      </c>
      <c r="C230" s="4" t="s">
        <v>41</v>
      </c>
      <c r="D230" s="4" t="s">
        <v>50</v>
      </c>
      <c r="E230" s="4" t="s">
        <v>51</v>
      </c>
      <c r="F230" s="4" t="s">
        <v>25</v>
      </c>
      <c r="G230" s="4" t="s">
        <v>25</v>
      </c>
      <c r="H230" s="4" t="s">
        <v>35</v>
      </c>
      <c r="I230" s="5">
        <v>44593</v>
      </c>
      <c r="J230" s="6">
        <v>228</v>
      </c>
      <c r="K230" s="6">
        <v>214.32</v>
      </c>
      <c r="L230" s="6">
        <v>56.317</v>
      </c>
      <c r="M230" s="6">
        <v>52.937980000000003</v>
      </c>
      <c r="N230" s="6">
        <v>56.317</v>
      </c>
      <c r="O230" s="6">
        <v>52.937980000000003</v>
      </c>
      <c r="P230" s="6">
        <v>0</v>
      </c>
      <c r="Q230" s="4" t="s">
        <v>26</v>
      </c>
      <c r="R230" s="4">
        <v>0</v>
      </c>
      <c r="S230" s="4" t="s">
        <v>135</v>
      </c>
      <c r="T230" s="4" t="s">
        <v>395</v>
      </c>
      <c r="U230" s="4">
        <v>14</v>
      </c>
      <c r="V230" s="4">
        <v>15</v>
      </c>
      <c r="W230" s="4">
        <v>66</v>
      </c>
    </row>
    <row r="231" spans="1:23" ht="11.25" customHeight="1" x14ac:dyDescent="0.25">
      <c r="A231" s="4" t="s">
        <v>21</v>
      </c>
      <c r="B231" s="4" t="s">
        <v>33</v>
      </c>
      <c r="C231" s="4" t="s">
        <v>41</v>
      </c>
      <c r="D231" s="4" t="s">
        <v>50</v>
      </c>
      <c r="E231" s="4" t="s">
        <v>51</v>
      </c>
      <c r="F231" s="4" t="s">
        <v>25</v>
      </c>
      <c r="G231" s="4" t="s">
        <v>25</v>
      </c>
      <c r="H231" s="4" t="s">
        <v>35</v>
      </c>
      <c r="I231" s="5">
        <v>44621</v>
      </c>
      <c r="J231" s="6">
        <v>228</v>
      </c>
      <c r="K231" s="6">
        <v>214.32</v>
      </c>
      <c r="L231" s="6">
        <v>20.756</v>
      </c>
      <c r="M231" s="6">
        <v>19.510639999999999</v>
      </c>
      <c r="N231" s="6">
        <v>20.756</v>
      </c>
      <c r="O231" s="6">
        <v>19.510639999999999</v>
      </c>
      <c r="P231" s="6">
        <v>0</v>
      </c>
      <c r="Q231" s="4" t="s">
        <v>26</v>
      </c>
      <c r="R231" s="4">
        <v>0</v>
      </c>
      <c r="S231" s="4" t="s">
        <v>136</v>
      </c>
      <c r="T231" s="4" t="s">
        <v>396</v>
      </c>
      <c r="U231" s="4">
        <v>14</v>
      </c>
      <c r="V231" s="4">
        <v>15</v>
      </c>
      <c r="W231" s="4">
        <v>66</v>
      </c>
    </row>
    <row r="232" spans="1:23" ht="11.25" customHeight="1" x14ac:dyDescent="0.25">
      <c r="A232" s="4" t="s">
        <v>21</v>
      </c>
      <c r="B232" s="4" t="s">
        <v>33</v>
      </c>
      <c r="C232" s="4" t="s">
        <v>41</v>
      </c>
      <c r="D232" s="4" t="s">
        <v>50</v>
      </c>
      <c r="E232" s="4" t="s">
        <v>51</v>
      </c>
      <c r="F232" s="4" t="s">
        <v>25</v>
      </c>
      <c r="G232" s="4" t="s">
        <v>25</v>
      </c>
      <c r="H232" s="4" t="s">
        <v>35</v>
      </c>
      <c r="I232" s="5">
        <v>44652</v>
      </c>
      <c r="J232" s="6">
        <v>228</v>
      </c>
      <c r="K232" s="6">
        <v>214.32</v>
      </c>
      <c r="L232" s="6">
        <v>24.324999999999999</v>
      </c>
      <c r="M232" s="6">
        <v>22.865500000000001</v>
      </c>
      <c r="N232" s="6">
        <v>24.324999999999999</v>
      </c>
      <c r="O232" s="6">
        <v>22.865500000000001</v>
      </c>
      <c r="P232" s="6">
        <v>0</v>
      </c>
      <c r="Q232" s="4" t="s">
        <v>26</v>
      </c>
      <c r="R232" s="4">
        <v>0</v>
      </c>
      <c r="S232" s="4" t="s">
        <v>137</v>
      </c>
      <c r="T232" s="4" t="s">
        <v>397</v>
      </c>
      <c r="U232" s="4">
        <v>14</v>
      </c>
      <c r="V232" s="4">
        <v>15</v>
      </c>
      <c r="W232" s="4">
        <v>66</v>
      </c>
    </row>
    <row r="233" spans="1:23" ht="11.25" customHeight="1" x14ac:dyDescent="0.25">
      <c r="A233" s="4" t="s">
        <v>21</v>
      </c>
      <c r="B233" s="4" t="s">
        <v>33</v>
      </c>
      <c r="C233" s="4" t="s">
        <v>41</v>
      </c>
      <c r="D233" s="4" t="s">
        <v>50</v>
      </c>
      <c r="E233" s="4" t="s">
        <v>51</v>
      </c>
      <c r="F233" s="4" t="s">
        <v>25</v>
      </c>
      <c r="G233" s="4" t="s">
        <v>25</v>
      </c>
      <c r="H233" s="4" t="s">
        <v>35</v>
      </c>
      <c r="I233" s="5">
        <v>44682</v>
      </c>
      <c r="J233" s="6">
        <v>228</v>
      </c>
      <c r="K233" s="6">
        <v>214.32</v>
      </c>
      <c r="L233" s="6">
        <v>29.733000000000001</v>
      </c>
      <c r="M233" s="6">
        <v>27.949020000000001</v>
      </c>
      <c r="N233" s="6">
        <v>29.733000000000001</v>
      </c>
      <c r="O233" s="6">
        <v>27.949020000000001</v>
      </c>
      <c r="P233" s="6">
        <v>0</v>
      </c>
      <c r="Q233" s="4" t="s">
        <v>26</v>
      </c>
      <c r="R233" s="4">
        <v>0</v>
      </c>
      <c r="S233" s="4" t="s">
        <v>138</v>
      </c>
      <c r="T233" s="4" t="s">
        <v>398</v>
      </c>
      <c r="U233" s="4">
        <v>14</v>
      </c>
      <c r="V233" s="4">
        <v>15</v>
      </c>
      <c r="W233" s="4">
        <v>66</v>
      </c>
    </row>
    <row r="234" spans="1:23" ht="11.25" customHeight="1" x14ac:dyDescent="0.25">
      <c r="A234" s="4" t="s">
        <v>21</v>
      </c>
      <c r="B234" s="4" t="s">
        <v>33</v>
      </c>
      <c r="C234" s="4" t="s">
        <v>41</v>
      </c>
      <c r="D234" s="4" t="s">
        <v>50</v>
      </c>
      <c r="E234" s="4" t="s">
        <v>51</v>
      </c>
      <c r="F234" s="4" t="s">
        <v>25</v>
      </c>
      <c r="G234" s="4" t="s">
        <v>25</v>
      </c>
      <c r="H234" s="4" t="s">
        <v>37</v>
      </c>
      <c r="I234" s="5">
        <v>44348</v>
      </c>
      <c r="J234" s="6">
        <v>228</v>
      </c>
      <c r="K234" s="6">
        <v>214.32</v>
      </c>
      <c r="L234" s="6">
        <v>4.1959999999999997</v>
      </c>
      <c r="M234" s="6">
        <v>3.9442399999999993</v>
      </c>
      <c r="N234" s="6">
        <v>4.1959999999999997</v>
      </c>
      <c r="O234" s="6">
        <v>3.9442399999999993</v>
      </c>
      <c r="P234" s="6">
        <v>0</v>
      </c>
      <c r="Q234" s="4" t="s">
        <v>26</v>
      </c>
      <c r="R234" s="4">
        <v>0</v>
      </c>
      <c r="S234" s="4" t="s">
        <v>139</v>
      </c>
      <c r="T234" s="4" t="s">
        <v>399</v>
      </c>
      <c r="U234" s="4">
        <v>13</v>
      </c>
      <c r="V234" s="4">
        <v>15</v>
      </c>
      <c r="W234" s="4">
        <v>65</v>
      </c>
    </row>
    <row r="235" spans="1:23" ht="11.25" customHeight="1" x14ac:dyDescent="0.25">
      <c r="A235" s="4" t="s">
        <v>21</v>
      </c>
      <c r="B235" s="4" t="s">
        <v>33</v>
      </c>
      <c r="C235" s="4" t="s">
        <v>41</v>
      </c>
      <c r="D235" s="4" t="s">
        <v>50</v>
      </c>
      <c r="E235" s="4" t="s">
        <v>51</v>
      </c>
      <c r="F235" s="4" t="s">
        <v>25</v>
      </c>
      <c r="G235" s="4" t="s">
        <v>25</v>
      </c>
      <c r="H235" s="4" t="s">
        <v>37</v>
      </c>
      <c r="I235" s="5">
        <v>44378</v>
      </c>
      <c r="J235" s="6">
        <v>228</v>
      </c>
      <c r="K235" s="6">
        <v>214.32</v>
      </c>
      <c r="L235" s="6">
        <v>6.3650000000000002</v>
      </c>
      <c r="M235" s="6">
        <v>5.9831000000000003</v>
      </c>
      <c r="N235" s="6">
        <v>6.3650000000000002</v>
      </c>
      <c r="O235" s="6">
        <v>5.9831000000000003</v>
      </c>
      <c r="P235" s="6">
        <v>0</v>
      </c>
      <c r="Q235" s="4" t="s">
        <v>26</v>
      </c>
      <c r="R235" s="4">
        <v>0</v>
      </c>
      <c r="S235" s="4" t="s">
        <v>140</v>
      </c>
      <c r="T235" s="4" t="s">
        <v>400</v>
      </c>
      <c r="U235" s="4">
        <v>13</v>
      </c>
      <c r="V235" s="4">
        <v>15</v>
      </c>
      <c r="W235" s="4">
        <v>65</v>
      </c>
    </row>
    <row r="236" spans="1:23" ht="11.25" customHeight="1" x14ac:dyDescent="0.25">
      <c r="A236" s="4" t="s">
        <v>21</v>
      </c>
      <c r="B236" s="4" t="s">
        <v>33</v>
      </c>
      <c r="C236" s="4" t="s">
        <v>41</v>
      </c>
      <c r="D236" s="4" t="s">
        <v>50</v>
      </c>
      <c r="E236" s="4" t="s">
        <v>51</v>
      </c>
      <c r="F236" s="4" t="s">
        <v>25</v>
      </c>
      <c r="G236" s="4" t="s">
        <v>25</v>
      </c>
      <c r="H236" s="4" t="s">
        <v>37</v>
      </c>
      <c r="I236" s="5">
        <v>44409</v>
      </c>
      <c r="J236" s="6">
        <v>228</v>
      </c>
      <c r="K236" s="6">
        <v>214.32</v>
      </c>
      <c r="L236" s="6">
        <v>6.4050000000000002</v>
      </c>
      <c r="M236" s="6">
        <v>6.0206999999999997</v>
      </c>
      <c r="N236" s="6">
        <v>6.4050000000000002</v>
      </c>
      <c r="O236" s="6">
        <v>6.0206999999999997</v>
      </c>
      <c r="P236" s="6">
        <v>0</v>
      </c>
      <c r="Q236" s="4" t="s">
        <v>26</v>
      </c>
      <c r="R236" s="4">
        <v>0</v>
      </c>
      <c r="S236" s="4" t="s">
        <v>141</v>
      </c>
      <c r="T236" s="4" t="s">
        <v>401</v>
      </c>
      <c r="U236" s="4">
        <v>13</v>
      </c>
      <c r="V236" s="4">
        <v>15</v>
      </c>
      <c r="W236" s="4">
        <v>65</v>
      </c>
    </row>
    <row r="237" spans="1:23" ht="11.25" customHeight="1" x14ac:dyDescent="0.25">
      <c r="A237" s="4" t="s">
        <v>21</v>
      </c>
      <c r="B237" s="4" t="s">
        <v>33</v>
      </c>
      <c r="C237" s="4" t="s">
        <v>41</v>
      </c>
      <c r="D237" s="4" t="s">
        <v>50</v>
      </c>
      <c r="E237" s="4" t="s">
        <v>51</v>
      </c>
      <c r="F237" s="4" t="s">
        <v>25</v>
      </c>
      <c r="G237" s="4" t="s">
        <v>25</v>
      </c>
      <c r="H237" s="4" t="s">
        <v>37</v>
      </c>
      <c r="I237" s="5">
        <v>44440</v>
      </c>
      <c r="J237" s="6">
        <v>228</v>
      </c>
      <c r="K237" s="6">
        <v>214.32</v>
      </c>
      <c r="L237" s="6">
        <v>3.7879999999999998</v>
      </c>
      <c r="M237" s="6">
        <v>3.5607199999999999</v>
      </c>
      <c r="N237" s="6">
        <v>3.7879999999999998</v>
      </c>
      <c r="O237" s="6">
        <v>3.5607199999999999</v>
      </c>
      <c r="P237" s="6">
        <v>0</v>
      </c>
      <c r="Q237" s="4" t="s">
        <v>26</v>
      </c>
      <c r="R237" s="4">
        <v>0</v>
      </c>
      <c r="S237" s="4" t="s">
        <v>142</v>
      </c>
      <c r="T237" s="4" t="s">
        <v>402</v>
      </c>
      <c r="U237" s="4">
        <v>13</v>
      </c>
      <c r="V237" s="4">
        <v>15</v>
      </c>
      <c r="W237" s="4">
        <v>65</v>
      </c>
    </row>
    <row r="238" spans="1:23" ht="11.25" customHeight="1" x14ac:dyDescent="0.25">
      <c r="A238" s="4" t="s">
        <v>21</v>
      </c>
      <c r="B238" s="4" t="s">
        <v>33</v>
      </c>
      <c r="C238" s="4" t="s">
        <v>41</v>
      </c>
      <c r="D238" s="4" t="s">
        <v>50</v>
      </c>
      <c r="E238" s="4" t="s">
        <v>51</v>
      </c>
      <c r="F238" s="4" t="s">
        <v>25</v>
      </c>
      <c r="G238" s="4" t="s">
        <v>25</v>
      </c>
      <c r="H238" s="4" t="s">
        <v>37</v>
      </c>
      <c r="I238" s="5">
        <v>44470</v>
      </c>
      <c r="J238" s="6">
        <v>228</v>
      </c>
      <c r="K238" s="6">
        <v>214.32</v>
      </c>
      <c r="L238" s="6">
        <v>8.0120000000000005</v>
      </c>
      <c r="M238" s="6">
        <v>7.5312799999999998</v>
      </c>
      <c r="N238" s="6">
        <v>8.0120000000000005</v>
      </c>
      <c r="O238" s="6">
        <v>7.5312799999999998</v>
      </c>
      <c r="P238" s="6">
        <v>0</v>
      </c>
      <c r="Q238" s="4" t="s">
        <v>26</v>
      </c>
      <c r="R238" s="4">
        <v>0</v>
      </c>
      <c r="S238" s="4" t="s">
        <v>143</v>
      </c>
      <c r="T238" s="4" t="s">
        <v>403</v>
      </c>
      <c r="U238" s="4">
        <v>13</v>
      </c>
      <c r="V238" s="4">
        <v>15</v>
      </c>
      <c r="W238" s="4">
        <v>65</v>
      </c>
    </row>
    <row r="239" spans="1:23" ht="11.25" customHeight="1" x14ac:dyDescent="0.25">
      <c r="A239" s="4" t="s">
        <v>21</v>
      </c>
      <c r="B239" s="4" t="s">
        <v>33</v>
      </c>
      <c r="C239" s="4" t="s">
        <v>41</v>
      </c>
      <c r="D239" s="4" t="s">
        <v>50</v>
      </c>
      <c r="E239" s="4" t="s">
        <v>51</v>
      </c>
      <c r="F239" s="4" t="s">
        <v>25</v>
      </c>
      <c r="G239" s="4" t="s">
        <v>25</v>
      </c>
      <c r="H239" s="4" t="s">
        <v>37</v>
      </c>
      <c r="I239" s="5">
        <v>44501</v>
      </c>
      <c r="J239" s="6">
        <v>228</v>
      </c>
      <c r="K239" s="6">
        <v>214.32</v>
      </c>
      <c r="L239" s="6">
        <v>4.8719999999999999</v>
      </c>
      <c r="M239" s="6">
        <v>4.5796799999999998</v>
      </c>
      <c r="N239" s="6">
        <v>4.8719999999999999</v>
      </c>
      <c r="O239" s="6">
        <v>4.5796799999999998</v>
      </c>
      <c r="P239" s="6">
        <v>0</v>
      </c>
      <c r="Q239" s="4" t="s">
        <v>26</v>
      </c>
      <c r="R239" s="4">
        <v>0</v>
      </c>
      <c r="S239" s="4" t="s">
        <v>144</v>
      </c>
      <c r="T239" s="4" t="s">
        <v>404</v>
      </c>
      <c r="U239" s="4">
        <v>13</v>
      </c>
      <c r="V239" s="4">
        <v>15</v>
      </c>
      <c r="W239" s="4">
        <v>65</v>
      </c>
    </row>
    <row r="240" spans="1:23" ht="11.25" customHeight="1" x14ac:dyDescent="0.25">
      <c r="A240" s="4" t="s">
        <v>21</v>
      </c>
      <c r="B240" s="4" t="s">
        <v>33</v>
      </c>
      <c r="C240" s="4" t="s">
        <v>41</v>
      </c>
      <c r="D240" s="4" t="s">
        <v>50</v>
      </c>
      <c r="E240" s="4" t="s">
        <v>51</v>
      </c>
      <c r="F240" s="4" t="s">
        <v>25</v>
      </c>
      <c r="G240" s="4" t="s">
        <v>25</v>
      </c>
      <c r="H240" s="4" t="s">
        <v>37</v>
      </c>
      <c r="I240" s="5">
        <v>44531</v>
      </c>
      <c r="J240" s="6">
        <v>228</v>
      </c>
      <c r="K240" s="6">
        <v>214.32</v>
      </c>
      <c r="L240" s="6">
        <v>1.9990000000000001</v>
      </c>
      <c r="M240" s="6">
        <v>1.87906</v>
      </c>
      <c r="N240" s="6">
        <v>1.9990000000000001</v>
      </c>
      <c r="O240" s="6">
        <v>1.87906</v>
      </c>
      <c r="P240" s="6">
        <v>0</v>
      </c>
      <c r="Q240" s="4" t="s">
        <v>26</v>
      </c>
      <c r="R240" s="4">
        <v>0</v>
      </c>
      <c r="S240" s="4" t="s">
        <v>145</v>
      </c>
      <c r="T240" s="4" t="s">
        <v>405</v>
      </c>
      <c r="U240" s="4">
        <v>13</v>
      </c>
      <c r="V240" s="4">
        <v>15</v>
      </c>
      <c r="W240" s="4">
        <v>65</v>
      </c>
    </row>
    <row r="241" spans="1:23" ht="11.25" customHeight="1" x14ac:dyDescent="0.25">
      <c r="A241" s="4" t="s">
        <v>21</v>
      </c>
      <c r="B241" s="4" t="s">
        <v>33</v>
      </c>
      <c r="C241" s="4" t="s">
        <v>41</v>
      </c>
      <c r="D241" s="4" t="s">
        <v>50</v>
      </c>
      <c r="E241" s="4" t="s">
        <v>51</v>
      </c>
      <c r="F241" s="4" t="s">
        <v>25</v>
      </c>
      <c r="G241" s="4" t="s">
        <v>25</v>
      </c>
      <c r="H241" s="4" t="s">
        <v>37</v>
      </c>
      <c r="I241" s="5">
        <v>44562</v>
      </c>
      <c r="J241" s="6">
        <v>228</v>
      </c>
      <c r="K241" s="6">
        <v>214.32</v>
      </c>
      <c r="L241" s="6">
        <v>4.0750000000000002</v>
      </c>
      <c r="M241" s="6">
        <v>3.8304999999999998</v>
      </c>
      <c r="N241" s="6">
        <v>4.0750000000000002</v>
      </c>
      <c r="O241" s="6">
        <v>3.8304999999999998</v>
      </c>
      <c r="P241" s="6">
        <v>0</v>
      </c>
      <c r="Q241" s="4" t="s">
        <v>26</v>
      </c>
      <c r="R241" s="4">
        <v>0</v>
      </c>
      <c r="S241" s="4" t="s">
        <v>146</v>
      </c>
      <c r="T241" s="4" t="s">
        <v>406</v>
      </c>
      <c r="U241" s="4">
        <v>13</v>
      </c>
      <c r="V241" s="4">
        <v>15</v>
      </c>
      <c r="W241" s="4">
        <v>65</v>
      </c>
    </row>
    <row r="242" spans="1:23" ht="11.25" customHeight="1" x14ac:dyDescent="0.25">
      <c r="A242" s="4" t="s">
        <v>21</v>
      </c>
      <c r="B242" s="4" t="s">
        <v>33</v>
      </c>
      <c r="C242" s="4" t="s">
        <v>41</v>
      </c>
      <c r="D242" s="4" t="s">
        <v>50</v>
      </c>
      <c r="E242" s="4" t="s">
        <v>51</v>
      </c>
      <c r="F242" s="4" t="s">
        <v>25</v>
      </c>
      <c r="G242" s="4" t="s">
        <v>25</v>
      </c>
      <c r="H242" s="4" t="s">
        <v>37</v>
      </c>
      <c r="I242" s="5">
        <v>44593</v>
      </c>
      <c r="J242" s="6">
        <v>228</v>
      </c>
      <c r="K242" s="6">
        <v>214.32</v>
      </c>
      <c r="L242" s="6">
        <v>1.7290000000000001</v>
      </c>
      <c r="M242" s="6">
        <v>1.6252599999999999</v>
      </c>
      <c r="N242" s="6">
        <v>1.7290000000000001</v>
      </c>
      <c r="O242" s="6">
        <v>1.6252599999999999</v>
      </c>
      <c r="P242" s="6">
        <v>0</v>
      </c>
      <c r="Q242" s="4" t="s">
        <v>26</v>
      </c>
      <c r="R242" s="4">
        <v>0</v>
      </c>
      <c r="S242" s="4" t="s">
        <v>147</v>
      </c>
      <c r="T242" s="4" t="s">
        <v>407</v>
      </c>
      <c r="U242" s="4">
        <v>13</v>
      </c>
      <c r="V242" s="4">
        <v>15</v>
      </c>
      <c r="W242" s="4">
        <v>65</v>
      </c>
    </row>
    <row r="243" spans="1:23" ht="11.25" customHeight="1" x14ac:dyDescent="0.25">
      <c r="A243" s="4" t="s">
        <v>21</v>
      </c>
      <c r="B243" s="4" t="s">
        <v>33</v>
      </c>
      <c r="C243" s="4" t="s">
        <v>41</v>
      </c>
      <c r="D243" s="4" t="s">
        <v>50</v>
      </c>
      <c r="E243" s="4" t="s">
        <v>51</v>
      </c>
      <c r="F243" s="4" t="s">
        <v>25</v>
      </c>
      <c r="G243" s="4" t="s">
        <v>25</v>
      </c>
      <c r="H243" s="4" t="s">
        <v>37</v>
      </c>
      <c r="I243" s="5">
        <v>44621</v>
      </c>
      <c r="J243" s="6">
        <v>228</v>
      </c>
      <c r="K243" s="6">
        <v>214.32</v>
      </c>
      <c r="L243" s="6">
        <v>0.53400000000000003</v>
      </c>
      <c r="M243" s="6">
        <v>0.50195999999999996</v>
      </c>
      <c r="N243" s="6">
        <v>0.53400000000000003</v>
      </c>
      <c r="O243" s="6">
        <v>0.50195999999999996</v>
      </c>
      <c r="P243" s="6">
        <v>0</v>
      </c>
      <c r="Q243" s="4" t="s">
        <v>26</v>
      </c>
      <c r="R243" s="4">
        <v>0</v>
      </c>
      <c r="S243" s="4" t="s">
        <v>148</v>
      </c>
      <c r="T243" s="4" t="s">
        <v>408</v>
      </c>
      <c r="U243" s="4">
        <v>13</v>
      </c>
      <c r="V243" s="4">
        <v>15</v>
      </c>
      <c r="W243" s="4">
        <v>65</v>
      </c>
    </row>
    <row r="244" spans="1:23" ht="11.25" customHeight="1" x14ac:dyDescent="0.25">
      <c r="A244" s="4" t="s">
        <v>21</v>
      </c>
      <c r="B244" s="4" t="s">
        <v>33</v>
      </c>
      <c r="C244" s="4" t="s">
        <v>41</v>
      </c>
      <c r="D244" s="4" t="s">
        <v>50</v>
      </c>
      <c r="E244" s="4" t="s">
        <v>51</v>
      </c>
      <c r="F244" s="4" t="s">
        <v>25</v>
      </c>
      <c r="G244" s="4" t="s">
        <v>25</v>
      </c>
      <c r="H244" s="4" t="s">
        <v>37</v>
      </c>
      <c r="I244" s="5">
        <v>44652</v>
      </c>
      <c r="J244" s="6">
        <v>228</v>
      </c>
      <c r="K244" s="6">
        <v>214.32</v>
      </c>
      <c r="L244" s="6">
        <v>0.55200000000000005</v>
      </c>
      <c r="M244" s="6">
        <v>0.51888000000000001</v>
      </c>
      <c r="N244" s="6">
        <v>0.55200000000000005</v>
      </c>
      <c r="O244" s="6">
        <v>0.51888000000000001</v>
      </c>
      <c r="P244" s="6">
        <v>0</v>
      </c>
      <c r="Q244" s="4" t="s">
        <v>26</v>
      </c>
      <c r="R244" s="4">
        <v>0</v>
      </c>
      <c r="S244" s="4" t="s">
        <v>149</v>
      </c>
      <c r="T244" s="4" t="s">
        <v>409</v>
      </c>
      <c r="U244" s="4">
        <v>13</v>
      </c>
      <c r="V244" s="4">
        <v>15</v>
      </c>
      <c r="W244" s="4">
        <v>65</v>
      </c>
    </row>
    <row r="245" spans="1:23" ht="11.25" customHeight="1" x14ac:dyDescent="0.25">
      <c r="A245" s="4" t="s">
        <v>21</v>
      </c>
      <c r="B245" s="4" t="s">
        <v>33</v>
      </c>
      <c r="C245" s="4" t="s">
        <v>41</v>
      </c>
      <c r="D245" s="4" t="s">
        <v>50</v>
      </c>
      <c r="E245" s="4" t="s">
        <v>51</v>
      </c>
      <c r="F245" s="4" t="s">
        <v>25</v>
      </c>
      <c r="G245" s="4" t="s">
        <v>25</v>
      </c>
      <c r="H245" s="4" t="s">
        <v>37</v>
      </c>
      <c r="I245" s="5">
        <v>44682</v>
      </c>
      <c r="J245" s="6">
        <v>228</v>
      </c>
      <c r="K245" s="6">
        <v>214.32</v>
      </c>
      <c r="L245" s="6">
        <v>0.63400000000000001</v>
      </c>
      <c r="M245" s="6">
        <v>0.59596000000000005</v>
      </c>
      <c r="N245" s="6">
        <v>0.63400000000000001</v>
      </c>
      <c r="O245" s="6">
        <v>0.59596000000000005</v>
      </c>
      <c r="P245" s="6">
        <v>0</v>
      </c>
      <c r="Q245" s="4" t="s">
        <v>26</v>
      </c>
      <c r="R245" s="4">
        <v>0</v>
      </c>
      <c r="S245" s="4" t="s">
        <v>150</v>
      </c>
      <c r="T245" s="4" t="s">
        <v>410</v>
      </c>
      <c r="U245" s="4">
        <v>13</v>
      </c>
      <c r="V245" s="4">
        <v>15</v>
      </c>
      <c r="W245" s="4">
        <v>65</v>
      </c>
    </row>
    <row r="246" spans="1:23" ht="11.25" customHeight="1" x14ac:dyDescent="0.25">
      <c r="A246" s="4" t="s">
        <v>21</v>
      </c>
      <c r="B246" s="4" t="s">
        <v>33</v>
      </c>
      <c r="C246" s="4" t="s">
        <v>34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44348</v>
      </c>
      <c r="J246" s="6">
        <v>0</v>
      </c>
      <c r="K246" s="6">
        <v>0</v>
      </c>
      <c r="L246" s="6">
        <v>841.98099999999999</v>
      </c>
      <c r="M246" s="6">
        <v>841.98099999999999</v>
      </c>
      <c r="N246" s="6">
        <v>841.98099999999999</v>
      </c>
      <c r="O246" s="6">
        <v>841.98099999999999</v>
      </c>
      <c r="P246" s="6">
        <v>0</v>
      </c>
      <c r="Q246" s="4" t="s">
        <v>26</v>
      </c>
      <c r="R246" s="4">
        <v>0</v>
      </c>
      <c r="S246" s="4" t="s">
        <v>154</v>
      </c>
      <c r="T246" s="4" t="s">
        <v>387</v>
      </c>
      <c r="U246" s="4">
        <v>0</v>
      </c>
      <c r="V246" s="4">
        <v>20</v>
      </c>
      <c r="W246" s="4">
        <v>66</v>
      </c>
    </row>
    <row r="247" spans="1:23" ht="11.25" customHeight="1" x14ac:dyDescent="0.25">
      <c r="A247" s="4" t="s">
        <v>21</v>
      </c>
      <c r="B247" s="4" t="s">
        <v>33</v>
      </c>
      <c r="C247" s="4" t="s">
        <v>34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44378</v>
      </c>
      <c r="J247" s="6">
        <v>0</v>
      </c>
      <c r="K247" s="6">
        <v>0</v>
      </c>
      <c r="L247" s="6">
        <v>872.77300000000002</v>
      </c>
      <c r="M247" s="6">
        <v>872.77300000000002</v>
      </c>
      <c r="N247" s="6">
        <v>872.77300000000002</v>
      </c>
      <c r="O247" s="6">
        <v>872.77300000000002</v>
      </c>
      <c r="P247" s="6">
        <v>0</v>
      </c>
      <c r="Q247" s="4" t="s">
        <v>26</v>
      </c>
      <c r="R247" s="4">
        <v>0</v>
      </c>
      <c r="S247" s="4" t="s">
        <v>155</v>
      </c>
      <c r="T247" s="4" t="s">
        <v>388</v>
      </c>
      <c r="U247" s="4">
        <v>0</v>
      </c>
      <c r="V247" s="4">
        <v>20</v>
      </c>
      <c r="W247" s="4">
        <v>66</v>
      </c>
    </row>
    <row r="248" spans="1:23" ht="11.25" customHeight="1" x14ac:dyDescent="0.25">
      <c r="A248" s="4" t="s">
        <v>21</v>
      </c>
      <c r="B248" s="4" t="s">
        <v>33</v>
      </c>
      <c r="C248" s="4" t="s">
        <v>34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44409</v>
      </c>
      <c r="J248" s="6">
        <v>0</v>
      </c>
      <c r="K248" s="6">
        <v>0</v>
      </c>
      <c r="L248" s="6">
        <v>884.68600000000004</v>
      </c>
      <c r="M248" s="6">
        <v>884.68600000000004</v>
      </c>
      <c r="N248" s="6">
        <v>884.68600000000004</v>
      </c>
      <c r="O248" s="6">
        <v>884.68600000000004</v>
      </c>
      <c r="P248" s="6">
        <v>0</v>
      </c>
      <c r="Q248" s="4" t="s">
        <v>26</v>
      </c>
      <c r="R248" s="4">
        <v>0</v>
      </c>
      <c r="S248" s="4" t="s">
        <v>156</v>
      </c>
      <c r="T248" s="4" t="s">
        <v>389</v>
      </c>
      <c r="U248" s="4">
        <v>0</v>
      </c>
      <c r="V248" s="4">
        <v>20</v>
      </c>
      <c r="W248" s="4">
        <v>66</v>
      </c>
    </row>
    <row r="249" spans="1:23" ht="11.25" customHeight="1" x14ac:dyDescent="0.25">
      <c r="A249" s="4" t="s">
        <v>28</v>
      </c>
      <c r="B249" s="4" t="s">
        <v>33</v>
      </c>
      <c r="C249" s="4" t="s">
        <v>34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44409</v>
      </c>
      <c r="J249" s="6">
        <v>0</v>
      </c>
      <c r="K249" s="6">
        <v>0</v>
      </c>
      <c r="L249" s="6">
        <v>4.5960000000000001</v>
      </c>
      <c r="M249" s="6">
        <v>4.5960000000000001</v>
      </c>
      <c r="N249" s="6">
        <v>4.5960000000000001</v>
      </c>
      <c r="O249" s="6">
        <v>4.5960000000000001</v>
      </c>
      <c r="P249" s="6">
        <v>0</v>
      </c>
      <c r="Q249" s="4" t="s">
        <v>26</v>
      </c>
      <c r="R249" s="4">
        <v>0</v>
      </c>
      <c r="S249" s="4" t="s">
        <v>156</v>
      </c>
      <c r="T249" s="4" t="s">
        <v>389</v>
      </c>
      <c r="U249" s="4">
        <v>0</v>
      </c>
      <c r="V249" s="4">
        <v>20</v>
      </c>
      <c r="W249" s="4">
        <v>66</v>
      </c>
    </row>
    <row r="250" spans="1:23" ht="11.25" customHeight="1" x14ac:dyDescent="0.25">
      <c r="A250" s="4" t="s">
        <v>21</v>
      </c>
      <c r="B250" s="4" t="s">
        <v>33</v>
      </c>
      <c r="C250" s="4" t="s">
        <v>34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44440</v>
      </c>
      <c r="J250" s="6">
        <v>0</v>
      </c>
      <c r="K250" s="6">
        <v>0</v>
      </c>
      <c r="L250" s="6">
        <v>910.68399999999997</v>
      </c>
      <c r="M250" s="6">
        <v>910.68399999999997</v>
      </c>
      <c r="N250" s="6">
        <v>910.68399999999997</v>
      </c>
      <c r="O250" s="6">
        <v>910.68399999999997</v>
      </c>
      <c r="P250" s="6">
        <v>0</v>
      </c>
      <c r="Q250" s="4" t="s">
        <v>26</v>
      </c>
      <c r="R250" s="4">
        <v>0</v>
      </c>
      <c r="S250" s="4" t="s">
        <v>157</v>
      </c>
      <c r="T250" s="4" t="s">
        <v>390</v>
      </c>
      <c r="U250" s="4">
        <v>0</v>
      </c>
      <c r="V250" s="4">
        <v>20</v>
      </c>
      <c r="W250" s="4">
        <v>66</v>
      </c>
    </row>
    <row r="251" spans="1:23" ht="11.25" customHeight="1" x14ac:dyDescent="0.25">
      <c r="A251" s="4" t="s">
        <v>27</v>
      </c>
      <c r="B251" s="4" t="s">
        <v>33</v>
      </c>
      <c r="C251" s="4" t="s">
        <v>34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44440</v>
      </c>
      <c r="J251" s="6">
        <v>0</v>
      </c>
      <c r="K251" s="6">
        <v>0</v>
      </c>
      <c r="L251" s="6">
        <v>64.281999999999996</v>
      </c>
      <c r="M251" s="6">
        <v>64.281999999999996</v>
      </c>
      <c r="N251" s="6">
        <v>64.281999999999996</v>
      </c>
      <c r="O251" s="6">
        <v>64.281999999999996</v>
      </c>
      <c r="P251" s="6">
        <v>0</v>
      </c>
      <c r="Q251" s="4" t="s">
        <v>26</v>
      </c>
      <c r="R251" s="4">
        <v>0</v>
      </c>
      <c r="S251" s="4" t="s">
        <v>157</v>
      </c>
      <c r="T251" s="4" t="s">
        <v>390</v>
      </c>
      <c r="U251" s="4">
        <v>0</v>
      </c>
      <c r="V251" s="4">
        <v>20</v>
      </c>
      <c r="W251" s="4">
        <v>66</v>
      </c>
    </row>
    <row r="252" spans="1:23" ht="11.25" customHeight="1" x14ac:dyDescent="0.25">
      <c r="A252" s="4" t="s">
        <v>28</v>
      </c>
      <c r="B252" s="4" t="s">
        <v>33</v>
      </c>
      <c r="C252" s="4" t="s">
        <v>34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44440</v>
      </c>
      <c r="J252" s="6">
        <v>0</v>
      </c>
      <c r="K252" s="6">
        <v>0</v>
      </c>
      <c r="L252" s="6">
        <v>12.022</v>
      </c>
      <c r="M252" s="6">
        <v>12.022</v>
      </c>
      <c r="N252" s="6">
        <v>12.022</v>
      </c>
      <c r="O252" s="6">
        <v>12.022</v>
      </c>
      <c r="P252" s="6">
        <v>0</v>
      </c>
      <c r="Q252" s="4" t="s">
        <v>26</v>
      </c>
      <c r="R252" s="4">
        <v>0</v>
      </c>
      <c r="S252" s="4" t="s">
        <v>157</v>
      </c>
      <c r="T252" s="4" t="s">
        <v>390</v>
      </c>
      <c r="U252" s="4">
        <v>0</v>
      </c>
      <c r="V252" s="4">
        <v>20</v>
      </c>
      <c r="W252" s="4">
        <v>66</v>
      </c>
    </row>
    <row r="253" spans="1:23" ht="11.25" customHeight="1" x14ac:dyDescent="0.25">
      <c r="A253" s="4" t="s">
        <v>21</v>
      </c>
      <c r="B253" s="4" t="s">
        <v>33</v>
      </c>
      <c r="C253" s="4" t="s">
        <v>34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44470</v>
      </c>
      <c r="J253" s="6">
        <v>0</v>
      </c>
      <c r="K253" s="6">
        <v>0</v>
      </c>
      <c r="L253" s="6">
        <v>944.654</v>
      </c>
      <c r="M253" s="6">
        <v>944.654</v>
      </c>
      <c r="N253" s="6">
        <v>944.654</v>
      </c>
      <c r="O253" s="6">
        <v>944.654</v>
      </c>
      <c r="P253" s="6">
        <v>0</v>
      </c>
      <c r="Q253" s="4" t="s">
        <v>26</v>
      </c>
      <c r="R253" s="4">
        <v>0</v>
      </c>
      <c r="S253" s="4" t="s">
        <v>158</v>
      </c>
      <c r="T253" s="4" t="s">
        <v>391</v>
      </c>
      <c r="U253" s="4">
        <v>0</v>
      </c>
      <c r="V253" s="4">
        <v>20</v>
      </c>
      <c r="W253" s="4">
        <v>66</v>
      </c>
    </row>
    <row r="254" spans="1:23" ht="11.25" customHeight="1" x14ac:dyDescent="0.25">
      <c r="A254" s="4" t="s">
        <v>28</v>
      </c>
      <c r="B254" s="4" t="s">
        <v>33</v>
      </c>
      <c r="C254" s="4" t="s">
        <v>34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44470</v>
      </c>
      <c r="J254" s="6">
        <v>0</v>
      </c>
      <c r="K254" s="6">
        <v>0</v>
      </c>
      <c r="L254" s="6">
        <v>7.556</v>
      </c>
      <c r="M254" s="6">
        <v>7.556</v>
      </c>
      <c r="N254" s="6">
        <v>7.556</v>
      </c>
      <c r="O254" s="6">
        <v>7.556</v>
      </c>
      <c r="P254" s="6">
        <v>0</v>
      </c>
      <c r="Q254" s="4" t="s">
        <v>26</v>
      </c>
      <c r="R254" s="4">
        <v>0</v>
      </c>
      <c r="S254" s="4" t="s">
        <v>158</v>
      </c>
      <c r="T254" s="4" t="s">
        <v>391</v>
      </c>
      <c r="U254" s="4">
        <v>0</v>
      </c>
      <c r="V254" s="4">
        <v>20</v>
      </c>
      <c r="W254" s="4">
        <v>66</v>
      </c>
    </row>
    <row r="255" spans="1:23" ht="11.25" customHeight="1" x14ac:dyDescent="0.25">
      <c r="A255" s="4" t="s">
        <v>21</v>
      </c>
      <c r="B255" s="4" t="s">
        <v>33</v>
      </c>
      <c r="C255" s="4" t="s">
        <v>34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44501</v>
      </c>
      <c r="J255" s="6">
        <v>0</v>
      </c>
      <c r="K255" s="6">
        <v>0</v>
      </c>
      <c r="L255" s="6">
        <v>1113.5930000000001</v>
      </c>
      <c r="M255" s="6">
        <v>1113.5930000000001</v>
      </c>
      <c r="N255" s="6">
        <v>1113.5930000000001</v>
      </c>
      <c r="O255" s="6">
        <v>1113.5930000000001</v>
      </c>
      <c r="P255" s="6">
        <v>0</v>
      </c>
      <c r="Q255" s="4" t="s">
        <v>26</v>
      </c>
      <c r="R255" s="4">
        <v>0</v>
      </c>
      <c r="S255" s="4" t="s">
        <v>159</v>
      </c>
      <c r="T255" s="4" t="s">
        <v>392</v>
      </c>
      <c r="U255" s="4">
        <v>0</v>
      </c>
      <c r="V255" s="4">
        <v>20</v>
      </c>
      <c r="W255" s="4">
        <v>66</v>
      </c>
    </row>
    <row r="256" spans="1:23" ht="11.25" customHeight="1" x14ac:dyDescent="0.25">
      <c r="A256" s="4" t="s">
        <v>21</v>
      </c>
      <c r="B256" s="4" t="s">
        <v>33</v>
      </c>
      <c r="C256" s="4" t="s">
        <v>34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44531</v>
      </c>
      <c r="J256" s="6">
        <v>0</v>
      </c>
      <c r="K256" s="6">
        <v>0</v>
      </c>
      <c r="L256" s="6">
        <v>837.38800000000003</v>
      </c>
      <c r="M256" s="6">
        <v>837.38800000000003</v>
      </c>
      <c r="N256" s="6">
        <v>837.38800000000003</v>
      </c>
      <c r="O256" s="6">
        <v>837.38800000000003</v>
      </c>
      <c r="P256" s="6">
        <v>0</v>
      </c>
      <c r="Q256" s="4" t="s">
        <v>26</v>
      </c>
      <c r="R256" s="4">
        <v>0</v>
      </c>
      <c r="S256" s="4" t="s">
        <v>160</v>
      </c>
      <c r="T256" s="4" t="s">
        <v>393</v>
      </c>
      <c r="U256" s="4">
        <v>0</v>
      </c>
      <c r="V256" s="4">
        <v>20</v>
      </c>
      <c r="W256" s="4">
        <v>66</v>
      </c>
    </row>
    <row r="257" spans="1:23" ht="11.25" customHeight="1" x14ac:dyDescent="0.25">
      <c r="A257" s="4" t="s">
        <v>28</v>
      </c>
      <c r="B257" s="4" t="s">
        <v>33</v>
      </c>
      <c r="C257" s="4" t="s">
        <v>34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44531</v>
      </c>
      <c r="J257" s="6">
        <v>0</v>
      </c>
      <c r="K257" s="6">
        <v>0</v>
      </c>
      <c r="L257" s="6">
        <v>186.56700000000001</v>
      </c>
      <c r="M257" s="6">
        <v>186.56700000000001</v>
      </c>
      <c r="N257" s="6">
        <v>186.56700000000001</v>
      </c>
      <c r="O257" s="6">
        <v>186.56700000000001</v>
      </c>
      <c r="P257" s="6">
        <v>0</v>
      </c>
      <c r="Q257" s="4" t="s">
        <v>26</v>
      </c>
      <c r="R257" s="4">
        <v>0</v>
      </c>
      <c r="S257" s="4" t="s">
        <v>160</v>
      </c>
      <c r="T257" s="4" t="s">
        <v>393</v>
      </c>
      <c r="U257" s="4">
        <v>0</v>
      </c>
      <c r="V257" s="4">
        <v>20</v>
      </c>
      <c r="W257" s="4">
        <v>66</v>
      </c>
    </row>
    <row r="258" spans="1:23" ht="11.25" customHeight="1" x14ac:dyDescent="0.25">
      <c r="A258" s="4" t="s">
        <v>21</v>
      </c>
      <c r="B258" s="4" t="s">
        <v>33</v>
      </c>
      <c r="C258" s="4" t="s">
        <v>34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44562</v>
      </c>
      <c r="J258" s="6">
        <v>0</v>
      </c>
      <c r="K258" s="6">
        <v>0</v>
      </c>
      <c r="L258" s="6">
        <v>1032.8920000000001</v>
      </c>
      <c r="M258" s="6">
        <v>1032.8920000000001</v>
      </c>
      <c r="N258" s="6">
        <v>1032.8920000000001</v>
      </c>
      <c r="O258" s="6">
        <v>1032.8920000000001</v>
      </c>
      <c r="P258" s="6">
        <v>0</v>
      </c>
      <c r="Q258" s="4" t="s">
        <v>26</v>
      </c>
      <c r="R258" s="4">
        <v>0</v>
      </c>
      <c r="S258" s="4" t="s">
        <v>161</v>
      </c>
      <c r="T258" s="4" t="s">
        <v>394</v>
      </c>
      <c r="U258" s="4">
        <v>0</v>
      </c>
      <c r="V258" s="4">
        <v>20</v>
      </c>
      <c r="W258" s="4">
        <v>66</v>
      </c>
    </row>
    <row r="259" spans="1:23" ht="11.25" customHeight="1" x14ac:dyDescent="0.25">
      <c r="A259" s="4" t="s">
        <v>28</v>
      </c>
      <c r="B259" s="4" t="s">
        <v>33</v>
      </c>
      <c r="C259" s="4" t="s">
        <v>34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44562</v>
      </c>
      <c r="J259" s="6">
        <v>0</v>
      </c>
      <c r="K259" s="6">
        <v>0</v>
      </c>
      <c r="L259" s="6">
        <v>22.465</v>
      </c>
      <c r="M259" s="6">
        <v>22.465</v>
      </c>
      <c r="N259" s="6">
        <v>22.465</v>
      </c>
      <c r="O259" s="6">
        <v>22.465</v>
      </c>
      <c r="P259" s="6">
        <v>0</v>
      </c>
      <c r="Q259" s="4" t="s">
        <v>26</v>
      </c>
      <c r="R259" s="4">
        <v>0</v>
      </c>
      <c r="S259" s="4" t="s">
        <v>161</v>
      </c>
      <c r="T259" s="4" t="s">
        <v>394</v>
      </c>
      <c r="U259" s="4">
        <v>0</v>
      </c>
      <c r="V259" s="4">
        <v>20</v>
      </c>
      <c r="W259" s="4">
        <v>66</v>
      </c>
    </row>
    <row r="260" spans="1:23" ht="11.25" customHeight="1" x14ac:dyDescent="0.25">
      <c r="A260" s="4" t="s">
        <v>21</v>
      </c>
      <c r="B260" s="4" t="s">
        <v>33</v>
      </c>
      <c r="C260" s="4" t="s">
        <v>34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44593</v>
      </c>
      <c r="J260" s="6">
        <v>0</v>
      </c>
      <c r="K260" s="6">
        <v>0</v>
      </c>
      <c r="L260" s="6">
        <v>944.30499999999995</v>
      </c>
      <c r="M260" s="6">
        <v>944.30499999999995</v>
      </c>
      <c r="N260" s="6">
        <v>944.30499999999995</v>
      </c>
      <c r="O260" s="6">
        <v>944.30499999999995</v>
      </c>
      <c r="P260" s="6">
        <v>0</v>
      </c>
      <c r="Q260" s="4" t="s">
        <v>26</v>
      </c>
      <c r="R260" s="4">
        <v>0</v>
      </c>
      <c r="S260" s="4" t="s">
        <v>162</v>
      </c>
      <c r="T260" s="4" t="s">
        <v>395</v>
      </c>
      <c r="U260" s="4">
        <v>0</v>
      </c>
      <c r="V260" s="4">
        <v>20</v>
      </c>
      <c r="W260" s="4">
        <v>66</v>
      </c>
    </row>
    <row r="261" spans="1:23" ht="11.25" customHeight="1" x14ac:dyDescent="0.25">
      <c r="A261" s="4" t="s">
        <v>28</v>
      </c>
      <c r="B261" s="4" t="s">
        <v>33</v>
      </c>
      <c r="C261" s="4" t="s">
        <v>34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44593</v>
      </c>
      <c r="J261" s="6">
        <v>0</v>
      </c>
      <c r="K261" s="6">
        <v>0</v>
      </c>
      <c r="L261" s="6">
        <v>21.838999999999999</v>
      </c>
      <c r="M261" s="6">
        <v>21.838999999999999</v>
      </c>
      <c r="N261" s="6">
        <v>21.838999999999999</v>
      </c>
      <c r="O261" s="6">
        <v>21.838999999999999</v>
      </c>
      <c r="P261" s="6">
        <v>0</v>
      </c>
      <c r="Q261" s="4" t="s">
        <v>26</v>
      </c>
      <c r="R261" s="4">
        <v>0</v>
      </c>
      <c r="S261" s="4" t="s">
        <v>162</v>
      </c>
      <c r="T261" s="4" t="s">
        <v>395</v>
      </c>
      <c r="U261" s="4">
        <v>0</v>
      </c>
      <c r="V261" s="4">
        <v>20</v>
      </c>
      <c r="W261" s="4">
        <v>66</v>
      </c>
    </row>
    <row r="262" spans="1:23" ht="11.25" customHeight="1" x14ac:dyDescent="0.25">
      <c r="A262" s="4" t="s">
        <v>21</v>
      </c>
      <c r="B262" s="4" t="s">
        <v>33</v>
      </c>
      <c r="C262" s="4" t="s">
        <v>34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44621</v>
      </c>
      <c r="J262" s="6">
        <v>0</v>
      </c>
      <c r="K262" s="6">
        <v>0</v>
      </c>
      <c r="L262" s="6">
        <v>993.05100000000004</v>
      </c>
      <c r="M262" s="6">
        <v>993.05100000000004</v>
      </c>
      <c r="N262" s="6">
        <v>993.05100000000004</v>
      </c>
      <c r="O262" s="6">
        <v>993.05100000000004</v>
      </c>
      <c r="P262" s="6">
        <v>0</v>
      </c>
      <c r="Q262" s="4" t="s">
        <v>26</v>
      </c>
      <c r="R262" s="4">
        <v>0</v>
      </c>
      <c r="S262" s="4" t="s">
        <v>163</v>
      </c>
      <c r="T262" s="4" t="s">
        <v>396</v>
      </c>
      <c r="U262" s="4">
        <v>0</v>
      </c>
      <c r="V262" s="4">
        <v>20</v>
      </c>
      <c r="W262" s="4">
        <v>66</v>
      </c>
    </row>
    <row r="263" spans="1:23" ht="11.25" customHeight="1" x14ac:dyDescent="0.25">
      <c r="A263" s="4" t="s">
        <v>28</v>
      </c>
      <c r="B263" s="4" t="s">
        <v>33</v>
      </c>
      <c r="C263" s="4" t="s">
        <v>34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44621</v>
      </c>
      <c r="J263" s="6">
        <v>0</v>
      </c>
      <c r="K263" s="6">
        <v>0</v>
      </c>
      <c r="L263" s="6">
        <v>39.170999999999999</v>
      </c>
      <c r="M263" s="6">
        <v>39.170999999999999</v>
      </c>
      <c r="N263" s="6">
        <v>39.170999999999999</v>
      </c>
      <c r="O263" s="6">
        <v>39.170999999999999</v>
      </c>
      <c r="P263" s="6">
        <v>0</v>
      </c>
      <c r="Q263" s="4" t="s">
        <v>26</v>
      </c>
      <c r="R263" s="4">
        <v>0</v>
      </c>
      <c r="S263" s="4" t="s">
        <v>163</v>
      </c>
      <c r="T263" s="4" t="s">
        <v>396</v>
      </c>
      <c r="U263" s="4">
        <v>0</v>
      </c>
      <c r="V263" s="4">
        <v>20</v>
      </c>
      <c r="W263" s="4">
        <v>66</v>
      </c>
    </row>
    <row r="264" spans="1:23" ht="11.25" customHeight="1" x14ac:dyDescent="0.25">
      <c r="A264" s="4" t="s">
        <v>21</v>
      </c>
      <c r="B264" s="4" t="s">
        <v>33</v>
      </c>
      <c r="C264" s="4" t="s">
        <v>34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35</v>
      </c>
      <c r="I264" s="5">
        <v>44652</v>
      </c>
      <c r="J264" s="6">
        <v>0</v>
      </c>
      <c r="K264" s="6">
        <v>0</v>
      </c>
      <c r="L264" s="6">
        <v>962.26</v>
      </c>
      <c r="M264" s="6">
        <v>962.26</v>
      </c>
      <c r="N264" s="6">
        <v>962.26</v>
      </c>
      <c r="O264" s="6">
        <v>962.26</v>
      </c>
      <c r="P264" s="6">
        <v>0</v>
      </c>
      <c r="Q264" s="4" t="s">
        <v>26</v>
      </c>
      <c r="R264" s="4">
        <v>0</v>
      </c>
      <c r="S264" s="4" t="s">
        <v>164</v>
      </c>
      <c r="T264" s="4" t="s">
        <v>397</v>
      </c>
      <c r="U264" s="4">
        <v>0</v>
      </c>
      <c r="V264" s="4">
        <v>20</v>
      </c>
      <c r="W264" s="4">
        <v>66</v>
      </c>
    </row>
    <row r="265" spans="1:23" ht="11.25" customHeight="1" x14ac:dyDescent="0.25">
      <c r="A265" s="4" t="s">
        <v>27</v>
      </c>
      <c r="B265" s="4" t="s">
        <v>33</v>
      </c>
      <c r="C265" s="4" t="s">
        <v>34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35</v>
      </c>
      <c r="I265" s="5">
        <v>44652</v>
      </c>
      <c r="J265" s="6">
        <v>0</v>
      </c>
      <c r="K265" s="6">
        <v>0</v>
      </c>
      <c r="L265" s="6">
        <v>31.629000000000001</v>
      </c>
      <c r="M265" s="6">
        <v>31.629000000000001</v>
      </c>
      <c r="N265" s="6">
        <v>31.629000000000001</v>
      </c>
      <c r="O265" s="6">
        <v>31.629000000000001</v>
      </c>
      <c r="P265" s="6">
        <v>0</v>
      </c>
      <c r="Q265" s="4" t="s">
        <v>26</v>
      </c>
      <c r="R265" s="4">
        <v>0</v>
      </c>
      <c r="S265" s="4" t="s">
        <v>164</v>
      </c>
      <c r="T265" s="4" t="s">
        <v>397</v>
      </c>
      <c r="U265" s="4">
        <v>0</v>
      </c>
      <c r="V265" s="4">
        <v>20</v>
      </c>
      <c r="W265" s="4">
        <v>66</v>
      </c>
    </row>
    <row r="266" spans="1:23" ht="11.25" customHeight="1" x14ac:dyDescent="0.25">
      <c r="A266" s="4" t="s">
        <v>21</v>
      </c>
      <c r="B266" s="4" t="s">
        <v>33</v>
      </c>
      <c r="C266" s="4" t="s">
        <v>34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35</v>
      </c>
      <c r="I266" s="5">
        <v>44682</v>
      </c>
      <c r="J266" s="6">
        <v>0</v>
      </c>
      <c r="K266" s="6">
        <v>0</v>
      </c>
      <c r="L266" s="6">
        <v>956.60799999999995</v>
      </c>
      <c r="M266" s="6">
        <v>956.60799999999995</v>
      </c>
      <c r="N266" s="6">
        <v>956.60799999999995</v>
      </c>
      <c r="O266" s="6">
        <v>956.60799999999995</v>
      </c>
      <c r="P266" s="6">
        <v>0</v>
      </c>
      <c r="Q266" s="4" t="s">
        <v>26</v>
      </c>
      <c r="R266" s="4">
        <v>0</v>
      </c>
      <c r="S266" s="4" t="s">
        <v>165</v>
      </c>
      <c r="T266" s="4" t="s">
        <v>398</v>
      </c>
      <c r="U266" s="4">
        <v>0</v>
      </c>
      <c r="V266" s="4">
        <v>20</v>
      </c>
      <c r="W266" s="4">
        <v>66</v>
      </c>
    </row>
    <row r="267" spans="1:23" ht="11.25" customHeight="1" x14ac:dyDescent="0.25">
      <c r="A267" s="4" t="s">
        <v>21</v>
      </c>
      <c r="B267" s="4" t="s">
        <v>33</v>
      </c>
      <c r="C267" s="4" t="s">
        <v>34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44348</v>
      </c>
      <c r="J267" s="6">
        <v>4469</v>
      </c>
      <c r="K267" s="6">
        <v>4469</v>
      </c>
      <c r="L267" s="6">
        <v>0</v>
      </c>
      <c r="M267" s="6">
        <v>0</v>
      </c>
      <c r="N267" s="6">
        <v>0</v>
      </c>
      <c r="O267" s="6">
        <v>0</v>
      </c>
      <c r="P267" s="6">
        <v>58</v>
      </c>
      <c r="Q267" s="4" t="s">
        <v>26</v>
      </c>
      <c r="R267" s="4">
        <v>0</v>
      </c>
      <c r="S267" s="4" t="s">
        <v>166</v>
      </c>
      <c r="U267" s="4">
        <v>18</v>
      </c>
      <c r="V267" s="4">
        <v>0</v>
      </c>
      <c r="W267" s="4">
        <v>0</v>
      </c>
    </row>
    <row r="268" spans="1:23" ht="11.25" customHeight="1" x14ac:dyDescent="0.25">
      <c r="A268" s="4" t="s">
        <v>28</v>
      </c>
      <c r="B268" s="4" t="s">
        <v>33</v>
      </c>
      <c r="C268" s="4" t="s">
        <v>34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44348</v>
      </c>
      <c r="J268" s="6">
        <v>278</v>
      </c>
      <c r="K268" s="6">
        <v>278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4" t="s">
        <v>166</v>
      </c>
      <c r="U268" s="4">
        <v>18</v>
      </c>
      <c r="V268" s="4">
        <v>0</v>
      </c>
      <c r="W268" s="4">
        <v>0</v>
      </c>
    </row>
    <row r="269" spans="1:23" ht="11.25" customHeight="1" x14ac:dyDescent="0.25">
      <c r="A269" s="4" t="s">
        <v>21</v>
      </c>
      <c r="B269" s="4" t="s">
        <v>33</v>
      </c>
      <c r="C269" s="4" t="s">
        <v>34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44378</v>
      </c>
      <c r="J269" s="6">
        <v>4491</v>
      </c>
      <c r="K269" s="6">
        <v>4491</v>
      </c>
      <c r="L269" s="6">
        <v>0</v>
      </c>
      <c r="M269" s="6">
        <v>0</v>
      </c>
      <c r="N269" s="6">
        <v>0</v>
      </c>
      <c r="O269" s="6">
        <v>0</v>
      </c>
      <c r="P269" s="6">
        <v>58</v>
      </c>
      <c r="Q269" s="4" t="s">
        <v>26</v>
      </c>
      <c r="R269" s="4">
        <v>0</v>
      </c>
      <c r="S269" s="4" t="s">
        <v>167</v>
      </c>
      <c r="U269" s="4">
        <v>18</v>
      </c>
      <c r="V269" s="4">
        <v>0</v>
      </c>
      <c r="W269" s="4">
        <v>0</v>
      </c>
    </row>
    <row r="270" spans="1:23" ht="11.25" customHeight="1" x14ac:dyDescent="0.25">
      <c r="A270" s="4" t="s">
        <v>28</v>
      </c>
      <c r="B270" s="4" t="s">
        <v>33</v>
      </c>
      <c r="C270" s="4" t="s">
        <v>34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44378</v>
      </c>
      <c r="J270" s="6">
        <v>325</v>
      </c>
      <c r="K270" s="6">
        <v>325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4" t="s">
        <v>167</v>
      </c>
      <c r="U270" s="4">
        <v>18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33</v>
      </c>
      <c r="C271" s="4" t="s">
        <v>34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44409</v>
      </c>
      <c r="J271" s="6">
        <v>4436</v>
      </c>
      <c r="K271" s="6">
        <v>4436</v>
      </c>
      <c r="L271" s="6">
        <v>0</v>
      </c>
      <c r="M271" s="6">
        <v>0</v>
      </c>
      <c r="N271" s="6">
        <v>0</v>
      </c>
      <c r="O271" s="6">
        <v>0</v>
      </c>
      <c r="P271" s="6">
        <v>57</v>
      </c>
      <c r="Q271" s="4" t="s">
        <v>26</v>
      </c>
      <c r="R271" s="4">
        <v>0</v>
      </c>
      <c r="S271" s="4" t="s">
        <v>168</v>
      </c>
      <c r="U271" s="4">
        <v>18</v>
      </c>
      <c r="V271" s="4">
        <v>0</v>
      </c>
      <c r="W271" s="4">
        <v>0</v>
      </c>
    </row>
    <row r="272" spans="1:23" ht="11.25" customHeight="1" x14ac:dyDescent="0.25">
      <c r="A272" s="4" t="s">
        <v>28</v>
      </c>
      <c r="B272" s="4" t="s">
        <v>33</v>
      </c>
      <c r="C272" s="4" t="s">
        <v>34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44409</v>
      </c>
      <c r="J272" s="6">
        <v>338</v>
      </c>
      <c r="K272" s="6">
        <v>338</v>
      </c>
      <c r="L272" s="6">
        <v>0</v>
      </c>
      <c r="M272" s="6">
        <v>0</v>
      </c>
      <c r="N272" s="6">
        <v>0</v>
      </c>
      <c r="O272" s="6">
        <v>0</v>
      </c>
      <c r="P272" s="6">
        <v>3</v>
      </c>
      <c r="Q272" s="4" t="s">
        <v>26</v>
      </c>
      <c r="R272" s="4">
        <v>0</v>
      </c>
      <c r="S272" s="4" t="s">
        <v>168</v>
      </c>
      <c r="U272" s="4">
        <v>18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33</v>
      </c>
      <c r="C273" s="4" t="s">
        <v>34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44440</v>
      </c>
      <c r="J273" s="6">
        <v>4617</v>
      </c>
      <c r="K273" s="6">
        <v>4617</v>
      </c>
      <c r="L273" s="6">
        <v>0</v>
      </c>
      <c r="M273" s="6">
        <v>0</v>
      </c>
      <c r="N273" s="6">
        <v>0</v>
      </c>
      <c r="O273" s="6">
        <v>0</v>
      </c>
      <c r="P273" s="6">
        <v>58</v>
      </c>
      <c r="Q273" s="4" t="s">
        <v>26</v>
      </c>
      <c r="R273" s="4">
        <v>0</v>
      </c>
      <c r="S273" s="4" t="s">
        <v>169</v>
      </c>
      <c r="U273" s="4">
        <v>18</v>
      </c>
      <c r="V273" s="4">
        <v>0</v>
      </c>
      <c r="W273" s="4">
        <v>0</v>
      </c>
    </row>
    <row r="274" spans="1:23" ht="11.25" customHeight="1" x14ac:dyDescent="0.25">
      <c r="A274" s="4" t="s">
        <v>27</v>
      </c>
      <c r="B274" s="4" t="s">
        <v>33</v>
      </c>
      <c r="C274" s="4" t="s">
        <v>34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44440</v>
      </c>
      <c r="J274" s="6">
        <v>88</v>
      </c>
      <c r="K274" s="6">
        <v>88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26</v>
      </c>
      <c r="R274" s="4">
        <v>0</v>
      </c>
      <c r="S274" s="4" t="s">
        <v>169</v>
      </c>
      <c r="U274" s="4">
        <v>18</v>
      </c>
      <c r="V274" s="4">
        <v>0</v>
      </c>
      <c r="W274" s="4">
        <v>0</v>
      </c>
    </row>
    <row r="275" spans="1:23" ht="11.25" customHeight="1" x14ac:dyDescent="0.25">
      <c r="A275" s="4" t="s">
        <v>28</v>
      </c>
      <c r="B275" s="4" t="s">
        <v>33</v>
      </c>
      <c r="C275" s="4" t="s">
        <v>34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44440</v>
      </c>
      <c r="J275" s="6">
        <v>338</v>
      </c>
      <c r="K275" s="6">
        <v>338</v>
      </c>
      <c r="L275" s="6">
        <v>0</v>
      </c>
      <c r="M275" s="6">
        <v>0</v>
      </c>
      <c r="N275" s="6">
        <v>0</v>
      </c>
      <c r="O275" s="6">
        <v>0</v>
      </c>
      <c r="P275" s="6">
        <v>3</v>
      </c>
      <c r="Q275" s="4" t="s">
        <v>26</v>
      </c>
      <c r="R275" s="4">
        <v>0</v>
      </c>
      <c r="S275" s="4" t="s">
        <v>169</v>
      </c>
      <c r="U275" s="4">
        <v>18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33</v>
      </c>
      <c r="C276" s="4" t="s">
        <v>34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44470</v>
      </c>
      <c r="J276" s="6">
        <v>4719</v>
      </c>
      <c r="K276" s="6">
        <v>4719</v>
      </c>
      <c r="L276" s="6">
        <v>0</v>
      </c>
      <c r="M276" s="6">
        <v>0</v>
      </c>
      <c r="N276" s="6">
        <v>0</v>
      </c>
      <c r="O276" s="6">
        <v>0</v>
      </c>
      <c r="P276" s="6">
        <v>57</v>
      </c>
      <c r="Q276" s="4" t="s">
        <v>26</v>
      </c>
      <c r="R276" s="4">
        <v>0</v>
      </c>
      <c r="S276" s="4" t="s">
        <v>170</v>
      </c>
      <c r="U276" s="4">
        <v>18</v>
      </c>
      <c r="V276" s="4">
        <v>0</v>
      </c>
      <c r="W276" s="4">
        <v>0</v>
      </c>
    </row>
    <row r="277" spans="1:23" ht="11.25" customHeight="1" x14ac:dyDescent="0.25">
      <c r="A277" s="4" t="s">
        <v>28</v>
      </c>
      <c r="B277" s="4" t="s">
        <v>33</v>
      </c>
      <c r="C277" s="4" t="s">
        <v>34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44470</v>
      </c>
      <c r="J277" s="6">
        <v>338</v>
      </c>
      <c r="K277" s="6">
        <v>338</v>
      </c>
      <c r="L277" s="6">
        <v>0</v>
      </c>
      <c r="M277" s="6">
        <v>0</v>
      </c>
      <c r="N277" s="6">
        <v>0</v>
      </c>
      <c r="O277" s="6">
        <v>0</v>
      </c>
      <c r="P277" s="6">
        <v>3</v>
      </c>
      <c r="Q277" s="4" t="s">
        <v>26</v>
      </c>
      <c r="R277" s="4">
        <v>0</v>
      </c>
      <c r="S277" s="4" t="s">
        <v>170</v>
      </c>
      <c r="U277" s="4">
        <v>18</v>
      </c>
      <c r="V277" s="4">
        <v>0</v>
      </c>
      <c r="W277" s="4">
        <v>0</v>
      </c>
    </row>
    <row r="278" spans="1:23" ht="11.25" customHeight="1" x14ac:dyDescent="0.25">
      <c r="A278" s="4" t="s">
        <v>28</v>
      </c>
      <c r="B278" s="4" t="s">
        <v>33</v>
      </c>
      <c r="C278" s="4" t="s">
        <v>34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44470</v>
      </c>
      <c r="J278" s="6">
        <v>13</v>
      </c>
      <c r="K278" s="6">
        <v>13</v>
      </c>
      <c r="L278" s="6">
        <v>0</v>
      </c>
      <c r="M278" s="6">
        <v>0</v>
      </c>
      <c r="N278" s="6">
        <v>0</v>
      </c>
      <c r="O278" s="6">
        <v>0</v>
      </c>
      <c r="P278" s="6">
        <v>2</v>
      </c>
      <c r="Q278" s="4" t="s">
        <v>26</v>
      </c>
      <c r="R278" s="4">
        <v>0</v>
      </c>
      <c r="S278" s="4" t="s">
        <v>170</v>
      </c>
      <c r="U278" s="4">
        <v>18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33</v>
      </c>
      <c r="C279" s="4" t="s">
        <v>34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44501</v>
      </c>
      <c r="J279" s="6">
        <v>4979</v>
      </c>
      <c r="K279" s="6">
        <v>4979</v>
      </c>
      <c r="L279" s="6">
        <v>0</v>
      </c>
      <c r="M279" s="6">
        <v>0</v>
      </c>
      <c r="N279" s="6">
        <v>0</v>
      </c>
      <c r="O279" s="6">
        <v>0</v>
      </c>
      <c r="P279" s="6">
        <v>60</v>
      </c>
      <c r="Q279" s="4" t="s">
        <v>26</v>
      </c>
      <c r="R279" s="4">
        <v>0</v>
      </c>
      <c r="S279" s="4" t="s">
        <v>171</v>
      </c>
      <c r="U279" s="4">
        <v>18</v>
      </c>
      <c r="V279" s="4">
        <v>0</v>
      </c>
      <c r="W279" s="4">
        <v>0</v>
      </c>
    </row>
    <row r="280" spans="1:23" ht="11.25" customHeight="1" x14ac:dyDescent="0.25">
      <c r="A280" s="4" t="s">
        <v>28</v>
      </c>
      <c r="B280" s="4" t="s">
        <v>33</v>
      </c>
      <c r="C280" s="4" t="s">
        <v>34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44501</v>
      </c>
      <c r="J280" s="6">
        <v>338</v>
      </c>
      <c r="K280" s="6">
        <v>338</v>
      </c>
      <c r="L280" s="6">
        <v>0</v>
      </c>
      <c r="M280" s="6">
        <v>0</v>
      </c>
      <c r="N280" s="6">
        <v>0</v>
      </c>
      <c r="O280" s="6">
        <v>0</v>
      </c>
      <c r="P280" s="6">
        <v>3</v>
      </c>
      <c r="Q280" s="4" t="s">
        <v>26</v>
      </c>
      <c r="R280" s="4">
        <v>0</v>
      </c>
      <c r="S280" s="4" t="s">
        <v>171</v>
      </c>
      <c r="U280" s="4">
        <v>18</v>
      </c>
      <c r="V280" s="4">
        <v>0</v>
      </c>
      <c r="W280" s="4">
        <v>0</v>
      </c>
    </row>
    <row r="281" spans="1:23" ht="11.25" customHeight="1" x14ac:dyDescent="0.25">
      <c r="A281" s="4" t="s">
        <v>21</v>
      </c>
      <c r="B281" s="4" t="s">
        <v>33</v>
      </c>
      <c r="C281" s="4" t="s">
        <v>34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44531</v>
      </c>
      <c r="J281" s="6">
        <v>4348</v>
      </c>
      <c r="K281" s="6">
        <v>4348</v>
      </c>
      <c r="L281" s="6">
        <v>0</v>
      </c>
      <c r="M281" s="6">
        <v>0</v>
      </c>
      <c r="N281" s="6">
        <v>0</v>
      </c>
      <c r="O281" s="6">
        <v>0</v>
      </c>
      <c r="P281" s="6">
        <v>56</v>
      </c>
      <c r="Q281" s="4" t="s">
        <v>26</v>
      </c>
      <c r="R281" s="4">
        <v>0</v>
      </c>
      <c r="S281" s="4" t="s">
        <v>172</v>
      </c>
      <c r="U281" s="4">
        <v>18</v>
      </c>
      <c r="V281" s="4">
        <v>0</v>
      </c>
      <c r="W281" s="4">
        <v>0</v>
      </c>
    </row>
    <row r="282" spans="1:23" ht="11.25" customHeight="1" x14ac:dyDescent="0.25">
      <c r="A282" s="4" t="s">
        <v>28</v>
      </c>
      <c r="B282" s="4" t="s">
        <v>33</v>
      </c>
      <c r="C282" s="4" t="s">
        <v>34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44531</v>
      </c>
      <c r="J282" s="6">
        <v>993</v>
      </c>
      <c r="K282" s="6">
        <v>993</v>
      </c>
      <c r="L282" s="6">
        <v>0</v>
      </c>
      <c r="M282" s="6">
        <v>0</v>
      </c>
      <c r="N282" s="6">
        <v>0</v>
      </c>
      <c r="O282" s="6">
        <v>0</v>
      </c>
      <c r="P282" s="6">
        <v>7</v>
      </c>
      <c r="Q282" s="4" t="s">
        <v>26</v>
      </c>
      <c r="R282" s="4">
        <v>0</v>
      </c>
      <c r="S282" s="4" t="s">
        <v>172</v>
      </c>
      <c r="U282" s="4">
        <v>18</v>
      </c>
      <c r="V282" s="4">
        <v>0</v>
      </c>
      <c r="W282" s="4">
        <v>0</v>
      </c>
    </row>
    <row r="283" spans="1:23" ht="11.25" customHeight="1" x14ac:dyDescent="0.25">
      <c r="A283" s="4" t="s">
        <v>21</v>
      </c>
      <c r="B283" s="4" t="s">
        <v>33</v>
      </c>
      <c r="C283" s="4" t="s">
        <v>34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44562</v>
      </c>
      <c r="J283" s="6">
        <v>5051</v>
      </c>
      <c r="K283" s="6">
        <v>5051</v>
      </c>
      <c r="L283" s="6">
        <v>0</v>
      </c>
      <c r="M283" s="6">
        <v>0</v>
      </c>
      <c r="N283" s="6">
        <v>0</v>
      </c>
      <c r="O283" s="6">
        <v>0</v>
      </c>
      <c r="P283" s="6">
        <v>61</v>
      </c>
      <c r="Q283" s="4" t="s">
        <v>26</v>
      </c>
      <c r="R283" s="4">
        <v>0</v>
      </c>
      <c r="S283" s="4" t="s">
        <v>173</v>
      </c>
      <c r="U283" s="4">
        <v>18</v>
      </c>
      <c r="V283" s="4">
        <v>0</v>
      </c>
      <c r="W283" s="4">
        <v>0</v>
      </c>
    </row>
    <row r="284" spans="1:23" ht="11.25" customHeight="1" x14ac:dyDescent="0.25">
      <c r="A284" s="4" t="s">
        <v>28</v>
      </c>
      <c r="B284" s="4" t="s">
        <v>33</v>
      </c>
      <c r="C284" s="4" t="s">
        <v>34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508</v>
      </c>
      <c r="K284" s="6">
        <v>508</v>
      </c>
      <c r="L284" s="6">
        <v>0</v>
      </c>
      <c r="M284" s="6">
        <v>0</v>
      </c>
      <c r="N284" s="6">
        <v>0</v>
      </c>
      <c r="O284" s="6">
        <v>0</v>
      </c>
      <c r="P284" s="6">
        <v>4</v>
      </c>
      <c r="Q284" s="4" t="s">
        <v>26</v>
      </c>
      <c r="R284" s="4">
        <v>0</v>
      </c>
      <c r="S284" s="4" t="s">
        <v>173</v>
      </c>
      <c r="U284" s="4">
        <v>18</v>
      </c>
      <c r="V284" s="4">
        <v>0</v>
      </c>
      <c r="W284" s="4">
        <v>0</v>
      </c>
    </row>
    <row r="285" spans="1:23" ht="11.25" customHeight="1" x14ac:dyDescent="0.25">
      <c r="A285" s="4" t="s">
        <v>21</v>
      </c>
      <c r="B285" s="4" t="s">
        <v>33</v>
      </c>
      <c r="C285" s="4" t="s">
        <v>34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4814</v>
      </c>
      <c r="K285" s="6">
        <v>4814</v>
      </c>
      <c r="L285" s="6">
        <v>0</v>
      </c>
      <c r="M285" s="6">
        <v>0</v>
      </c>
      <c r="N285" s="6">
        <v>0</v>
      </c>
      <c r="O285" s="6">
        <v>0</v>
      </c>
      <c r="P285" s="6">
        <v>59</v>
      </c>
      <c r="Q285" s="4" t="s">
        <v>26</v>
      </c>
      <c r="R285" s="4">
        <v>0</v>
      </c>
      <c r="S285" s="4" t="s">
        <v>174</v>
      </c>
      <c r="U285" s="4">
        <v>18</v>
      </c>
      <c r="V285" s="4">
        <v>0</v>
      </c>
      <c r="W285" s="4">
        <v>0</v>
      </c>
    </row>
    <row r="286" spans="1:23" ht="11.25" customHeight="1" x14ac:dyDescent="0.25">
      <c r="A286" s="4" t="s">
        <v>28</v>
      </c>
      <c r="B286" s="4" t="s">
        <v>33</v>
      </c>
      <c r="C286" s="4" t="s">
        <v>34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44593</v>
      </c>
      <c r="J286" s="6">
        <v>508</v>
      </c>
      <c r="K286" s="6">
        <v>508</v>
      </c>
      <c r="L286" s="6">
        <v>0</v>
      </c>
      <c r="M286" s="6">
        <v>0</v>
      </c>
      <c r="N286" s="6">
        <v>0</v>
      </c>
      <c r="O286" s="6">
        <v>0</v>
      </c>
      <c r="P286" s="6">
        <v>4</v>
      </c>
      <c r="Q286" s="4" t="s">
        <v>26</v>
      </c>
      <c r="R286" s="4">
        <v>0</v>
      </c>
      <c r="S286" s="4" t="s">
        <v>174</v>
      </c>
      <c r="U286" s="4">
        <v>18</v>
      </c>
      <c r="V286" s="4">
        <v>0</v>
      </c>
      <c r="W286" s="4">
        <v>0</v>
      </c>
    </row>
    <row r="287" spans="1:23" ht="11.25" customHeight="1" x14ac:dyDescent="0.25">
      <c r="A287" s="4" t="s">
        <v>21</v>
      </c>
      <c r="B287" s="4" t="s">
        <v>33</v>
      </c>
      <c r="C287" s="4" t="s">
        <v>34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4985</v>
      </c>
      <c r="K287" s="6">
        <v>4985</v>
      </c>
      <c r="L287" s="6">
        <v>0</v>
      </c>
      <c r="M287" s="6">
        <v>0</v>
      </c>
      <c r="N287" s="6">
        <v>0</v>
      </c>
      <c r="O287" s="6">
        <v>0</v>
      </c>
      <c r="P287" s="6">
        <v>58</v>
      </c>
      <c r="Q287" s="4" t="s">
        <v>26</v>
      </c>
      <c r="R287" s="4">
        <v>0</v>
      </c>
      <c r="S287" s="4" t="s">
        <v>175</v>
      </c>
      <c r="U287" s="4">
        <v>18</v>
      </c>
      <c r="V287" s="4">
        <v>0</v>
      </c>
      <c r="W287" s="4">
        <v>0</v>
      </c>
    </row>
    <row r="288" spans="1:23" ht="11.25" customHeight="1" x14ac:dyDescent="0.25">
      <c r="A288" s="4" t="s">
        <v>28</v>
      </c>
      <c r="B288" s="4" t="s">
        <v>33</v>
      </c>
      <c r="C288" s="4" t="s">
        <v>34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44621</v>
      </c>
      <c r="J288" s="6">
        <v>558</v>
      </c>
      <c r="K288" s="6">
        <v>558</v>
      </c>
      <c r="L288" s="6">
        <v>0</v>
      </c>
      <c r="M288" s="6">
        <v>0</v>
      </c>
      <c r="N288" s="6">
        <v>0</v>
      </c>
      <c r="O288" s="6">
        <v>0</v>
      </c>
      <c r="P288" s="6">
        <v>5</v>
      </c>
      <c r="Q288" s="4" t="s">
        <v>26</v>
      </c>
      <c r="R288" s="4">
        <v>0</v>
      </c>
      <c r="S288" s="4" t="s">
        <v>175</v>
      </c>
      <c r="U288" s="4">
        <v>18</v>
      </c>
      <c r="V288" s="4">
        <v>0</v>
      </c>
      <c r="W288" s="4">
        <v>0</v>
      </c>
    </row>
    <row r="289" spans="1:23" ht="11.25" customHeight="1" x14ac:dyDescent="0.25">
      <c r="A289" s="4" t="s">
        <v>21</v>
      </c>
      <c r="B289" s="4" t="s">
        <v>33</v>
      </c>
      <c r="C289" s="4" t="s">
        <v>34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5113</v>
      </c>
      <c r="K289" s="6">
        <v>5113</v>
      </c>
      <c r="L289" s="6">
        <v>0</v>
      </c>
      <c r="M289" s="6">
        <v>0</v>
      </c>
      <c r="N289" s="6">
        <v>0</v>
      </c>
      <c r="O289" s="6">
        <v>0</v>
      </c>
      <c r="P289" s="6">
        <v>59</v>
      </c>
      <c r="Q289" s="4" t="s">
        <v>26</v>
      </c>
      <c r="R289" s="4">
        <v>0</v>
      </c>
      <c r="S289" s="4" t="s">
        <v>176</v>
      </c>
      <c r="U289" s="4">
        <v>18</v>
      </c>
      <c r="V289" s="4">
        <v>0</v>
      </c>
      <c r="W289" s="4">
        <v>0</v>
      </c>
    </row>
    <row r="290" spans="1:23" ht="11.25" customHeight="1" x14ac:dyDescent="0.25">
      <c r="A290" s="4" t="s">
        <v>28</v>
      </c>
      <c r="B290" s="4" t="s">
        <v>33</v>
      </c>
      <c r="C290" s="4" t="s">
        <v>34</v>
      </c>
      <c r="D290" s="4" t="s">
        <v>43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44652</v>
      </c>
      <c r="J290" s="6">
        <v>388</v>
      </c>
      <c r="K290" s="6">
        <v>388</v>
      </c>
      <c r="L290" s="6">
        <v>0</v>
      </c>
      <c r="M290" s="6">
        <v>0</v>
      </c>
      <c r="N290" s="6">
        <v>0</v>
      </c>
      <c r="O290" s="6">
        <v>0</v>
      </c>
      <c r="P290" s="6">
        <v>4</v>
      </c>
      <c r="Q290" s="4" t="s">
        <v>26</v>
      </c>
      <c r="R290" s="4">
        <v>0</v>
      </c>
      <c r="S290" s="4" t="s">
        <v>176</v>
      </c>
      <c r="U290" s="4">
        <v>18</v>
      </c>
      <c r="V290" s="4">
        <v>0</v>
      </c>
      <c r="W290" s="4">
        <v>0</v>
      </c>
    </row>
    <row r="291" spans="1:23" ht="11.25" customHeight="1" x14ac:dyDescent="0.25">
      <c r="A291" s="4" t="s">
        <v>21</v>
      </c>
      <c r="B291" s="4" t="s">
        <v>33</v>
      </c>
      <c r="C291" s="4" t="s">
        <v>34</v>
      </c>
      <c r="D291" s="4" t="s">
        <v>43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44682</v>
      </c>
      <c r="J291" s="6">
        <v>4872</v>
      </c>
      <c r="K291" s="6">
        <v>4872</v>
      </c>
      <c r="L291" s="6">
        <v>0</v>
      </c>
      <c r="M291" s="6">
        <v>0</v>
      </c>
      <c r="N291" s="6">
        <v>0</v>
      </c>
      <c r="O291" s="6">
        <v>0</v>
      </c>
      <c r="P291" s="6">
        <v>57</v>
      </c>
      <c r="Q291" s="4" t="s">
        <v>26</v>
      </c>
      <c r="R291" s="4">
        <v>0</v>
      </c>
      <c r="S291" s="4" t="s">
        <v>177</v>
      </c>
      <c r="U291" s="4">
        <v>18</v>
      </c>
      <c r="V291" s="4">
        <v>0</v>
      </c>
      <c r="W291" s="4">
        <v>0</v>
      </c>
    </row>
    <row r="292" spans="1:23" ht="11.25" customHeight="1" x14ac:dyDescent="0.25">
      <c r="A292" s="4" t="s">
        <v>28</v>
      </c>
      <c r="B292" s="4" t="s">
        <v>33</v>
      </c>
      <c r="C292" s="4" t="s">
        <v>34</v>
      </c>
      <c r="D292" s="4" t="s">
        <v>43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44682</v>
      </c>
      <c r="J292" s="6">
        <v>558</v>
      </c>
      <c r="K292" s="6">
        <v>558</v>
      </c>
      <c r="L292" s="6">
        <v>0</v>
      </c>
      <c r="M292" s="6">
        <v>0</v>
      </c>
      <c r="N292" s="6">
        <v>0</v>
      </c>
      <c r="O292" s="6">
        <v>0</v>
      </c>
      <c r="P292" s="6">
        <v>5</v>
      </c>
      <c r="Q292" s="4" t="s">
        <v>26</v>
      </c>
      <c r="R292" s="4">
        <v>0</v>
      </c>
      <c r="S292" s="4" t="s">
        <v>177</v>
      </c>
      <c r="U292" s="4">
        <v>18</v>
      </c>
      <c r="V292" s="4">
        <v>0</v>
      </c>
      <c r="W292" s="4">
        <v>0</v>
      </c>
    </row>
    <row r="293" spans="1:23" ht="11.25" customHeight="1" x14ac:dyDescent="0.25">
      <c r="A293" s="4" t="s">
        <v>21</v>
      </c>
      <c r="B293" s="4" t="s">
        <v>33</v>
      </c>
      <c r="C293" s="4" t="s">
        <v>34</v>
      </c>
      <c r="D293" s="4" t="s">
        <v>43</v>
      </c>
      <c r="E293" s="4" t="s">
        <v>25</v>
      </c>
      <c r="F293" s="4" t="s">
        <v>25</v>
      </c>
      <c r="G293" s="4" t="s">
        <v>25</v>
      </c>
      <c r="H293" s="4" t="s">
        <v>37</v>
      </c>
      <c r="I293" s="5">
        <v>44348</v>
      </c>
      <c r="J293" s="6">
        <v>0</v>
      </c>
      <c r="K293" s="6">
        <v>0</v>
      </c>
      <c r="L293" s="6">
        <v>66.244</v>
      </c>
      <c r="M293" s="6">
        <v>66.244</v>
      </c>
      <c r="N293" s="6">
        <v>66.244</v>
      </c>
      <c r="O293" s="6">
        <v>66.244</v>
      </c>
      <c r="P293" s="6">
        <v>0</v>
      </c>
      <c r="Q293" s="4" t="s">
        <v>26</v>
      </c>
      <c r="R293" s="4">
        <v>0</v>
      </c>
      <c r="S293" s="4" t="s">
        <v>178</v>
      </c>
      <c r="T293" s="4" t="s">
        <v>399</v>
      </c>
      <c r="U293" s="4">
        <v>0</v>
      </c>
      <c r="V293" s="4">
        <v>19</v>
      </c>
      <c r="W293" s="4">
        <v>65</v>
      </c>
    </row>
    <row r="294" spans="1:23" ht="11.25" customHeight="1" x14ac:dyDescent="0.25">
      <c r="A294" s="4" t="s">
        <v>21</v>
      </c>
      <c r="B294" s="4" t="s">
        <v>33</v>
      </c>
      <c r="C294" s="4" t="s">
        <v>34</v>
      </c>
      <c r="D294" s="4" t="s">
        <v>43</v>
      </c>
      <c r="E294" s="4" t="s">
        <v>25</v>
      </c>
      <c r="F294" s="4" t="s">
        <v>25</v>
      </c>
      <c r="G294" s="4" t="s">
        <v>25</v>
      </c>
      <c r="H294" s="4" t="s">
        <v>37</v>
      </c>
      <c r="I294" s="5">
        <v>44378</v>
      </c>
      <c r="J294" s="6">
        <v>0</v>
      </c>
      <c r="K294" s="6">
        <v>0</v>
      </c>
      <c r="L294" s="6">
        <v>71.768000000000001</v>
      </c>
      <c r="M294" s="6">
        <v>71.768000000000001</v>
      </c>
      <c r="N294" s="6">
        <v>71.768000000000001</v>
      </c>
      <c r="O294" s="6">
        <v>71.768000000000001</v>
      </c>
      <c r="P294" s="6">
        <v>0</v>
      </c>
      <c r="Q294" s="4" t="s">
        <v>26</v>
      </c>
      <c r="R294" s="4">
        <v>0</v>
      </c>
      <c r="S294" s="4" t="s">
        <v>179</v>
      </c>
      <c r="T294" s="4" t="s">
        <v>400</v>
      </c>
      <c r="U294" s="4">
        <v>0</v>
      </c>
      <c r="V294" s="4">
        <v>19</v>
      </c>
      <c r="W294" s="4">
        <v>65</v>
      </c>
    </row>
    <row r="295" spans="1:23" ht="11.25" customHeight="1" x14ac:dyDescent="0.25">
      <c r="A295" s="4" t="s">
        <v>28</v>
      </c>
      <c r="B295" s="4" t="s">
        <v>33</v>
      </c>
      <c r="C295" s="4" t="s">
        <v>34</v>
      </c>
      <c r="D295" s="4" t="s">
        <v>43</v>
      </c>
      <c r="E295" s="4" t="s">
        <v>25</v>
      </c>
      <c r="F295" s="4" t="s">
        <v>25</v>
      </c>
      <c r="G295" s="4" t="s">
        <v>25</v>
      </c>
      <c r="H295" s="4" t="s">
        <v>37</v>
      </c>
      <c r="I295" s="5">
        <v>44378</v>
      </c>
      <c r="J295" s="6">
        <v>0</v>
      </c>
      <c r="K295" s="6">
        <v>0</v>
      </c>
      <c r="L295" s="6">
        <v>0.20300000000000001</v>
      </c>
      <c r="M295" s="6">
        <v>0.20300000000000001</v>
      </c>
      <c r="N295" s="6">
        <v>0.20300000000000001</v>
      </c>
      <c r="O295" s="6">
        <v>0.20300000000000001</v>
      </c>
      <c r="P295" s="6">
        <v>0</v>
      </c>
      <c r="Q295" s="4" t="s">
        <v>26</v>
      </c>
      <c r="R295" s="4">
        <v>0</v>
      </c>
      <c r="S295" s="4" t="s">
        <v>179</v>
      </c>
      <c r="T295" s="4" t="s">
        <v>400</v>
      </c>
      <c r="U295" s="4">
        <v>0</v>
      </c>
      <c r="V295" s="4">
        <v>19</v>
      </c>
      <c r="W295" s="4">
        <v>65</v>
      </c>
    </row>
    <row r="296" spans="1:23" ht="11.25" customHeight="1" x14ac:dyDescent="0.25">
      <c r="A296" s="4" t="s">
        <v>21</v>
      </c>
      <c r="B296" s="4" t="s">
        <v>33</v>
      </c>
      <c r="C296" s="4" t="s">
        <v>34</v>
      </c>
      <c r="D296" s="4" t="s">
        <v>43</v>
      </c>
      <c r="E296" s="4" t="s">
        <v>25</v>
      </c>
      <c r="F296" s="4" t="s">
        <v>25</v>
      </c>
      <c r="G296" s="4" t="s">
        <v>25</v>
      </c>
      <c r="H296" s="4" t="s">
        <v>37</v>
      </c>
      <c r="I296" s="5">
        <v>44409</v>
      </c>
      <c r="J296" s="6">
        <v>0</v>
      </c>
      <c r="K296" s="6">
        <v>0</v>
      </c>
      <c r="L296" s="6">
        <v>71.180999999999997</v>
      </c>
      <c r="M296" s="6">
        <v>71.180999999999997</v>
      </c>
      <c r="N296" s="6">
        <v>71.180999999999997</v>
      </c>
      <c r="O296" s="6">
        <v>71.180999999999997</v>
      </c>
      <c r="P296" s="6">
        <v>0</v>
      </c>
      <c r="Q296" s="4" t="s">
        <v>26</v>
      </c>
      <c r="R296" s="4">
        <v>0</v>
      </c>
      <c r="S296" s="4" t="s">
        <v>180</v>
      </c>
      <c r="T296" s="4" t="s">
        <v>401</v>
      </c>
      <c r="U296" s="4">
        <v>0</v>
      </c>
      <c r="V296" s="4">
        <v>19</v>
      </c>
      <c r="W296" s="4">
        <v>65</v>
      </c>
    </row>
    <row r="297" spans="1:23" ht="11.25" customHeight="1" x14ac:dyDescent="0.25">
      <c r="A297" s="4" t="s">
        <v>28</v>
      </c>
      <c r="B297" s="4" t="s">
        <v>33</v>
      </c>
      <c r="C297" s="4" t="s">
        <v>34</v>
      </c>
      <c r="D297" s="4" t="s">
        <v>43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44409</v>
      </c>
      <c r="J297" s="6">
        <v>0</v>
      </c>
      <c r="K297" s="6">
        <v>0</v>
      </c>
      <c r="L297" s="6">
        <v>0.98799999999999999</v>
      </c>
      <c r="M297" s="6">
        <v>0.98799999999999999</v>
      </c>
      <c r="N297" s="6">
        <v>0.98799999999999999</v>
      </c>
      <c r="O297" s="6">
        <v>0.98799999999999999</v>
      </c>
      <c r="P297" s="6">
        <v>0</v>
      </c>
      <c r="Q297" s="4" t="s">
        <v>26</v>
      </c>
      <c r="R297" s="4">
        <v>0</v>
      </c>
      <c r="S297" s="4" t="s">
        <v>180</v>
      </c>
      <c r="T297" s="4" t="s">
        <v>401</v>
      </c>
      <c r="U297" s="4">
        <v>0</v>
      </c>
      <c r="V297" s="4">
        <v>19</v>
      </c>
      <c r="W297" s="4">
        <v>65</v>
      </c>
    </row>
    <row r="298" spans="1:23" ht="11.25" customHeight="1" x14ac:dyDescent="0.25">
      <c r="A298" s="4" t="s">
        <v>21</v>
      </c>
      <c r="B298" s="4" t="s">
        <v>33</v>
      </c>
      <c r="C298" s="4" t="s">
        <v>34</v>
      </c>
      <c r="D298" s="4" t="s">
        <v>43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44440</v>
      </c>
      <c r="J298" s="6">
        <v>0</v>
      </c>
      <c r="K298" s="6">
        <v>0</v>
      </c>
      <c r="L298" s="6">
        <v>73.046999999999997</v>
      </c>
      <c r="M298" s="6">
        <v>73.046999999999997</v>
      </c>
      <c r="N298" s="6">
        <v>73.046999999999997</v>
      </c>
      <c r="O298" s="6">
        <v>73.046999999999997</v>
      </c>
      <c r="P298" s="6">
        <v>0</v>
      </c>
      <c r="Q298" s="4" t="s">
        <v>26</v>
      </c>
      <c r="R298" s="4">
        <v>0</v>
      </c>
      <c r="S298" s="4" t="s">
        <v>181</v>
      </c>
      <c r="T298" s="4" t="s">
        <v>402</v>
      </c>
      <c r="U298" s="4">
        <v>0</v>
      </c>
      <c r="V298" s="4">
        <v>19</v>
      </c>
      <c r="W298" s="4">
        <v>65</v>
      </c>
    </row>
    <row r="299" spans="1:23" ht="11.25" customHeight="1" x14ac:dyDescent="0.25">
      <c r="A299" s="4" t="s">
        <v>27</v>
      </c>
      <c r="B299" s="4" t="s">
        <v>33</v>
      </c>
      <c r="C299" s="4" t="s">
        <v>34</v>
      </c>
      <c r="D299" s="4" t="s">
        <v>43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44440</v>
      </c>
      <c r="J299" s="6">
        <v>0</v>
      </c>
      <c r="K299" s="6">
        <v>0</v>
      </c>
      <c r="L299" s="6">
        <v>9.7200000000000006</v>
      </c>
      <c r="M299" s="6">
        <v>9.7200000000000006</v>
      </c>
      <c r="N299" s="6">
        <v>9.7200000000000006</v>
      </c>
      <c r="O299" s="6">
        <v>9.7200000000000006</v>
      </c>
      <c r="P299" s="6">
        <v>0</v>
      </c>
      <c r="Q299" s="4" t="s">
        <v>26</v>
      </c>
      <c r="R299" s="4">
        <v>0</v>
      </c>
      <c r="S299" s="4" t="s">
        <v>181</v>
      </c>
      <c r="T299" s="4" t="s">
        <v>402</v>
      </c>
      <c r="U299" s="4">
        <v>0</v>
      </c>
      <c r="V299" s="4">
        <v>19</v>
      </c>
      <c r="W299" s="4">
        <v>65</v>
      </c>
    </row>
    <row r="300" spans="1:23" ht="11.25" customHeight="1" x14ac:dyDescent="0.25">
      <c r="A300" s="4" t="s">
        <v>28</v>
      </c>
      <c r="B300" s="4" t="s">
        <v>33</v>
      </c>
      <c r="C300" s="4" t="s">
        <v>34</v>
      </c>
      <c r="D300" s="4" t="s">
        <v>43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44440</v>
      </c>
      <c r="J300" s="6">
        <v>0</v>
      </c>
      <c r="K300" s="6">
        <v>0</v>
      </c>
      <c r="L300" s="6">
        <v>1.278</v>
      </c>
      <c r="M300" s="6">
        <v>1.278</v>
      </c>
      <c r="N300" s="6">
        <v>1.278</v>
      </c>
      <c r="O300" s="6">
        <v>1.278</v>
      </c>
      <c r="P300" s="6">
        <v>0</v>
      </c>
      <c r="Q300" s="4" t="s">
        <v>26</v>
      </c>
      <c r="R300" s="4">
        <v>0</v>
      </c>
      <c r="S300" s="4" t="s">
        <v>181</v>
      </c>
      <c r="T300" s="4" t="s">
        <v>402</v>
      </c>
      <c r="U300" s="4">
        <v>0</v>
      </c>
      <c r="V300" s="4">
        <v>19</v>
      </c>
      <c r="W300" s="4">
        <v>65</v>
      </c>
    </row>
    <row r="301" spans="1:23" ht="11.25" customHeight="1" x14ac:dyDescent="0.25">
      <c r="A301" s="4" t="s">
        <v>21</v>
      </c>
      <c r="B301" s="4" t="s">
        <v>33</v>
      </c>
      <c r="C301" s="4" t="s">
        <v>34</v>
      </c>
      <c r="D301" s="4" t="s">
        <v>43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44470</v>
      </c>
      <c r="J301" s="6">
        <v>0</v>
      </c>
      <c r="K301" s="6">
        <v>0</v>
      </c>
      <c r="L301" s="6">
        <v>73.611999999999995</v>
      </c>
      <c r="M301" s="6">
        <v>73.611999999999995</v>
      </c>
      <c r="N301" s="6">
        <v>73.611999999999995</v>
      </c>
      <c r="O301" s="6">
        <v>73.611999999999995</v>
      </c>
      <c r="P301" s="6">
        <v>0</v>
      </c>
      <c r="Q301" s="4" t="s">
        <v>26</v>
      </c>
      <c r="R301" s="4">
        <v>0</v>
      </c>
      <c r="S301" s="4" t="s">
        <v>182</v>
      </c>
      <c r="T301" s="4" t="s">
        <v>403</v>
      </c>
      <c r="U301" s="4">
        <v>0</v>
      </c>
      <c r="V301" s="4">
        <v>19</v>
      </c>
      <c r="W301" s="4">
        <v>65</v>
      </c>
    </row>
    <row r="302" spans="1:23" ht="11.25" customHeight="1" x14ac:dyDescent="0.25">
      <c r="A302" s="4" t="s">
        <v>28</v>
      </c>
      <c r="B302" s="4" t="s">
        <v>33</v>
      </c>
      <c r="C302" s="4" t="s">
        <v>34</v>
      </c>
      <c r="D302" s="4" t="s">
        <v>43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44470</v>
      </c>
      <c r="J302" s="6">
        <v>0</v>
      </c>
      <c r="K302" s="6">
        <v>0</v>
      </c>
      <c r="L302" s="6">
        <v>1.07</v>
      </c>
      <c r="M302" s="6">
        <v>1.07</v>
      </c>
      <c r="N302" s="6">
        <v>1.07</v>
      </c>
      <c r="O302" s="6">
        <v>1.07</v>
      </c>
      <c r="P302" s="6">
        <v>0</v>
      </c>
      <c r="Q302" s="4" t="s">
        <v>26</v>
      </c>
      <c r="R302" s="4">
        <v>0</v>
      </c>
      <c r="S302" s="4" t="s">
        <v>182</v>
      </c>
      <c r="T302" s="4" t="s">
        <v>403</v>
      </c>
      <c r="U302" s="4">
        <v>0</v>
      </c>
      <c r="V302" s="4">
        <v>19</v>
      </c>
      <c r="W302" s="4">
        <v>65</v>
      </c>
    </row>
    <row r="303" spans="1:23" ht="11.25" customHeight="1" x14ac:dyDescent="0.25">
      <c r="A303" s="4" t="s">
        <v>21</v>
      </c>
      <c r="B303" s="4" t="s">
        <v>33</v>
      </c>
      <c r="C303" s="4" t="s">
        <v>34</v>
      </c>
      <c r="D303" s="4" t="s">
        <v>43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44501</v>
      </c>
      <c r="J303" s="6">
        <v>0</v>
      </c>
      <c r="K303" s="6">
        <v>0</v>
      </c>
      <c r="L303" s="6">
        <v>97.316000000000003</v>
      </c>
      <c r="M303" s="6">
        <v>97.316000000000003</v>
      </c>
      <c r="N303" s="6">
        <v>97.316000000000003</v>
      </c>
      <c r="O303" s="6">
        <v>97.316000000000003</v>
      </c>
      <c r="P303" s="6">
        <v>0</v>
      </c>
      <c r="Q303" s="4" t="s">
        <v>26</v>
      </c>
      <c r="R303" s="4">
        <v>0</v>
      </c>
      <c r="S303" s="4" t="s">
        <v>183</v>
      </c>
      <c r="T303" s="4" t="s">
        <v>404</v>
      </c>
      <c r="U303" s="4">
        <v>0</v>
      </c>
      <c r="V303" s="4">
        <v>19</v>
      </c>
      <c r="W303" s="4">
        <v>65</v>
      </c>
    </row>
    <row r="304" spans="1:23" ht="11.25" customHeight="1" x14ac:dyDescent="0.25">
      <c r="A304" s="4" t="s">
        <v>21</v>
      </c>
      <c r="B304" s="4" t="s">
        <v>33</v>
      </c>
      <c r="C304" s="4" t="s">
        <v>34</v>
      </c>
      <c r="D304" s="4" t="s">
        <v>43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44531</v>
      </c>
      <c r="J304" s="6">
        <v>0</v>
      </c>
      <c r="K304" s="6">
        <v>0</v>
      </c>
      <c r="L304" s="6">
        <v>83.456999999999994</v>
      </c>
      <c r="M304" s="6">
        <v>83.456999999999994</v>
      </c>
      <c r="N304" s="6">
        <v>83.456999999999994</v>
      </c>
      <c r="O304" s="6">
        <v>83.456999999999994</v>
      </c>
      <c r="P304" s="6">
        <v>0</v>
      </c>
      <c r="Q304" s="4" t="s">
        <v>26</v>
      </c>
      <c r="R304" s="4">
        <v>0</v>
      </c>
      <c r="S304" s="4" t="s">
        <v>184</v>
      </c>
      <c r="T304" s="4" t="s">
        <v>405</v>
      </c>
      <c r="U304" s="4">
        <v>0</v>
      </c>
      <c r="V304" s="4">
        <v>19</v>
      </c>
      <c r="W304" s="4">
        <v>65</v>
      </c>
    </row>
    <row r="305" spans="1:23" ht="11.25" customHeight="1" x14ac:dyDescent="0.25">
      <c r="A305" s="4" t="s">
        <v>28</v>
      </c>
      <c r="B305" s="4" t="s">
        <v>33</v>
      </c>
      <c r="C305" s="4" t="s">
        <v>34</v>
      </c>
      <c r="D305" s="4" t="s">
        <v>43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44531</v>
      </c>
      <c r="J305" s="6">
        <v>0</v>
      </c>
      <c r="K305" s="6">
        <v>0</v>
      </c>
      <c r="L305" s="6">
        <v>15.183</v>
      </c>
      <c r="M305" s="6">
        <v>15.183</v>
      </c>
      <c r="N305" s="6">
        <v>15.183</v>
      </c>
      <c r="O305" s="6">
        <v>15.183</v>
      </c>
      <c r="P305" s="6">
        <v>0</v>
      </c>
      <c r="Q305" s="4" t="s">
        <v>26</v>
      </c>
      <c r="R305" s="4">
        <v>0</v>
      </c>
      <c r="S305" s="4" t="s">
        <v>184</v>
      </c>
      <c r="T305" s="4" t="s">
        <v>405</v>
      </c>
      <c r="U305" s="4">
        <v>0</v>
      </c>
      <c r="V305" s="4">
        <v>19</v>
      </c>
      <c r="W305" s="4">
        <v>65</v>
      </c>
    </row>
    <row r="306" spans="1:23" ht="11.25" customHeight="1" x14ac:dyDescent="0.25">
      <c r="A306" s="4" t="s">
        <v>21</v>
      </c>
      <c r="B306" s="4" t="s">
        <v>33</v>
      </c>
      <c r="C306" s="4" t="s">
        <v>34</v>
      </c>
      <c r="D306" s="4" t="s">
        <v>43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44562</v>
      </c>
      <c r="J306" s="6">
        <v>0</v>
      </c>
      <c r="K306" s="6">
        <v>0</v>
      </c>
      <c r="L306" s="6">
        <v>80.004000000000005</v>
      </c>
      <c r="M306" s="6">
        <v>80.004000000000005</v>
      </c>
      <c r="N306" s="6">
        <v>80.004000000000005</v>
      </c>
      <c r="O306" s="6">
        <v>80.004000000000005</v>
      </c>
      <c r="P306" s="6">
        <v>0</v>
      </c>
      <c r="Q306" s="4" t="s">
        <v>26</v>
      </c>
      <c r="R306" s="4">
        <v>0</v>
      </c>
      <c r="S306" s="4" t="s">
        <v>185</v>
      </c>
      <c r="T306" s="4" t="s">
        <v>406</v>
      </c>
      <c r="U306" s="4">
        <v>0</v>
      </c>
      <c r="V306" s="4">
        <v>19</v>
      </c>
      <c r="W306" s="4">
        <v>65</v>
      </c>
    </row>
    <row r="307" spans="1:23" ht="11.25" customHeight="1" x14ac:dyDescent="0.25">
      <c r="A307" s="4" t="s">
        <v>21</v>
      </c>
      <c r="B307" s="4" t="s">
        <v>33</v>
      </c>
      <c r="C307" s="4" t="s">
        <v>34</v>
      </c>
      <c r="D307" s="4" t="s">
        <v>43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44593</v>
      </c>
      <c r="J307" s="6">
        <v>0</v>
      </c>
      <c r="K307" s="6">
        <v>0</v>
      </c>
      <c r="L307" s="6">
        <v>75.513000000000005</v>
      </c>
      <c r="M307" s="6">
        <v>75.513000000000005</v>
      </c>
      <c r="N307" s="6">
        <v>75.513000000000005</v>
      </c>
      <c r="O307" s="6">
        <v>75.513000000000005</v>
      </c>
      <c r="P307" s="6">
        <v>0</v>
      </c>
      <c r="Q307" s="4" t="s">
        <v>26</v>
      </c>
      <c r="R307" s="4">
        <v>0</v>
      </c>
      <c r="S307" s="4" t="s">
        <v>186</v>
      </c>
      <c r="T307" s="4" t="s">
        <v>407</v>
      </c>
      <c r="U307" s="4">
        <v>0</v>
      </c>
      <c r="V307" s="4">
        <v>19</v>
      </c>
      <c r="W307" s="4">
        <v>65</v>
      </c>
    </row>
    <row r="308" spans="1:23" ht="11.25" customHeight="1" x14ac:dyDescent="0.25">
      <c r="A308" s="4" t="s">
        <v>21</v>
      </c>
      <c r="B308" s="4" t="s">
        <v>33</v>
      </c>
      <c r="C308" s="4" t="s">
        <v>34</v>
      </c>
      <c r="D308" s="4" t="s">
        <v>43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44621</v>
      </c>
      <c r="J308" s="6">
        <v>0</v>
      </c>
      <c r="K308" s="6">
        <v>0</v>
      </c>
      <c r="L308" s="6">
        <v>81.575999999999993</v>
      </c>
      <c r="M308" s="6">
        <v>81.575999999999993</v>
      </c>
      <c r="N308" s="6">
        <v>81.575999999999993</v>
      </c>
      <c r="O308" s="6">
        <v>81.575999999999993</v>
      </c>
      <c r="P308" s="6">
        <v>0</v>
      </c>
      <c r="Q308" s="4" t="s">
        <v>26</v>
      </c>
      <c r="R308" s="4">
        <v>0</v>
      </c>
      <c r="S308" s="4" t="s">
        <v>187</v>
      </c>
      <c r="T308" s="4" t="s">
        <v>408</v>
      </c>
      <c r="U308" s="4">
        <v>0</v>
      </c>
      <c r="V308" s="4">
        <v>19</v>
      </c>
      <c r="W308" s="4">
        <v>65</v>
      </c>
    </row>
    <row r="309" spans="1:23" ht="11.25" customHeight="1" x14ac:dyDescent="0.25">
      <c r="A309" s="4" t="s">
        <v>21</v>
      </c>
      <c r="B309" s="4" t="s">
        <v>33</v>
      </c>
      <c r="C309" s="4" t="s">
        <v>34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37</v>
      </c>
      <c r="I309" s="5">
        <v>44652</v>
      </c>
      <c r="J309" s="6">
        <v>0</v>
      </c>
      <c r="K309" s="6">
        <v>0</v>
      </c>
      <c r="L309" s="6">
        <v>63.951999999999998</v>
      </c>
      <c r="M309" s="6">
        <v>63.951999999999998</v>
      </c>
      <c r="N309" s="6">
        <v>63.951999999999998</v>
      </c>
      <c r="O309" s="6">
        <v>63.951999999999998</v>
      </c>
      <c r="P309" s="6">
        <v>0</v>
      </c>
      <c r="Q309" s="4" t="s">
        <v>26</v>
      </c>
      <c r="R309" s="4">
        <v>0</v>
      </c>
      <c r="S309" s="4" t="s">
        <v>188</v>
      </c>
      <c r="T309" s="4" t="s">
        <v>409</v>
      </c>
      <c r="U309" s="4">
        <v>0</v>
      </c>
      <c r="V309" s="4">
        <v>19</v>
      </c>
      <c r="W309" s="4">
        <v>65</v>
      </c>
    </row>
    <row r="310" spans="1:23" ht="11.25" customHeight="1" x14ac:dyDescent="0.25">
      <c r="A310" s="4" t="s">
        <v>27</v>
      </c>
      <c r="B310" s="4" t="s">
        <v>33</v>
      </c>
      <c r="C310" s="4" t="s">
        <v>34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37</v>
      </c>
      <c r="I310" s="5">
        <v>44652</v>
      </c>
      <c r="J310" s="6">
        <v>0</v>
      </c>
      <c r="K310" s="6">
        <v>0</v>
      </c>
      <c r="L310" s="6">
        <v>3.145</v>
      </c>
      <c r="M310" s="6">
        <v>3.145</v>
      </c>
      <c r="N310" s="6">
        <v>3.145</v>
      </c>
      <c r="O310" s="6">
        <v>3.145</v>
      </c>
      <c r="P310" s="6">
        <v>0</v>
      </c>
      <c r="Q310" s="4" t="s">
        <v>26</v>
      </c>
      <c r="R310" s="4">
        <v>0</v>
      </c>
      <c r="S310" s="4" t="s">
        <v>188</v>
      </c>
      <c r="T310" s="4" t="s">
        <v>409</v>
      </c>
      <c r="U310" s="4">
        <v>0</v>
      </c>
      <c r="V310" s="4">
        <v>19</v>
      </c>
      <c r="W310" s="4">
        <v>65</v>
      </c>
    </row>
    <row r="311" spans="1:23" ht="11.25" customHeight="1" x14ac:dyDescent="0.25">
      <c r="A311" s="4" t="s">
        <v>21</v>
      </c>
      <c r="B311" s="4" t="s">
        <v>33</v>
      </c>
      <c r="C311" s="4" t="s">
        <v>34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44682</v>
      </c>
      <c r="J311" s="6">
        <v>0</v>
      </c>
      <c r="K311" s="6">
        <v>0</v>
      </c>
      <c r="L311" s="6">
        <v>76.406999999999996</v>
      </c>
      <c r="M311" s="6">
        <v>76.406999999999996</v>
      </c>
      <c r="N311" s="6">
        <v>76.406999999999996</v>
      </c>
      <c r="O311" s="6">
        <v>76.406999999999996</v>
      </c>
      <c r="P311" s="6">
        <v>0</v>
      </c>
      <c r="Q311" s="4" t="s">
        <v>26</v>
      </c>
      <c r="R311" s="4">
        <v>0</v>
      </c>
      <c r="S311" s="4" t="s">
        <v>189</v>
      </c>
      <c r="T311" s="4" t="s">
        <v>410</v>
      </c>
      <c r="U311" s="4">
        <v>0</v>
      </c>
      <c r="V311" s="4">
        <v>19</v>
      </c>
      <c r="W311" s="4">
        <v>65</v>
      </c>
    </row>
    <row r="312" spans="1:23" ht="11.25" customHeight="1" x14ac:dyDescent="0.25">
      <c r="A312" s="4" t="s">
        <v>21</v>
      </c>
      <c r="B312" s="4" t="s">
        <v>33</v>
      </c>
      <c r="C312" s="4" t="s">
        <v>34</v>
      </c>
      <c r="D312" s="4" t="s">
        <v>40</v>
      </c>
      <c r="E312" s="4" t="s">
        <v>25</v>
      </c>
      <c r="F312" s="4" t="s">
        <v>54</v>
      </c>
      <c r="G312" s="4" t="s">
        <v>25</v>
      </c>
      <c r="H312" s="4" t="s">
        <v>35</v>
      </c>
      <c r="I312" s="5">
        <v>44348</v>
      </c>
      <c r="J312" s="6">
        <v>0</v>
      </c>
      <c r="K312" s="6">
        <v>0</v>
      </c>
      <c r="L312" s="6">
        <v>2193.7249999999999</v>
      </c>
      <c r="M312" s="6">
        <v>2193.7249999999999</v>
      </c>
      <c r="N312" s="6">
        <v>0</v>
      </c>
      <c r="O312" s="6">
        <v>0</v>
      </c>
      <c r="P312" s="6">
        <v>0</v>
      </c>
      <c r="Q312" s="4" t="s">
        <v>53</v>
      </c>
      <c r="R312" s="4">
        <v>0</v>
      </c>
      <c r="S312" s="4" t="s">
        <v>154</v>
      </c>
      <c r="U312" s="4">
        <v>0</v>
      </c>
      <c r="V312" s="4">
        <v>20</v>
      </c>
      <c r="W312" s="4">
        <v>0</v>
      </c>
    </row>
    <row r="313" spans="1:23" ht="11.25" customHeight="1" x14ac:dyDescent="0.25">
      <c r="A313" s="4" t="s">
        <v>21</v>
      </c>
      <c r="B313" s="4" t="s">
        <v>33</v>
      </c>
      <c r="C313" s="4" t="s">
        <v>34</v>
      </c>
      <c r="D313" s="4" t="s">
        <v>40</v>
      </c>
      <c r="E313" s="4" t="s">
        <v>25</v>
      </c>
      <c r="F313" s="4" t="s">
        <v>54</v>
      </c>
      <c r="G313" s="4" t="s">
        <v>25</v>
      </c>
      <c r="H313" s="4" t="s">
        <v>35</v>
      </c>
      <c r="I313" s="5">
        <v>44378</v>
      </c>
      <c r="J313" s="6">
        <v>0</v>
      </c>
      <c r="K313" s="6">
        <v>0</v>
      </c>
      <c r="L313" s="6">
        <v>2078.8359999999998</v>
      </c>
      <c r="M313" s="6">
        <v>2078.8359999999998</v>
      </c>
      <c r="N313" s="6">
        <v>0</v>
      </c>
      <c r="O313" s="6">
        <v>0</v>
      </c>
      <c r="P313" s="6">
        <v>0</v>
      </c>
      <c r="Q313" s="4" t="s">
        <v>53</v>
      </c>
      <c r="R313" s="4">
        <v>0</v>
      </c>
      <c r="S313" s="4" t="s">
        <v>155</v>
      </c>
      <c r="U313" s="4">
        <v>0</v>
      </c>
      <c r="V313" s="4">
        <v>20</v>
      </c>
      <c r="W313" s="4">
        <v>0</v>
      </c>
    </row>
    <row r="314" spans="1:23" ht="11.25" customHeight="1" x14ac:dyDescent="0.25">
      <c r="A314" s="4" t="s">
        <v>21</v>
      </c>
      <c r="B314" s="4" t="s">
        <v>33</v>
      </c>
      <c r="C314" s="4" t="s">
        <v>34</v>
      </c>
      <c r="D314" s="4" t="s">
        <v>40</v>
      </c>
      <c r="E314" s="4" t="s">
        <v>25</v>
      </c>
      <c r="F314" s="4" t="s">
        <v>54</v>
      </c>
      <c r="G314" s="4" t="s">
        <v>25</v>
      </c>
      <c r="H314" s="4" t="s">
        <v>35</v>
      </c>
      <c r="I314" s="5">
        <v>44409</v>
      </c>
      <c r="J314" s="6">
        <v>0</v>
      </c>
      <c r="K314" s="6">
        <v>0</v>
      </c>
      <c r="L314" s="6">
        <v>2262.5709999999999</v>
      </c>
      <c r="M314" s="6">
        <v>2262.5709999999999</v>
      </c>
      <c r="N314" s="6">
        <v>0</v>
      </c>
      <c r="O314" s="6">
        <v>0</v>
      </c>
      <c r="P314" s="6">
        <v>0</v>
      </c>
      <c r="Q314" s="4" t="s">
        <v>53</v>
      </c>
      <c r="R314" s="4">
        <v>0</v>
      </c>
      <c r="S314" s="4" t="s">
        <v>156</v>
      </c>
      <c r="U314" s="4">
        <v>0</v>
      </c>
      <c r="V314" s="4">
        <v>20</v>
      </c>
      <c r="W314" s="4">
        <v>0</v>
      </c>
    </row>
    <row r="315" spans="1:23" ht="11.25" customHeight="1" x14ac:dyDescent="0.25">
      <c r="A315" s="4" t="s">
        <v>21</v>
      </c>
      <c r="B315" s="4" t="s">
        <v>33</v>
      </c>
      <c r="C315" s="4" t="s">
        <v>34</v>
      </c>
      <c r="D315" s="4" t="s">
        <v>40</v>
      </c>
      <c r="E315" s="4" t="s">
        <v>25</v>
      </c>
      <c r="F315" s="4" t="s">
        <v>54</v>
      </c>
      <c r="G315" s="4" t="s">
        <v>25</v>
      </c>
      <c r="H315" s="4" t="s">
        <v>35</v>
      </c>
      <c r="I315" s="5">
        <v>44440</v>
      </c>
      <c r="J315" s="6">
        <v>0</v>
      </c>
      <c r="K315" s="6">
        <v>0</v>
      </c>
      <c r="L315" s="6">
        <v>1877.665</v>
      </c>
      <c r="M315" s="6">
        <v>1877.665</v>
      </c>
      <c r="N315" s="6">
        <v>0</v>
      </c>
      <c r="O315" s="6">
        <v>0</v>
      </c>
      <c r="P315" s="6">
        <v>0</v>
      </c>
      <c r="Q315" s="4" t="s">
        <v>53</v>
      </c>
      <c r="R315" s="4">
        <v>0</v>
      </c>
      <c r="S315" s="4" t="s">
        <v>157</v>
      </c>
      <c r="U315" s="4">
        <v>0</v>
      </c>
      <c r="V315" s="4">
        <v>20</v>
      </c>
      <c r="W315" s="4">
        <v>0</v>
      </c>
    </row>
    <row r="316" spans="1:23" ht="11.25" customHeight="1" x14ac:dyDescent="0.25">
      <c r="A316" s="4" t="s">
        <v>21</v>
      </c>
      <c r="B316" s="4" t="s">
        <v>33</v>
      </c>
      <c r="C316" s="4" t="s">
        <v>34</v>
      </c>
      <c r="D316" s="4" t="s">
        <v>40</v>
      </c>
      <c r="E316" s="4" t="s">
        <v>25</v>
      </c>
      <c r="F316" s="4" t="s">
        <v>54</v>
      </c>
      <c r="G316" s="4" t="s">
        <v>25</v>
      </c>
      <c r="H316" s="4" t="s">
        <v>35</v>
      </c>
      <c r="I316" s="5">
        <v>44470</v>
      </c>
      <c r="J316" s="6">
        <v>0</v>
      </c>
      <c r="K316" s="6">
        <v>0</v>
      </c>
      <c r="L316" s="6">
        <v>2452.4029999999998</v>
      </c>
      <c r="M316" s="6">
        <v>2452.4029999999998</v>
      </c>
      <c r="N316" s="6">
        <v>0</v>
      </c>
      <c r="O316" s="6">
        <v>0</v>
      </c>
      <c r="P316" s="6">
        <v>0</v>
      </c>
      <c r="Q316" s="4" t="s">
        <v>53</v>
      </c>
      <c r="R316" s="4">
        <v>0</v>
      </c>
      <c r="S316" s="4" t="s">
        <v>158</v>
      </c>
      <c r="U316" s="4">
        <v>0</v>
      </c>
      <c r="V316" s="4">
        <v>20</v>
      </c>
      <c r="W316" s="4">
        <v>0</v>
      </c>
    </row>
    <row r="317" spans="1:23" ht="11.25" customHeight="1" x14ac:dyDescent="0.25">
      <c r="A317" s="4" t="s">
        <v>21</v>
      </c>
      <c r="B317" s="4" t="s">
        <v>33</v>
      </c>
      <c r="C317" s="4" t="s">
        <v>34</v>
      </c>
      <c r="D317" s="4" t="s">
        <v>40</v>
      </c>
      <c r="E317" s="4" t="s">
        <v>25</v>
      </c>
      <c r="F317" s="4" t="s">
        <v>54</v>
      </c>
      <c r="G317" s="4" t="s">
        <v>25</v>
      </c>
      <c r="H317" s="4" t="s">
        <v>35</v>
      </c>
      <c r="I317" s="5">
        <v>44501</v>
      </c>
      <c r="J317" s="6">
        <v>0</v>
      </c>
      <c r="K317" s="6">
        <v>0</v>
      </c>
      <c r="L317" s="6">
        <v>2507.5810000000001</v>
      </c>
      <c r="M317" s="6">
        <v>2507.5810000000001</v>
      </c>
      <c r="N317" s="6">
        <v>0</v>
      </c>
      <c r="O317" s="6">
        <v>0</v>
      </c>
      <c r="P317" s="6">
        <v>0</v>
      </c>
      <c r="Q317" s="4" t="s">
        <v>53</v>
      </c>
      <c r="R317" s="4">
        <v>0</v>
      </c>
      <c r="S317" s="4" t="s">
        <v>159</v>
      </c>
      <c r="U317" s="4">
        <v>0</v>
      </c>
      <c r="V317" s="4">
        <v>20</v>
      </c>
      <c r="W317" s="4">
        <v>0</v>
      </c>
    </row>
    <row r="318" spans="1:23" ht="11.25" customHeight="1" x14ac:dyDescent="0.25">
      <c r="A318" s="4" t="s">
        <v>21</v>
      </c>
      <c r="B318" s="4" t="s">
        <v>33</v>
      </c>
      <c r="C318" s="4" t="s">
        <v>34</v>
      </c>
      <c r="D318" s="4" t="s">
        <v>40</v>
      </c>
      <c r="E318" s="4" t="s">
        <v>25</v>
      </c>
      <c r="F318" s="4" t="s">
        <v>54</v>
      </c>
      <c r="G318" s="4" t="s">
        <v>25</v>
      </c>
      <c r="H318" s="4" t="s">
        <v>35</v>
      </c>
      <c r="I318" s="5">
        <v>44531</v>
      </c>
      <c r="J318" s="6">
        <v>0</v>
      </c>
      <c r="K318" s="6">
        <v>0</v>
      </c>
      <c r="L318" s="6">
        <v>2568.9499999999998</v>
      </c>
      <c r="M318" s="6">
        <v>2568.9499999999998</v>
      </c>
      <c r="N318" s="6">
        <v>0</v>
      </c>
      <c r="O318" s="6">
        <v>0</v>
      </c>
      <c r="P318" s="6">
        <v>0</v>
      </c>
      <c r="Q318" s="4" t="s">
        <v>53</v>
      </c>
      <c r="R318" s="4">
        <v>0</v>
      </c>
      <c r="S318" s="4" t="s">
        <v>160</v>
      </c>
      <c r="U318" s="4">
        <v>0</v>
      </c>
      <c r="V318" s="4">
        <v>20</v>
      </c>
      <c r="W318" s="4">
        <v>0</v>
      </c>
    </row>
    <row r="319" spans="1:23" ht="11.25" customHeight="1" x14ac:dyDescent="0.25">
      <c r="A319" s="4" t="s">
        <v>21</v>
      </c>
      <c r="B319" s="4" t="s">
        <v>33</v>
      </c>
      <c r="C319" s="4" t="s">
        <v>34</v>
      </c>
      <c r="D319" s="4" t="s">
        <v>40</v>
      </c>
      <c r="E319" s="4" t="s">
        <v>25</v>
      </c>
      <c r="F319" s="4" t="s">
        <v>54</v>
      </c>
      <c r="G319" s="4" t="s">
        <v>25</v>
      </c>
      <c r="H319" s="4" t="s">
        <v>35</v>
      </c>
      <c r="I319" s="5">
        <v>44562</v>
      </c>
      <c r="J319" s="6">
        <v>0</v>
      </c>
      <c r="K319" s="6">
        <v>0</v>
      </c>
      <c r="L319" s="6">
        <v>2392.5479999999998</v>
      </c>
      <c r="M319" s="6">
        <v>2392.5479999999998</v>
      </c>
      <c r="N319" s="6">
        <v>0</v>
      </c>
      <c r="O319" s="6">
        <v>0</v>
      </c>
      <c r="P319" s="6">
        <v>0</v>
      </c>
      <c r="Q319" s="4" t="s">
        <v>53</v>
      </c>
      <c r="R319" s="4">
        <v>0</v>
      </c>
      <c r="S319" s="4" t="s">
        <v>161</v>
      </c>
      <c r="U319" s="4">
        <v>0</v>
      </c>
      <c r="V319" s="4">
        <v>20</v>
      </c>
      <c r="W319" s="4">
        <v>0</v>
      </c>
    </row>
    <row r="320" spans="1:23" ht="11.25" customHeight="1" x14ac:dyDescent="0.25">
      <c r="A320" s="4" t="s">
        <v>21</v>
      </c>
      <c r="B320" s="4" t="s">
        <v>33</v>
      </c>
      <c r="C320" s="4" t="s">
        <v>34</v>
      </c>
      <c r="D320" s="4" t="s">
        <v>40</v>
      </c>
      <c r="E320" s="4" t="s">
        <v>25</v>
      </c>
      <c r="F320" s="4" t="s">
        <v>54</v>
      </c>
      <c r="G320" s="4" t="s">
        <v>25</v>
      </c>
      <c r="H320" s="4" t="s">
        <v>35</v>
      </c>
      <c r="I320" s="5">
        <v>44593</v>
      </c>
      <c r="J320" s="6">
        <v>0</v>
      </c>
      <c r="K320" s="6">
        <v>0</v>
      </c>
      <c r="L320" s="6">
        <v>2477.0079999999998</v>
      </c>
      <c r="M320" s="6">
        <v>2477.0079999999998</v>
      </c>
      <c r="N320" s="6">
        <v>0</v>
      </c>
      <c r="O320" s="6">
        <v>0</v>
      </c>
      <c r="P320" s="6">
        <v>0</v>
      </c>
      <c r="Q320" s="4" t="s">
        <v>53</v>
      </c>
      <c r="R320" s="4">
        <v>0</v>
      </c>
      <c r="S320" s="4" t="s">
        <v>162</v>
      </c>
      <c r="U320" s="4">
        <v>0</v>
      </c>
      <c r="V320" s="4">
        <v>20</v>
      </c>
      <c r="W320" s="4">
        <v>0</v>
      </c>
    </row>
    <row r="321" spans="1:23" ht="11.25" customHeight="1" x14ac:dyDescent="0.25">
      <c r="A321" s="4" t="s">
        <v>21</v>
      </c>
      <c r="B321" s="4" t="s">
        <v>33</v>
      </c>
      <c r="C321" s="4" t="s">
        <v>34</v>
      </c>
      <c r="D321" s="4" t="s">
        <v>40</v>
      </c>
      <c r="E321" s="4" t="s">
        <v>25</v>
      </c>
      <c r="F321" s="4" t="s">
        <v>54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2495.9270000000001</v>
      </c>
      <c r="M321" s="6">
        <v>2495.9270000000001</v>
      </c>
      <c r="N321" s="6">
        <v>0</v>
      </c>
      <c r="O321" s="6">
        <v>0</v>
      </c>
      <c r="P321" s="6">
        <v>0</v>
      </c>
      <c r="Q321" s="4" t="s">
        <v>53</v>
      </c>
      <c r="R321" s="4">
        <v>0</v>
      </c>
      <c r="S321" s="4" t="s">
        <v>163</v>
      </c>
      <c r="U321" s="4">
        <v>0</v>
      </c>
      <c r="V321" s="4">
        <v>20</v>
      </c>
      <c r="W321" s="4">
        <v>0</v>
      </c>
    </row>
    <row r="322" spans="1:23" ht="11.25" customHeight="1" x14ac:dyDescent="0.25">
      <c r="A322" s="4" t="s">
        <v>21</v>
      </c>
      <c r="B322" s="4" t="s">
        <v>33</v>
      </c>
      <c r="C322" s="4" t="s">
        <v>34</v>
      </c>
      <c r="D322" s="4" t="s">
        <v>40</v>
      </c>
      <c r="E322" s="4" t="s">
        <v>25</v>
      </c>
      <c r="F322" s="4" t="s">
        <v>54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2841.056</v>
      </c>
      <c r="M322" s="6">
        <v>2841.056</v>
      </c>
      <c r="N322" s="6">
        <v>0</v>
      </c>
      <c r="O322" s="6">
        <v>0</v>
      </c>
      <c r="P322" s="6">
        <v>0</v>
      </c>
      <c r="Q322" s="4" t="s">
        <v>53</v>
      </c>
      <c r="R322" s="4">
        <v>0</v>
      </c>
      <c r="S322" s="4" t="s">
        <v>164</v>
      </c>
      <c r="U322" s="4">
        <v>0</v>
      </c>
      <c r="V322" s="4">
        <v>20</v>
      </c>
      <c r="W322" s="4">
        <v>0</v>
      </c>
    </row>
    <row r="323" spans="1:23" ht="11.25" customHeight="1" x14ac:dyDescent="0.25">
      <c r="A323" s="4" t="s">
        <v>21</v>
      </c>
      <c r="B323" s="4" t="s">
        <v>33</v>
      </c>
      <c r="C323" s="4" t="s">
        <v>34</v>
      </c>
      <c r="D323" s="4" t="s">
        <v>40</v>
      </c>
      <c r="E323" s="4" t="s">
        <v>25</v>
      </c>
      <c r="F323" s="4" t="s">
        <v>54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1900.19</v>
      </c>
      <c r="M323" s="6">
        <v>1900.19</v>
      </c>
      <c r="N323" s="6">
        <v>0</v>
      </c>
      <c r="O323" s="6">
        <v>0</v>
      </c>
      <c r="P323" s="6">
        <v>0</v>
      </c>
      <c r="Q323" s="4" t="s">
        <v>53</v>
      </c>
      <c r="R323" s="4">
        <v>0</v>
      </c>
      <c r="S323" s="4" t="s">
        <v>165</v>
      </c>
      <c r="U323" s="4">
        <v>0</v>
      </c>
      <c r="V323" s="4">
        <v>20</v>
      </c>
      <c r="W323" s="4">
        <v>0</v>
      </c>
    </row>
    <row r="324" spans="1:23" ht="11.25" customHeight="1" x14ac:dyDescent="0.25">
      <c r="A324" s="4" t="s">
        <v>21</v>
      </c>
      <c r="B324" s="4" t="s">
        <v>33</v>
      </c>
      <c r="C324" s="4" t="s">
        <v>34</v>
      </c>
      <c r="D324" s="4" t="s">
        <v>40</v>
      </c>
      <c r="E324" s="4" t="s">
        <v>25</v>
      </c>
      <c r="F324" s="4" t="s">
        <v>54</v>
      </c>
      <c r="G324" s="4" t="s">
        <v>25</v>
      </c>
      <c r="H324" s="4" t="s">
        <v>25</v>
      </c>
      <c r="I324" s="5">
        <v>44348</v>
      </c>
      <c r="J324" s="6">
        <v>6743</v>
      </c>
      <c r="K324" s="6">
        <v>3371.5</v>
      </c>
      <c r="L324" s="6">
        <v>0</v>
      </c>
      <c r="M324" s="6">
        <v>0</v>
      </c>
      <c r="N324" s="6">
        <v>0</v>
      </c>
      <c r="O324" s="6">
        <v>0</v>
      </c>
      <c r="P324" s="6">
        <v>10</v>
      </c>
      <c r="Q324" s="4" t="s">
        <v>53</v>
      </c>
      <c r="R324" s="4">
        <v>0</v>
      </c>
      <c r="S324" s="4" t="s">
        <v>166</v>
      </c>
      <c r="U324" s="4">
        <v>18</v>
      </c>
      <c r="V324" s="4">
        <v>0</v>
      </c>
      <c r="W324" s="4">
        <v>0</v>
      </c>
    </row>
    <row r="325" spans="1:23" ht="11.25" customHeight="1" x14ac:dyDescent="0.25">
      <c r="A325" s="4" t="s">
        <v>21</v>
      </c>
      <c r="B325" s="4" t="s">
        <v>33</v>
      </c>
      <c r="C325" s="4" t="s">
        <v>34</v>
      </c>
      <c r="D325" s="4" t="s">
        <v>40</v>
      </c>
      <c r="E325" s="4" t="s">
        <v>25</v>
      </c>
      <c r="F325" s="4" t="s">
        <v>54</v>
      </c>
      <c r="G325" s="4" t="s">
        <v>25</v>
      </c>
      <c r="H325" s="4" t="s">
        <v>25</v>
      </c>
      <c r="I325" s="5">
        <v>44378</v>
      </c>
      <c r="J325" s="6">
        <v>6840</v>
      </c>
      <c r="K325" s="6">
        <v>3420</v>
      </c>
      <c r="L325" s="6">
        <v>0</v>
      </c>
      <c r="M325" s="6">
        <v>0</v>
      </c>
      <c r="N325" s="6">
        <v>0</v>
      </c>
      <c r="O325" s="6">
        <v>0</v>
      </c>
      <c r="P325" s="6">
        <v>10</v>
      </c>
      <c r="Q325" s="4" t="s">
        <v>53</v>
      </c>
      <c r="R325" s="4">
        <v>0</v>
      </c>
      <c r="S325" s="4" t="s">
        <v>167</v>
      </c>
      <c r="U325" s="4">
        <v>18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33</v>
      </c>
      <c r="C326" s="4" t="s">
        <v>34</v>
      </c>
      <c r="D326" s="4" t="s">
        <v>40</v>
      </c>
      <c r="E326" s="4" t="s">
        <v>25</v>
      </c>
      <c r="F326" s="4" t="s">
        <v>54</v>
      </c>
      <c r="G326" s="4" t="s">
        <v>25</v>
      </c>
      <c r="H326" s="4" t="s">
        <v>25</v>
      </c>
      <c r="I326" s="5">
        <v>44409</v>
      </c>
      <c r="J326" s="6">
        <v>6855</v>
      </c>
      <c r="K326" s="6">
        <v>3427.5</v>
      </c>
      <c r="L326" s="6">
        <v>0</v>
      </c>
      <c r="M326" s="6">
        <v>0</v>
      </c>
      <c r="N326" s="6">
        <v>0</v>
      </c>
      <c r="O326" s="6">
        <v>0</v>
      </c>
      <c r="P326" s="6">
        <v>10</v>
      </c>
      <c r="Q326" s="4" t="s">
        <v>53</v>
      </c>
      <c r="R326" s="4">
        <v>0</v>
      </c>
      <c r="S326" s="4" t="s">
        <v>168</v>
      </c>
      <c r="U326" s="4">
        <v>18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33</v>
      </c>
      <c r="C327" s="4" t="s">
        <v>34</v>
      </c>
      <c r="D327" s="4" t="s">
        <v>40</v>
      </c>
      <c r="E327" s="4" t="s">
        <v>25</v>
      </c>
      <c r="F327" s="4" t="s">
        <v>54</v>
      </c>
      <c r="G327" s="4" t="s">
        <v>25</v>
      </c>
      <c r="H327" s="4" t="s">
        <v>25</v>
      </c>
      <c r="I327" s="5">
        <v>44440</v>
      </c>
      <c r="J327" s="6">
        <v>5195</v>
      </c>
      <c r="K327" s="6">
        <v>2597.5</v>
      </c>
      <c r="L327" s="6">
        <v>0</v>
      </c>
      <c r="M327" s="6">
        <v>0</v>
      </c>
      <c r="N327" s="6">
        <v>0</v>
      </c>
      <c r="O327" s="6">
        <v>0</v>
      </c>
      <c r="P327" s="6">
        <v>10</v>
      </c>
      <c r="Q327" s="4" t="s">
        <v>53</v>
      </c>
      <c r="R327" s="4">
        <v>0</v>
      </c>
      <c r="S327" s="4" t="s">
        <v>169</v>
      </c>
      <c r="U327" s="4">
        <v>18</v>
      </c>
      <c r="V327" s="4">
        <v>0</v>
      </c>
      <c r="W327" s="4">
        <v>0</v>
      </c>
    </row>
    <row r="328" spans="1:23" ht="11.25" customHeight="1" x14ac:dyDescent="0.25">
      <c r="A328" s="4" t="s">
        <v>21</v>
      </c>
      <c r="B328" s="4" t="s">
        <v>33</v>
      </c>
      <c r="C328" s="4" t="s">
        <v>34</v>
      </c>
      <c r="D328" s="4" t="s">
        <v>40</v>
      </c>
      <c r="E328" s="4" t="s">
        <v>25</v>
      </c>
      <c r="F328" s="4" t="s">
        <v>54</v>
      </c>
      <c r="G328" s="4" t="s">
        <v>25</v>
      </c>
      <c r="H328" s="4" t="s">
        <v>25</v>
      </c>
      <c r="I328" s="5">
        <v>44470</v>
      </c>
      <c r="J328" s="6">
        <v>6646</v>
      </c>
      <c r="K328" s="6">
        <v>3323</v>
      </c>
      <c r="L328" s="6">
        <v>0</v>
      </c>
      <c r="M328" s="6">
        <v>0</v>
      </c>
      <c r="N328" s="6">
        <v>0</v>
      </c>
      <c r="O328" s="6">
        <v>0</v>
      </c>
      <c r="P328" s="6">
        <v>11</v>
      </c>
      <c r="Q328" s="4" t="s">
        <v>53</v>
      </c>
      <c r="R328" s="4">
        <v>0</v>
      </c>
      <c r="S328" s="4" t="s">
        <v>170</v>
      </c>
      <c r="U328" s="4">
        <v>18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33</v>
      </c>
      <c r="C329" s="4" t="s">
        <v>34</v>
      </c>
      <c r="D329" s="4" t="s">
        <v>40</v>
      </c>
      <c r="E329" s="4" t="s">
        <v>25</v>
      </c>
      <c r="F329" s="4" t="s">
        <v>54</v>
      </c>
      <c r="G329" s="4" t="s">
        <v>25</v>
      </c>
      <c r="H329" s="4" t="s">
        <v>25</v>
      </c>
      <c r="I329" s="5">
        <v>44501</v>
      </c>
      <c r="J329" s="6">
        <v>6803</v>
      </c>
      <c r="K329" s="6">
        <v>3401.5</v>
      </c>
      <c r="L329" s="6">
        <v>0</v>
      </c>
      <c r="M329" s="6">
        <v>0</v>
      </c>
      <c r="N329" s="6">
        <v>0</v>
      </c>
      <c r="O329" s="6">
        <v>0</v>
      </c>
      <c r="P329" s="6">
        <v>12</v>
      </c>
      <c r="Q329" s="4" t="s">
        <v>53</v>
      </c>
      <c r="R329" s="4">
        <v>0</v>
      </c>
      <c r="S329" s="4" t="s">
        <v>171</v>
      </c>
      <c r="U329" s="4">
        <v>18</v>
      </c>
      <c r="V329" s="4">
        <v>0</v>
      </c>
      <c r="W329" s="4">
        <v>0</v>
      </c>
    </row>
    <row r="330" spans="1:23" ht="11.25" customHeight="1" x14ac:dyDescent="0.25">
      <c r="A330" s="4" t="s">
        <v>21</v>
      </c>
      <c r="B330" s="4" t="s">
        <v>33</v>
      </c>
      <c r="C330" s="4" t="s">
        <v>34</v>
      </c>
      <c r="D330" s="4" t="s">
        <v>40</v>
      </c>
      <c r="E330" s="4" t="s">
        <v>25</v>
      </c>
      <c r="F330" s="4" t="s">
        <v>54</v>
      </c>
      <c r="G330" s="4" t="s">
        <v>25</v>
      </c>
      <c r="H330" s="4" t="s">
        <v>25</v>
      </c>
      <c r="I330" s="5">
        <v>44531</v>
      </c>
      <c r="J330" s="6">
        <v>6862</v>
      </c>
      <c r="K330" s="6">
        <v>3431</v>
      </c>
      <c r="L330" s="6">
        <v>0</v>
      </c>
      <c r="M330" s="6">
        <v>0</v>
      </c>
      <c r="N330" s="6">
        <v>0</v>
      </c>
      <c r="O330" s="6">
        <v>0</v>
      </c>
      <c r="P330" s="6">
        <v>12</v>
      </c>
      <c r="Q330" s="4" t="s">
        <v>53</v>
      </c>
      <c r="R330" s="4">
        <v>0</v>
      </c>
      <c r="S330" s="4" t="s">
        <v>172</v>
      </c>
      <c r="U330" s="4">
        <v>18</v>
      </c>
      <c r="V330" s="4">
        <v>0</v>
      </c>
      <c r="W330" s="4">
        <v>0</v>
      </c>
    </row>
    <row r="331" spans="1:23" ht="11.25" customHeight="1" x14ac:dyDescent="0.25">
      <c r="A331" s="4" t="s">
        <v>21</v>
      </c>
      <c r="B331" s="4" t="s">
        <v>33</v>
      </c>
      <c r="C331" s="4" t="s">
        <v>34</v>
      </c>
      <c r="D331" s="4" t="s">
        <v>40</v>
      </c>
      <c r="E331" s="4" t="s">
        <v>25</v>
      </c>
      <c r="F331" s="4" t="s">
        <v>54</v>
      </c>
      <c r="G331" s="4" t="s">
        <v>25</v>
      </c>
      <c r="H331" s="4" t="s">
        <v>25</v>
      </c>
      <c r="I331" s="5">
        <v>44562</v>
      </c>
      <c r="J331" s="6">
        <v>6817</v>
      </c>
      <c r="K331" s="6">
        <v>3408.5</v>
      </c>
      <c r="L331" s="6">
        <v>0</v>
      </c>
      <c r="M331" s="6">
        <v>0</v>
      </c>
      <c r="N331" s="6">
        <v>0</v>
      </c>
      <c r="O331" s="6">
        <v>0</v>
      </c>
      <c r="P331" s="6">
        <v>12</v>
      </c>
      <c r="Q331" s="4" t="s">
        <v>53</v>
      </c>
      <c r="R331" s="4">
        <v>0</v>
      </c>
      <c r="S331" s="4" t="s">
        <v>173</v>
      </c>
      <c r="U331" s="4">
        <v>18</v>
      </c>
      <c r="V331" s="4">
        <v>0</v>
      </c>
      <c r="W331" s="4">
        <v>0</v>
      </c>
    </row>
    <row r="332" spans="1:23" ht="11.25" customHeight="1" x14ac:dyDescent="0.25">
      <c r="A332" s="4" t="s">
        <v>21</v>
      </c>
      <c r="B332" s="4" t="s">
        <v>33</v>
      </c>
      <c r="C332" s="4" t="s">
        <v>34</v>
      </c>
      <c r="D332" s="4" t="s">
        <v>40</v>
      </c>
      <c r="E332" s="4" t="s">
        <v>25</v>
      </c>
      <c r="F332" s="4" t="s">
        <v>54</v>
      </c>
      <c r="G332" s="4" t="s">
        <v>25</v>
      </c>
      <c r="H332" s="4" t="s">
        <v>25</v>
      </c>
      <c r="I332" s="5">
        <v>44593</v>
      </c>
      <c r="J332" s="6">
        <v>6956</v>
      </c>
      <c r="K332" s="6">
        <v>3478</v>
      </c>
      <c r="L332" s="6">
        <v>0</v>
      </c>
      <c r="M332" s="6">
        <v>0</v>
      </c>
      <c r="N332" s="6">
        <v>0</v>
      </c>
      <c r="O332" s="6">
        <v>0</v>
      </c>
      <c r="P332" s="6">
        <v>12</v>
      </c>
      <c r="Q332" s="4" t="s">
        <v>53</v>
      </c>
      <c r="R332" s="4">
        <v>0</v>
      </c>
      <c r="S332" s="4" t="s">
        <v>174</v>
      </c>
      <c r="U332" s="4">
        <v>18</v>
      </c>
      <c r="V332" s="4">
        <v>0</v>
      </c>
      <c r="W332" s="4">
        <v>0</v>
      </c>
    </row>
    <row r="333" spans="1:23" ht="11.25" customHeight="1" x14ac:dyDescent="0.25">
      <c r="A333" s="4" t="s">
        <v>21</v>
      </c>
      <c r="B333" s="4" t="s">
        <v>33</v>
      </c>
      <c r="C333" s="4" t="s">
        <v>34</v>
      </c>
      <c r="D333" s="4" t="s">
        <v>40</v>
      </c>
      <c r="E333" s="4" t="s">
        <v>25</v>
      </c>
      <c r="F333" s="4" t="s">
        <v>54</v>
      </c>
      <c r="G333" s="4" t="s">
        <v>25</v>
      </c>
      <c r="H333" s="4" t="s">
        <v>25</v>
      </c>
      <c r="I333" s="5">
        <v>44621</v>
      </c>
      <c r="J333" s="6">
        <v>6826</v>
      </c>
      <c r="K333" s="6">
        <v>3413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53</v>
      </c>
      <c r="R333" s="4">
        <v>0</v>
      </c>
      <c r="S333" s="4" t="s">
        <v>175</v>
      </c>
      <c r="U333" s="4">
        <v>18</v>
      </c>
      <c r="V333" s="4">
        <v>0</v>
      </c>
      <c r="W333" s="4">
        <v>0</v>
      </c>
    </row>
    <row r="334" spans="1:23" ht="11.25" customHeight="1" x14ac:dyDescent="0.25">
      <c r="A334" s="4" t="s">
        <v>21</v>
      </c>
      <c r="B334" s="4" t="s">
        <v>33</v>
      </c>
      <c r="C334" s="4" t="s">
        <v>34</v>
      </c>
      <c r="D334" s="4" t="s">
        <v>40</v>
      </c>
      <c r="E334" s="4" t="s">
        <v>25</v>
      </c>
      <c r="F334" s="4" t="s">
        <v>54</v>
      </c>
      <c r="G334" s="4" t="s">
        <v>25</v>
      </c>
      <c r="H334" s="4" t="s">
        <v>25</v>
      </c>
      <c r="I334" s="5">
        <v>44652</v>
      </c>
      <c r="J334" s="6">
        <v>7054</v>
      </c>
      <c r="K334" s="6">
        <v>3527</v>
      </c>
      <c r="L334" s="6">
        <v>0</v>
      </c>
      <c r="M334" s="6">
        <v>0</v>
      </c>
      <c r="N334" s="6">
        <v>0</v>
      </c>
      <c r="O334" s="6">
        <v>0</v>
      </c>
      <c r="P334" s="6">
        <v>12</v>
      </c>
      <c r="Q334" s="4" t="s">
        <v>53</v>
      </c>
      <c r="R334" s="4">
        <v>0</v>
      </c>
      <c r="S334" s="4" t="s">
        <v>176</v>
      </c>
      <c r="U334" s="4">
        <v>18</v>
      </c>
      <c r="V334" s="4">
        <v>0</v>
      </c>
      <c r="W334" s="4">
        <v>0</v>
      </c>
    </row>
    <row r="335" spans="1:23" ht="11.25" customHeight="1" x14ac:dyDescent="0.25">
      <c r="A335" s="4" t="s">
        <v>21</v>
      </c>
      <c r="B335" s="4" t="s">
        <v>33</v>
      </c>
      <c r="C335" s="4" t="s">
        <v>34</v>
      </c>
      <c r="D335" s="4" t="s">
        <v>40</v>
      </c>
      <c r="E335" s="4" t="s">
        <v>25</v>
      </c>
      <c r="F335" s="4" t="s">
        <v>54</v>
      </c>
      <c r="G335" s="4" t="s">
        <v>25</v>
      </c>
      <c r="H335" s="4" t="s">
        <v>25</v>
      </c>
      <c r="I335" s="5">
        <v>44682</v>
      </c>
      <c r="J335" s="6">
        <v>5327</v>
      </c>
      <c r="K335" s="6">
        <v>2663.5</v>
      </c>
      <c r="L335" s="6">
        <v>0</v>
      </c>
      <c r="M335" s="6">
        <v>0</v>
      </c>
      <c r="N335" s="6">
        <v>0</v>
      </c>
      <c r="O335" s="6">
        <v>0</v>
      </c>
      <c r="P335" s="6">
        <v>11</v>
      </c>
      <c r="Q335" s="4" t="s">
        <v>53</v>
      </c>
      <c r="R335" s="4">
        <v>0</v>
      </c>
      <c r="S335" s="4" t="s">
        <v>177</v>
      </c>
      <c r="U335" s="4">
        <v>18</v>
      </c>
      <c r="V335" s="4">
        <v>0</v>
      </c>
      <c r="W335" s="4">
        <v>0</v>
      </c>
    </row>
    <row r="336" spans="1:23" ht="11.25" customHeight="1" x14ac:dyDescent="0.25">
      <c r="A336" s="4" t="s">
        <v>21</v>
      </c>
      <c r="B336" s="4" t="s">
        <v>33</v>
      </c>
      <c r="C336" s="4" t="s">
        <v>34</v>
      </c>
      <c r="D336" s="4" t="s">
        <v>40</v>
      </c>
      <c r="E336" s="4" t="s">
        <v>25</v>
      </c>
      <c r="F336" s="4" t="s">
        <v>54</v>
      </c>
      <c r="G336" s="4" t="s">
        <v>25</v>
      </c>
      <c r="H336" s="4" t="s">
        <v>37</v>
      </c>
      <c r="I336" s="5">
        <v>44348</v>
      </c>
      <c r="J336" s="6">
        <v>0</v>
      </c>
      <c r="K336" s="6">
        <v>0</v>
      </c>
      <c r="L336" s="6">
        <v>226.70599999999999</v>
      </c>
      <c r="M336" s="6">
        <v>113.35299999999999</v>
      </c>
      <c r="N336" s="6">
        <v>0</v>
      </c>
      <c r="O336" s="6">
        <v>0</v>
      </c>
      <c r="P336" s="6">
        <v>0</v>
      </c>
      <c r="Q336" s="4" t="s">
        <v>53</v>
      </c>
      <c r="R336" s="4">
        <v>0</v>
      </c>
      <c r="S336" s="4" t="s">
        <v>178</v>
      </c>
      <c r="U336" s="4">
        <v>0</v>
      </c>
      <c r="V336" s="4">
        <v>19</v>
      </c>
      <c r="W336" s="4">
        <v>0</v>
      </c>
    </row>
    <row r="337" spans="1:23" ht="11.25" customHeight="1" x14ac:dyDescent="0.25">
      <c r="A337" s="4" t="s">
        <v>21</v>
      </c>
      <c r="B337" s="4" t="s">
        <v>33</v>
      </c>
      <c r="C337" s="4" t="s">
        <v>34</v>
      </c>
      <c r="D337" s="4" t="s">
        <v>40</v>
      </c>
      <c r="E337" s="4" t="s">
        <v>25</v>
      </c>
      <c r="F337" s="4" t="s">
        <v>54</v>
      </c>
      <c r="G337" s="4" t="s">
        <v>25</v>
      </c>
      <c r="H337" s="4" t="s">
        <v>37</v>
      </c>
      <c r="I337" s="5">
        <v>44378</v>
      </c>
      <c r="J337" s="6">
        <v>0</v>
      </c>
      <c r="K337" s="6">
        <v>0</v>
      </c>
      <c r="L337" s="6">
        <v>222.68600000000001</v>
      </c>
      <c r="M337" s="6">
        <v>111.343</v>
      </c>
      <c r="N337" s="6">
        <v>0</v>
      </c>
      <c r="O337" s="6">
        <v>0</v>
      </c>
      <c r="P337" s="6">
        <v>0</v>
      </c>
      <c r="Q337" s="4" t="s">
        <v>53</v>
      </c>
      <c r="R337" s="4">
        <v>0</v>
      </c>
      <c r="S337" s="4" t="s">
        <v>179</v>
      </c>
      <c r="U337" s="4">
        <v>0</v>
      </c>
      <c r="V337" s="4">
        <v>19</v>
      </c>
      <c r="W337" s="4">
        <v>0</v>
      </c>
    </row>
    <row r="338" spans="1:23" ht="11.25" customHeight="1" x14ac:dyDescent="0.25">
      <c r="A338" s="4" t="s">
        <v>21</v>
      </c>
      <c r="B338" s="4" t="s">
        <v>33</v>
      </c>
      <c r="C338" s="4" t="s">
        <v>34</v>
      </c>
      <c r="D338" s="4" t="s">
        <v>40</v>
      </c>
      <c r="E338" s="4" t="s">
        <v>25</v>
      </c>
      <c r="F338" s="4" t="s">
        <v>54</v>
      </c>
      <c r="G338" s="4" t="s">
        <v>25</v>
      </c>
      <c r="H338" s="4" t="s">
        <v>37</v>
      </c>
      <c r="I338" s="5">
        <v>44409</v>
      </c>
      <c r="J338" s="6">
        <v>0</v>
      </c>
      <c r="K338" s="6">
        <v>0</v>
      </c>
      <c r="L338" s="6">
        <v>230.55199999999999</v>
      </c>
      <c r="M338" s="6">
        <v>115.276</v>
      </c>
      <c r="N338" s="6">
        <v>0</v>
      </c>
      <c r="O338" s="6">
        <v>0</v>
      </c>
      <c r="P338" s="6">
        <v>0</v>
      </c>
      <c r="Q338" s="4" t="s">
        <v>53</v>
      </c>
      <c r="R338" s="4">
        <v>0</v>
      </c>
      <c r="S338" s="4" t="s">
        <v>180</v>
      </c>
      <c r="U338" s="4">
        <v>0</v>
      </c>
      <c r="V338" s="4">
        <v>19</v>
      </c>
      <c r="W338" s="4">
        <v>0</v>
      </c>
    </row>
    <row r="339" spans="1:23" ht="11.25" customHeight="1" x14ac:dyDescent="0.25">
      <c r="A339" s="4" t="s">
        <v>21</v>
      </c>
      <c r="B339" s="4" t="s">
        <v>33</v>
      </c>
      <c r="C339" s="4" t="s">
        <v>34</v>
      </c>
      <c r="D339" s="4" t="s">
        <v>40</v>
      </c>
      <c r="E339" s="4" t="s">
        <v>25</v>
      </c>
      <c r="F339" s="4" t="s">
        <v>54</v>
      </c>
      <c r="G339" s="4" t="s">
        <v>25</v>
      </c>
      <c r="H339" s="4" t="s">
        <v>37</v>
      </c>
      <c r="I339" s="5">
        <v>44440</v>
      </c>
      <c r="J339" s="6">
        <v>0</v>
      </c>
      <c r="K339" s="6">
        <v>0</v>
      </c>
      <c r="L339" s="6">
        <v>201.41900000000001</v>
      </c>
      <c r="M339" s="6">
        <v>100.70950000000001</v>
      </c>
      <c r="N339" s="6">
        <v>0</v>
      </c>
      <c r="O339" s="6">
        <v>0</v>
      </c>
      <c r="P339" s="6">
        <v>0</v>
      </c>
      <c r="Q339" s="4" t="s">
        <v>53</v>
      </c>
      <c r="R339" s="4">
        <v>0</v>
      </c>
      <c r="S339" s="4" t="s">
        <v>181</v>
      </c>
      <c r="U339" s="4">
        <v>0</v>
      </c>
      <c r="V339" s="4">
        <v>19</v>
      </c>
      <c r="W339" s="4">
        <v>0</v>
      </c>
    </row>
    <row r="340" spans="1:23" ht="11.25" customHeight="1" x14ac:dyDescent="0.25">
      <c r="A340" s="4" t="s">
        <v>21</v>
      </c>
      <c r="B340" s="4" t="s">
        <v>33</v>
      </c>
      <c r="C340" s="4" t="s">
        <v>34</v>
      </c>
      <c r="D340" s="4" t="s">
        <v>40</v>
      </c>
      <c r="E340" s="4" t="s">
        <v>25</v>
      </c>
      <c r="F340" s="4" t="s">
        <v>54</v>
      </c>
      <c r="G340" s="4" t="s">
        <v>25</v>
      </c>
      <c r="H340" s="4" t="s">
        <v>37</v>
      </c>
      <c r="I340" s="5">
        <v>44470</v>
      </c>
      <c r="J340" s="6">
        <v>0</v>
      </c>
      <c r="K340" s="6">
        <v>0</v>
      </c>
      <c r="L340" s="6">
        <v>266.76</v>
      </c>
      <c r="M340" s="6">
        <v>133.38</v>
      </c>
      <c r="N340" s="6">
        <v>0</v>
      </c>
      <c r="O340" s="6">
        <v>0</v>
      </c>
      <c r="P340" s="6">
        <v>0</v>
      </c>
      <c r="Q340" s="4" t="s">
        <v>53</v>
      </c>
      <c r="R340" s="4">
        <v>0</v>
      </c>
      <c r="S340" s="4" t="s">
        <v>182</v>
      </c>
      <c r="U340" s="4">
        <v>0</v>
      </c>
      <c r="V340" s="4">
        <v>19</v>
      </c>
      <c r="W340" s="4">
        <v>0</v>
      </c>
    </row>
    <row r="341" spans="1:23" ht="11.25" customHeight="1" x14ac:dyDescent="0.25">
      <c r="A341" s="4" t="s">
        <v>21</v>
      </c>
      <c r="B341" s="4" t="s">
        <v>33</v>
      </c>
      <c r="C341" s="4" t="s">
        <v>34</v>
      </c>
      <c r="D341" s="4" t="s">
        <v>40</v>
      </c>
      <c r="E341" s="4" t="s">
        <v>25</v>
      </c>
      <c r="F341" s="4" t="s">
        <v>54</v>
      </c>
      <c r="G341" s="4" t="s">
        <v>25</v>
      </c>
      <c r="H341" s="4" t="s">
        <v>37</v>
      </c>
      <c r="I341" s="5">
        <v>44501</v>
      </c>
      <c r="J341" s="6">
        <v>0</v>
      </c>
      <c r="K341" s="6">
        <v>0</v>
      </c>
      <c r="L341" s="6">
        <v>257.44299999999998</v>
      </c>
      <c r="M341" s="6">
        <v>128.72149999999999</v>
      </c>
      <c r="N341" s="6">
        <v>0</v>
      </c>
      <c r="O341" s="6">
        <v>0</v>
      </c>
      <c r="P341" s="6">
        <v>0</v>
      </c>
      <c r="Q341" s="4" t="s">
        <v>53</v>
      </c>
      <c r="R341" s="4">
        <v>0</v>
      </c>
      <c r="S341" s="4" t="s">
        <v>183</v>
      </c>
      <c r="U341" s="4">
        <v>0</v>
      </c>
      <c r="V341" s="4">
        <v>19</v>
      </c>
      <c r="W341" s="4">
        <v>0</v>
      </c>
    </row>
    <row r="342" spans="1:23" ht="11.25" customHeight="1" x14ac:dyDescent="0.25">
      <c r="A342" s="4" t="s">
        <v>21</v>
      </c>
      <c r="B342" s="4" t="s">
        <v>33</v>
      </c>
      <c r="C342" s="4" t="s">
        <v>34</v>
      </c>
      <c r="D342" s="4" t="s">
        <v>40</v>
      </c>
      <c r="E342" s="4" t="s">
        <v>25</v>
      </c>
      <c r="F342" s="4" t="s">
        <v>54</v>
      </c>
      <c r="G342" s="4" t="s">
        <v>25</v>
      </c>
      <c r="H342" s="4" t="s">
        <v>37</v>
      </c>
      <c r="I342" s="5">
        <v>44531</v>
      </c>
      <c r="J342" s="6">
        <v>0</v>
      </c>
      <c r="K342" s="6">
        <v>0</v>
      </c>
      <c r="L342" s="6">
        <v>276.63499999999999</v>
      </c>
      <c r="M342" s="6">
        <v>138.3175</v>
      </c>
      <c r="N342" s="6">
        <v>0</v>
      </c>
      <c r="O342" s="6">
        <v>0</v>
      </c>
      <c r="P342" s="6">
        <v>0</v>
      </c>
      <c r="Q342" s="4" t="s">
        <v>53</v>
      </c>
      <c r="R342" s="4">
        <v>0</v>
      </c>
      <c r="S342" s="4" t="s">
        <v>184</v>
      </c>
      <c r="U342" s="4">
        <v>0</v>
      </c>
      <c r="V342" s="4">
        <v>19</v>
      </c>
      <c r="W342" s="4">
        <v>0</v>
      </c>
    </row>
    <row r="343" spans="1:23" ht="11.25" customHeight="1" x14ac:dyDescent="0.25">
      <c r="A343" s="4" t="s">
        <v>21</v>
      </c>
      <c r="B343" s="4" t="s">
        <v>33</v>
      </c>
      <c r="C343" s="4" t="s">
        <v>34</v>
      </c>
      <c r="D343" s="4" t="s">
        <v>40</v>
      </c>
      <c r="E343" s="4" t="s">
        <v>25</v>
      </c>
      <c r="F343" s="4" t="s">
        <v>54</v>
      </c>
      <c r="G343" s="4" t="s">
        <v>25</v>
      </c>
      <c r="H343" s="4" t="s">
        <v>37</v>
      </c>
      <c r="I343" s="5">
        <v>44562</v>
      </c>
      <c r="J343" s="6">
        <v>0</v>
      </c>
      <c r="K343" s="6">
        <v>0</v>
      </c>
      <c r="L343" s="6">
        <v>262.87700000000001</v>
      </c>
      <c r="M343" s="6">
        <v>131.4385</v>
      </c>
      <c r="N343" s="6">
        <v>0</v>
      </c>
      <c r="O343" s="6">
        <v>0</v>
      </c>
      <c r="P343" s="6">
        <v>0</v>
      </c>
      <c r="Q343" s="4" t="s">
        <v>53</v>
      </c>
      <c r="R343" s="4">
        <v>0</v>
      </c>
      <c r="S343" s="4" t="s">
        <v>185</v>
      </c>
      <c r="U343" s="4">
        <v>0</v>
      </c>
      <c r="V343" s="4">
        <v>19</v>
      </c>
      <c r="W343" s="4">
        <v>0</v>
      </c>
    </row>
    <row r="344" spans="1:23" ht="11.25" customHeight="1" x14ac:dyDescent="0.25">
      <c r="A344" s="4" t="s">
        <v>21</v>
      </c>
      <c r="B344" s="4" t="s">
        <v>33</v>
      </c>
      <c r="C344" s="4" t="s">
        <v>34</v>
      </c>
      <c r="D344" s="4" t="s">
        <v>40</v>
      </c>
      <c r="E344" s="4" t="s">
        <v>25</v>
      </c>
      <c r="F344" s="4" t="s">
        <v>54</v>
      </c>
      <c r="G344" s="4" t="s">
        <v>25</v>
      </c>
      <c r="H344" s="4" t="s">
        <v>37</v>
      </c>
      <c r="I344" s="5">
        <v>44593</v>
      </c>
      <c r="J344" s="6">
        <v>0</v>
      </c>
      <c r="K344" s="6">
        <v>0</v>
      </c>
      <c r="L344" s="6">
        <v>261.62799999999999</v>
      </c>
      <c r="M344" s="6">
        <v>130.81399999999999</v>
      </c>
      <c r="N344" s="6">
        <v>0</v>
      </c>
      <c r="O344" s="6">
        <v>0</v>
      </c>
      <c r="P344" s="6">
        <v>0</v>
      </c>
      <c r="Q344" s="4" t="s">
        <v>53</v>
      </c>
      <c r="R344" s="4">
        <v>0</v>
      </c>
      <c r="S344" s="4" t="s">
        <v>186</v>
      </c>
      <c r="U344" s="4">
        <v>0</v>
      </c>
      <c r="V344" s="4">
        <v>19</v>
      </c>
      <c r="W344" s="4">
        <v>0</v>
      </c>
    </row>
    <row r="345" spans="1:23" ht="11.25" customHeight="1" x14ac:dyDescent="0.25">
      <c r="A345" s="4" t="s">
        <v>21</v>
      </c>
      <c r="B345" s="4" t="s">
        <v>33</v>
      </c>
      <c r="C345" s="4" t="s">
        <v>34</v>
      </c>
      <c r="D345" s="4" t="s">
        <v>40</v>
      </c>
      <c r="E345" s="4" t="s">
        <v>25</v>
      </c>
      <c r="F345" s="4" t="s">
        <v>54</v>
      </c>
      <c r="G345" s="4" t="s">
        <v>25</v>
      </c>
      <c r="H345" s="4" t="s">
        <v>37</v>
      </c>
      <c r="I345" s="5">
        <v>44621</v>
      </c>
      <c r="J345" s="6">
        <v>0</v>
      </c>
      <c r="K345" s="6">
        <v>0</v>
      </c>
      <c r="L345" s="6">
        <v>277.09199999999998</v>
      </c>
      <c r="M345" s="6">
        <v>138.54599999999999</v>
      </c>
      <c r="N345" s="6">
        <v>0</v>
      </c>
      <c r="O345" s="6">
        <v>0</v>
      </c>
      <c r="P345" s="6">
        <v>0</v>
      </c>
      <c r="Q345" s="4" t="s">
        <v>53</v>
      </c>
      <c r="R345" s="4">
        <v>0</v>
      </c>
      <c r="S345" s="4" t="s">
        <v>187</v>
      </c>
      <c r="U345" s="4">
        <v>0</v>
      </c>
      <c r="V345" s="4">
        <v>19</v>
      </c>
      <c r="W345" s="4">
        <v>0</v>
      </c>
    </row>
    <row r="346" spans="1:23" ht="11.25" customHeight="1" x14ac:dyDescent="0.25">
      <c r="A346" s="4" t="s">
        <v>21</v>
      </c>
      <c r="B346" s="4" t="s">
        <v>33</v>
      </c>
      <c r="C346" s="4" t="s">
        <v>34</v>
      </c>
      <c r="D346" s="4" t="s">
        <v>40</v>
      </c>
      <c r="E346" s="4" t="s">
        <v>25</v>
      </c>
      <c r="F346" s="4" t="s">
        <v>54</v>
      </c>
      <c r="G346" s="4" t="s">
        <v>25</v>
      </c>
      <c r="H346" s="4" t="s">
        <v>37</v>
      </c>
      <c r="I346" s="5">
        <v>44652</v>
      </c>
      <c r="J346" s="6">
        <v>0</v>
      </c>
      <c r="K346" s="6">
        <v>0</v>
      </c>
      <c r="L346" s="6">
        <v>318.57600000000002</v>
      </c>
      <c r="M346" s="6">
        <v>159.28800000000001</v>
      </c>
      <c r="N346" s="6">
        <v>0</v>
      </c>
      <c r="O346" s="6">
        <v>0</v>
      </c>
      <c r="P346" s="6">
        <v>0</v>
      </c>
      <c r="Q346" s="4" t="s">
        <v>53</v>
      </c>
      <c r="R346" s="4">
        <v>0</v>
      </c>
      <c r="S346" s="4" t="s">
        <v>188</v>
      </c>
      <c r="U346" s="4">
        <v>0</v>
      </c>
      <c r="V346" s="4">
        <v>19</v>
      </c>
      <c r="W346" s="4">
        <v>0</v>
      </c>
    </row>
    <row r="347" spans="1:23" ht="11.25" customHeight="1" x14ac:dyDescent="0.25">
      <c r="A347" s="4" t="s">
        <v>21</v>
      </c>
      <c r="B347" s="4" t="s">
        <v>33</v>
      </c>
      <c r="C347" s="4" t="s">
        <v>34</v>
      </c>
      <c r="D347" s="4" t="s">
        <v>40</v>
      </c>
      <c r="E347" s="4" t="s">
        <v>25</v>
      </c>
      <c r="F347" s="4" t="s">
        <v>54</v>
      </c>
      <c r="G347" s="4" t="s">
        <v>25</v>
      </c>
      <c r="H347" s="4" t="s">
        <v>37</v>
      </c>
      <c r="I347" s="5">
        <v>44682</v>
      </c>
      <c r="J347" s="6">
        <v>0</v>
      </c>
      <c r="K347" s="6">
        <v>0</v>
      </c>
      <c r="L347" s="6">
        <v>206.87200000000001</v>
      </c>
      <c r="M347" s="6">
        <v>103.43600000000001</v>
      </c>
      <c r="N347" s="6">
        <v>0</v>
      </c>
      <c r="O347" s="6">
        <v>0</v>
      </c>
      <c r="P347" s="6">
        <v>0</v>
      </c>
      <c r="Q347" s="4" t="s">
        <v>53</v>
      </c>
      <c r="R347" s="4">
        <v>0</v>
      </c>
      <c r="S347" s="4" t="s">
        <v>189</v>
      </c>
      <c r="U347" s="4">
        <v>0</v>
      </c>
      <c r="V347" s="4">
        <v>19</v>
      </c>
      <c r="W347" s="4">
        <v>0</v>
      </c>
    </row>
    <row r="348" spans="1:23" ht="11.25" customHeight="1" x14ac:dyDescent="0.25">
      <c r="A348" s="4" t="s">
        <v>21</v>
      </c>
      <c r="B348" s="4" t="s">
        <v>33</v>
      </c>
      <c r="C348" s="4" t="s">
        <v>34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35</v>
      </c>
      <c r="I348" s="5">
        <v>44348</v>
      </c>
      <c r="J348" s="6">
        <v>0</v>
      </c>
      <c r="K348" s="6">
        <v>0</v>
      </c>
      <c r="L348" s="6">
        <v>3057.0749999999998</v>
      </c>
      <c r="M348" s="6">
        <v>3057.0749999999998</v>
      </c>
      <c r="N348" s="6">
        <v>3057.0749999999998</v>
      </c>
      <c r="O348" s="6">
        <v>3057.0749999999998</v>
      </c>
      <c r="P348" s="6">
        <v>0</v>
      </c>
      <c r="Q348" s="4" t="s">
        <v>26</v>
      </c>
      <c r="R348" s="4">
        <v>0</v>
      </c>
      <c r="S348" s="4" t="s">
        <v>154</v>
      </c>
      <c r="T348" s="4" t="s">
        <v>387</v>
      </c>
      <c r="U348" s="4">
        <v>0</v>
      </c>
      <c r="V348" s="4">
        <v>20</v>
      </c>
      <c r="W348" s="4">
        <v>66</v>
      </c>
    </row>
    <row r="349" spans="1:23" ht="11.25" customHeight="1" x14ac:dyDescent="0.25">
      <c r="A349" s="4" t="s">
        <v>21</v>
      </c>
      <c r="B349" s="4" t="s">
        <v>33</v>
      </c>
      <c r="C349" s="4" t="s">
        <v>34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35</v>
      </c>
      <c r="I349" s="5">
        <v>44348</v>
      </c>
      <c r="J349" s="6">
        <v>0</v>
      </c>
      <c r="K349" s="6">
        <v>0</v>
      </c>
      <c r="L349" s="6">
        <v>1102.6579999999999</v>
      </c>
      <c r="M349" s="6">
        <v>1102.6579999999999</v>
      </c>
      <c r="N349" s="6">
        <v>0</v>
      </c>
      <c r="O349" s="6">
        <v>0</v>
      </c>
      <c r="P349" s="6">
        <v>0</v>
      </c>
      <c r="Q349" s="4" t="s">
        <v>53</v>
      </c>
      <c r="R349" s="4">
        <v>0</v>
      </c>
      <c r="S349" s="4" t="s">
        <v>154</v>
      </c>
      <c r="U349" s="4">
        <v>0</v>
      </c>
      <c r="V349" s="4">
        <v>20</v>
      </c>
      <c r="W349" s="4">
        <v>0</v>
      </c>
    </row>
    <row r="350" spans="1:23" ht="11.25" customHeight="1" x14ac:dyDescent="0.25">
      <c r="A350" s="4" t="s">
        <v>21</v>
      </c>
      <c r="B350" s="4" t="s">
        <v>33</v>
      </c>
      <c r="C350" s="4" t="s">
        <v>34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35</v>
      </c>
      <c r="I350" s="5">
        <v>44378</v>
      </c>
      <c r="J350" s="6">
        <v>0</v>
      </c>
      <c r="K350" s="6">
        <v>0</v>
      </c>
      <c r="L350" s="6">
        <v>3203.6149999999998</v>
      </c>
      <c r="M350" s="6">
        <v>3203.6149999999998</v>
      </c>
      <c r="N350" s="6">
        <v>3203.6149999999998</v>
      </c>
      <c r="O350" s="6">
        <v>3203.6149999999998</v>
      </c>
      <c r="P350" s="6">
        <v>0</v>
      </c>
      <c r="Q350" s="4" t="s">
        <v>26</v>
      </c>
      <c r="R350" s="4">
        <v>0</v>
      </c>
      <c r="S350" s="4" t="s">
        <v>155</v>
      </c>
      <c r="T350" s="4" t="s">
        <v>388</v>
      </c>
      <c r="U350" s="4">
        <v>0</v>
      </c>
      <c r="V350" s="4">
        <v>20</v>
      </c>
      <c r="W350" s="4">
        <v>66</v>
      </c>
    </row>
    <row r="351" spans="1:23" ht="11.25" customHeight="1" x14ac:dyDescent="0.25">
      <c r="A351" s="4" t="s">
        <v>21</v>
      </c>
      <c r="B351" s="4" t="s">
        <v>33</v>
      </c>
      <c r="C351" s="4" t="s">
        <v>34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35</v>
      </c>
      <c r="I351" s="5">
        <v>44378</v>
      </c>
      <c r="J351" s="6">
        <v>0</v>
      </c>
      <c r="K351" s="6">
        <v>0</v>
      </c>
      <c r="L351" s="6">
        <v>1087.0160000000001</v>
      </c>
      <c r="M351" s="6">
        <v>1087.0160000000001</v>
      </c>
      <c r="N351" s="6">
        <v>0</v>
      </c>
      <c r="O351" s="6">
        <v>0</v>
      </c>
      <c r="P351" s="6">
        <v>0</v>
      </c>
      <c r="Q351" s="4" t="s">
        <v>53</v>
      </c>
      <c r="R351" s="4">
        <v>0</v>
      </c>
      <c r="S351" s="4" t="s">
        <v>155</v>
      </c>
      <c r="U351" s="4">
        <v>0</v>
      </c>
      <c r="V351" s="4">
        <v>20</v>
      </c>
      <c r="W351" s="4">
        <v>0</v>
      </c>
    </row>
    <row r="352" spans="1:23" ht="11.25" customHeight="1" x14ac:dyDescent="0.25">
      <c r="A352" s="4" t="s">
        <v>21</v>
      </c>
      <c r="B352" s="4" t="s">
        <v>33</v>
      </c>
      <c r="C352" s="4" t="s">
        <v>34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35</v>
      </c>
      <c r="I352" s="5">
        <v>44409</v>
      </c>
      <c r="J352" s="6">
        <v>0</v>
      </c>
      <c r="K352" s="6">
        <v>0</v>
      </c>
      <c r="L352" s="6">
        <v>3170.1239999999998</v>
      </c>
      <c r="M352" s="6">
        <v>3170.1239999999998</v>
      </c>
      <c r="N352" s="6">
        <v>3170.1239999999998</v>
      </c>
      <c r="O352" s="6">
        <v>3170.1239999999998</v>
      </c>
      <c r="P352" s="6">
        <v>0</v>
      </c>
      <c r="Q352" s="4" t="s">
        <v>26</v>
      </c>
      <c r="R352" s="4">
        <v>0</v>
      </c>
      <c r="S352" s="4" t="s">
        <v>156</v>
      </c>
      <c r="T352" s="4" t="s">
        <v>389</v>
      </c>
      <c r="U352" s="4">
        <v>0</v>
      </c>
      <c r="V352" s="4">
        <v>20</v>
      </c>
      <c r="W352" s="4">
        <v>66</v>
      </c>
    </row>
    <row r="353" spans="1:23" ht="11.25" customHeight="1" x14ac:dyDescent="0.25">
      <c r="A353" s="4" t="s">
        <v>21</v>
      </c>
      <c r="B353" s="4" t="s">
        <v>33</v>
      </c>
      <c r="C353" s="4" t="s">
        <v>34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44409</v>
      </c>
      <c r="J353" s="6">
        <v>0</v>
      </c>
      <c r="K353" s="6">
        <v>0</v>
      </c>
      <c r="L353" s="6">
        <v>927.79300000000001</v>
      </c>
      <c r="M353" s="6">
        <v>927.79300000000001</v>
      </c>
      <c r="N353" s="6">
        <v>0</v>
      </c>
      <c r="O353" s="6">
        <v>0</v>
      </c>
      <c r="P353" s="6">
        <v>0</v>
      </c>
      <c r="Q353" s="4" t="s">
        <v>53</v>
      </c>
      <c r="R353" s="4">
        <v>0</v>
      </c>
      <c r="S353" s="4" t="s">
        <v>156</v>
      </c>
      <c r="U353" s="4">
        <v>0</v>
      </c>
      <c r="V353" s="4">
        <v>20</v>
      </c>
      <c r="W353" s="4">
        <v>0</v>
      </c>
    </row>
    <row r="354" spans="1:23" ht="11.25" customHeight="1" x14ac:dyDescent="0.25">
      <c r="A354" s="4" t="s">
        <v>21</v>
      </c>
      <c r="B354" s="4" t="s">
        <v>33</v>
      </c>
      <c r="C354" s="4" t="s">
        <v>34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44440</v>
      </c>
      <c r="J354" s="6">
        <v>0</v>
      </c>
      <c r="K354" s="6">
        <v>0</v>
      </c>
      <c r="L354" s="6">
        <v>2499.0369999999998</v>
      </c>
      <c r="M354" s="6">
        <v>2499.0369999999998</v>
      </c>
      <c r="N354" s="6">
        <v>2499.0369999999998</v>
      </c>
      <c r="O354" s="6">
        <v>2499.0369999999998</v>
      </c>
      <c r="P354" s="6">
        <v>0</v>
      </c>
      <c r="Q354" s="4" t="s">
        <v>26</v>
      </c>
      <c r="R354" s="4">
        <v>0</v>
      </c>
      <c r="S354" s="4" t="s">
        <v>157</v>
      </c>
      <c r="T354" s="4" t="s">
        <v>390</v>
      </c>
      <c r="U354" s="4">
        <v>0</v>
      </c>
      <c r="V354" s="4">
        <v>20</v>
      </c>
      <c r="W354" s="4">
        <v>66</v>
      </c>
    </row>
    <row r="355" spans="1:23" ht="11.25" customHeight="1" x14ac:dyDescent="0.25">
      <c r="A355" s="4" t="s">
        <v>21</v>
      </c>
      <c r="B355" s="4" t="s">
        <v>33</v>
      </c>
      <c r="C355" s="4" t="s">
        <v>34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44440</v>
      </c>
      <c r="J355" s="6">
        <v>0</v>
      </c>
      <c r="K355" s="6">
        <v>0</v>
      </c>
      <c r="L355" s="6">
        <v>1500.617</v>
      </c>
      <c r="M355" s="6">
        <v>1500.617</v>
      </c>
      <c r="N355" s="6">
        <v>0</v>
      </c>
      <c r="O355" s="6">
        <v>0</v>
      </c>
      <c r="P355" s="6">
        <v>0</v>
      </c>
      <c r="Q355" s="4" t="s">
        <v>53</v>
      </c>
      <c r="R355" s="4">
        <v>0</v>
      </c>
      <c r="S355" s="4" t="s">
        <v>157</v>
      </c>
      <c r="U355" s="4">
        <v>0</v>
      </c>
      <c r="V355" s="4">
        <v>20</v>
      </c>
      <c r="W355" s="4">
        <v>0</v>
      </c>
    </row>
    <row r="356" spans="1:23" ht="11.25" customHeight="1" x14ac:dyDescent="0.25">
      <c r="A356" s="4" t="s">
        <v>21</v>
      </c>
      <c r="B356" s="4" t="s">
        <v>33</v>
      </c>
      <c r="C356" s="4" t="s">
        <v>34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44470</v>
      </c>
      <c r="J356" s="6">
        <v>0</v>
      </c>
      <c r="K356" s="6">
        <v>0</v>
      </c>
      <c r="L356" s="6">
        <v>2360.2080000000001</v>
      </c>
      <c r="M356" s="6">
        <v>2360.2080000000001</v>
      </c>
      <c r="N356" s="6">
        <v>2360.2080000000001</v>
      </c>
      <c r="O356" s="6">
        <v>2360.2080000000001</v>
      </c>
      <c r="P356" s="6">
        <v>0</v>
      </c>
      <c r="Q356" s="4" t="s">
        <v>26</v>
      </c>
      <c r="R356" s="4">
        <v>0</v>
      </c>
      <c r="S356" s="4" t="s">
        <v>158</v>
      </c>
      <c r="T356" s="4" t="s">
        <v>391</v>
      </c>
      <c r="U356" s="4">
        <v>0</v>
      </c>
      <c r="V356" s="4">
        <v>20</v>
      </c>
      <c r="W356" s="4">
        <v>66</v>
      </c>
    </row>
    <row r="357" spans="1:23" ht="11.25" customHeight="1" x14ac:dyDescent="0.25">
      <c r="A357" s="4" t="s">
        <v>21</v>
      </c>
      <c r="B357" s="4" t="s">
        <v>33</v>
      </c>
      <c r="C357" s="4" t="s">
        <v>34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1505.259</v>
      </c>
      <c r="M357" s="6">
        <v>1505.259</v>
      </c>
      <c r="N357" s="6">
        <v>0</v>
      </c>
      <c r="O357" s="6">
        <v>0</v>
      </c>
      <c r="P357" s="6">
        <v>0</v>
      </c>
      <c r="Q357" s="4" t="s">
        <v>53</v>
      </c>
      <c r="R357" s="4">
        <v>0</v>
      </c>
      <c r="S357" s="4" t="s">
        <v>158</v>
      </c>
      <c r="U357" s="4">
        <v>0</v>
      </c>
      <c r="V357" s="4">
        <v>20</v>
      </c>
      <c r="W357" s="4">
        <v>0</v>
      </c>
    </row>
    <row r="358" spans="1:23" ht="11.25" customHeight="1" x14ac:dyDescent="0.25">
      <c r="A358" s="4" t="s">
        <v>21</v>
      </c>
      <c r="B358" s="4" t="s">
        <v>33</v>
      </c>
      <c r="C358" s="4" t="s">
        <v>34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2343.73</v>
      </c>
      <c r="M358" s="6">
        <v>2343.73</v>
      </c>
      <c r="N358" s="6">
        <v>2343.73</v>
      </c>
      <c r="O358" s="6">
        <v>2343.73</v>
      </c>
      <c r="P358" s="6">
        <v>0</v>
      </c>
      <c r="Q358" s="4" t="s">
        <v>26</v>
      </c>
      <c r="R358" s="4">
        <v>0</v>
      </c>
      <c r="S358" s="4" t="s">
        <v>159</v>
      </c>
      <c r="T358" s="4" t="s">
        <v>392</v>
      </c>
      <c r="U358" s="4">
        <v>0</v>
      </c>
      <c r="V358" s="4">
        <v>20</v>
      </c>
      <c r="W358" s="4">
        <v>66</v>
      </c>
    </row>
    <row r="359" spans="1:23" ht="11.25" customHeight="1" x14ac:dyDescent="0.25">
      <c r="A359" s="4" t="s">
        <v>21</v>
      </c>
      <c r="B359" s="4" t="s">
        <v>33</v>
      </c>
      <c r="C359" s="4" t="s">
        <v>34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44501</v>
      </c>
      <c r="J359" s="6">
        <v>0</v>
      </c>
      <c r="K359" s="6">
        <v>0</v>
      </c>
      <c r="L359" s="6">
        <v>1210.21</v>
      </c>
      <c r="M359" s="6">
        <v>1210.21</v>
      </c>
      <c r="N359" s="6">
        <v>0</v>
      </c>
      <c r="O359" s="6">
        <v>0</v>
      </c>
      <c r="P359" s="6">
        <v>0</v>
      </c>
      <c r="Q359" s="4" t="s">
        <v>53</v>
      </c>
      <c r="R359" s="4">
        <v>0</v>
      </c>
      <c r="S359" s="4" t="s">
        <v>159</v>
      </c>
      <c r="U359" s="4">
        <v>0</v>
      </c>
      <c r="V359" s="4">
        <v>20</v>
      </c>
      <c r="W359" s="4">
        <v>0</v>
      </c>
    </row>
    <row r="360" spans="1:23" ht="11.25" customHeight="1" x14ac:dyDescent="0.25">
      <c r="A360" s="4" t="s">
        <v>21</v>
      </c>
      <c r="B360" s="4" t="s">
        <v>33</v>
      </c>
      <c r="C360" s="4" t="s">
        <v>34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44531</v>
      </c>
      <c r="J360" s="6">
        <v>0</v>
      </c>
      <c r="K360" s="6">
        <v>0</v>
      </c>
      <c r="L360" s="6">
        <v>2227.1109999999999</v>
      </c>
      <c r="M360" s="6">
        <v>2227.1109999999999</v>
      </c>
      <c r="N360" s="6">
        <v>2227.1109999999999</v>
      </c>
      <c r="O360" s="6">
        <v>2227.1109999999999</v>
      </c>
      <c r="P360" s="6">
        <v>0</v>
      </c>
      <c r="Q360" s="4" t="s">
        <v>26</v>
      </c>
      <c r="R360" s="4">
        <v>0</v>
      </c>
      <c r="S360" s="4" t="s">
        <v>160</v>
      </c>
      <c r="T360" s="4" t="s">
        <v>393</v>
      </c>
      <c r="U360" s="4">
        <v>0</v>
      </c>
      <c r="V360" s="4">
        <v>20</v>
      </c>
      <c r="W360" s="4">
        <v>66</v>
      </c>
    </row>
    <row r="361" spans="1:23" ht="11.25" customHeight="1" x14ac:dyDescent="0.25">
      <c r="A361" s="4" t="s">
        <v>21</v>
      </c>
      <c r="B361" s="4" t="s">
        <v>33</v>
      </c>
      <c r="C361" s="4" t="s">
        <v>34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44531</v>
      </c>
      <c r="J361" s="6">
        <v>0</v>
      </c>
      <c r="K361" s="6">
        <v>0</v>
      </c>
      <c r="L361" s="6">
        <v>1486.385</v>
      </c>
      <c r="M361" s="6">
        <v>1486.385</v>
      </c>
      <c r="N361" s="6">
        <v>0</v>
      </c>
      <c r="O361" s="6">
        <v>0</v>
      </c>
      <c r="P361" s="6">
        <v>0</v>
      </c>
      <c r="Q361" s="4" t="s">
        <v>53</v>
      </c>
      <c r="R361" s="4">
        <v>0</v>
      </c>
      <c r="S361" s="4" t="s">
        <v>160</v>
      </c>
      <c r="U361" s="4">
        <v>0</v>
      </c>
      <c r="V361" s="4">
        <v>20</v>
      </c>
      <c r="W361" s="4">
        <v>0</v>
      </c>
    </row>
    <row r="362" spans="1:23" ht="11.25" customHeight="1" x14ac:dyDescent="0.25">
      <c r="A362" s="4" t="s">
        <v>21</v>
      </c>
      <c r="B362" s="4" t="s">
        <v>33</v>
      </c>
      <c r="C362" s="4" t="s">
        <v>34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44562</v>
      </c>
      <c r="J362" s="6">
        <v>0</v>
      </c>
      <c r="K362" s="6">
        <v>0</v>
      </c>
      <c r="L362" s="6">
        <v>2130.0970000000002</v>
      </c>
      <c r="M362" s="6">
        <v>2130.0970000000002</v>
      </c>
      <c r="N362" s="6">
        <v>2130.0970000000002</v>
      </c>
      <c r="O362" s="6">
        <v>2130.0970000000002</v>
      </c>
      <c r="P362" s="6">
        <v>0</v>
      </c>
      <c r="Q362" s="4" t="s">
        <v>26</v>
      </c>
      <c r="R362" s="4">
        <v>0</v>
      </c>
      <c r="S362" s="4" t="s">
        <v>161</v>
      </c>
      <c r="T362" s="4" t="s">
        <v>394</v>
      </c>
      <c r="U362" s="4">
        <v>0</v>
      </c>
      <c r="V362" s="4">
        <v>20</v>
      </c>
      <c r="W362" s="4">
        <v>66</v>
      </c>
    </row>
    <row r="363" spans="1:23" ht="11.25" customHeight="1" x14ac:dyDescent="0.25">
      <c r="A363" s="4" t="s">
        <v>28</v>
      </c>
      <c r="B363" s="4" t="s">
        <v>33</v>
      </c>
      <c r="C363" s="4" t="s">
        <v>34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44562</v>
      </c>
      <c r="J363" s="6">
        <v>0</v>
      </c>
      <c r="K363" s="6">
        <v>0</v>
      </c>
      <c r="L363" s="6">
        <v>9.0370000000000008</v>
      </c>
      <c r="M363" s="6">
        <v>9.0370000000000008</v>
      </c>
      <c r="N363" s="6">
        <v>9.0370000000000008</v>
      </c>
      <c r="O363" s="6">
        <v>9.0370000000000008</v>
      </c>
      <c r="P363" s="6">
        <v>0</v>
      </c>
      <c r="Q363" s="4" t="s">
        <v>26</v>
      </c>
      <c r="R363" s="4">
        <v>0</v>
      </c>
      <c r="S363" s="4" t="s">
        <v>161</v>
      </c>
      <c r="T363" s="4" t="s">
        <v>394</v>
      </c>
      <c r="U363" s="4">
        <v>0</v>
      </c>
      <c r="V363" s="4">
        <v>20</v>
      </c>
      <c r="W363" s="4">
        <v>66</v>
      </c>
    </row>
    <row r="364" spans="1:23" ht="11.25" customHeight="1" x14ac:dyDescent="0.25">
      <c r="A364" s="4" t="s">
        <v>21</v>
      </c>
      <c r="B364" s="4" t="s">
        <v>33</v>
      </c>
      <c r="C364" s="4" t="s">
        <v>34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44562</v>
      </c>
      <c r="J364" s="6">
        <v>0</v>
      </c>
      <c r="K364" s="6">
        <v>0</v>
      </c>
      <c r="L364" s="6">
        <v>1045.3130000000001</v>
      </c>
      <c r="M364" s="6">
        <v>1045.3130000000001</v>
      </c>
      <c r="N364" s="6">
        <v>0</v>
      </c>
      <c r="O364" s="6">
        <v>0</v>
      </c>
      <c r="P364" s="6">
        <v>0</v>
      </c>
      <c r="Q364" s="4" t="s">
        <v>53</v>
      </c>
      <c r="R364" s="4">
        <v>0</v>
      </c>
      <c r="S364" s="4" t="s">
        <v>161</v>
      </c>
      <c r="U364" s="4">
        <v>0</v>
      </c>
      <c r="V364" s="4">
        <v>20</v>
      </c>
      <c r="W364" s="4">
        <v>0</v>
      </c>
    </row>
    <row r="365" spans="1:23" ht="11.25" customHeight="1" x14ac:dyDescent="0.25">
      <c r="A365" s="4" t="s">
        <v>21</v>
      </c>
      <c r="B365" s="4" t="s">
        <v>33</v>
      </c>
      <c r="C365" s="4" t="s">
        <v>34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44593</v>
      </c>
      <c r="J365" s="6">
        <v>0</v>
      </c>
      <c r="K365" s="6">
        <v>0</v>
      </c>
      <c r="L365" s="6">
        <v>2147.5100000000002</v>
      </c>
      <c r="M365" s="6">
        <v>2147.5100000000002</v>
      </c>
      <c r="N365" s="6">
        <v>2147.5100000000002</v>
      </c>
      <c r="O365" s="6">
        <v>2147.5100000000002</v>
      </c>
      <c r="P365" s="6">
        <v>0</v>
      </c>
      <c r="Q365" s="4" t="s">
        <v>26</v>
      </c>
      <c r="R365" s="4">
        <v>0</v>
      </c>
      <c r="S365" s="4" t="s">
        <v>162</v>
      </c>
      <c r="T365" s="4" t="s">
        <v>395</v>
      </c>
      <c r="U365" s="4">
        <v>0</v>
      </c>
      <c r="V365" s="4">
        <v>20</v>
      </c>
      <c r="W365" s="4">
        <v>66</v>
      </c>
    </row>
    <row r="366" spans="1:23" ht="11.25" customHeight="1" x14ac:dyDescent="0.25">
      <c r="A366" s="4" t="s">
        <v>28</v>
      </c>
      <c r="B366" s="4" t="s">
        <v>33</v>
      </c>
      <c r="C366" s="4" t="s">
        <v>34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44593</v>
      </c>
      <c r="J366" s="6">
        <v>0</v>
      </c>
      <c r="K366" s="6">
        <v>0</v>
      </c>
      <c r="L366" s="6">
        <v>15.106</v>
      </c>
      <c r="M366" s="6">
        <v>15.106</v>
      </c>
      <c r="N366" s="6">
        <v>15.106</v>
      </c>
      <c r="O366" s="6">
        <v>15.106</v>
      </c>
      <c r="P366" s="6">
        <v>0</v>
      </c>
      <c r="Q366" s="4" t="s">
        <v>26</v>
      </c>
      <c r="R366" s="4">
        <v>0</v>
      </c>
      <c r="S366" s="4" t="s">
        <v>162</v>
      </c>
      <c r="T366" s="4" t="s">
        <v>395</v>
      </c>
      <c r="U366" s="4">
        <v>0</v>
      </c>
      <c r="V366" s="4">
        <v>20</v>
      </c>
      <c r="W366" s="4">
        <v>66</v>
      </c>
    </row>
    <row r="367" spans="1:23" ht="11.25" customHeight="1" x14ac:dyDescent="0.25">
      <c r="A367" s="4" t="s">
        <v>21</v>
      </c>
      <c r="B367" s="4" t="s">
        <v>33</v>
      </c>
      <c r="C367" s="4" t="s">
        <v>34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44593</v>
      </c>
      <c r="J367" s="6">
        <v>0</v>
      </c>
      <c r="K367" s="6">
        <v>0</v>
      </c>
      <c r="L367" s="6">
        <v>1217.2239999999999</v>
      </c>
      <c r="M367" s="6">
        <v>1217.2239999999999</v>
      </c>
      <c r="N367" s="6">
        <v>0</v>
      </c>
      <c r="O367" s="6">
        <v>0</v>
      </c>
      <c r="P367" s="6">
        <v>0</v>
      </c>
      <c r="Q367" s="4" t="s">
        <v>53</v>
      </c>
      <c r="R367" s="4">
        <v>0</v>
      </c>
      <c r="S367" s="4" t="s">
        <v>162</v>
      </c>
      <c r="U367" s="4">
        <v>0</v>
      </c>
      <c r="V367" s="4">
        <v>20</v>
      </c>
      <c r="W367" s="4">
        <v>0</v>
      </c>
    </row>
    <row r="368" spans="1:23" ht="11.25" customHeight="1" x14ac:dyDescent="0.25">
      <c r="A368" s="4" t="s">
        <v>21</v>
      </c>
      <c r="B368" s="4" t="s">
        <v>33</v>
      </c>
      <c r="C368" s="4" t="s">
        <v>34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44621</v>
      </c>
      <c r="J368" s="6">
        <v>0</v>
      </c>
      <c r="K368" s="6">
        <v>0</v>
      </c>
      <c r="L368" s="6">
        <v>2303.9630000000002</v>
      </c>
      <c r="M368" s="6">
        <v>2303.9630000000002</v>
      </c>
      <c r="N368" s="6">
        <v>2303.9630000000002</v>
      </c>
      <c r="O368" s="6">
        <v>2303.9630000000002</v>
      </c>
      <c r="P368" s="6">
        <v>0</v>
      </c>
      <c r="Q368" s="4" t="s">
        <v>26</v>
      </c>
      <c r="R368" s="4">
        <v>0</v>
      </c>
      <c r="S368" s="4" t="s">
        <v>163</v>
      </c>
      <c r="T368" s="4" t="s">
        <v>396</v>
      </c>
      <c r="U368" s="4">
        <v>0</v>
      </c>
      <c r="V368" s="4">
        <v>20</v>
      </c>
      <c r="W368" s="4">
        <v>66</v>
      </c>
    </row>
    <row r="369" spans="1:23" ht="11.25" customHeight="1" x14ac:dyDescent="0.25">
      <c r="A369" s="4" t="s">
        <v>28</v>
      </c>
      <c r="B369" s="4" t="s">
        <v>33</v>
      </c>
      <c r="C369" s="4" t="s">
        <v>34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44621</v>
      </c>
      <c r="J369" s="6">
        <v>0</v>
      </c>
      <c r="K369" s="6">
        <v>0</v>
      </c>
      <c r="L369" s="6">
        <v>25.742000000000001</v>
      </c>
      <c r="M369" s="6">
        <v>25.742000000000001</v>
      </c>
      <c r="N369" s="6">
        <v>25.742000000000001</v>
      </c>
      <c r="O369" s="6">
        <v>25.742000000000001</v>
      </c>
      <c r="P369" s="6">
        <v>0</v>
      </c>
      <c r="Q369" s="4" t="s">
        <v>26</v>
      </c>
      <c r="R369" s="4">
        <v>0</v>
      </c>
      <c r="S369" s="4" t="s">
        <v>163</v>
      </c>
      <c r="T369" s="4" t="s">
        <v>396</v>
      </c>
      <c r="U369" s="4">
        <v>0</v>
      </c>
      <c r="V369" s="4">
        <v>20</v>
      </c>
      <c r="W369" s="4">
        <v>66</v>
      </c>
    </row>
    <row r="370" spans="1:23" ht="11.25" customHeight="1" x14ac:dyDescent="0.25">
      <c r="A370" s="4" t="s">
        <v>21</v>
      </c>
      <c r="B370" s="4" t="s">
        <v>33</v>
      </c>
      <c r="C370" s="4" t="s">
        <v>34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1248.2180000000001</v>
      </c>
      <c r="M370" s="6">
        <v>1248.2180000000001</v>
      </c>
      <c r="N370" s="6">
        <v>0</v>
      </c>
      <c r="O370" s="6">
        <v>0</v>
      </c>
      <c r="P370" s="6">
        <v>0</v>
      </c>
      <c r="Q370" s="4" t="s">
        <v>53</v>
      </c>
      <c r="R370" s="4">
        <v>0</v>
      </c>
      <c r="S370" s="4" t="s">
        <v>163</v>
      </c>
      <c r="U370" s="4">
        <v>0</v>
      </c>
      <c r="V370" s="4">
        <v>20</v>
      </c>
      <c r="W370" s="4">
        <v>0</v>
      </c>
    </row>
    <row r="371" spans="1:23" ht="11.25" customHeight="1" x14ac:dyDescent="0.25">
      <c r="A371" s="4" t="s">
        <v>21</v>
      </c>
      <c r="B371" s="4" t="s">
        <v>33</v>
      </c>
      <c r="C371" s="4" t="s">
        <v>34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2278.2260000000001</v>
      </c>
      <c r="M371" s="6">
        <v>2278.2260000000001</v>
      </c>
      <c r="N371" s="6">
        <v>2278.2260000000001</v>
      </c>
      <c r="O371" s="6">
        <v>2278.2260000000001</v>
      </c>
      <c r="P371" s="6">
        <v>0</v>
      </c>
      <c r="Q371" s="4" t="s">
        <v>26</v>
      </c>
      <c r="R371" s="4">
        <v>0</v>
      </c>
      <c r="S371" s="4" t="s">
        <v>164</v>
      </c>
      <c r="T371" s="4" t="s">
        <v>397</v>
      </c>
      <c r="U371" s="4">
        <v>0</v>
      </c>
      <c r="V371" s="4">
        <v>20</v>
      </c>
      <c r="W371" s="4">
        <v>66</v>
      </c>
    </row>
    <row r="372" spans="1:23" ht="11.25" customHeight="1" x14ac:dyDescent="0.25">
      <c r="A372" s="4" t="s">
        <v>28</v>
      </c>
      <c r="B372" s="4" t="s">
        <v>33</v>
      </c>
      <c r="C372" s="4" t="s">
        <v>34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44652</v>
      </c>
      <c r="J372" s="6">
        <v>0</v>
      </c>
      <c r="K372" s="6">
        <v>0</v>
      </c>
      <c r="L372" s="6">
        <v>19.172000000000001</v>
      </c>
      <c r="M372" s="6">
        <v>19.172000000000001</v>
      </c>
      <c r="N372" s="6">
        <v>19.172000000000001</v>
      </c>
      <c r="O372" s="6">
        <v>19.172000000000001</v>
      </c>
      <c r="P372" s="6">
        <v>0</v>
      </c>
      <c r="Q372" s="4" t="s">
        <v>26</v>
      </c>
      <c r="R372" s="4">
        <v>0</v>
      </c>
      <c r="S372" s="4" t="s">
        <v>164</v>
      </c>
      <c r="T372" s="4" t="s">
        <v>397</v>
      </c>
      <c r="U372" s="4">
        <v>0</v>
      </c>
      <c r="V372" s="4">
        <v>20</v>
      </c>
      <c r="W372" s="4">
        <v>66</v>
      </c>
    </row>
    <row r="373" spans="1:23" ht="11.25" customHeight="1" x14ac:dyDescent="0.25">
      <c r="A373" s="4" t="s">
        <v>21</v>
      </c>
      <c r="B373" s="4" t="s">
        <v>33</v>
      </c>
      <c r="C373" s="4" t="s">
        <v>34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44652</v>
      </c>
      <c r="J373" s="6">
        <v>0</v>
      </c>
      <c r="K373" s="6">
        <v>0</v>
      </c>
      <c r="L373" s="6">
        <v>1454.5050000000001</v>
      </c>
      <c r="M373" s="6">
        <v>1454.5050000000001</v>
      </c>
      <c r="N373" s="6">
        <v>0</v>
      </c>
      <c r="O373" s="6">
        <v>0</v>
      </c>
      <c r="P373" s="6">
        <v>0</v>
      </c>
      <c r="Q373" s="4" t="s">
        <v>53</v>
      </c>
      <c r="R373" s="4">
        <v>0</v>
      </c>
      <c r="S373" s="4" t="s">
        <v>164</v>
      </c>
      <c r="U373" s="4">
        <v>0</v>
      </c>
      <c r="V373" s="4">
        <v>20</v>
      </c>
      <c r="W373" s="4">
        <v>0</v>
      </c>
    </row>
    <row r="374" spans="1:23" ht="11.25" customHeight="1" x14ac:dyDescent="0.25">
      <c r="A374" s="4" t="s">
        <v>21</v>
      </c>
      <c r="B374" s="4" t="s">
        <v>33</v>
      </c>
      <c r="C374" s="4" t="s">
        <v>34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44682</v>
      </c>
      <c r="J374" s="6">
        <v>0</v>
      </c>
      <c r="K374" s="6">
        <v>0</v>
      </c>
      <c r="L374" s="6">
        <v>2448.098</v>
      </c>
      <c r="M374" s="6">
        <v>2448.098</v>
      </c>
      <c r="N374" s="6">
        <v>2448.098</v>
      </c>
      <c r="O374" s="6">
        <v>2448.098</v>
      </c>
      <c r="P374" s="6">
        <v>0</v>
      </c>
      <c r="Q374" s="4" t="s">
        <v>26</v>
      </c>
      <c r="R374" s="4">
        <v>0</v>
      </c>
      <c r="S374" s="4" t="s">
        <v>165</v>
      </c>
      <c r="T374" s="4" t="s">
        <v>398</v>
      </c>
      <c r="U374" s="4">
        <v>0</v>
      </c>
      <c r="V374" s="4">
        <v>20</v>
      </c>
      <c r="W374" s="4">
        <v>66</v>
      </c>
    </row>
    <row r="375" spans="1:23" ht="11.25" customHeight="1" x14ac:dyDescent="0.25">
      <c r="A375" s="4" t="s">
        <v>28</v>
      </c>
      <c r="B375" s="4" t="s">
        <v>33</v>
      </c>
      <c r="C375" s="4" t="s">
        <v>34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44682</v>
      </c>
      <c r="J375" s="6">
        <v>0</v>
      </c>
      <c r="K375" s="6">
        <v>0</v>
      </c>
      <c r="L375" s="6">
        <v>21.18</v>
      </c>
      <c r="M375" s="6">
        <v>21.18</v>
      </c>
      <c r="N375" s="6">
        <v>21.18</v>
      </c>
      <c r="O375" s="6">
        <v>21.18</v>
      </c>
      <c r="P375" s="6">
        <v>0</v>
      </c>
      <c r="Q375" s="4" t="s">
        <v>26</v>
      </c>
      <c r="R375" s="4">
        <v>0</v>
      </c>
      <c r="S375" s="4" t="s">
        <v>165</v>
      </c>
      <c r="T375" s="4" t="s">
        <v>398</v>
      </c>
      <c r="U375" s="4">
        <v>0</v>
      </c>
      <c r="V375" s="4">
        <v>20</v>
      </c>
      <c r="W375" s="4">
        <v>66</v>
      </c>
    </row>
    <row r="376" spans="1:23" ht="11.25" customHeight="1" x14ac:dyDescent="0.25">
      <c r="A376" s="4" t="s">
        <v>21</v>
      </c>
      <c r="B376" s="4" t="s">
        <v>33</v>
      </c>
      <c r="C376" s="4" t="s">
        <v>34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44682</v>
      </c>
      <c r="J376" s="6">
        <v>0</v>
      </c>
      <c r="K376" s="6">
        <v>0</v>
      </c>
      <c r="L376" s="6">
        <v>1225.2950000000001</v>
      </c>
      <c r="M376" s="6">
        <v>1225.2950000000001</v>
      </c>
      <c r="N376" s="6">
        <v>0</v>
      </c>
      <c r="O376" s="6">
        <v>0</v>
      </c>
      <c r="P376" s="6">
        <v>0</v>
      </c>
      <c r="Q376" s="4" t="s">
        <v>53</v>
      </c>
      <c r="R376" s="4">
        <v>0</v>
      </c>
      <c r="S376" s="4" t="s">
        <v>165</v>
      </c>
      <c r="U376" s="4">
        <v>0</v>
      </c>
      <c r="V376" s="4">
        <v>20</v>
      </c>
      <c r="W376" s="4">
        <v>0</v>
      </c>
    </row>
    <row r="377" spans="1:23" ht="11.25" customHeight="1" x14ac:dyDescent="0.25">
      <c r="A377" s="4" t="s">
        <v>21</v>
      </c>
      <c r="B377" s="4" t="s">
        <v>33</v>
      </c>
      <c r="C377" s="4" t="s">
        <v>34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44348</v>
      </c>
      <c r="J377" s="6">
        <v>15381</v>
      </c>
      <c r="K377" s="6">
        <v>15381</v>
      </c>
      <c r="L377" s="6">
        <v>0</v>
      </c>
      <c r="M377" s="6">
        <v>0</v>
      </c>
      <c r="N377" s="6">
        <v>0</v>
      </c>
      <c r="O377" s="6">
        <v>0</v>
      </c>
      <c r="P377" s="6">
        <v>81</v>
      </c>
      <c r="Q377" s="4" t="s">
        <v>26</v>
      </c>
      <c r="R377" s="4">
        <v>0</v>
      </c>
      <c r="S377" s="4" t="s">
        <v>166</v>
      </c>
      <c r="U377" s="4">
        <v>18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33</v>
      </c>
      <c r="C378" s="4" t="s">
        <v>34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44348</v>
      </c>
      <c r="J378" s="6">
        <v>4750</v>
      </c>
      <c r="K378" s="6">
        <v>4750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4" t="s">
        <v>53</v>
      </c>
      <c r="R378" s="4">
        <v>0</v>
      </c>
      <c r="S378" s="4" t="s">
        <v>166</v>
      </c>
      <c r="U378" s="4">
        <v>18</v>
      </c>
      <c r="V378" s="4">
        <v>0</v>
      </c>
      <c r="W378" s="4">
        <v>0</v>
      </c>
    </row>
    <row r="379" spans="1:23" ht="11.25" customHeight="1" x14ac:dyDescent="0.25">
      <c r="A379" s="4" t="s">
        <v>21</v>
      </c>
      <c r="B379" s="4" t="s">
        <v>33</v>
      </c>
      <c r="C379" s="4" t="s">
        <v>34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44378</v>
      </c>
      <c r="J379" s="6">
        <v>15303</v>
      </c>
      <c r="K379" s="6">
        <v>15303</v>
      </c>
      <c r="L379" s="6">
        <v>0</v>
      </c>
      <c r="M379" s="6">
        <v>0</v>
      </c>
      <c r="N379" s="6">
        <v>0</v>
      </c>
      <c r="O379" s="6">
        <v>0</v>
      </c>
      <c r="P379" s="6">
        <v>80</v>
      </c>
      <c r="Q379" s="4" t="s">
        <v>26</v>
      </c>
      <c r="R379" s="4">
        <v>0</v>
      </c>
      <c r="S379" s="4" t="s">
        <v>167</v>
      </c>
      <c r="U379" s="4">
        <v>18</v>
      </c>
      <c r="V379" s="4">
        <v>0</v>
      </c>
      <c r="W379" s="4">
        <v>0</v>
      </c>
    </row>
    <row r="380" spans="1:23" ht="11.25" customHeight="1" x14ac:dyDescent="0.25">
      <c r="A380" s="4" t="s">
        <v>21</v>
      </c>
      <c r="B380" s="4" t="s">
        <v>33</v>
      </c>
      <c r="C380" s="4" t="s">
        <v>34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44378</v>
      </c>
      <c r="J380" s="6">
        <v>4750</v>
      </c>
      <c r="K380" s="6">
        <v>4750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4" t="s">
        <v>53</v>
      </c>
      <c r="R380" s="4">
        <v>0</v>
      </c>
      <c r="S380" s="4" t="s">
        <v>167</v>
      </c>
      <c r="U380" s="4">
        <v>18</v>
      </c>
      <c r="V380" s="4">
        <v>0</v>
      </c>
      <c r="W380" s="4">
        <v>0</v>
      </c>
    </row>
    <row r="381" spans="1:23" ht="11.25" customHeight="1" x14ac:dyDescent="0.25">
      <c r="A381" s="4" t="s">
        <v>21</v>
      </c>
      <c r="B381" s="4" t="s">
        <v>33</v>
      </c>
      <c r="C381" s="4" t="s">
        <v>34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44409</v>
      </c>
      <c r="J381" s="6">
        <v>15329</v>
      </c>
      <c r="K381" s="6">
        <v>15329</v>
      </c>
      <c r="L381" s="6">
        <v>0</v>
      </c>
      <c r="M381" s="6">
        <v>0</v>
      </c>
      <c r="N381" s="6">
        <v>0</v>
      </c>
      <c r="O381" s="6">
        <v>0</v>
      </c>
      <c r="P381" s="6">
        <v>80</v>
      </c>
      <c r="Q381" s="4" t="s">
        <v>26</v>
      </c>
      <c r="R381" s="4">
        <v>0</v>
      </c>
      <c r="S381" s="4" t="s">
        <v>168</v>
      </c>
      <c r="U381" s="4">
        <v>18</v>
      </c>
      <c r="V381" s="4">
        <v>0</v>
      </c>
      <c r="W381" s="4">
        <v>0</v>
      </c>
    </row>
    <row r="382" spans="1:23" ht="11.25" customHeight="1" x14ac:dyDescent="0.25">
      <c r="A382" s="4" t="s">
        <v>21</v>
      </c>
      <c r="B382" s="4" t="s">
        <v>33</v>
      </c>
      <c r="C382" s="4" t="s">
        <v>34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44409</v>
      </c>
      <c r="J382" s="6">
        <v>4750</v>
      </c>
      <c r="K382" s="6">
        <v>4750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4" t="s">
        <v>53</v>
      </c>
      <c r="R382" s="4">
        <v>0</v>
      </c>
      <c r="S382" s="4" t="s">
        <v>168</v>
      </c>
      <c r="U382" s="4">
        <v>18</v>
      </c>
      <c r="V382" s="4">
        <v>0</v>
      </c>
      <c r="W382" s="4">
        <v>0</v>
      </c>
    </row>
    <row r="383" spans="1:23" ht="11.25" customHeight="1" x14ac:dyDescent="0.25">
      <c r="A383" s="4" t="s">
        <v>21</v>
      </c>
      <c r="B383" s="4" t="s">
        <v>33</v>
      </c>
      <c r="C383" s="4" t="s">
        <v>34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44440</v>
      </c>
      <c r="J383" s="6">
        <v>13950</v>
      </c>
      <c r="K383" s="6">
        <v>13950</v>
      </c>
      <c r="L383" s="6">
        <v>0</v>
      </c>
      <c r="M383" s="6">
        <v>0</v>
      </c>
      <c r="N383" s="6">
        <v>0</v>
      </c>
      <c r="O383" s="6">
        <v>0</v>
      </c>
      <c r="P383" s="6">
        <v>79</v>
      </c>
      <c r="Q383" s="4" t="s">
        <v>26</v>
      </c>
      <c r="R383" s="4">
        <v>0</v>
      </c>
      <c r="S383" s="4" t="s">
        <v>169</v>
      </c>
      <c r="U383" s="4">
        <v>18</v>
      </c>
      <c r="V383" s="4">
        <v>0</v>
      </c>
      <c r="W383" s="4">
        <v>0</v>
      </c>
    </row>
    <row r="384" spans="1:23" ht="11.25" customHeight="1" x14ac:dyDescent="0.25">
      <c r="A384" s="4" t="s">
        <v>21</v>
      </c>
      <c r="B384" s="4" t="s">
        <v>33</v>
      </c>
      <c r="C384" s="4" t="s">
        <v>34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44440</v>
      </c>
      <c r="J384" s="6">
        <v>6350</v>
      </c>
      <c r="K384" s="6">
        <v>6350</v>
      </c>
      <c r="L384" s="6">
        <v>0</v>
      </c>
      <c r="M384" s="6">
        <v>0</v>
      </c>
      <c r="N384" s="6">
        <v>0</v>
      </c>
      <c r="O384" s="6">
        <v>0</v>
      </c>
      <c r="P384" s="6">
        <v>2</v>
      </c>
      <c r="Q384" s="4" t="s">
        <v>53</v>
      </c>
      <c r="R384" s="4">
        <v>0</v>
      </c>
      <c r="S384" s="4" t="s">
        <v>169</v>
      </c>
      <c r="U384" s="4">
        <v>18</v>
      </c>
      <c r="V384" s="4">
        <v>0</v>
      </c>
      <c r="W384" s="4">
        <v>0</v>
      </c>
    </row>
    <row r="385" spans="1:23" ht="11.25" customHeight="1" x14ac:dyDescent="0.25">
      <c r="A385" s="4" t="s">
        <v>21</v>
      </c>
      <c r="B385" s="4" t="s">
        <v>33</v>
      </c>
      <c r="C385" s="4" t="s">
        <v>34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44470</v>
      </c>
      <c r="J385" s="6">
        <v>13821</v>
      </c>
      <c r="K385" s="6">
        <v>13821</v>
      </c>
      <c r="L385" s="6">
        <v>0</v>
      </c>
      <c r="M385" s="6">
        <v>0</v>
      </c>
      <c r="N385" s="6">
        <v>0</v>
      </c>
      <c r="O385" s="6">
        <v>0</v>
      </c>
      <c r="P385" s="6">
        <v>78</v>
      </c>
      <c r="Q385" s="4" t="s">
        <v>26</v>
      </c>
      <c r="R385" s="4">
        <v>0</v>
      </c>
      <c r="S385" s="4" t="s">
        <v>170</v>
      </c>
      <c r="U385" s="4">
        <v>18</v>
      </c>
      <c r="V385" s="4">
        <v>0</v>
      </c>
      <c r="W385" s="4">
        <v>0</v>
      </c>
    </row>
    <row r="386" spans="1:23" ht="11.25" customHeight="1" x14ac:dyDescent="0.25">
      <c r="A386" s="4" t="s">
        <v>21</v>
      </c>
      <c r="B386" s="4" t="s">
        <v>33</v>
      </c>
      <c r="C386" s="4" t="s">
        <v>34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44470</v>
      </c>
      <c r="J386" s="6">
        <v>6350</v>
      </c>
      <c r="K386" s="6">
        <v>6350</v>
      </c>
      <c r="L386" s="6">
        <v>0</v>
      </c>
      <c r="M386" s="6">
        <v>0</v>
      </c>
      <c r="N386" s="6">
        <v>0</v>
      </c>
      <c r="O386" s="6">
        <v>0</v>
      </c>
      <c r="P386" s="6">
        <v>2</v>
      </c>
      <c r="Q386" s="4" t="s">
        <v>53</v>
      </c>
      <c r="R386" s="4">
        <v>0</v>
      </c>
      <c r="S386" s="4" t="s">
        <v>170</v>
      </c>
      <c r="U386" s="4">
        <v>18</v>
      </c>
      <c r="V386" s="4">
        <v>0</v>
      </c>
      <c r="W386" s="4">
        <v>0</v>
      </c>
    </row>
    <row r="387" spans="1:23" ht="11.25" customHeight="1" x14ac:dyDescent="0.25">
      <c r="A387" s="4" t="s">
        <v>21</v>
      </c>
      <c r="B387" s="4" t="s">
        <v>33</v>
      </c>
      <c r="C387" s="4" t="s">
        <v>34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13823</v>
      </c>
      <c r="K387" s="6">
        <v>13823</v>
      </c>
      <c r="L387" s="6">
        <v>0</v>
      </c>
      <c r="M387" s="6">
        <v>0</v>
      </c>
      <c r="N387" s="6">
        <v>0</v>
      </c>
      <c r="O387" s="6">
        <v>0</v>
      </c>
      <c r="P387" s="6">
        <v>78</v>
      </c>
      <c r="Q387" s="4" t="s">
        <v>26</v>
      </c>
      <c r="R387" s="4">
        <v>0</v>
      </c>
      <c r="S387" s="4" t="s">
        <v>171</v>
      </c>
      <c r="U387" s="4">
        <v>18</v>
      </c>
      <c r="V387" s="4">
        <v>0</v>
      </c>
      <c r="W387" s="4">
        <v>0</v>
      </c>
    </row>
    <row r="388" spans="1:23" ht="11.25" customHeight="1" x14ac:dyDescent="0.25">
      <c r="A388" s="4" t="s">
        <v>21</v>
      </c>
      <c r="B388" s="4" t="s">
        <v>33</v>
      </c>
      <c r="C388" s="4" t="s">
        <v>34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6350</v>
      </c>
      <c r="K388" s="6">
        <v>6350</v>
      </c>
      <c r="L388" s="6">
        <v>0</v>
      </c>
      <c r="M388" s="6">
        <v>0</v>
      </c>
      <c r="N388" s="6">
        <v>0</v>
      </c>
      <c r="O388" s="6">
        <v>0</v>
      </c>
      <c r="P388" s="6">
        <v>2</v>
      </c>
      <c r="Q388" s="4" t="s">
        <v>53</v>
      </c>
      <c r="R388" s="4">
        <v>0</v>
      </c>
      <c r="S388" s="4" t="s">
        <v>171</v>
      </c>
      <c r="U388" s="4">
        <v>18</v>
      </c>
      <c r="V388" s="4">
        <v>0</v>
      </c>
      <c r="W388" s="4">
        <v>0</v>
      </c>
    </row>
    <row r="389" spans="1:23" ht="11.25" customHeight="1" x14ac:dyDescent="0.25">
      <c r="A389" s="4" t="s">
        <v>21</v>
      </c>
      <c r="B389" s="4" t="s">
        <v>33</v>
      </c>
      <c r="C389" s="4" t="s">
        <v>34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13606</v>
      </c>
      <c r="K389" s="6">
        <v>13606</v>
      </c>
      <c r="L389" s="6">
        <v>0</v>
      </c>
      <c r="M389" s="6">
        <v>0</v>
      </c>
      <c r="N389" s="6">
        <v>0</v>
      </c>
      <c r="O389" s="6">
        <v>0</v>
      </c>
      <c r="P389" s="6">
        <v>77</v>
      </c>
      <c r="Q389" s="4" t="s">
        <v>26</v>
      </c>
      <c r="R389" s="4">
        <v>0</v>
      </c>
      <c r="S389" s="4" t="s">
        <v>172</v>
      </c>
      <c r="U389" s="4">
        <v>18</v>
      </c>
      <c r="V389" s="4">
        <v>0</v>
      </c>
      <c r="W389" s="4">
        <v>0</v>
      </c>
    </row>
    <row r="390" spans="1:23" ht="11.25" customHeight="1" x14ac:dyDescent="0.25">
      <c r="A390" s="4" t="s">
        <v>28</v>
      </c>
      <c r="B390" s="4" t="s">
        <v>33</v>
      </c>
      <c r="C390" s="4" t="s">
        <v>34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280</v>
      </c>
      <c r="K390" s="6">
        <v>280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26</v>
      </c>
      <c r="R390" s="4">
        <v>0</v>
      </c>
      <c r="S390" s="4" t="s">
        <v>172</v>
      </c>
      <c r="U390" s="4">
        <v>18</v>
      </c>
      <c r="V390" s="4">
        <v>0</v>
      </c>
      <c r="W390" s="4">
        <v>0</v>
      </c>
    </row>
    <row r="391" spans="1:23" ht="11.25" customHeight="1" x14ac:dyDescent="0.25">
      <c r="A391" s="4" t="s">
        <v>21</v>
      </c>
      <c r="B391" s="4" t="s">
        <v>33</v>
      </c>
      <c r="C391" s="4" t="s">
        <v>34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44531</v>
      </c>
      <c r="J391" s="6">
        <v>6350</v>
      </c>
      <c r="K391" s="6">
        <v>6350</v>
      </c>
      <c r="L391" s="6">
        <v>0</v>
      </c>
      <c r="M391" s="6">
        <v>0</v>
      </c>
      <c r="N391" s="6">
        <v>0</v>
      </c>
      <c r="O391" s="6">
        <v>0</v>
      </c>
      <c r="P391" s="6">
        <v>2</v>
      </c>
      <c r="Q391" s="4" t="s">
        <v>53</v>
      </c>
      <c r="R391" s="4">
        <v>0</v>
      </c>
      <c r="S391" s="4" t="s">
        <v>172</v>
      </c>
      <c r="U391" s="4">
        <v>18</v>
      </c>
      <c r="V391" s="4">
        <v>0</v>
      </c>
      <c r="W391" s="4">
        <v>0</v>
      </c>
    </row>
    <row r="392" spans="1:23" ht="11.25" customHeight="1" x14ac:dyDescent="0.25">
      <c r="A392" s="4" t="s">
        <v>21</v>
      </c>
      <c r="B392" s="4" t="s">
        <v>33</v>
      </c>
      <c r="C392" s="4" t="s">
        <v>34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13577</v>
      </c>
      <c r="K392" s="6">
        <v>13577</v>
      </c>
      <c r="L392" s="6">
        <v>0</v>
      </c>
      <c r="M392" s="6">
        <v>0</v>
      </c>
      <c r="N392" s="6">
        <v>0</v>
      </c>
      <c r="O392" s="6">
        <v>0</v>
      </c>
      <c r="P392" s="6">
        <v>76</v>
      </c>
      <c r="Q392" s="4" t="s">
        <v>26</v>
      </c>
      <c r="R392" s="4">
        <v>0</v>
      </c>
      <c r="S392" s="4" t="s">
        <v>173</v>
      </c>
      <c r="U392" s="4">
        <v>18</v>
      </c>
      <c r="V392" s="4">
        <v>0</v>
      </c>
      <c r="W392" s="4">
        <v>0</v>
      </c>
    </row>
    <row r="393" spans="1:23" ht="11.25" customHeight="1" x14ac:dyDescent="0.25">
      <c r="A393" s="4" t="s">
        <v>28</v>
      </c>
      <c r="B393" s="4" t="s">
        <v>33</v>
      </c>
      <c r="C393" s="4" t="s">
        <v>34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280</v>
      </c>
      <c r="K393" s="6">
        <v>280</v>
      </c>
      <c r="L393" s="6">
        <v>0</v>
      </c>
      <c r="M393" s="6">
        <v>0</v>
      </c>
      <c r="N393" s="6">
        <v>0</v>
      </c>
      <c r="O393" s="6">
        <v>0</v>
      </c>
      <c r="P393" s="6">
        <v>1</v>
      </c>
      <c r="Q393" s="4" t="s">
        <v>26</v>
      </c>
      <c r="R393" s="4">
        <v>0</v>
      </c>
      <c r="S393" s="4" t="s">
        <v>173</v>
      </c>
      <c r="U393" s="4">
        <v>18</v>
      </c>
      <c r="V393" s="4">
        <v>0</v>
      </c>
      <c r="W393" s="4">
        <v>0</v>
      </c>
    </row>
    <row r="394" spans="1:23" ht="11.25" customHeight="1" x14ac:dyDescent="0.25">
      <c r="A394" s="4" t="s">
        <v>21</v>
      </c>
      <c r="B394" s="4" t="s">
        <v>33</v>
      </c>
      <c r="C394" s="4" t="s">
        <v>34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44562</v>
      </c>
      <c r="J394" s="6">
        <v>6350</v>
      </c>
      <c r="K394" s="6">
        <v>6350</v>
      </c>
      <c r="L394" s="6">
        <v>0</v>
      </c>
      <c r="M394" s="6">
        <v>0</v>
      </c>
      <c r="N394" s="6">
        <v>0</v>
      </c>
      <c r="O394" s="6">
        <v>0</v>
      </c>
      <c r="P394" s="6">
        <v>2</v>
      </c>
      <c r="Q394" s="4" t="s">
        <v>53</v>
      </c>
      <c r="R394" s="4">
        <v>0</v>
      </c>
      <c r="S394" s="4" t="s">
        <v>173</v>
      </c>
      <c r="U394" s="4">
        <v>18</v>
      </c>
      <c r="V394" s="4">
        <v>0</v>
      </c>
      <c r="W394" s="4">
        <v>0</v>
      </c>
    </row>
    <row r="395" spans="1:23" ht="11.25" customHeight="1" x14ac:dyDescent="0.25">
      <c r="A395" s="4" t="s">
        <v>21</v>
      </c>
      <c r="B395" s="4" t="s">
        <v>33</v>
      </c>
      <c r="C395" s="4" t="s">
        <v>34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13674</v>
      </c>
      <c r="K395" s="6">
        <v>13674</v>
      </c>
      <c r="L395" s="6">
        <v>0</v>
      </c>
      <c r="M395" s="6">
        <v>0</v>
      </c>
      <c r="N395" s="6">
        <v>0</v>
      </c>
      <c r="O395" s="6">
        <v>0</v>
      </c>
      <c r="P395" s="6">
        <v>77</v>
      </c>
      <c r="Q395" s="4" t="s">
        <v>26</v>
      </c>
      <c r="R395" s="4">
        <v>0</v>
      </c>
      <c r="S395" s="4" t="s">
        <v>174</v>
      </c>
      <c r="U395" s="4">
        <v>18</v>
      </c>
      <c r="V395" s="4">
        <v>0</v>
      </c>
      <c r="W395" s="4">
        <v>0</v>
      </c>
    </row>
    <row r="396" spans="1:23" ht="11.25" customHeight="1" x14ac:dyDescent="0.25">
      <c r="A396" s="4" t="s">
        <v>28</v>
      </c>
      <c r="B396" s="4" t="s">
        <v>33</v>
      </c>
      <c r="C396" s="4" t="s">
        <v>34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44593</v>
      </c>
      <c r="J396" s="6">
        <v>280</v>
      </c>
      <c r="K396" s="6">
        <v>280</v>
      </c>
      <c r="L396" s="6">
        <v>0</v>
      </c>
      <c r="M396" s="6">
        <v>0</v>
      </c>
      <c r="N396" s="6">
        <v>0</v>
      </c>
      <c r="O396" s="6">
        <v>0</v>
      </c>
      <c r="P396" s="6">
        <v>1</v>
      </c>
      <c r="Q396" s="4" t="s">
        <v>26</v>
      </c>
      <c r="R396" s="4">
        <v>0</v>
      </c>
      <c r="S396" s="4" t="s">
        <v>174</v>
      </c>
      <c r="U396" s="4">
        <v>18</v>
      </c>
      <c r="V396" s="4">
        <v>0</v>
      </c>
      <c r="W396" s="4">
        <v>0</v>
      </c>
    </row>
    <row r="397" spans="1:23" ht="11.25" customHeight="1" x14ac:dyDescent="0.25">
      <c r="A397" s="4" t="s">
        <v>21</v>
      </c>
      <c r="B397" s="4" t="s">
        <v>33</v>
      </c>
      <c r="C397" s="4" t="s">
        <v>34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44593</v>
      </c>
      <c r="J397" s="6">
        <v>6350</v>
      </c>
      <c r="K397" s="6">
        <v>6350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53</v>
      </c>
      <c r="R397" s="4">
        <v>0</v>
      </c>
      <c r="S397" s="4" t="s">
        <v>174</v>
      </c>
      <c r="U397" s="4">
        <v>18</v>
      </c>
      <c r="V397" s="4">
        <v>0</v>
      </c>
      <c r="W397" s="4">
        <v>0</v>
      </c>
    </row>
    <row r="398" spans="1:23" ht="11.25" customHeight="1" x14ac:dyDescent="0.25">
      <c r="A398" s="4" t="s">
        <v>21</v>
      </c>
      <c r="B398" s="4" t="s">
        <v>33</v>
      </c>
      <c r="C398" s="4" t="s">
        <v>34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13669</v>
      </c>
      <c r="K398" s="6">
        <v>13669</v>
      </c>
      <c r="L398" s="6">
        <v>0</v>
      </c>
      <c r="M398" s="6">
        <v>0</v>
      </c>
      <c r="N398" s="6">
        <v>0</v>
      </c>
      <c r="O398" s="6">
        <v>0</v>
      </c>
      <c r="P398" s="6">
        <v>76</v>
      </c>
      <c r="Q398" s="4" t="s">
        <v>26</v>
      </c>
      <c r="R398" s="4">
        <v>0</v>
      </c>
      <c r="S398" s="4" t="s">
        <v>175</v>
      </c>
      <c r="U398" s="4">
        <v>18</v>
      </c>
      <c r="V398" s="4">
        <v>0</v>
      </c>
      <c r="W398" s="4">
        <v>0</v>
      </c>
    </row>
    <row r="399" spans="1:23" ht="11.25" customHeight="1" x14ac:dyDescent="0.25">
      <c r="A399" s="4" t="s">
        <v>28</v>
      </c>
      <c r="B399" s="4" t="s">
        <v>33</v>
      </c>
      <c r="C399" s="4" t="s">
        <v>34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44621</v>
      </c>
      <c r="J399" s="6">
        <v>281</v>
      </c>
      <c r="K399" s="6">
        <v>281</v>
      </c>
      <c r="L399" s="6">
        <v>0</v>
      </c>
      <c r="M399" s="6">
        <v>0</v>
      </c>
      <c r="N399" s="6">
        <v>0</v>
      </c>
      <c r="O399" s="6">
        <v>0</v>
      </c>
      <c r="P399" s="6">
        <v>1</v>
      </c>
      <c r="Q399" s="4" t="s">
        <v>26</v>
      </c>
      <c r="R399" s="4">
        <v>0</v>
      </c>
      <c r="S399" s="4" t="s">
        <v>175</v>
      </c>
      <c r="U399" s="4">
        <v>18</v>
      </c>
      <c r="V399" s="4">
        <v>0</v>
      </c>
      <c r="W399" s="4">
        <v>0</v>
      </c>
    </row>
    <row r="400" spans="1:23" ht="11.25" customHeight="1" x14ac:dyDescent="0.25">
      <c r="A400" s="4" t="s">
        <v>21</v>
      </c>
      <c r="B400" s="4" t="s">
        <v>33</v>
      </c>
      <c r="C400" s="4" t="s">
        <v>34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44621</v>
      </c>
      <c r="J400" s="6">
        <v>6000</v>
      </c>
      <c r="K400" s="6">
        <v>6000</v>
      </c>
      <c r="L400" s="6">
        <v>0</v>
      </c>
      <c r="M400" s="6">
        <v>0</v>
      </c>
      <c r="N400" s="6">
        <v>0</v>
      </c>
      <c r="O400" s="6">
        <v>0</v>
      </c>
      <c r="P400" s="6">
        <v>2</v>
      </c>
      <c r="Q400" s="4" t="s">
        <v>53</v>
      </c>
      <c r="R400" s="4">
        <v>0</v>
      </c>
      <c r="S400" s="4" t="s">
        <v>175</v>
      </c>
      <c r="U400" s="4">
        <v>18</v>
      </c>
      <c r="V400" s="4">
        <v>0</v>
      </c>
      <c r="W400" s="4">
        <v>0</v>
      </c>
    </row>
    <row r="401" spans="1:23" ht="11.25" customHeight="1" x14ac:dyDescent="0.25">
      <c r="A401" s="4" t="s">
        <v>21</v>
      </c>
      <c r="B401" s="4" t="s">
        <v>33</v>
      </c>
      <c r="C401" s="4" t="s">
        <v>34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13744</v>
      </c>
      <c r="K401" s="6">
        <v>13744</v>
      </c>
      <c r="L401" s="6">
        <v>0</v>
      </c>
      <c r="M401" s="6">
        <v>0</v>
      </c>
      <c r="N401" s="6">
        <v>0</v>
      </c>
      <c r="O401" s="6">
        <v>0</v>
      </c>
      <c r="P401" s="6">
        <v>77</v>
      </c>
      <c r="Q401" s="4" t="s">
        <v>26</v>
      </c>
      <c r="R401" s="4">
        <v>0</v>
      </c>
      <c r="S401" s="4" t="s">
        <v>176</v>
      </c>
      <c r="U401" s="4">
        <v>18</v>
      </c>
      <c r="V401" s="4">
        <v>0</v>
      </c>
      <c r="W401" s="4">
        <v>0</v>
      </c>
    </row>
    <row r="402" spans="1:23" ht="11.25" customHeight="1" x14ac:dyDescent="0.25">
      <c r="A402" s="4" t="s">
        <v>28</v>
      </c>
      <c r="B402" s="4" t="s">
        <v>33</v>
      </c>
      <c r="C402" s="4" t="s">
        <v>34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44652</v>
      </c>
      <c r="J402" s="6">
        <v>280</v>
      </c>
      <c r="K402" s="6">
        <v>280</v>
      </c>
      <c r="L402" s="6">
        <v>0</v>
      </c>
      <c r="M402" s="6">
        <v>0</v>
      </c>
      <c r="N402" s="6">
        <v>0</v>
      </c>
      <c r="O402" s="6">
        <v>0</v>
      </c>
      <c r="P402" s="6">
        <v>1</v>
      </c>
      <c r="Q402" s="4" t="s">
        <v>26</v>
      </c>
      <c r="R402" s="4">
        <v>0</v>
      </c>
      <c r="S402" s="4" t="s">
        <v>176</v>
      </c>
      <c r="U402" s="4">
        <v>18</v>
      </c>
      <c r="V402" s="4">
        <v>0</v>
      </c>
      <c r="W402" s="4">
        <v>0</v>
      </c>
    </row>
    <row r="403" spans="1:23" ht="11.25" customHeight="1" x14ac:dyDescent="0.25">
      <c r="A403" s="4" t="s">
        <v>21</v>
      </c>
      <c r="B403" s="4" t="s">
        <v>33</v>
      </c>
      <c r="C403" s="4" t="s">
        <v>34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6145</v>
      </c>
      <c r="K403" s="6">
        <v>6145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4" t="s">
        <v>53</v>
      </c>
      <c r="R403" s="4">
        <v>0</v>
      </c>
      <c r="S403" s="4" t="s">
        <v>176</v>
      </c>
      <c r="U403" s="4">
        <v>18</v>
      </c>
      <c r="V403" s="4">
        <v>0</v>
      </c>
      <c r="W403" s="4">
        <v>0</v>
      </c>
    </row>
    <row r="404" spans="1:23" ht="11.25" customHeight="1" x14ac:dyDescent="0.25">
      <c r="A404" s="4" t="s">
        <v>21</v>
      </c>
      <c r="B404" s="4" t="s">
        <v>33</v>
      </c>
      <c r="C404" s="4" t="s">
        <v>34</v>
      </c>
      <c r="D404" s="4" t="s">
        <v>40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13786</v>
      </c>
      <c r="K404" s="6">
        <v>13786</v>
      </c>
      <c r="L404" s="6">
        <v>0</v>
      </c>
      <c r="M404" s="6">
        <v>0</v>
      </c>
      <c r="N404" s="6">
        <v>0</v>
      </c>
      <c r="O404" s="6">
        <v>0</v>
      </c>
      <c r="P404" s="6">
        <v>78</v>
      </c>
      <c r="Q404" s="4" t="s">
        <v>26</v>
      </c>
      <c r="R404" s="4">
        <v>0</v>
      </c>
      <c r="S404" s="4" t="s">
        <v>177</v>
      </c>
      <c r="U404" s="4">
        <v>18</v>
      </c>
      <c r="V404" s="4">
        <v>0</v>
      </c>
      <c r="W404" s="4">
        <v>0</v>
      </c>
    </row>
    <row r="405" spans="1:23" ht="11.25" customHeight="1" x14ac:dyDescent="0.25">
      <c r="A405" s="4" t="s">
        <v>28</v>
      </c>
      <c r="B405" s="4" t="s">
        <v>33</v>
      </c>
      <c r="C405" s="4" t="s">
        <v>34</v>
      </c>
      <c r="D405" s="4" t="s">
        <v>40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296</v>
      </c>
      <c r="K405" s="6">
        <v>296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4" t="s">
        <v>26</v>
      </c>
      <c r="R405" s="4">
        <v>0</v>
      </c>
      <c r="S405" s="4" t="s">
        <v>177</v>
      </c>
      <c r="U405" s="4">
        <v>18</v>
      </c>
      <c r="V405" s="4">
        <v>0</v>
      </c>
      <c r="W405" s="4">
        <v>0</v>
      </c>
    </row>
    <row r="406" spans="1:23" ht="11.25" customHeight="1" x14ac:dyDescent="0.25">
      <c r="A406" s="4" t="s">
        <v>21</v>
      </c>
      <c r="B406" s="4" t="s">
        <v>33</v>
      </c>
      <c r="C406" s="4" t="s">
        <v>34</v>
      </c>
      <c r="D406" s="4" t="s">
        <v>40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6000</v>
      </c>
      <c r="K406" s="6">
        <v>6000</v>
      </c>
      <c r="L406" s="6">
        <v>0</v>
      </c>
      <c r="M406" s="6">
        <v>0</v>
      </c>
      <c r="N406" s="6">
        <v>0</v>
      </c>
      <c r="O406" s="6">
        <v>0</v>
      </c>
      <c r="P406" s="6">
        <v>2</v>
      </c>
      <c r="Q406" s="4" t="s">
        <v>53</v>
      </c>
      <c r="R406" s="4">
        <v>0</v>
      </c>
      <c r="S406" s="4" t="s">
        <v>177</v>
      </c>
      <c r="U406" s="4">
        <v>18</v>
      </c>
      <c r="V406" s="4">
        <v>0</v>
      </c>
      <c r="W406" s="4">
        <v>0</v>
      </c>
    </row>
    <row r="407" spans="1:23" ht="11.25" customHeight="1" x14ac:dyDescent="0.25">
      <c r="A407" s="4" t="s">
        <v>21</v>
      </c>
      <c r="B407" s="4" t="s">
        <v>33</v>
      </c>
      <c r="C407" s="4" t="s">
        <v>34</v>
      </c>
      <c r="D407" s="4" t="s">
        <v>40</v>
      </c>
      <c r="E407" s="4" t="s">
        <v>25</v>
      </c>
      <c r="F407" s="4" t="s">
        <v>25</v>
      </c>
      <c r="G407" s="4" t="s">
        <v>25</v>
      </c>
      <c r="H407" s="4" t="s">
        <v>37</v>
      </c>
      <c r="I407" s="5">
        <v>44348</v>
      </c>
      <c r="J407" s="6">
        <v>0</v>
      </c>
      <c r="K407" s="6">
        <v>0</v>
      </c>
      <c r="L407" s="6">
        <v>146.16</v>
      </c>
      <c r="M407" s="6">
        <v>146.16</v>
      </c>
      <c r="N407" s="6">
        <v>146.16</v>
      </c>
      <c r="O407" s="6">
        <v>146.16</v>
      </c>
      <c r="P407" s="6">
        <v>0</v>
      </c>
      <c r="Q407" s="4" t="s">
        <v>26</v>
      </c>
      <c r="R407" s="4">
        <v>0</v>
      </c>
      <c r="S407" s="4" t="s">
        <v>178</v>
      </c>
      <c r="T407" s="4" t="s">
        <v>399</v>
      </c>
      <c r="U407" s="4">
        <v>0</v>
      </c>
      <c r="V407" s="4">
        <v>19</v>
      </c>
      <c r="W407" s="4">
        <v>65</v>
      </c>
    </row>
    <row r="408" spans="1:23" ht="11.25" customHeight="1" x14ac:dyDescent="0.25">
      <c r="A408" s="4" t="s">
        <v>21</v>
      </c>
      <c r="B408" s="4" t="s">
        <v>33</v>
      </c>
      <c r="C408" s="4" t="s">
        <v>34</v>
      </c>
      <c r="D408" s="4" t="s">
        <v>40</v>
      </c>
      <c r="E408" s="4" t="s">
        <v>25</v>
      </c>
      <c r="F408" s="4" t="s">
        <v>25</v>
      </c>
      <c r="G408" s="4" t="s">
        <v>25</v>
      </c>
      <c r="H408" s="4" t="s">
        <v>37</v>
      </c>
      <c r="I408" s="5">
        <v>44348</v>
      </c>
      <c r="J408" s="6">
        <v>0</v>
      </c>
      <c r="K408" s="6">
        <v>0</v>
      </c>
      <c r="L408" s="6">
        <v>66.706999999999994</v>
      </c>
      <c r="M408" s="6">
        <v>66.706999999999994</v>
      </c>
      <c r="N408" s="6">
        <v>0</v>
      </c>
      <c r="O408" s="6">
        <v>0</v>
      </c>
      <c r="P408" s="6">
        <v>0</v>
      </c>
      <c r="Q408" s="4" t="s">
        <v>53</v>
      </c>
      <c r="R408" s="4">
        <v>0</v>
      </c>
      <c r="S408" s="4" t="s">
        <v>178</v>
      </c>
      <c r="U408" s="4">
        <v>0</v>
      </c>
      <c r="V408" s="4">
        <v>19</v>
      </c>
      <c r="W408" s="4">
        <v>0</v>
      </c>
    </row>
    <row r="409" spans="1:23" ht="11.25" customHeight="1" x14ac:dyDescent="0.25">
      <c r="A409" s="4" t="s">
        <v>21</v>
      </c>
      <c r="B409" s="4" t="s">
        <v>33</v>
      </c>
      <c r="C409" s="4" t="s">
        <v>34</v>
      </c>
      <c r="D409" s="4" t="s">
        <v>40</v>
      </c>
      <c r="E409" s="4" t="s">
        <v>25</v>
      </c>
      <c r="F409" s="4" t="s">
        <v>25</v>
      </c>
      <c r="G409" s="4" t="s">
        <v>25</v>
      </c>
      <c r="H409" s="4" t="s">
        <v>37</v>
      </c>
      <c r="I409" s="5">
        <v>44378</v>
      </c>
      <c r="J409" s="6">
        <v>0</v>
      </c>
      <c r="K409" s="6">
        <v>0</v>
      </c>
      <c r="L409" s="6">
        <v>150.155</v>
      </c>
      <c r="M409" s="6">
        <v>150.155</v>
      </c>
      <c r="N409" s="6">
        <v>150.155</v>
      </c>
      <c r="O409" s="6">
        <v>150.155</v>
      </c>
      <c r="P409" s="6">
        <v>0</v>
      </c>
      <c r="Q409" s="4" t="s">
        <v>26</v>
      </c>
      <c r="R409" s="4">
        <v>0</v>
      </c>
      <c r="S409" s="4" t="s">
        <v>179</v>
      </c>
      <c r="T409" s="4" t="s">
        <v>400</v>
      </c>
      <c r="U409" s="4">
        <v>0</v>
      </c>
      <c r="V409" s="4">
        <v>19</v>
      </c>
      <c r="W409" s="4">
        <v>65</v>
      </c>
    </row>
    <row r="410" spans="1:23" ht="11.25" customHeight="1" x14ac:dyDescent="0.25">
      <c r="A410" s="4" t="s">
        <v>21</v>
      </c>
      <c r="B410" s="4" t="s">
        <v>33</v>
      </c>
      <c r="C410" s="4" t="s">
        <v>34</v>
      </c>
      <c r="D410" s="4" t="s">
        <v>40</v>
      </c>
      <c r="E410" s="4" t="s">
        <v>25</v>
      </c>
      <c r="F410" s="4" t="s">
        <v>25</v>
      </c>
      <c r="G410" s="4" t="s">
        <v>25</v>
      </c>
      <c r="H410" s="4" t="s">
        <v>37</v>
      </c>
      <c r="I410" s="5">
        <v>44378</v>
      </c>
      <c r="J410" s="6">
        <v>0</v>
      </c>
      <c r="K410" s="6">
        <v>0</v>
      </c>
      <c r="L410" s="6">
        <v>62.363999999999997</v>
      </c>
      <c r="M410" s="6">
        <v>62.363999999999997</v>
      </c>
      <c r="N410" s="6">
        <v>0</v>
      </c>
      <c r="O410" s="6">
        <v>0</v>
      </c>
      <c r="P410" s="6">
        <v>0</v>
      </c>
      <c r="Q410" s="4" t="s">
        <v>53</v>
      </c>
      <c r="R410" s="4">
        <v>0</v>
      </c>
      <c r="S410" s="4" t="s">
        <v>179</v>
      </c>
      <c r="U410" s="4">
        <v>0</v>
      </c>
      <c r="V410" s="4">
        <v>19</v>
      </c>
      <c r="W410" s="4">
        <v>0</v>
      </c>
    </row>
    <row r="411" spans="1:23" ht="11.25" customHeight="1" x14ac:dyDescent="0.25">
      <c r="A411" s="4" t="s">
        <v>21</v>
      </c>
      <c r="B411" s="4" t="s">
        <v>33</v>
      </c>
      <c r="C411" s="4" t="s">
        <v>34</v>
      </c>
      <c r="D411" s="4" t="s">
        <v>40</v>
      </c>
      <c r="E411" s="4" t="s">
        <v>25</v>
      </c>
      <c r="F411" s="4" t="s">
        <v>25</v>
      </c>
      <c r="G411" s="4" t="s">
        <v>25</v>
      </c>
      <c r="H411" s="4" t="s">
        <v>37</v>
      </c>
      <c r="I411" s="5">
        <v>44409</v>
      </c>
      <c r="J411" s="6">
        <v>0</v>
      </c>
      <c r="K411" s="6">
        <v>0</v>
      </c>
      <c r="L411" s="6">
        <v>165.23599999999999</v>
      </c>
      <c r="M411" s="6">
        <v>165.23599999999999</v>
      </c>
      <c r="N411" s="6">
        <v>165.23599999999999</v>
      </c>
      <c r="O411" s="6">
        <v>165.23599999999999</v>
      </c>
      <c r="P411" s="6">
        <v>0</v>
      </c>
      <c r="Q411" s="4" t="s">
        <v>26</v>
      </c>
      <c r="R411" s="4">
        <v>0</v>
      </c>
      <c r="S411" s="4" t="s">
        <v>180</v>
      </c>
      <c r="T411" s="4" t="s">
        <v>401</v>
      </c>
      <c r="U411" s="4">
        <v>0</v>
      </c>
      <c r="V411" s="4">
        <v>19</v>
      </c>
      <c r="W411" s="4">
        <v>65</v>
      </c>
    </row>
    <row r="412" spans="1:23" ht="11.25" customHeight="1" x14ac:dyDescent="0.25">
      <c r="A412" s="4" t="s">
        <v>21</v>
      </c>
      <c r="B412" s="4" t="s">
        <v>33</v>
      </c>
      <c r="C412" s="4" t="s">
        <v>34</v>
      </c>
      <c r="D412" s="4" t="s">
        <v>40</v>
      </c>
      <c r="E412" s="4" t="s">
        <v>25</v>
      </c>
      <c r="F412" s="4" t="s">
        <v>25</v>
      </c>
      <c r="G412" s="4" t="s">
        <v>25</v>
      </c>
      <c r="H412" s="4" t="s">
        <v>37</v>
      </c>
      <c r="I412" s="5">
        <v>44409</v>
      </c>
      <c r="J412" s="6">
        <v>0</v>
      </c>
      <c r="K412" s="6">
        <v>0</v>
      </c>
      <c r="L412" s="6">
        <v>54.103999999999999</v>
      </c>
      <c r="M412" s="6">
        <v>54.103999999999999</v>
      </c>
      <c r="N412" s="6">
        <v>0</v>
      </c>
      <c r="O412" s="6">
        <v>0</v>
      </c>
      <c r="P412" s="6">
        <v>0</v>
      </c>
      <c r="Q412" s="4" t="s">
        <v>53</v>
      </c>
      <c r="R412" s="4">
        <v>0</v>
      </c>
      <c r="S412" s="4" t="s">
        <v>180</v>
      </c>
      <c r="U412" s="4">
        <v>0</v>
      </c>
      <c r="V412" s="4">
        <v>19</v>
      </c>
      <c r="W412" s="4">
        <v>0</v>
      </c>
    </row>
    <row r="413" spans="1:23" ht="11.25" customHeight="1" x14ac:dyDescent="0.25">
      <c r="A413" s="4" t="s">
        <v>21</v>
      </c>
      <c r="B413" s="4" t="s">
        <v>33</v>
      </c>
      <c r="C413" s="4" t="s">
        <v>34</v>
      </c>
      <c r="D413" s="4" t="s">
        <v>40</v>
      </c>
      <c r="E413" s="4" t="s">
        <v>25</v>
      </c>
      <c r="F413" s="4" t="s">
        <v>25</v>
      </c>
      <c r="G413" s="4" t="s">
        <v>25</v>
      </c>
      <c r="H413" s="4" t="s">
        <v>37</v>
      </c>
      <c r="I413" s="5">
        <v>44440</v>
      </c>
      <c r="J413" s="6">
        <v>0</v>
      </c>
      <c r="K413" s="6">
        <v>0</v>
      </c>
      <c r="L413" s="6">
        <v>146.303</v>
      </c>
      <c r="M413" s="6">
        <v>146.303</v>
      </c>
      <c r="N413" s="6">
        <v>146.303</v>
      </c>
      <c r="O413" s="6">
        <v>146.303</v>
      </c>
      <c r="P413" s="6">
        <v>0</v>
      </c>
      <c r="Q413" s="4" t="s">
        <v>26</v>
      </c>
      <c r="R413" s="4">
        <v>0</v>
      </c>
      <c r="S413" s="4" t="s">
        <v>181</v>
      </c>
      <c r="T413" s="4" t="s">
        <v>402</v>
      </c>
      <c r="U413" s="4">
        <v>0</v>
      </c>
      <c r="V413" s="4">
        <v>19</v>
      </c>
      <c r="W413" s="4">
        <v>65</v>
      </c>
    </row>
    <row r="414" spans="1:23" ht="11.25" customHeight="1" x14ac:dyDescent="0.25">
      <c r="A414" s="4" t="s">
        <v>21</v>
      </c>
      <c r="B414" s="4" t="s">
        <v>33</v>
      </c>
      <c r="C414" s="4" t="s">
        <v>34</v>
      </c>
      <c r="D414" s="4" t="s">
        <v>40</v>
      </c>
      <c r="E414" s="4" t="s">
        <v>25</v>
      </c>
      <c r="F414" s="4" t="s">
        <v>25</v>
      </c>
      <c r="G414" s="4" t="s">
        <v>25</v>
      </c>
      <c r="H414" s="4" t="s">
        <v>37</v>
      </c>
      <c r="I414" s="5">
        <v>44440</v>
      </c>
      <c r="J414" s="6">
        <v>0</v>
      </c>
      <c r="K414" s="6">
        <v>0</v>
      </c>
      <c r="L414" s="6">
        <v>129.36799999999999</v>
      </c>
      <c r="M414" s="6">
        <v>129.36799999999999</v>
      </c>
      <c r="N414" s="6">
        <v>0</v>
      </c>
      <c r="O414" s="6">
        <v>0</v>
      </c>
      <c r="P414" s="6">
        <v>0</v>
      </c>
      <c r="Q414" s="4" t="s">
        <v>53</v>
      </c>
      <c r="R414" s="4">
        <v>0</v>
      </c>
      <c r="S414" s="4" t="s">
        <v>181</v>
      </c>
      <c r="U414" s="4">
        <v>0</v>
      </c>
      <c r="V414" s="4">
        <v>19</v>
      </c>
      <c r="W414" s="4">
        <v>0</v>
      </c>
    </row>
    <row r="415" spans="1:23" ht="11.25" customHeight="1" x14ac:dyDescent="0.25">
      <c r="A415" s="4" t="s">
        <v>21</v>
      </c>
      <c r="B415" s="4" t="s">
        <v>33</v>
      </c>
      <c r="C415" s="4" t="s">
        <v>34</v>
      </c>
      <c r="D415" s="4" t="s">
        <v>40</v>
      </c>
      <c r="E415" s="4" t="s">
        <v>25</v>
      </c>
      <c r="F415" s="4" t="s">
        <v>25</v>
      </c>
      <c r="G415" s="4" t="s">
        <v>25</v>
      </c>
      <c r="H415" s="4" t="s">
        <v>37</v>
      </c>
      <c r="I415" s="5">
        <v>44470</v>
      </c>
      <c r="J415" s="6">
        <v>0</v>
      </c>
      <c r="K415" s="6">
        <v>0</v>
      </c>
      <c r="L415" s="6">
        <v>131.60599999999999</v>
      </c>
      <c r="M415" s="6">
        <v>131.60599999999999</v>
      </c>
      <c r="N415" s="6">
        <v>131.60599999999999</v>
      </c>
      <c r="O415" s="6">
        <v>131.60599999999999</v>
      </c>
      <c r="P415" s="6">
        <v>0</v>
      </c>
      <c r="Q415" s="4" t="s">
        <v>26</v>
      </c>
      <c r="R415" s="4">
        <v>0</v>
      </c>
      <c r="S415" s="4" t="s">
        <v>182</v>
      </c>
      <c r="T415" s="4" t="s">
        <v>403</v>
      </c>
      <c r="U415" s="4">
        <v>0</v>
      </c>
      <c r="V415" s="4">
        <v>19</v>
      </c>
      <c r="W415" s="4">
        <v>65</v>
      </c>
    </row>
    <row r="416" spans="1:23" ht="11.25" customHeight="1" x14ac:dyDescent="0.25">
      <c r="A416" s="4" t="s">
        <v>21</v>
      </c>
      <c r="B416" s="4" t="s">
        <v>33</v>
      </c>
      <c r="C416" s="4" t="s">
        <v>34</v>
      </c>
      <c r="D416" s="4" t="s">
        <v>40</v>
      </c>
      <c r="E416" s="4" t="s">
        <v>25</v>
      </c>
      <c r="F416" s="4" t="s">
        <v>25</v>
      </c>
      <c r="G416" s="4" t="s">
        <v>25</v>
      </c>
      <c r="H416" s="4" t="s">
        <v>37</v>
      </c>
      <c r="I416" s="5">
        <v>44470</v>
      </c>
      <c r="J416" s="6">
        <v>0</v>
      </c>
      <c r="K416" s="6">
        <v>0</v>
      </c>
      <c r="L416" s="6">
        <v>120.376</v>
      </c>
      <c r="M416" s="6">
        <v>120.376</v>
      </c>
      <c r="N416" s="6">
        <v>0</v>
      </c>
      <c r="O416" s="6">
        <v>0</v>
      </c>
      <c r="P416" s="6">
        <v>0</v>
      </c>
      <c r="Q416" s="4" t="s">
        <v>53</v>
      </c>
      <c r="R416" s="4">
        <v>0</v>
      </c>
      <c r="S416" s="4" t="s">
        <v>182</v>
      </c>
      <c r="U416" s="4">
        <v>0</v>
      </c>
      <c r="V416" s="4">
        <v>19</v>
      </c>
      <c r="W416" s="4">
        <v>0</v>
      </c>
    </row>
    <row r="417" spans="1:23" ht="11.25" customHeight="1" x14ac:dyDescent="0.25">
      <c r="A417" s="4" t="s">
        <v>21</v>
      </c>
      <c r="B417" s="4" t="s">
        <v>33</v>
      </c>
      <c r="C417" s="4" t="s">
        <v>34</v>
      </c>
      <c r="D417" s="4" t="s">
        <v>40</v>
      </c>
      <c r="E417" s="4" t="s">
        <v>25</v>
      </c>
      <c r="F417" s="4" t="s">
        <v>25</v>
      </c>
      <c r="G417" s="4" t="s">
        <v>25</v>
      </c>
      <c r="H417" s="4" t="s">
        <v>37</v>
      </c>
      <c r="I417" s="5">
        <v>44501</v>
      </c>
      <c r="J417" s="6">
        <v>0</v>
      </c>
      <c r="K417" s="6">
        <v>0</v>
      </c>
      <c r="L417" s="6">
        <v>133.28399999999999</v>
      </c>
      <c r="M417" s="6">
        <v>133.28399999999999</v>
      </c>
      <c r="N417" s="6">
        <v>133.28399999999999</v>
      </c>
      <c r="O417" s="6">
        <v>133.28399999999999</v>
      </c>
      <c r="P417" s="6">
        <v>0</v>
      </c>
      <c r="Q417" s="4" t="s">
        <v>26</v>
      </c>
      <c r="R417" s="4">
        <v>0</v>
      </c>
      <c r="S417" s="4" t="s">
        <v>183</v>
      </c>
      <c r="T417" s="4" t="s">
        <v>404</v>
      </c>
      <c r="U417" s="4">
        <v>0</v>
      </c>
      <c r="V417" s="4">
        <v>19</v>
      </c>
      <c r="W417" s="4">
        <v>65</v>
      </c>
    </row>
    <row r="418" spans="1:23" ht="11.25" customHeight="1" x14ac:dyDescent="0.25">
      <c r="A418" s="4" t="s">
        <v>21</v>
      </c>
      <c r="B418" s="4" t="s">
        <v>33</v>
      </c>
      <c r="C418" s="4" t="s">
        <v>34</v>
      </c>
      <c r="D418" s="4" t="s">
        <v>40</v>
      </c>
      <c r="E418" s="4" t="s">
        <v>25</v>
      </c>
      <c r="F418" s="4" t="s">
        <v>25</v>
      </c>
      <c r="G418" s="4" t="s">
        <v>25</v>
      </c>
      <c r="H418" s="4" t="s">
        <v>37</v>
      </c>
      <c r="I418" s="5">
        <v>44501</v>
      </c>
      <c r="J418" s="6">
        <v>0</v>
      </c>
      <c r="K418" s="6">
        <v>0</v>
      </c>
      <c r="L418" s="6">
        <v>100.55800000000001</v>
      </c>
      <c r="M418" s="6">
        <v>100.55800000000001</v>
      </c>
      <c r="N418" s="6">
        <v>0</v>
      </c>
      <c r="O418" s="6">
        <v>0</v>
      </c>
      <c r="P418" s="6">
        <v>0</v>
      </c>
      <c r="Q418" s="4" t="s">
        <v>53</v>
      </c>
      <c r="R418" s="4">
        <v>0</v>
      </c>
      <c r="S418" s="4" t="s">
        <v>183</v>
      </c>
      <c r="U418" s="4">
        <v>0</v>
      </c>
      <c r="V418" s="4">
        <v>19</v>
      </c>
      <c r="W418" s="4">
        <v>0</v>
      </c>
    </row>
    <row r="419" spans="1:23" ht="11.25" customHeight="1" x14ac:dyDescent="0.25">
      <c r="A419" s="4" t="s">
        <v>21</v>
      </c>
      <c r="B419" s="4" t="s">
        <v>33</v>
      </c>
      <c r="C419" s="4" t="s">
        <v>34</v>
      </c>
      <c r="D419" s="4" t="s">
        <v>40</v>
      </c>
      <c r="E419" s="4" t="s">
        <v>25</v>
      </c>
      <c r="F419" s="4" t="s">
        <v>25</v>
      </c>
      <c r="G419" s="4" t="s">
        <v>25</v>
      </c>
      <c r="H419" s="4" t="s">
        <v>37</v>
      </c>
      <c r="I419" s="5">
        <v>44531</v>
      </c>
      <c r="J419" s="6">
        <v>0</v>
      </c>
      <c r="K419" s="6">
        <v>0</v>
      </c>
      <c r="L419" s="6">
        <v>127.95399999999999</v>
      </c>
      <c r="M419" s="6">
        <v>127.95399999999999</v>
      </c>
      <c r="N419" s="6">
        <v>127.95399999999999</v>
      </c>
      <c r="O419" s="6">
        <v>127.95399999999999</v>
      </c>
      <c r="P419" s="6">
        <v>0</v>
      </c>
      <c r="Q419" s="4" t="s">
        <v>26</v>
      </c>
      <c r="R419" s="4">
        <v>0</v>
      </c>
      <c r="S419" s="4" t="s">
        <v>184</v>
      </c>
      <c r="T419" s="4" t="s">
        <v>405</v>
      </c>
      <c r="U419" s="4">
        <v>0</v>
      </c>
      <c r="V419" s="4">
        <v>19</v>
      </c>
      <c r="W419" s="4">
        <v>65</v>
      </c>
    </row>
    <row r="420" spans="1:23" ht="11.25" customHeight="1" x14ac:dyDescent="0.25">
      <c r="A420" s="4" t="s">
        <v>28</v>
      </c>
      <c r="B420" s="4" t="s">
        <v>33</v>
      </c>
      <c r="C420" s="4" t="s">
        <v>34</v>
      </c>
      <c r="D420" s="4" t="s">
        <v>40</v>
      </c>
      <c r="E420" s="4" t="s">
        <v>25</v>
      </c>
      <c r="F420" s="4" t="s">
        <v>25</v>
      </c>
      <c r="G420" s="4" t="s">
        <v>25</v>
      </c>
      <c r="H420" s="4" t="s">
        <v>37</v>
      </c>
      <c r="I420" s="5">
        <v>44531</v>
      </c>
      <c r="J420" s="6">
        <v>0</v>
      </c>
      <c r="K420" s="6">
        <v>0</v>
      </c>
      <c r="L420" s="6">
        <v>0.70799999999999996</v>
      </c>
      <c r="M420" s="6">
        <v>0.70799999999999996</v>
      </c>
      <c r="N420" s="6">
        <v>0.70799999999999996</v>
      </c>
      <c r="O420" s="6">
        <v>0.70799999999999996</v>
      </c>
      <c r="P420" s="6">
        <v>0</v>
      </c>
      <c r="Q420" s="4" t="s">
        <v>26</v>
      </c>
      <c r="R420" s="4">
        <v>0</v>
      </c>
      <c r="S420" s="4" t="s">
        <v>184</v>
      </c>
      <c r="T420" s="4" t="s">
        <v>405</v>
      </c>
      <c r="U420" s="4">
        <v>0</v>
      </c>
      <c r="V420" s="4">
        <v>19</v>
      </c>
      <c r="W420" s="4">
        <v>65</v>
      </c>
    </row>
    <row r="421" spans="1:23" ht="11.25" customHeight="1" x14ac:dyDescent="0.25">
      <c r="A421" s="4" t="s">
        <v>21</v>
      </c>
      <c r="B421" s="4" t="s">
        <v>33</v>
      </c>
      <c r="C421" s="4" t="s">
        <v>34</v>
      </c>
      <c r="D421" s="4" t="s">
        <v>40</v>
      </c>
      <c r="E421" s="4" t="s">
        <v>25</v>
      </c>
      <c r="F421" s="4" t="s">
        <v>25</v>
      </c>
      <c r="G421" s="4" t="s">
        <v>25</v>
      </c>
      <c r="H421" s="4" t="s">
        <v>37</v>
      </c>
      <c r="I421" s="5">
        <v>44531</v>
      </c>
      <c r="J421" s="6">
        <v>0</v>
      </c>
      <c r="K421" s="6">
        <v>0</v>
      </c>
      <c r="L421" s="6">
        <v>135.91800000000001</v>
      </c>
      <c r="M421" s="6">
        <v>135.91800000000001</v>
      </c>
      <c r="N421" s="6">
        <v>0</v>
      </c>
      <c r="O421" s="6">
        <v>0</v>
      </c>
      <c r="P421" s="6">
        <v>0</v>
      </c>
      <c r="Q421" s="4" t="s">
        <v>53</v>
      </c>
      <c r="R421" s="4">
        <v>0</v>
      </c>
      <c r="S421" s="4" t="s">
        <v>184</v>
      </c>
      <c r="U421" s="4">
        <v>0</v>
      </c>
      <c r="V421" s="4">
        <v>19</v>
      </c>
      <c r="W421" s="4">
        <v>0</v>
      </c>
    </row>
    <row r="422" spans="1:23" ht="11.25" customHeight="1" x14ac:dyDescent="0.25">
      <c r="A422" s="4" t="s">
        <v>21</v>
      </c>
      <c r="B422" s="4" t="s">
        <v>33</v>
      </c>
      <c r="C422" s="4" t="s">
        <v>34</v>
      </c>
      <c r="D422" s="4" t="s">
        <v>40</v>
      </c>
      <c r="E422" s="4" t="s">
        <v>25</v>
      </c>
      <c r="F422" s="4" t="s">
        <v>25</v>
      </c>
      <c r="G422" s="4" t="s">
        <v>25</v>
      </c>
      <c r="H422" s="4" t="s">
        <v>37</v>
      </c>
      <c r="I422" s="5">
        <v>44562</v>
      </c>
      <c r="J422" s="6">
        <v>0</v>
      </c>
      <c r="K422" s="6">
        <v>0</v>
      </c>
      <c r="L422" s="6">
        <v>127.07299999999999</v>
      </c>
      <c r="M422" s="6">
        <v>127.07299999999999</v>
      </c>
      <c r="N422" s="6">
        <v>127.07299999999999</v>
      </c>
      <c r="O422" s="6">
        <v>127.07299999999999</v>
      </c>
      <c r="P422" s="6">
        <v>0</v>
      </c>
      <c r="Q422" s="4" t="s">
        <v>26</v>
      </c>
      <c r="R422" s="4">
        <v>0</v>
      </c>
      <c r="S422" s="4" t="s">
        <v>185</v>
      </c>
      <c r="T422" s="4" t="s">
        <v>406</v>
      </c>
      <c r="U422" s="4">
        <v>0</v>
      </c>
      <c r="V422" s="4">
        <v>19</v>
      </c>
      <c r="W422" s="4">
        <v>65</v>
      </c>
    </row>
    <row r="423" spans="1:23" ht="11.25" customHeight="1" x14ac:dyDescent="0.25">
      <c r="A423" s="4" t="s">
        <v>28</v>
      </c>
      <c r="B423" s="4" t="s">
        <v>33</v>
      </c>
      <c r="C423" s="4" t="s">
        <v>34</v>
      </c>
      <c r="D423" s="4" t="s">
        <v>40</v>
      </c>
      <c r="E423" s="4" t="s">
        <v>25</v>
      </c>
      <c r="F423" s="4" t="s">
        <v>25</v>
      </c>
      <c r="G423" s="4" t="s">
        <v>25</v>
      </c>
      <c r="H423" s="4" t="s">
        <v>37</v>
      </c>
      <c r="I423" s="5">
        <v>44562</v>
      </c>
      <c r="J423" s="6">
        <v>0</v>
      </c>
      <c r="K423" s="6">
        <v>0</v>
      </c>
      <c r="L423" s="6">
        <v>0.40100000000000002</v>
      </c>
      <c r="M423" s="6">
        <v>0.40100000000000002</v>
      </c>
      <c r="N423" s="6">
        <v>0.40100000000000002</v>
      </c>
      <c r="O423" s="6">
        <v>0.40100000000000002</v>
      </c>
      <c r="P423" s="6">
        <v>0</v>
      </c>
      <c r="Q423" s="4" t="s">
        <v>26</v>
      </c>
      <c r="R423" s="4">
        <v>0</v>
      </c>
      <c r="S423" s="4" t="s">
        <v>185</v>
      </c>
      <c r="T423" s="4" t="s">
        <v>406</v>
      </c>
      <c r="U423" s="4">
        <v>0</v>
      </c>
      <c r="V423" s="4">
        <v>19</v>
      </c>
      <c r="W423" s="4">
        <v>65</v>
      </c>
    </row>
    <row r="424" spans="1:23" ht="11.25" customHeight="1" x14ac:dyDescent="0.25">
      <c r="A424" s="4" t="s">
        <v>21</v>
      </c>
      <c r="B424" s="4" t="s">
        <v>33</v>
      </c>
      <c r="C424" s="4" t="s">
        <v>34</v>
      </c>
      <c r="D424" s="4" t="s">
        <v>40</v>
      </c>
      <c r="E424" s="4" t="s">
        <v>25</v>
      </c>
      <c r="F424" s="4" t="s">
        <v>25</v>
      </c>
      <c r="G424" s="4" t="s">
        <v>25</v>
      </c>
      <c r="H424" s="4" t="s">
        <v>37</v>
      </c>
      <c r="I424" s="5">
        <v>44562</v>
      </c>
      <c r="J424" s="6">
        <v>0</v>
      </c>
      <c r="K424" s="6">
        <v>0</v>
      </c>
      <c r="L424" s="6">
        <v>90.295000000000002</v>
      </c>
      <c r="M424" s="6">
        <v>90.295000000000002</v>
      </c>
      <c r="N424" s="6">
        <v>0</v>
      </c>
      <c r="O424" s="6">
        <v>0</v>
      </c>
      <c r="P424" s="6">
        <v>0</v>
      </c>
      <c r="Q424" s="4" t="s">
        <v>53</v>
      </c>
      <c r="R424" s="4">
        <v>0</v>
      </c>
      <c r="S424" s="4" t="s">
        <v>185</v>
      </c>
      <c r="U424" s="4">
        <v>0</v>
      </c>
      <c r="V424" s="4">
        <v>19</v>
      </c>
      <c r="W424" s="4">
        <v>0</v>
      </c>
    </row>
    <row r="425" spans="1:23" ht="11.25" customHeight="1" x14ac:dyDescent="0.25">
      <c r="A425" s="4" t="s">
        <v>21</v>
      </c>
      <c r="B425" s="4" t="s">
        <v>33</v>
      </c>
      <c r="C425" s="4" t="s">
        <v>34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44593</v>
      </c>
      <c r="J425" s="6">
        <v>0</v>
      </c>
      <c r="K425" s="6">
        <v>0</v>
      </c>
      <c r="L425" s="6">
        <v>125.185</v>
      </c>
      <c r="M425" s="6">
        <v>125.185</v>
      </c>
      <c r="N425" s="6">
        <v>125.185</v>
      </c>
      <c r="O425" s="6">
        <v>125.185</v>
      </c>
      <c r="P425" s="6">
        <v>0</v>
      </c>
      <c r="Q425" s="4" t="s">
        <v>26</v>
      </c>
      <c r="R425" s="4">
        <v>0</v>
      </c>
      <c r="S425" s="4" t="s">
        <v>186</v>
      </c>
      <c r="T425" s="4" t="s">
        <v>407</v>
      </c>
      <c r="U425" s="4">
        <v>0</v>
      </c>
      <c r="V425" s="4">
        <v>19</v>
      </c>
      <c r="W425" s="4">
        <v>65</v>
      </c>
    </row>
    <row r="426" spans="1:23" ht="11.25" customHeight="1" x14ac:dyDescent="0.25">
      <c r="A426" s="4" t="s">
        <v>28</v>
      </c>
      <c r="B426" s="4" t="s">
        <v>33</v>
      </c>
      <c r="C426" s="4" t="s">
        <v>34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44593</v>
      </c>
      <c r="J426" s="6">
        <v>0</v>
      </c>
      <c r="K426" s="6">
        <v>0</v>
      </c>
      <c r="L426" s="6">
        <v>0.34399999999999997</v>
      </c>
      <c r="M426" s="6">
        <v>0.34399999999999997</v>
      </c>
      <c r="N426" s="6">
        <v>0.34399999999999997</v>
      </c>
      <c r="O426" s="6">
        <v>0.34399999999999997</v>
      </c>
      <c r="P426" s="6">
        <v>0</v>
      </c>
      <c r="Q426" s="4" t="s">
        <v>26</v>
      </c>
      <c r="R426" s="4">
        <v>0</v>
      </c>
      <c r="S426" s="4" t="s">
        <v>186</v>
      </c>
      <c r="T426" s="4" t="s">
        <v>407</v>
      </c>
      <c r="U426" s="4">
        <v>0</v>
      </c>
      <c r="V426" s="4">
        <v>19</v>
      </c>
      <c r="W426" s="4">
        <v>65</v>
      </c>
    </row>
    <row r="427" spans="1:23" ht="11.25" customHeight="1" x14ac:dyDescent="0.25">
      <c r="A427" s="4" t="s">
        <v>21</v>
      </c>
      <c r="B427" s="4" t="s">
        <v>33</v>
      </c>
      <c r="C427" s="4" t="s">
        <v>34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44593</v>
      </c>
      <c r="J427" s="6">
        <v>0</v>
      </c>
      <c r="K427" s="6">
        <v>0</v>
      </c>
      <c r="L427" s="6">
        <v>80.036000000000001</v>
      </c>
      <c r="M427" s="6">
        <v>80.036000000000001</v>
      </c>
      <c r="N427" s="6">
        <v>0</v>
      </c>
      <c r="O427" s="6">
        <v>0</v>
      </c>
      <c r="P427" s="6">
        <v>0</v>
      </c>
      <c r="Q427" s="4" t="s">
        <v>53</v>
      </c>
      <c r="R427" s="4">
        <v>0</v>
      </c>
      <c r="S427" s="4" t="s">
        <v>186</v>
      </c>
      <c r="U427" s="4">
        <v>0</v>
      </c>
      <c r="V427" s="4">
        <v>19</v>
      </c>
      <c r="W427" s="4">
        <v>0</v>
      </c>
    </row>
    <row r="428" spans="1:23" ht="11.25" customHeight="1" x14ac:dyDescent="0.25">
      <c r="A428" s="4" t="s">
        <v>21</v>
      </c>
      <c r="B428" s="4" t="s">
        <v>33</v>
      </c>
      <c r="C428" s="4" t="s">
        <v>34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44621</v>
      </c>
      <c r="J428" s="6">
        <v>0</v>
      </c>
      <c r="K428" s="6">
        <v>0</v>
      </c>
      <c r="L428" s="6">
        <v>133.631</v>
      </c>
      <c r="M428" s="6">
        <v>133.631</v>
      </c>
      <c r="N428" s="6">
        <v>133.631</v>
      </c>
      <c r="O428" s="6">
        <v>133.631</v>
      </c>
      <c r="P428" s="6">
        <v>0</v>
      </c>
      <c r="Q428" s="4" t="s">
        <v>26</v>
      </c>
      <c r="R428" s="4">
        <v>0</v>
      </c>
      <c r="S428" s="4" t="s">
        <v>187</v>
      </c>
      <c r="T428" s="4" t="s">
        <v>408</v>
      </c>
      <c r="U428" s="4">
        <v>0</v>
      </c>
      <c r="V428" s="4">
        <v>19</v>
      </c>
      <c r="W428" s="4">
        <v>65</v>
      </c>
    </row>
    <row r="429" spans="1:23" ht="11.25" customHeight="1" x14ac:dyDescent="0.25">
      <c r="A429" s="4" t="s">
        <v>28</v>
      </c>
      <c r="B429" s="4" t="s">
        <v>33</v>
      </c>
      <c r="C429" s="4" t="s">
        <v>34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44621</v>
      </c>
      <c r="J429" s="6">
        <v>0</v>
      </c>
      <c r="K429" s="6">
        <v>0</v>
      </c>
      <c r="L429" s="6">
        <v>0.746</v>
      </c>
      <c r="M429" s="6">
        <v>0.746</v>
      </c>
      <c r="N429" s="6">
        <v>0.746</v>
      </c>
      <c r="O429" s="6">
        <v>0.746</v>
      </c>
      <c r="P429" s="6">
        <v>0</v>
      </c>
      <c r="Q429" s="4" t="s">
        <v>26</v>
      </c>
      <c r="R429" s="4">
        <v>0</v>
      </c>
      <c r="S429" s="4" t="s">
        <v>187</v>
      </c>
      <c r="T429" s="4" t="s">
        <v>408</v>
      </c>
      <c r="U429" s="4">
        <v>0</v>
      </c>
      <c r="V429" s="4">
        <v>19</v>
      </c>
      <c r="W429" s="4">
        <v>65</v>
      </c>
    </row>
    <row r="430" spans="1:23" ht="11.25" customHeight="1" x14ac:dyDescent="0.25">
      <c r="A430" s="4" t="s">
        <v>21</v>
      </c>
      <c r="B430" s="4" t="s">
        <v>33</v>
      </c>
      <c r="C430" s="4" t="s">
        <v>34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44621</v>
      </c>
      <c r="J430" s="6">
        <v>0</v>
      </c>
      <c r="K430" s="6">
        <v>0</v>
      </c>
      <c r="L430" s="6">
        <v>82.472999999999999</v>
      </c>
      <c r="M430" s="6">
        <v>82.472999999999999</v>
      </c>
      <c r="N430" s="6">
        <v>0</v>
      </c>
      <c r="O430" s="6">
        <v>0</v>
      </c>
      <c r="P430" s="6">
        <v>0</v>
      </c>
      <c r="Q430" s="4" t="s">
        <v>53</v>
      </c>
      <c r="R430" s="4">
        <v>0</v>
      </c>
      <c r="S430" s="4" t="s">
        <v>187</v>
      </c>
      <c r="U430" s="4">
        <v>0</v>
      </c>
      <c r="V430" s="4">
        <v>19</v>
      </c>
      <c r="W430" s="4">
        <v>0</v>
      </c>
    </row>
    <row r="431" spans="1:23" ht="11.25" customHeight="1" x14ac:dyDescent="0.25">
      <c r="A431" s="4" t="s">
        <v>21</v>
      </c>
      <c r="B431" s="4" t="s">
        <v>33</v>
      </c>
      <c r="C431" s="4" t="s">
        <v>34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44652</v>
      </c>
      <c r="J431" s="6">
        <v>0</v>
      </c>
      <c r="K431" s="6">
        <v>0</v>
      </c>
      <c r="L431" s="6">
        <v>139.10300000000001</v>
      </c>
      <c r="M431" s="6">
        <v>139.10300000000001</v>
      </c>
      <c r="N431" s="6">
        <v>139.10300000000001</v>
      </c>
      <c r="O431" s="6">
        <v>139.10300000000001</v>
      </c>
      <c r="P431" s="6">
        <v>0</v>
      </c>
      <c r="Q431" s="4" t="s">
        <v>26</v>
      </c>
      <c r="R431" s="4">
        <v>0</v>
      </c>
      <c r="S431" s="4" t="s">
        <v>188</v>
      </c>
      <c r="T431" s="4" t="s">
        <v>409</v>
      </c>
      <c r="U431" s="4">
        <v>0</v>
      </c>
      <c r="V431" s="4">
        <v>19</v>
      </c>
      <c r="W431" s="4">
        <v>65</v>
      </c>
    </row>
    <row r="432" spans="1:23" ht="11.25" customHeight="1" x14ac:dyDescent="0.25">
      <c r="A432" s="4" t="s">
        <v>28</v>
      </c>
      <c r="B432" s="4" t="s">
        <v>33</v>
      </c>
      <c r="C432" s="4" t="s">
        <v>34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44652</v>
      </c>
      <c r="J432" s="6">
        <v>0</v>
      </c>
      <c r="K432" s="6">
        <v>0</v>
      </c>
      <c r="L432" s="6">
        <v>0.57599999999999996</v>
      </c>
      <c r="M432" s="6">
        <v>0.57599999999999996</v>
      </c>
      <c r="N432" s="6">
        <v>0.57599999999999996</v>
      </c>
      <c r="O432" s="6">
        <v>0.57599999999999996</v>
      </c>
      <c r="P432" s="6">
        <v>0</v>
      </c>
      <c r="Q432" s="4" t="s">
        <v>26</v>
      </c>
      <c r="R432" s="4">
        <v>0</v>
      </c>
      <c r="S432" s="4" t="s">
        <v>188</v>
      </c>
      <c r="T432" s="4" t="s">
        <v>409</v>
      </c>
      <c r="U432" s="4">
        <v>0</v>
      </c>
      <c r="V432" s="4">
        <v>19</v>
      </c>
      <c r="W432" s="4">
        <v>65</v>
      </c>
    </row>
    <row r="433" spans="1:23" ht="11.25" customHeight="1" x14ac:dyDescent="0.25">
      <c r="A433" s="4" t="s">
        <v>21</v>
      </c>
      <c r="B433" s="4" t="s">
        <v>33</v>
      </c>
      <c r="C433" s="4" t="s">
        <v>34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98.531000000000006</v>
      </c>
      <c r="M433" s="6">
        <v>98.531000000000006</v>
      </c>
      <c r="N433" s="6">
        <v>0</v>
      </c>
      <c r="O433" s="6">
        <v>0</v>
      </c>
      <c r="P433" s="6">
        <v>0</v>
      </c>
      <c r="Q433" s="4" t="s">
        <v>53</v>
      </c>
      <c r="R433" s="4">
        <v>0</v>
      </c>
      <c r="S433" s="4" t="s">
        <v>188</v>
      </c>
      <c r="U433" s="4">
        <v>0</v>
      </c>
      <c r="V433" s="4">
        <v>19</v>
      </c>
      <c r="W433" s="4">
        <v>0</v>
      </c>
    </row>
    <row r="434" spans="1:23" ht="11.25" customHeight="1" x14ac:dyDescent="0.25">
      <c r="A434" s="4" t="s">
        <v>21</v>
      </c>
      <c r="B434" s="4" t="s">
        <v>33</v>
      </c>
      <c r="C434" s="4" t="s">
        <v>34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146.923</v>
      </c>
      <c r="M434" s="6">
        <v>146.923</v>
      </c>
      <c r="N434" s="6">
        <v>146.923</v>
      </c>
      <c r="O434" s="6">
        <v>146.923</v>
      </c>
      <c r="P434" s="6">
        <v>0</v>
      </c>
      <c r="Q434" s="4" t="s">
        <v>26</v>
      </c>
      <c r="R434" s="4">
        <v>0</v>
      </c>
      <c r="S434" s="4" t="s">
        <v>189</v>
      </c>
      <c r="T434" s="4" t="s">
        <v>410</v>
      </c>
      <c r="U434" s="4">
        <v>0</v>
      </c>
      <c r="V434" s="4">
        <v>19</v>
      </c>
      <c r="W434" s="4">
        <v>65</v>
      </c>
    </row>
    <row r="435" spans="1:23" ht="11.25" customHeight="1" x14ac:dyDescent="0.25">
      <c r="A435" s="4" t="s">
        <v>28</v>
      </c>
      <c r="B435" s="4" t="s">
        <v>33</v>
      </c>
      <c r="C435" s="4" t="s">
        <v>34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44682</v>
      </c>
      <c r="J435" s="6">
        <v>0</v>
      </c>
      <c r="K435" s="6">
        <v>0</v>
      </c>
      <c r="L435" s="6">
        <v>0.75800000000000001</v>
      </c>
      <c r="M435" s="6">
        <v>0.75800000000000001</v>
      </c>
      <c r="N435" s="6">
        <v>0.75800000000000001</v>
      </c>
      <c r="O435" s="6">
        <v>0.75800000000000001</v>
      </c>
      <c r="P435" s="6">
        <v>0</v>
      </c>
      <c r="Q435" s="4" t="s">
        <v>26</v>
      </c>
      <c r="R435" s="4">
        <v>0</v>
      </c>
      <c r="S435" s="4" t="s">
        <v>189</v>
      </c>
      <c r="T435" s="4" t="s">
        <v>410</v>
      </c>
      <c r="U435" s="4">
        <v>0</v>
      </c>
      <c r="V435" s="4">
        <v>19</v>
      </c>
      <c r="W435" s="4">
        <v>65</v>
      </c>
    </row>
    <row r="436" spans="1:23" ht="11.25" customHeight="1" x14ac:dyDescent="0.25">
      <c r="A436" s="4" t="s">
        <v>21</v>
      </c>
      <c r="B436" s="4" t="s">
        <v>33</v>
      </c>
      <c r="C436" s="4" t="s">
        <v>34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44682</v>
      </c>
      <c r="J436" s="6">
        <v>0</v>
      </c>
      <c r="K436" s="6">
        <v>0</v>
      </c>
      <c r="L436" s="6">
        <v>87.602000000000004</v>
      </c>
      <c r="M436" s="6">
        <v>87.602000000000004</v>
      </c>
      <c r="N436" s="6">
        <v>0</v>
      </c>
      <c r="O436" s="6">
        <v>0</v>
      </c>
      <c r="P436" s="6">
        <v>0</v>
      </c>
      <c r="Q436" s="4" t="s">
        <v>53</v>
      </c>
      <c r="R436" s="4">
        <v>0</v>
      </c>
      <c r="S436" s="4" t="s">
        <v>189</v>
      </c>
      <c r="U436" s="4">
        <v>0</v>
      </c>
      <c r="V436" s="4">
        <v>19</v>
      </c>
      <c r="W436" s="4">
        <v>0</v>
      </c>
    </row>
    <row r="437" spans="1:23" ht="11.25" customHeight="1" x14ac:dyDescent="0.25">
      <c r="A437" s="4" t="s">
        <v>21</v>
      </c>
      <c r="B437" s="4" t="s">
        <v>33</v>
      </c>
      <c r="C437" s="4" t="s">
        <v>34</v>
      </c>
      <c r="D437" s="4" t="s">
        <v>46</v>
      </c>
      <c r="E437" s="4" t="s">
        <v>25</v>
      </c>
      <c r="F437" s="4" t="s">
        <v>25</v>
      </c>
      <c r="G437" s="4" t="s">
        <v>25</v>
      </c>
      <c r="H437" s="4" t="s">
        <v>35</v>
      </c>
      <c r="I437" s="5">
        <v>44348</v>
      </c>
      <c r="J437" s="6">
        <v>0</v>
      </c>
      <c r="K437" s="6">
        <v>0</v>
      </c>
      <c r="L437" s="6">
        <v>54.496000000000002</v>
      </c>
      <c r="M437" s="6">
        <v>54.496000000000002</v>
      </c>
      <c r="N437" s="6">
        <v>54.496000000000002</v>
      </c>
      <c r="O437" s="6">
        <v>54.496000000000002</v>
      </c>
      <c r="P437" s="6">
        <v>0</v>
      </c>
      <c r="Q437" s="4" t="s">
        <v>26</v>
      </c>
      <c r="R437" s="4">
        <v>0</v>
      </c>
      <c r="S437" s="4" t="s">
        <v>154</v>
      </c>
      <c r="T437" s="4" t="s">
        <v>387</v>
      </c>
      <c r="U437" s="4">
        <v>0</v>
      </c>
      <c r="V437" s="4">
        <v>20</v>
      </c>
      <c r="W437" s="4">
        <v>66</v>
      </c>
    </row>
    <row r="438" spans="1:23" ht="11.25" customHeight="1" x14ac:dyDescent="0.25">
      <c r="A438" s="4" t="s">
        <v>28</v>
      </c>
      <c r="B438" s="4" t="s">
        <v>33</v>
      </c>
      <c r="C438" s="4" t="s">
        <v>34</v>
      </c>
      <c r="D438" s="4" t="s">
        <v>46</v>
      </c>
      <c r="E438" s="4" t="s">
        <v>25</v>
      </c>
      <c r="F438" s="4" t="s">
        <v>25</v>
      </c>
      <c r="G438" s="4" t="s">
        <v>25</v>
      </c>
      <c r="H438" s="4" t="s">
        <v>35</v>
      </c>
      <c r="I438" s="5">
        <v>44348</v>
      </c>
      <c r="J438" s="6">
        <v>0</v>
      </c>
      <c r="K438" s="6">
        <v>0</v>
      </c>
      <c r="L438" s="6">
        <v>2.1139999999999999</v>
      </c>
      <c r="M438" s="6">
        <v>2.1139999999999999</v>
      </c>
      <c r="N438" s="6">
        <v>2.1139999999999999</v>
      </c>
      <c r="O438" s="6">
        <v>2.1139999999999999</v>
      </c>
      <c r="P438" s="6">
        <v>0</v>
      </c>
      <c r="Q438" s="4" t="s">
        <v>26</v>
      </c>
      <c r="R438" s="4">
        <v>0</v>
      </c>
      <c r="S438" s="4" t="s">
        <v>154</v>
      </c>
      <c r="T438" s="4" t="s">
        <v>387</v>
      </c>
      <c r="U438" s="4">
        <v>0</v>
      </c>
      <c r="V438" s="4">
        <v>20</v>
      </c>
      <c r="W438" s="4">
        <v>66</v>
      </c>
    </row>
    <row r="439" spans="1:23" ht="11.25" customHeight="1" x14ac:dyDescent="0.25">
      <c r="A439" s="4" t="s">
        <v>21</v>
      </c>
      <c r="B439" s="4" t="s">
        <v>33</v>
      </c>
      <c r="C439" s="4" t="s">
        <v>34</v>
      </c>
      <c r="D439" s="4" t="s">
        <v>46</v>
      </c>
      <c r="E439" s="4" t="s">
        <v>25</v>
      </c>
      <c r="F439" s="4" t="s">
        <v>25</v>
      </c>
      <c r="G439" s="4" t="s">
        <v>25</v>
      </c>
      <c r="H439" s="4" t="s">
        <v>35</v>
      </c>
      <c r="I439" s="5">
        <v>44378</v>
      </c>
      <c r="J439" s="6">
        <v>0</v>
      </c>
      <c r="K439" s="6">
        <v>0</v>
      </c>
      <c r="L439" s="6">
        <v>58.798999999999999</v>
      </c>
      <c r="M439" s="6">
        <v>58.798999999999999</v>
      </c>
      <c r="N439" s="6">
        <v>58.798999999999999</v>
      </c>
      <c r="O439" s="6">
        <v>58.798999999999999</v>
      </c>
      <c r="P439" s="6">
        <v>0</v>
      </c>
      <c r="Q439" s="4" t="s">
        <v>26</v>
      </c>
      <c r="R439" s="4">
        <v>0</v>
      </c>
      <c r="S439" s="4" t="s">
        <v>155</v>
      </c>
      <c r="T439" s="4" t="s">
        <v>388</v>
      </c>
      <c r="U439" s="4">
        <v>0</v>
      </c>
      <c r="V439" s="4">
        <v>20</v>
      </c>
      <c r="W439" s="4">
        <v>66</v>
      </c>
    </row>
    <row r="440" spans="1:23" ht="11.25" customHeight="1" x14ac:dyDescent="0.25">
      <c r="A440" s="4" t="s">
        <v>28</v>
      </c>
      <c r="B440" s="4" t="s">
        <v>33</v>
      </c>
      <c r="C440" s="4" t="s">
        <v>34</v>
      </c>
      <c r="D440" s="4" t="s">
        <v>46</v>
      </c>
      <c r="E440" s="4" t="s">
        <v>25</v>
      </c>
      <c r="F440" s="4" t="s">
        <v>25</v>
      </c>
      <c r="G440" s="4" t="s">
        <v>25</v>
      </c>
      <c r="H440" s="4" t="s">
        <v>35</v>
      </c>
      <c r="I440" s="5">
        <v>44378</v>
      </c>
      <c r="J440" s="6">
        <v>0</v>
      </c>
      <c r="K440" s="6">
        <v>0</v>
      </c>
      <c r="L440" s="6">
        <v>1.413</v>
      </c>
      <c r="M440" s="6">
        <v>1.413</v>
      </c>
      <c r="N440" s="6">
        <v>1.413</v>
      </c>
      <c r="O440" s="6">
        <v>1.413</v>
      </c>
      <c r="P440" s="6">
        <v>0</v>
      </c>
      <c r="Q440" s="4" t="s">
        <v>26</v>
      </c>
      <c r="R440" s="4">
        <v>0</v>
      </c>
      <c r="S440" s="4" t="s">
        <v>155</v>
      </c>
      <c r="T440" s="4" t="s">
        <v>388</v>
      </c>
      <c r="U440" s="4">
        <v>0</v>
      </c>
      <c r="V440" s="4">
        <v>20</v>
      </c>
      <c r="W440" s="4">
        <v>66</v>
      </c>
    </row>
    <row r="441" spans="1:23" ht="11.25" customHeight="1" x14ac:dyDescent="0.25">
      <c r="A441" s="4" t="s">
        <v>21</v>
      </c>
      <c r="B441" s="4" t="s">
        <v>33</v>
      </c>
      <c r="C441" s="4" t="s">
        <v>34</v>
      </c>
      <c r="D441" s="4" t="s">
        <v>46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44409</v>
      </c>
      <c r="J441" s="6">
        <v>0</v>
      </c>
      <c r="K441" s="6">
        <v>0</v>
      </c>
      <c r="L441" s="6">
        <v>55.762</v>
      </c>
      <c r="M441" s="6">
        <v>55.762</v>
      </c>
      <c r="N441" s="6">
        <v>55.762</v>
      </c>
      <c r="O441" s="6">
        <v>55.762</v>
      </c>
      <c r="P441" s="6">
        <v>0</v>
      </c>
      <c r="Q441" s="4" t="s">
        <v>26</v>
      </c>
      <c r="R441" s="4">
        <v>0</v>
      </c>
      <c r="S441" s="4" t="s">
        <v>156</v>
      </c>
      <c r="T441" s="4" t="s">
        <v>389</v>
      </c>
      <c r="U441" s="4">
        <v>0</v>
      </c>
      <c r="V441" s="4">
        <v>20</v>
      </c>
      <c r="W441" s="4">
        <v>66</v>
      </c>
    </row>
    <row r="442" spans="1:23" ht="11.25" customHeight="1" x14ac:dyDescent="0.25">
      <c r="A442" s="4" t="s">
        <v>28</v>
      </c>
      <c r="B442" s="4" t="s">
        <v>33</v>
      </c>
      <c r="C442" s="4" t="s">
        <v>34</v>
      </c>
      <c r="D442" s="4" t="s">
        <v>46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44409</v>
      </c>
      <c r="J442" s="6">
        <v>0</v>
      </c>
      <c r="K442" s="6">
        <v>0</v>
      </c>
      <c r="L442" s="6">
        <v>1.7689999999999999</v>
      </c>
      <c r="M442" s="6">
        <v>1.7689999999999999</v>
      </c>
      <c r="N442" s="6">
        <v>1.7689999999999999</v>
      </c>
      <c r="O442" s="6">
        <v>1.7689999999999999</v>
      </c>
      <c r="P442" s="6">
        <v>0</v>
      </c>
      <c r="Q442" s="4" t="s">
        <v>26</v>
      </c>
      <c r="R442" s="4">
        <v>0</v>
      </c>
      <c r="S442" s="4" t="s">
        <v>156</v>
      </c>
      <c r="T442" s="4" t="s">
        <v>389</v>
      </c>
      <c r="U442" s="4">
        <v>0</v>
      </c>
      <c r="V442" s="4">
        <v>20</v>
      </c>
      <c r="W442" s="4">
        <v>66</v>
      </c>
    </row>
    <row r="443" spans="1:23" ht="11.25" customHeight="1" x14ac:dyDescent="0.25">
      <c r="A443" s="4" t="s">
        <v>21</v>
      </c>
      <c r="B443" s="4" t="s">
        <v>33</v>
      </c>
      <c r="C443" s="4" t="s">
        <v>34</v>
      </c>
      <c r="D443" s="4" t="s">
        <v>46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44440</v>
      </c>
      <c r="J443" s="6">
        <v>0</v>
      </c>
      <c r="K443" s="6">
        <v>0</v>
      </c>
      <c r="L443" s="6">
        <v>49.957000000000001</v>
      </c>
      <c r="M443" s="6">
        <v>49.957000000000001</v>
      </c>
      <c r="N443" s="6">
        <v>49.957000000000001</v>
      </c>
      <c r="O443" s="6">
        <v>49.957000000000001</v>
      </c>
      <c r="P443" s="6">
        <v>0</v>
      </c>
      <c r="Q443" s="4" t="s">
        <v>26</v>
      </c>
      <c r="R443" s="4">
        <v>0</v>
      </c>
      <c r="S443" s="4" t="s">
        <v>157</v>
      </c>
      <c r="T443" s="4" t="s">
        <v>390</v>
      </c>
      <c r="U443" s="4">
        <v>0</v>
      </c>
      <c r="V443" s="4">
        <v>20</v>
      </c>
      <c r="W443" s="4">
        <v>66</v>
      </c>
    </row>
    <row r="444" spans="1:23" ht="11.25" customHeight="1" x14ac:dyDescent="0.25">
      <c r="A444" s="4" t="s">
        <v>28</v>
      </c>
      <c r="B444" s="4" t="s">
        <v>33</v>
      </c>
      <c r="C444" s="4" t="s">
        <v>34</v>
      </c>
      <c r="D444" s="4" t="s">
        <v>46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44440</v>
      </c>
      <c r="J444" s="6">
        <v>0</v>
      </c>
      <c r="K444" s="6">
        <v>0</v>
      </c>
      <c r="L444" s="6">
        <v>1.742</v>
      </c>
      <c r="M444" s="6">
        <v>1.742</v>
      </c>
      <c r="N444" s="6">
        <v>1.742</v>
      </c>
      <c r="O444" s="6">
        <v>1.742</v>
      </c>
      <c r="P444" s="6">
        <v>0</v>
      </c>
      <c r="Q444" s="4" t="s">
        <v>26</v>
      </c>
      <c r="R444" s="4">
        <v>0</v>
      </c>
      <c r="S444" s="4" t="s">
        <v>157</v>
      </c>
      <c r="T444" s="4" t="s">
        <v>390</v>
      </c>
      <c r="U444" s="4">
        <v>0</v>
      </c>
      <c r="V444" s="4">
        <v>20</v>
      </c>
      <c r="W444" s="4">
        <v>66</v>
      </c>
    </row>
    <row r="445" spans="1:23" ht="11.25" customHeight="1" x14ac:dyDescent="0.25">
      <c r="A445" s="4" t="s">
        <v>21</v>
      </c>
      <c r="B445" s="4" t="s">
        <v>33</v>
      </c>
      <c r="C445" s="4" t="s">
        <v>34</v>
      </c>
      <c r="D445" s="4" t="s">
        <v>46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44470</v>
      </c>
      <c r="J445" s="6">
        <v>0</v>
      </c>
      <c r="K445" s="6">
        <v>0</v>
      </c>
      <c r="L445" s="6">
        <v>49.451999999999998</v>
      </c>
      <c r="M445" s="6">
        <v>49.451999999999998</v>
      </c>
      <c r="N445" s="6">
        <v>49.451999999999998</v>
      </c>
      <c r="O445" s="6">
        <v>49.451999999999998</v>
      </c>
      <c r="P445" s="6">
        <v>0</v>
      </c>
      <c r="Q445" s="4" t="s">
        <v>26</v>
      </c>
      <c r="R445" s="4">
        <v>0</v>
      </c>
      <c r="S445" s="4" t="s">
        <v>158</v>
      </c>
      <c r="T445" s="4" t="s">
        <v>391</v>
      </c>
      <c r="U445" s="4">
        <v>0</v>
      </c>
      <c r="V445" s="4">
        <v>20</v>
      </c>
      <c r="W445" s="4">
        <v>66</v>
      </c>
    </row>
    <row r="446" spans="1:23" ht="11.25" customHeight="1" x14ac:dyDescent="0.25">
      <c r="A446" s="4" t="s">
        <v>28</v>
      </c>
      <c r="B446" s="4" t="s">
        <v>33</v>
      </c>
      <c r="C446" s="4" t="s">
        <v>34</v>
      </c>
      <c r="D446" s="4" t="s">
        <v>46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44470</v>
      </c>
      <c r="J446" s="6">
        <v>0</v>
      </c>
      <c r="K446" s="6">
        <v>0</v>
      </c>
      <c r="L446" s="6">
        <v>2.2709999999999999</v>
      </c>
      <c r="M446" s="6">
        <v>2.2709999999999999</v>
      </c>
      <c r="N446" s="6">
        <v>2.2709999999999999</v>
      </c>
      <c r="O446" s="6">
        <v>2.2709999999999999</v>
      </c>
      <c r="P446" s="6">
        <v>0</v>
      </c>
      <c r="Q446" s="4" t="s">
        <v>26</v>
      </c>
      <c r="R446" s="4">
        <v>0</v>
      </c>
      <c r="S446" s="4" t="s">
        <v>158</v>
      </c>
      <c r="T446" s="4" t="s">
        <v>391</v>
      </c>
      <c r="U446" s="4">
        <v>0</v>
      </c>
      <c r="V446" s="4">
        <v>20</v>
      </c>
      <c r="W446" s="4">
        <v>66</v>
      </c>
    </row>
    <row r="447" spans="1:23" ht="11.25" customHeight="1" x14ac:dyDescent="0.25">
      <c r="A447" s="4" t="s">
        <v>21</v>
      </c>
      <c r="B447" s="4" t="s">
        <v>33</v>
      </c>
      <c r="C447" s="4" t="s">
        <v>34</v>
      </c>
      <c r="D447" s="4" t="s">
        <v>46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44501</v>
      </c>
      <c r="J447" s="6">
        <v>0</v>
      </c>
      <c r="K447" s="6">
        <v>0</v>
      </c>
      <c r="L447" s="6">
        <v>53.615000000000002</v>
      </c>
      <c r="M447" s="6">
        <v>53.615000000000002</v>
      </c>
      <c r="N447" s="6">
        <v>53.615000000000002</v>
      </c>
      <c r="O447" s="6">
        <v>53.615000000000002</v>
      </c>
      <c r="P447" s="6">
        <v>0</v>
      </c>
      <c r="Q447" s="4" t="s">
        <v>26</v>
      </c>
      <c r="R447" s="4">
        <v>0</v>
      </c>
      <c r="S447" s="4" t="s">
        <v>159</v>
      </c>
      <c r="T447" s="4" t="s">
        <v>392</v>
      </c>
      <c r="U447" s="4">
        <v>0</v>
      </c>
      <c r="V447" s="4">
        <v>20</v>
      </c>
      <c r="W447" s="4">
        <v>66</v>
      </c>
    </row>
    <row r="448" spans="1:23" ht="11.25" customHeight="1" x14ac:dyDescent="0.25">
      <c r="A448" s="4" t="s">
        <v>28</v>
      </c>
      <c r="B448" s="4" t="s">
        <v>33</v>
      </c>
      <c r="C448" s="4" t="s">
        <v>34</v>
      </c>
      <c r="D448" s="4" t="s">
        <v>46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44501</v>
      </c>
      <c r="J448" s="6">
        <v>0</v>
      </c>
      <c r="K448" s="6">
        <v>0</v>
      </c>
      <c r="L448" s="6">
        <v>2.242</v>
      </c>
      <c r="M448" s="6">
        <v>2.242</v>
      </c>
      <c r="N448" s="6">
        <v>2.242</v>
      </c>
      <c r="O448" s="6">
        <v>2.242</v>
      </c>
      <c r="P448" s="6">
        <v>0</v>
      </c>
      <c r="Q448" s="4" t="s">
        <v>26</v>
      </c>
      <c r="R448" s="4">
        <v>0</v>
      </c>
      <c r="S448" s="4" t="s">
        <v>159</v>
      </c>
      <c r="T448" s="4" t="s">
        <v>392</v>
      </c>
      <c r="U448" s="4">
        <v>0</v>
      </c>
      <c r="V448" s="4">
        <v>20</v>
      </c>
      <c r="W448" s="4">
        <v>66</v>
      </c>
    </row>
    <row r="449" spans="1:23" ht="11.25" customHeight="1" x14ac:dyDescent="0.25">
      <c r="A449" s="4" t="s">
        <v>21</v>
      </c>
      <c r="B449" s="4" t="s">
        <v>33</v>
      </c>
      <c r="C449" s="4" t="s">
        <v>34</v>
      </c>
      <c r="D449" s="4" t="s">
        <v>46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44531</v>
      </c>
      <c r="J449" s="6">
        <v>0</v>
      </c>
      <c r="K449" s="6">
        <v>0</v>
      </c>
      <c r="L449" s="6">
        <v>52.048000000000002</v>
      </c>
      <c r="M449" s="6">
        <v>52.048000000000002</v>
      </c>
      <c r="N449" s="6">
        <v>52.048000000000002</v>
      </c>
      <c r="O449" s="6">
        <v>52.048000000000002</v>
      </c>
      <c r="P449" s="6">
        <v>0</v>
      </c>
      <c r="Q449" s="4" t="s">
        <v>26</v>
      </c>
      <c r="R449" s="4">
        <v>0</v>
      </c>
      <c r="S449" s="4" t="s">
        <v>160</v>
      </c>
      <c r="T449" s="4" t="s">
        <v>393</v>
      </c>
      <c r="U449" s="4">
        <v>0</v>
      </c>
      <c r="V449" s="4">
        <v>20</v>
      </c>
      <c r="W449" s="4">
        <v>66</v>
      </c>
    </row>
    <row r="450" spans="1:23" ht="11.25" customHeight="1" x14ac:dyDescent="0.25">
      <c r="A450" s="4" t="s">
        <v>28</v>
      </c>
      <c r="B450" s="4" t="s">
        <v>33</v>
      </c>
      <c r="C450" s="4" t="s">
        <v>34</v>
      </c>
      <c r="D450" s="4" t="s">
        <v>46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44531</v>
      </c>
      <c r="J450" s="6">
        <v>0</v>
      </c>
      <c r="K450" s="6">
        <v>0</v>
      </c>
      <c r="L450" s="6">
        <v>2.5059999999999998</v>
      </c>
      <c r="M450" s="6">
        <v>2.5059999999999998</v>
      </c>
      <c r="N450" s="6">
        <v>2.5059999999999998</v>
      </c>
      <c r="O450" s="6">
        <v>2.5059999999999998</v>
      </c>
      <c r="P450" s="6">
        <v>0</v>
      </c>
      <c r="Q450" s="4" t="s">
        <v>26</v>
      </c>
      <c r="R450" s="4">
        <v>0</v>
      </c>
      <c r="S450" s="4" t="s">
        <v>160</v>
      </c>
      <c r="T450" s="4" t="s">
        <v>393</v>
      </c>
      <c r="U450" s="4">
        <v>0</v>
      </c>
      <c r="V450" s="4">
        <v>20</v>
      </c>
      <c r="W450" s="4">
        <v>66</v>
      </c>
    </row>
    <row r="451" spans="1:23" ht="11.25" customHeight="1" x14ac:dyDescent="0.25">
      <c r="A451" s="4" t="s">
        <v>21</v>
      </c>
      <c r="B451" s="4" t="s">
        <v>33</v>
      </c>
      <c r="C451" s="4" t="s">
        <v>34</v>
      </c>
      <c r="D451" s="4" t="s">
        <v>46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44562</v>
      </c>
      <c r="J451" s="6">
        <v>0</v>
      </c>
      <c r="K451" s="6">
        <v>0</v>
      </c>
      <c r="L451" s="6">
        <v>56.295999999999999</v>
      </c>
      <c r="M451" s="6">
        <v>56.295999999999999</v>
      </c>
      <c r="N451" s="6">
        <v>56.295999999999999</v>
      </c>
      <c r="O451" s="6">
        <v>56.295999999999999</v>
      </c>
      <c r="P451" s="6">
        <v>0</v>
      </c>
      <c r="Q451" s="4" t="s">
        <v>26</v>
      </c>
      <c r="R451" s="4">
        <v>0</v>
      </c>
      <c r="S451" s="4" t="s">
        <v>161</v>
      </c>
      <c r="T451" s="4" t="s">
        <v>394</v>
      </c>
      <c r="U451" s="4">
        <v>0</v>
      </c>
      <c r="V451" s="4">
        <v>20</v>
      </c>
      <c r="W451" s="4">
        <v>66</v>
      </c>
    </row>
    <row r="452" spans="1:23" ht="11.25" customHeight="1" x14ac:dyDescent="0.25">
      <c r="A452" s="4" t="s">
        <v>28</v>
      </c>
      <c r="B452" s="4" t="s">
        <v>33</v>
      </c>
      <c r="C452" s="4" t="s">
        <v>34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44562</v>
      </c>
      <c r="J452" s="6">
        <v>0</v>
      </c>
      <c r="K452" s="6">
        <v>0</v>
      </c>
      <c r="L452" s="6">
        <v>2.1160000000000001</v>
      </c>
      <c r="M452" s="6">
        <v>2.1160000000000001</v>
      </c>
      <c r="N452" s="6">
        <v>2.1160000000000001</v>
      </c>
      <c r="O452" s="6">
        <v>2.1160000000000001</v>
      </c>
      <c r="P452" s="6">
        <v>0</v>
      </c>
      <c r="Q452" s="4" t="s">
        <v>26</v>
      </c>
      <c r="R452" s="4">
        <v>0</v>
      </c>
      <c r="S452" s="4" t="s">
        <v>161</v>
      </c>
      <c r="T452" s="4" t="s">
        <v>394</v>
      </c>
      <c r="U452" s="4">
        <v>0</v>
      </c>
      <c r="V452" s="4">
        <v>20</v>
      </c>
      <c r="W452" s="4">
        <v>66</v>
      </c>
    </row>
    <row r="453" spans="1:23" ht="11.25" customHeight="1" x14ac:dyDescent="0.25">
      <c r="A453" s="4" t="s">
        <v>21</v>
      </c>
      <c r="B453" s="4" t="s">
        <v>33</v>
      </c>
      <c r="C453" s="4" t="s">
        <v>34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44593</v>
      </c>
      <c r="J453" s="6">
        <v>0</v>
      </c>
      <c r="K453" s="6">
        <v>0</v>
      </c>
      <c r="L453" s="6">
        <v>59.365000000000002</v>
      </c>
      <c r="M453" s="6">
        <v>59.365000000000002</v>
      </c>
      <c r="N453" s="6">
        <v>59.365000000000002</v>
      </c>
      <c r="O453" s="6">
        <v>59.365000000000002</v>
      </c>
      <c r="P453" s="6">
        <v>0</v>
      </c>
      <c r="Q453" s="4" t="s">
        <v>26</v>
      </c>
      <c r="R453" s="4">
        <v>0</v>
      </c>
      <c r="S453" s="4" t="s">
        <v>162</v>
      </c>
      <c r="T453" s="4" t="s">
        <v>395</v>
      </c>
      <c r="U453" s="4">
        <v>0</v>
      </c>
      <c r="V453" s="4">
        <v>20</v>
      </c>
      <c r="W453" s="4">
        <v>66</v>
      </c>
    </row>
    <row r="454" spans="1:23" ht="11.25" customHeight="1" x14ac:dyDescent="0.25">
      <c r="A454" s="4" t="s">
        <v>21</v>
      </c>
      <c r="B454" s="4" t="s">
        <v>33</v>
      </c>
      <c r="C454" s="4" t="s">
        <v>34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44621</v>
      </c>
      <c r="J454" s="6">
        <v>0</v>
      </c>
      <c r="K454" s="6">
        <v>0</v>
      </c>
      <c r="L454" s="6">
        <v>66.935000000000002</v>
      </c>
      <c r="M454" s="6">
        <v>66.935000000000002</v>
      </c>
      <c r="N454" s="6">
        <v>66.935000000000002</v>
      </c>
      <c r="O454" s="6">
        <v>66.935000000000002</v>
      </c>
      <c r="P454" s="6">
        <v>0</v>
      </c>
      <c r="Q454" s="4" t="s">
        <v>26</v>
      </c>
      <c r="R454" s="4">
        <v>0</v>
      </c>
      <c r="S454" s="4" t="s">
        <v>163</v>
      </c>
      <c r="T454" s="4" t="s">
        <v>396</v>
      </c>
      <c r="U454" s="4">
        <v>0</v>
      </c>
      <c r="V454" s="4">
        <v>20</v>
      </c>
      <c r="W454" s="4">
        <v>66</v>
      </c>
    </row>
    <row r="455" spans="1:23" ht="11.25" customHeight="1" x14ac:dyDescent="0.25">
      <c r="A455" s="4" t="s">
        <v>28</v>
      </c>
      <c r="B455" s="4" t="s">
        <v>33</v>
      </c>
      <c r="C455" s="4" t="s">
        <v>34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44621</v>
      </c>
      <c r="J455" s="6">
        <v>0</v>
      </c>
      <c r="K455" s="6">
        <v>0</v>
      </c>
      <c r="L455" s="6">
        <v>7.3609999999999998</v>
      </c>
      <c r="M455" s="6">
        <v>7.3609999999999998</v>
      </c>
      <c r="N455" s="6">
        <v>7.3609999999999998</v>
      </c>
      <c r="O455" s="6">
        <v>7.3609999999999998</v>
      </c>
      <c r="P455" s="6">
        <v>0</v>
      </c>
      <c r="Q455" s="4" t="s">
        <v>26</v>
      </c>
      <c r="R455" s="4">
        <v>0</v>
      </c>
      <c r="S455" s="4" t="s">
        <v>163</v>
      </c>
      <c r="T455" s="4" t="s">
        <v>396</v>
      </c>
      <c r="U455" s="4">
        <v>0</v>
      </c>
      <c r="V455" s="4">
        <v>20</v>
      </c>
      <c r="W455" s="4">
        <v>66</v>
      </c>
    </row>
    <row r="456" spans="1:23" ht="11.25" customHeight="1" x14ac:dyDescent="0.25">
      <c r="A456" s="4" t="s">
        <v>21</v>
      </c>
      <c r="B456" s="4" t="s">
        <v>33</v>
      </c>
      <c r="C456" s="4" t="s">
        <v>34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44652</v>
      </c>
      <c r="J456" s="6">
        <v>0</v>
      </c>
      <c r="K456" s="6">
        <v>0</v>
      </c>
      <c r="L456" s="6">
        <v>49.951000000000001</v>
      </c>
      <c r="M456" s="6">
        <v>49.951000000000001</v>
      </c>
      <c r="N456" s="6">
        <v>49.951000000000001</v>
      </c>
      <c r="O456" s="6">
        <v>49.951000000000001</v>
      </c>
      <c r="P456" s="6">
        <v>0</v>
      </c>
      <c r="Q456" s="4" t="s">
        <v>26</v>
      </c>
      <c r="R456" s="4">
        <v>0</v>
      </c>
      <c r="S456" s="4" t="s">
        <v>164</v>
      </c>
      <c r="T456" s="4" t="s">
        <v>397</v>
      </c>
      <c r="U456" s="4">
        <v>0</v>
      </c>
      <c r="V456" s="4">
        <v>20</v>
      </c>
      <c r="W456" s="4">
        <v>66</v>
      </c>
    </row>
    <row r="457" spans="1:23" ht="11.25" customHeight="1" x14ac:dyDescent="0.25">
      <c r="A457" s="4" t="s">
        <v>28</v>
      </c>
      <c r="B457" s="4" t="s">
        <v>33</v>
      </c>
      <c r="C457" s="4" t="s">
        <v>34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44652</v>
      </c>
      <c r="J457" s="6">
        <v>0</v>
      </c>
      <c r="K457" s="6">
        <v>0</v>
      </c>
      <c r="L457" s="6">
        <v>6.6920000000000002</v>
      </c>
      <c r="M457" s="6">
        <v>6.6920000000000002</v>
      </c>
      <c r="N457" s="6">
        <v>6.6920000000000002</v>
      </c>
      <c r="O457" s="6">
        <v>6.6920000000000002</v>
      </c>
      <c r="P457" s="6">
        <v>0</v>
      </c>
      <c r="Q457" s="4" t="s">
        <v>26</v>
      </c>
      <c r="R457" s="4">
        <v>0</v>
      </c>
      <c r="S457" s="4" t="s">
        <v>164</v>
      </c>
      <c r="T457" s="4" t="s">
        <v>397</v>
      </c>
      <c r="U457" s="4">
        <v>0</v>
      </c>
      <c r="V457" s="4">
        <v>20</v>
      </c>
      <c r="W457" s="4">
        <v>66</v>
      </c>
    </row>
    <row r="458" spans="1:23" ht="11.25" customHeight="1" x14ac:dyDescent="0.25">
      <c r="A458" s="4" t="s">
        <v>21</v>
      </c>
      <c r="B458" s="4" t="s">
        <v>33</v>
      </c>
      <c r="C458" s="4" t="s">
        <v>34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44682</v>
      </c>
      <c r="J458" s="6">
        <v>0</v>
      </c>
      <c r="K458" s="6">
        <v>0</v>
      </c>
      <c r="L458" s="6">
        <v>60.122</v>
      </c>
      <c r="M458" s="6">
        <v>60.122</v>
      </c>
      <c r="N458" s="6">
        <v>60.122</v>
      </c>
      <c r="O458" s="6">
        <v>60.122</v>
      </c>
      <c r="P458" s="6">
        <v>0</v>
      </c>
      <c r="Q458" s="4" t="s">
        <v>26</v>
      </c>
      <c r="R458" s="4">
        <v>0</v>
      </c>
      <c r="S458" s="4" t="s">
        <v>165</v>
      </c>
      <c r="T458" s="4" t="s">
        <v>398</v>
      </c>
      <c r="U458" s="4">
        <v>0</v>
      </c>
      <c r="V458" s="4">
        <v>20</v>
      </c>
      <c r="W458" s="4">
        <v>66</v>
      </c>
    </row>
    <row r="459" spans="1:23" ht="11.25" customHeight="1" x14ac:dyDescent="0.25">
      <c r="A459" s="4" t="s">
        <v>28</v>
      </c>
      <c r="B459" s="4" t="s">
        <v>33</v>
      </c>
      <c r="C459" s="4" t="s">
        <v>34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8.782</v>
      </c>
      <c r="M459" s="6">
        <v>8.782</v>
      </c>
      <c r="N459" s="6">
        <v>8.782</v>
      </c>
      <c r="O459" s="6">
        <v>8.782</v>
      </c>
      <c r="P459" s="6">
        <v>0</v>
      </c>
      <c r="Q459" s="4" t="s">
        <v>26</v>
      </c>
      <c r="R459" s="4">
        <v>0</v>
      </c>
      <c r="S459" s="4" t="s">
        <v>165</v>
      </c>
      <c r="T459" s="4" t="s">
        <v>398</v>
      </c>
      <c r="U459" s="4">
        <v>0</v>
      </c>
      <c r="V459" s="4">
        <v>20</v>
      </c>
      <c r="W459" s="4">
        <v>66</v>
      </c>
    </row>
    <row r="460" spans="1:23" ht="11.25" customHeight="1" x14ac:dyDescent="0.25">
      <c r="A460" s="4" t="s">
        <v>21</v>
      </c>
      <c r="B460" s="4" t="s">
        <v>33</v>
      </c>
      <c r="C460" s="4" t="s">
        <v>34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44348</v>
      </c>
      <c r="J460" s="6">
        <v>595</v>
      </c>
      <c r="K460" s="6">
        <v>595</v>
      </c>
      <c r="L460" s="6">
        <v>0</v>
      </c>
      <c r="M460" s="6">
        <v>0</v>
      </c>
      <c r="N460" s="6">
        <v>0</v>
      </c>
      <c r="O460" s="6">
        <v>0</v>
      </c>
      <c r="P460" s="6">
        <v>9</v>
      </c>
      <c r="Q460" s="4" t="s">
        <v>26</v>
      </c>
      <c r="R460" s="4">
        <v>0</v>
      </c>
      <c r="S460" s="4" t="s">
        <v>166</v>
      </c>
      <c r="U460" s="4">
        <v>18</v>
      </c>
      <c r="V460" s="4">
        <v>0</v>
      </c>
      <c r="W460" s="4">
        <v>0</v>
      </c>
    </row>
    <row r="461" spans="1:23" ht="11.25" customHeight="1" x14ac:dyDescent="0.25">
      <c r="A461" s="4" t="s">
        <v>28</v>
      </c>
      <c r="B461" s="4" t="s">
        <v>33</v>
      </c>
      <c r="C461" s="4" t="s">
        <v>34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44348</v>
      </c>
      <c r="J461" s="6">
        <v>40</v>
      </c>
      <c r="K461" s="6">
        <v>40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4" t="s">
        <v>26</v>
      </c>
      <c r="R461" s="4">
        <v>0</v>
      </c>
      <c r="S461" s="4" t="s">
        <v>166</v>
      </c>
      <c r="U461" s="4">
        <v>18</v>
      </c>
      <c r="V461" s="4">
        <v>0</v>
      </c>
      <c r="W461" s="4">
        <v>0</v>
      </c>
    </row>
    <row r="462" spans="1:23" ht="11.25" customHeight="1" x14ac:dyDescent="0.25">
      <c r="A462" s="4" t="s">
        <v>21</v>
      </c>
      <c r="B462" s="4" t="s">
        <v>33</v>
      </c>
      <c r="C462" s="4" t="s">
        <v>34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591</v>
      </c>
      <c r="K462" s="6">
        <v>591</v>
      </c>
      <c r="L462" s="6">
        <v>0</v>
      </c>
      <c r="M462" s="6">
        <v>0</v>
      </c>
      <c r="N462" s="6">
        <v>0</v>
      </c>
      <c r="O462" s="6">
        <v>0</v>
      </c>
      <c r="P462" s="6">
        <v>9</v>
      </c>
      <c r="Q462" s="4" t="s">
        <v>26</v>
      </c>
      <c r="R462" s="4">
        <v>0</v>
      </c>
      <c r="S462" s="4" t="s">
        <v>167</v>
      </c>
      <c r="U462" s="4">
        <v>18</v>
      </c>
      <c r="V462" s="4">
        <v>0</v>
      </c>
      <c r="W462" s="4">
        <v>0</v>
      </c>
    </row>
    <row r="463" spans="1:23" ht="11.25" customHeight="1" x14ac:dyDescent="0.25">
      <c r="A463" s="4" t="s">
        <v>28</v>
      </c>
      <c r="B463" s="4" t="s">
        <v>33</v>
      </c>
      <c r="C463" s="4" t="s">
        <v>34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40</v>
      </c>
      <c r="K463" s="6">
        <v>40</v>
      </c>
      <c r="L463" s="6">
        <v>0</v>
      </c>
      <c r="M463" s="6">
        <v>0</v>
      </c>
      <c r="N463" s="6">
        <v>0</v>
      </c>
      <c r="O463" s="6">
        <v>0</v>
      </c>
      <c r="P463" s="6">
        <v>1</v>
      </c>
      <c r="Q463" s="4" t="s">
        <v>26</v>
      </c>
      <c r="R463" s="4">
        <v>0</v>
      </c>
      <c r="S463" s="4" t="s">
        <v>167</v>
      </c>
      <c r="U463" s="4">
        <v>18</v>
      </c>
      <c r="V463" s="4">
        <v>0</v>
      </c>
      <c r="W463" s="4">
        <v>0</v>
      </c>
    </row>
    <row r="464" spans="1:23" ht="11.25" customHeight="1" x14ac:dyDescent="0.25">
      <c r="A464" s="4" t="s">
        <v>21</v>
      </c>
      <c r="B464" s="4" t="s">
        <v>33</v>
      </c>
      <c r="C464" s="4" t="s">
        <v>34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577</v>
      </c>
      <c r="K464" s="6">
        <v>577</v>
      </c>
      <c r="L464" s="6">
        <v>0</v>
      </c>
      <c r="M464" s="6">
        <v>0</v>
      </c>
      <c r="N464" s="6">
        <v>0</v>
      </c>
      <c r="O464" s="6">
        <v>0</v>
      </c>
      <c r="P464" s="6">
        <v>9</v>
      </c>
      <c r="Q464" s="4" t="s">
        <v>26</v>
      </c>
      <c r="R464" s="4">
        <v>0</v>
      </c>
      <c r="S464" s="4" t="s">
        <v>168</v>
      </c>
      <c r="U464" s="4">
        <v>18</v>
      </c>
      <c r="V464" s="4">
        <v>0</v>
      </c>
      <c r="W464" s="4">
        <v>0</v>
      </c>
    </row>
    <row r="465" spans="1:23" ht="11.25" customHeight="1" x14ac:dyDescent="0.25">
      <c r="A465" s="4" t="s">
        <v>28</v>
      </c>
      <c r="B465" s="4" t="s">
        <v>33</v>
      </c>
      <c r="C465" s="4" t="s">
        <v>34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40</v>
      </c>
      <c r="K465" s="6">
        <v>40</v>
      </c>
      <c r="L465" s="6">
        <v>0</v>
      </c>
      <c r="M465" s="6">
        <v>0</v>
      </c>
      <c r="N465" s="6">
        <v>0</v>
      </c>
      <c r="O465" s="6">
        <v>0</v>
      </c>
      <c r="P465" s="6">
        <v>1</v>
      </c>
      <c r="Q465" s="4" t="s">
        <v>26</v>
      </c>
      <c r="R465" s="4">
        <v>0</v>
      </c>
      <c r="S465" s="4" t="s">
        <v>168</v>
      </c>
      <c r="U465" s="4">
        <v>18</v>
      </c>
      <c r="V465" s="4">
        <v>0</v>
      </c>
      <c r="W465" s="4">
        <v>0</v>
      </c>
    </row>
    <row r="466" spans="1:23" ht="11.25" customHeight="1" x14ac:dyDescent="0.25">
      <c r="A466" s="4" t="s">
        <v>21</v>
      </c>
      <c r="B466" s="4" t="s">
        <v>33</v>
      </c>
      <c r="C466" s="4" t="s">
        <v>34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44440</v>
      </c>
      <c r="J466" s="6">
        <v>575</v>
      </c>
      <c r="K466" s="6">
        <v>575</v>
      </c>
      <c r="L466" s="6">
        <v>0</v>
      </c>
      <c r="M466" s="6">
        <v>0</v>
      </c>
      <c r="N466" s="6">
        <v>0</v>
      </c>
      <c r="O466" s="6">
        <v>0</v>
      </c>
      <c r="P466" s="6">
        <v>9</v>
      </c>
      <c r="Q466" s="4" t="s">
        <v>26</v>
      </c>
      <c r="R466" s="4">
        <v>0</v>
      </c>
      <c r="S466" s="4" t="s">
        <v>169</v>
      </c>
      <c r="U466" s="4">
        <v>18</v>
      </c>
      <c r="V466" s="4">
        <v>0</v>
      </c>
      <c r="W466" s="4">
        <v>0</v>
      </c>
    </row>
    <row r="467" spans="1:23" ht="11.25" customHeight="1" x14ac:dyDescent="0.25">
      <c r="A467" s="4" t="s">
        <v>28</v>
      </c>
      <c r="B467" s="4" t="s">
        <v>33</v>
      </c>
      <c r="C467" s="4" t="s">
        <v>34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44440</v>
      </c>
      <c r="J467" s="6">
        <v>40</v>
      </c>
      <c r="K467" s="6">
        <v>40</v>
      </c>
      <c r="L467" s="6">
        <v>0</v>
      </c>
      <c r="M467" s="6">
        <v>0</v>
      </c>
      <c r="N467" s="6">
        <v>0</v>
      </c>
      <c r="O467" s="6">
        <v>0</v>
      </c>
      <c r="P467" s="6">
        <v>1</v>
      </c>
      <c r="Q467" s="4" t="s">
        <v>26</v>
      </c>
      <c r="R467" s="4">
        <v>0</v>
      </c>
      <c r="S467" s="4" t="s">
        <v>169</v>
      </c>
      <c r="U467" s="4">
        <v>18</v>
      </c>
      <c r="V467" s="4">
        <v>0</v>
      </c>
      <c r="W467" s="4">
        <v>0</v>
      </c>
    </row>
    <row r="468" spans="1:23" ht="11.25" customHeight="1" x14ac:dyDescent="0.25">
      <c r="A468" s="4" t="s">
        <v>21</v>
      </c>
      <c r="B468" s="4" t="s">
        <v>33</v>
      </c>
      <c r="C468" s="4" t="s">
        <v>34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44470</v>
      </c>
      <c r="J468" s="6">
        <v>575</v>
      </c>
      <c r="K468" s="6">
        <v>575</v>
      </c>
      <c r="L468" s="6">
        <v>0</v>
      </c>
      <c r="M468" s="6">
        <v>0</v>
      </c>
      <c r="N468" s="6">
        <v>0</v>
      </c>
      <c r="O468" s="6">
        <v>0</v>
      </c>
      <c r="P468" s="6">
        <v>9</v>
      </c>
      <c r="Q468" s="4" t="s">
        <v>26</v>
      </c>
      <c r="R468" s="4">
        <v>0</v>
      </c>
      <c r="S468" s="4" t="s">
        <v>170</v>
      </c>
      <c r="U468" s="4">
        <v>18</v>
      </c>
      <c r="V468" s="4">
        <v>0</v>
      </c>
      <c r="W468" s="4">
        <v>0</v>
      </c>
    </row>
    <row r="469" spans="1:23" ht="11.25" customHeight="1" x14ac:dyDescent="0.25">
      <c r="A469" s="4" t="s">
        <v>28</v>
      </c>
      <c r="B469" s="4" t="s">
        <v>33</v>
      </c>
      <c r="C469" s="4" t="s">
        <v>34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40</v>
      </c>
      <c r="K469" s="6">
        <v>40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4" t="s">
        <v>26</v>
      </c>
      <c r="R469" s="4">
        <v>0</v>
      </c>
      <c r="S469" s="4" t="s">
        <v>170</v>
      </c>
      <c r="U469" s="4">
        <v>18</v>
      </c>
      <c r="V469" s="4">
        <v>0</v>
      </c>
      <c r="W469" s="4">
        <v>0</v>
      </c>
    </row>
    <row r="470" spans="1:23" ht="11.25" customHeight="1" x14ac:dyDescent="0.25">
      <c r="A470" s="4" t="s">
        <v>21</v>
      </c>
      <c r="B470" s="4" t="s">
        <v>33</v>
      </c>
      <c r="C470" s="4" t="s">
        <v>34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588</v>
      </c>
      <c r="K470" s="6">
        <v>588</v>
      </c>
      <c r="L470" s="6">
        <v>0</v>
      </c>
      <c r="M470" s="6">
        <v>0</v>
      </c>
      <c r="N470" s="6">
        <v>0</v>
      </c>
      <c r="O470" s="6">
        <v>0</v>
      </c>
      <c r="P470" s="6">
        <v>9</v>
      </c>
      <c r="Q470" s="4" t="s">
        <v>26</v>
      </c>
      <c r="R470" s="4">
        <v>0</v>
      </c>
      <c r="S470" s="4" t="s">
        <v>171</v>
      </c>
      <c r="U470" s="4">
        <v>18</v>
      </c>
      <c r="V470" s="4">
        <v>0</v>
      </c>
      <c r="W470" s="4">
        <v>0</v>
      </c>
    </row>
    <row r="471" spans="1:23" ht="11.25" customHeight="1" x14ac:dyDescent="0.25">
      <c r="A471" s="4" t="s">
        <v>28</v>
      </c>
      <c r="B471" s="4" t="s">
        <v>33</v>
      </c>
      <c r="C471" s="4" t="s">
        <v>34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44501</v>
      </c>
      <c r="J471" s="6">
        <v>40</v>
      </c>
      <c r="K471" s="6">
        <v>40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26</v>
      </c>
      <c r="R471" s="4">
        <v>0</v>
      </c>
      <c r="S471" s="4" t="s">
        <v>171</v>
      </c>
      <c r="U471" s="4">
        <v>18</v>
      </c>
      <c r="V471" s="4">
        <v>0</v>
      </c>
      <c r="W471" s="4">
        <v>0</v>
      </c>
    </row>
    <row r="472" spans="1:23" ht="11.25" customHeight="1" x14ac:dyDescent="0.25">
      <c r="A472" s="4" t="s">
        <v>21</v>
      </c>
      <c r="B472" s="4" t="s">
        <v>33</v>
      </c>
      <c r="C472" s="4" t="s">
        <v>34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44531</v>
      </c>
      <c r="J472" s="6">
        <v>607</v>
      </c>
      <c r="K472" s="6">
        <v>607</v>
      </c>
      <c r="L472" s="6">
        <v>0</v>
      </c>
      <c r="M472" s="6">
        <v>0</v>
      </c>
      <c r="N472" s="6">
        <v>0</v>
      </c>
      <c r="O472" s="6">
        <v>0</v>
      </c>
      <c r="P472" s="6">
        <v>9</v>
      </c>
      <c r="Q472" s="4" t="s">
        <v>26</v>
      </c>
      <c r="R472" s="4">
        <v>0</v>
      </c>
      <c r="S472" s="4" t="s">
        <v>172</v>
      </c>
      <c r="U472" s="4">
        <v>18</v>
      </c>
      <c r="V472" s="4">
        <v>0</v>
      </c>
      <c r="W472" s="4">
        <v>0</v>
      </c>
    </row>
    <row r="473" spans="1:23" ht="11.25" customHeight="1" x14ac:dyDescent="0.25">
      <c r="A473" s="4" t="s">
        <v>28</v>
      </c>
      <c r="B473" s="4" t="s">
        <v>33</v>
      </c>
      <c r="C473" s="4" t="s">
        <v>34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40</v>
      </c>
      <c r="K473" s="6">
        <v>40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4" t="s">
        <v>26</v>
      </c>
      <c r="R473" s="4">
        <v>0</v>
      </c>
      <c r="S473" s="4" t="s">
        <v>172</v>
      </c>
      <c r="U473" s="4">
        <v>18</v>
      </c>
      <c r="V473" s="4">
        <v>0</v>
      </c>
      <c r="W473" s="4">
        <v>0</v>
      </c>
    </row>
    <row r="474" spans="1:23" ht="11.25" customHeight="1" x14ac:dyDescent="0.25">
      <c r="A474" s="4" t="s">
        <v>21</v>
      </c>
      <c r="B474" s="4" t="s">
        <v>33</v>
      </c>
      <c r="C474" s="4" t="s">
        <v>34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44562</v>
      </c>
      <c r="J474" s="6">
        <v>599</v>
      </c>
      <c r="K474" s="6">
        <v>599</v>
      </c>
      <c r="L474" s="6">
        <v>0</v>
      </c>
      <c r="M474" s="6">
        <v>0</v>
      </c>
      <c r="N474" s="6">
        <v>0</v>
      </c>
      <c r="O474" s="6">
        <v>0</v>
      </c>
      <c r="P474" s="6">
        <v>9</v>
      </c>
      <c r="Q474" s="4" t="s">
        <v>26</v>
      </c>
      <c r="R474" s="4">
        <v>0</v>
      </c>
      <c r="S474" s="4" t="s">
        <v>173</v>
      </c>
      <c r="U474" s="4">
        <v>18</v>
      </c>
      <c r="V474" s="4">
        <v>0</v>
      </c>
      <c r="W474" s="4">
        <v>0</v>
      </c>
    </row>
    <row r="475" spans="1:23" ht="11.25" customHeight="1" x14ac:dyDescent="0.25">
      <c r="A475" s="4" t="s">
        <v>28</v>
      </c>
      <c r="B475" s="4" t="s">
        <v>33</v>
      </c>
      <c r="C475" s="4" t="s">
        <v>34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44562</v>
      </c>
      <c r="J475" s="6">
        <v>40</v>
      </c>
      <c r="K475" s="6">
        <v>40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4" t="s">
        <v>26</v>
      </c>
      <c r="R475" s="4">
        <v>0</v>
      </c>
      <c r="S475" s="4" t="s">
        <v>173</v>
      </c>
      <c r="U475" s="4">
        <v>18</v>
      </c>
      <c r="V475" s="4">
        <v>0</v>
      </c>
      <c r="W475" s="4">
        <v>0</v>
      </c>
    </row>
    <row r="476" spans="1:23" ht="11.25" customHeight="1" x14ac:dyDescent="0.25">
      <c r="A476" s="4" t="s">
        <v>21</v>
      </c>
      <c r="B476" s="4" t="s">
        <v>33</v>
      </c>
      <c r="C476" s="4" t="s">
        <v>34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44593</v>
      </c>
      <c r="J476" s="6">
        <v>610</v>
      </c>
      <c r="K476" s="6">
        <v>610</v>
      </c>
      <c r="L476" s="6">
        <v>0</v>
      </c>
      <c r="M476" s="6">
        <v>0</v>
      </c>
      <c r="N476" s="6">
        <v>0</v>
      </c>
      <c r="O476" s="6">
        <v>0</v>
      </c>
      <c r="P476" s="6">
        <v>9</v>
      </c>
      <c r="Q476" s="4" t="s">
        <v>26</v>
      </c>
      <c r="R476" s="4">
        <v>0</v>
      </c>
      <c r="S476" s="4" t="s">
        <v>174</v>
      </c>
      <c r="U476" s="4">
        <v>18</v>
      </c>
      <c r="V476" s="4">
        <v>0</v>
      </c>
      <c r="W476" s="4">
        <v>0</v>
      </c>
    </row>
    <row r="477" spans="1:23" ht="11.25" customHeight="1" x14ac:dyDescent="0.25">
      <c r="A477" s="4" t="s">
        <v>21</v>
      </c>
      <c r="B477" s="4" t="s">
        <v>33</v>
      </c>
      <c r="C477" s="4" t="s">
        <v>34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44621</v>
      </c>
      <c r="J477" s="6">
        <v>627</v>
      </c>
      <c r="K477" s="6">
        <v>627</v>
      </c>
      <c r="L477" s="6">
        <v>0</v>
      </c>
      <c r="M477" s="6">
        <v>0</v>
      </c>
      <c r="N477" s="6">
        <v>0</v>
      </c>
      <c r="O477" s="6">
        <v>0</v>
      </c>
      <c r="P477" s="6">
        <v>9</v>
      </c>
      <c r="Q477" s="4" t="s">
        <v>26</v>
      </c>
      <c r="R477" s="4">
        <v>0</v>
      </c>
      <c r="S477" s="4" t="s">
        <v>175</v>
      </c>
      <c r="U477" s="4">
        <v>18</v>
      </c>
      <c r="V477" s="4">
        <v>0</v>
      </c>
      <c r="W477" s="4">
        <v>0</v>
      </c>
    </row>
    <row r="478" spans="1:23" ht="11.25" customHeight="1" x14ac:dyDescent="0.25">
      <c r="A478" s="4" t="s">
        <v>28</v>
      </c>
      <c r="B478" s="4" t="s">
        <v>33</v>
      </c>
      <c r="C478" s="4" t="s">
        <v>34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44621</v>
      </c>
      <c r="J478" s="6">
        <v>42</v>
      </c>
      <c r="K478" s="6">
        <v>42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4" t="s">
        <v>175</v>
      </c>
      <c r="U478" s="4">
        <v>18</v>
      </c>
      <c r="V478" s="4">
        <v>0</v>
      </c>
      <c r="W478" s="4">
        <v>0</v>
      </c>
    </row>
    <row r="479" spans="1:23" ht="11.25" customHeight="1" x14ac:dyDescent="0.25">
      <c r="A479" s="4" t="s">
        <v>21</v>
      </c>
      <c r="B479" s="4" t="s">
        <v>33</v>
      </c>
      <c r="C479" s="4" t="s">
        <v>34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44652</v>
      </c>
      <c r="J479" s="6">
        <v>575</v>
      </c>
      <c r="K479" s="6">
        <v>575</v>
      </c>
      <c r="L479" s="6">
        <v>0</v>
      </c>
      <c r="M479" s="6">
        <v>0</v>
      </c>
      <c r="N479" s="6">
        <v>0</v>
      </c>
      <c r="O479" s="6">
        <v>0</v>
      </c>
      <c r="P479" s="6">
        <v>9</v>
      </c>
      <c r="Q479" s="4" t="s">
        <v>26</v>
      </c>
      <c r="R479" s="4">
        <v>0</v>
      </c>
      <c r="S479" s="4" t="s">
        <v>176</v>
      </c>
      <c r="U479" s="4">
        <v>18</v>
      </c>
      <c r="V479" s="4">
        <v>0</v>
      </c>
      <c r="W479" s="4">
        <v>0</v>
      </c>
    </row>
    <row r="480" spans="1:23" ht="11.25" customHeight="1" x14ac:dyDescent="0.25">
      <c r="A480" s="4" t="s">
        <v>28</v>
      </c>
      <c r="B480" s="4" t="s">
        <v>33</v>
      </c>
      <c r="C480" s="4" t="s">
        <v>34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40</v>
      </c>
      <c r="K480" s="6">
        <v>40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4" t="s">
        <v>176</v>
      </c>
      <c r="U480" s="4">
        <v>18</v>
      </c>
      <c r="V480" s="4">
        <v>0</v>
      </c>
      <c r="W480" s="4">
        <v>0</v>
      </c>
    </row>
    <row r="481" spans="1:23" ht="11.25" customHeight="1" x14ac:dyDescent="0.25">
      <c r="A481" s="4" t="s">
        <v>21</v>
      </c>
      <c r="B481" s="4" t="s">
        <v>33</v>
      </c>
      <c r="C481" s="4" t="s">
        <v>34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579</v>
      </c>
      <c r="K481" s="6">
        <v>579</v>
      </c>
      <c r="L481" s="6">
        <v>0</v>
      </c>
      <c r="M481" s="6">
        <v>0</v>
      </c>
      <c r="N481" s="6">
        <v>0</v>
      </c>
      <c r="O481" s="6">
        <v>0</v>
      </c>
      <c r="P481" s="6">
        <v>9</v>
      </c>
      <c r="Q481" s="4" t="s">
        <v>26</v>
      </c>
      <c r="R481" s="4">
        <v>0</v>
      </c>
      <c r="S481" s="4" t="s">
        <v>177</v>
      </c>
      <c r="U481" s="4">
        <v>18</v>
      </c>
      <c r="V481" s="4">
        <v>0</v>
      </c>
      <c r="W481" s="4">
        <v>0</v>
      </c>
    </row>
    <row r="482" spans="1:23" ht="11.25" customHeight="1" x14ac:dyDescent="0.25">
      <c r="A482" s="4" t="s">
        <v>28</v>
      </c>
      <c r="B482" s="4" t="s">
        <v>33</v>
      </c>
      <c r="C482" s="4" t="s">
        <v>34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44682</v>
      </c>
      <c r="J482" s="6">
        <v>53</v>
      </c>
      <c r="K482" s="6">
        <v>53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4" t="s">
        <v>177</v>
      </c>
      <c r="U482" s="4">
        <v>18</v>
      </c>
      <c r="V482" s="4">
        <v>0</v>
      </c>
      <c r="W482" s="4">
        <v>0</v>
      </c>
    </row>
    <row r="483" spans="1:23" ht="11.25" customHeight="1" x14ac:dyDescent="0.25">
      <c r="A483" s="4" t="s">
        <v>21</v>
      </c>
      <c r="B483" s="4" t="s">
        <v>33</v>
      </c>
      <c r="C483" s="4" t="s">
        <v>34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44348</v>
      </c>
      <c r="J483" s="6">
        <v>0</v>
      </c>
      <c r="K483" s="6">
        <v>0</v>
      </c>
      <c r="L483" s="6">
        <v>4.1100000000000003</v>
      </c>
      <c r="M483" s="6">
        <v>4.1100000000000003</v>
      </c>
      <c r="N483" s="6">
        <v>4.1100000000000003</v>
      </c>
      <c r="O483" s="6">
        <v>4.1100000000000003</v>
      </c>
      <c r="P483" s="6">
        <v>0</v>
      </c>
      <c r="Q483" s="4" t="s">
        <v>26</v>
      </c>
      <c r="R483" s="4">
        <v>0</v>
      </c>
      <c r="S483" s="4" t="s">
        <v>178</v>
      </c>
      <c r="T483" s="4" t="s">
        <v>399</v>
      </c>
      <c r="U483" s="4">
        <v>0</v>
      </c>
      <c r="V483" s="4">
        <v>19</v>
      </c>
      <c r="W483" s="4">
        <v>65</v>
      </c>
    </row>
    <row r="484" spans="1:23" ht="11.25" customHeight="1" x14ac:dyDescent="0.25">
      <c r="A484" s="4" t="s">
        <v>28</v>
      </c>
      <c r="B484" s="4" t="s">
        <v>33</v>
      </c>
      <c r="C484" s="4" t="s">
        <v>34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44348</v>
      </c>
      <c r="J484" s="6">
        <v>0</v>
      </c>
      <c r="K484" s="6">
        <v>0</v>
      </c>
      <c r="L484" s="6">
        <v>0.35799999999999998</v>
      </c>
      <c r="M484" s="6">
        <v>0.35799999999999998</v>
      </c>
      <c r="N484" s="6">
        <v>0.35799999999999998</v>
      </c>
      <c r="O484" s="6">
        <v>0.35799999999999998</v>
      </c>
      <c r="P484" s="6">
        <v>0</v>
      </c>
      <c r="Q484" s="4" t="s">
        <v>26</v>
      </c>
      <c r="R484" s="4">
        <v>0</v>
      </c>
      <c r="S484" s="4" t="s">
        <v>178</v>
      </c>
      <c r="T484" s="4" t="s">
        <v>399</v>
      </c>
      <c r="U484" s="4">
        <v>0</v>
      </c>
      <c r="V484" s="4">
        <v>19</v>
      </c>
      <c r="W484" s="4">
        <v>65</v>
      </c>
    </row>
    <row r="485" spans="1:23" ht="11.25" customHeight="1" x14ac:dyDescent="0.25">
      <c r="A485" s="4" t="s">
        <v>21</v>
      </c>
      <c r="B485" s="4" t="s">
        <v>33</v>
      </c>
      <c r="C485" s="4" t="s">
        <v>34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44378</v>
      </c>
      <c r="J485" s="6">
        <v>0</v>
      </c>
      <c r="K485" s="6">
        <v>0</v>
      </c>
      <c r="L485" s="6">
        <v>4.3680000000000003</v>
      </c>
      <c r="M485" s="6">
        <v>4.3680000000000003</v>
      </c>
      <c r="N485" s="6">
        <v>4.3680000000000003</v>
      </c>
      <c r="O485" s="6">
        <v>4.3680000000000003</v>
      </c>
      <c r="P485" s="6">
        <v>0</v>
      </c>
      <c r="Q485" s="4" t="s">
        <v>26</v>
      </c>
      <c r="R485" s="4">
        <v>0</v>
      </c>
      <c r="S485" s="4" t="s">
        <v>179</v>
      </c>
      <c r="T485" s="4" t="s">
        <v>400</v>
      </c>
      <c r="U485" s="4">
        <v>0</v>
      </c>
      <c r="V485" s="4">
        <v>19</v>
      </c>
      <c r="W485" s="4">
        <v>65</v>
      </c>
    </row>
    <row r="486" spans="1:23" ht="11.25" customHeight="1" x14ac:dyDescent="0.25">
      <c r="A486" s="4" t="s">
        <v>28</v>
      </c>
      <c r="B486" s="4" t="s">
        <v>33</v>
      </c>
      <c r="C486" s="4" t="s">
        <v>34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44378</v>
      </c>
      <c r="J486" s="6">
        <v>0</v>
      </c>
      <c r="K486" s="6">
        <v>0</v>
      </c>
      <c r="L486" s="6">
        <v>0.35199999999999998</v>
      </c>
      <c r="M486" s="6">
        <v>0.35199999999999998</v>
      </c>
      <c r="N486" s="6">
        <v>0.35199999999999998</v>
      </c>
      <c r="O486" s="6">
        <v>0.35199999999999998</v>
      </c>
      <c r="P486" s="6">
        <v>0</v>
      </c>
      <c r="Q486" s="4" t="s">
        <v>26</v>
      </c>
      <c r="R486" s="4">
        <v>0</v>
      </c>
      <c r="S486" s="4" t="s">
        <v>179</v>
      </c>
      <c r="T486" s="4" t="s">
        <v>400</v>
      </c>
      <c r="U486" s="4">
        <v>0</v>
      </c>
      <c r="V486" s="4">
        <v>19</v>
      </c>
      <c r="W486" s="4">
        <v>65</v>
      </c>
    </row>
    <row r="487" spans="1:23" ht="11.25" customHeight="1" x14ac:dyDescent="0.25">
      <c r="A487" s="4" t="s">
        <v>21</v>
      </c>
      <c r="B487" s="4" t="s">
        <v>33</v>
      </c>
      <c r="C487" s="4" t="s">
        <v>34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44409</v>
      </c>
      <c r="J487" s="6">
        <v>0</v>
      </c>
      <c r="K487" s="6">
        <v>0</v>
      </c>
      <c r="L487" s="6">
        <v>4.242</v>
      </c>
      <c r="M487" s="6">
        <v>4.242</v>
      </c>
      <c r="N487" s="6">
        <v>4.242</v>
      </c>
      <c r="O487" s="6">
        <v>4.242</v>
      </c>
      <c r="P487" s="6">
        <v>0</v>
      </c>
      <c r="Q487" s="4" t="s">
        <v>26</v>
      </c>
      <c r="R487" s="4">
        <v>0</v>
      </c>
      <c r="S487" s="4" t="s">
        <v>180</v>
      </c>
      <c r="T487" s="4" t="s">
        <v>401</v>
      </c>
      <c r="U487" s="4">
        <v>0</v>
      </c>
      <c r="V487" s="4">
        <v>19</v>
      </c>
      <c r="W487" s="4">
        <v>65</v>
      </c>
    </row>
    <row r="488" spans="1:23" ht="11.25" customHeight="1" x14ac:dyDescent="0.25">
      <c r="A488" s="4" t="s">
        <v>28</v>
      </c>
      <c r="B488" s="4" t="s">
        <v>33</v>
      </c>
      <c r="C488" s="4" t="s">
        <v>34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44409</v>
      </c>
      <c r="J488" s="6">
        <v>0</v>
      </c>
      <c r="K488" s="6">
        <v>0</v>
      </c>
      <c r="L488" s="6">
        <v>0.39900000000000002</v>
      </c>
      <c r="M488" s="6">
        <v>0.39900000000000002</v>
      </c>
      <c r="N488" s="6">
        <v>0.39900000000000002</v>
      </c>
      <c r="O488" s="6">
        <v>0.39900000000000002</v>
      </c>
      <c r="P488" s="6">
        <v>0</v>
      </c>
      <c r="Q488" s="4" t="s">
        <v>26</v>
      </c>
      <c r="R488" s="4">
        <v>0</v>
      </c>
      <c r="S488" s="4" t="s">
        <v>180</v>
      </c>
      <c r="T488" s="4" t="s">
        <v>401</v>
      </c>
      <c r="U488" s="4">
        <v>0</v>
      </c>
      <c r="V488" s="4">
        <v>19</v>
      </c>
      <c r="W488" s="4">
        <v>65</v>
      </c>
    </row>
    <row r="489" spans="1:23" ht="11.25" customHeight="1" x14ac:dyDescent="0.25">
      <c r="A489" s="4" t="s">
        <v>21</v>
      </c>
      <c r="B489" s="4" t="s">
        <v>33</v>
      </c>
      <c r="C489" s="4" t="s">
        <v>34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44440</v>
      </c>
      <c r="J489" s="6">
        <v>0</v>
      </c>
      <c r="K489" s="6">
        <v>0</v>
      </c>
      <c r="L489" s="6">
        <v>3.9380000000000002</v>
      </c>
      <c r="M489" s="6">
        <v>3.9380000000000002</v>
      </c>
      <c r="N489" s="6">
        <v>3.9380000000000002</v>
      </c>
      <c r="O489" s="6">
        <v>3.9380000000000002</v>
      </c>
      <c r="P489" s="6">
        <v>0</v>
      </c>
      <c r="Q489" s="4" t="s">
        <v>26</v>
      </c>
      <c r="R489" s="4">
        <v>0</v>
      </c>
      <c r="S489" s="4" t="s">
        <v>181</v>
      </c>
      <c r="T489" s="4" t="s">
        <v>402</v>
      </c>
      <c r="U489" s="4">
        <v>0</v>
      </c>
      <c r="V489" s="4">
        <v>19</v>
      </c>
      <c r="W489" s="4">
        <v>65</v>
      </c>
    </row>
    <row r="490" spans="1:23" ht="11.25" customHeight="1" x14ac:dyDescent="0.25">
      <c r="A490" s="4" t="s">
        <v>28</v>
      </c>
      <c r="B490" s="4" t="s">
        <v>33</v>
      </c>
      <c r="C490" s="4" t="s">
        <v>34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44440</v>
      </c>
      <c r="J490" s="6">
        <v>0</v>
      </c>
      <c r="K490" s="6">
        <v>0</v>
      </c>
      <c r="L490" s="6">
        <v>0.38</v>
      </c>
      <c r="M490" s="6">
        <v>0.38</v>
      </c>
      <c r="N490" s="6">
        <v>0.38</v>
      </c>
      <c r="O490" s="6">
        <v>0.38</v>
      </c>
      <c r="P490" s="6">
        <v>0</v>
      </c>
      <c r="Q490" s="4" t="s">
        <v>26</v>
      </c>
      <c r="R490" s="4">
        <v>0</v>
      </c>
      <c r="S490" s="4" t="s">
        <v>181</v>
      </c>
      <c r="T490" s="4" t="s">
        <v>402</v>
      </c>
      <c r="U490" s="4">
        <v>0</v>
      </c>
      <c r="V490" s="4">
        <v>19</v>
      </c>
      <c r="W490" s="4">
        <v>65</v>
      </c>
    </row>
    <row r="491" spans="1:23" ht="11.25" customHeight="1" x14ac:dyDescent="0.25">
      <c r="A491" s="4" t="s">
        <v>21</v>
      </c>
      <c r="B491" s="4" t="s">
        <v>33</v>
      </c>
      <c r="C491" s="4" t="s">
        <v>34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44470</v>
      </c>
      <c r="J491" s="6">
        <v>0</v>
      </c>
      <c r="K491" s="6">
        <v>0</v>
      </c>
      <c r="L491" s="6">
        <v>3.7810000000000001</v>
      </c>
      <c r="M491" s="6">
        <v>3.7810000000000001</v>
      </c>
      <c r="N491" s="6">
        <v>3.7810000000000001</v>
      </c>
      <c r="O491" s="6">
        <v>3.7810000000000001</v>
      </c>
      <c r="P491" s="6">
        <v>0</v>
      </c>
      <c r="Q491" s="4" t="s">
        <v>26</v>
      </c>
      <c r="R491" s="4">
        <v>0</v>
      </c>
      <c r="S491" s="4" t="s">
        <v>182</v>
      </c>
      <c r="T491" s="4" t="s">
        <v>403</v>
      </c>
      <c r="U491" s="4">
        <v>0</v>
      </c>
      <c r="V491" s="4">
        <v>19</v>
      </c>
      <c r="W491" s="4">
        <v>65</v>
      </c>
    </row>
    <row r="492" spans="1:23" ht="11.25" customHeight="1" x14ac:dyDescent="0.25">
      <c r="A492" s="4" t="s">
        <v>28</v>
      </c>
      <c r="B492" s="4" t="s">
        <v>33</v>
      </c>
      <c r="C492" s="4" t="s">
        <v>34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44470</v>
      </c>
      <c r="J492" s="6">
        <v>0</v>
      </c>
      <c r="K492" s="6">
        <v>0</v>
      </c>
      <c r="L492" s="6">
        <v>0.32600000000000001</v>
      </c>
      <c r="M492" s="6">
        <v>0.32600000000000001</v>
      </c>
      <c r="N492" s="6">
        <v>0.32600000000000001</v>
      </c>
      <c r="O492" s="6">
        <v>0.32600000000000001</v>
      </c>
      <c r="P492" s="6">
        <v>0</v>
      </c>
      <c r="Q492" s="4" t="s">
        <v>26</v>
      </c>
      <c r="R492" s="4">
        <v>0</v>
      </c>
      <c r="S492" s="4" t="s">
        <v>182</v>
      </c>
      <c r="T492" s="4" t="s">
        <v>403</v>
      </c>
      <c r="U492" s="4">
        <v>0</v>
      </c>
      <c r="V492" s="4">
        <v>19</v>
      </c>
      <c r="W492" s="4">
        <v>65</v>
      </c>
    </row>
    <row r="493" spans="1:23" ht="11.25" customHeight="1" x14ac:dyDescent="0.25">
      <c r="A493" s="4" t="s">
        <v>21</v>
      </c>
      <c r="B493" s="4" t="s">
        <v>33</v>
      </c>
      <c r="C493" s="4" t="s">
        <v>34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44501</v>
      </c>
      <c r="J493" s="6">
        <v>0</v>
      </c>
      <c r="K493" s="6">
        <v>0</v>
      </c>
      <c r="L493" s="6">
        <v>4.0570000000000004</v>
      </c>
      <c r="M493" s="6">
        <v>4.0570000000000004</v>
      </c>
      <c r="N493" s="6">
        <v>4.0570000000000004</v>
      </c>
      <c r="O493" s="6">
        <v>4.0570000000000004</v>
      </c>
      <c r="P493" s="6">
        <v>0</v>
      </c>
      <c r="Q493" s="4" t="s">
        <v>26</v>
      </c>
      <c r="R493" s="4">
        <v>0</v>
      </c>
      <c r="S493" s="4" t="s">
        <v>183</v>
      </c>
      <c r="T493" s="4" t="s">
        <v>404</v>
      </c>
      <c r="U493" s="4">
        <v>0</v>
      </c>
      <c r="V493" s="4">
        <v>19</v>
      </c>
      <c r="W493" s="4">
        <v>65</v>
      </c>
    </row>
    <row r="494" spans="1:23" ht="11.25" customHeight="1" x14ac:dyDescent="0.25">
      <c r="A494" s="4" t="s">
        <v>28</v>
      </c>
      <c r="B494" s="4" t="s">
        <v>33</v>
      </c>
      <c r="C494" s="4" t="s">
        <v>34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44501</v>
      </c>
      <c r="J494" s="6">
        <v>0</v>
      </c>
      <c r="K494" s="6">
        <v>0</v>
      </c>
      <c r="L494" s="6">
        <v>0.51300000000000001</v>
      </c>
      <c r="M494" s="6">
        <v>0.51300000000000001</v>
      </c>
      <c r="N494" s="6">
        <v>0.51300000000000001</v>
      </c>
      <c r="O494" s="6">
        <v>0.51300000000000001</v>
      </c>
      <c r="P494" s="6">
        <v>0</v>
      </c>
      <c r="Q494" s="4" t="s">
        <v>26</v>
      </c>
      <c r="R494" s="4">
        <v>0</v>
      </c>
      <c r="S494" s="4" t="s">
        <v>183</v>
      </c>
      <c r="T494" s="4" t="s">
        <v>404</v>
      </c>
      <c r="U494" s="4">
        <v>0</v>
      </c>
      <c r="V494" s="4">
        <v>19</v>
      </c>
      <c r="W494" s="4">
        <v>65</v>
      </c>
    </row>
    <row r="495" spans="1:23" ht="11.25" customHeight="1" x14ac:dyDescent="0.25">
      <c r="A495" s="4" t="s">
        <v>21</v>
      </c>
      <c r="B495" s="4" t="s">
        <v>33</v>
      </c>
      <c r="C495" s="4" t="s">
        <v>34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44531</v>
      </c>
      <c r="J495" s="6">
        <v>0</v>
      </c>
      <c r="K495" s="6">
        <v>0</v>
      </c>
      <c r="L495" s="6">
        <v>4.41</v>
      </c>
      <c r="M495" s="6">
        <v>4.41</v>
      </c>
      <c r="N495" s="6">
        <v>4.41</v>
      </c>
      <c r="O495" s="6">
        <v>4.41</v>
      </c>
      <c r="P495" s="6">
        <v>0</v>
      </c>
      <c r="Q495" s="4" t="s">
        <v>26</v>
      </c>
      <c r="R495" s="4">
        <v>0</v>
      </c>
      <c r="S495" s="4" t="s">
        <v>184</v>
      </c>
      <c r="T495" s="4" t="s">
        <v>405</v>
      </c>
      <c r="U495" s="4">
        <v>0</v>
      </c>
      <c r="V495" s="4">
        <v>19</v>
      </c>
      <c r="W495" s="4">
        <v>65</v>
      </c>
    </row>
    <row r="496" spans="1:23" ht="11.25" customHeight="1" x14ac:dyDescent="0.25">
      <c r="A496" s="4" t="s">
        <v>28</v>
      </c>
      <c r="B496" s="4" t="s">
        <v>33</v>
      </c>
      <c r="C496" s="4" t="s">
        <v>34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44531</v>
      </c>
      <c r="J496" s="6">
        <v>0</v>
      </c>
      <c r="K496" s="6">
        <v>0</v>
      </c>
      <c r="L496" s="6">
        <v>0.66500000000000004</v>
      </c>
      <c r="M496" s="6">
        <v>0.66500000000000004</v>
      </c>
      <c r="N496" s="6">
        <v>0.66500000000000004</v>
      </c>
      <c r="O496" s="6">
        <v>0.66500000000000004</v>
      </c>
      <c r="P496" s="6">
        <v>0</v>
      </c>
      <c r="Q496" s="4" t="s">
        <v>26</v>
      </c>
      <c r="R496" s="4">
        <v>0</v>
      </c>
      <c r="S496" s="4" t="s">
        <v>184</v>
      </c>
      <c r="T496" s="4" t="s">
        <v>405</v>
      </c>
      <c r="U496" s="4">
        <v>0</v>
      </c>
      <c r="V496" s="4">
        <v>19</v>
      </c>
      <c r="W496" s="4">
        <v>65</v>
      </c>
    </row>
    <row r="497" spans="1:23" ht="11.25" customHeight="1" x14ac:dyDescent="0.25">
      <c r="A497" s="4" t="s">
        <v>21</v>
      </c>
      <c r="B497" s="4" t="s">
        <v>33</v>
      </c>
      <c r="C497" s="4" t="s">
        <v>34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44562</v>
      </c>
      <c r="J497" s="6">
        <v>0</v>
      </c>
      <c r="K497" s="6">
        <v>0</v>
      </c>
      <c r="L497" s="6">
        <v>4.3259999999999996</v>
      </c>
      <c r="M497" s="6">
        <v>4.3259999999999996</v>
      </c>
      <c r="N497" s="6">
        <v>4.3259999999999996</v>
      </c>
      <c r="O497" s="6">
        <v>4.3259999999999996</v>
      </c>
      <c r="P497" s="6">
        <v>0</v>
      </c>
      <c r="Q497" s="4" t="s">
        <v>26</v>
      </c>
      <c r="R497" s="4">
        <v>0</v>
      </c>
      <c r="S497" s="4" t="s">
        <v>185</v>
      </c>
      <c r="T497" s="4" t="s">
        <v>406</v>
      </c>
      <c r="U497" s="4">
        <v>0</v>
      </c>
      <c r="V497" s="4">
        <v>19</v>
      </c>
      <c r="W497" s="4">
        <v>65</v>
      </c>
    </row>
    <row r="498" spans="1:23" ht="11.25" customHeight="1" x14ac:dyDescent="0.25">
      <c r="A498" s="4" t="s">
        <v>28</v>
      </c>
      <c r="B498" s="4" t="s">
        <v>33</v>
      </c>
      <c r="C498" s="4" t="s">
        <v>34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44562</v>
      </c>
      <c r="J498" s="6">
        <v>0</v>
      </c>
      <c r="K498" s="6">
        <v>0</v>
      </c>
      <c r="L498" s="6">
        <v>0.35299999999999998</v>
      </c>
      <c r="M498" s="6">
        <v>0.35299999999999998</v>
      </c>
      <c r="N498" s="6">
        <v>0.35299999999999998</v>
      </c>
      <c r="O498" s="6">
        <v>0.35299999999999998</v>
      </c>
      <c r="P498" s="6">
        <v>0</v>
      </c>
      <c r="Q498" s="4" t="s">
        <v>26</v>
      </c>
      <c r="R498" s="4">
        <v>0</v>
      </c>
      <c r="S498" s="4" t="s">
        <v>185</v>
      </c>
      <c r="T498" s="4" t="s">
        <v>406</v>
      </c>
      <c r="U498" s="4">
        <v>0</v>
      </c>
      <c r="V498" s="4">
        <v>19</v>
      </c>
      <c r="W498" s="4">
        <v>65</v>
      </c>
    </row>
    <row r="499" spans="1:23" ht="11.25" customHeight="1" x14ac:dyDescent="0.25">
      <c r="A499" s="4" t="s">
        <v>21</v>
      </c>
      <c r="B499" s="4" t="s">
        <v>33</v>
      </c>
      <c r="C499" s="4" t="s">
        <v>34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44593</v>
      </c>
      <c r="J499" s="6">
        <v>0</v>
      </c>
      <c r="K499" s="6">
        <v>0</v>
      </c>
      <c r="L499" s="6">
        <v>4.3650000000000002</v>
      </c>
      <c r="M499" s="6">
        <v>4.3650000000000002</v>
      </c>
      <c r="N499" s="6">
        <v>4.3650000000000002</v>
      </c>
      <c r="O499" s="6">
        <v>4.3650000000000002</v>
      </c>
      <c r="P499" s="6">
        <v>0</v>
      </c>
      <c r="Q499" s="4" t="s">
        <v>26</v>
      </c>
      <c r="R499" s="4">
        <v>0</v>
      </c>
      <c r="S499" s="4" t="s">
        <v>186</v>
      </c>
      <c r="T499" s="4" t="s">
        <v>407</v>
      </c>
      <c r="U499" s="4">
        <v>0</v>
      </c>
      <c r="V499" s="4">
        <v>19</v>
      </c>
      <c r="W499" s="4">
        <v>65</v>
      </c>
    </row>
    <row r="500" spans="1:23" ht="11.25" customHeight="1" x14ac:dyDescent="0.25">
      <c r="A500" s="4" t="s">
        <v>21</v>
      </c>
      <c r="B500" s="4" t="s">
        <v>33</v>
      </c>
      <c r="C500" s="4" t="s">
        <v>34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44621</v>
      </c>
      <c r="J500" s="6">
        <v>0</v>
      </c>
      <c r="K500" s="6">
        <v>0</v>
      </c>
      <c r="L500" s="6">
        <v>4.7930000000000001</v>
      </c>
      <c r="M500" s="6">
        <v>4.7930000000000001</v>
      </c>
      <c r="N500" s="6">
        <v>4.7930000000000001</v>
      </c>
      <c r="O500" s="6">
        <v>4.7930000000000001</v>
      </c>
      <c r="P500" s="6">
        <v>0</v>
      </c>
      <c r="Q500" s="4" t="s">
        <v>26</v>
      </c>
      <c r="R500" s="4">
        <v>0</v>
      </c>
      <c r="S500" s="4" t="s">
        <v>187</v>
      </c>
      <c r="T500" s="4" t="s">
        <v>408</v>
      </c>
      <c r="U500" s="4">
        <v>0</v>
      </c>
      <c r="V500" s="4">
        <v>19</v>
      </c>
      <c r="W500" s="4">
        <v>65</v>
      </c>
    </row>
    <row r="501" spans="1:23" ht="11.25" customHeight="1" x14ac:dyDescent="0.25">
      <c r="A501" s="4" t="s">
        <v>28</v>
      </c>
      <c r="B501" s="4" t="s">
        <v>33</v>
      </c>
      <c r="C501" s="4" t="s">
        <v>34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44621</v>
      </c>
      <c r="J501" s="6">
        <v>0</v>
      </c>
      <c r="K501" s="6">
        <v>0</v>
      </c>
      <c r="L501" s="6">
        <v>1.859</v>
      </c>
      <c r="M501" s="6">
        <v>1.859</v>
      </c>
      <c r="N501" s="6">
        <v>1.859</v>
      </c>
      <c r="O501" s="6">
        <v>1.859</v>
      </c>
      <c r="P501" s="6">
        <v>0</v>
      </c>
      <c r="Q501" s="4" t="s">
        <v>26</v>
      </c>
      <c r="R501" s="4">
        <v>0</v>
      </c>
      <c r="S501" s="4" t="s">
        <v>187</v>
      </c>
      <c r="T501" s="4" t="s">
        <v>408</v>
      </c>
      <c r="U501" s="4">
        <v>0</v>
      </c>
      <c r="V501" s="4">
        <v>19</v>
      </c>
      <c r="W501" s="4">
        <v>65</v>
      </c>
    </row>
    <row r="502" spans="1:23" ht="11.25" customHeight="1" x14ac:dyDescent="0.25">
      <c r="A502" s="4" t="s">
        <v>21</v>
      </c>
      <c r="B502" s="4" t="s">
        <v>33</v>
      </c>
      <c r="C502" s="4" t="s">
        <v>34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44652</v>
      </c>
      <c r="J502" s="6">
        <v>0</v>
      </c>
      <c r="K502" s="6">
        <v>0</v>
      </c>
      <c r="L502" s="6">
        <v>3.782</v>
      </c>
      <c r="M502" s="6">
        <v>3.782</v>
      </c>
      <c r="N502" s="6">
        <v>3.782</v>
      </c>
      <c r="O502" s="6">
        <v>3.782</v>
      </c>
      <c r="P502" s="6">
        <v>0</v>
      </c>
      <c r="Q502" s="4" t="s">
        <v>26</v>
      </c>
      <c r="R502" s="4">
        <v>0</v>
      </c>
      <c r="S502" s="4" t="s">
        <v>188</v>
      </c>
      <c r="T502" s="4" t="s">
        <v>409</v>
      </c>
      <c r="U502" s="4">
        <v>0</v>
      </c>
      <c r="V502" s="4">
        <v>19</v>
      </c>
      <c r="W502" s="4">
        <v>65</v>
      </c>
    </row>
    <row r="503" spans="1:23" ht="11.25" customHeight="1" x14ac:dyDescent="0.25">
      <c r="A503" s="4" t="s">
        <v>28</v>
      </c>
      <c r="B503" s="4" t="s">
        <v>33</v>
      </c>
      <c r="C503" s="4" t="s">
        <v>34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44652</v>
      </c>
      <c r="J503" s="6">
        <v>0</v>
      </c>
      <c r="K503" s="6">
        <v>0</v>
      </c>
      <c r="L503" s="6">
        <v>1.6759999999999999</v>
      </c>
      <c r="M503" s="6">
        <v>1.6759999999999999</v>
      </c>
      <c r="N503" s="6">
        <v>1.6759999999999999</v>
      </c>
      <c r="O503" s="6">
        <v>1.6759999999999999</v>
      </c>
      <c r="P503" s="6">
        <v>0</v>
      </c>
      <c r="Q503" s="4" t="s">
        <v>26</v>
      </c>
      <c r="R503" s="4">
        <v>0</v>
      </c>
      <c r="S503" s="4" t="s">
        <v>188</v>
      </c>
      <c r="T503" s="4" t="s">
        <v>409</v>
      </c>
      <c r="U503" s="4">
        <v>0</v>
      </c>
      <c r="V503" s="4">
        <v>19</v>
      </c>
      <c r="W503" s="4">
        <v>65</v>
      </c>
    </row>
    <row r="504" spans="1:23" ht="11.25" customHeight="1" x14ac:dyDescent="0.25">
      <c r="A504" s="4" t="s">
        <v>21</v>
      </c>
      <c r="B504" s="4" t="s">
        <v>33</v>
      </c>
      <c r="C504" s="4" t="s">
        <v>34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44682</v>
      </c>
      <c r="J504" s="6">
        <v>0</v>
      </c>
      <c r="K504" s="6">
        <v>0</v>
      </c>
      <c r="L504" s="6">
        <v>4.5629999999999997</v>
      </c>
      <c r="M504" s="6">
        <v>4.5629999999999997</v>
      </c>
      <c r="N504" s="6">
        <v>4.5629999999999997</v>
      </c>
      <c r="O504" s="6">
        <v>4.5629999999999997</v>
      </c>
      <c r="P504" s="6">
        <v>0</v>
      </c>
      <c r="Q504" s="4" t="s">
        <v>26</v>
      </c>
      <c r="R504" s="4">
        <v>0</v>
      </c>
      <c r="S504" s="4" t="s">
        <v>189</v>
      </c>
      <c r="T504" s="4" t="s">
        <v>410</v>
      </c>
      <c r="U504" s="4">
        <v>0</v>
      </c>
      <c r="V504" s="4">
        <v>19</v>
      </c>
      <c r="W504" s="4">
        <v>65</v>
      </c>
    </row>
    <row r="505" spans="1:23" ht="11.25" customHeight="1" x14ac:dyDescent="0.25">
      <c r="A505" s="4" t="s">
        <v>28</v>
      </c>
      <c r="B505" s="4" t="s">
        <v>33</v>
      </c>
      <c r="C505" s="4" t="s">
        <v>34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44682</v>
      </c>
      <c r="J505" s="6">
        <v>0</v>
      </c>
      <c r="K505" s="6">
        <v>0</v>
      </c>
      <c r="L505" s="6">
        <v>2.444</v>
      </c>
      <c r="M505" s="6">
        <v>2.444</v>
      </c>
      <c r="N505" s="6">
        <v>2.444</v>
      </c>
      <c r="O505" s="6">
        <v>2.444</v>
      </c>
      <c r="P505" s="6">
        <v>0</v>
      </c>
      <c r="Q505" s="4" t="s">
        <v>26</v>
      </c>
      <c r="R505" s="4">
        <v>0</v>
      </c>
      <c r="S505" s="4" t="s">
        <v>189</v>
      </c>
      <c r="T505" s="4" t="s">
        <v>410</v>
      </c>
      <c r="U505" s="4">
        <v>0</v>
      </c>
      <c r="V505" s="4">
        <v>19</v>
      </c>
      <c r="W505" s="4">
        <v>65</v>
      </c>
    </row>
    <row r="506" spans="1:23" ht="11.25" customHeight="1" x14ac:dyDescent="0.25">
      <c r="A506" s="4" t="s">
        <v>21</v>
      </c>
      <c r="B506" s="4" t="s">
        <v>33</v>
      </c>
      <c r="C506" s="4" t="s">
        <v>34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35</v>
      </c>
      <c r="I506" s="5">
        <v>44348</v>
      </c>
      <c r="J506" s="6">
        <v>0</v>
      </c>
      <c r="K506" s="6">
        <v>0</v>
      </c>
      <c r="L506" s="6">
        <v>1.1679999999999999</v>
      </c>
      <c r="M506" s="6">
        <v>1.1679999999999999</v>
      </c>
      <c r="N506" s="6">
        <v>1.1679999999999999</v>
      </c>
      <c r="O506" s="6">
        <v>1.1679999999999999</v>
      </c>
      <c r="P506" s="6">
        <v>0</v>
      </c>
      <c r="Q506" s="4" t="s">
        <v>26</v>
      </c>
      <c r="R506" s="4">
        <v>0</v>
      </c>
      <c r="S506" s="4" t="s">
        <v>154</v>
      </c>
      <c r="T506" s="4" t="s">
        <v>387</v>
      </c>
      <c r="U506" s="4">
        <v>0</v>
      </c>
      <c r="V506" s="4">
        <v>20</v>
      </c>
      <c r="W506" s="4">
        <v>66</v>
      </c>
    </row>
    <row r="507" spans="1:23" ht="11.25" customHeight="1" x14ac:dyDescent="0.25">
      <c r="A507" s="4" t="s">
        <v>21</v>
      </c>
      <c r="B507" s="4" t="s">
        <v>33</v>
      </c>
      <c r="C507" s="4" t="s">
        <v>34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35</v>
      </c>
      <c r="I507" s="5">
        <v>44378</v>
      </c>
      <c r="J507" s="6">
        <v>0</v>
      </c>
      <c r="K507" s="6">
        <v>0</v>
      </c>
      <c r="L507" s="6">
        <v>1.3240000000000001</v>
      </c>
      <c r="M507" s="6">
        <v>1.3240000000000001</v>
      </c>
      <c r="N507" s="6">
        <v>1.3240000000000001</v>
      </c>
      <c r="O507" s="6">
        <v>1.3240000000000001</v>
      </c>
      <c r="P507" s="6">
        <v>0</v>
      </c>
      <c r="Q507" s="4" t="s">
        <v>26</v>
      </c>
      <c r="R507" s="4">
        <v>0</v>
      </c>
      <c r="S507" s="4" t="s">
        <v>155</v>
      </c>
      <c r="T507" s="4" t="s">
        <v>388</v>
      </c>
      <c r="U507" s="4">
        <v>0</v>
      </c>
      <c r="V507" s="4">
        <v>20</v>
      </c>
      <c r="W507" s="4">
        <v>66</v>
      </c>
    </row>
    <row r="508" spans="1:23" ht="11.25" customHeight="1" x14ac:dyDescent="0.25">
      <c r="A508" s="4" t="s">
        <v>21</v>
      </c>
      <c r="B508" s="4" t="s">
        <v>33</v>
      </c>
      <c r="C508" s="4" t="s">
        <v>34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35</v>
      </c>
      <c r="I508" s="5">
        <v>44409</v>
      </c>
      <c r="J508" s="6">
        <v>0</v>
      </c>
      <c r="K508" s="6">
        <v>0</v>
      </c>
      <c r="L508" s="6">
        <v>1.2330000000000001</v>
      </c>
      <c r="M508" s="6">
        <v>1.2330000000000001</v>
      </c>
      <c r="N508" s="6">
        <v>1.2330000000000001</v>
      </c>
      <c r="O508" s="6">
        <v>1.2330000000000001</v>
      </c>
      <c r="P508" s="6">
        <v>0</v>
      </c>
      <c r="Q508" s="4" t="s">
        <v>26</v>
      </c>
      <c r="R508" s="4">
        <v>0</v>
      </c>
      <c r="S508" s="4" t="s">
        <v>156</v>
      </c>
      <c r="T508" s="4" t="s">
        <v>389</v>
      </c>
      <c r="U508" s="4">
        <v>0</v>
      </c>
      <c r="V508" s="4">
        <v>20</v>
      </c>
      <c r="W508" s="4">
        <v>66</v>
      </c>
    </row>
    <row r="509" spans="1:23" ht="11.25" customHeight="1" x14ac:dyDescent="0.25">
      <c r="A509" s="4" t="s">
        <v>21</v>
      </c>
      <c r="B509" s="4" t="s">
        <v>33</v>
      </c>
      <c r="C509" s="4" t="s">
        <v>34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35</v>
      </c>
      <c r="I509" s="5">
        <v>44440</v>
      </c>
      <c r="J509" s="6">
        <v>0</v>
      </c>
      <c r="K509" s="6">
        <v>0</v>
      </c>
      <c r="L509" s="6">
        <v>1.385</v>
      </c>
      <c r="M509" s="6">
        <v>1.385</v>
      </c>
      <c r="N509" s="6">
        <v>1.385</v>
      </c>
      <c r="O509" s="6">
        <v>1.385</v>
      </c>
      <c r="P509" s="6">
        <v>0</v>
      </c>
      <c r="Q509" s="4" t="s">
        <v>26</v>
      </c>
      <c r="R509" s="4">
        <v>0</v>
      </c>
      <c r="S509" s="4" t="s">
        <v>157</v>
      </c>
      <c r="T509" s="4" t="s">
        <v>390</v>
      </c>
      <c r="U509" s="4">
        <v>0</v>
      </c>
      <c r="V509" s="4">
        <v>20</v>
      </c>
      <c r="W509" s="4">
        <v>66</v>
      </c>
    </row>
    <row r="510" spans="1:23" ht="11.25" customHeight="1" x14ac:dyDescent="0.25">
      <c r="A510" s="4" t="s">
        <v>21</v>
      </c>
      <c r="B510" s="4" t="s">
        <v>33</v>
      </c>
      <c r="C510" s="4" t="s">
        <v>34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35</v>
      </c>
      <c r="I510" s="5">
        <v>44470</v>
      </c>
      <c r="J510" s="6">
        <v>0</v>
      </c>
      <c r="K510" s="6">
        <v>0</v>
      </c>
      <c r="L510" s="6">
        <v>1.3320000000000001</v>
      </c>
      <c r="M510" s="6">
        <v>1.3320000000000001</v>
      </c>
      <c r="N510" s="6">
        <v>1.3320000000000001</v>
      </c>
      <c r="O510" s="6">
        <v>1.3320000000000001</v>
      </c>
      <c r="P510" s="6">
        <v>0</v>
      </c>
      <c r="Q510" s="4" t="s">
        <v>26</v>
      </c>
      <c r="R510" s="4">
        <v>0</v>
      </c>
      <c r="S510" s="4" t="s">
        <v>158</v>
      </c>
      <c r="T510" s="4" t="s">
        <v>391</v>
      </c>
      <c r="U510" s="4">
        <v>0</v>
      </c>
      <c r="V510" s="4">
        <v>20</v>
      </c>
      <c r="W510" s="4">
        <v>66</v>
      </c>
    </row>
    <row r="511" spans="1:23" ht="11.25" customHeight="1" x14ac:dyDescent="0.25">
      <c r="A511" s="4" t="s">
        <v>21</v>
      </c>
      <c r="B511" s="4" t="s">
        <v>33</v>
      </c>
      <c r="C511" s="4" t="s">
        <v>34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35</v>
      </c>
      <c r="I511" s="5">
        <v>44501</v>
      </c>
      <c r="J511" s="6">
        <v>0</v>
      </c>
      <c r="K511" s="6">
        <v>0</v>
      </c>
      <c r="L511" s="6">
        <v>1.327</v>
      </c>
      <c r="M511" s="6">
        <v>1.327</v>
      </c>
      <c r="N511" s="6">
        <v>1.327</v>
      </c>
      <c r="O511" s="6">
        <v>1.327</v>
      </c>
      <c r="P511" s="6">
        <v>0</v>
      </c>
      <c r="Q511" s="4" t="s">
        <v>26</v>
      </c>
      <c r="R511" s="4">
        <v>0</v>
      </c>
      <c r="S511" s="4" t="s">
        <v>159</v>
      </c>
      <c r="T511" s="4" t="s">
        <v>392</v>
      </c>
      <c r="U511" s="4">
        <v>0</v>
      </c>
      <c r="V511" s="4">
        <v>20</v>
      </c>
      <c r="W511" s="4">
        <v>66</v>
      </c>
    </row>
    <row r="512" spans="1:23" ht="11.25" customHeight="1" x14ac:dyDescent="0.25">
      <c r="A512" s="4" t="s">
        <v>21</v>
      </c>
      <c r="B512" s="4" t="s">
        <v>33</v>
      </c>
      <c r="C512" s="4" t="s">
        <v>34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35</v>
      </c>
      <c r="I512" s="5">
        <v>44531</v>
      </c>
      <c r="J512" s="6">
        <v>0</v>
      </c>
      <c r="K512" s="6">
        <v>0</v>
      </c>
      <c r="L512" s="6">
        <v>2.3889999999999998</v>
      </c>
      <c r="M512" s="6">
        <v>2.3889999999999998</v>
      </c>
      <c r="N512" s="6">
        <v>2.3889999999999998</v>
      </c>
      <c r="O512" s="6">
        <v>2.3889999999999998</v>
      </c>
      <c r="P512" s="6">
        <v>0</v>
      </c>
      <c r="Q512" s="4" t="s">
        <v>26</v>
      </c>
      <c r="R512" s="4">
        <v>0</v>
      </c>
      <c r="S512" s="4" t="s">
        <v>160</v>
      </c>
      <c r="T512" s="4" t="s">
        <v>393</v>
      </c>
      <c r="U512" s="4">
        <v>0</v>
      </c>
      <c r="V512" s="4">
        <v>20</v>
      </c>
      <c r="W512" s="4">
        <v>66</v>
      </c>
    </row>
    <row r="513" spans="1:23" ht="11.25" customHeight="1" x14ac:dyDescent="0.25">
      <c r="A513" s="4" t="s">
        <v>21</v>
      </c>
      <c r="B513" s="4" t="s">
        <v>33</v>
      </c>
      <c r="C513" s="4" t="s">
        <v>34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35</v>
      </c>
      <c r="I513" s="5">
        <v>44562</v>
      </c>
      <c r="J513" s="6">
        <v>0</v>
      </c>
      <c r="K513" s="6">
        <v>0</v>
      </c>
      <c r="L513" s="6">
        <v>1.429</v>
      </c>
      <c r="M513" s="6">
        <v>1.429</v>
      </c>
      <c r="N513" s="6">
        <v>1.429</v>
      </c>
      <c r="O513" s="6">
        <v>1.429</v>
      </c>
      <c r="P513" s="6">
        <v>0</v>
      </c>
      <c r="Q513" s="4" t="s">
        <v>26</v>
      </c>
      <c r="R513" s="4">
        <v>0</v>
      </c>
      <c r="S513" s="4" t="s">
        <v>161</v>
      </c>
      <c r="T513" s="4" t="s">
        <v>394</v>
      </c>
      <c r="U513" s="4">
        <v>0</v>
      </c>
      <c r="V513" s="4">
        <v>20</v>
      </c>
      <c r="W513" s="4">
        <v>66</v>
      </c>
    </row>
    <row r="514" spans="1:23" ht="11.25" customHeight="1" x14ac:dyDescent="0.25">
      <c r="A514" s="4" t="s">
        <v>21</v>
      </c>
      <c r="B514" s="4" t="s">
        <v>33</v>
      </c>
      <c r="C514" s="4" t="s">
        <v>34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35</v>
      </c>
      <c r="I514" s="5">
        <v>44593</v>
      </c>
      <c r="J514" s="6">
        <v>0</v>
      </c>
      <c r="K514" s="6">
        <v>0</v>
      </c>
      <c r="L514" s="6">
        <v>1.653</v>
      </c>
      <c r="M514" s="6">
        <v>1.653</v>
      </c>
      <c r="N514" s="6">
        <v>1.653</v>
      </c>
      <c r="O514" s="6">
        <v>1.653</v>
      </c>
      <c r="P514" s="6">
        <v>0</v>
      </c>
      <c r="Q514" s="4" t="s">
        <v>26</v>
      </c>
      <c r="R514" s="4">
        <v>0</v>
      </c>
      <c r="S514" s="4" t="s">
        <v>162</v>
      </c>
      <c r="T514" s="4" t="s">
        <v>395</v>
      </c>
      <c r="U514" s="4">
        <v>0</v>
      </c>
      <c r="V514" s="4">
        <v>20</v>
      </c>
      <c r="W514" s="4">
        <v>66</v>
      </c>
    </row>
    <row r="515" spans="1:23" ht="11.25" customHeight="1" x14ac:dyDescent="0.25">
      <c r="A515" s="4" t="s">
        <v>21</v>
      </c>
      <c r="B515" s="4" t="s">
        <v>33</v>
      </c>
      <c r="C515" s="4" t="s">
        <v>34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35</v>
      </c>
      <c r="I515" s="5">
        <v>44621</v>
      </c>
      <c r="J515" s="6">
        <v>0</v>
      </c>
      <c r="K515" s="6">
        <v>0</v>
      </c>
      <c r="L515" s="6">
        <v>1.2490000000000001</v>
      </c>
      <c r="M515" s="6">
        <v>1.2490000000000001</v>
      </c>
      <c r="N515" s="6">
        <v>1.2490000000000001</v>
      </c>
      <c r="O515" s="6">
        <v>1.2490000000000001</v>
      </c>
      <c r="P515" s="6">
        <v>0</v>
      </c>
      <c r="Q515" s="4" t="s">
        <v>26</v>
      </c>
      <c r="R515" s="4">
        <v>0</v>
      </c>
      <c r="S515" s="4" t="s">
        <v>163</v>
      </c>
      <c r="T515" s="4" t="s">
        <v>396</v>
      </c>
      <c r="U515" s="4">
        <v>0</v>
      </c>
      <c r="V515" s="4">
        <v>20</v>
      </c>
      <c r="W515" s="4">
        <v>66</v>
      </c>
    </row>
    <row r="516" spans="1:23" ht="11.25" customHeight="1" x14ac:dyDescent="0.25">
      <c r="A516" s="4" t="s">
        <v>21</v>
      </c>
      <c r="B516" s="4" t="s">
        <v>33</v>
      </c>
      <c r="C516" s="4" t="s">
        <v>34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35</v>
      </c>
      <c r="I516" s="5">
        <v>44652</v>
      </c>
      <c r="J516" s="6">
        <v>0</v>
      </c>
      <c r="K516" s="6">
        <v>0</v>
      </c>
      <c r="L516" s="6">
        <v>1.2390000000000001</v>
      </c>
      <c r="M516" s="6">
        <v>1.2390000000000001</v>
      </c>
      <c r="N516" s="6">
        <v>1.2390000000000001</v>
      </c>
      <c r="O516" s="6">
        <v>1.2390000000000001</v>
      </c>
      <c r="P516" s="6">
        <v>0</v>
      </c>
      <c r="Q516" s="4" t="s">
        <v>26</v>
      </c>
      <c r="R516" s="4">
        <v>0</v>
      </c>
      <c r="S516" s="4" t="s">
        <v>164</v>
      </c>
      <c r="T516" s="4" t="s">
        <v>397</v>
      </c>
      <c r="U516" s="4">
        <v>0</v>
      </c>
      <c r="V516" s="4">
        <v>20</v>
      </c>
      <c r="W516" s="4">
        <v>66</v>
      </c>
    </row>
    <row r="517" spans="1:23" ht="11.25" customHeight="1" x14ac:dyDescent="0.25">
      <c r="A517" s="4" t="s">
        <v>21</v>
      </c>
      <c r="B517" s="4" t="s">
        <v>33</v>
      </c>
      <c r="C517" s="4" t="s">
        <v>34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44682</v>
      </c>
      <c r="J517" s="6">
        <v>0</v>
      </c>
      <c r="K517" s="6">
        <v>0</v>
      </c>
      <c r="L517" s="6">
        <v>1.054</v>
      </c>
      <c r="M517" s="6">
        <v>1.054</v>
      </c>
      <c r="N517" s="6">
        <v>1.054</v>
      </c>
      <c r="O517" s="6">
        <v>1.054</v>
      </c>
      <c r="P517" s="6">
        <v>0</v>
      </c>
      <c r="Q517" s="4" t="s">
        <v>26</v>
      </c>
      <c r="R517" s="4">
        <v>0</v>
      </c>
      <c r="S517" s="4" t="s">
        <v>165</v>
      </c>
      <c r="T517" s="4" t="s">
        <v>398</v>
      </c>
      <c r="U517" s="4">
        <v>0</v>
      </c>
      <c r="V517" s="4">
        <v>20</v>
      </c>
      <c r="W517" s="4">
        <v>66</v>
      </c>
    </row>
    <row r="518" spans="1:23" ht="11.25" customHeight="1" x14ac:dyDescent="0.25">
      <c r="A518" s="4" t="s">
        <v>21</v>
      </c>
      <c r="B518" s="4" t="s">
        <v>33</v>
      </c>
      <c r="C518" s="4" t="s">
        <v>34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25</v>
      </c>
      <c r="I518" s="5">
        <v>44348</v>
      </c>
      <c r="J518" s="6">
        <v>30</v>
      </c>
      <c r="K518" s="6">
        <v>30</v>
      </c>
      <c r="L518" s="6">
        <v>0</v>
      </c>
      <c r="M518" s="6">
        <v>0</v>
      </c>
      <c r="N518" s="6">
        <v>0</v>
      </c>
      <c r="O518" s="6">
        <v>0</v>
      </c>
      <c r="P518" s="6">
        <v>1</v>
      </c>
      <c r="Q518" s="4" t="s">
        <v>26</v>
      </c>
      <c r="R518" s="4">
        <v>0</v>
      </c>
      <c r="S518" s="4" t="s">
        <v>166</v>
      </c>
      <c r="U518" s="4">
        <v>18</v>
      </c>
      <c r="V518" s="4">
        <v>0</v>
      </c>
      <c r="W518" s="4">
        <v>0</v>
      </c>
    </row>
    <row r="519" spans="1:23" ht="11.25" customHeight="1" x14ac:dyDescent="0.25">
      <c r="A519" s="4" t="s">
        <v>21</v>
      </c>
      <c r="B519" s="4" t="s">
        <v>33</v>
      </c>
      <c r="C519" s="4" t="s">
        <v>34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25</v>
      </c>
      <c r="I519" s="5">
        <v>44378</v>
      </c>
      <c r="J519" s="6">
        <v>30</v>
      </c>
      <c r="K519" s="6">
        <v>30</v>
      </c>
      <c r="L519" s="6">
        <v>0</v>
      </c>
      <c r="M519" s="6">
        <v>0</v>
      </c>
      <c r="N519" s="6">
        <v>0</v>
      </c>
      <c r="O519" s="6">
        <v>0</v>
      </c>
      <c r="P519" s="6">
        <v>1</v>
      </c>
      <c r="Q519" s="4" t="s">
        <v>26</v>
      </c>
      <c r="R519" s="4">
        <v>0</v>
      </c>
      <c r="S519" s="4" t="s">
        <v>167</v>
      </c>
      <c r="U519" s="4">
        <v>18</v>
      </c>
      <c r="V519" s="4">
        <v>0</v>
      </c>
      <c r="W519" s="4">
        <v>0</v>
      </c>
    </row>
    <row r="520" spans="1:23" ht="11.25" customHeight="1" x14ac:dyDescent="0.25">
      <c r="A520" s="4" t="s">
        <v>21</v>
      </c>
      <c r="B520" s="4" t="s">
        <v>33</v>
      </c>
      <c r="C520" s="4" t="s">
        <v>34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25</v>
      </c>
      <c r="I520" s="5">
        <v>44409</v>
      </c>
      <c r="J520" s="6">
        <v>30</v>
      </c>
      <c r="K520" s="6">
        <v>30</v>
      </c>
      <c r="L520" s="6">
        <v>0</v>
      </c>
      <c r="M520" s="6">
        <v>0</v>
      </c>
      <c r="N520" s="6">
        <v>0</v>
      </c>
      <c r="O520" s="6">
        <v>0</v>
      </c>
      <c r="P520" s="6">
        <v>1</v>
      </c>
      <c r="Q520" s="4" t="s">
        <v>26</v>
      </c>
      <c r="R520" s="4">
        <v>0</v>
      </c>
      <c r="S520" s="4" t="s">
        <v>168</v>
      </c>
      <c r="U520" s="4">
        <v>18</v>
      </c>
      <c r="V520" s="4">
        <v>0</v>
      </c>
      <c r="W520" s="4">
        <v>0</v>
      </c>
    </row>
    <row r="521" spans="1:23" ht="11.25" customHeight="1" x14ac:dyDescent="0.25">
      <c r="A521" s="4" t="s">
        <v>21</v>
      </c>
      <c r="B521" s="4" t="s">
        <v>33</v>
      </c>
      <c r="C521" s="4" t="s">
        <v>34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25</v>
      </c>
      <c r="I521" s="5">
        <v>44440</v>
      </c>
      <c r="J521" s="6">
        <v>30</v>
      </c>
      <c r="K521" s="6">
        <v>30</v>
      </c>
      <c r="L521" s="6">
        <v>0</v>
      </c>
      <c r="M521" s="6">
        <v>0</v>
      </c>
      <c r="N521" s="6">
        <v>0</v>
      </c>
      <c r="O521" s="6">
        <v>0</v>
      </c>
      <c r="P521" s="6">
        <v>1</v>
      </c>
      <c r="Q521" s="4" t="s">
        <v>26</v>
      </c>
      <c r="R521" s="4">
        <v>0</v>
      </c>
      <c r="S521" s="4" t="s">
        <v>169</v>
      </c>
      <c r="U521" s="4">
        <v>18</v>
      </c>
      <c r="V521" s="4">
        <v>0</v>
      </c>
      <c r="W521" s="4">
        <v>0</v>
      </c>
    </row>
    <row r="522" spans="1:23" ht="11.25" customHeight="1" x14ac:dyDescent="0.25">
      <c r="A522" s="4" t="s">
        <v>21</v>
      </c>
      <c r="B522" s="4" t="s">
        <v>33</v>
      </c>
      <c r="C522" s="4" t="s">
        <v>34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25</v>
      </c>
      <c r="I522" s="5">
        <v>44470</v>
      </c>
      <c r="J522" s="6">
        <v>30</v>
      </c>
      <c r="K522" s="6">
        <v>30</v>
      </c>
      <c r="L522" s="6">
        <v>0</v>
      </c>
      <c r="M522" s="6">
        <v>0</v>
      </c>
      <c r="N522" s="6">
        <v>0</v>
      </c>
      <c r="O522" s="6">
        <v>0</v>
      </c>
      <c r="P522" s="6">
        <v>1</v>
      </c>
      <c r="Q522" s="4" t="s">
        <v>26</v>
      </c>
      <c r="R522" s="4">
        <v>0</v>
      </c>
      <c r="S522" s="4" t="s">
        <v>170</v>
      </c>
      <c r="U522" s="4">
        <v>18</v>
      </c>
      <c r="V522" s="4">
        <v>0</v>
      </c>
      <c r="W522" s="4">
        <v>0</v>
      </c>
    </row>
    <row r="523" spans="1:23" ht="11.25" customHeight="1" x14ac:dyDescent="0.25">
      <c r="A523" s="4" t="s">
        <v>21</v>
      </c>
      <c r="B523" s="4" t="s">
        <v>33</v>
      </c>
      <c r="C523" s="4" t="s">
        <v>34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25</v>
      </c>
      <c r="I523" s="5">
        <v>44501</v>
      </c>
      <c r="J523" s="6">
        <v>30</v>
      </c>
      <c r="K523" s="6">
        <v>30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4" t="s">
        <v>26</v>
      </c>
      <c r="R523" s="4">
        <v>0</v>
      </c>
      <c r="S523" s="4" t="s">
        <v>171</v>
      </c>
      <c r="U523" s="4">
        <v>18</v>
      </c>
      <c r="V523" s="4">
        <v>0</v>
      </c>
      <c r="W523" s="4">
        <v>0</v>
      </c>
    </row>
    <row r="524" spans="1:23" ht="11.25" customHeight="1" x14ac:dyDescent="0.25">
      <c r="A524" s="4" t="s">
        <v>21</v>
      </c>
      <c r="B524" s="4" t="s">
        <v>33</v>
      </c>
      <c r="C524" s="4" t="s">
        <v>34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25</v>
      </c>
      <c r="I524" s="5">
        <v>44531</v>
      </c>
      <c r="J524" s="6">
        <v>30</v>
      </c>
      <c r="K524" s="6">
        <v>30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4" t="s">
        <v>26</v>
      </c>
      <c r="R524" s="4">
        <v>0</v>
      </c>
      <c r="S524" s="4" t="s">
        <v>172</v>
      </c>
      <c r="U524" s="4">
        <v>18</v>
      </c>
      <c r="V524" s="4">
        <v>0</v>
      </c>
      <c r="W524" s="4">
        <v>0</v>
      </c>
    </row>
    <row r="525" spans="1:23" ht="11.25" customHeight="1" x14ac:dyDescent="0.25">
      <c r="A525" s="4" t="s">
        <v>21</v>
      </c>
      <c r="B525" s="4" t="s">
        <v>33</v>
      </c>
      <c r="C525" s="4" t="s">
        <v>34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44562</v>
      </c>
      <c r="J525" s="6">
        <v>30</v>
      </c>
      <c r="K525" s="6">
        <v>30</v>
      </c>
      <c r="L525" s="6">
        <v>0</v>
      </c>
      <c r="M525" s="6">
        <v>0</v>
      </c>
      <c r="N525" s="6">
        <v>0</v>
      </c>
      <c r="O525" s="6">
        <v>0</v>
      </c>
      <c r="P525" s="6">
        <v>1</v>
      </c>
      <c r="Q525" s="4" t="s">
        <v>26</v>
      </c>
      <c r="R525" s="4">
        <v>0</v>
      </c>
      <c r="S525" s="4" t="s">
        <v>173</v>
      </c>
      <c r="U525" s="4">
        <v>18</v>
      </c>
      <c r="V525" s="4">
        <v>0</v>
      </c>
      <c r="W525" s="4">
        <v>0</v>
      </c>
    </row>
    <row r="526" spans="1:23" ht="11.25" customHeight="1" x14ac:dyDescent="0.25">
      <c r="A526" s="4" t="s">
        <v>21</v>
      </c>
      <c r="B526" s="4" t="s">
        <v>33</v>
      </c>
      <c r="C526" s="4" t="s">
        <v>34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44593</v>
      </c>
      <c r="J526" s="6">
        <v>30</v>
      </c>
      <c r="K526" s="6">
        <v>30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4" t="s">
        <v>26</v>
      </c>
      <c r="R526" s="4">
        <v>0</v>
      </c>
      <c r="S526" s="4" t="s">
        <v>174</v>
      </c>
      <c r="U526" s="4">
        <v>18</v>
      </c>
      <c r="V526" s="4">
        <v>0</v>
      </c>
      <c r="W526" s="4">
        <v>0</v>
      </c>
    </row>
    <row r="527" spans="1:23" ht="11.25" customHeight="1" x14ac:dyDescent="0.25">
      <c r="A527" s="4" t="s">
        <v>21</v>
      </c>
      <c r="B527" s="4" t="s">
        <v>33</v>
      </c>
      <c r="C527" s="4" t="s">
        <v>34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44621</v>
      </c>
      <c r="J527" s="6">
        <v>30</v>
      </c>
      <c r="K527" s="6">
        <v>30</v>
      </c>
      <c r="L527" s="6">
        <v>0</v>
      </c>
      <c r="M527" s="6">
        <v>0</v>
      </c>
      <c r="N527" s="6">
        <v>0</v>
      </c>
      <c r="O527" s="6">
        <v>0</v>
      </c>
      <c r="P527" s="6">
        <v>1</v>
      </c>
      <c r="Q527" s="4" t="s">
        <v>26</v>
      </c>
      <c r="R527" s="4">
        <v>0</v>
      </c>
      <c r="S527" s="4" t="s">
        <v>175</v>
      </c>
      <c r="U527" s="4">
        <v>18</v>
      </c>
      <c r="V527" s="4">
        <v>0</v>
      </c>
      <c r="W527" s="4">
        <v>0</v>
      </c>
    </row>
    <row r="528" spans="1:23" ht="11.25" customHeight="1" x14ac:dyDescent="0.25">
      <c r="A528" s="4" t="s">
        <v>21</v>
      </c>
      <c r="B528" s="4" t="s">
        <v>33</v>
      </c>
      <c r="C528" s="4" t="s">
        <v>34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44652</v>
      </c>
      <c r="J528" s="6">
        <v>30</v>
      </c>
      <c r="K528" s="6">
        <v>30</v>
      </c>
      <c r="L528" s="6">
        <v>0</v>
      </c>
      <c r="M528" s="6">
        <v>0</v>
      </c>
      <c r="N528" s="6">
        <v>0</v>
      </c>
      <c r="O528" s="6">
        <v>0</v>
      </c>
      <c r="P528" s="6">
        <v>1</v>
      </c>
      <c r="Q528" s="4" t="s">
        <v>26</v>
      </c>
      <c r="R528" s="4">
        <v>0</v>
      </c>
      <c r="S528" s="4" t="s">
        <v>176</v>
      </c>
      <c r="U528" s="4">
        <v>18</v>
      </c>
      <c r="V528" s="4">
        <v>0</v>
      </c>
      <c r="W528" s="4">
        <v>0</v>
      </c>
    </row>
    <row r="529" spans="1:23" ht="11.25" customHeight="1" x14ac:dyDescent="0.25">
      <c r="A529" s="4" t="s">
        <v>21</v>
      </c>
      <c r="B529" s="4" t="s">
        <v>33</v>
      </c>
      <c r="C529" s="4" t="s">
        <v>34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44682</v>
      </c>
      <c r="J529" s="6">
        <v>30</v>
      </c>
      <c r="K529" s="6">
        <v>30</v>
      </c>
      <c r="L529" s="6">
        <v>0</v>
      </c>
      <c r="M529" s="6">
        <v>0</v>
      </c>
      <c r="N529" s="6">
        <v>0</v>
      </c>
      <c r="O529" s="6">
        <v>0</v>
      </c>
      <c r="P529" s="6">
        <v>1</v>
      </c>
      <c r="Q529" s="4" t="s">
        <v>26</v>
      </c>
      <c r="R529" s="4">
        <v>0</v>
      </c>
      <c r="S529" s="4" t="s">
        <v>177</v>
      </c>
      <c r="U529" s="4">
        <v>18</v>
      </c>
      <c r="V529" s="4">
        <v>0</v>
      </c>
      <c r="W529" s="4">
        <v>0</v>
      </c>
    </row>
    <row r="530" spans="1:23" ht="11.25" customHeight="1" x14ac:dyDescent="0.25">
      <c r="A530" s="4" t="s">
        <v>21</v>
      </c>
      <c r="B530" s="4" t="s">
        <v>33</v>
      </c>
      <c r="C530" s="4" t="s">
        <v>34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37</v>
      </c>
      <c r="I530" s="5">
        <v>44378</v>
      </c>
      <c r="J530" s="6">
        <v>0</v>
      </c>
      <c r="K530" s="6">
        <v>0</v>
      </c>
      <c r="L530" s="6">
        <v>8.8999999999999996E-2</v>
      </c>
      <c r="M530" s="6">
        <v>8.8999999999999996E-2</v>
      </c>
      <c r="N530" s="6">
        <v>8.8999999999999996E-2</v>
      </c>
      <c r="O530" s="6">
        <v>8.8999999999999996E-2</v>
      </c>
      <c r="P530" s="6">
        <v>0</v>
      </c>
      <c r="Q530" s="4" t="s">
        <v>26</v>
      </c>
      <c r="R530" s="4">
        <v>0</v>
      </c>
      <c r="S530" s="4" t="s">
        <v>179</v>
      </c>
      <c r="T530" s="4" t="s">
        <v>400</v>
      </c>
      <c r="U530" s="4">
        <v>0</v>
      </c>
      <c r="V530" s="4">
        <v>19</v>
      </c>
      <c r="W530" s="4">
        <v>65</v>
      </c>
    </row>
    <row r="531" spans="1:23" ht="11.25" customHeight="1" x14ac:dyDescent="0.25">
      <c r="A531" s="4" t="s">
        <v>21</v>
      </c>
      <c r="B531" s="4" t="s">
        <v>33</v>
      </c>
      <c r="C531" s="4" t="s">
        <v>34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37</v>
      </c>
      <c r="I531" s="5">
        <v>44409</v>
      </c>
      <c r="J531" s="6">
        <v>0</v>
      </c>
      <c r="K531" s="6">
        <v>0</v>
      </c>
      <c r="L531" s="6">
        <v>5.6000000000000001E-2</v>
      </c>
      <c r="M531" s="6">
        <v>5.6000000000000001E-2</v>
      </c>
      <c r="N531" s="6">
        <v>5.6000000000000001E-2</v>
      </c>
      <c r="O531" s="6">
        <v>5.6000000000000001E-2</v>
      </c>
      <c r="P531" s="6">
        <v>0</v>
      </c>
      <c r="Q531" s="4" t="s">
        <v>26</v>
      </c>
      <c r="R531" s="4">
        <v>0</v>
      </c>
      <c r="S531" s="4" t="s">
        <v>180</v>
      </c>
      <c r="T531" s="4" t="s">
        <v>401</v>
      </c>
      <c r="U531" s="4">
        <v>0</v>
      </c>
      <c r="V531" s="4">
        <v>19</v>
      </c>
      <c r="W531" s="4">
        <v>65</v>
      </c>
    </row>
    <row r="532" spans="1:23" ht="11.25" customHeight="1" x14ac:dyDescent="0.25">
      <c r="A532" s="4" t="s">
        <v>21</v>
      </c>
      <c r="B532" s="4" t="s">
        <v>33</v>
      </c>
      <c r="C532" s="4" t="s">
        <v>34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37</v>
      </c>
      <c r="I532" s="5">
        <v>44440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4" t="s">
        <v>181</v>
      </c>
      <c r="T532" s="4" t="s">
        <v>402</v>
      </c>
      <c r="U532" s="4">
        <v>0</v>
      </c>
      <c r="V532" s="4">
        <v>19</v>
      </c>
      <c r="W532" s="4">
        <v>65</v>
      </c>
    </row>
    <row r="533" spans="1:23" ht="11.25" customHeight="1" x14ac:dyDescent="0.25">
      <c r="A533" s="4" t="s">
        <v>21</v>
      </c>
      <c r="B533" s="4" t="s">
        <v>33</v>
      </c>
      <c r="C533" s="4" t="s">
        <v>34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37</v>
      </c>
      <c r="I533" s="5">
        <v>44470</v>
      </c>
      <c r="J533" s="6">
        <v>0</v>
      </c>
      <c r="K533" s="6">
        <v>0</v>
      </c>
      <c r="L533" s="6">
        <v>5.6000000000000001E-2</v>
      </c>
      <c r="M533" s="6">
        <v>5.6000000000000001E-2</v>
      </c>
      <c r="N533" s="6">
        <v>5.6000000000000001E-2</v>
      </c>
      <c r="O533" s="6">
        <v>5.6000000000000001E-2</v>
      </c>
      <c r="P533" s="6">
        <v>0</v>
      </c>
      <c r="Q533" s="4" t="s">
        <v>26</v>
      </c>
      <c r="R533" s="4">
        <v>0</v>
      </c>
      <c r="S533" s="4" t="s">
        <v>182</v>
      </c>
      <c r="T533" s="4" t="s">
        <v>403</v>
      </c>
      <c r="U533" s="4">
        <v>0</v>
      </c>
      <c r="V533" s="4">
        <v>19</v>
      </c>
      <c r="W533" s="4">
        <v>65</v>
      </c>
    </row>
    <row r="534" spans="1:23" ht="11.25" customHeight="1" x14ac:dyDescent="0.25">
      <c r="A534" s="4" t="s">
        <v>21</v>
      </c>
      <c r="B534" s="4" t="s">
        <v>33</v>
      </c>
      <c r="C534" s="4" t="s">
        <v>34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37</v>
      </c>
      <c r="I534" s="5">
        <v>44501</v>
      </c>
      <c r="J534" s="6">
        <v>0</v>
      </c>
      <c r="K534" s="6">
        <v>0</v>
      </c>
      <c r="L534" s="6">
        <v>8.6999999999999994E-2</v>
      </c>
      <c r="M534" s="6">
        <v>8.6999999999999994E-2</v>
      </c>
      <c r="N534" s="6">
        <v>8.6999999999999994E-2</v>
      </c>
      <c r="O534" s="6">
        <v>8.6999999999999994E-2</v>
      </c>
      <c r="P534" s="6">
        <v>0</v>
      </c>
      <c r="Q534" s="4" t="s">
        <v>26</v>
      </c>
      <c r="R534" s="4">
        <v>0</v>
      </c>
      <c r="S534" s="4" t="s">
        <v>183</v>
      </c>
      <c r="T534" s="4" t="s">
        <v>404</v>
      </c>
      <c r="U534" s="4">
        <v>0</v>
      </c>
      <c r="V534" s="4">
        <v>19</v>
      </c>
      <c r="W534" s="4">
        <v>65</v>
      </c>
    </row>
    <row r="535" spans="1:23" ht="11.25" customHeight="1" x14ac:dyDescent="0.25">
      <c r="A535" s="4" t="s">
        <v>21</v>
      </c>
      <c r="B535" s="4" t="s">
        <v>33</v>
      </c>
      <c r="C535" s="4" t="s">
        <v>34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37</v>
      </c>
      <c r="I535" s="5">
        <v>44531</v>
      </c>
      <c r="J535" s="6">
        <v>0</v>
      </c>
      <c r="K535" s="6">
        <v>0</v>
      </c>
      <c r="L535" s="6">
        <v>0.22</v>
      </c>
      <c r="M535" s="6">
        <v>0.22</v>
      </c>
      <c r="N535" s="6">
        <v>0.22</v>
      </c>
      <c r="O535" s="6">
        <v>0.22</v>
      </c>
      <c r="P535" s="6">
        <v>0</v>
      </c>
      <c r="Q535" s="4" t="s">
        <v>26</v>
      </c>
      <c r="R535" s="4">
        <v>0</v>
      </c>
      <c r="S535" s="4" t="s">
        <v>184</v>
      </c>
      <c r="T535" s="4" t="s">
        <v>405</v>
      </c>
      <c r="U535" s="4">
        <v>0</v>
      </c>
      <c r="V535" s="4">
        <v>19</v>
      </c>
      <c r="W535" s="4">
        <v>65</v>
      </c>
    </row>
    <row r="536" spans="1:23" ht="11.25" customHeight="1" x14ac:dyDescent="0.25">
      <c r="A536" s="4" t="s">
        <v>21</v>
      </c>
      <c r="B536" s="4" t="s">
        <v>33</v>
      </c>
      <c r="C536" s="4" t="s">
        <v>34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37</v>
      </c>
      <c r="I536" s="5">
        <v>44562</v>
      </c>
      <c r="J536" s="6">
        <v>0</v>
      </c>
      <c r="K536" s="6">
        <v>0</v>
      </c>
      <c r="L536" s="6">
        <v>0.128</v>
      </c>
      <c r="M536" s="6">
        <v>0.128</v>
      </c>
      <c r="N536" s="6">
        <v>0.128</v>
      </c>
      <c r="O536" s="6">
        <v>0.128</v>
      </c>
      <c r="P536" s="6">
        <v>0</v>
      </c>
      <c r="Q536" s="4" t="s">
        <v>26</v>
      </c>
      <c r="R536" s="4">
        <v>0</v>
      </c>
      <c r="S536" s="4" t="s">
        <v>185</v>
      </c>
      <c r="T536" s="4" t="s">
        <v>406</v>
      </c>
      <c r="U536" s="4">
        <v>0</v>
      </c>
      <c r="V536" s="4">
        <v>19</v>
      </c>
      <c r="W536" s="4">
        <v>65</v>
      </c>
    </row>
    <row r="537" spans="1:23" ht="11.25" customHeight="1" x14ac:dyDescent="0.25">
      <c r="A537" s="4" t="s">
        <v>21</v>
      </c>
      <c r="B537" s="4" t="s">
        <v>33</v>
      </c>
      <c r="C537" s="4" t="s">
        <v>34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37</v>
      </c>
      <c r="I537" s="5">
        <v>44593</v>
      </c>
      <c r="J537" s="6">
        <v>0</v>
      </c>
      <c r="K537" s="6">
        <v>0</v>
      </c>
      <c r="L537" s="6">
        <v>0.13700000000000001</v>
      </c>
      <c r="M537" s="6">
        <v>0.13700000000000001</v>
      </c>
      <c r="N537" s="6">
        <v>0.13700000000000001</v>
      </c>
      <c r="O537" s="6">
        <v>0.13700000000000001</v>
      </c>
      <c r="P537" s="6">
        <v>0</v>
      </c>
      <c r="Q537" s="4" t="s">
        <v>26</v>
      </c>
      <c r="R537" s="4">
        <v>0</v>
      </c>
      <c r="S537" s="4" t="s">
        <v>186</v>
      </c>
      <c r="T537" s="4" t="s">
        <v>407</v>
      </c>
      <c r="U537" s="4">
        <v>0</v>
      </c>
      <c r="V537" s="4">
        <v>19</v>
      </c>
      <c r="W537" s="4">
        <v>65</v>
      </c>
    </row>
    <row r="538" spans="1:23" ht="11.25" customHeight="1" x14ac:dyDescent="0.25">
      <c r="A538" s="4" t="s">
        <v>21</v>
      </c>
      <c r="B538" s="4" t="s">
        <v>33</v>
      </c>
      <c r="C538" s="4" t="s">
        <v>34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37</v>
      </c>
      <c r="I538" s="5">
        <v>44621</v>
      </c>
      <c r="J538" s="6">
        <v>0</v>
      </c>
      <c r="K538" s="6">
        <v>0</v>
      </c>
      <c r="L538" s="6">
        <v>0.112</v>
      </c>
      <c r="M538" s="6">
        <v>0.112</v>
      </c>
      <c r="N538" s="6">
        <v>0.112</v>
      </c>
      <c r="O538" s="6">
        <v>0.112</v>
      </c>
      <c r="P538" s="6">
        <v>0</v>
      </c>
      <c r="Q538" s="4" t="s">
        <v>26</v>
      </c>
      <c r="R538" s="4">
        <v>0</v>
      </c>
      <c r="S538" s="4" t="s">
        <v>187</v>
      </c>
      <c r="T538" s="4" t="s">
        <v>408</v>
      </c>
      <c r="U538" s="4">
        <v>0</v>
      </c>
      <c r="V538" s="4">
        <v>19</v>
      </c>
      <c r="W538" s="4">
        <v>65</v>
      </c>
    </row>
    <row r="539" spans="1:23" ht="11.25" customHeight="1" x14ac:dyDescent="0.25">
      <c r="A539" s="4" t="s">
        <v>21</v>
      </c>
      <c r="B539" s="4" t="s">
        <v>33</v>
      </c>
      <c r="C539" s="4" t="s">
        <v>34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37</v>
      </c>
      <c r="I539" s="5">
        <v>44652</v>
      </c>
      <c r="J539" s="6">
        <v>0</v>
      </c>
      <c r="K539" s="6">
        <v>0</v>
      </c>
      <c r="L539" s="6">
        <v>4.5999999999999999E-2</v>
      </c>
      <c r="M539" s="6">
        <v>4.5999999999999999E-2</v>
      </c>
      <c r="N539" s="6">
        <v>4.5999999999999999E-2</v>
      </c>
      <c r="O539" s="6">
        <v>4.5999999999999999E-2</v>
      </c>
      <c r="P539" s="6">
        <v>0</v>
      </c>
      <c r="Q539" s="4" t="s">
        <v>26</v>
      </c>
      <c r="R539" s="4">
        <v>0</v>
      </c>
      <c r="S539" s="4" t="s">
        <v>188</v>
      </c>
      <c r="T539" s="4" t="s">
        <v>409</v>
      </c>
      <c r="U539" s="4">
        <v>0</v>
      </c>
      <c r="V539" s="4">
        <v>19</v>
      </c>
      <c r="W539" s="4">
        <v>65</v>
      </c>
    </row>
    <row r="540" spans="1:23" ht="11.25" customHeight="1" x14ac:dyDescent="0.25">
      <c r="A540" s="4" t="s">
        <v>21</v>
      </c>
      <c r="B540" s="4" t="s">
        <v>33</v>
      </c>
      <c r="C540" s="4" t="s">
        <v>34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37</v>
      </c>
      <c r="I540" s="5">
        <v>44682</v>
      </c>
      <c r="J540" s="6">
        <v>0</v>
      </c>
      <c r="K540" s="6">
        <v>0</v>
      </c>
      <c r="L540" s="6">
        <v>0.13100000000000001</v>
      </c>
      <c r="M540" s="6">
        <v>0.13100000000000001</v>
      </c>
      <c r="N540" s="6">
        <v>0.13100000000000001</v>
      </c>
      <c r="O540" s="6">
        <v>0.13100000000000001</v>
      </c>
      <c r="P540" s="6">
        <v>0</v>
      </c>
      <c r="Q540" s="4" t="s">
        <v>26</v>
      </c>
      <c r="R540" s="4">
        <v>0</v>
      </c>
      <c r="S540" s="4" t="s">
        <v>189</v>
      </c>
      <c r="T540" s="4" t="s">
        <v>410</v>
      </c>
      <c r="U540" s="4">
        <v>0</v>
      </c>
      <c r="V540" s="4">
        <v>19</v>
      </c>
      <c r="W540" s="4">
        <v>65</v>
      </c>
    </row>
    <row r="541" spans="1:23" ht="11.25" customHeight="1" x14ac:dyDescent="0.25">
      <c r="A541" s="4" t="s">
        <v>21</v>
      </c>
      <c r="B541" s="4" t="s">
        <v>33</v>
      </c>
      <c r="C541" s="4" t="s">
        <v>34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35</v>
      </c>
      <c r="I541" s="5">
        <v>44348</v>
      </c>
      <c r="J541" s="6">
        <v>0</v>
      </c>
      <c r="K541" s="6">
        <v>0</v>
      </c>
      <c r="L541" s="6">
        <v>5.0549999999999997</v>
      </c>
      <c r="M541" s="6">
        <v>4.8527999999999993</v>
      </c>
      <c r="N541" s="6">
        <v>5.0549999999999997</v>
      </c>
      <c r="O541" s="6">
        <v>4.8527999999999993</v>
      </c>
      <c r="P541" s="6">
        <v>0</v>
      </c>
      <c r="Q541" s="4" t="s">
        <v>26</v>
      </c>
      <c r="R541" s="4">
        <v>0</v>
      </c>
      <c r="S541" s="4" t="s">
        <v>154</v>
      </c>
      <c r="T541" s="4" t="s">
        <v>387</v>
      </c>
      <c r="U541" s="4">
        <v>0</v>
      </c>
      <c r="V541" s="4">
        <v>20</v>
      </c>
      <c r="W541" s="4">
        <v>66</v>
      </c>
    </row>
    <row r="542" spans="1:23" ht="11.25" customHeight="1" x14ac:dyDescent="0.25">
      <c r="A542" s="4" t="s">
        <v>21</v>
      </c>
      <c r="B542" s="4" t="s">
        <v>33</v>
      </c>
      <c r="C542" s="4" t="s">
        <v>34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35</v>
      </c>
      <c r="I542" s="5">
        <v>44378</v>
      </c>
      <c r="J542" s="6">
        <v>0</v>
      </c>
      <c r="K542" s="6">
        <v>0</v>
      </c>
      <c r="L542" s="6">
        <v>3.0209999999999999</v>
      </c>
      <c r="M542" s="6">
        <v>2.9001600000000001</v>
      </c>
      <c r="N542" s="6">
        <v>3.0209999999999999</v>
      </c>
      <c r="O542" s="6">
        <v>2.9001600000000001</v>
      </c>
      <c r="P542" s="6">
        <v>0</v>
      </c>
      <c r="Q542" s="4" t="s">
        <v>26</v>
      </c>
      <c r="R542" s="4">
        <v>0</v>
      </c>
      <c r="S542" s="4" t="s">
        <v>155</v>
      </c>
      <c r="T542" s="4" t="s">
        <v>388</v>
      </c>
      <c r="U542" s="4">
        <v>0</v>
      </c>
      <c r="V542" s="4">
        <v>20</v>
      </c>
      <c r="W542" s="4">
        <v>66</v>
      </c>
    </row>
    <row r="543" spans="1:23" ht="11.25" customHeight="1" x14ac:dyDescent="0.25">
      <c r="A543" s="4" t="s">
        <v>21</v>
      </c>
      <c r="B543" s="4" t="s">
        <v>33</v>
      </c>
      <c r="C543" s="4" t="s">
        <v>34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35</v>
      </c>
      <c r="I543" s="5">
        <v>44409</v>
      </c>
      <c r="J543" s="6">
        <v>0</v>
      </c>
      <c r="K543" s="6">
        <v>0</v>
      </c>
      <c r="L543" s="6">
        <v>2.4289999999999998</v>
      </c>
      <c r="M543" s="6">
        <v>2.3318400000000001</v>
      </c>
      <c r="N543" s="6">
        <v>2.4289999999999998</v>
      </c>
      <c r="O543" s="6">
        <v>2.3318400000000001</v>
      </c>
      <c r="P543" s="6">
        <v>0</v>
      </c>
      <c r="Q543" s="4" t="s">
        <v>26</v>
      </c>
      <c r="R543" s="4">
        <v>0</v>
      </c>
      <c r="S543" s="4" t="s">
        <v>156</v>
      </c>
      <c r="T543" s="4" t="s">
        <v>389</v>
      </c>
      <c r="U543" s="4">
        <v>0</v>
      </c>
      <c r="V543" s="4">
        <v>20</v>
      </c>
      <c r="W543" s="4">
        <v>66</v>
      </c>
    </row>
    <row r="544" spans="1:23" ht="11.25" customHeight="1" x14ac:dyDescent="0.25">
      <c r="A544" s="4" t="s">
        <v>21</v>
      </c>
      <c r="B544" s="4" t="s">
        <v>33</v>
      </c>
      <c r="C544" s="4" t="s">
        <v>34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44440</v>
      </c>
      <c r="J544" s="6">
        <v>0</v>
      </c>
      <c r="K544" s="6">
        <v>0</v>
      </c>
      <c r="L544" s="6">
        <v>2.7210000000000001</v>
      </c>
      <c r="M544" s="6">
        <v>2.6121599999999998</v>
      </c>
      <c r="N544" s="6">
        <v>2.7210000000000001</v>
      </c>
      <c r="O544" s="6">
        <v>2.6121599999999998</v>
      </c>
      <c r="P544" s="6">
        <v>0</v>
      </c>
      <c r="Q544" s="4" t="s">
        <v>26</v>
      </c>
      <c r="R544" s="4">
        <v>0</v>
      </c>
      <c r="S544" s="4" t="s">
        <v>157</v>
      </c>
      <c r="T544" s="4" t="s">
        <v>390</v>
      </c>
      <c r="U544" s="4">
        <v>0</v>
      </c>
      <c r="V544" s="4">
        <v>20</v>
      </c>
      <c r="W544" s="4">
        <v>66</v>
      </c>
    </row>
    <row r="545" spans="1:23" ht="11.25" customHeight="1" x14ac:dyDescent="0.25">
      <c r="A545" s="4" t="s">
        <v>21</v>
      </c>
      <c r="B545" s="4" t="s">
        <v>33</v>
      </c>
      <c r="C545" s="4" t="s">
        <v>34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44470</v>
      </c>
      <c r="J545" s="6">
        <v>0</v>
      </c>
      <c r="K545" s="6">
        <v>0</v>
      </c>
      <c r="L545" s="6">
        <v>2.7639999999999998</v>
      </c>
      <c r="M545" s="6">
        <v>2.6534399999999998</v>
      </c>
      <c r="N545" s="6">
        <v>2.7639999999999998</v>
      </c>
      <c r="O545" s="6">
        <v>2.6534399999999998</v>
      </c>
      <c r="P545" s="6">
        <v>0</v>
      </c>
      <c r="Q545" s="4" t="s">
        <v>26</v>
      </c>
      <c r="R545" s="4">
        <v>0</v>
      </c>
      <c r="S545" s="4" t="s">
        <v>158</v>
      </c>
      <c r="T545" s="4" t="s">
        <v>391</v>
      </c>
      <c r="U545" s="4">
        <v>0</v>
      </c>
      <c r="V545" s="4">
        <v>20</v>
      </c>
      <c r="W545" s="4">
        <v>66</v>
      </c>
    </row>
    <row r="546" spans="1:23" ht="11.25" customHeight="1" x14ac:dyDescent="0.25">
      <c r="A546" s="4" t="s">
        <v>21</v>
      </c>
      <c r="B546" s="4" t="s">
        <v>33</v>
      </c>
      <c r="C546" s="4" t="s">
        <v>34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44501</v>
      </c>
      <c r="J546" s="6">
        <v>0</v>
      </c>
      <c r="K546" s="6">
        <v>0</v>
      </c>
      <c r="L546" s="6">
        <v>2.819</v>
      </c>
      <c r="M546" s="6">
        <v>2.7062400000000002</v>
      </c>
      <c r="N546" s="6">
        <v>2.819</v>
      </c>
      <c r="O546" s="6">
        <v>2.7062400000000002</v>
      </c>
      <c r="P546" s="6">
        <v>0</v>
      </c>
      <c r="Q546" s="4" t="s">
        <v>26</v>
      </c>
      <c r="R546" s="4">
        <v>0</v>
      </c>
      <c r="S546" s="4" t="s">
        <v>159</v>
      </c>
      <c r="T546" s="4" t="s">
        <v>392</v>
      </c>
      <c r="U546" s="4">
        <v>0</v>
      </c>
      <c r="V546" s="4">
        <v>20</v>
      </c>
      <c r="W546" s="4">
        <v>66</v>
      </c>
    </row>
    <row r="547" spans="1:23" ht="11.25" customHeight="1" x14ac:dyDescent="0.25">
      <c r="A547" s="4" t="s">
        <v>21</v>
      </c>
      <c r="B547" s="4" t="s">
        <v>33</v>
      </c>
      <c r="C547" s="4" t="s">
        <v>34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44531</v>
      </c>
      <c r="J547" s="6">
        <v>0</v>
      </c>
      <c r="K547" s="6">
        <v>0</v>
      </c>
      <c r="L547" s="6">
        <v>2.294</v>
      </c>
      <c r="M547" s="6">
        <v>2.2022400000000002</v>
      </c>
      <c r="N547" s="6">
        <v>2.294</v>
      </c>
      <c r="O547" s="6">
        <v>2.2022400000000002</v>
      </c>
      <c r="P547" s="6">
        <v>0</v>
      </c>
      <c r="Q547" s="4" t="s">
        <v>26</v>
      </c>
      <c r="R547" s="4">
        <v>0</v>
      </c>
      <c r="S547" s="4" t="s">
        <v>160</v>
      </c>
      <c r="T547" s="4" t="s">
        <v>393</v>
      </c>
      <c r="U547" s="4">
        <v>0</v>
      </c>
      <c r="V547" s="4">
        <v>20</v>
      </c>
      <c r="W547" s="4">
        <v>66</v>
      </c>
    </row>
    <row r="548" spans="1:23" ht="11.25" customHeight="1" x14ac:dyDescent="0.25">
      <c r="A548" s="4" t="s">
        <v>21</v>
      </c>
      <c r="B548" s="4" t="s">
        <v>33</v>
      </c>
      <c r="C548" s="4" t="s">
        <v>34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44593</v>
      </c>
      <c r="J548" s="6">
        <v>0</v>
      </c>
      <c r="K548" s="6">
        <v>0</v>
      </c>
      <c r="L548" s="6">
        <v>3.8010000000000002</v>
      </c>
      <c r="M548" s="6">
        <v>3.6489600000000002</v>
      </c>
      <c r="N548" s="6">
        <v>3.8010000000000002</v>
      </c>
      <c r="O548" s="6">
        <v>3.6489600000000002</v>
      </c>
      <c r="P548" s="6">
        <v>0</v>
      </c>
      <c r="Q548" s="4" t="s">
        <v>26</v>
      </c>
      <c r="R548" s="4">
        <v>0</v>
      </c>
      <c r="S548" s="4" t="s">
        <v>162</v>
      </c>
      <c r="T548" s="4" t="s">
        <v>395</v>
      </c>
      <c r="U548" s="4">
        <v>0</v>
      </c>
      <c r="V548" s="4">
        <v>20</v>
      </c>
      <c r="W548" s="4">
        <v>66</v>
      </c>
    </row>
    <row r="549" spans="1:23" ht="11.25" customHeight="1" x14ac:dyDescent="0.25">
      <c r="A549" s="4" t="s">
        <v>21</v>
      </c>
      <c r="B549" s="4" t="s">
        <v>33</v>
      </c>
      <c r="C549" s="4" t="s">
        <v>34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44621</v>
      </c>
      <c r="J549" s="6">
        <v>0</v>
      </c>
      <c r="K549" s="6">
        <v>0</v>
      </c>
      <c r="L549" s="6">
        <v>3.0979999999999999</v>
      </c>
      <c r="M549" s="6">
        <v>2.9740799999999998</v>
      </c>
      <c r="N549" s="6">
        <v>3.0979999999999999</v>
      </c>
      <c r="O549" s="6">
        <v>2.9740799999999998</v>
      </c>
      <c r="P549" s="6">
        <v>0</v>
      </c>
      <c r="Q549" s="4" t="s">
        <v>26</v>
      </c>
      <c r="R549" s="4">
        <v>0</v>
      </c>
      <c r="S549" s="4" t="s">
        <v>163</v>
      </c>
      <c r="T549" s="4" t="s">
        <v>396</v>
      </c>
      <c r="U549" s="4">
        <v>0</v>
      </c>
      <c r="V549" s="4">
        <v>20</v>
      </c>
      <c r="W549" s="4">
        <v>66</v>
      </c>
    </row>
    <row r="550" spans="1:23" ht="11.25" customHeight="1" x14ac:dyDescent="0.25">
      <c r="A550" s="4" t="s">
        <v>21</v>
      </c>
      <c r="B550" s="4" t="s">
        <v>33</v>
      </c>
      <c r="C550" s="4" t="s">
        <v>34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44652</v>
      </c>
      <c r="J550" s="6">
        <v>0</v>
      </c>
      <c r="K550" s="6">
        <v>0</v>
      </c>
      <c r="L550" s="6">
        <v>2.2429999999999999</v>
      </c>
      <c r="M550" s="6">
        <v>2.1532800000000001</v>
      </c>
      <c r="N550" s="6">
        <v>2.2429999999999999</v>
      </c>
      <c r="O550" s="6">
        <v>2.1532800000000001</v>
      </c>
      <c r="P550" s="6">
        <v>0</v>
      </c>
      <c r="Q550" s="4" t="s">
        <v>26</v>
      </c>
      <c r="R550" s="4">
        <v>0</v>
      </c>
      <c r="S550" s="4" t="s">
        <v>164</v>
      </c>
      <c r="T550" s="4" t="s">
        <v>397</v>
      </c>
      <c r="U550" s="4">
        <v>0</v>
      </c>
      <c r="V550" s="4">
        <v>20</v>
      </c>
      <c r="W550" s="4">
        <v>66</v>
      </c>
    </row>
    <row r="551" spans="1:23" ht="11.25" customHeight="1" x14ac:dyDescent="0.25">
      <c r="A551" s="4" t="s">
        <v>21</v>
      </c>
      <c r="B551" s="4" t="s">
        <v>33</v>
      </c>
      <c r="C551" s="4" t="s">
        <v>34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44682</v>
      </c>
      <c r="J551" s="6">
        <v>0</v>
      </c>
      <c r="K551" s="6">
        <v>0</v>
      </c>
      <c r="L551" s="6">
        <v>2.492</v>
      </c>
      <c r="M551" s="6">
        <v>2.3923199999999998</v>
      </c>
      <c r="N551" s="6">
        <v>2.492</v>
      </c>
      <c r="O551" s="6">
        <v>2.3923199999999998</v>
      </c>
      <c r="P551" s="6">
        <v>0</v>
      </c>
      <c r="Q551" s="4" t="s">
        <v>26</v>
      </c>
      <c r="R551" s="4">
        <v>0</v>
      </c>
      <c r="S551" s="4" t="s">
        <v>165</v>
      </c>
      <c r="T551" s="4" t="s">
        <v>398</v>
      </c>
      <c r="U551" s="4">
        <v>0</v>
      </c>
      <c r="V551" s="4">
        <v>20</v>
      </c>
      <c r="W551" s="4">
        <v>66</v>
      </c>
    </row>
    <row r="552" spans="1:23" ht="11.25" customHeight="1" x14ac:dyDescent="0.25">
      <c r="A552" s="4" t="s">
        <v>21</v>
      </c>
      <c r="B552" s="4" t="s">
        <v>33</v>
      </c>
      <c r="C552" s="4" t="s">
        <v>34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44348</v>
      </c>
      <c r="J552" s="6">
        <v>98</v>
      </c>
      <c r="K552" s="6">
        <v>94.08</v>
      </c>
      <c r="L552" s="6">
        <v>0</v>
      </c>
      <c r="M552" s="6">
        <v>0</v>
      </c>
      <c r="N552" s="6">
        <v>0</v>
      </c>
      <c r="O552" s="6">
        <v>0</v>
      </c>
      <c r="P552" s="6">
        <v>2</v>
      </c>
      <c r="Q552" s="4" t="s">
        <v>26</v>
      </c>
      <c r="R552" s="4">
        <v>0</v>
      </c>
      <c r="S552" s="4" t="s">
        <v>166</v>
      </c>
      <c r="U552" s="4">
        <v>18</v>
      </c>
      <c r="V552" s="4">
        <v>0</v>
      </c>
      <c r="W552" s="4">
        <v>0</v>
      </c>
    </row>
    <row r="553" spans="1:23" ht="11.25" customHeight="1" x14ac:dyDescent="0.25">
      <c r="A553" s="4" t="s">
        <v>21</v>
      </c>
      <c r="B553" s="4" t="s">
        <v>33</v>
      </c>
      <c r="C553" s="4" t="s">
        <v>34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44378</v>
      </c>
      <c r="J553" s="6">
        <v>37</v>
      </c>
      <c r="K553" s="6">
        <v>35.520000000000003</v>
      </c>
      <c r="L553" s="6">
        <v>0</v>
      </c>
      <c r="M553" s="6">
        <v>0</v>
      </c>
      <c r="N553" s="6">
        <v>0</v>
      </c>
      <c r="O553" s="6">
        <v>0</v>
      </c>
      <c r="P553" s="6">
        <v>2</v>
      </c>
      <c r="Q553" s="4" t="s">
        <v>26</v>
      </c>
      <c r="R553" s="4">
        <v>0</v>
      </c>
      <c r="S553" s="4" t="s">
        <v>167</v>
      </c>
      <c r="U553" s="4">
        <v>18</v>
      </c>
      <c r="V553" s="4">
        <v>0</v>
      </c>
      <c r="W553" s="4">
        <v>0</v>
      </c>
    </row>
    <row r="554" spans="1:23" ht="11.25" customHeight="1" x14ac:dyDescent="0.25">
      <c r="A554" s="4" t="s">
        <v>21</v>
      </c>
      <c r="B554" s="4" t="s">
        <v>33</v>
      </c>
      <c r="C554" s="4" t="s">
        <v>34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44409</v>
      </c>
      <c r="J554" s="6">
        <v>37</v>
      </c>
      <c r="K554" s="6">
        <v>35.520000000000003</v>
      </c>
      <c r="L554" s="6">
        <v>0</v>
      </c>
      <c r="M554" s="6">
        <v>0</v>
      </c>
      <c r="N554" s="6">
        <v>0</v>
      </c>
      <c r="O554" s="6">
        <v>0</v>
      </c>
      <c r="P554" s="6">
        <v>2</v>
      </c>
      <c r="Q554" s="4" t="s">
        <v>26</v>
      </c>
      <c r="R554" s="4">
        <v>0</v>
      </c>
      <c r="S554" s="4" t="s">
        <v>168</v>
      </c>
      <c r="U554" s="4">
        <v>18</v>
      </c>
      <c r="V554" s="4">
        <v>0</v>
      </c>
      <c r="W554" s="4">
        <v>0</v>
      </c>
    </row>
    <row r="555" spans="1:23" ht="11.25" customHeight="1" x14ac:dyDescent="0.25">
      <c r="A555" s="4" t="s">
        <v>21</v>
      </c>
      <c r="B555" s="4" t="s">
        <v>33</v>
      </c>
      <c r="C555" s="4" t="s">
        <v>34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44440</v>
      </c>
      <c r="J555" s="6">
        <v>37</v>
      </c>
      <c r="K555" s="6">
        <v>35.520000000000003</v>
      </c>
      <c r="L555" s="6">
        <v>0</v>
      </c>
      <c r="M555" s="6">
        <v>0</v>
      </c>
      <c r="N555" s="6">
        <v>0</v>
      </c>
      <c r="O555" s="6">
        <v>0</v>
      </c>
      <c r="P555" s="6">
        <v>2</v>
      </c>
      <c r="Q555" s="4" t="s">
        <v>26</v>
      </c>
      <c r="R555" s="4">
        <v>0</v>
      </c>
      <c r="S555" s="4" t="s">
        <v>169</v>
      </c>
      <c r="U555" s="4">
        <v>18</v>
      </c>
      <c r="V555" s="4">
        <v>0</v>
      </c>
      <c r="W555" s="4">
        <v>0</v>
      </c>
    </row>
    <row r="556" spans="1:23" ht="11.25" customHeight="1" x14ac:dyDescent="0.25">
      <c r="A556" s="4" t="s">
        <v>21</v>
      </c>
      <c r="B556" s="4" t="s">
        <v>33</v>
      </c>
      <c r="C556" s="4" t="s">
        <v>34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44470</v>
      </c>
      <c r="J556" s="6">
        <v>37</v>
      </c>
      <c r="K556" s="6">
        <v>35.520000000000003</v>
      </c>
      <c r="L556" s="6">
        <v>0</v>
      </c>
      <c r="M556" s="6">
        <v>0</v>
      </c>
      <c r="N556" s="6">
        <v>0</v>
      </c>
      <c r="O556" s="6">
        <v>0</v>
      </c>
      <c r="P556" s="6">
        <v>2</v>
      </c>
      <c r="Q556" s="4" t="s">
        <v>26</v>
      </c>
      <c r="R556" s="4">
        <v>0</v>
      </c>
      <c r="S556" s="4" t="s">
        <v>170</v>
      </c>
      <c r="U556" s="4">
        <v>18</v>
      </c>
      <c r="V556" s="4">
        <v>0</v>
      </c>
      <c r="W556" s="4">
        <v>0</v>
      </c>
    </row>
    <row r="557" spans="1:23" ht="11.25" customHeight="1" x14ac:dyDescent="0.25">
      <c r="A557" s="4" t="s">
        <v>21</v>
      </c>
      <c r="B557" s="4" t="s">
        <v>33</v>
      </c>
      <c r="C557" s="4" t="s">
        <v>34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44501</v>
      </c>
      <c r="J557" s="6">
        <v>37</v>
      </c>
      <c r="K557" s="6">
        <v>35.520000000000003</v>
      </c>
      <c r="L557" s="6">
        <v>0</v>
      </c>
      <c r="M557" s="6">
        <v>0</v>
      </c>
      <c r="N557" s="6">
        <v>0</v>
      </c>
      <c r="O557" s="6">
        <v>0</v>
      </c>
      <c r="P557" s="6">
        <v>2</v>
      </c>
      <c r="Q557" s="4" t="s">
        <v>26</v>
      </c>
      <c r="R557" s="4">
        <v>0</v>
      </c>
      <c r="S557" s="4" t="s">
        <v>171</v>
      </c>
      <c r="U557" s="4">
        <v>18</v>
      </c>
      <c r="V557" s="4">
        <v>0</v>
      </c>
      <c r="W557" s="4">
        <v>0</v>
      </c>
    </row>
    <row r="558" spans="1:23" ht="11.25" customHeight="1" x14ac:dyDescent="0.25">
      <c r="A558" s="4" t="s">
        <v>21</v>
      </c>
      <c r="B558" s="4" t="s">
        <v>33</v>
      </c>
      <c r="C558" s="4" t="s">
        <v>34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37</v>
      </c>
      <c r="K558" s="6">
        <v>35.520000000000003</v>
      </c>
      <c r="L558" s="6">
        <v>0</v>
      </c>
      <c r="M558" s="6">
        <v>0</v>
      </c>
      <c r="N558" s="6">
        <v>0</v>
      </c>
      <c r="O558" s="6">
        <v>0</v>
      </c>
      <c r="P558" s="6">
        <v>2</v>
      </c>
      <c r="Q558" s="4" t="s">
        <v>26</v>
      </c>
      <c r="R558" s="4">
        <v>0</v>
      </c>
      <c r="S558" s="4" t="s">
        <v>172</v>
      </c>
      <c r="U558" s="4">
        <v>18</v>
      </c>
      <c r="V558" s="4">
        <v>0</v>
      </c>
      <c r="W558" s="4">
        <v>0</v>
      </c>
    </row>
    <row r="559" spans="1:23" ht="11.25" customHeight="1" x14ac:dyDescent="0.25">
      <c r="A559" s="4" t="s">
        <v>21</v>
      </c>
      <c r="B559" s="4" t="s">
        <v>33</v>
      </c>
      <c r="C559" s="4" t="s">
        <v>34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44593</v>
      </c>
      <c r="J559" s="6">
        <v>30</v>
      </c>
      <c r="K559" s="6">
        <v>28.8</v>
      </c>
      <c r="L559" s="6">
        <v>0</v>
      </c>
      <c r="M559" s="6">
        <v>0</v>
      </c>
      <c r="N559" s="6">
        <v>0</v>
      </c>
      <c r="O559" s="6">
        <v>0</v>
      </c>
      <c r="P559" s="6">
        <v>1</v>
      </c>
      <c r="Q559" s="4" t="s">
        <v>26</v>
      </c>
      <c r="R559" s="4">
        <v>0</v>
      </c>
      <c r="S559" s="4" t="s">
        <v>174</v>
      </c>
      <c r="U559" s="4">
        <v>18</v>
      </c>
      <c r="V559" s="4">
        <v>0</v>
      </c>
      <c r="W559" s="4">
        <v>0</v>
      </c>
    </row>
    <row r="560" spans="1:23" ht="11.25" customHeight="1" x14ac:dyDescent="0.25">
      <c r="A560" s="4" t="s">
        <v>21</v>
      </c>
      <c r="B560" s="4" t="s">
        <v>33</v>
      </c>
      <c r="C560" s="4" t="s">
        <v>34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44621</v>
      </c>
      <c r="J560" s="6">
        <v>30</v>
      </c>
      <c r="K560" s="6">
        <v>28.8</v>
      </c>
      <c r="L560" s="6">
        <v>0</v>
      </c>
      <c r="M560" s="6">
        <v>0</v>
      </c>
      <c r="N560" s="6">
        <v>0</v>
      </c>
      <c r="O560" s="6">
        <v>0</v>
      </c>
      <c r="P560" s="6">
        <v>1</v>
      </c>
      <c r="Q560" s="4" t="s">
        <v>26</v>
      </c>
      <c r="R560" s="4">
        <v>0</v>
      </c>
      <c r="S560" s="4" t="s">
        <v>175</v>
      </c>
      <c r="U560" s="4">
        <v>18</v>
      </c>
      <c r="V560" s="4">
        <v>0</v>
      </c>
      <c r="W560" s="4">
        <v>0</v>
      </c>
    </row>
    <row r="561" spans="1:23" ht="11.25" customHeight="1" x14ac:dyDescent="0.25">
      <c r="A561" s="4" t="s">
        <v>21</v>
      </c>
      <c r="B561" s="4" t="s">
        <v>33</v>
      </c>
      <c r="C561" s="4" t="s">
        <v>34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44652</v>
      </c>
      <c r="J561" s="6">
        <v>30</v>
      </c>
      <c r="K561" s="6">
        <v>28.8</v>
      </c>
      <c r="L561" s="6">
        <v>0</v>
      </c>
      <c r="M561" s="6">
        <v>0</v>
      </c>
      <c r="N561" s="6">
        <v>0</v>
      </c>
      <c r="O561" s="6">
        <v>0</v>
      </c>
      <c r="P561" s="6">
        <v>1</v>
      </c>
      <c r="Q561" s="4" t="s">
        <v>26</v>
      </c>
      <c r="R561" s="4">
        <v>0</v>
      </c>
      <c r="S561" s="4" t="s">
        <v>176</v>
      </c>
      <c r="U561" s="4">
        <v>18</v>
      </c>
      <c r="V561" s="4">
        <v>0</v>
      </c>
      <c r="W561" s="4">
        <v>0</v>
      </c>
    </row>
    <row r="562" spans="1:23" ht="11.25" customHeight="1" x14ac:dyDescent="0.25">
      <c r="A562" s="4" t="s">
        <v>21</v>
      </c>
      <c r="B562" s="4" t="s">
        <v>33</v>
      </c>
      <c r="C562" s="4" t="s">
        <v>34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30</v>
      </c>
      <c r="K562" s="6">
        <v>28.8</v>
      </c>
      <c r="L562" s="6">
        <v>0</v>
      </c>
      <c r="M562" s="6">
        <v>0</v>
      </c>
      <c r="N562" s="6">
        <v>0</v>
      </c>
      <c r="O562" s="6">
        <v>0</v>
      </c>
      <c r="P562" s="6">
        <v>1</v>
      </c>
      <c r="Q562" s="4" t="s">
        <v>26</v>
      </c>
      <c r="R562" s="4">
        <v>0</v>
      </c>
      <c r="S562" s="4" t="s">
        <v>177</v>
      </c>
      <c r="U562" s="4">
        <v>18</v>
      </c>
      <c r="V562" s="4">
        <v>0</v>
      </c>
      <c r="W562" s="4">
        <v>0</v>
      </c>
    </row>
    <row r="563" spans="1:23" ht="11.25" customHeight="1" x14ac:dyDescent="0.25">
      <c r="A563" s="4" t="s">
        <v>21</v>
      </c>
      <c r="B563" s="4" t="s">
        <v>33</v>
      </c>
      <c r="C563" s="4" t="s">
        <v>34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37</v>
      </c>
      <c r="I563" s="5">
        <v>44348</v>
      </c>
      <c r="J563" s="6">
        <v>0</v>
      </c>
      <c r="K563" s="6">
        <v>0</v>
      </c>
      <c r="L563" s="6">
        <v>0.33300000000000002</v>
      </c>
      <c r="M563" s="6">
        <v>0.31968000000000002</v>
      </c>
      <c r="N563" s="6">
        <v>0.33300000000000002</v>
      </c>
      <c r="O563" s="6">
        <v>0.31968000000000002</v>
      </c>
      <c r="P563" s="6">
        <v>0</v>
      </c>
      <c r="Q563" s="4" t="s">
        <v>26</v>
      </c>
      <c r="R563" s="4">
        <v>0</v>
      </c>
      <c r="S563" s="4" t="s">
        <v>178</v>
      </c>
      <c r="T563" s="4" t="s">
        <v>399</v>
      </c>
      <c r="U563" s="4">
        <v>0</v>
      </c>
      <c r="V563" s="4">
        <v>19</v>
      </c>
      <c r="W563" s="4">
        <v>65</v>
      </c>
    </row>
    <row r="564" spans="1:23" ht="11.25" customHeight="1" x14ac:dyDescent="0.25">
      <c r="A564" s="4" t="s">
        <v>21</v>
      </c>
      <c r="B564" s="4" t="s">
        <v>33</v>
      </c>
      <c r="C564" s="4" t="s">
        <v>34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37</v>
      </c>
      <c r="I564" s="5">
        <v>44378</v>
      </c>
      <c r="J564" s="6">
        <v>0</v>
      </c>
      <c r="K564" s="6">
        <v>0</v>
      </c>
      <c r="L564" s="6">
        <v>0.39800000000000002</v>
      </c>
      <c r="M564" s="6">
        <v>0.38207999999999998</v>
      </c>
      <c r="N564" s="6">
        <v>0.39800000000000002</v>
      </c>
      <c r="O564" s="6">
        <v>0.38207999999999998</v>
      </c>
      <c r="P564" s="6">
        <v>0</v>
      </c>
      <c r="Q564" s="4" t="s">
        <v>26</v>
      </c>
      <c r="R564" s="4">
        <v>0</v>
      </c>
      <c r="S564" s="4" t="s">
        <v>179</v>
      </c>
      <c r="T564" s="4" t="s">
        <v>400</v>
      </c>
      <c r="U564" s="4">
        <v>0</v>
      </c>
      <c r="V564" s="4">
        <v>19</v>
      </c>
      <c r="W564" s="4">
        <v>65</v>
      </c>
    </row>
    <row r="565" spans="1:23" ht="11.25" customHeight="1" x14ac:dyDescent="0.25">
      <c r="A565" s="4" t="s">
        <v>21</v>
      </c>
      <c r="B565" s="4" t="s">
        <v>33</v>
      </c>
      <c r="C565" s="4" t="s">
        <v>34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37</v>
      </c>
      <c r="I565" s="5">
        <v>44409</v>
      </c>
      <c r="J565" s="6">
        <v>0</v>
      </c>
      <c r="K565" s="6">
        <v>0</v>
      </c>
      <c r="L565" s="6">
        <v>0.35799999999999998</v>
      </c>
      <c r="M565" s="6">
        <v>0.34367999999999999</v>
      </c>
      <c r="N565" s="6">
        <v>0.35799999999999998</v>
      </c>
      <c r="O565" s="6">
        <v>0.34367999999999999</v>
      </c>
      <c r="P565" s="6">
        <v>0</v>
      </c>
      <c r="Q565" s="4" t="s">
        <v>26</v>
      </c>
      <c r="R565" s="4">
        <v>0</v>
      </c>
      <c r="S565" s="4" t="s">
        <v>180</v>
      </c>
      <c r="T565" s="4" t="s">
        <v>401</v>
      </c>
      <c r="U565" s="4">
        <v>0</v>
      </c>
      <c r="V565" s="4">
        <v>19</v>
      </c>
      <c r="W565" s="4">
        <v>65</v>
      </c>
    </row>
    <row r="566" spans="1:23" ht="11.25" customHeight="1" x14ac:dyDescent="0.25">
      <c r="A566" s="4" t="s">
        <v>21</v>
      </c>
      <c r="B566" s="4" t="s">
        <v>33</v>
      </c>
      <c r="C566" s="4" t="s">
        <v>34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37</v>
      </c>
      <c r="I566" s="5">
        <v>44440</v>
      </c>
      <c r="J566" s="6">
        <v>0</v>
      </c>
      <c r="K566" s="6">
        <v>0</v>
      </c>
      <c r="L566" s="6">
        <v>0.371</v>
      </c>
      <c r="M566" s="6">
        <v>0.35615999999999998</v>
      </c>
      <c r="N566" s="6">
        <v>0.371</v>
      </c>
      <c r="O566" s="6">
        <v>0.35615999999999998</v>
      </c>
      <c r="P566" s="6">
        <v>0</v>
      </c>
      <c r="Q566" s="4" t="s">
        <v>26</v>
      </c>
      <c r="R566" s="4">
        <v>0</v>
      </c>
      <c r="S566" s="4" t="s">
        <v>181</v>
      </c>
      <c r="T566" s="4" t="s">
        <v>402</v>
      </c>
      <c r="U566" s="4">
        <v>0</v>
      </c>
      <c r="V566" s="4">
        <v>19</v>
      </c>
      <c r="W566" s="4">
        <v>65</v>
      </c>
    </row>
    <row r="567" spans="1:23" ht="11.25" customHeight="1" x14ac:dyDescent="0.25">
      <c r="A567" s="4" t="s">
        <v>21</v>
      </c>
      <c r="B567" s="4" t="s">
        <v>33</v>
      </c>
      <c r="C567" s="4" t="s">
        <v>34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37</v>
      </c>
      <c r="I567" s="5">
        <v>44470</v>
      </c>
      <c r="J567" s="6">
        <v>0</v>
      </c>
      <c r="K567" s="6">
        <v>0</v>
      </c>
      <c r="L567" s="6">
        <v>0.34499999999999997</v>
      </c>
      <c r="M567" s="6">
        <v>0.33119999999999999</v>
      </c>
      <c r="N567" s="6">
        <v>0.34499999999999997</v>
      </c>
      <c r="O567" s="6">
        <v>0.33119999999999999</v>
      </c>
      <c r="P567" s="6">
        <v>0</v>
      </c>
      <c r="Q567" s="4" t="s">
        <v>26</v>
      </c>
      <c r="R567" s="4">
        <v>0</v>
      </c>
      <c r="S567" s="4" t="s">
        <v>182</v>
      </c>
      <c r="T567" s="4" t="s">
        <v>403</v>
      </c>
      <c r="U567" s="4">
        <v>0</v>
      </c>
      <c r="V567" s="4">
        <v>19</v>
      </c>
      <c r="W567" s="4">
        <v>65</v>
      </c>
    </row>
    <row r="568" spans="1:23" ht="11.25" customHeight="1" x14ac:dyDescent="0.25">
      <c r="A568" s="4" t="s">
        <v>21</v>
      </c>
      <c r="B568" s="4" t="s">
        <v>33</v>
      </c>
      <c r="C568" s="4" t="s">
        <v>34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37</v>
      </c>
      <c r="I568" s="5">
        <v>44501</v>
      </c>
      <c r="J568" s="6">
        <v>0</v>
      </c>
      <c r="K568" s="6">
        <v>0</v>
      </c>
      <c r="L568" s="6">
        <v>0.34399999999999997</v>
      </c>
      <c r="M568" s="6">
        <v>0.33023999999999998</v>
      </c>
      <c r="N568" s="6">
        <v>0.34399999999999997</v>
      </c>
      <c r="O568" s="6">
        <v>0.33023999999999998</v>
      </c>
      <c r="P568" s="6">
        <v>0</v>
      </c>
      <c r="Q568" s="4" t="s">
        <v>26</v>
      </c>
      <c r="R568" s="4">
        <v>0</v>
      </c>
      <c r="S568" s="4" t="s">
        <v>183</v>
      </c>
      <c r="T568" s="4" t="s">
        <v>404</v>
      </c>
      <c r="U568" s="4">
        <v>0</v>
      </c>
      <c r="V568" s="4">
        <v>19</v>
      </c>
      <c r="W568" s="4">
        <v>65</v>
      </c>
    </row>
    <row r="569" spans="1:23" ht="11.25" customHeight="1" x14ac:dyDescent="0.25">
      <c r="A569" s="4" t="s">
        <v>21</v>
      </c>
      <c r="B569" s="4" t="s">
        <v>33</v>
      </c>
      <c r="C569" s="4" t="s">
        <v>34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37</v>
      </c>
      <c r="I569" s="5">
        <v>44531</v>
      </c>
      <c r="J569" s="6">
        <v>0</v>
      </c>
      <c r="K569" s="6">
        <v>0</v>
      </c>
      <c r="L569" s="6">
        <v>0.31</v>
      </c>
      <c r="M569" s="6">
        <v>0.29759999999999998</v>
      </c>
      <c r="N569" s="6">
        <v>0.31</v>
      </c>
      <c r="O569" s="6">
        <v>0.29759999999999998</v>
      </c>
      <c r="P569" s="6">
        <v>0</v>
      </c>
      <c r="Q569" s="4" t="s">
        <v>26</v>
      </c>
      <c r="R569" s="4">
        <v>0</v>
      </c>
      <c r="S569" s="4" t="s">
        <v>184</v>
      </c>
      <c r="T569" s="4" t="s">
        <v>405</v>
      </c>
      <c r="U569" s="4">
        <v>0</v>
      </c>
      <c r="V569" s="4">
        <v>19</v>
      </c>
      <c r="W569" s="4">
        <v>65</v>
      </c>
    </row>
    <row r="570" spans="1:23" ht="11.25" customHeight="1" x14ac:dyDescent="0.25">
      <c r="A570" s="4" t="s">
        <v>21</v>
      </c>
      <c r="B570" s="4" t="s">
        <v>33</v>
      </c>
      <c r="C570" s="4" t="s">
        <v>34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37</v>
      </c>
      <c r="I570" s="5">
        <v>44593</v>
      </c>
      <c r="J570" s="6">
        <v>0</v>
      </c>
      <c r="K570" s="6">
        <v>0</v>
      </c>
      <c r="L570" s="6">
        <v>0.49299999999999999</v>
      </c>
      <c r="M570" s="6">
        <v>0.47327999999999998</v>
      </c>
      <c r="N570" s="6">
        <v>0.49299999999999999</v>
      </c>
      <c r="O570" s="6">
        <v>0.47327999999999998</v>
      </c>
      <c r="P570" s="6">
        <v>0</v>
      </c>
      <c r="Q570" s="4" t="s">
        <v>26</v>
      </c>
      <c r="R570" s="4">
        <v>0</v>
      </c>
      <c r="S570" s="4" t="s">
        <v>186</v>
      </c>
      <c r="T570" s="4" t="s">
        <v>407</v>
      </c>
      <c r="U570" s="4">
        <v>0</v>
      </c>
      <c r="V570" s="4">
        <v>19</v>
      </c>
      <c r="W570" s="4">
        <v>65</v>
      </c>
    </row>
    <row r="571" spans="1:23" ht="11.25" customHeight="1" x14ac:dyDescent="0.25">
      <c r="A571" s="4" t="s">
        <v>21</v>
      </c>
      <c r="B571" s="4" t="s">
        <v>33</v>
      </c>
      <c r="C571" s="4" t="s">
        <v>34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37</v>
      </c>
      <c r="I571" s="5">
        <v>44621</v>
      </c>
      <c r="J571" s="6">
        <v>0</v>
      </c>
      <c r="K571" s="6">
        <v>0</v>
      </c>
      <c r="L571" s="6">
        <v>0.34200000000000003</v>
      </c>
      <c r="M571" s="6">
        <v>0.32832</v>
      </c>
      <c r="N571" s="6">
        <v>0.34200000000000003</v>
      </c>
      <c r="O571" s="6">
        <v>0.32832</v>
      </c>
      <c r="P571" s="6">
        <v>0</v>
      </c>
      <c r="Q571" s="4" t="s">
        <v>26</v>
      </c>
      <c r="R571" s="4">
        <v>0</v>
      </c>
      <c r="S571" s="4" t="s">
        <v>187</v>
      </c>
      <c r="T571" s="4" t="s">
        <v>408</v>
      </c>
      <c r="U571" s="4">
        <v>0</v>
      </c>
      <c r="V571" s="4">
        <v>19</v>
      </c>
      <c r="W571" s="4">
        <v>65</v>
      </c>
    </row>
    <row r="572" spans="1:23" ht="11.25" customHeight="1" x14ac:dyDescent="0.25">
      <c r="A572" s="4" t="s">
        <v>21</v>
      </c>
      <c r="B572" s="4" t="s">
        <v>33</v>
      </c>
      <c r="C572" s="4" t="s">
        <v>34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37</v>
      </c>
      <c r="I572" s="5">
        <v>44652</v>
      </c>
      <c r="J572" s="6">
        <v>0</v>
      </c>
      <c r="K572" s="6">
        <v>0</v>
      </c>
      <c r="L572" s="6">
        <v>0.27100000000000002</v>
      </c>
      <c r="M572" s="6">
        <v>0.26016</v>
      </c>
      <c r="N572" s="6">
        <v>0.27100000000000002</v>
      </c>
      <c r="O572" s="6">
        <v>0.26016</v>
      </c>
      <c r="P572" s="6">
        <v>0</v>
      </c>
      <c r="Q572" s="4" t="s">
        <v>26</v>
      </c>
      <c r="R572" s="4">
        <v>0</v>
      </c>
      <c r="S572" s="4" t="s">
        <v>188</v>
      </c>
      <c r="T572" s="4" t="s">
        <v>409</v>
      </c>
      <c r="U572" s="4">
        <v>0</v>
      </c>
      <c r="V572" s="4">
        <v>19</v>
      </c>
      <c r="W572" s="4">
        <v>65</v>
      </c>
    </row>
    <row r="573" spans="1:23" ht="11.25" customHeight="1" x14ac:dyDescent="0.25">
      <c r="A573" s="4" t="s">
        <v>21</v>
      </c>
      <c r="B573" s="4" t="s">
        <v>33</v>
      </c>
      <c r="C573" s="4" t="s">
        <v>34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37</v>
      </c>
      <c r="I573" s="5">
        <v>44682</v>
      </c>
      <c r="J573" s="6">
        <v>0</v>
      </c>
      <c r="K573" s="6">
        <v>0</v>
      </c>
      <c r="L573" s="6">
        <v>0.33300000000000002</v>
      </c>
      <c r="M573" s="6">
        <v>0.31968000000000002</v>
      </c>
      <c r="N573" s="6">
        <v>0.33300000000000002</v>
      </c>
      <c r="O573" s="6">
        <v>0.31968000000000002</v>
      </c>
      <c r="P573" s="6">
        <v>0</v>
      </c>
      <c r="Q573" s="4" t="s">
        <v>26</v>
      </c>
      <c r="R573" s="4">
        <v>0</v>
      </c>
      <c r="S573" s="4" t="s">
        <v>189</v>
      </c>
      <c r="T573" s="4" t="s">
        <v>410</v>
      </c>
      <c r="U573" s="4">
        <v>0</v>
      </c>
      <c r="V573" s="4">
        <v>19</v>
      </c>
      <c r="W573" s="4">
        <v>65</v>
      </c>
    </row>
    <row r="574" spans="1:23" ht="11.25" customHeight="1" x14ac:dyDescent="0.25">
      <c r="A574" s="4" t="s">
        <v>21</v>
      </c>
      <c r="B574" s="4" t="s">
        <v>33</v>
      </c>
      <c r="C574" s="4" t="s">
        <v>34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35</v>
      </c>
      <c r="I574" s="5">
        <v>44348</v>
      </c>
      <c r="J574" s="6">
        <v>0</v>
      </c>
      <c r="K574" s="6">
        <v>0</v>
      </c>
      <c r="L574" s="6">
        <v>392.327</v>
      </c>
      <c r="M574" s="6">
        <v>368.78737999999998</v>
      </c>
      <c r="N574" s="6">
        <v>392.327</v>
      </c>
      <c r="O574" s="6">
        <v>368.78737999999998</v>
      </c>
      <c r="P574" s="6">
        <v>0</v>
      </c>
      <c r="Q574" s="4" t="s">
        <v>26</v>
      </c>
      <c r="R574" s="4">
        <v>0</v>
      </c>
      <c r="S574" s="4" t="s">
        <v>154</v>
      </c>
      <c r="T574" s="4" t="s">
        <v>387</v>
      </c>
      <c r="U574" s="4">
        <v>0</v>
      </c>
      <c r="V574" s="4">
        <v>20</v>
      </c>
      <c r="W574" s="4">
        <v>66</v>
      </c>
    </row>
    <row r="575" spans="1:23" ht="11.25" customHeight="1" x14ac:dyDescent="0.25">
      <c r="A575" s="4" t="s">
        <v>21</v>
      </c>
      <c r="B575" s="4" t="s">
        <v>33</v>
      </c>
      <c r="C575" s="4" t="s">
        <v>34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35</v>
      </c>
      <c r="I575" s="5">
        <v>44378</v>
      </c>
      <c r="J575" s="6">
        <v>0</v>
      </c>
      <c r="K575" s="6">
        <v>0</v>
      </c>
      <c r="L575" s="6">
        <v>387.32</v>
      </c>
      <c r="M575" s="6">
        <v>364.08080000000001</v>
      </c>
      <c r="N575" s="6">
        <v>387.32</v>
      </c>
      <c r="O575" s="6">
        <v>364.08080000000001</v>
      </c>
      <c r="P575" s="6">
        <v>0</v>
      </c>
      <c r="Q575" s="4" t="s">
        <v>26</v>
      </c>
      <c r="R575" s="4">
        <v>0</v>
      </c>
      <c r="S575" s="4" t="s">
        <v>155</v>
      </c>
      <c r="T575" s="4" t="s">
        <v>388</v>
      </c>
      <c r="U575" s="4">
        <v>0</v>
      </c>
      <c r="V575" s="4">
        <v>20</v>
      </c>
      <c r="W575" s="4">
        <v>66</v>
      </c>
    </row>
    <row r="576" spans="1:23" ht="11.25" customHeight="1" x14ac:dyDescent="0.25">
      <c r="A576" s="4" t="s">
        <v>21</v>
      </c>
      <c r="B576" s="4" t="s">
        <v>33</v>
      </c>
      <c r="C576" s="4" t="s">
        <v>34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35</v>
      </c>
      <c r="I576" s="5">
        <v>44409</v>
      </c>
      <c r="J576" s="6">
        <v>0</v>
      </c>
      <c r="K576" s="6">
        <v>0</v>
      </c>
      <c r="L576" s="6">
        <v>393.12599999999998</v>
      </c>
      <c r="M576" s="6">
        <v>369.53843999999998</v>
      </c>
      <c r="N576" s="6">
        <v>393.12599999999998</v>
      </c>
      <c r="O576" s="6">
        <v>369.53843999999998</v>
      </c>
      <c r="P576" s="6">
        <v>0</v>
      </c>
      <c r="Q576" s="4" t="s">
        <v>26</v>
      </c>
      <c r="R576" s="4">
        <v>0</v>
      </c>
      <c r="S576" s="4" t="s">
        <v>156</v>
      </c>
      <c r="T576" s="4" t="s">
        <v>389</v>
      </c>
      <c r="U576" s="4">
        <v>0</v>
      </c>
      <c r="V576" s="4">
        <v>20</v>
      </c>
      <c r="W576" s="4">
        <v>66</v>
      </c>
    </row>
    <row r="577" spans="1:23" ht="11.25" customHeight="1" x14ac:dyDescent="0.25">
      <c r="A577" s="4" t="s">
        <v>21</v>
      </c>
      <c r="B577" s="4" t="s">
        <v>33</v>
      </c>
      <c r="C577" s="4" t="s">
        <v>34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35</v>
      </c>
      <c r="I577" s="5">
        <v>44440</v>
      </c>
      <c r="J577" s="6">
        <v>0</v>
      </c>
      <c r="K577" s="6">
        <v>0</v>
      </c>
      <c r="L577" s="6">
        <v>388.779</v>
      </c>
      <c r="M577" s="6">
        <v>365.45226000000002</v>
      </c>
      <c r="N577" s="6">
        <v>388.779</v>
      </c>
      <c r="O577" s="6">
        <v>365.45226000000002</v>
      </c>
      <c r="P577" s="6">
        <v>0</v>
      </c>
      <c r="Q577" s="4" t="s">
        <v>26</v>
      </c>
      <c r="R577" s="4">
        <v>0</v>
      </c>
      <c r="S577" s="4" t="s">
        <v>157</v>
      </c>
      <c r="T577" s="4" t="s">
        <v>390</v>
      </c>
      <c r="U577" s="4">
        <v>0</v>
      </c>
      <c r="V577" s="4">
        <v>20</v>
      </c>
      <c r="W577" s="4">
        <v>66</v>
      </c>
    </row>
    <row r="578" spans="1:23" ht="11.25" customHeight="1" x14ac:dyDescent="0.25">
      <c r="A578" s="4" t="s">
        <v>21</v>
      </c>
      <c r="B578" s="4" t="s">
        <v>33</v>
      </c>
      <c r="C578" s="4" t="s">
        <v>34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35</v>
      </c>
      <c r="I578" s="5">
        <v>44470</v>
      </c>
      <c r="J578" s="6">
        <v>0</v>
      </c>
      <c r="K578" s="6">
        <v>0</v>
      </c>
      <c r="L578" s="6">
        <v>389.73399999999998</v>
      </c>
      <c r="M578" s="6">
        <v>366.34996000000001</v>
      </c>
      <c r="N578" s="6">
        <v>389.73399999999998</v>
      </c>
      <c r="O578" s="6">
        <v>366.34996000000001</v>
      </c>
      <c r="P578" s="6">
        <v>0</v>
      </c>
      <c r="Q578" s="4" t="s">
        <v>26</v>
      </c>
      <c r="R578" s="4">
        <v>0</v>
      </c>
      <c r="S578" s="4" t="s">
        <v>158</v>
      </c>
      <c r="T578" s="4" t="s">
        <v>391</v>
      </c>
      <c r="U578" s="4">
        <v>0</v>
      </c>
      <c r="V578" s="4">
        <v>20</v>
      </c>
      <c r="W578" s="4">
        <v>66</v>
      </c>
    </row>
    <row r="579" spans="1:23" ht="11.25" customHeight="1" x14ac:dyDescent="0.25">
      <c r="A579" s="4" t="s">
        <v>21</v>
      </c>
      <c r="B579" s="4" t="s">
        <v>33</v>
      </c>
      <c r="C579" s="4" t="s">
        <v>34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35</v>
      </c>
      <c r="I579" s="5">
        <v>44501</v>
      </c>
      <c r="J579" s="6">
        <v>0</v>
      </c>
      <c r="K579" s="6">
        <v>0</v>
      </c>
      <c r="L579" s="6">
        <v>397.99599999999998</v>
      </c>
      <c r="M579" s="6">
        <v>374.11624</v>
      </c>
      <c r="N579" s="6">
        <v>397.99599999999998</v>
      </c>
      <c r="O579" s="6">
        <v>374.11624</v>
      </c>
      <c r="P579" s="6">
        <v>0</v>
      </c>
      <c r="Q579" s="4" t="s">
        <v>26</v>
      </c>
      <c r="R579" s="4">
        <v>0</v>
      </c>
      <c r="S579" s="4" t="s">
        <v>159</v>
      </c>
      <c r="T579" s="4" t="s">
        <v>392</v>
      </c>
      <c r="U579" s="4">
        <v>0</v>
      </c>
      <c r="V579" s="4">
        <v>20</v>
      </c>
      <c r="W579" s="4">
        <v>66</v>
      </c>
    </row>
    <row r="580" spans="1:23" ht="11.25" customHeight="1" x14ac:dyDescent="0.25">
      <c r="A580" s="4" t="s">
        <v>21</v>
      </c>
      <c r="B580" s="4" t="s">
        <v>33</v>
      </c>
      <c r="C580" s="4" t="s">
        <v>34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35</v>
      </c>
      <c r="I580" s="5">
        <v>44531</v>
      </c>
      <c r="J580" s="6">
        <v>0</v>
      </c>
      <c r="K580" s="6">
        <v>0</v>
      </c>
      <c r="L580" s="6">
        <v>428.596</v>
      </c>
      <c r="M580" s="6">
        <v>402.88024000000001</v>
      </c>
      <c r="N580" s="6">
        <v>428.596</v>
      </c>
      <c r="O580" s="6">
        <v>402.88024000000001</v>
      </c>
      <c r="P580" s="6">
        <v>0</v>
      </c>
      <c r="Q580" s="4" t="s">
        <v>26</v>
      </c>
      <c r="R580" s="4">
        <v>0</v>
      </c>
      <c r="S580" s="4" t="s">
        <v>160</v>
      </c>
      <c r="T580" s="4" t="s">
        <v>393</v>
      </c>
      <c r="U580" s="4">
        <v>0</v>
      </c>
      <c r="V580" s="4">
        <v>20</v>
      </c>
      <c r="W580" s="4">
        <v>66</v>
      </c>
    </row>
    <row r="581" spans="1:23" ht="11.25" customHeight="1" x14ac:dyDescent="0.25">
      <c r="A581" s="4" t="s">
        <v>21</v>
      </c>
      <c r="B581" s="4" t="s">
        <v>33</v>
      </c>
      <c r="C581" s="4" t="s">
        <v>34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35</v>
      </c>
      <c r="I581" s="5">
        <v>44562</v>
      </c>
      <c r="J581" s="6">
        <v>0</v>
      </c>
      <c r="K581" s="6">
        <v>0</v>
      </c>
      <c r="L581" s="6">
        <v>447.78</v>
      </c>
      <c r="M581" s="6">
        <v>420.91320000000002</v>
      </c>
      <c r="N581" s="6">
        <v>447.78</v>
      </c>
      <c r="O581" s="6">
        <v>420.91320000000002</v>
      </c>
      <c r="P581" s="6">
        <v>0</v>
      </c>
      <c r="Q581" s="4" t="s">
        <v>26</v>
      </c>
      <c r="R581" s="4">
        <v>0</v>
      </c>
      <c r="S581" s="4" t="s">
        <v>161</v>
      </c>
      <c r="T581" s="4" t="s">
        <v>394</v>
      </c>
      <c r="U581" s="4">
        <v>0</v>
      </c>
      <c r="V581" s="4">
        <v>20</v>
      </c>
      <c r="W581" s="4">
        <v>66</v>
      </c>
    </row>
    <row r="582" spans="1:23" ht="11.25" customHeight="1" x14ac:dyDescent="0.25">
      <c r="A582" s="4" t="s">
        <v>21</v>
      </c>
      <c r="B582" s="4" t="s">
        <v>33</v>
      </c>
      <c r="C582" s="4" t="s">
        <v>34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35</v>
      </c>
      <c r="I582" s="5">
        <v>44593</v>
      </c>
      <c r="J582" s="6">
        <v>0</v>
      </c>
      <c r="K582" s="6">
        <v>0</v>
      </c>
      <c r="L582" s="6">
        <v>417.27699999999999</v>
      </c>
      <c r="M582" s="6">
        <v>392.24038000000002</v>
      </c>
      <c r="N582" s="6">
        <v>417.27699999999999</v>
      </c>
      <c r="O582" s="6">
        <v>392.24038000000002</v>
      </c>
      <c r="P582" s="6">
        <v>0</v>
      </c>
      <c r="Q582" s="4" t="s">
        <v>26</v>
      </c>
      <c r="R582" s="4">
        <v>0</v>
      </c>
      <c r="S582" s="4" t="s">
        <v>162</v>
      </c>
      <c r="T582" s="4" t="s">
        <v>395</v>
      </c>
      <c r="U582" s="4">
        <v>0</v>
      </c>
      <c r="V582" s="4">
        <v>20</v>
      </c>
      <c r="W582" s="4">
        <v>66</v>
      </c>
    </row>
    <row r="583" spans="1:23" ht="11.25" customHeight="1" x14ac:dyDescent="0.25">
      <c r="A583" s="4" t="s">
        <v>21</v>
      </c>
      <c r="B583" s="4" t="s">
        <v>33</v>
      </c>
      <c r="C583" s="4" t="s">
        <v>34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35</v>
      </c>
      <c r="I583" s="5">
        <v>44621</v>
      </c>
      <c r="J583" s="6">
        <v>0</v>
      </c>
      <c r="K583" s="6">
        <v>0</v>
      </c>
      <c r="L583" s="6">
        <v>385.72699999999998</v>
      </c>
      <c r="M583" s="6">
        <v>362.58337999999998</v>
      </c>
      <c r="N583" s="6">
        <v>385.72699999999998</v>
      </c>
      <c r="O583" s="6">
        <v>362.58337999999998</v>
      </c>
      <c r="P583" s="6">
        <v>0</v>
      </c>
      <c r="Q583" s="4" t="s">
        <v>26</v>
      </c>
      <c r="R583" s="4">
        <v>0</v>
      </c>
      <c r="S583" s="4" t="s">
        <v>163</v>
      </c>
      <c r="T583" s="4" t="s">
        <v>396</v>
      </c>
      <c r="U583" s="4">
        <v>0</v>
      </c>
      <c r="V583" s="4">
        <v>20</v>
      </c>
      <c r="W583" s="4">
        <v>66</v>
      </c>
    </row>
    <row r="584" spans="1:23" ht="11.25" customHeight="1" x14ac:dyDescent="0.25">
      <c r="A584" s="4" t="s">
        <v>21</v>
      </c>
      <c r="B584" s="4" t="s">
        <v>33</v>
      </c>
      <c r="C584" s="4" t="s">
        <v>34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35</v>
      </c>
      <c r="I584" s="5">
        <v>44652</v>
      </c>
      <c r="J584" s="6">
        <v>0</v>
      </c>
      <c r="K584" s="6">
        <v>0</v>
      </c>
      <c r="L584" s="6">
        <v>450.798</v>
      </c>
      <c r="M584" s="6">
        <v>423.75011999999998</v>
      </c>
      <c r="N584" s="6">
        <v>450.798</v>
      </c>
      <c r="O584" s="6">
        <v>423.75011999999998</v>
      </c>
      <c r="P584" s="6">
        <v>0</v>
      </c>
      <c r="Q584" s="4" t="s">
        <v>26</v>
      </c>
      <c r="R584" s="4">
        <v>0</v>
      </c>
      <c r="S584" s="4" t="s">
        <v>164</v>
      </c>
      <c r="T584" s="4" t="s">
        <v>397</v>
      </c>
      <c r="U584" s="4">
        <v>0</v>
      </c>
      <c r="V584" s="4">
        <v>20</v>
      </c>
      <c r="W584" s="4">
        <v>66</v>
      </c>
    </row>
    <row r="585" spans="1:23" ht="11.25" customHeight="1" x14ac:dyDescent="0.25">
      <c r="A585" s="4" t="s">
        <v>21</v>
      </c>
      <c r="B585" s="4" t="s">
        <v>33</v>
      </c>
      <c r="C585" s="4" t="s">
        <v>34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35</v>
      </c>
      <c r="I585" s="5">
        <v>44682</v>
      </c>
      <c r="J585" s="6">
        <v>0</v>
      </c>
      <c r="K585" s="6">
        <v>0</v>
      </c>
      <c r="L585" s="6">
        <v>444.18599999999998</v>
      </c>
      <c r="M585" s="6">
        <v>417.53483999999997</v>
      </c>
      <c r="N585" s="6">
        <v>444.18599999999998</v>
      </c>
      <c r="O585" s="6">
        <v>417.53483999999997</v>
      </c>
      <c r="P585" s="6">
        <v>0</v>
      </c>
      <c r="Q585" s="4" t="s">
        <v>26</v>
      </c>
      <c r="R585" s="4">
        <v>0</v>
      </c>
      <c r="S585" s="4" t="s">
        <v>165</v>
      </c>
      <c r="T585" s="4" t="s">
        <v>398</v>
      </c>
      <c r="U585" s="4">
        <v>0</v>
      </c>
      <c r="V585" s="4">
        <v>20</v>
      </c>
      <c r="W585" s="4">
        <v>66</v>
      </c>
    </row>
    <row r="586" spans="1:23" ht="11.25" customHeight="1" x14ac:dyDescent="0.25">
      <c r="A586" s="4" t="s">
        <v>21</v>
      </c>
      <c r="B586" s="4" t="s">
        <v>33</v>
      </c>
      <c r="C586" s="4" t="s">
        <v>34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25</v>
      </c>
      <c r="I586" s="5">
        <v>44348</v>
      </c>
      <c r="J586" s="6">
        <v>1428</v>
      </c>
      <c r="K586" s="6">
        <v>1342.32</v>
      </c>
      <c r="L586" s="6">
        <v>0</v>
      </c>
      <c r="M586" s="6">
        <v>0</v>
      </c>
      <c r="N586" s="6">
        <v>0</v>
      </c>
      <c r="O586" s="6">
        <v>0</v>
      </c>
      <c r="P586" s="6">
        <v>11</v>
      </c>
      <c r="Q586" s="4" t="s">
        <v>26</v>
      </c>
      <c r="R586" s="4">
        <v>0</v>
      </c>
      <c r="S586" s="4" t="s">
        <v>166</v>
      </c>
      <c r="U586" s="4">
        <v>18</v>
      </c>
      <c r="V586" s="4">
        <v>0</v>
      </c>
      <c r="W586" s="4">
        <v>0</v>
      </c>
    </row>
    <row r="587" spans="1:23" ht="11.25" customHeight="1" x14ac:dyDescent="0.25">
      <c r="A587" s="4" t="s">
        <v>21</v>
      </c>
      <c r="B587" s="4" t="s">
        <v>33</v>
      </c>
      <c r="C587" s="4" t="s">
        <v>34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1416</v>
      </c>
      <c r="K587" s="6">
        <v>1331.04</v>
      </c>
      <c r="L587" s="6">
        <v>0</v>
      </c>
      <c r="M587" s="6">
        <v>0</v>
      </c>
      <c r="N587" s="6">
        <v>0</v>
      </c>
      <c r="O587" s="6">
        <v>0</v>
      </c>
      <c r="P587" s="6">
        <v>11</v>
      </c>
      <c r="Q587" s="4" t="s">
        <v>26</v>
      </c>
      <c r="R587" s="4">
        <v>0</v>
      </c>
      <c r="S587" s="4" t="s">
        <v>167</v>
      </c>
      <c r="U587" s="4">
        <v>18</v>
      </c>
      <c r="V587" s="4">
        <v>0</v>
      </c>
      <c r="W587" s="4">
        <v>0</v>
      </c>
    </row>
    <row r="588" spans="1:23" ht="11.25" customHeight="1" x14ac:dyDescent="0.25">
      <c r="A588" s="4" t="s">
        <v>21</v>
      </c>
      <c r="B588" s="4" t="s">
        <v>33</v>
      </c>
      <c r="C588" s="4" t="s">
        <v>34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1427</v>
      </c>
      <c r="K588" s="6">
        <v>1341.38</v>
      </c>
      <c r="L588" s="6">
        <v>0</v>
      </c>
      <c r="M588" s="6">
        <v>0</v>
      </c>
      <c r="N588" s="6">
        <v>0</v>
      </c>
      <c r="O588" s="6">
        <v>0</v>
      </c>
      <c r="P588" s="6">
        <v>11</v>
      </c>
      <c r="Q588" s="4" t="s">
        <v>26</v>
      </c>
      <c r="R588" s="4">
        <v>0</v>
      </c>
      <c r="S588" s="4" t="s">
        <v>168</v>
      </c>
      <c r="U588" s="4">
        <v>18</v>
      </c>
      <c r="V588" s="4">
        <v>0</v>
      </c>
      <c r="W588" s="4">
        <v>0</v>
      </c>
    </row>
    <row r="589" spans="1:23" ht="11.25" customHeight="1" x14ac:dyDescent="0.25">
      <c r="A589" s="4" t="s">
        <v>21</v>
      </c>
      <c r="B589" s="4" t="s">
        <v>33</v>
      </c>
      <c r="C589" s="4" t="s">
        <v>34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25</v>
      </c>
      <c r="I589" s="5">
        <v>44440</v>
      </c>
      <c r="J589" s="6">
        <v>1372</v>
      </c>
      <c r="K589" s="6">
        <v>1289.68</v>
      </c>
      <c r="L589" s="6">
        <v>0</v>
      </c>
      <c r="M589" s="6">
        <v>0</v>
      </c>
      <c r="N589" s="6">
        <v>0</v>
      </c>
      <c r="O589" s="6">
        <v>0</v>
      </c>
      <c r="P589" s="6">
        <v>11</v>
      </c>
      <c r="Q589" s="4" t="s">
        <v>26</v>
      </c>
      <c r="R589" s="4">
        <v>0</v>
      </c>
      <c r="S589" s="4" t="s">
        <v>169</v>
      </c>
      <c r="U589" s="4">
        <v>18</v>
      </c>
      <c r="V589" s="4">
        <v>0</v>
      </c>
      <c r="W589" s="4">
        <v>0</v>
      </c>
    </row>
    <row r="590" spans="1:23" ht="11.25" customHeight="1" x14ac:dyDescent="0.25">
      <c r="A590" s="4" t="s">
        <v>21</v>
      </c>
      <c r="B590" s="4" t="s">
        <v>33</v>
      </c>
      <c r="C590" s="4" t="s">
        <v>34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1428</v>
      </c>
      <c r="K590" s="6">
        <v>1342.32</v>
      </c>
      <c r="L590" s="6">
        <v>0</v>
      </c>
      <c r="M590" s="6">
        <v>0</v>
      </c>
      <c r="N590" s="6">
        <v>0</v>
      </c>
      <c r="O590" s="6">
        <v>0</v>
      </c>
      <c r="P590" s="6">
        <v>11</v>
      </c>
      <c r="Q590" s="4" t="s">
        <v>26</v>
      </c>
      <c r="R590" s="4">
        <v>0</v>
      </c>
      <c r="S590" s="4" t="s">
        <v>170</v>
      </c>
      <c r="U590" s="4">
        <v>18</v>
      </c>
      <c r="V590" s="4">
        <v>0</v>
      </c>
      <c r="W590" s="4">
        <v>0</v>
      </c>
    </row>
    <row r="591" spans="1:23" ht="11.25" customHeight="1" x14ac:dyDescent="0.25">
      <c r="A591" s="4" t="s">
        <v>21</v>
      </c>
      <c r="B591" s="4" t="s">
        <v>33</v>
      </c>
      <c r="C591" s="4" t="s">
        <v>34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1394</v>
      </c>
      <c r="K591" s="6">
        <v>1310.3599999999999</v>
      </c>
      <c r="L591" s="6">
        <v>0</v>
      </c>
      <c r="M591" s="6">
        <v>0</v>
      </c>
      <c r="N591" s="6">
        <v>0</v>
      </c>
      <c r="O591" s="6">
        <v>0</v>
      </c>
      <c r="P591" s="6">
        <v>10</v>
      </c>
      <c r="Q591" s="4" t="s">
        <v>26</v>
      </c>
      <c r="R591" s="4">
        <v>0</v>
      </c>
      <c r="S591" s="4" t="s">
        <v>171</v>
      </c>
      <c r="U591" s="4">
        <v>18</v>
      </c>
      <c r="V591" s="4">
        <v>0</v>
      </c>
      <c r="W591" s="4">
        <v>0</v>
      </c>
    </row>
    <row r="592" spans="1:23" ht="11.25" customHeight="1" x14ac:dyDescent="0.25">
      <c r="A592" s="4" t="s">
        <v>21</v>
      </c>
      <c r="B592" s="4" t="s">
        <v>33</v>
      </c>
      <c r="C592" s="4" t="s">
        <v>34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1422</v>
      </c>
      <c r="K592" s="6">
        <v>1336.68</v>
      </c>
      <c r="L592" s="6">
        <v>0</v>
      </c>
      <c r="M592" s="6">
        <v>0</v>
      </c>
      <c r="N592" s="6">
        <v>0</v>
      </c>
      <c r="O592" s="6">
        <v>0</v>
      </c>
      <c r="P592" s="6">
        <v>11</v>
      </c>
      <c r="Q592" s="4" t="s">
        <v>26</v>
      </c>
      <c r="R592" s="4">
        <v>0</v>
      </c>
      <c r="S592" s="4" t="s">
        <v>172</v>
      </c>
      <c r="U592" s="4">
        <v>18</v>
      </c>
      <c r="V592" s="4">
        <v>0</v>
      </c>
      <c r="W592" s="4">
        <v>0</v>
      </c>
    </row>
    <row r="593" spans="1:23" ht="11.25" customHeight="1" x14ac:dyDescent="0.25">
      <c r="A593" s="4" t="s">
        <v>21</v>
      </c>
      <c r="B593" s="4" t="s">
        <v>33</v>
      </c>
      <c r="C593" s="4" t="s">
        <v>34</v>
      </c>
      <c r="D593" s="4" t="s">
        <v>50</v>
      </c>
      <c r="E593" s="4" t="s">
        <v>51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1419</v>
      </c>
      <c r="K593" s="6">
        <v>1333.86</v>
      </c>
      <c r="L593" s="6">
        <v>0</v>
      </c>
      <c r="M593" s="6">
        <v>0</v>
      </c>
      <c r="N593" s="6">
        <v>0</v>
      </c>
      <c r="O593" s="6">
        <v>0</v>
      </c>
      <c r="P593" s="6">
        <v>11</v>
      </c>
      <c r="Q593" s="4" t="s">
        <v>26</v>
      </c>
      <c r="R593" s="4">
        <v>0</v>
      </c>
      <c r="S593" s="4" t="s">
        <v>173</v>
      </c>
      <c r="U593" s="4">
        <v>18</v>
      </c>
      <c r="V593" s="4">
        <v>0</v>
      </c>
      <c r="W593" s="4">
        <v>0</v>
      </c>
    </row>
    <row r="594" spans="1:23" ht="11.25" customHeight="1" x14ac:dyDescent="0.25">
      <c r="A594" s="4" t="s">
        <v>21</v>
      </c>
      <c r="B594" s="4" t="s">
        <v>33</v>
      </c>
      <c r="C594" s="4" t="s">
        <v>34</v>
      </c>
      <c r="D594" s="4" t="s">
        <v>50</v>
      </c>
      <c r="E594" s="4" t="s">
        <v>51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1408</v>
      </c>
      <c r="K594" s="6">
        <v>1323.52</v>
      </c>
      <c r="L594" s="6">
        <v>0</v>
      </c>
      <c r="M594" s="6">
        <v>0</v>
      </c>
      <c r="N594" s="6">
        <v>0</v>
      </c>
      <c r="O594" s="6">
        <v>0</v>
      </c>
      <c r="P594" s="6">
        <v>11</v>
      </c>
      <c r="Q594" s="4" t="s">
        <v>26</v>
      </c>
      <c r="R594" s="4">
        <v>0</v>
      </c>
      <c r="S594" s="4" t="s">
        <v>174</v>
      </c>
      <c r="U594" s="4">
        <v>18</v>
      </c>
      <c r="V594" s="4">
        <v>0</v>
      </c>
      <c r="W594" s="4">
        <v>0</v>
      </c>
    </row>
    <row r="595" spans="1:23" ht="11.25" customHeight="1" x14ac:dyDescent="0.25">
      <c r="A595" s="4" t="s">
        <v>21</v>
      </c>
      <c r="B595" s="4" t="s">
        <v>33</v>
      </c>
      <c r="C595" s="4" t="s">
        <v>34</v>
      </c>
      <c r="D595" s="4" t="s">
        <v>50</v>
      </c>
      <c r="E595" s="4" t="s">
        <v>51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1384</v>
      </c>
      <c r="K595" s="6">
        <v>1300.96</v>
      </c>
      <c r="L595" s="6">
        <v>0</v>
      </c>
      <c r="M595" s="6">
        <v>0</v>
      </c>
      <c r="N595" s="6">
        <v>0</v>
      </c>
      <c r="O595" s="6">
        <v>0</v>
      </c>
      <c r="P595" s="6">
        <v>11</v>
      </c>
      <c r="Q595" s="4" t="s">
        <v>26</v>
      </c>
      <c r="R595" s="4">
        <v>0</v>
      </c>
      <c r="S595" s="4" t="s">
        <v>175</v>
      </c>
      <c r="U595" s="4">
        <v>18</v>
      </c>
      <c r="V595" s="4">
        <v>0</v>
      </c>
      <c r="W595" s="4">
        <v>0</v>
      </c>
    </row>
    <row r="596" spans="1:23" ht="11.25" customHeight="1" x14ac:dyDescent="0.25">
      <c r="A596" s="4" t="s">
        <v>21</v>
      </c>
      <c r="B596" s="4" t="s">
        <v>33</v>
      </c>
      <c r="C596" s="4" t="s">
        <v>34</v>
      </c>
      <c r="D596" s="4" t="s">
        <v>50</v>
      </c>
      <c r="E596" s="4" t="s">
        <v>51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1423</v>
      </c>
      <c r="K596" s="6">
        <v>1337.62</v>
      </c>
      <c r="L596" s="6">
        <v>0</v>
      </c>
      <c r="M596" s="6">
        <v>0</v>
      </c>
      <c r="N596" s="6">
        <v>0</v>
      </c>
      <c r="O596" s="6">
        <v>0</v>
      </c>
      <c r="P596" s="6">
        <v>11</v>
      </c>
      <c r="Q596" s="4" t="s">
        <v>26</v>
      </c>
      <c r="R596" s="4">
        <v>0</v>
      </c>
      <c r="S596" s="4" t="s">
        <v>176</v>
      </c>
      <c r="U596" s="4">
        <v>18</v>
      </c>
      <c r="V596" s="4">
        <v>0</v>
      </c>
      <c r="W596" s="4">
        <v>0</v>
      </c>
    </row>
    <row r="597" spans="1:23" ht="11.25" customHeight="1" x14ac:dyDescent="0.25">
      <c r="A597" s="4" t="s">
        <v>21</v>
      </c>
      <c r="B597" s="4" t="s">
        <v>33</v>
      </c>
      <c r="C597" s="4" t="s">
        <v>34</v>
      </c>
      <c r="D597" s="4" t="s">
        <v>50</v>
      </c>
      <c r="E597" s="4" t="s">
        <v>51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1426</v>
      </c>
      <c r="K597" s="6">
        <v>1340.44</v>
      </c>
      <c r="L597" s="6">
        <v>0</v>
      </c>
      <c r="M597" s="6">
        <v>0</v>
      </c>
      <c r="N597" s="6">
        <v>0</v>
      </c>
      <c r="O597" s="6">
        <v>0</v>
      </c>
      <c r="P597" s="6">
        <v>11</v>
      </c>
      <c r="Q597" s="4" t="s">
        <v>26</v>
      </c>
      <c r="R597" s="4">
        <v>0</v>
      </c>
      <c r="S597" s="4" t="s">
        <v>177</v>
      </c>
      <c r="U597" s="4">
        <v>18</v>
      </c>
      <c r="V597" s="4">
        <v>0</v>
      </c>
      <c r="W597" s="4">
        <v>0</v>
      </c>
    </row>
    <row r="598" spans="1:23" ht="11.25" customHeight="1" x14ac:dyDescent="0.25">
      <c r="A598" s="4" t="s">
        <v>21</v>
      </c>
      <c r="B598" s="4" t="s">
        <v>33</v>
      </c>
      <c r="C598" s="4" t="s">
        <v>34</v>
      </c>
      <c r="D598" s="4" t="s">
        <v>50</v>
      </c>
      <c r="E598" s="4" t="s">
        <v>51</v>
      </c>
      <c r="F598" s="4" t="s">
        <v>25</v>
      </c>
      <c r="G598" s="4" t="s">
        <v>25</v>
      </c>
      <c r="H598" s="4" t="s">
        <v>37</v>
      </c>
      <c r="I598" s="5">
        <v>44348</v>
      </c>
      <c r="J598" s="6">
        <v>0</v>
      </c>
      <c r="K598" s="6">
        <v>0</v>
      </c>
      <c r="L598" s="6">
        <v>44.351999999999997</v>
      </c>
      <c r="M598" s="6">
        <v>41.690879999999993</v>
      </c>
      <c r="N598" s="6">
        <v>44.351999999999997</v>
      </c>
      <c r="O598" s="6">
        <v>41.690879999999993</v>
      </c>
      <c r="P598" s="6">
        <v>0</v>
      </c>
      <c r="Q598" s="4" t="s">
        <v>26</v>
      </c>
      <c r="R598" s="4">
        <v>0</v>
      </c>
      <c r="S598" s="4" t="s">
        <v>178</v>
      </c>
      <c r="T598" s="4" t="s">
        <v>399</v>
      </c>
      <c r="U598" s="4">
        <v>0</v>
      </c>
      <c r="V598" s="4">
        <v>19</v>
      </c>
      <c r="W598" s="4">
        <v>65</v>
      </c>
    </row>
    <row r="599" spans="1:23" ht="11.25" customHeight="1" x14ac:dyDescent="0.25">
      <c r="A599" s="4" t="s">
        <v>21</v>
      </c>
      <c r="B599" s="4" t="s">
        <v>33</v>
      </c>
      <c r="C599" s="4" t="s">
        <v>34</v>
      </c>
      <c r="D599" s="4" t="s">
        <v>50</v>
      </c>
      <c r="E599" s="4" t="s">
        <v>51</v>
      </c>
      <c r="F599" s="4" t="s">
        <v>25</v>
      </c>
      <c r="G599" s="4" t="s">
        <v>25</v>
      </c>
      <c r="H599" s="4" t="s">
        <v>37</v>
      </c>
      <c r="I599" s="5">
        <v>44378</v>
      </c>
      <c r="J599" s="6">
        <v>0</v>
      </c>
      <c r="K599" s="6">
        <v>0</v>
      </c>
      <c r="L599" s="6">
        <v>41.981000000000002</v>
      </c>
      <c r="M599" s="6">
        <v>39.462139999999998</v>
      </c>
      <c r="N599" s="6">
        <v>41.981000000000002</v>
      </c>
      <c r="O599" s="6">
        <v>39.462139999999998</v>
      </c>
      <c r="P599" s="6">
        <v>0</v>
      </c>
      <c r="Q599" s="4" t="s">
        <v>26</v>
      </c>
      <c r="R599" s="4">
        <v>0</v>
      </c>
      <c r="S599" s="4" t="s">
        <v>179</v>
      </c>
      <c r="T599" s="4" t="s">
        <v>400</v>
      </c>
      <c r="U599" s="4">
        <v>0</v>
      </c>
      <c r="V599" s="4">
        <v>19</v>
      </c>
      <c r="W599" s="4">
        <v>65</v>
      </c>
    </row>
    <row r="600" spans="1:23" ht="11.25" customHeight="1" x14ac:dyDescent="0.25">
      <c r="A600" s="4" t="s">
        <v>21</v>
      </c>
      <c r="B600" s="4" t="s">
        <v>33</v>
      </c>
      <c r="C600" s="4" t="s">
        <v>34</v>
      </c>
      <c r="D600" s="4" t="s">
        <v>50</v>
      </c>
      <c r="E600" s="4" t="s">
        <v>51</v>
      </c>
      <c r="F600" s="4" t="s">
        <v>25</v>
      </c>
      <c r="G600" s="4" t="s">
        <v>25</v>
      </c>
      <c r="H600" s="4" t="s">
        <v>37</v>
      </c>
      <c r="I600" s="5">
        <v>44409</v>
      </c>
      <c r="J600" s="6">
        <v>0</v>
      </c>
      <c r="K600" s="6">
        <v>0</v>
      </c>
      <c r="L600" s="6">
        <v>45.158000000000001</v>
      </c>
      <c r="M600" s="6">
        <v>42.448520000000002</v>
      </c>
      <c r="N600" s="6">
        <v>45.158000000000001</v>
      </c>
      <c r="O600" s="6">
        <v>42.448520000000002</v>
      </c>
      <c r="P600" s="6">
        <v>0</v>
      </c>
      <c r="Q600" s="4" t="s">
        <v>26</v>
      </c>
      <c r="R600" s="4">
        <v>0</v>
      </c>
      <c r="S600" s="4" t="s">
        <v>180</v>
      </c>
      <c r="T600" s="4" t="s">
        <v>401</v>
      </c>
      <c r="U600" s="4">
        <v>0</v>
      </c>
      <c r="V600" s="4">
        <v>19</v>
      </c>
      <c r="W600" s="4">
        <v>65</v>
      </c>
    </row>
    <row r="601" spans="1:23" ht="11.25" customHeight="1" x14ac:dyDescent="0.25">
      <c r="A601" s="4" t="s">
        <v>21</v>
      </c>
      <c r="B601" s="4" t="s">
        <v>33</v>
      </c>
      <c r="C601" s="4" t="s">
        <v>34</v>
      </c>
      <c r="D601" s="4" t="s">
        <v>50</v>
      </c>
      <c r="E601" s="4" t="s">
        <v>51</v>
      </c>
      <c r="F601" s="4" t="s">
        <v>25</v>
      </c>
      <c r="G601" s="4" t="s">
        <v>25</v>
      </c>
      <c r="H601" s="4" t="s">
        <v>37</v>
      </c>
      <c r="I601" s="5">
        <v>44440</v>
      </c>
      <c r="J601" s="6">
        <v>0</v>
      </c>
      <c r="K601" s="6">
        <v>0</v>
      </c>
      <c r="L601" s="6">
        <v>42.091000000000001</v>
      </c>
      <c r="M601" s="6">
        <v>39.565539999999999</v>
      </c>
      <c r="N601" s="6">
        <v>42.091000000000001</v>
      </c>
      <c r="O601" s="6">
        <v>39.565539999999999</v>
      </c>
      <c r="P601" s="6">
        <v>0</v>
      </c>
      <c r="Q601" s="4" t="s">
        <v>26</v>
      </c>
      <c r="R601" s="4">
        <v>0</v>
      </c>
      <c r="S601" s="4" t="s">
        <v>181</v>
      </c>
      <c r="T601" s="4" t="s">
        <v>402</v>
      </c>
      <c r="U601" s="4">
        <v>0</v>
      </c>
      <c r="V601" s="4">
        <v>19</v>
      </c>
      <c r="W601" s="4">
        <v>65</v>
      </c>
    </row>
    <row r="602" spans="1:23" ht="11.25" customHeight="1" x14ac:dyDescent="0.25">
      <c r="A602" s="4" t="s">
        <v>21</v>
      </c>
      <c r="B602" s="4" t="s">
        <v>33</v>
      </c>
      <c r="C602" s="4" t="s">
        <v>34</v>
      </c>
      <c r="D602" s="4" t="s">
        <v>50</v>
      </c>
      <c r="E602" s="4" t="s">
        <v>51</v>
      </c>
      <c r="F602" s="4" t="s">
        <v>25</v>
      </c>
      <c r="G602" s="4" t="s">
        <v>25</v>
      </c>
      <c r="H602" s="4" t="s">
        <v>37</v>
      </c>
      <c r="I602" s="5">
        <v>44470</v>
      </c>
      <c r="J602" s="6">
        <v>0</v>
      </c>
      <c r="K602" s="6">
        <v>0</v>
      </c>
      <c r="L602" s="6">
        <v>43.345999999999997</v>
      </c>
      <c r="M602" s="6">
        <v>40.745240000000003</v>
      </c>
      <c r="N602" s="6">
        <v>43.345999999999997</v>
      </c>
      <c r="O602" s="6">
        <v>40.745240000000003</v>
      </c>
      <c r="P602" s="6">
        <v>0</v>
      </c>
      <c r="Q602" s="4" t="s">
        <v>26</v>
      </c>
      <c r="R602" s="4">
        <v>0</v>
      </c>
      <c r="S602" s="4" t="s">
        <v>182</v>
      </c>
      <c r="T602" s="4" t="s">
        <v>403</v>
      </c>
      <c r="U602" s="4">
        <v>0</v>
      </c>
      <c r="V602" s="4">
        <v>19</v>
      </c>
      <c r="W602" s="4">
        <v>65</v>
      </c>
    </row>
    <row r="603" spans="1:23" ht="11.25" customHeight="1" x14ac:dyDescent="0.25">
      <c r="A603" s="4" t="s">
        <v>21</v>
      </c>
      <c r="B603" s="4" t="s">
        <v>33</v>
      </c>
      <c r="C603" s="4" t="s">
        <v>34</v>
      </c>
      <c r="D603" s="4" t="s">
        <v>50</v>
      </c>
      <c r="E603" s="4" t="s">
        <v>51</v>
      </c>
      <c r="F603" s="4" t="s">
        <v>25</v>
      </c>
      <c r="G603" s="4" t="s">
        <v>25</v>
      </c>
      <c r="H603" s="4" t="s">
        <v>37</v>
      </c>
      <c r="I603" s="5">
        <v>44501</v>
      </c>
      <c r="J603" s="6">
        <v>0</v>
      </c>
      <c r="K603" s="6">
        <v>0</v>
      </c>
      <c r="L603" s="6">
        <v>44.795999999999999</v>
      </c>
      <c r="M603" s="6">
        <v>42.108240000000002</v>
      </c>
      <c r="N603" s="6">
        <v>44.795999999999999</v>
      </c>
      <c r="O603" s="6">
        <v>42.108240000000002</v>
      </c>
      <c r="P603" s="6">
        <v>0</v>
      </c>
      <c r="Q603" s="4" t="s">
        <v>26</v>
      </c>
      <c r="R603" s="4">
        <v>0</v>
      </c>
      <c r="S603" s="4" t="s">
        <v>183</v>
      </c>
      <c r="T603" s="4" t="s">
        <v>404</v>
      </c>
      <c r="U603" s="4">
        <v>0</v>
      </c>
      <c r="V603" s="4">
        <v>19</v>
      </c>
      <c r="W603" s="4">
        <v>65</v>
      </c>
    </row>
    <row r="604" spans="1:23" ht="11.25" customHeight="1" x14ac:dyDescent="0.25">
      <c r="A604" s="4" t="s">
        <v>21</v>
      </c>
      <c r="B604" s="4" t="s">
        <v>33</v>
      </c>
      <c r="C604" s="4" t="s">
        <v>34</v>
      </c>
      <c r="D604" s="4" t="s">
        <v>50</v>
      </c>
      <c r="E604" s="4" t="s">
        <v>51</v>
      </c>
      <c r="F604" s="4" t="s">
        <v>25</v>
      </c>
      <c r="G604" s="4" t="s">
        <v>25</v>
      </c>
      <c r="H604" s="4" t="s">
        <v>37</v>
      </c>
      <c r="I604" s="5">
        <v>44531</v>
      </c>
      <c r="J604" s="6">
        <v>0</v>
      </c>
      <c r="K604" s="6">
        <v>0</v>
      </c>
      <c r="L604" s="6">
        <v>52.677</v>
      </c>
      <c r="M604" s="6">
        <v>49.516379999999998</v>
      </c>
      <c r="N604" s="6">
        <v>52.677</v>
      </c>
      <c r="O604" s="6">
        <v>49.516379999999998</v>
      </c>
      <c r="P604" s="6">
        <v>0</v>
      </c>
      <c r="Q604" s="4" t="s">
        <v>26</v>
      </c>
      <c r="R604" s="4">
        <v>0</v>
      </c>
      <c r="S604" s="4" t="s">
        <v>184</v>
      </c>
      <c r="T604" s="4" t="s">
        <v>405</v>
      </c>
      <c r="U604" s="4">
        <v>0</v>
      </c>
      <c r="V604" s="4">
        <v>19</v>
      </c>
      <c r="W604" s="4">
        <v>65</v>
      </c>
    </row>
    <row r="605" spans="1:23" ht="11.25" customHeight="1" x14ac:dyDescent="0.25">
      <c r="A605" s="4" t="s">
        <v>21</v>
      </c>
      <c r="B605" s="4" t="s">
        <v>33</v>
      </c>
      <c r="C605" s="4" t="s">
        <v>34</v>
      </c>
      <c r="D605" s="4" t="s">
        <v>50</v>
      </c>
      <c r="E605" s="4" t="s">
        <v>51</v>
      </c>
      <c r="F605" s="4" t="s">
        <v>25</v>
      </c>
      <c r="G605" s="4" t="s">
        <v>25</v>
      </c>
      <c r="H605" s="4" t="s">
        <v>37</v>
      </c>
      <c r="I605" s="5">
        <v>44562</v>
      </c>
      <c r="J605" s="6">
        <v>0</v>
      </c>
      <c r="K605" s="6">
        <v>0</v>
      </c>
      <c r="L605" s="6">
        <v>49.811999999999998</v>
      </c>
      <c r="M605" s="6">
        <v>46.823279999999997</v>
      </c>
      <c r="N605" s="6">
        <v>49.811999999999998</v>
      </c>
      <c r="O605" s="6">
        <v>46.823279999999997</v>
      </c>
      <c r="P605" s="6">
        <v>0</v>
      </c>
      <c r="Q605" s="4" t="s">
        <v>26</v>
      </c>
      <c r="R605" s="4">
        <v>0</v>
      </c>
      <c r="S605" s="4" t="s">
        <v>185</v>
      </c>
      <c r="T605" s="4" t="s">
        <v>406</v>
      </c>
      <c r="U605" s="4">
        <v>0</v>
      </c>
      <c r="V605" s="4">
        <v>19</v>
      </c>
      <c r="W605" s="4">
        <v>65</v>
      </c>
    </row>
    <row r="606" spans="1:23" ht="11.25" customHeight="1" x14ac:dyDescent="0.25">
      <c r="A606" s="4" t="s">
        <v>21</v>
      </c>
      <c r="B606" s="4" t="s">
        <v>33</v>
      </c>
      <c r="C606" s="4" t="s">
        <v>34</v>
      </c>
      <c r="D606" s="4" t="s">
        <v>50</v>
      </c>
      <c r="E606" s="4" t="s">
        <v>51</v>
      </c>
      <c r="F606" s="4" t="s">
        <v>25</v>
      </c>
      <c r="G606" s="4" t="s">
        <v>25</v>
      </c>
      <c r="H606" s="4" t="s">
        <v>37</v>
      </c>
      <c r="I606" s="5">
        <v>44593</v>
      </c>
      <c r="J606" s="6">
        <v>0</v>
      </c>
      <c r="K606" s="6">
        <v>0</v>
      </c>
      <c r="L606" s="6">
        <v>47.137999999999998</v>
      </c>
      <c r="M606" s="6">
        <v>44.309719999999999</v>
      </c>
      <c r="N606" s="6">
        <v>47.137999999999998</v>
      </c>
      <c r="O606" s="6">
        <v>44.309719999999999</v>
      </c>
      <c r="P606" s="6">
        <v>0</v>
      </c>
      <c r="Q606" s="4" t="s">
        <v>26</v>
      </c>
      <c r="R606" s="4">
        <v>0</v>
      </c>
      <c r="S606" s="4" t="s">
        <v>186</v>
      </c>
      <c r="T606" s="4" t="s">
        <v>407</v>
      </c>
      <c r="U606" s="4">
        <v>0</v>
      </c>
      <c r="V606" s="4">
        <v>19</v>
      </c>
      <c r="W606" s="4">
        <v>65</v>
      </c>
    </row>
    <row r="607" spans="1:23" ht="11.25" customHeight="1" x14ac:dyDescent="0.25">
      <c r="A607" s="4" t="s">
        <v>21</v>
      </c>
      <c r="B607" s="4" t="s">
        <v>33</v>
      </c>
      <c r="C607" s="4" t="s">
        <v>34</v>
      </c>
      <c r="D607" s="4" t="s">
        <v>50</v>
      </c>
      <c r="E607" s="4" t="s">
        <v>51</v>
      </c>
      <c r="F607" s="4" t="s">
        <v>25</v>
      </c>
      <c r="G607" s="4" t="s">
        <v>25</v>
      </c>
      <c r="H607" s="4" t="s">
        <v>37</v>
      </c>
      <c r="I607" s="5">
        <v>44621</v>
      </c>
      <c r="J607" s="6">
        <v>0</v>
      </c>
      <c r="K607" s="6">
        <v>0</v>
      </c>
      <c r="L607" s="6">
        <v>44.237000000000002</v>
      </c>
      <c r="M607" s="6">
        <v>41.58278</v>
      </c>
      <c r="N607" s="6">
        <v>44.237000000000002</v>
      </c>
      <c r="O607" s="6">
        <v>41.58278</v>
      </c>
      <c r="P607" s="6">
        <v>0</v>
      </c>
      <c r="Q607" s="4" t="s">
        <v>26</v>
      </c>
      <c r="R607" s="4">
        <v>0</v>
      </c>
      <c r="S607" s="4" t="s">
        <v>187</v>
      </c>
      <c r="T607" s="4" t="s">
        <v>408</v>
      </c>
      <c r="U607" s="4">
        <v>0</v>
      </c>
      <c r="V607" s="4">
        <v>19</v>
      </c>
      <c r="W607" s="4">
        <v>65</v>
      </c>
    </row>
    <row r="608" spans="1:23" ht="11.25" customHeight="1" x14ac:dyDescent="0.25">
      <c r="A608" s="4" t="s">
        <v>21</v>
      </c>
      <c r="B608" s="4" t="s">
        <v>33</v>
      </c>
      <c r="C608" s="4" t="s">
        <v>34</v>
      </c>
      <c r="D608" s="4" t="s">
        <v>50</v>
      </c>
      <c r="E608" s="4" t="s">
        <v>51</v>
      </c>
      <c r="F608" s="4" t="s">
        <v>25</v>
      </c>
      <c r="G608" s="4" t="s">
        <v>25</v>
      </c>
      <c r="H608" s="4" t="s">
        <v>37</v>
      </c>
      <c r="I608" s="5">
        <v>44652</v>
      </c>
      <c r="J608" s="6">
        <v>0</v>
      </c>
      <c r="K608" s="6">
        <v>0</v>
      </c>
      <c r="L608" s="6">
        <v>45.927999999999997</v>
      </c>
      <c r="M608" s="6">
        <v>43.172319999999999</v>
      </c>
      <c r="N608" s="6">
        <v>45.927999999999997</v>
      </c>
      <c r="O608" s="6">
        <v>43.172319999999999</v>
      </c>
      <c r="P608" s="6">
        <v>0</v>
      </c>
      <c r="Q608" s="4" t="s">
        <v>26</v>
      </c>
      <c r="R608" s="4">
        <v>0</v>
      </c>
      <c r="S608" s="4" t="s">
        <v>188</v>
      </c>
      <c r="T608" s="4" t="s">
        <v>409</v>
      </c>
      <c r="U608" s="4">
        <v>0</v>
      </c>
      <c r="V608" s="4">
        <v>19</v>
      </c>
      <c r="W608" s="4">
        <v>65</v>
      </c>
    </row>
    <row r="609" spans="1:23" ht="11.25" customHeight="1" x14ac:dyDescent="0.25">
      <c r="A609" s="4" t="s">
        <v>21</v>
      </c>
      <c r="B609" s="4" t="s">
        <v>33</v>
      </c>
      <c r="C609" s="4" t="s">
        <v>34</v>
      </c>
      <c r="D609" s="4" t="s">
        <v>50</v>
      </c>
      <c r="E609" s="4" t="s">
        <v>51</v>
      </c>
      <c r="F609" s="4" t="s">
        <v>25</v>
      </c>
      <c r="G609" s="4" t="s">
        <v>25</v>
      </c>
      <c r="H609" s="4" t="s">
        <v>37</v>
      </c>
      <c r="I609" s="5">
        <v>44682</v>
      </c>
      <c r="J609" s="6">
        <v>0</v>
      </c>
      <c r="K609" s="6">
        <v>0</v>
      </c>
      <c r="L609" s="6">
        <v>52.463999999999999</v>
      </c>
      <c r="M609" s="6">
        <v>49.316160000000004</v>
      </c>
      <c r="N609" s="6">
        <v>52.463999999999999</v>
      </c>
      <c r="O609" s="6">
        <v>49.316160000000004</v>
      </c>
      <c r="P609" s="6">
        <v>0</v>
      </c>
      <c r="Q609" s="4" t="s">
        <v>26</v>
      </c>
      <c r="R609" s="4">
        <v>0</v>
      </c>
      <c r="S609" s="4" t="s">
        <v>189</v>
      </c>
      <c r="T609" s="4" t="s">
        <v>410</v>
      </c>
      <c r="U609" s="4">
        <v>0</v>
      </c>
      <c r="V609" s="4">
        <v>19</v>
      </c>
      <c r="W609" s="4">
        <v>65</v>
      </c>
    </row>
    <row r="610" spans="1:23" ht="11.25" customHeight="1" x14ac:dyDescent="0.25">
      <c r="A610" s="4" t="s">
        <v>21</v>
      </c>
      <c r="B610" s="4" t="s">
        <v>22</v>
      </c>
      <c r="C610" s="4" t="s">
        <v>36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35</v>
      </c>
      <c r="I610" s="5">
        <v>44348</v>
      </c>
      <c r="J610" s="6">
        <v>0</v>
      </c>
      <c r="K610" s="6">
        <v>0</v>
      </c>
      <c r="L610" s="6">
        <v>2.1080000000000001</v>
      </c>
      <c r="M610" s="6">
        <v>2.1080000000000001</v>
      </c>
      <c r="N610" s="6">
        <v>2.1080000000000001</v>
      </c>
      <c r="O610" s="6">
        <v>2.1080000000000001</v>
      </c>
      <c r="P610" s="6">
        <v>0</v>
      </c>
      <c r="Q610" s="4" t="s">
        <v>26</v>
      </c>
      <c r="R610" s="4">
        <v>0</v>
      </c>
      <c r="S610" s="4" t="s">
        <v>190</v>
      </c>
      <c r="T610" s="4" t="s">
        <v>412</v>
      </c>
      <c r="U610" s="4">
        <v>0</v>
      </c>
      <c r="V610" s="4">
        <v>29</v>
      </c>
      <c r="W610" s="4">
        <v>70</v>
      </c>
    </row>
    <row r="611" spans="1:23" ht="11.25" customHeight="1" x14ac:dyDescent="0.25">
      <c r="A611" s="4" t="s">
        <v>21</v>
      </c>
      <c r="B611" s="4" t="s">
        <v>22</v>
      </c>
      <c r="C611" s="4" t="s">
        <v>36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35</v>
      </c>
      <c r="I611" s="5">
        <v>44378</v>
      </c>
      <c r="J611" s="6">
        <v>0</v>
      </c>
      <c r="K611" s="6">
        <v>0</v>
      </c>
      <c r="L611" s="6">
        <v>2.0760000000000001</v>
      </c>
      <c r="M611" s="6">
        <v>2.0760000000000001</v>
      </c>
      <c r="N611" s="6">
        <v>2.0760000000000001</v>
      </c>
      <c r="O611" s="6">
        <v>2.0760000000000001</v>
      </c>
      <c r="P611" s="6">
        <v>0</v>
      </c>
      <c r="Q611" s="4" t="s">
        <v>26</v>
      </c>
      <c r="R611" s="4">
        <v>0</v>
      </c>
      <c r="S611" s="4" t="s">
        <v>191</v>
      </c>
      <c r="T611" s="4" t="s">
        <v>413</v>
      </c>
      <c r="U611" s="4">
        <v>0</v>
      </c>
      <c r="V611" s="4">
        <v>29</v>
      </c>
      <c r="W611" s="4">
        <v>70</v>
      </c>
    </row>
    <row r="612" spans="1:23" ht="11.25" customHeight="1" x14ac:dyDescent="0.25">
      <c r="A612" s="4" t="s">
        <v>21</v>
      </c>
      <c r="B612" s="4" t="s">
        <v>22</v>
      </c>
      <c r="C612" s="4" t="s">
        <v>36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35</v>
      </c>
      <c r="I612" s="5">
        <v>44409</v>
      </c>
      <c r="J612" s="6">
        <v>0</v>
      </c>
      <c r="K612" s="6">
        <v>0</v>
      </c>
      <c r="L612" s="6">
        <v>1.903</v>
      </c>
      <c r="M612" s="6">
        <v>1.903</v>
      </c>
      <c r="N612" s="6">
        <v>1.903</v>
      </c>
      <c r="O612" s="6">
        <v>1.903</v>
      </c>
      <c r="P612" s="6">
        <v>0</v>
      </c>
      <c r="Q612" s="4" t="s">
        <v>26</v>
      </c>
      <c r="R612" s="4">
        <v>0</v>
      </c>
      <c r="S612" s="4" t="s">
        <v>192</v>
      </c>
      <c r="T612" s="4" t="s">
        <v>414</v>
      </c>
      <c r="U612" s="4">
        <v>0</v>
      </c>
      <c r="V612" s="4">
        <v>29</v>
      </c>
      <c r="W612" s="4">
        <v>70</v>
      </c>
    </row>
    <row r="613" spans="1:23" ht="11.25" customHeight="1" x14ac:dyDescent="0.25">
      <c r="A613" s="4" t="s">
        <v>21</v>
      </c>
      <c r="B613" s="4" t="s">
        <v>22</v>
      </c>
      <c r="C613" s="4" t="s">
        <v>36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35</v>
      </c>
      <c r="I613" s="5">
        <v>44440</v>
      </c>
      <c r="J613" s="6">
        <v>0</v>
      </c>
      <c r="K613" s="6">
        <v>0</v>
      </c>
      <c r="L613" s="6">
        <v>1.9359999999999999</v>
      </c>
      <c r="M613" s="6">
        <v>1.9359999999999999</v>
      </c>
      <c r="N613" s="6">
        <v>1.9359999999999999</v>
      </c>
      <c r="O613" s="6">
        <v>1.9359999999999999</v>
      </c>
      <c r="P613" s="6">
        <v>0</v>
      </c>
      <c r="Q613" s="4" t="s">
        <v>26</v>
      </c>
      <c r="R613" s="4">
        <v>0</v>
      </c>
      <c r="S613" s="4" t="s">
        <v>193</v>
      </c>
      <c r="T613" s="4" t="s">
        <v>415</v>
      </c>
      <c r="U613" s="4">
        <v>0</v>
      </c>
      <c r="V613" s="4">
        <v>29</v>
      </c>
      <c r="W613" s="4">
        <v>70</v>
      </c>
    </row>
    <row r="614" spans="1:23" ht="11.25" customHeight="1" x14ac:dyDescent="0.25">
      <c r="A614" s="4" t="s">
        <v>21</v>
      </c>
      <c r="B614" s="4" t="s">
        <v>22</v>
      </c>
      <c r="C614" s="4" t="s">
        <v>36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35</v>
      </c>
      <c r="I614" s="5">
        <v>44470</v>
      </c>
      <c r="J614" s="6">
        <v>0</v>
      </c>
      <c r="K614" s="6">
        <v>0</v>
      </c>
      <c r="L614" s="6">
        <v>1.9530000000000001</v>
      </c>
      <c r="M614" s="6">
        <v>1.9530000000000001</v>
      </c>
      <c r="N614" s="6">
        <v>1.9530000000000001</v>
      </c>
      <c r="O614" s="6">
        <v>1.9530000000000001</v>
      </c>
      <c r="P614" s="6">
        <v>0</v>
      </c>
      <c r="Q614" s="4" t="s">
        <v>26</v>
      </c>
      <c r="R614" s="4">
        <v>0</v>
      </c>
      <c r="S614" s="4" t="s">
        <v>194</v>
      </c>
      <c r="T614" s="4" t="s">
        <v>416</v>
      </c>
      <c r="U614" s="4">
        <v>0</v>
      </c>
      <c r="V614" s="4">
        <v>29</v>
      </c>
      <c r="W614" s="4">
        <v>70</v>
      </c>
    </row>
    <row r="615" spans="1:23" ht="11.25" customHeight="1" x14ac:dyDescent="0.25">
      <c r="A615" s="4" t="s">
        <v>21</v>
      </c>
      <c r="B615" s="4" t="s">
        <v>22</v>
      </c>
      <c r="C615" s="4" t="s">
        <v>36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35</v>
      </c>
      <c r="I615" s="5">
        <v>44501</v>
      </c>
      <c r="J615" s="6">
        <v>0</v>
      </c>
      <c r="K615" s="6">
        <v>0</v>
      </c>
      <c r="L615" s="6">
        <v>2.177</v>
      </c>
      <c r="M615" s="6">
        <v>2.177</v>
      </c>
      <c r="N615" s="6">
        <v>2.177</v>
      </c>
      <c r="O615" s="6">
        <v>2.177</v>
      </c>
      <c r="P615" s="6">
        <v>0</v>
      </c>
      <c r="Q615" s="4" t="s">
        <v>26</v>
      </c>
      <c r="R615" s="4">
        <v>0</v>
      </c>
      <c r="S615" s="4" t="s">
        <v>195</v>
      </c>
      <c r="T615" s="4" t="s">
        <v>417</v>
      </c>
      <c r="U615" s="4">
        <v>0</v>
      </c>
      <c r="V615" s="4">
        <v>29</v>
      </c>
      <c r="W615" s="4">
        <v>70</v>
      </c>
    </row>
    <row r="616" spans="1:23" ht="11.25" customHeight="1" x14ac:dyDescent="0.25">
      <c r="A616" s="4" t="s">
        <v>21</v>
      </c>
      <c r="B616" s="4" t="s">
        <v>22</v>
      </c>
      <c r="C616" s="4" t="s">
        <v>36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35</v>
      </c>
      <c r="I616" s="5">
        <v>44531</v>
      </c>
      <c r="J616" s="6">
        <v>0</v>
      </c>
      <c r="K616" s="6">
        <v>0</v>
      </c>
      <c r="L616" s="6">
        <v>2.2120000000000002</v>
      </c>
      <c r="M616" s="6">
        <v>2.2120000000000002</v>
      </c>
      <c r="N616" s="6">
        <v>2.2120000000000002</v>
      </c>
      <c r="O616" s="6">
        <v>2.2120000000000002</v>
      </c>
      <c r="P616" s="6">
        <v>0</v>
      </c>
      <c r="Q616" s="4" t="s">
        <v>26</v>
      </c>
      <c r="R616" s="4">
        <v>0</v>
      </c>
      <c r="S616" s="4" t="s">
        <v>196</v>
      </c>
      <c r="T616" s="4" t="s">
        <v>418</v>
      </c>
      <c r="U616" s="4">
        <v>0</v>
      </c>
      <c r="V616" s="4">
        <v>29</v>
      </c>
      <c r="W616" s="4">
        <v>70</v>
      </c>
    </row>
    <row r="617" spans="1:23" ht="11.25" customHeight="1" x14ac:dyDescent="0.25">
      <c r="A617" s="4" t="s">
        <v>21</v>
      </c>
      <c r="B617" s="4" t="s">
        <v>22</v>
      </c>
      <c r="C617" s="4" t="s">
        <v>36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35</v>
      </c>
      <c r="I617" s="5">
        <v>44562</v>
      </c>
      <c r="J617" s="6">
        <v>0</v>
      </c>
      <c r="K617" s="6">
        <v>0</v>
      </c>
      <c r="L617" s="6">
        <v>1.9159999999999999</v>
      </c>
      <c r="M617" s="6">
        <v>1.9159999999999999</v>
      </c>
      <c r="N617" s="6">
        <v>1.9159999999999999</v>
      </c>
      <c r="O617" s="6">
        <v>1.9159999999999999</v>
      </c>
      <c r="P617" s="6">
        <v>0</v>
      </c>
      <c r="Q617" s="4" t="s">
        <v>26</v>
      </c>
      <c r="R617" s="4">
        <v>0</v>
      </c>
      <c r="S617" s="4" t="s">
        <v>197</v>
      </c>
      <c r="T617" s="4" t="s">
        <v>419</v>
      </c>
      <c r="U617" s="4">
        <v>0</v>
      </c>
      <c r="V617" s="4">
        <v>29</v>
      </c>
      <c r="W617" s="4">
        <v>70</v>
      </c>
    </row>
    <row r="618" spans="1:23" ht="11.25" customHeight="1" x14ac:dyDescent="0.25">
      <c r="A618" s="4" t="s">
        <v>21</v>
      </c>
      <c r="B618" s="4" t="s">
        <v>22</v>
      </c>
      <c r="C618" s="4" t="s">
        <v>36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35</v>
      </c>
      <c r="I618" s="5">
        <v>44593</v>
      </c>
      <c r="J618" s="6">
        <v>0</v>
      </c>
      <c r="K618" s="6">
        <v>0</v>
      </c>
      <c r="L618" s="6">
        <v>2.0550000000000002</v>
      </c>
      <c r="M618" s="6">
        <v>2.0550000000000002</v>
      </c>
      <c r="N618" s="6">
        <v>2.0550000000000002</v>
      </c>
      <c r="O618" s="6">
        <v>2.0550000000000002</v>
      </c>
      <c r="P618" s="6">
        <v>0</v>
      </c>
      <c r="Q618" s="4" t="s">
        <v>26</v>
      </c>
      <c r="R618" s="4">
        <v>0</v>
      </c>
      <c r="S618" s="4" t="s">
        <v>198</v>
      </c>
      <c r="T618" s="4" t="s">
        <v>420</v>
      </c>
      <c r="U618" s="4">
        <v>0</v>
      </c>
      <c r="V618" s="4">
        <v>29</v>
      </c>
      <c r="W618" s="4">
        <v>70</v>
      </c>
    </row>
    <row r="619" spans="1:23" ht="11.25" customHeight="1" x14ac:dyDescent="0.25">
      <c r="A619" s="4" t="s">
        <v>21</v>
      </c>
      <c r="B619" s="4" t="s">
        <v>22</v>
      </c>
      <c r="C619" s="4" t="s">
        <v>36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35</v>
      </c>
      <c r="I619" s="5">
        <v>44621</v>
      </c>
      <c r="J619" s="6">
        <v>0</v>
      </c>
      <c r="K619" s="6">
        <v>0</v>
      </c>
      <c r="L619" s="6">
        <v>1.95</v>
      </c>
      <c r="M619" s="6">
        <v>1.95</v>
      </c>
      <c r="N619" s="6">
        <v>1.95</v>
      </c>
      <c r="O619" s="6">
        <v>1.95</v>
      </c>
      <c r="P619" s="6">
        <v>0</v>
      </c>
      <c r="Q619" s="4" t="s">
        <v>26</v>
      </c>
      <c r="R619" s="4">
        <v>0</v>
      </c>
      <c r="S619" s="4" t="s">
        <v>199</v>
      </c>
      <c r="T619" s="4" t="s">
        <v>421</v>
      </c>
      <c r="U619" s="4">
        <v>0</v>
      </c>
      <c r="V619" s="4">
        <v>29</v>
      </c>
      <c r="W619" s="4">
        <v>70</v>
      </c>
    </row>
    <row r="620" spans="1:23" ht="11.25" customHeight="1" x14ac:dyDescent="0.25">
      <c r="A620" s="4" t="s">
        <v>21</v>
      </c>
      <c r="B620" s="4" t="s">
        <v>22</v>
      </c>
      <c r="C620" s="4" t="s">
        <v>36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35</v>
      </c>
      <c r="I620" s="5">
        <v>44652</v>
      </c>
      <c r="J620" s="6">
        <v>0</v>
      </c>
      <c r="K620" s="6">
        <v>0</v>
      </c>
      <c r="L620" s="6">
        <v>1.927</v>
      </c>
      <c r="M620" s="6">
        <v>1.927</v>
      </c>
      <c r="N620" s="6">
        <v>1.927</v>
      </c>
      <c r="O620" s="6">
        <v>1.927</v>
      </c>
      <c r="P620" s="6">
        <v>0</v>
      </c>
      <c r="Q620" s="4" t="s">
        <v>26</v>
      </c>
      <c r="R620" s="4">
        <v>0</v>
      </c>
      <c r="S620" s="4" t="s">
        <v>200</v>
      </c>
      <c r="T620" s="4" t="s">
        <v>422</v>
      </c>
      <c r="U620" s="4">
        <v>0</v>
      </c>
      <c r="V620" s="4">
        <v>29</v>
      </c>
      <c r="W620" s="4">
        <v>70</v>
      </c>
    </row>
    <row r="621" spans="1:23" ht="11.25" customHeight="1" x14ac:dyDescent="0.25">
      <c r="A621" s="4" t="s">
        <v>21</v>
      </c>
      <c r="B621" s="4" t="s">
        <v>22</v>
      </c>
      <c r="C621" s="4" t="s">
        <v>36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35</v>
      </c>
      <c r="I621" s="5">
        <v>44682</v>
      </c>
      <c r="J621" s="6">
        <v>0</v>
      </c>
      <c r="K621" s="6">
        <v>0</v>
      </c>
      <c r="L621" s="6">
        <v>1.7849999999999999</v>
      </c>
      <c r="M621" s="6">
        <v>1.7849999999999999</v>
      </c>
      <c r="N621" s="6">
        <v>1.7849999999999999</v>
      </c>
      <c r="O621" s="6">
        <v>1.7849999999999999</v>
      </c>
      <c r="P621" s="6">
        <v>0</v>
      </c>
      <c r="Q621" s="4" t="s">
        <v>26</v>
      </c>
      <c r="R621" s="4">
        <v>0</v>
      </c>
      <c r="S621" s="4" t="s">
        <v>201</v>
      </c>
      <c r="T621" s="4" t="s">
        <v>423</v>
      </c>
      <c r="U621" s="4">
        <v>0</v>
      </c>
      <c r="V621" s="4">
        <v>29</v>
      </c>
      <c r="W621" s="4">
        <v>70</v>
      </c>
    </row>
    <row r="622" spans="1:23" ht="11.25" customHeight="1" x14ac:dyDescent="0.25">
      <c r="A622" s="4" t="s">
        <v>21</v>
      </c>
      <c r="B622" s="4" t="s">
        <v>22</v>
      </c>
      <c r="C622" s="4" t="s">
        <v>36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38</v>
      </c>
      <c r="I622" s="5">
        <v>44348</v>
      </c>
      <c r="J622" s="6">
        <v>0</v>
      </c>
      <c r="K622" s="6">
        <v>0</v>
      </c>
      <c r="L622" s="6">
        <v>0.155</v>
      </c>
      <c r="M622" s="6">
        <v>0.155</v>
      </c>
      <c r="N622" s="6">
        <v>0.155</v>
      </c>
      <c r="O622" s="6">
        <v>0.155</v>
      </c>
      <c r="P622" s="6">
        <v>0</v>
      </c>
      <c r="Q622" s="4" t="s">
        <v>26</v>
      </c>
      <c r="R622" s="4">
        <v>0</v>
      </c>
      <c r="S622" s="4" t="s">
        <v>202</v>
      </c>
      <c r="T622" s="4" t="s">
        <v>424</v>
      </c>
      <c r="U622" s="4">
        <v>0</v>
      </c>
      <c r="V622" s="4">
        <v>28</v>
      </c>
      <c r="W622" s="4">
        <v>69</v>
      </c>
    </row>
    <row r="623" spans="1:23" ht="11.25" customHeight="1" x14ac:dyDescent="0.25">
      <c r="A623" s="4" t="s">
        <v>21</v>
      </c>
      <c r="B623" s="4" t="s">
        <v>22</v>
      </c>
      <c r="C623" s="4" t="s">
        <v>36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38</v>
      </c>
      <c r="I623" s="5">
        <v>44378</v>
      </c>
      <c r="J623" s="6">
        <v>0</v>
      </c>
      <c r="K623" s="6">
        <v>0</v>
      </c>
      <c r="L623" s="6">
        <v>0.17699999999999999</v>
      </c>
      <c r="M623" s="6">
        <v>0.17699999999999999</v>
      </c>
      <c r="N623" s="6">
        <v>0.17699999999999999</v>
      </c>
      <c r="O623" s="6">
        <v>0.17699999999999999</v>
      </c>
      <c r="P623" s="6">
        <v>0</v>
      </c>
      <c r="Q623" s="4" t="s">
        <v>26</v>
      </c>
      <c r="R623" s="4">
        <v>0</v>
      </c>
      <c r="S623" s="4" t="s">
        <v>203</v>
      </c>
      <c r="T623" s="4" t="s">
        <v>425</v>
      </c>
      <c r="U623" s="4">
        <v>0</v>
      </c>
      <c r="V623" s="4">
        <v>28</v>
      </c>
      <c r="W623" s="4">
        <v>69</v>
      </c>
    </row>
    <row r="624" spans="1:23" ht="11.25" customHeight="1" x14ac:dyDescent="0.25">
      <c r="A624" s="4" t="s">
        <v>21</v>
      </c>
      <c r="B624" s="4" t="s">
        <v>22</v>
      </c>
      <c r="C624" s="4" t="s">
        <v>36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38</v>
      </c>
      <c r="I624" s="5">
        <v>44409</v>
      </c>
      <c r="J624" s="6">
        <v>0</v>
      </c>
      <c r="K624" s="6">
        <v>0</v>
      </c>
      <c r="L624" s="6">
        <v>0.14000000000000001</v>
      </c>
      <c r="M624" s="6">
        <v>0.14000000000000001</v>
      </c>
      <c r="N624" s="6">
        <v>0.14000000000000001</v>
      </c>
      <c r="O624" s="6">
        <v>0.14000000000000001</v>
      </c>
      <c r="P624" s="6">
        <v>0</v>
      </c>
      <c r="Q624" s="4" t="s">
        <v>26</v>
      </c>
      <c r="R624" s="4">
        <v>0</v>
      </c>
      <c r="S624" s="4" t="s">
        <v>204</v>
      </c>
      <c r="T624" s="4" t="s">
        <v>426</v>
      </c>
      <c r="U624" s="4">
        <v>0</v>
      </c>
      <c r="V624" s="4">
        <v>28</v>
      </c>
      <c r="W624" s="4">
        <v>69</v>
      </c>
    </row>
    <row r="625" spans="1:23" ht="11.25" customHeight="1" x14ac:dyDescent="0.25">
      <c r="A625" s="4" t="s">
        <v>21</v>
      </c>
      <c r="B625" s="4" t="s">
        <v>22</v>
      </c>
      <c r="C625" s="4" t="s">
        <v>36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38</v>
      </c>
      <c r="I625" s="5">
        <v>44440</v>
      </c>
      <c r="J625" s="6">
        <v>0</v>
      </c>
      <c r="K625" s="6">
        <v>0</v>
      </c>
      <c r="L625" s="6">
        <v>0.13500000000000001</v>
      </c>
      <c r="M625" s="6">
        <v>0.13500000000000001</v>
      </c>
      <c r="N625" s="6">
        <v>0.13500000000000001</v>
      </c>
      <c r="O625" s="6">
        <v>0.13500000000000001</v>
      </c>
      <c r="P625" s="6">
        <v>0</v>
      </c>
      <c r="Q625" s="4" t="s">
        <v>26</v>
      </c>
      <c r="R625" s="4">
        <v>0</v>
      </c>
      <c r="S625" s="4" t="s">
        <v>205</v>
      </c>
      <c r="T625" s="4" t="s">
        <v>427</v>
      </c>
      <c r="U625" s="4">
        <v>0</v>
      </c>
      <c r="V625" s="4">
        <v>28</v>
      </c>
      <c r="W625" s="4">
        <v>69</v>
      </c>
    </row>
    <row r="626" spans="1:23" ht="11.25" customHeight="1" x14ac:dyDescent="0.25">
      <c r="A626" s="4" t="s">
        <v>21</v>
      </c>
      <c r="B626" s="4" t="s">
        <v>22</v>
      </c>
      <c r="C626" s="4" t="s">
        <v>36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38</v>
      </c>
      <c r="I626" s="5">
        <v>44470</v>
      </c>
      <c r="J626" s="6">
        <v>0</v>
      </c>
      <c r="K626" s="6">
        <v>0</v>
      </c>
      <c r="L626" s="6">
        <v>0.13600000000000001</v>
      </c>
      <c r="M626" s="6">
        <v>0.13600000000000001</v>
      </c>
      <c r="N626" s="6">
        <v>0.13600000000000001</v>
      </c>
      <c r="O626" s="6">
        <v>0.13600000000000001</v>
      </c>
      <c r="P626" s="6">
        <v>0</v>
      </c>
      <c r="Q626" s="4" t="s">
        <v>26</v>
      </c>
      <c r="R626" s="4">
        <v>0</v>
      </c>
      <c r="S626" s="4" t="s">
        <v>206</v>
      </c>
      <c r="T626" s="4" t="s">
        <v>428</v>
      </c>
      <c r="U626" s="4">
        <v>0</v>
      </c>
      <c r="V626" s="4">
        <v>28</v>
      </c>
      <c r="W626" s="4">
        <v>69</v>
      </c>
    </row>
    <row r="627" spans="1:23" ht="11.25" customHeight="1" x14ac:dyDescent="0.25">
      <c r="A627" s="4" t="s">
        <v>21</v>
      </c>
      <c r="B627" s="4" t="s">
        <v>22</v>
      </c>
      <c r="C627" s="4" t="s">
        <v>36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38</v>
      </c>
      <c r="I627" s="5">
        <v>44501</v>
      </c>
      <c r="J627" s="6">
        <v>0</v>
      </c>
      <c r="K627" s="6">
        <v>0</v>
      </c>
      <c r="L627" s="6">
        <v>1.1850000000000001</v>
      </c>
      <c r="M627" s="6">
        <v>1.1850000000000001</v>
      </c>
      <c r="N627" s="6">
        <v>1.1850000000000001</v>
      </c>
      <c r="O627" s="6">
        <v>1.1850000000000001</v>
      </c>
      <c r="P627" s="6">
        <v>0</v>
      </c>
      <c r="Q627" s="4" t="s">
        <v>26</v>
      </c>
      <c r="R627" s="4">
        <v>0</v>
      </c>
      <c r="S627" s="4" t="s">
        <v>207</v>
      </c>
      <c r="T627" s="4" t="s">
        <v>429</v>
      </c>
      <c r="U627" s="4">
        <v>0</v>
      </c>
      <c r="V627" s="4">
        <v>28</v>
      </c>
      <c r="W627" s="4">
        <v>69</v>
      </c>
    </row>
    <row r="628" spans="1:23" ht="11.25" customHeight="1" x14ac:dyDescent="0.25">
      <c r="A628" s="4" t="s">
        <v>21</v>
      </c>
      <c r="B628" s="4" t="s">
        <v>22</v>
      </c>
      <c r="C628" s="4" t="s">
        <v>36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38</v>
      </c>
      <c r="I628" s="5">
        <v>44531</v>
      </c>
      <c r="J628" s="6">
        <v>0</v>
      </c>
      <c r="K628" s="6">
        <v>0</v>
      </c>
      <c r="L628" s="6">
        <v>0.124</v>
      </c>
      <c r="M628" s="6">
        <v>0.124</v>
      </c>
      <c r="N628" s="6">
        <v>0.124</v>
      </c>
      <c r="O628" s="6">
        <v>0.124</v>
      </c>
      <c r="P628" s="6">
        <v>0</v>
      </c>
      <c r="Q628" s="4" t="s">
        <v>26</v>
      </c>
      <c r="R628" s="4">
        <v>0</v>
      </c>
      <c r="S628" s="4" t="s">
        <v>208</v>
      </c>
      <c r="T628" s="4" t="s">
        <v>430</v>
      </c>
      <c r="U628" s="4">
        <v>0</v>
      </c>
      <c r="V628" s="4">
        <v>28</v>
      </c>
      <c r="W628" s="4">
        <v>69</v>
      </c>
    </row>
    <row r="629" spans="1:23" ht="11.25" customHeight="1" x14ac:dyDescent="0.25">
      <c r="A629" s="4" t="s">
        <v>21</v>
      </c>
      <c r="B629" s="4" t="s">
        <v>22</v>
      </c>
      <c r="C629" s="4" t="s">
        <v>36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38</v>
      </c>
      <c r="I629" s="5">
        <v>44562</v>
      </c>
      <c r="J629" s="6">
        <v>0</v>
      </c>
      <c r="K629" s="6">
        <v>0</v>
      </c>
      <c r="L629" s="6">
        <v>0.13200000000000001</v>
      </c>
      <c r="M629" s="6">
        <v>0.13200000000000001</v>
      </c>
      <c r="N629" s="6">
        <v>0.13200000000000001</v>
      </c>
      <c r="O629" s="6">
        <v>0.13200000000000001</v>
      </c>
      <c r="P629" s="6">
        <v>0</v>
      </c>
      <c r="Q629" s="4" t="s">
        <v>26</v>
      </c>
      <c r="R629" s="4">
        <v>0</v>
      </c>
      <c r="S629" s="4" t="s">
        <v>209</v>
      </c>
      <c r="T629" s="4" t="s">
        <v>431</v>
      </c>
      <c r="U629" s="4">
        <v>0</v>
      </c>
      <c r="V629" s="4">
        <v>28</v>
      </c>
      <c r="W629" s="4">
        <v>69</v>
      </c>
    </row>
    <row r="630" spans="1:23" ht="11.25" customHeight="1" x14ac:dyDescent="0.25">
      <c r="A630" s="4" t="s">
        <v>21</v>
      </c>
      <c r="B630" s="4" t="s">
        <v>22</v>
      </c>
      <c r="C630" s="4" t="s">
        <v>36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38</v>
      </c>
      <c r="I630" s="5">
        <v>44593</v>
      </c>
      <c r="J630" s="6">
        <v>0</v>
      </c>
      <c r="K630" s="6">
        <v>0</v>
      </c>
      <c r="L630" s="6">
        <v>0.13600000000000001</v>
      </c>
      <c r="M630" s="6">
        <v>0.13600000000000001</v>
      </c>
      <c r="N630" s="6">
        <v>0.13600000000000001</v>
      </c>
      <c r="O630" s="6">
        <v>0.13600000000000001</v>
      </c>
      <c r="P630" s="6">
        <v>0</v>
      </c>
      <c r="Q630" s="4" t="s">
        <v>26</v>
      </c>
      <c r="R630" s="4">
        <v>0</v>
      </c>
      <c r="S630" s="4" t="s">
        <v>210</v>
      </c>
      <c r="T630" s="4" t="s">
        <v>432</v>
      </c>
      <c r="U630" s="4">
        <v>0</v>
      </c>
      <c r="V630" s="4">
        <v>28</v>
      </c>
      <c r="W630" s="4">
        <v>69</v>
      </c>
    </row>
    <row r="631" spans="1:23" ht="11.25" customHeight="1" x14ac:dyDescent="0.25">
      <c r="A631" s="4" t="s">
        <v>21</v>
      </c>
      <c r="B631" s="4" t="s">
        <v>22</v>
      </c>
      <c r="C631" s="4" t="s">
        <v>36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38</v>
      </c>
      <c r="I631" s="5">
        <v>44621</v>
      </c>
      <c r="J631" s="6">
        <v>0</v>
      </c>
      <c r="K631" s="6">
        <v>0</v>
      </c>
      <c r="L631" s="6">
        <v>0.11600000000000001</v>
      </c>
      <c r="M631" s="6">
        <v>0.11600000000000001</v>
      </c>
      <c r="N631" s="6">
        <v>0.11600000000000001</v>
      </c>
      <c r="O631" s="6">
        <v>0.11600000000000001</v>
      </c>
      <c r="P631" s="6">
        <v>0</v>
      </c>
      <c r="Q631" s="4" t="s">
        <v>26</v>
      </c>
      <c r="R631" s="4">
        <v>0</v>
      </c>
      <c r="S631" s="4" t="s">
        <v>211</v>
      </c>
      <c r="T631" s="4" t="s">
        <v>433</v>
      </c>
      <c r="U631" s="4">
        <v>0</v>
      </c>
      <c r="V631" s="4">
        <v>28</v>
      </c>
      <c r="W631" s="4">
        <v>69</v>
      </c>
    </row>
    <row r="632" spans="1:23" ht="11.25" customHeight="1" x14ac:dyDescent="0.25">
      <c r="A632" s="4" t="s">
        <v>21</v>
      </c>
      <c r="B632" s="4" t="s">
        <v>22</v>
      </c>
      <c r="C632" s="4" t="s">
        <v>36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38</v>
      </c>
      <c r="I632" s="5">
        <v>44652</v>
      </c>
      <c r="J632" s="6">
        <v>0</v>
      </c>
      <c r="K632" s="6">
        <v>0</v>
      </c>
      <c r="L632" s="6">
        <v>0.125</v>
      </c>
      <c r="M632" s="6">
        <v>0.125</v>
      </c>
      <c r="N632" s="6">
        <v>0.125</v>
      </c>
      <c r="O632" s="6">
        <v>0.125</v>
      </c>
      <c r="P632" s="6">
        <v>0</v>
      </c>
      <c r="Q632" s="4" t="s">
        <v>26</v>
      </c>
      <c r="R632" s="4">
        <v>0</v>
      </c>
      <c r="S632" s="4" t="s">
        <v>212</v>
      </c>
      <c r="T632" s="4" t="s">
        <v>434</v>
      </c>
      <c r="U632" s="4">
        <v>0</v>
      </c>
      <c r="V632" s="4">
        <v>28</v>
      </c>
      <c r="W632" s="4">
        <v>69</v>
      </c>
    </row>
    <row r="633" spans="1:23" ht="11.25" customHeight="1" x14ac:dyDescent="0.25">
      <c r="A633" s="4" t="s">
        <v>21</v>
      </c>
      <c r="B633" s="4" t="s">
        <v>22</v>
      </c>
      <c r="C633" s="4" t="s">
        <v>36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38</v>
      </c>
      <c r="I633" s="5">
        <v>44682</v>
      </c>
      <c r="J633" s="6">
        <v>0</v>
      </c>
      <c r="K633" s="6">
        <v>0</v>
      </c>
      <c r="L633" s="6">
        <v>0.115</v>
      </c>
      <c r="M633" s="6">
        <v>0.115</v>
      </c>
      <c r="N633" s="6">
        <v>0.115</v>
      </c>
      <c r="O633" s="6">
        <v>0.115</v>
      </c>
      <c r="P633" s="6">
        <v>0</v>
      </c>
      <c r="Q633" s="4" t="s">
        <v>26</v>
      </c>
      <c r="R633" s="4">
        <v>0</v>
      </c>
      <c r="S633" s="4" t="s">
        <v>213</v>
      </c>
      <c r="T633" s="4" t="s">
        <v>435</v>
      </c>
      <c r="U633" s="4">
        <v>0</v>
      </c>
      <c r="V633" s="4">
        <v>28</v>
      </c>
      <c r="W633" s="4">
        <v>69</v>
      </c>
    </row>
    <row r="634" spans="1:23" ht="11.25" customHeight="1" x14ac:dyDescent="0.25">
      <c r="A634" s="4" t="s">
        <v>21</v>
      </c>
      <c r="B634" s="4" t="s">
        <v>22</v>
      </c>
      <c r="C634" s="4" t="s">
        <v>36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37</v>
      </c>
      <c r="I634" s="5">
        <v>44348</v>
      </c>
      <c r="J634" s="6">
        <v>0</v>
      </c>
      <c r="K634" s="6">
        <v>0</v>
      </c>
      <c r="L634" s="6">
        <v>0.192</v>
      </c>
      <c r="M634" s="6">
        <v>0.192</v>
      </c>
      <c r="N634" s="6">
        <v>0.192</v>
      </c>
      <c r="O634" s="6">
        <v>0.192</v>
      </c>
      <c r="P634" s="6">
        <v>0</v>
      </c>
      <c r="Q634" s="4" t="s">
        <v>26</v>
      </c>
      <c r="R634" s="4">
        <v>0</v>
      </c>
      <c r="S634" s="4" t="s">
        <v>214</v>
      </c>
      <c r="T634" s="4" t="s">
        <v>436</v>
      </c>
      <c r="U634" s="4">
        <v>0</v>
      </c>
      <c r="V634" s="4">
        <v>27</v>
      </c>
      <c r="W634" s="4">
        <v>68</v>
      </c>
    </row>
    <row r="635" spans="1:23" ht="11.25" customHeight="1" x14ac:dyDescent="0.25">
      <c r="A635" s="4" t="s">
        <v>21</v>
      </c>
      <c r="B635" s="4" t="s">
        <v>22</v>
      </c>
      <c r="C635" s="4" t="s">
        <v>36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37</v>
      </c>
      <c r="I635" s="5">
        <v>44378</v>
      </c>
      <c r="J635" s="6">
        <v>0</v>
      </c>
      <c r="K635" s="6">
        <v>0</v>
      </c>
      <c r="L635" s="6">
        <v>0.16400000000000001</v>
      </c>
      <c r="M635" s="6">
        <v>0.16400000000000001</v>
      </c>
      <c r="N635" s="6">
        <v>0.16400000000000001</v>
      </c>
      <c r="O635" s="6">
        <v>0.16400000000000001</v>
      </c>
      <c r="P635" s="6">
        <v>0</v>
      </c>
      <c r="Q635" s="4" t="s">
        <v>26</v>
      </c>
      <c r="R635" s="4">
        <v>0</v>
      </c>
      <c r="S635" s="4" t="s">
        <v>215</v>
      </c>
      <c r="T635" s="4" t="s">
        <v>437</v>
      </c>
      <c r="U635" s="4">
        <v>0</v>
      </c>
      <c r="V635" s="4">
        <v>27</v>
      </c>
      <c r="W635" s="4">
        <v>68</v>
      </c>
    </row>
    <row r="636" spans="1:23" ht="11.25" customHeight="1" x14ac:dyDescent="0.25">
      <c r="A636" s="4" t="s">
        <v>21</v>
      </c>
      <c r="B636" s="4" t="s">
        <v>22</v>
      </c>
      <c r="C636" s="4" t="s">
        <v>36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37</v>
      </c>
      <c r="I636" s="5">
        <v>44409</v>
      </c>
      <c r="J636" s="6">
        <v>0</v>
      </c>
      <c r="K636" s="6">
        <v>0</v>
      </c>
      <c r="L636" s="6">
        <v>0.153</v>
      </c>
      <c r="M636" s="6">
        <v>0.153</v>
      </c>
      <c r="N636" s="6">
        <v>0.153</v>
      </c>
      <c r="O636" s="6">
        <v>0.153</v>
      </c>
      <c r="P636" s="6">
        <v>0</v>
      </c>
      <c r="Q636" s="4" t="s">
        <v>26</v>
      </c>
      <c r="R636" s="4">
        <v>0</v>
      </c>
      <c r="S636" s="4" t="s">
        <v>216</v>
      </c>
      <c r="T636" s="4" t="s">
        <v>438</v>
      </c>
      <c r="U636" s="4">
        <v>0</v>
      </c>
      <c r="V636" s="4">
        <v>27</v>
      </c>
      <c r="W636" s="4">
        <v>68</v>
      </c>
    </row>
    <row r="637" spans="1:23" ht="11.25" customHeight="1" x14ac:dyDescent="0.25">
      <c r="A637" s="4" t="s">
        <v>21</v>
      </c>
      <c r="B637" s="4" t="s">
        <v>22</v>
      </c>
      <c r="C637" s="4" t="s">
        <v>36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37</v>
      </c>
      <c r="I637" s="5">
        <v>44440</v>
      </c>
      <c r="J637" s="6">
        <v>0</v>
      </c>
      <c r="K637" s="6">
        <v>0</v>
      </c>
      <c r="L637" s="6">
        <v>0.16200000000000001</v>
      </c>
      <c r="M637" s="6">
        <v>0.16200000000000001</v>
      </c>
      <c r="N637" s="6">
        <v>0.16200000000000001</v>
      </c>
      <c r="O637" s="6">
        <v>0.16200000000000001</v>
      </c>
      <c r="P637" s="6">
        <v>0</v>
      </c>
      <c r="Q637" s="4" t="s">
        <v>26</v>
      </c>
      <c r="R637" s="4">
        <v>0</v>
      </c>
      <c r="S637" s="4" t="s">
        <v>217</v>
      </c>
      <c r="T637" s="4" t="s">
        <v>439</v>
      </c>
      <c r="U637" s="4">
        <v>0</v>
      </c>
      <c r="V637" s="4">
        <v>27</v>
      </c>
      <c r="W637" s="4">
        <v>68</v>
      </c>
    </row>
    <row r="638" spans="1:23" ht="11.25" customHeight="1" x14ac:dyDescent="0.25">
      <c r="A638" s="4" t="s">
        <v>21</v>
      </c>
      <c r="B638" s="4" t="s">
        <v>22</v>
      </c>
      <c r="C638" s="4" t="s">
        <v>36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37</v>
      </c>
      <c r="I638" s="5">
        <v>44470</v>
      </c>
      <c r="J638" s="6">
        <v>0</v>
      </c>
      <c r="K638" s="6">
        <v>0</v>
      </c>
      <c r="L638" s="6">
        <v>0.33600000000000002</v>
      </c>
      <c r="M638" s="6">
        <v>0.33600000000000002</v>
      </c>
      <c r="N638" s="6">
        <v>0.33600000000000002</v>
      </c>
      <c r="O638" s="6">
        <v>0.33600000000000002</v>
      </c>
      <c r="P638" s="6">
        <v>0</v>
      </c>
      <c r="Q638" s="4" t="s">
        <v>26</v>
      </c>
      <c r="R638" s="4">
        <v>0</v>
      </c>
      <c r="S638" s="4" t="s">
        <v>218</v>
      </c>
      <c r="T638" s="4" t="s">
        <v>440</v>
      </c>
      <c r="U638" s="4">
        <v>0</v>
      </c>
      <c r="V638" s="4">
        <v>27</v>
      </c>
      <c r="W638" s="4">
        <v>68</v>
      </c>
    </row>
    <row r="639" spans="1:23" ht="11.25" customHeight="1" x14ac:dyDescent="0.25">
      <c r="A639" s="4" t="s">
        <v>21</v>
      </c>
      <c r="B639" s="4" t="s">
        <v>22</v>
      </c>
      <c r="C639" s="4" t="s">
        <v>36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37</v>
      </c>
      <c r="I639" s="5">
        <v>44501</v>
      </c>
      <c r="J639" s="6">
        <v>0</v>
      </c>
      <c r="K639" s="6">
        <v>0</v>
      </c>
      <c r="L639" s="6">
        <v>0.188</v>
      </c>
      <c r="M639" s="6">
        <v>0.188</v>
      </c>
      <c r="N639" s="6">
        <v>0.188</v>
      </c>
      <c r="O639" s="6">
        <v>0.188</v>
      </c>
      <c r="P639" s="6">
        <v>0</v>
      </c>
      <c r="Q639" s="4" t="s">
        <v>26</v>
      </c>
      <c r="R639" s="4">
        <v>0</v>
      </c>
      <c r="S639" s="4" t="s">
        <v>219</v>
      </c>
      <c r="T639" s="4" t="s">
        <v>441</v>
      </c>
      <c r="U639" s="4">
        <v>0</v>
      </c>
      <c r="V639" s="4">
        <v>27</v>
      </c>
      <c r="W639" s="4">
        <v>68</v>
      </c>
    </row>
    <row r="640" spans="1:23" ht="11.25" customHeight="1" x14ac:dyDescent="0.25">
      <c r="A640" s="4" t="s">
        <v>21</v>
      </c>
      <c r="B640" s="4" t="s">
        <v>22</v>
      </c>
      <c r="C640" s="4" t="s">
        <v>36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37</v>
      </c>
      <c r="I640" s="5">
        <v>44531</v>
      </c>
      <c r="J640" s="6">
        <v>0</v>
      </c>
      <c r="K640" s="6">
        <v>0</v>
      </c>
      <c r="L640" s="6">
        <v>0.17199999999999999</v>
      </c>
      <c r="M640" s="6">
        <v>0.17199999999999999</v>
      </c>
      <c r="N640" s="6">
        <v>0.17199999999999999</v>
      </c>
      <c r="O640" s="6">
        <v>0.17199999999999999</v>
      </c>
      <c r="P640" s="6">
        <v>0</v>
      </c>
      <c r="Q640" s="4" t="s">
        <v>26</v>
      </c>
      <c r="R640" s="4">
        <v>0</v>
      </c>
      <c r="S640" s="4" t="s">
        <v>220</v>
      </c>
      <c r="T640" s="4" t="s">
        <v>442</v>
      </c>
      <c r="U640" s="4">
        <v>0</v>
      </c>
      <c r="V640" s="4">
        <v>27</v>
      </c>
      <c r="W640" s="4">
        <v>68</v>
      </c>
    </row>
    <row r="641" spans="1:23" ht="11.25" customHeight="1" x14ac:dyDescent="0.25">
      <c r="A641" s="4" t="s">
        <v>21</v>
      </c>
      <c r="B641" s="4" t="s">
        <v>22</v>
      </c>
      <c r="C641" s="4" t="s">
        <v>36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37</v>
      </c>
      <c r="I641" s="5">
        <v>44562</v>
      </c>
      <c r="J641" s="6">
        <v>0</v>
      </c>
      <c r="K641" s="6">
        <v>0</v>
      </c>
      <c r="L641" s="6">
        <v>0.17699999999999999</v>
      </c>
      <c r="M641" s="6">
        <v>0.17699999999999999</v>
      </c>
      <c r="N641" s="6">
        <v>0.17699999999999999</v>
      </c>
      <c r="O641" s="6">
        <v>0.17699999999999999</v>
      </c>
      <c r="P641" s="6">
        <v>0</v>
      </c>
      <c r="Q641" s="4" t="s">
        <v>26</v>
      </c>
      <c r="R641" s="4">
        <v>0</v>
      </c>
      <c r="S641" s="4" t="s">
        <v>221</v>
      </c>
      <c r="T641" s="4" t="s">
        <v>443</v>
      </c>
      <c r="U641" s="4">
        <v>0</v>
      </c>
      <c r="V641" s="4">
        <v>27</v>
      </c>
      <c r="W641" s="4">
        <v>68</v>
      </c>
    </row>
    <row r="642" spans="1:23" ht="11.25" customHeight="1" x14ac:dyDescent="0.25">
      <c r="A642" s="4" t="s">
        <v>21</v>
      </c>
      <c r="B642" s="4" t="s">
        <v>22</v>
      </c>
      <c r="C642" s="4" t="s">
        <v>36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37</v>
      </c>
      <c r="I642" s="5">
        <v>44593</v>
      </c>
      <c r="J642" s="6">
        <v>0</v>
      </c>
      <c r="K642" s="6">
        <v>0</v>
      </c>
      <c r="L642" s="6">
        <v>0.188</v>
      </c>
      <c r="M642" s="6">
        <v>0.188</v>
      </c>
      <c r="N642" s="6">
        <v>0.188</v>
      </c>
      <c r="O642" s="6">
        <v>0.188</v>
      </c>
      <c r="P642" s="6">
        <v>0</v>
      </c>
      <c r="Q642" s="4" t="s">
        <v>26</v>
      </c>
      <c r="R642" s="4">
        <v>0</v>
      </c>
      <c r="S642" s="4" t="s">
        <v>222</v>
      </c>
      <c r="T642" s="4" t="s">
        <v>444</v>
      </c>
      <c r="U642" s="4">
        <v>0</v>
      </c>
      <c r="V642" s="4">
        <v>27</v>
      </c>
      <c r="W642" s="4">
        <v>68</v>
      </c>
    </row>
    <row r="643" spans="1:23" ht="11.25" customHeight="1" x14ac:dyDescent="0.25">
      <c r="A643" s="4" t="s">
        <v>21</v>
      </c>
      <c r="B643" s="4" t="s">
        <v>22</v>
      </c>
      <c r="C643" s="4" t="s">
        <v>36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37</v>
      </c>
      <c r="I643" s="5">
        <v>44621</v>
      </c>
      <c r="J643" s="6">
        <v>0</v>
      </c>
      <c r="K643" s="6">
        <v>0</v>
      </c>
      <c r="L643" s="6">
        <v>0.17899999999999999</v>
      </c>
      <c r="M643" s="6">
        <v>0.17899999999999999</v>
      </c>
      <c r="N643" s="6">
        <v>0.17899999999999999</v>
      </c>
      <c r="O643" s="6">
        <v>0.17899999999999999</v>
      </c>
      <c r="P643" s="6">
        <v>0</v>
      </c>
      <c r="Q643" s="4" t="s">
        <v>26</v>
      </c>
      <c r="R643" s="4">
        <v>0</v>
      </c>
      <c r="S643" s="4" t="s">
        <v>223</v>
      </c>
      <c r="T643" s="4" t="s">
        <v>445</v>
      </c>
      <c r="U643" s="4">
        <v>0</v>
      </c>
      <c r="V643" s="4">
        <v>27</v>
      </c>
      <c r="W643" s="4">
        <v>68</v>
      </c>
    </row>
    <row r="644" spans="1:23" ht="11.25" customHeight="1" x14ac:dyDescent="0.25">
      <c r="A644" s="4" t="s">
        <v>21</v>
      </c>
      <c r="B644" s="4" t="s">
        <v>22</v>
      </c>
      <c r="C644" s="4" t="s">
        <v>36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37</v>
      </c>
      <c r="I644" s="5">
        <v>44652</v>
      </c>
      <c r="J644" s="6">
        <v>0</v>
      </c>
      <c r="K644" s="6">
        <v>0</v>
      </c>
      <c r="L644" s="6">
        <v>0.16700000000000001</v>
      </c>
      <c r="M644" s="6">
        <v>0.16700000000000001</v>
      </c>
      <c r="N644" s="6">
        <v>0.16700000000000001</v>
      </c>
      <c r="O644" s="6">
        <v>0.16700000000000001</v>
      </c>
      <c r="P644" s="6">
        <v>0</v>
      </c>
      <c r="Q644" s="4" t="s">
        <v>26</v>
      </c>
      <c r="R644" s="4">
        <v>0</v>
      </c>
      <c r="S644" s="4" t="s">
        <v>224</v>
      </c>
      <c r="T644" s="4" t="s">
        <v>446</v>
      </c>
      <c r="U644" s="4">
        <v>0</v>
      </c>
      <c r="V644" s="4">
        <v>27</v>
      </c>
      <c r="W644" s="4">
        <v>68</v>
      </c>
    </row>
    <row r="645" spans="1:23" ht="11.25" customHeight="1" x14ac:dyDescent="0.25">
      <c r="A645" s="4" t="s">
        <v>21</v>
      </c>
      <c r="B645" s="4" t="s">
        <v>22</v>
      </c>
      <c r="C645" s="4" t="s">
        <v>36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37</v>
      </c>
      <c r="I645" s="5">
        <v>44682</v>
      </c>
      <c r="J645" s="6">
        <v>0</v>
      </c>
      <c r="K645" s="6">
        <v>0</v>
      </c>
      <c r="L645" s="6">
        <v>0.14099999999999999</v>
      </c>
      <c r="M645" s="6">
        <v>0.14099999999999999</v>
      </c>
      <c r="N645" s="6">
        <v>0.14099999999999999</v>
      </c>
      <c r="O645" s="6">
        <v>0.14099999999999999</v>
      </c>
      <c r="P645" s="6">
        <v>0</v>
      </c>
      <c r="Q645" s="4" t="s">
        <v>26</v>
      </c>
      <c r="R645" s="4">
        <v>0</v>
      </c>
      <c r="S645" s="4" t="s">
        <v>225</v>
      </c>
      <c r="T645" s="4" t="s">
        <v>447</v>
      </c>
      <c r="U645" s="4">
        <v>0</v>
      </c>
      <c r="V645" s="4">
        <v>27</v>
      </c>
      <c r="W645" s="4">
        <v>68</v>
      </c>
    </row>
    <row r="646" spans="1:23" ht="11.25" customHeight="1" x14ac:dyDescent="0.25">
      <c r="A646" s="4" t="s">
        <v>21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44348</v>
      </c>
      <c r="J646" s="6">
        <v>0</v>
      </c>
      <c r="K646" s="6">
        <v>0</v>
      </c>
      <c r="L646" s="6">
        <v>7050.8720000000003</v>
      </c>
      <c r="M646" s="6">
        <v>7050.8720000000003</v>
      </c>
      <c r="N646" s="6">
        <v>7050.8720000000003</v>
      </c>
      <c r="O646" s="6">
        <v>7050.8720000000003</v>
      </c>
      <c r="P646" s="6">
        <v>43492</v>
      </c>
      <c r="Q646" s="4" t="s">
        <v>26</v>
      </c>
      <c r="R646" s="4">
        <v>0</v>
      </c>
      <c r="S646" s="4" t="s">
        <v>226</v>
      </c>
      <c r="T646" s="4" t="s">
        <v>448</v>
      </c>
      <c r="U646" s="4">
        <v>0</v>
      </c>
      <c r="V646" s="4">
        <v>30</v>
      </c>
      <c r="W646" s="4">
        <v>71</v>
      </c>
    </row>
    <row r="647" spans="1:23" ht="11.25" customHeight="1" x14ac:dyDescent="0.25">
      <c r="A647" s="4" t="s">
        <v>27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44348</v>
      </c>
      <c r="J647" s="6">
        <v>0</v>
      </c>
      <c r="K647" s="6">
        <v>0</v>
      </c>
      <c r="L647" s="6">
        <v>-11.6</v>
      </c>
      <c r="M647" s="6">
        <v>-11.6</v>
      </c>
      <c r="N647" s="6">
        <v>-11.6</v>
      </c>
      <c r="O647" s="6">
        <v>-11.6</v>
      </c>
      <c r="P647" s="6">
        <v>0</v>
      </c>
      <c r="Q647" s="4" t="s">
        <v>26</v>
      </c>
      <c r="R647" s="4">
        <v>0</v>
      </c>
      <c r="S647" s="4" t="s">
        <v>226</v>
      </c>
      <c r="T647" s="4" t="s">
        <v>448</v>
      </c>
      <c r="U647" s="4">
        <v>0</v>
      </c>
      <c r="V647" s="4">
        <v>30</v>
      </c>
      <c r="W647" s="4">
        <v>71</v>
      </c>
    </row>
    <row r="648" spans="1:23" ht="11.25" customHeight="1" x14ac:dyDescent="0.25">
      <c r="A648" s="4" t="s">
        <v>28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44348</v>
      </c>
      <c r="J648" s="6">
        <v>0</v>
      </c>
      <c r="K648" s="6">
        <v>0</v>
      </c>
      <c r="L648" s="6">
        <v>21.725000000000001</v>
      </c>
      <c r="M648" s="6">
        <v>21.725000000000001</v>
      </c>
      <c r="N648" s="6">
        <v>21.725000000000001</v>
      </c>
      <c r="O648" s="6">
        <v>21.725000000000001</v>
      </c>
      <c r="P648" s="6">
        <v>107</v>
      </c>
      <c r="Q648" s="4" t="s">
        <v>26</v>
      </c>
      <c r="R648" s="4">
        <v>0</v>
      </c>
      <c r="S648" s="4" t="s">
        <v>226</v>
      </c>
      <c r="T648" s="4" t="s">
        <v>448</v>
      </c>
      <c r="U648" s="4">
        <v>0</v>
      </c>
      <c r="V648" s="4">
        <v>30</v>
      </c>
      <c r="W648" s="4">
        <v>71</v>
      </c>
    </row>
    <row r="649" spans="1:23" ht="11.25" customHeight="1" x14ac:dyDescent="0.25">
      <c r="A649" s="4" t="s">
        <v>21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7344.5290000000005</v>
      </c>
      <c r="M649" s="6">
        <v>7344.5290000000005</v>
      </c>
      <c r="N649" s="6">
        <v>7344.5290000000005</v>
      </c>
      <c r="O649" s="6">
        <v>7344.5290000000005</v>
      </c>
      <c r="P649" s="6">
        <v>43505</v>
      </c>
      <c r="Q649" s="4" t="s">
        <v>26</v>
      </c>
      <c r="R649" s="4">
        <v>0</v>
      </c>
      <c r="S649" s="4" t="s">
        <v>227</v>
      </c>
      <c r="T649" s="4" t="s">
        <v>449</v>
      </c>
      <c r="U649" s="4">
        <v>0</v>
      </c>
      <c r="V649" s="4">
        <v>30</v>
      </c>
      <c r="W649" s="4">
        <v>71</v>
      </c>
    </row>
    <row r="650" spans="1:23" ht="11.25" customHeight="1" x14ac:dyDescent="0.25">
      <c r="A650" s="4" t="s">
        <v>27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44378</v>
      </c>
      <c r="J650" s="6">
        <v>0</v>
      </c>
      <c r="K650" s="6">
        <v>0</v>
      </c>
      <c r="L650" s="6">
        <v>-108.758</v>
      </c>
      <c r="M650" s="6">
        <v>-108.758</v>
      </c>
      <c r="N650" s="6">
        <v>-108.758</v>
      </c>
      <c r="O650" s="6">
        <v>-108.758</v>
      </c>
      <c r="P650" s="6">
        <v>0</v>
      </c>
      <c r="Q650" s="4" t="s">
        <v>26</v>
      </c>
      <c r="R650" s="4">
        <v>0</v>
      </c>
      <c r="S650" s="4" t="s">
        <v>227</v>
      </c>
      <c r="T650" s="4" t="s">
        <v>449</v>
      </c>
      <c r="U650" s="4">
        <v>0</v>
      </c>
      <c r="V650" s="4">
        <v>30</v>
      </c>
      <c r="W650" s="4">
        <v>71</v>
      </c>
    </row>
    <row r="651" spans="1:2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44378</v>
      </c>
      <c r="J651" s="6">
        <v>0</v>
      </c>
      <c r="K651" s="6">
        <v>0</v>
      </c>
      <c r="L651" s="6">
        <v>26.963000000000001</v>
      </c>
      <c r="M651" s="6">
        <v>26.963000000000001</v>
      </c>
      <c r="N651" s="6">
        <v>26.963000000000001</v>
      </c>
      <c r="O651" s="6">
        <v>26.963000000000001</v>
      </c>
      <c r="P651" s="6">
        <v>115</v>
      </c>
      <c r="Q651" s="4" t="s">
        <v>26</v>
      </c>
      <c r="R651" s="4">
        <v>0</v>
      </c>
      <c r="S651" s="4" t="s">
        <v>227</v>
      </c>
      <c r="T651" s="4" t="s">
        <v>449</v>
      </c>
      <c r="U651" s="4">
        <v>0</v>
      </c>
      <c r="V651" s="4">
        <v>30</v>
      </c>
      <c r="W651" s="4">
        <v>71</v>
      </c>
    </row>
    <row r="652" spans="1:23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44409</v>
      </c>
      <c r="J652" s="6">
        <v>0</v>
      </c>
      <c r="K652" s="6">
        <v>0</v>
      </c>
      <c r="L652" s="6">
        <v>7438.7420000000002</v>
      </c>
      <c r="M652" s="6">
        <v>7438.7420000000002</v>
      </c>
      <c r="N652" s="6">
        <v>7438.7420000000002</v>
      </c>
      <c r="O652" s="6">
        <v>7438.7420000000002</v>
      </c>
      <c r="P652" s="6">
        <v>43533</v>
      </c>
      <c r="Q652" s="4" t="s">
        <v>26</v>
      </c>
      <c r="R652" s="4">
        <v>0</v>
      </c>
      <c r="S652" s="4" t="s">
        <v>228</v>
      </c>
      <c r="T652" s="4" t="s">
        <v>450</v>
      </c>
      <c r="U652" s="4">
        <v>0</v>
      </c>
      <c r="V652" s="4">
        <v>30</v>
      </c>
      <c r="W652" s="4">
        <v>71</v>
      </c>
    </row>
    <row r="653" spans="1:23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44409</v>
      </c>
      <c r="J653" s="6">
        <v>0</v>
      </c>
      <c r="K653" s="6">
        <v>0</v>
      </c>
      <c r="L653" s="6">
        <v>-190.488</v>
      </c>
      <c r="M653" s="6">
        <v>-190.488</v>
      </c>
      <c r="N653" s="6">
        <v>-190.488</v>
      </c>
      <c r="O653" s="6">
        <v>-190.488</v>
      </c>
      <c r="P653" s="6">
        <v>0</v>
      </c>
      <c r="Q653" s="4" t="s">
        <v>26</v>
      </c>
      <c r="R653" s="4">
        <v>0</v>
      </c>
      <c r="S653" s="4" t="s">
        <v>228</v>
      </c>
      <c r="T653" s="4" t="s">
        <v>450</v>
      </c>
      <c r="U653" s="4">
        <v>0</v>
      </c>
      <c r="V653" s="4">
        <v>30</v>
      </c>
      <c r="W653" s="4">
        <v>71</v>
      </c>
    </row>
    <row r="654" spans="1:23" ht="11.25" customHeight="1" x14ac:dyDescent="0.25">
      <c r="A654" s="4" t="s">
        <v>28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44409</v>
      </c>
      <c r="J654" s="6">
        <v>0</v>
      </c>
      <c r="K654" s="6">
        <v>0</v>
      </c>
      <c r="L654" s="6">
        <v>24.37</v>
      </c>
      <c r="M654" s="6">
        <v>24.37</v>
      </c>
      <c r="N654" s="6">
        <v>24.37</v>
      </c>
      <c r="O654" s="6">
        <v>24.37</v>
      </c>
      <c r="P654" s="6">
        <v>125</v>
      </c>
      <c r="Q654" s="4" t="s">
        <v>26</v>
      </c>
      <c r="R654" s="4">
        <v>0</v>
      </c>
      <c r="S654" s="4" t="s">
        <v>228</v>
      </c>
      <c r="T654" s="4" t="s">
        <v>450</v>
      </c>
      <c r="U654" s="4">
        <v>0</v>
      </c>
      <c r="V654" s="4">
        <v>30</v>
      </c>
      <c r="W654" s="4">
        <v>71</v>
      </c>
    </row>
    <row r="655" spans="1:23" ht="11.25" customHeight="1" x14ac:dyDescent="0.25">
      <c r="A655" s="4" t="s">
        <v>21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44440</v>
      </c>
      <c r="J655" s="6">
        <v>0</v>
      </c>
      <c r="K655" s="6">
        <v>0</v>
      </c>
      <c r="L655" s="6">
        <v>6926.53</v>
      </c>
      <c r="M655" s="6">
        <v>6926.53</v>
      </c>
      <c r="N655" s="6">
        <v>6926.53</v>
      </c>
      <c r="O655" s="6">
        <v>6926.53</v>
      </c>
      <c r="P655" s="6">
        <v>43503</v>
      </c>
      <c r="Q655" s="4" t="s">
        <v>26</v>
      </c>
      <c r="R655" s="4">
        <v>0</v>
      </c>
      <c r="S655" s="4" t="s">
        <v>229</v>
      </c>
      <c r="T655" s="4" t="s">
        <v>451</v>
      </c>
      <c r="U655" s="4">
        <v>0</v>
      </c>
      <c r="V655" s="4">
        <v>30</v>
      </c>
      <c r="W655" s="4">
        <v>71</v>
      </c>
    </row>
    <row r="656" spans="1:23" ht="11.25" customHeight="1" x14ac:dyDescent="0.25">
      <c r="A656" s="4" t="s">
        <v>27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44440</v>
      </c>
      <c r="J656" s="6">
        <v>0</v>
      </c>
      <c r="K656" s="6">
        <v>0</v>
      </c>
      <c r="L656" s="6">
        <v>-7.5220000000000002</v>
      </c>
      <c r="M656" s="6">
        <v>-7.5220000000000002</v>
      </c>
      <c r="N656" s="6">
        <v>-7.5220000000000002</v>
      </c>
      <c r="O656" s="6">
        <v>-7.5220000000000002</v>
      </c>
      <c r="P656" s="6">
        <v>0</v>
      </c>
      <c r="Q656" s="4" t="s">
        <v>26</v>
      </c>
      <c r="R656" s="4">
        <v>0</v>
      </c>
      <c r="S656" s="4" t="s">
        <v>229</v>
      </c>
      <c r="T656" s="4" t="s">
        <v>451</v>
      </c>
      <c r="U656" s="4">
        <v>0</v>
      </c>
      <c r="V656" s="4">
        <v>30</v>
      </c>
      <c r="W656" s="4">
        <v>71</v>
      </c>
    </row>
    <row r="657" spans="1:23" ht="11.25" customHeight="1" x14ac:dyDescent="0.25">
      <c r="A657" s="4" t="s">
        <v>28</v>
      </c>
      <c r="B657" s="4" t="s">
        <v>22</v>
      </c>
      <c r="C657" s="4" t="s">
        <v>23</v>
      </c>
      <c r="D657" s="4" t="s">
        <v>24</v>
      </c>
      <c r="E657" s="4" t="s">
        <v>24</v>
      </c>
      <c r="F657" s="4" t="s">
        <v>25</v>
      </c>
      <c r="G657" s="4" t="s">
        <v>25</v>
      </c>
      <c r="H657" s="4" t="s">
        <v>25</v>
      </c>
      <c r="I657" s="5">
        <v>44440</v>
      </c>
      <c r="J657" s="6">
        <v>0</v>
      </c>
      <c r="K657" s="6">
        <v>0</v>
      </c>
      <c r="L657" s="6">
        <v>26.727</v>
      </c>
      <c r="M657" s="6">
        <v>26.727</v>
      </c>
      <c r="N657" s="6">
        <v>26.727</v>
      </c>
      <c r="O657" s="6">
        <v>26.727</v>
      </c>
      <c r="P657" s="6">
        <v>140</v>
      </c>
      <c r="Q657" s="4" t="s">
        <v>26</v>
      </c>
      <c r="R657" s="4">
        <v>0</v>
      </c>
      <c r="S657" s="4" t="s">
        <v>229</v>
      </c>
      <c r="T657" s="4" t="s">
        <v>451</v>
      </c>
      <c r="U657" s="4">
        <v>0</v>
      </c>
      <c r="V657" s="4">
        <v>30</v>
      </c>
      <c r="W657" s="4">
        <v>71</v>
      </c>
    </row>
    <row r="658" spans="1:23" ht="11.25" customHeight="1" x14ac:dyDescent="0.25">
      <c r="A658" s="4" t="s">
        <v>21</v>
      </c>
      <c r="B658" s="4" t="s">
        <v>22</v>
      </c>
      <c r="C658" s="4" t="s">
        <v>23</v>
      </c>
      <c r="D658" s="4" t="s">
        <v>24</v>
      </c>
      <c r="E658" s="4" t="s">
        <v>24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6937.9660000000003</v>
      </c>
      <c r="M658" s="6">
        <v>6937.9660000000003</v>
      </c>
      <c r="N658" s="6">
        <v>6937.9660000000003</v>
      </c>
      <c r="O658" s="6">
        <v>6937.9660000000003</v>
      </c>
      <c r="P658" s="6">
        <v>43646</v>
      </c>
      <c r="Q658" s="4" t="s">
        <v>26</v>
      </c>
      <c r="R658" s="4">
        <v>0</v>
      </c>
      <c r="S658" s="4" t="s">
        <v>230</v>
      </c>
      <c r="T658" s="4" t="s">
        <v>452</v>
      </c>
      <c r="U658" s="4">
        <v>0</v>
      </c>
      <c r="V658" s="4">
        <v>30</v>
      </c>
      <c r="W658" s="4">
        <v>71</v>
      </c>
    </row>
    <row r="659" spans="1:23" ht="11.25" customHeight="1" x14ac:dyDescent="0.25">
      <c r="A659" s="4" t="s">
        <v>27</v>
      </c>
      <c r="B659" s="4" t="s">
        <v>22</v>
      </c>
      <c r="C659" s="4" t="s">
        <v>23</v>
      </c>
      <c r="D659" s="4" t="s">
        <v>24</v>
      </c>
      <c r="E659" s="4" t="s">
        <v>24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-6.5350000000000001</v>
      </c>
      <c r="M659" s="6">
        <v>-6.5350000000000001</v>
      </c>
      <c r="N659" s="6">
        <v>-6.5350000000000001</v>
      </c>
      <c r="O659" s="6">
        <v>-6.5350000000000001</v>
      </c>
      <c r="P659" s="6">
        <v>0</v>
      </c>
      <c r="Q659" s="4" t="s">
        <v>26</v>
      </c>
      <c r="R659" s="4">
        <v>0</v>
      </c>
      <c r="S659" s="4" t="s">
        <v>230</v>
      </c>
      <c r="T659" s="4" t="s">
        <v>452</v>
      </c>
      <c r="U659" s="4">
        <v>0</v>
      </c>
      <c r="V659" s="4">
        <v>30</v>
      </c>
      <c r="W659" s="4">
        <v>71</v>
      </c>
    </row>
    <row r="660" spans="1:2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24</v>
      </c>
      <c r="F660" s="4" t="s">
        <v>25</v>
      </c>
      <c r="G660" s="4" t="s">
        <v>25</v>
      </c>
      <c r="H660" s="4" t="s">
        <v>25</v>
      </c>
      <c r="I660" s="5">
        <v>44470</v>
      </c>
      <c r="J660" s="6">
        <v>0</v>
      </c>
      <c r="K660" s="6">
        <v>0</v>
      </c>
      <c r="L660" s="6">
        <v>24.908000000000001</v>
      </c>
      <c r="M660" s="6">
        <v>24.908000000000001</v>
      </c>
      <c r="N660" s="6">
        <v>24.908000000000001</v>
      </c>
      <c r="O660" s="6">
        <v>24.908000000000001</v>
      </c>
      <c r="P660" s="6">
        <v>153</v>
      </c>
      <c r="Q660" s="4" t="s">
        <v>26</v>
      </c>
      <c r="R660" s="4">
        <v>0</v>
      </c>
      <c r="S660" s="4" t="s">
        <v>230</v>
      </c>
      <c r="T660" s="4" t="s">
        <v>452</v>
      </c>
      <c r="U660" s="4">
        <v>0</v>
      </c>
      <c r="V660" s="4">
        <v>30</v>
      </c>
      <c r="W660" s="4">
        <v>71</v>
      </c>
    </row>
    <row r="661" spans="1:2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24</v>
      </c>
      <c r="F661" s="4" t="s">
        <v>25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6876.5110000000004</v>
      </c>
      <c r="M661" s="6">
        <v>6876.5110000000004</v>
      </c>
      <c r="N661" s="6">
        <v>6876.5110000000004</v>
      </c>
      <c r="O661" s="6">
        <v>6876.5110000000004</v>
      </c>
      <c r="P661" s="6">
        <v>43980</v>
      </c>
      <c r="Q661" s="4" t="s">
        <v>26</v>
      </c>
      <c r="R661" s="4">
        <v>0</v>
      </c>
      <c r="S661" s="4" t="s">
        <v>231</v>
      </c>
      <c r="T661" s="4" t="s">
        <v>453</v>
      </c>
      <c r="U661" s="4">
        <v>0</v>
      </c>
      <c r="V661" s="4">
        <v>30</v>
      </c>
      <c r="W661" s="4">
        <v>71</v>
      </c>
    </row>
    <row r="662" spans="1:23" ht="11.25" customHeight="1" x14ac:dyDescent="0.25">
      <c r="A662" s="4" t="s">
        <v>27</v>
      </c>
      <c r="B662" s="4" t="s">
        <v>22</v>
      </c>
      <c r="C662" s="4" t="s">
        <v>23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25</v>
      </c>
      <c r="I662" s="5">
        <v>44501</v>
      </c>
      <c r="J662" s="6">
        <v>0</v>
      </c>
      <c r="K662" s="6">
        <v>0</v>
      </c>
      <c r="L662" s="6">
        <v>-6.35</v>
      </c>
      <c r="M662" s="6">
        <v>-6.35</v>
      </c>
      <c r="N662" s="6">
        <v>-6.35</v>
      </c>
      <c r="O662" s="6">
        <v>-6.35</v>
      </c>
      <c r="P662" s="6">
        <v>0</v>
      </c>
      <c r="Q662" s="4" t="s">
        <v>26</v>
      </c>
      <c r="R662" s="4">
        <v>0</v>
      </c>
      <c r="S662" s="4" t="s">
        <v>231</v>
      </c>
      <c r="T662" s="4" t="s">
        <v>453</v>
      </c>
      <c r="U662" s="4">
        <v>0</v>
      </c>
      <c r="V662" s="4">
        <v>30</v>
      </c>
      <c r="W662" s="4">
        <v>71</v>
      </c>
    </row>
    <row r="663" spans="1:2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0</v>
      </c>
      <c r="K663" s="6">
        <v>0</v>
      </c>
      <c r="L663" s="6">
        <v>21.52</v>
      </c>
      <c r="M663" s="6">
        <v>21.52</v>
      </c>
      <c r="N663" s="6">
        <v>21.52</v>
      </c>
      <c r="O663" s="6">
        <v>21.52</v>
      </c>
      <c r="P663" s="6">
        <v>162</v>
      </c>
      <c r="Q663" s="4" t="s">
        <v>26</v>
      </c>
      <c r="R663" s="4">
        <v>0</v>
      </c>
      <c r="S663" s="4" t="s">
        <v>231</v>
      </c>
      <c r="T663" s="4" t="s">
        <v>453</v>
      </c>
      <c r="U663" s="4">
        <v>0</v>
      </c>
      <c r="V663" s="4">
        <v>30</v>
      </c>
      <c r="W663" s="4">
        <v>71</v>
      </c>
    </row>
    <row r="664" spans="1:2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25</v>
      </c>
      <c r="I664" s="5">
        <v>44531</v>
      </c>
      <c r="J664" s="6">
        <v>0</v>
      </c>
      <c r="K664" s="6">
        <v>0</v>
      </c>
      <c r="L664" s="6">
        <v>6856.2129999999997</v>
      </c>
      <c r="M664" s="6">
        <v>6856.2129999999997</v>
      </c>
      <c r="N664" s="6">
        <v>6856.2129999999997</v>
      </c>
      <c r="O664" s="6">
        <v>6856.2129999999997</v>
      </c>
      <c r="P664" s="6">
        <v>44242</v>
      </c>
      <c r="Q664" s="4" t="s">
        <v>26</v>
      </c>
      <c r="R664" s="4">
        <v>0</v>
      </c>
      <c r="S664" s="4" t="s">
        <v>232</v>
      </c>
      <c r="T664" s="4" t="s">
        <v>454</v>
      </c>
      <c r="U664" s="4">
        <v>0</v>
      </c>
      <c r="V664" s="4">
        <v>30</v>
      </c>
      <c r="W664" s="4">
        <v>71</v>
      </c>
    </row>
    <row r="665" spans="1:2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0</v>
      </c>
      <c r="K665" s="6">
        <v>0</v>
      </c>
      <c r="L665" s="6">
        <v>-4.88</v>
      </c>
      <c r="M665" s="6">
        <v>-4.88</v>
      </c>
      <c r="N665" s="6">
        <v>-4.88</v>
      </c>
      <c r="O665" s="6">
        <v>-4.88</v>
      </c>
      <c r="P665" s="6">
        <v>0</v>
      </c>
      <c r="Q665" s="4" t="s">
        <v>26</v>
      </c>
      <c r="R665" s="4">
        <v>0</v>
      </c>
      <c r="S665" s="4" t="s">
        <v>232</v>
      </c>
      <c r="T665" s="4" t="s">
        <v>454</v>
      </c>
      <c r="U665" s="4">
        <v>0</v>
      </c>
      <c r="V665" s="4">
        <v>30</v>
      </c>
      <c r="W665" s="4">
        <v>71</v>
      </c>
    </row>
    <row r="666" spans="1:2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18.059999999999999</v>
      </c>
      <c r="M666" s="6">
        <v>18.059999999999999</v>
      </c>
      <c r="N666" s="6">
        <v>18.059999999999999</v>
      </c>
      <c r="O666" s="6">
        <v>18.059999999999999</v>
      </c>
      <c r="P666" s="6">
        <v>174</v>
      </c>
      <c r="Q666" s="4" t="s">
        <v>26</v>
      </c>
      <c r="R666" s="4">
        <v>0</v>
      </c>
      <c r="S666" s="4" t="s">
        <v>232</v>
      </c>
      <c r="T666" s="4" t="s">
        <v>454</v>
      </c>
      <c r="U666" s="4">
        <v>0</v>
      </c>
      <c r="V666" s="4">
        <v>30</v>
      </c>
      <c r="W666" s="4">
        <v>71</v>
      </c>
    </row>
    <row r="667" spans="1:2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-0.17100000000000001</v>
      </c>
      <c r="M667" s="6">
        <v>-0.17100000000000001</v>
      </c>
      <c r="N667" s="6">
        <v>-0.17100000000000001</v>
      </c>
      <c r="O667" s="6">
        <v>-0.17100000000000001</v>
      </c>
      <c r="P667" s="6">
        <v>4</v>
      </c>
      <c r="Q667" s="4" t="s">
        <v>26</v>
      </c>
      <c r="R667" s="4">
        <v>0</v>
      </c>
      <c r="S667" s="4" t="s">
        <v>232</v>
      </c>
      <c r="T667" s="4" t="s">
        <v>454</v>
      </c>
      <c r="U667" s="4">
        <v>0</v>
      </c>
      <c r="V667" s="4">
        <v>30</v>
      </c>
      <c r="W667" s="4">
        <v>71</v>
      </c>
    </row>
    <row r="668" spans="1:2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6939.0129999999999</v>
      </c>
      <c r="M668" s="6">
        <v>6939.0129999999999</v>
      </c>
      <c r="N668" s="6">
        <v>6939.0129999999999</v>
      </c>
      <c r="O668" s="6">
        <v>6939.0129999999999</v>
      </c>
      <c r="P668" s="6">
        <v>44215</v>
      </c>
      <c r="Q668" s="4" t="s">
        <v>26</v>
      </c>
      <c r="R668" s="4">
        <v>0</v>
      </c>
      <c r="S668" s="4" t="s">
        <v>233</v>
      </c>
      <c r="T668" s="4" t="s">
        <v>455</v>
      </c>
      <c r="U668" s="4">
        <v>0</v>
      </c>
      <c r="V668" s="4">
        <v>30</v>
      </c>
      <c r="W668" s="4">
        <v>71</v>
      </c>
    </row>
    <row r="669" spans="1:2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-9.3409999999999993</v>
      </c>
      <c r="M669" s="6">
        <v>-9.3409999999999993</v>
      </c>
      <c r="N669" s="6">
        <v>-9.3409999999999993</v>
      </c>
      <c r="O669" s="6">
        <v>-9.3409999999999993</v>
      </c>
      <c r="P669" s="6">
        <v>0</v>
      </c>
      <c r="Q669" s="4" t="s">
        <v>26</v>
      </c>
      <c r="R669" s="4">
        <v>0</v>
      </c>
      <c r="S669" s="4" t="s">
        <v>233</v>
      </c>
      <c r="T669" s="4" t="s">
        <v>455</v>
      </c>
      <c r="U669" s="4">
        <v>0</v>
      </c>
      <c r="V669" s="4">
        <v>30</v>
      </c>
      <c r="W669" s="4">
        <v>71</v>
      </c>
    </row>
    <row r="670" spans="1:2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25</v>
      </c>
      <c r="I670" s="5">
        <v>44562</v>
      </c>
      <c r="J670" s="6">
        <v>0</v>
      </c>
      <c r="K670" s="6">
        <v>0</v>
      </c>
      <c r="L670" s="6">
        <v>21.228999999999999</v>
      </c>
      <c r="M670" s="6">
        <v>21.228999999999999</v>
      </c>
      <c r="N670" s="6">
        <v>21.228999999999999</v>
      </c>
      <c r="O670" s="6">
        <v>21.228999999999999</v>
      </c>
      <c r="P670" s="6">
        <v>192</v>
      </c>
      <c r="Q670" s="4" t="s">
        <v>26</v>
      </c>
      <c r="R670" s="4">
        <v>0</v>
      </c>
      <c r="S670" s="4" t="s">
        <v>233</v>
      </c>
      <c r="T670" s="4" t="s">
        <v>455</v>
      </c>
      <c r="U670" s="4">
        <v>0</v>
      </c>
      <c r="V670" s="4">
        <v>30</v>
      </c>
      <c r="W670" s="4">
        <v>71</v>
      </c>
    </row>
    <row r="671" spans="1:2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7259.8360000000002</v>
      </c>
      <c r="M671" s="6">
        <v>7259.8360000000002</v>
      </c>
      <c r="N671" s="6">
        <v>7259.8360000000002</v>
      </c>
      <c r="O671" s="6">
        <v>7259.8360000000002</v>
      </c>
      <c r="P671" s="6">
        <v>44109</v>
      </c>
      <c r="Q671" s="4" t="s">
        <v>26</v>
      </c>
      <c r="R671" s="4">
        <v>0</v>
      </c>
      <c r="S671" s="4" t="s">
        <v>234</v>
      </c>
      <c r="T671" s="4" t="s">
        <v>456</v>
      </c>
      <c r="U671" s="4">
        <v>0</v>
      </c>
      <c r="V671" s="4">
        <v>30</v>
      </c>
      <c r="W671" s="4">
        <v>71</v>
      </c>
    </row>
    <row r="672" spans="1:23" ht="11.25" customHeight="1" x14ac:dyDescent="0.25">
      <c r="A672" s="4" t="s">
        <v>28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22.004999999999999</v>
      </c>
      <c r="M672" s="6">
        <v>22.004999999999999</v>
      </c>
      <c r="N672" s="6">
        <v>22.004999999999999</v>
      </c>
      <c r="O672" s="6">
        <v>22.004999999999999</v>
      </c>
      <c r="P672" s="6">
        <v>198</v>
      </c>
      <c r="Q672" s="4" t="s">
        <v>26</v>
      </c>
      <c r="R672" s="4">
        <v>0</v>
      </c>
      <c r="S672" s="4" t="s">
        <v>234</v>
      </c>
      <c r="T672" s="4" t="s">
        <v>456</v>
      </c>
      <c r="U672" s="4">
        <v>0</v>
      </c>
      <c r="V672" s="4">
        <v>30</v>
      </c>
      <c r="W672" s="4">
        <v>71</v>
      </c>
    </row>
    <row r="673" spans="1:23" ht="11.25" customHeight="1" x14ac:dyDescent="0.25">
      <c r="A673" s="4" t="s">
        <v>21</v>
      </c>
      <c r="B673" s="4" t="s">
        <v>22</v>
      </c>
      <c r="C673" s="4" t="s">
        <v>23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7015.7569999999996</v>
      </c>
      <c r="M673" s="6">
        <v>7015.7569999999996</v>
      </c>
      <c r="N673" s="6">
        <v>7015.7569999999996</v>
      </c>
      <c r="O673" s="6">
        <v>7015.7569999999996</v>
      </c>
      <c r="P673" s="6">
        <v>43821</v>
      </c>
      <c r="Q673" s="4" t="s">
        <v>26</v>
      </c>
      <c r="R673" s="4">
        <v>0</v>
      </c>
      <c r="S673" s="4" t="s">
        <v>235</v>
      </c>
      <c r="T673" s="4" t="s">
        <v>457</v>
      </c>
      <c r="U673" s="4">
        <v>0</v>
      </c>
      <c r="V673" s="4">
        <v>30</v>
      </c>
      <c r="W673" s="4">
        <v>71</v>
      </c>
    </row>
    <row r="674" spans="1:23" ht="11.25" customHeight="1" x14ac:dyDescent="0.25">
      <c r="A674" s="4" t="s">
        <v>27</v>
      </c>
      <c r="B674" s="4" t="s">
        <v>22</v>
      </c>
      <c r="C674" s="4" t="s">
        <v>23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-0.56100000000000005</v>
      </c>
      <c r="M674" s="6">
        <v>-0.56100000000000005</v>
      </c>
      <c r="N674" s="6">
        <v>-0.56100000000000005</v>
      </c>
      <c r="O674" s="6">
        <v>-0.56100000000000005</v>
      </c>
      <c r="P674" s="6">
        <v>0</v>
      </c>
      <c r="Q674" s="4" t="s">
        <v>26</v>
      </c>
      <c r="R674" s="4">
        <v>0</v>
      </c>
      <c r="S674" s="4" t="s">
        <v>235</v>
      </c>
      <c r="T674" s="4" t="s">
        <v>457</v>
      </c>
      <c r="U674" s="4">
        <v>0</v>
      </c>
      <c r="V674" s="4">
        <v>30</v>
      </c>
      <c r="W674" s="4">
        <v>71</v>
      </c>
    </row>
    <row r="675" spans="1:23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25</v>
      </c>
      <c r="I675" s="5">
        <v>44621</v>
      </c>
      <c r="J675" s="6">
        <v>0</v>
      </c>
      <c r="K675" s="6">
        <v>0</v>
      </c>
      <c r="L675" s="6">
        <v>25.526</v>
      </c>
      <c r="M675" s="6">
        <v>25.526</v>
      </c>
      <c r="N675" s="6">
        <v>25.526</v>
      </c>
      <c r="O675" s="6">
        <v>25.526</v>
      </c>
      <c r="P675" s="6">
        <v>220</v>
      </c>
      <c r="Q675" s="4" t="s">
        <v>26</v>
      </c>
      <c r="R675" s="4">
        <v>0</v>
      </c>
      <c r="S675" s="4" t="s">
        <v>235</v>
      </c>
      <c r="T675" s="4" t="s">
        <v>457</v>
      </c>
      <c r="U675" s="4">
        <v>0</v>
      </c>
      <c r="V675" s="4">
        <v>30</v>
      </c>
      <c r="W675" s="4">
        <v>71</v>
      </c>
    </row>
    <row r="676" spans="1:23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0</v>
      </c>
      <c r="K676" s="6">
        <v>0</v>
      </c>
      <c r="L676" s="6">
        <v>6796.78</v>
      </c>
      <c r="M676" s="6">
        <v>6796.78</v>
      </c>
      <c r="N676" s="6">
        <v>6796.78</v>
      </c>
      <c r="O676" s="6">
        <v>6796.78</v>
      </c>
      <c r="P676" s="6">
        <v>43907</v>
      </c>
      <c r="Q676" s="4" t="s">
        <v>26</v>
      </c>
      <c r="R676" s="4">
        <v>0</v>
      </c>
      <c r="S676" s="4" t="s">
        <v>236</v>
      </c>
      <c r="T676" s="4" t="s">
        <v>458</v>
      </c>
      <c r="U676" s="4">
        <v>0</v>
      </c>
      <c r="V676" s="4">
        <v>30</v>
      </c>
      <c r="W676" s="4">
        <v>71</v>
      </c>
    </row>
    <row r="677" spans="1:23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25</v>
      </c>
      <c r="I677" s="5">
        <v>44652</v>
      </c>
      <c r="J677" s="6">
        <v>0</v>
      </c>
      <c r="K677" s="6">
        <v>0</v>
      </c>
      <c r="L677" s="6">
        <v>-1.5169999999999999</v>
      </c>
      <c r="M677" s="6">
        <v>-1.5169999999999999</v>
      </c>
      <c r="N677" s="6">
        <v>-1.5169999999999999</v>
      </c>
      <c r="O677" s="6">
        <v>-1.5169999999999999</v>
      </c>
      <c r="P677" s="6">
        <v>0</v>
      </c>
      <c r="Q677" s="4" t="s">
        <v>26</v>
      </c>
      <c r="R677" s="4">
        <v>0</v>
      </c>
      <c r="S677" s="4" t="s">
        <v>236</v>
      </c>
      <c r="T677" s="4" t="s">
        <v>458</v>
      </c>
      <c r="U677" s="4">
        <v>0</v>
      </c>
      <c r="V677" s="4">
        <v>30</v>
      </c>
      <c r="W677" s="4">
        <v>71</v>
      </c>
    </row>
    <row r="678" spans="1:2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25</v>
      </c>
      <c r="I678" s="5">
        <v>44652</v>
      </c>
      <c r="J678" s="6">
        <v>0</v>
      </c>
      <c r="K678" s="6">
        <v>0</v>
      </c>
      <c r="L678" s="6">
        <v>32.314</v>
      </c>
      <c r="M678" s="6">
        <v>32.314</v>
      </c>
      <c r="N678" s="6">
        <v>32.314</v>
      </c>
      <c r="O678" s="6">
        <v>32.314</v>
      </c>
      <c r="P678" s="6">
        <v>226</v>
      </c>
      <c r="Q678" s="4" t="s">
        <v>26</v>
      </c>
      <c r="R678" s="4">
        <v>0</v>
      </c>
      <c r="S678" s="4" t="s">
        <v>236</v>
      </c>
      <c r="T678" s="4" t="s">
        <v>458</v>
      </c>
      <c r="U678" s="4">
        <v>0</v>
      </c>
      <c r="V678" s="4">
        <v>30</v>
      </c>
      <c r="W678" s="4">
        <v>71</v>
      </c>
    </row>
    <row r="679" spans="1:23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0</v>
      </c>
      <c r="K679" s="6">
        <v>0</v>
      </c>
      <c r="L679" s="6">
        <v>6872.0820000000003</v>
      </c>
      <c r="M679" s="6">
        <v>6872.0820000000003</v>
      </c>
      <c r="N679" s="6">
        <v>6872.0820000000003</v>
      </c>
      <c r="O679" s="6">
        <v>6872.0820000000003</v>
      </c>
      <c r="P679" s="6">
        <v>43891</v>
      </c>
      <c r="Q679" s="4" t="s">
        <v>26</v>
      </c>
      <c r="R679" s="4">
        <v>0</v>
      </c>
      <c r="S679" s="4" t="s">
        <v>237</v>
      </c>
      <c r="T679" s="4" t="s">
        <v>459</v>
      </c>
      <c r="U679" s="4">
        <v>0</v>
      </c>
      <c r="V679" s="4">
        <v>30</v>
      </c>
      <c r="W679" s="4">
        <v>71</v>
      </c>
    </row>
    <row r="680" spans="1:23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0</v>
      </c>
      <c r="K680" s="6">
        <v>0</v>
      </c>
      <c r="L680" s="6">
        <v>-2.9249999999999998</v>
      </c>
      <c r="M680" s="6">
        <v>-2.9249999999999998</v>
      </c>
      <c r="N680" s="6">
        <v>-2.9249999999999998</v>
      </c>
      <c r="O680" s="6">
        <v>-2.9249999999999998</v>
      </c>
      <c r="P680" s="6">
        <v>0</v>
      </c>
      <c r="Q680" s="4" t="s">
        <v>26</v>
      </c>
      <c r="R680" s="4">
        <v>0</v>
      </c>
      <c r="S680" s="4" t="s">
        <v>237</v>
      </c>
      <c r="T680" s="4" t="s">
        <v>459</v>
      </c>
      <c r="U680" s="4">
        <v>0</v>
      </c>
      <c r="V680" s="4">
        <v>30</v>
      </c>
      <c r="W680" s="4">
        <v>71</v>
      </c>
    </row>
    <row r="681" spans="1:23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25</v>
      </c>
      <c r="I681" s="5">
        <v>44682</v>
      </c>
      <c r="J681" s="6">
        <v>0</v>
      </c>
      <c r="K681" s="6">
        <v>0</v>
      </c>
      <c r="L681" s="6">
        <v>42.796999999999997</v>
      </c>
      <c r="M681" s="6">
        <v>42.796999999999997</v>
      </c>
      <c r="N681" s="6">
        <v>42.796999999999997</v>
      </c>
      <c r="O681" s="6">
        <v>42.796999999999997</v>
      </c>
      <c r="P681" s="6">
        <v>266</v>
      </c>
      <c r="Q681" s="4" t="s">
        <v>26</v>
      </c>
      <c r="R681" s="4">
        <v>0</v>
      </c>
      <c r="S681" s="4" t="s">
        <v>237</v>
      </c>
      <c r="T681" s="4" t="s">
        <v>459</v>
      </c>
      <c r="U681" s="4">
        <v>0</v>
      </c>
      <c r="V681" s="4">
        <v>30</v>
      </c>
      <c r="W681" s="4">
        <v>71</v>
      </c>
    </row>
    <row r="682" spans="1:23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44348</v>
      </c>
      <c r="J682" s="6">
        <v>0</v>
      </c>
      <c r="K682" s="6">
        <v>0</v>
      </c>
      <c r="L682" s="6">
        <v>139.75299999999999</v>
      </c>
      <c r="M682" s="6">
        <v>139.75299999999999</v>
      </c>
      <c r="N682" s="6">
        <v>139.75299999999999</v>
      </c>
      <c r="O682" s="6">
        <v>139.75299999999999</v>
      </c>
      <c r="P682" s="6">
        <v>227</v>
      </c>
      <c r="Q682" s="4" t="s">
        <v>26</v>
      </c>
      <c r="R682" s="4">
        <v>0</v>
      </c>
      <c r="S682" s="4" t="s">
        <v>238</v>
      </c>
      <c r="T682" s="4" t="s">
        <v>460</v>
      </c>
      <c r="U682" s="4">
        <v>0</v>
      </c>
      <c r="V682" s="4">
        <v>31</v>
      </c>
      <c r="W682" s="4">
        <v>72</v>
      </c>
    </row>
    <row r="683" spans="1:23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44378</v>
      </c>
      <c r="J683" s="6">
        <v>0</v>
      </c>
      <c r="K683" s="6">
        <v>0</v>
      </c>
      <c r="L683" s="6">
        <v>141.46</v>
      </c>
      <c r="M683" s="6">
        <v>141.46</v>
      </c>
      <c r="N683" s="6">
        <v>141.46</v>
      </c>
      <c r="O683" s="6">
        <v>141.46</v>
      </c>
      <c r="P683" s="6">
        <v>254</v>
      </c>
      <c r="Q683" s="4" t="s">
        <v>26</v>
      </c>
      <c r="R683" s="4">
        <v>0</v>
      </c>
      <c r="S683" s="4" t="s">
        <v>239</v>
      </c>
      <c r="T683" s="4" t="s">
        <v>461</v>
      </c>
      <c r="U683" s="4">
        <v>0</v>
      </c>
      <c r="V683" s="4">
        <v>31</v>
      </c>
      <c r="W683" s="4">
        <v>72</v>
      </c>
    </row>
    <row r="684" spans="1:23" ht="11.25" customHeight="1" x14ac:dyDescent="0.25">
      <c r="A684" s="4" t="s">
        <v>21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44409</v>
      </c>
      <c r="J684" s="6">
        <v>0</v>
      </c>
      <c r="K684" s="6">
        <v>0</v>
      </c>
      <c r="L684" s="6">
        <v>143.18799999999999</v>
      </c>
      <c r="M684" s="6">
        <v>143.18799999999999</v>
      </c>
      <c r="N684" s="6">
        <v>143.18799999999999</v>
      </c>
      <c r="O684" s="6">
        <v>143.18799999999999</v>
      </c>
      <c r="P684" s="6">
        <v>251</v>
      </c>
      <c r="Q684" s="4" t="s">
        <v>26</v>
      </c>
      <c r="R684" s="4">
        <v>0</v>
      </c>
      <c r="S684" s="4" t="s">
        <v>240</v>
      </c>
      <c r="T684" s="4" t="s">
        <v>462</v>
      </c>
      <c r="U684" s="4">
        <v>0</v>
      </c>
      <c r="V684" s="4">
        <v>31</v>
      </c>
      <c r="W684" s="4">
        <v>72</v>
      </c>
    </row>
    <row r="685" spans="1:23" ht="11.25" customHeight="1" x14ac:dyDescent="0.25">
      <c r="A685" s="4" t="s">
        <v>21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6">
        <v>0</v>
      </c>
      <c r="L685" s="6">
        <v>144.38200000000001</v>
      </c>
      <c r="M685" s="6">
        <v>144.38200000000001</v>
      </c>
      <c r="N685" s="6">
        <v>144.38200000000001</v>
      </c>
      <c r="O685" s="6">
        <v>144.38200000000001</v>
      </c>
      <c r="P685" s="6">
        <v>217</v>
      </c>
      <c r="Q685" s="4" t="s">
        <v>26</v>
      </c>
      <c r="R685" s="4">
        <v>0</v>
      </c>
      <c r="S685" s="4" t="s">
        <v>241</v>
      </c>
      <c r="T685" s="4" t="s">
        <v>463</v>
      </c>
      <c r="U685" s="4">
        <v>0</v>
      </c>
      <c r="V685" s="4">
        <v>31</v>
      </c>
      <c r="W685" s="4">
        <v>72</v>
      </c>
    </row>
    <row r="686" spans="1:23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6">
        <v>0</v>
      </c>
      <c r="L686" s="6">
        <v>143.66900000000001</v>
      </c>
      <c r="M686" s="6">
        <v>143.66900000000001</v>
      </c>
      <c r="N686" s="6">
        <v>143.66900000000001</v>
      </c>
      <c r="O686" s="6">
        <v>143.66900000000001</v>
      </c>
      <c r="P686" s="6">
        <v>214</v>
      </c>
      <c r="Q686" s="4" t="s">
        <v>26</v>
      </c>
      <c r="R686" s="4">
        <v>0</v>
      </c>
      <c r="S686" s="4" t="s">
        <v>242</v>
      </c>
      <c r="T686" s="4" t="s">
        <v>464</v>
      </c>
      <c r="U686" s="4">
        <v>0</v>
      </c>
      <c r="V686" s="4">
        <v>31</v>
      </c>
      <c r="W686" s="4">
        <v>72</v>
      </c>
    </row>
    <row r="687" spans="1:23" ht="11.25" customHeight="1" x14ac:dyDescent="0.25">
      <c r="A687" s="4" t="s">
        <v>21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140.34</v>
      </c>
      <c r="M687" s="6">
        <v>140.34</v>
      </c>
      <c r="N687" s="6">
        <v>140.34</v>
      </c>
      <c r="O687" s="6">
        <v>140.34</v>
      </c>
      <c r="P687" s="6">
        <v>217</v>
      </c>
      <c r="Q687" s="4" t="s">
        <v>26</v>
      </c>
      <c r="R687" s="4">
        <v>0</v>
      </c>
      <c r="S687" s="4" t="s">
        <v>243</v>
      </c>
      <c r="T687" s="4" t="s">
        <v>465</v>
      </c>
      <c r="U687" s="4">
        <v>0</v>
      </c>
      <c r="V687" s="4">
        <v>31</v>
      </c>
      <c r="W687" s="4">
        <v>72</v>
      </c>
    </row>
    <row r="688" spans="1:2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136.69900000000001</v>
      </c>
      <c r="M688" s="6">
        <v>136.69900000000001</v>
      </c>
      <c r="N688" s="6">
        <v>136.69900000000001</v>
      </c>
      <c r="O688" s="6">
        <v>136.69900000000001</v>
      </c>
      <c r="P688" s="6">
        <v>178</v>
      </c>
      <c r="Q688" s="4" t="s">
        <v>26</v>
      </c>
      <c r="R688" s="4">
        <v>0</v>
      </c>
      <c r="S688" s="4" t="s">
        <v>244</v>
      </c>
      <c r="T688" s="4" t="s">
        <v>466</v>
      </c>
      <c r="U688" s="4">
        <v>0</v>
      </c>
      <c r="V688" s="4">
        <v>31</v>
      </c>
      <c r="W688" s="4">
        <v>72</v>
      </c>
    </row>
    <row r="689" spans="1:23" ht="11.25" customHeight="1" x14ac:dyDescent="0.25">
      <c r="A689" s="4" t="s">
        <v>21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137.904</v>
      </c>
      <c r="M689" s="6">
        <v>137.904</v>
      </c>
      <c r="N689" s="6">
        <v>137.904</v>
      </c>
      <c r="O689" s="6">
        <v>137.904</v>
      </c>
      <c r="P689" s="6">
        <v>181</v>
      </c>
      <c r="Q689" s="4" t="s">
        <v>26</v>
      </c>
      <c r="R689" s="4">
        <v>0</v>
      </c>
      <c r="S689" s="4" t="s">
        <v>245</v>
      </c>
      <c r="T689" s="4" t="s">
        <v>467</v>
      </c>
      <c r="U689" s="4">
        <v>0</v>
      </c>
      <c r="V689" s="4">
        <v>31</v>
      </c>
      <c r="W689" s="4">
        <v>72</v>
      </c>
    </row>
    <row r="690" spans="1:23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142.95599999999999</v>
      </c>
      <c r="M690" s="6">
        <v>142.95599999999999</v>
      </c>
      <c r="N690" s="6">
        <v>142.95599999999999</v>
      </c>
      <c r="O690" s="6">
        <v>142.95599999999999</v>
      </c>
      <c r="P690" s="6">
        <v>186</v>
      </c>
      <c r="Q690" s="4" t="s">
        <v>26</v>
      </c>
      <c r="R690" s="4">
        <v>0</v>
      </c>
      <c r="S690" s="4" t="s">
        <v>246</v>
      </c>
      <c r="T690" s="4" t="s">
        <v>468</v>
      </c>
      <c r="U690" s="4">
        <v>0</v>
      </c>
      <c r="V690" s="4">
        <v>31</v>
      </c>
      <c r="W690" s="4">
        <v>72</v>
      </c>
    </row>
    <row r="691" spans="1:23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44621</v>
      </c>
      <c r="J691" s="6">
        <v>0</v>
      </c>
      <c r="K691" s="6">
        <v>0</v>
      </c>
      <c r="L691" s="6">
        <v>153.839</v>
      </c>
      <c r="M691" s="6">
        <v>153.839</v>
      </c>
      <c r="N691" s="6">
        <v>153.839</v>
      </c>
      <c r="O691" s="6">
        <v>153.839</v>
      </c>
      <c r="P691" s="6">
        <v>200</v>
      </c>
      <c r="Q691" s="4" t="s">
        <v>26</v>
      </c>
      <c r="R691" s="4">
        <v>0</v>
      </c>
      <c r="S691" s="4" t="s">
        <v>247</v>
      </c>
      <c r="T691" s="4" t="s">
        <v>469</v>
      </c>
      <c r="U691" s="4">
        <v>0</v>
      </c>
      <c r="V691" s="4">
        <v>31</v>
      </c>
      <c r="W691" s="4">
        <v>72</v>
      </c>
    </row>
    <row r="692" spans="1:2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44652</v>
      </c>
      <c r="J692" s="6">
        <v>0</v>
      </c>
      <c r="K692" s="6">
        <v>0</v>
      </c>
      <c r="L692" s="6">
        <v>154.833</v>
      </c>
      <c r="M692" s="6">
        <v>154.833</v>
      </c>
      <c r="N692" s="6">
        <v>154.833</v>
      </c>
      <c r="O692" s="6">
        <v>154.833</v>
      </c>
      <c r="P692" s="6">
        <v>226</v>
      </c>
      <c r="Q692" s="4" t="s">
        <v>26</v>
      </c>
      <c r="R692" s="4">
        <v>0</v>
      </c>
      <c r="S692" s="4" t="s">
        <v>248</v>
      </c>
      <c r="T692" s="4" t="s">
        <v>470</v>
      </c>
      <c r="U692" s="4">
        <v>0</v>
      </c>
      <c r="V692" s="4">
        <v>31</v>
      </c>
      <c r="W692" s="4">
        <v>72</v>
      </c>
    </row>
    <row r="693" spans="1:23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44682</v>
      </c>
      <c r="J693" s="6">
        <v>0</v>
      </c>
      <c r="K693" s="6">
        <v>0</v>
      </c>
      <c r="L693" s="6">
        <v>156.267</v>
      </c>
      <c r="M693" s="6">
        <v>156.267</v>
      </c>
      <c r="N693" s="6">
        <v>156.267</v>
      </c>
      <c r="O693" s="6">
        <v>156.267</v>
      </c>
      <c r="P693" s="6">
        <v>247</v>
      </c>
      <c r="Q693" s="4" t="s">
        <v>26</v>
      </c>
      <c r="R693" s="4">
        <v>0</v>
      </c>
      <c r="S693" s="4" t="s">
        <v>249</v>
      </c>
      <c r="T693" s="4" t="s">
        <v>471</v>
      </c>
      <c r="U693" s="4">
        <v>0</v>
      </c>
      <c r="V693" s="4">
        <v>31</v>
      </c>
      <c r="W693" s="4">
        <v>72</v>
      </c>
    </row>
    <row r="694" spans="1:23" ht="11.25" customHeight="1" x14ac:dyDescent="0.25">
      <c r="A694" s="4" t="s">
        <v>27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44682</v>
      </c>
      <c r="J694" s="6">
        <v>0</v>
      </c>
      <c r="K694" s="6">
        <v>0</v>
      </c>
      <c r="L694" s="6">
        <v>0.06</v>
      </c>
      <c r="M694" s="6">
        <v>0.06</v>
      </c>
      <c r="N694" s="6">
        <v>0.06</v>
      </c>
      <c r="O694" s="6">
        <v>0.06</v>
      </c>
      <c r="P694" s="6">
        <v>0</v>
      </c>
      <c r="Q694" s="4" t="s">
        <v>26</v>
      </c>
      <c r="R694" s="4">
        <v>0</v>
      </c>
      <c r="S694" s="4" t="s">
        <v>249</v>
      </c>
      <c r="T694" s="4" t="s">
        <v>471</v>
      </c>
      <c r="U694" s="4">
        <v>0</v>
      </c>
      <c r="V694" s="4">
        <v>31</v>
      </c>
      <c r="W694" s="4">
        <v>72</v>
      </c>
    </row>
    <row r="695" spans="1:23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30</v>
      </c>
      <c r="F695" s="4" t="s">
        <v>25</v>
      </c>
      <c r="G695" s="4" t="s">
        <v>25</v>
      </c>
      <c r="H695" s="4" t="s">
        <v>25</v>
      </c>
      <c r="I695" s="5">
        <v>44348</v>
      </c>
      <c r="J695" s="6">
        <v>0</v>
      </c>
      <c r="K695" s="6">
        <v>0</v>
      </c>
      <c r="L695" s="6">
        <v>261.74599999999998</v>
      </c>
      <c r="M695" s="6">
        <v>261.74599999999998</v>
      </c>
      <c r="N695" s="6">
        <v>261.74599999999998</v>
      </c>
      <c r="O695" s="6">
        <v>261.74599999999998</v>
      </c>
      <c r="P695" s="6">
        <v>1688</v>
      </c>
      <c r="Q695" s="4" t="s">
        <v>26</v>
      </c>
      <c r="R695" s="4">
        <v>0</v>
      </c>
      <c r="S695" s="4" t="s">
        <v>250</v>
      </c>
      <c r="T695" s="4" t="s">
        <v>472</v>
      </c>
      <c r="U695" s="4">
        <v>0</v>
      </c>
      <c r="V695" s="4">
        <v>32</v>
      </c>
      <c r="W695" s="4">
        <v>73</v>
      </c>
    </row>
    <row r="696" spans="1:23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30</v>
      </c>
      <c r="F696" s="4" t="s">
        <v>25</v>
      </c>
      <c r="G696" s="4" t="s">
        <v>25</v>
      </c>
      <c r="H696" s="4" t="s">
        <v>25</v>
      </c>
      <c r="I696" s="5">
        <v>44348</v>
      </c>
      <c r="J696" s="6">
        <v>0</v>
      </c>
      <c r="K696" s="6">
        <v>0</v>
      </c>
      <c r="L696" s="6">
        <v>-8.9999999999999993E-3</v>
      </c>
      <c r="M696" s="6">
        <v>-8.9999999999999993E-3</v>
      </c>
      <c r="N696" s="6">
        <v>-8.9999999999999993E-3</v>
      </c>
      <c r="O696" s="6">
        <v>-8.9999999999999993E-3</v>
      </c>
      <c r="P696" s="6">
        <v>0</v>
      </c>
      <c r="Q696" s="4" t="s">
        <v>26</v>
      </c>
      <c r="R696" s="4">
        <v>0</v>
      </c>
      <c r="S696" s="4" t="s">
        <v>250</v>
      </c>
      <c r="T696" s="4" t="s">
        <v>472</v>
      </c>
      <c r="U696" s="4">
        <v>0</v>
      </c>
      <c r="V696" s="4">
        <v>32</v>
      </c>
      <c r="W696" s="4">
        <v>73</v>
      </c>
    </row>
    <row r="697" spans="1:23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30</v>
      </c>
      <c r="F697" s="4" t="s">
        <v>25</v>
      </c>
      <c r="G697" s="4" t="s">
        <v>25</v>
      </c>
      <c r="H697" s="4" t="s">
        <v>25</v>
      </c>
      <c r="I697" s="5">
        <v>44378</v>
      </c>
      <c r="J697" s="6">
        <v>0</v>
      </c>
      <c r="K697" s="6">
        <v>0</v>
      </c>
      <c r="L697" s="6">
        <v>261.61599999999999</v>
      </c>
      <c r="M697" s="6">
        <v>261.61599999999999</v>
      </c>
      <c r="N697" s="6">
        <v>261.61599999999999</v>
      </c>
      <c r="O697" s="6">
        <v>261.61599999999999</v>
      </c>
      <c r="P697" s="6">
        <v>1732</v>
      </c>
      <c r="Q697" s="4" t="s">
        <v>26</v>
      </c>
      <c r="R697" s="4">
        <v>0</v>
      </c>
      <c r="S697" s="4" t="s">
        <v>251</v>
      </c>
      <c r="T697" s="4" t="s">
        <v>473</v>
      </c>
      <c r="U697" s="4">
        <v>0</v>
      </c>
      <c r="V697" s="4">
        <v>32</v>
      </c>
      <c r="W697" s="4">
        <v>73</v>
      </c>
    </row>
    <row r="698" spans="1:23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30</v>
      </c>
      <c r="F698" s="4" t="s">
        <v>25</v>
      </c>
      <c r="G698" s="4" t="s">
        <v>25</v>
      </c>
      <c r="H698" s="4" t="s">
        <v>25</v>
      </c>
      <c r="I698" s="5">
        <v>44378</v>
      </c>
      <c r="J698" s="6">
        <v>0</v>
      </c>
      <c r="K698" s="6">
        <v>0</v>
      </c>
      <c r="L698" s="6">
        <v>-4.0000000000000001E-3</v>
      </c>
      <c r="M698" s="6">
        <v>-4.0000000000000001E-3</v>
      </c>
      <c r="N698" s="6">
        <v>-4.0000000000000001E-3</v>
      </c>
      <c r="O698" s="6">
        <v>-4.0000000000000001E-3</v>
      </c>
      <c r="P698" s="6">
        <v>0</v>
      </c>
      <c r="Q698" s="4" t="s">
        <v>26</v>
      </c>
      <c r="R698" s="4">
        <v>0</v>
      </c>
      <c r="S698" s="4" t="s">
        <v>251</v>
      </c>
      <c r="T698" s="4" t="s">
        <v>473</v>
      </c>
      <c r="U698" s="4">
        <v>0</v>
      </c>
      <c r="V698" s="4">
        <v>32</v>
      </c>
      <c r="W698" s="4">
        <v>73</v>
      </c>
    </row>
    <row r="699" spans="1:23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30</v>
      </c>
      <c r="F699" s="4" t="s">
        <v>25</v>
      </c>
      <c r="G699" s="4" t="s">
        <v>25</v>
      </c>
      <c r="H699" s="4" t="s">
        <v>25</v>
      </c>
      <c r="I699" s="5">
        <v>44409</v>
      </c>
      <c r="J699" s="6">
        <v>0</v>
      </c>
      <c r="K699" s="6">
        <v>0</v>
      </c>
      <c r="L699" s="6">
        <v>265.65699999999998</v>
      </c>
      <c r="M699" s="6">
        <v>265.65699999999998</v>
      </c>
      <c r="N699" s="6">
        <v>265.65699999999998</v>
      </c>
      <c r="O699" s="6">
        <v>265.65699999999998</v>
      </c>
      <c r="P699" s="6">
        <v>1693</v>
      </c>
      <c r="Q699" s="4" t="s">
        <v>26</v>
      </c>
      <c r="R699" s="4">
        <v>0</v>
      </c>
      <c r="S699" s="4" t="s">
        <v>252</v>
      </c>
      <c r="T699" s="4" t="s">
        <v>474</v>
      </c>
      <c r="U699" s="4">
        <v>0</v>
      </c>
      <c r="V699" s="4">
        <v>32</v>
      </c>
      <c r="W699" s="4">
        <v>73</v>
      </c>
    </row>
    <row r="700" spans="1:23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30</v>
      </c>
      <c r="F700" s="4" t="s">
        <v>25</v>
      </c>
      <c r="G700" s="4" t="s">
        <v>25</v>
      </c>
      <c r="H700" s="4" t="s">
        <v>25</v>
      </c>
      <c r="I700" s="5">
        <v>44409</v>
      </c>
      <c r="J700" s="6">
        <v>0</v>
      </c>
      <c r="K700" s="6">
        <v>0</v>
      </c>
      <c r="L700" s="6">
        <v>-3.9E-2</v>
      </c>
      <c r="M700" s="6">
        <v>-3.9E-2</v>
      </c>
      <c r="N700" s="6">
        <v>-3.9E-2</v>
      </c>
      <c r="O700" s="6">
        <v>-3.9E-2</v>
      </c>
      <c r="P700" s="6">
        <v>0</v>
      </c>
      <c r="Q700" s="4" t="s">
        <v>26</v>
      </c>
      <c r="R700" s="4">
        <v>0</v>
      </c>
      <c r="S700" s="4" t="s">
        <v>252</v>
      </c>
      <c r="T700" s="4" t="s">
        <v>474</v>
      </c>
      <c r="U700" s="4">
        <v>0</v>
      </c>
      <c r="V700" s="4">
        <v>32</v>
      </c>
      <c r="W700" s="4">
        <v>73</v>
      </c>
    </row>
    <row r="701" spans="1:23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30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273.36700000000002</v>
      </c>
      <c r="M701" s="6">
        <v>273.36700000000002</v>
      </c>
      <c r="N701" s="6">
        <v>273.36700000000002</v>
      </c>
      <c r="O701" s="6">
        <v>273.36700000000002</v>
      </c>
      <c r="P701" s="6">
        <v>1663</v>
      </c>
      <c r="Q701" s="4" t="s">
        <v>26</v>
      </c>
      <c r="R701" s="4">
        <v>0</v>
      </c>
      <c r="S701" s="4" t="s">
        <v>253</v>
      </c>
      <c r="T701" s="4" t="s">
        <v>475</v>
      </c>
      <c r="U701" s="4">
        <v>0</v>
      </c>
      <c r="V701" s="4">
        <v>32</v>
      </c>
      <c r="W701" s="4">
        <v>73</v>
      </c>
    </row>
    <row r="702" spans="1:23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30</v>
      </c>
      <c r="F702" s="4" t="s">
        <v>25</v>
      </c>
      <c r="G702" s="4" t="s">
        <v>25</v>
      </c>
      <c r="H702" s="4" t="s">
        <v>25</v>
      </c>
      <c r="I702" s="5">
        <v>44440</v>
      </c>
      <c r="J702" s="6">
        <v>0</v>
      </c>
      <c r="K702" s="6">
        <v>0</v>
      </c>
      <c r="L702" s="6">
        <v>-0.13500000000000001</v>
      </c>
      <c r="M702" s="6">
        <v>-0.13500000000000001</v>
      </c>
      <c r="N702" s="6">
        <v>-0.13500000000000001</v>
      </c>
      <c r="O702" s="6">
        <v>-0.13500000000000001</v>
      </c>
      <c r="P702" s="6">
        <v>0</v>
      </c>
      <c r="Q702" s="4" t="s">
        <v>26</v>
      </c>
      <c r="R702" s="4">
        <v>0</v>
      </c>
      <c r="S702" s="4" t="s">
        <v>253</v>
      </c>
      <c r="T702" s="4" t="s">
        <v>475</v>
      </c>
      <c r="U702" s="4">
        <v>0</v>
      </c>
      <c r="V702" s="4">
        <v>32</v>
      </c>
      <c r="W702" s="4">
        <v>73</v>
      </c>
    </row>
    <row r="703" spans="1:23" ht="11.25" customHeight="1" x14ac:dyDescent="0.25">
      <c r="A703" s="4" t="s">
        <v>21</v>
      </c>
      <c r="B703" s="4" t="s">
        <v>22</v>
      </c>
      <c r="C703" s="4" t="s">
        <v>23</v>
      </c>
      <c r="D703" s="4" t="s">
        <v>24</v>
      </c>
      <c r="E703" s="4" t="s">
        <v>30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273.81</v>
      </c>
      <c r="M703" s="6">
        <v>273.81</v>
      </c>
      <c r="N703" s="6">
        <v>273.81</v>
      </c>
      <c r="O703" s="6">
        <v>273.81</v>
      </c>
      <c r="P703" s="6">
        <v>1632</v>
      </c>
      <c r="Q703" s="4" t="s">
        <v>26</v>
      </c>
      <c r="R703" s="4">
        <v>0</v>
      </c>
      <c r="S703" s="4" t="s">
        <v>254</v>
      </c>
      <c r="T703" s="4" t="s">
        <v>476</v>
      </c>
      <c r="U703" s="4">
        <v>0</v>
      </c>
      <c r="V703" s="4">
        <v>32</v>
      </c>
      <c r="W703" s="4">
        <v>73</v>
      </c>
    </row>
    <row r="704" spans="1:23" ht="11.25" customHeight="1" x14ac:dyDescent="0.25">
      <c r="A704" s="4" t="s">
        <v>27</v>
      </c>
      <c r="B704" s="4" t="s">
        <v>22</v>
      </c>
      <c r="C704" s="4" t="s">
        <v>23</v>
      </c>
      <c r="D704" s="4" t="s">
        <v>24</v>
      </c>
      <c r="E704" s="4" t="s">
        <v>30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-6.5000000000000002E-2</v>
      </c>
      <c r="M704" s="6">
        <v>-6.5000000000000002E-2</v>
      </c>
      <c r="N704" s="6">
        <v>-6.5000000000000002E-2</v>
      </c>
      <c r="O704" s="6">
        <v>-6.5000000000000002E-2</v>
      </c>
      <c r="P704" s="6">
        <v>0</v>
      </c>
      <c r="Q704" s="4" t="s">
        <v>26</v>
      </c>
      <c r="R704" s="4">
        <v>0</v>
      </c>
      <c r="S704" s="4" t="s">
        <v>254</v>
      </c>
      <c r="T704" s="4" t="s">
        <v>476</v>
      </c>
      <c r="U704" s="4">
        <v>0</v>
      </c>
      <c r="V704" s="4">
        <v>32</v>
      </c>
      <c r="W704" s="4">
        <v>73</v>
      </c>
    </row>
    <row r="705" spans="1:23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30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265.63600000000002</v>
      </c>
      <c r="M705" s="6">
        <v>265.63600000000002</v>
      </c>
      <c r="N705" s="6">
        <v>265.63600000000002</v>
      </c>
      <c r="O705" s="6">
        <v>265.63600000000002</v>
      </c>
      <c r="P705" s="6">
        <v>1637</v>
      </c>
      <c r="Q705" s="4" t="s">
        <v>26</v>
      </c>
      <c r="R705" s="4">
        <v>0</v>
      </c>
      <c r="S705" s="4" t="s">
        <v>255</v>
      </c>
      <c r="T705" s="4" t="s">
        <v>477</v>
      </c>
      <c r="U705" s="4">
        <v>0</v>
      </c>
      <c r="V705" s="4">
        <v>32</v>
      </c>
      <c r="W705" s="4">
        <v>73</v>
      </c>
    </row>
    <row r="706" spans="1:23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30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-6.4000000000000001E-2</v>
      </c>
      <c r="M706" s="6">
        <v>-6.4000000000000001E-2</v>
      </c>
      <c r="N706" s="6">
        <v>-6.4000000000000001E-2</v>
      </c>
      <c r="O706" s="6">
        <v>-6.4000000000000001E-2</v>
      </c>
      <c r="P706" s="6">
        <v>0</v>
      </c>
      <c r="Q706" s="4" t="s">
        <v>26</v>
      </c>
      <c r="R706" s="4">
        <v>0</v>
      </c>
      <c r="S706" s="4" t="s">
        <v>255</v>
      </c>
      <c r="T706" s="4" t="s">
        <v>477</v>
      </c>
      <c r="U706" s="4">
        <v>0</v>
      </c>
      <c r="V706" s="4">
        <v>32</v>
      </c>
      <c r="W706" s="4">
        <v>73</v>
      </c>
    </row>
    <row r="707" spans="1:23" ht="11.25" customHeight="1" x14ac:dyDescent="0.25">
      <c r="A707" s="4" t="s">
        <v>21</v>
      </c>
      <c r="B707" s="4" t="s">
        <v>22</v>
      </c>
      <c r="C707" s="4" t="s">
        <v>23</v>
      </c>
      <c r="D707" s="4" t="s">
        <v>24</v>
      </c>
      <c r="E707" s="4" t="s">
        <v>30</v>
      </c>
      <c r="F707" s="4" t="s">
        <v>25</v>
      </c>
      <c r="G707" s="4" t="s">
        <v>25</v>
      </c>
      <c r="H707" s="4" t="s">
        <v>25</v>
      </c>
      <c r="I707" s="5">
        <v>44531</v>
      </c>
      <c r="J707" s="6">
        <v>0</v>
      </c>
      <c r="K707" s="6">
        <v>0</v>
      </c>
      <c r="L707" s="6">
        <v>263.64100000000002</v>
      </c>
      <c r="M707" s="6">
        <v>263.64100000000002</v>
      </c>
      <c r="N707" s="6">
        <v>263.64100000000002</v>
      </c>
      <c r="O707" s="6">
        <v>263.64100000000002</v>
      </c>
      <c r="P707" s="6">
        <v>1554</v>
      </c>
      <c r="Q707" s="4" t="s">
        <v>26</v>
      </c>
      <c r="R707" s="4">
        <v>0</v>
      </c>
      <c r="S707" s="4" t="s">
        <v>256</v>
      </c>
      <c r="T707" s="4" t="s">
        <v>478</v>
      </c>
      <c r="U707" s="4">
        <v>0</v>
      </c>
      <c r="V707" s="4">
        <v>32</v>
      </c>
      <c r="W707" s="4">
        <v>73</v>
      </c>
    </row>
    <row r="708" spans="1:23" ht="11.25" customHeight="1" x14ac:dyDescent="0.25">
      <c r="A708" s="4" t="s">
        <v>27</v>
      </c>
      <c r="B708" s="4" t="s">
        <v>22</v>
      </c>
      <c r="C708" s="4" t="s">
        <v>23</v>
      </c>
      <c r="D708" s="4" t="s">
        <v>24</v>
      </c>
      <c r="E708" s="4" t="s">
        <v>30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1.6E-2</v>
      </c>
      <c r="M708" s="6">
        <v>1.6E-2</v>
      </c>
      <c r="N708" s="6">
        <v>1.6E-2</v>
      </c>
      <c r="O708" s="6">
        <v>1.6E-2</v>
      </c>
      <c r="P708" s="6">
        <v>0</v>
      </c>
      <c r="Q708" s="4" t="s">
        <v>26</v>
      </c>
      <c r="R708" s="4">
        <v>0</v>
      </c>
      <c r="S708" s="4" t="s">
        <v>256</v>
      </c>
      <c r="T708" s="4" t="s">
        <v>478</v>
      </c>
      <c r="U708" s="4">
        <v>0</v>
      </c>
      <c r="V708" s="4">
        <v>32</v>
      </c>
      <c r="W708" s="4">
        <v>73</v>
      </c>
    </row>
    <row r="709" spans="1:23" ht="11.25" customHeight="1" x14ac:dyDescent="0.25">
      <c r="A709" s="4" t="s">
        <v>21</v>
      </c>
      <c r="B709" s="4" t="s">
        <v>22</v>
      </c>
      <c r="C709" s="4" t="s">
        <v>23</v>
      </c>
      <c r="D709" s="4" t="s">
        <v>24</v>
      </c>
      <c r="E709" s="4" t="s">
        <v>30</v>
      </c>
      <c r="F709" s="4" t="s">
        <v>25</v>
      </c>
      <c r="G709" s="4" t="s">
        <v>25</v>
      </c>
      <c r="H709" s="4" t="s">
        <v>25</v>
      </c>
      <c r="I709" s="5">
        <v>44562</v>
      </c>
      <c r="J709" s="6">
        <v>0</v>
      </c>
      <c r="K709" s="6">
        <v>0</v>
      </c>
      <c r="L709" s="6">
        <v>267.75400000000002</v>
      </c>
      <c r="M709" s="6">
        <v>267.75400000000002</v>
      </c>
      <c r="N709" s="6">
        <v>267.75400000000002</v>
      </c>
      <c r="O709" s="6">
        <v>267.75400000000002</v>
      </c>
      <c r="P709" s="6">
        <v>1520</v>
      </c>
      <c r="Q709" s="4" t="s">
        <v>26</v>
      </c>
      <c r="R709" s="4">
        <v>0</v>
      </c>
      <c r="S709" s="4" t="s">
        <v>257</v>
      </c>
      <c r="T709" s="4" t="s">
        <v>479</v>
      </c>
      <c r="U709" s="4">
        <v>0</v>
      </c>
      <c r="V709" s="4">
        <v>32</v>
      </c>
      <c r="W709" s="4">
        <v>73</v>
      </c>
    </row>
    <row r="710" spans="1:23" ht="11.25" customHeight="1" x14ac:dyDescent="0.25">
      <c r="A710" s="4" t="s">
        <v>27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44562</v>
      </c>
      <c r="J710" s="6">
        <v>0</v>
      </c>
      <c r="K710" s="6">
        <v>0</v>
      </c>
      <c r="L710" s="6">
        <v>-0.09</v>
      </c>
      <c r="M710" s="6">
        <v>-0.09</v>
      </c>
      <c r="N710" s="6">
        <v>-0.09</v>
      </c>
      <c r="O710" s="6">
        <v>-0.09</v>
      </c>
      <c r="P710" s="6">
        <v>0</v>
      </c>
      <c r="Q710" s="4" t="s">
        <v>26</v>
      </c>
      <c r="R710" s="4">
        <v>0</v>
      </c>
      <c r="S710" s="4" t="s">
        <v>257</v>
      </c>
      <c r="T710" s="4" t="s">
        <v>479</v>
      </c>
      <c r="U710" s="4">
        <v>0</v>
      </c>
      <c r="V710" s="4">
        <v>32</v>
      </c>
      <c r="W710" s="4">
        <v>73</v>
      </c>
    </row>
    <row r="711" spans="1:2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44593</v>
      </c>
      <c r="J711" s="6">
        <v>0</v>
      </c>
      <c r="K711" s="6">
        <v>0</v>
      </c>
      <c r="L711" s="6">
        <v>283.09500000000003</v>
      </c>
      <c r="M711" s="6">
        <v>283.09500000000003</v>
      </c>
      <c r="N711" s="6">
        <v>283.09500000000003</v>
      </c>
      <c r="O711" s="6">
        <v>283.09500000000003</v>
      </c>
      <c r="P711" s="6">
        <v>1423</v>
      </c>
      <c r="Q711" s="4" t="s">
        <v>26</v>
      </c>
      <c r="R711" s="4">
        <v>0</v>
      </c>
      <c r="S711" s="4" t="s">
        <v>258</v>
      </c>
      <c r="T711" s="4" t="s">
        <v>480</v>
      </c>
      <c r="U711" s="4">
        <v>0</v>
      </c>
      <c r="V711" s="4">
        <v>32</v>
      </c>
      <c r="W711" s="4">
        <v>73</v>
      </c>
    </row>
    <row r="712" spans="1:23" ht="11.25" customHeight="1" x14ac:dyDescent="0.25">
      <c r="A712" s="4" t="s">
        <v>21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299.08600000000001</v>
      </c>
      <c r="M712" s="6">
        <v>299.08600000000001</v>
      </c>
      <c r="N712" s="6">
        <v>299.08600000000001</v>
      </c>
      <c r="O712" s="6">
        <v>299.08600000000001</v>
      </c>
      <c r="P712" s="6">
        <v>1670</v>
      </c>
      <c r="Q712" s="4" t="s">
        <v>26</v>
      </c>
      <c r="R712" s="4">
        <v>0</v>
      </c>
      <c r="S712" s="4" t="s">
        <v>259</v>
      </c>
      <c r="T712" s="4" t="s">
        <v>481</v>
      </c>
      <c r="U712" s="4">
        <v>0</v>
      </c>
      <c r="V712" s="4">
        <v>32</v>
      </c>
      <c r="W712" s="4">
        <v>73</v>
      </c>
    </row>
    <row r="713" spans="1:23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295.02300000000002</v>
      </c>
      <c r="M713" s="6">
        <v>295.02300000000002</v>
      </c>
      <c r="N713" s="6">
        <v>295.02300000000002</v>
      </c>
      <c r="O713" s="6">
        <v>295.02300000000002</v>
      </c>
      <c r="P713" s="6">
        <v>1800</v>
      </c>
      <c r="Q713" s="4" t="s">
        <v>26</v>
      </c>
      <c r="R713" s="4">
        <v>0</v>
      </c>
      <c r="S713" s="4" t="s">
        <v>260</v>
      </c>
      <c r="T713" s="4" t="s">
        <v>482</v>
      </c>
      <c r="U713" s="4">
        <v>0</v>
      </c>
      <c r="V713" s="4">
        <v>32</v>
      </c>
      <c r="W713" s="4">
        <v>73</v>
      </c>
    </row>
    <row r="714" spans="1:2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44682</v>
      </c>
      <c r="J714" s="6">
        <v>0</v>
      </c>
      <c r="K714" s="6">
        <v>0</v>
      </c>
      <c r="L714" s="6">
        <v>296.60599999999999</v>
      </c>
      <c r="M714" s="6">
        <v>296.60599999999999</v>
      </c>
      <c r="N714" s="6">
        <v>296.60599999999999</v>
      </c>
      <c r="O714" s="6">
        <v>296.60599999999999</v>
      </c>
      <c r="P714" s="6">
        <v>1802</v>
      </c>
      <c r="Q714" s="4" t="s">
        <v>26</v>
      </c>
      <c r="R714" s="4">
        <v>0</v>
      </c>
      <c r="S714" s="4" t="s">
        <v>261</v>
      </c>
      <c r="T714" s="4" t="s">
        <v>483</v>
      </c>
      <c r="U714" s="4">
        <v>0</v>
      </c>
      <c r="V714" s="4">
        <v>32</v>
      </c>
      <c r="W714" s="4">
        <v>73</v>
      </c>
    </row>
    <row r="715" spans="1:2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44682</v>
      </c>
      <c r="J715" s="6">
        <v>0</v>
      </c>
      <c r="K715" s="6">
        <v>0</v>
      </c>
      <c r="L715" s="6">
        <v>7.0000000000000007E-2</v>
      </c>
      <c r="M715" s="6">
        <v>7.0000000000000007E-2</v>
      </c>
      <c r="N715" s="6">
        <v>7.0000000000000007E-2</v>
      </c>
      <c r="O715" s="6">
        <v>7.0000000000000007E-2</v>
      </c>
      <c r="P715" s="6">
        <v>0</v>
      </c>
      <c r="Q715" s="4" t="s">
        <v>26</v>
      </c>
      <c r="R715" s="4">
        <v>0</v>
      </c>
      <c r="S715" s="4" t="s">
        <v>261</v>
      </c>
      <c r="T715" s="4" t="s">
        <v>483</v>
      </c>
      <c r="U715" s="4">
        <v>0</v>
      </c>
      <c r="V715" s="4">
        <v>32</v>
      </c>
      <c r="W715" s="4">
        <v>73</v>
      </c>
    </row>
    <row r="716" spans="1:23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31</v>
      </c>
      <c r="F716" s="4" t="s">
        <v>25</v>
      </c>
      <c r="G716" s="4" t="s">
        <v>25</v>
      </c>
      <c r="H716" s="4" t="s">
        <v>25</v>
      </c>
      <c r="I716" s="5">
        <v>44348</v>
      </c>
      <c r="J716" s="6">
        <v>0</v>
      </c>
      <c r="K716" s="6">
        <v>0</v>
      </c>
      <c r="L716" s="6">
        <v>165.16200000000001</v>
      </c>
      <c r="M716" s="6">
        <v>165.16200000000001</v>
      </c>
      <c r="N716" s="6">
        <v>165.16200000000001</v>
      </c>
      <c r="O716" s="6">
        <v>165.16200000000001</v>
      </c>
      <c r="P716" s="6">
        <v>2235</v>
      </c>
      <c r="Q716" s="4" t="s">
        <v>26</v>
      </c>
      <c r="R716" s="4">
        <v>0</v>
      </c>
      <c r="S716" s="4" t="s">
        <v>262</v>
      </c>
      <c r="T716" s="4" t="s">
        <v>484</v>
      </c>
      <c r="U716" s="4">
        <v>0</v>
      </c>
      <c r="V716" s="4">
        <v>33</v>
      </c>
      <c r="W716" s="4">
        <v>74</v>
      </c>
    </row>
    <row r="717" spans="1:23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31</v>
      </c>
      <c r="F717" s="4" t="s">
        <v>25</v>
      </c>
      <c r="G717" s="4" t="s">
        <v>25</v>
      </c>
      <c r="H717" s="4" t="s">
        <v>25</v>
      </c>
      <c r="I717" s="5">
        <v>44348</v>
      </c>
      <c r="J717" s="6">
        <v>0</v>
      </c>
      <c r="K717" s="6">
        <v>0</v>
      </c>
      <c r="L717" s="6">
        <v>-0.14000000000000001</v>
      </c>
      <c r="M717" s="6">
        <v>-0.14000000000000001</v>
      </c>
      <c r="N717" s="6">
        <v>-0.14000000000000001</v>
      </c>
      <c r="O717" s="6">
        <v>-0.14000000000000001</v>
      </c>
      <c r="P717" s="6">
        <v>0</v>
      </c>
      <c r="Q717" s="4" t="s">
        <v>26</v>
      </c>
      <c r="R717" s="4">
        <v>0</v>
      </c>
      <c r="S717" s="4" t="s">
        <v>262</v>
      </c>
      <c r="T717" s="4" t="s">
        <v>484</v>
      </c>
      <c r="U717" s="4">
        <v>0</v>
      </c>
      <c r="V717" s="4">
        <v>33</v>
      </c>
      <c r="W717" s="4">
        <v>74</v>
      </c>
    </row>
    <row r="718" spans="1:23" ht="11.25" customHeight="1" x14ac:dyDescent="0.25">
      <c r="A718" s="4" t="s">
        <v>21</v>
      </c>
      <c r="B718" s="4" t="s">
        <v>22</v>
      </c>
      <c r="C718" s="4" t="s">
        <v>23</v>
      </c>
      <c r="D718" s="4" t="s">
        <v>24</v>
      </c>
      <c r="E718" s="4" t="s">
        <v>31</v>
      </c>
      <c r="F718" s="4" t="s">
        <v>25</v>
      </c>
      <c r="G718" s="4" t="s">
        <v>25</v>
      </c>
      <c r="H718" s="4" t="s">
        <v>25</v>
      </c>
      <c r="I718" s="5">
        <v>44378</v>
      </c>
      <c r="J718" s="6">
        <v>0</v>
      </c>
      <c r="K718" s="6">
        <v>0</v>
      </c>
      <c r="L718" s="6">
        <v>164.381</v>
      </c>
      <c r="M718" s="6">
        <v>164.381</v>
      </c>
      <c r="N718" s="6">
        <v>164.381</v>
      </c>
      <c r="O718" s="6">
        <v>164.381</v>
      </c>
      <c r="P718" s="6">
        <v>2212</v>
      </c>
      <c r="Q718" s="4" t="s">
        <v>26</v>
      </c>
      <c r="R718" s="4">
        <v>0</v>
      </c>
      <c r="S718" s="4" t="s">
        <v>263</v>
      </c>
      <c r="T718" s="4" t="s">
        <v>485</v>
      </c>
      <c r="U718" s="4">
        <v>0</v>
      </c>
      <c r="V718" s="4">
        <v>33</v>
      </c>
      <c r="W718" s="4">
        <v>74</v>
      </c>
    </row>
    <row r="719" spans="1:23" ht="11.25" customHeight="1" x14ac:dyDescent="0.25">
      <c r="A719" s="4" t="s">
        <v>27</v>
      </c>
      <c r="B719" s="4" t="s">
        <v>22</v>
      </c>
      <c r="C719" s="4" t="s">
        <v>23</v>
      </c>
      <c r="D719" s="4" t="s">
        <v>24</v>
      </c>
      <c r="E719" s="4" t="s">
        <v>31</v>
      </c>
      <c r="F719" s="4" t="s">
        <v>25</v>
      </c>
      <c r="G719" s="4" t="s">
        <v>25</v>
      </c>
      <c r="H719" s="4" t="s">
        <v>25</v>
      </c>
      <c r="I719" s="5">
        <v>44378</v>
      </c>
      <c r="J719" s="6">
        <v>0</v>
      </c>
      <c r="K719" s="6">
        <v>0</v>
      </c>
      <c r="L719" s="6">
        <v>-0.13900000000000001</v>
      </c>
      <c r="M719" s="6">
        <v>-0.13900000000000001</v>
      </c>
      <c r="N719" s="6">
        <v>-0.13900000000000001</v>
      </c>
      <c r="O719" s="6">
        <v>-0.13900000000000001</v>
      </c>
      <c r="P719" s="6">
        <v>0</v>
      </c>
      <c r="Q719" s="4" t="s">
        <v>26</v>
      </c>
      <c r="R719" s="4">
        <v>0</v>
      </c>
      <c r="S719" s="4" t="s">
        <v>263</v>
      </c>
      <c r="T719" s="4" t="s">
        <v>485</v>
      </c>
      <c r="U719" s="4">
        <v>0</v>
      </c>
      <c r="V719" s="4">
        <v>33</v>
      </c>
      <c r="W719" s="4">
        <v>74</v>
      </c>
    </row>
    <row r="720" spans="1:2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31</v>
      </c>
      <c r="F720" s="4" t="s">
        <v>25</v>
      </c>
      <c r="G720" s="4" t="s">
        <v>25</v>
      </c>
      <c r="H720" s="4" t="s">
        <v>25</v>
      </c>
      <c r="I720" s="5">
        <v>44409</v>
      </c>
      <c r="J720" s="6">
        <v>0</v>
      </c>
      <c r="K720" s="6">
        <v>0</v>
      </c>
      <c r="L720" s="6">
        <v>172.28899999999999</v>
      </c>
      <c r="M720" s="6">
        <v>172.28899999999999</v>
      </c>
      <c r="N720" s="6">
        <v>172.28899999999999</v>
      </c>
      <c r="O720" s="6">
        <v>172.28899999999999</v>
      </c>
      <c r="P720" s="6">
        <v>2288</v>
      </c>
      <c r="Q720" s="4" t="s">
        <v>26</v>
      </c>
      <c r="R720" s="4">
        <v>0</v>
      </c>
      <c r="S720" s="4" t="s">
        <v>264</v>
      </c>
      <c r="T720" s="4" t="s">
        <v>486</v>
      </c>
      <c r="U720" s="4">
        <v>0</v>
      </c>
      <c r="V720" s="4">
        <v>33</v>
      </c>
      <c r="W720" s="4">
        <v>74</v>
      </c>
    </row>
    <row r="721" spans="1:2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31</v>
      </c>
      <c r="F721" s="4" t="s">
        <v>25</v>
      </c>
      <c r="G721" s="4" t="s">
        <v>25</v>
      </c>
      <c r="H721" s="4" t="s">
        <v>25</v>
      </c>
      <c r="I721" s="5">
        <v>44409</v>
      </c>
      <c r="J721" s="6">
        <v>0</v>
      </c>
      <c r="K721" s="6">
        <v>0</v>
      </c>
      <c r="L721" s="6">
        <v>-0.41199999999999998</v>
      </c>
      <c r="M721" s="6">
        <v>-0.41199999999999998</v>
      </c>
      <c r="N721" s="6">
        <v>-0.41199999999999998</v>
      </c>
      <c r="O721" s="6">
        <v>-0.41199999999999998</v>
      </c>
      <c r="P721" s="6">
        <v>0</v>
      </c>
      <c r="Q721" s="4" t="s">
        <v>26</v>
      </c>
      <c r="R721" s="4">
        <v>0</v>
      </c>
      <c r="S721" s="4" t="s">
        <v>264</v>
      </c>
      <c r="T721" s="4" t="s">
        <v>486</v>
      </c>
      <c r="U721" s="4">
        <v>0</v>
      </c>
      <c r="V721" s="4">
        <v>33</v>
      </c>
      <c r="W721" s="4">
        <v>74</v>
      </c>
    </row>
    <row r="722" spans="1:23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31</v>
      </c>
      <c r="F722" s="4" t="s">
        <v>25</v>
      </c>
      <c r="G722" s="4" t="s">
        <v>25</v>
      </c>
      <c r="H722" s="4" t="s">
        <v>25</v>
      </c>
      <c r="I722" s="5">
        <v>44440</v>
      </c>
      <c r="J722" s="6">
        <v>0</v>
      </c>
      <c r="K722" s="6">
        <v>0</v>
      </c>
      <c r="L722" s="6">
        <v>172.27199999999999</v>
      </c>
      <c r="M722" s="6">
        <v>172.27199999999999</v>
      </c>
      <c r="N722" s="6">
        <v>172.27199999999999</v>
      </c>
      <c r="O722" s="6">
        <v>172.27199999999999</v>
      </c>
      <c r="P722" s="6">
        <v>2446</v>
      </c>
      <c r="Q722" s="4" t="s">
        <v>26</v>
      </c>
      <c r="R722" s="4">
        <v>0</v>
      </c>
      <c r="S722" s="4" t="s">
        <v>265</v>
      </c>
      <c r="T722" s="4" t="s">
        <v>487</v>
      </c>
      <c r="U722" s="4">
        <v>0</v>
      </c>
      <c r="V722" s="4">
        <v>33</v>
      </c>
      <c r="W722" s="4">
        <v>74</v>
      </c>
    </row>
    <row r="723" spans="1:23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31</v>
      </c>
      <c r="F723" s="4" t="s">
        <v>25</v>
      </c>
      <c r="G723" s="4" t="s">
        <v>25</v>
      </c>
      <c r="H723" s="4" t="s">
        <v>25</v>
      </c>
      <c r="I723" s="5">
        <v>44440</v>
      </c>
      <c r="J723" s="6">
        <v>0</v>
      </c>
      <c r="K723" s="6">
        <v>0</v>
      </c>
      <c r="L723" s="6">
        <v>-0.23200000000000001</v>
      </c>
      <c r="M723" s="6">
        <v>-0.23200000000000001</v>
      </c>
      <c r="N723" s="6">
        <v>-0.23200000000000001</v>
      </c>
      <c r="O723" s="6">
        <v>-0.23200000000000001</v>
      </c>
      <c r="P723" s="6">
        <v>0</v>
      </c>
      <c r="Q723" s="4" t="s">
        <v>26</v>
      </c>
      <c r="R723" s="4">
        <v>0</v>
      </c>
      <c r="S723" s="4" t="s">
        <v>265</v>
      </c>
      <c r="T723" s="4" t="s">
        <v>487</v>
      </c>
      <c r="U723" s="4">
        <v>0</v>
      </c>
      <c r="V723" s="4">
        <v>33</v>
      </c>
      <c r="W723" s="4">
        <v>74</v>
      </c>
    </row>
    <row r="724" spans="1:23" ht="11.25" customHeight="1" x14ac:dyDescent="0.25">
      <c r="A724" s="4" t="s">
        <v>21</v>
      </c>
      <c r="B724" s="4" t="s">
        <v>22</v>
      </c>
      <c r="C724" s="4" t="s">
        <v>23</v>
      </c>
      <c r="D724" s="4" t="s">
        <v>24</v>
      </c>
      <c r="E724" s="4" t="s">
        <v>31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6">
        <v>0</v>
      </c>
      <c r="L724" s="6">
        <v>173.268</v>
      </c>
      <c r="M724" s="6">
        <v>173.268</v>
      </c>
      <c r="N724" s="6">
        <v>173.268</v>
      </c>
      <c r="O724" s="6">
        <v>173.268</v>
      </c>
      <c r="P724" s="6">
        <v>2438</v>
      </c>
      <c r="Q724" s="4" t="s">
        <v>26</v>
      </c>
      <c r="R724" s="4">
        <v>0</v>
      </c>
      <c r="S724" s="4" t="s">
        <v>266</v>
      </c>
      <c r="T724" s="4" t="s">
        <v>488</v>
      </c>
      <c r="U724" s="4">
        <v>0</v>
      </c>
      <c r="V724" s="4">
        <v>33</v>
      </c>
      <c r="W724" s="4">
        <v>74</v>
      </c>
    </row>
    <row r="725" spans="1:23" ht="11.25" customHeight="1" x14ac:dyDescent="0.25">
      <c r="A725" s="4" t="s">
        <v>27</v>
      </c>
      <c r="B725" s="4" t="s">
        <v>22</v>
      </c>
      <c r="C725" s="4" t="s">
        <v>23</v>
      </c>
      <c r="D725" s="4" t="s">
        <v>24</v>
      </c>
      <c r="E725" s="4" t="s">
        <v>31</v>
      </c>
      <c r="F725" s="4" t="s">
        <v>25</v>
      </c>
      <c r="G725" s="4" t="s">
        <v>25</v>
      </c>
      <c r="H725" s="4" t="s">
        <v>25</v>
      </c>
      <c r="I725" s="5">
        <v>44470</v>
      </c>
      <c r="J725" s="6">
        <v>0</v>
      </c>
      <c r="K725" s="6">
        <v>0</v>
      </c>
      <c r="L725" s="6">
        <v>-0.32200000000000001</v>
      </c>
      <c r="M725" s="6">
        <v>-0.32200000000000001</v>
      </c>
      <c r="N725" s="6">
        <v>-0.32200000000000001</v>
      </c>
      <c r="O725" s="6">
        <v>-0.32200000000000001</v>
      </c>
      <c r="P725" s="6">
        <v>0</v>
      </c>
      <c r="Q725" s="4" t="s">
        <v>26</v>
      </c>
      <c r="R725" s="4">
        <v>0</v>
      </c>
      <c r="S725" s="4" t="s">
        <v>266</v>
      </c>
      <c r="T725" s="4" t="s">
        <v>488</v>
      </c>
      <c r="U725" s="4">
        <v>0</v>
      </c>
      <c r="V725" s="4">
        <v>33</v>
      </c>
      <c r="W725" s="4">
        <v>74</v>
      </c>
    </row>
    <row r="726" spans="1:2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31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163.98</v>
      </c>
      <c r="M726" s="6">
        <v>163.98</v>
      </c>
      <c r="N726" s="6">
        <v>163.98</v>
      </c>
      <c r="O726" s="6">
        <v>163.98</v>
      </c>
      <c r="P726" s="6">
        <v>2360</v>
      </c>
      <c r="Q726" s="4" t="s">
        <v>26</v>
      </c>
      <c r="R726" s="4">
        <v>0</v>
      </c>
      <c r="S726" s="4" t="s">
        <v>267</v>
      </c>
      <c r="T726" s="4" t="s">
        <v>489</v>
      </c>
      <c r="U726" s="4">
        <v>0</v>
      </c>
      <c r="V726" s="4">
        <v>33</v>
      </c>
      <c r="W726" s="4">
        <v>74</v>
      </c>
    </row>
    <row r="727" spans="1:23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31</v>
      </c>
      <c r="F727" s="4" t="s">
        <v>25</v>
      </c>
      <c r="G727" s="4" t="s">
        <v>25</v>
      </c>
      <c r="H727" s="4" t="s">
        <v>25</v>
      </c>
      <c r="I727" s="5">
        <v>44501</v>
      </c>
      <c r="J727" s="6">
        <v>0</v>
      </c>
      <c r="K727" s="6">
        <v>0</v>
      </c>
      <c r="L727" s="6">
        <v>-0.16700000000000001</v>
      </c>
      <c r="M727" s="6">
        <v>-0.16700000000000001</v>
      </c>
      <c r="N727" s="6">
        <v>-0.16700000000000001</v>
      </c>
      <c r="O727" s="6">
        <v>-0.16700000000000001</v>
      </c>
      <c r="P727" s="6">
        <v>0</v>
      </c>
      <c r="Q727" s="4" t="s">
        <v>26</v>
      </c>
      <c r="R727" s="4">
        <v>0</v>
      </c>
      <c r="S727" s="4" t="s">
        <v>267</v>
      </c>
      <c r="T727" s="4" t="s">
        <v>489</v>
      </c>
      <c r="U727" s="4">
        <v>0</v>
      </c>
      <c r="V727" s="4">
        <v>33</v>
      </c>
      <c r="W727" s="4">
        <v>74</v>
      </c>
    </row>
    <row r="728" spans="1:2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31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157.48400000000001</v>
      </c>
      <c r="M728" s="6">
        <v>157.48400000000001</v>
      </c>
      <c r="N728" s="6">
        <v>157.48400000000001</v>
      </c>
      <c r="O728" s="6">
        <v>157.48400000000001</v>
      </c>
      <c r="P728" s="6">
        <v>2424</v>
      </c>
      <c r="Q728" s="4" t="s">
        <v>26</v>
      </c>
      <c r="R728" s="4">
        <v>0</v>
      </c>
      <c r="S728" s="4" t="s">
        <v>268</v>
      </c>
      <c r="T728" s="4" t="s">
        <v>490</v>
      </c>
      <c r="U728" s="4">
        <v>0</v>
      </c>
      <c r="V728" s="4">
        <v>33</v>
      </c>
      <c r="W728" s="4">
        <v>74</v>
      </c>
    </row>
    <row r="729" spans="1:2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31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-0.33300000000000002</v>
      </c>
      <c r="M729" s="6">
        <v>-0.33300000000000002</v>
      </c>
      <c r="N729" s="6">
        <v>-0.33300000000000002</v>
      </c>
      <c r="O729" s="6">
        <v>-0.33300000000000002</v>
      </c>
      <c r="P729" s="6">
        <v>0</v>
      </c>
      <c r="Q729" s="4" t="s">
        <v>26</v>
      </c>
      <c r="R729" s="4">
        <v>0</v>
      </c>
      <c r="S729" s="4" t="s">
        <v>268</v>
      </c>
      <c r="T729" s="4" t="s">
        <v>490</v>
      </c>
      <c r="U729" s="4">
        <v>0</v>
      </c>
      <c r="V729" s="4">
        <v>33</v>
      </c>
      <c r="W729" s="4">
        <v>74</v>
      </c>
    </row>
    <row r="730" spans="1:2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31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164.59299999999999</v>
      </c>
      <c r="M730" s="6">
        <v>164.59299999999999</v>
      </c>
      <c r="N730" s="6">
        <v>164.59299999999999</v>
      </c>
      <c r="O730" s="6">
        <v>164.59299999999999</v>
      </c>
      <c r="P730" s="6">
        <v>2457</v>
      </c>
      <c r="Q730" s="4" t="s">
        <v>26</v>
      </c>
      <c r="R730" s="4">
        <v>0</v>
      </c>
      <c r="S730" s="4" t="s">
        <v>269</v>
      </c>
      <c r="T730" s="4" t="s">
        <v>491</v>
      </c>
      <c r="U730" s="4">
        <v>0</v>
      </c>
      <c r="V730" s="4">
        <v>33</v>
      </c>
      <c r="W730" s="4">
        <v>74</v>
      </c>
    </row>
    <row r="731" spans="1:23" ht="11.25" customHeight="1" x14ac:dyDescent="0.25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31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-0.313</v>
      </c>
      <c r="M731" s="6">
        <v>-0.313</v>
      </c>
      <c r="N731" s="6">
        <v>-0.313</v>
      </c>
      <c r="O731" s="6">
        <v>-0.313</v>
      </c>
      <c r="P731" s="6">
        <v>0</v>
      </c>
      <c r="Q731" s="4" t="s">
        <v>26</v>
      </c>
      <c r="R731" s="4">
        <v>0</v>
      </c>
      <c r="S731" s="4" t="s">
        <v>269</v>
      </c>
      <c r="T731" s="4" t="s">
        <v>491</v>
      </c>
      <c r="U731" s="4">
        <v>0</v>
      </c>
      <c r="V731" s="4">
        <v>33</v>
      </c>
      <c r="W731" s="4">
        <v>74</v>
      </c>
    </row>
    <row r="732" spans="1:2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31</v>
      </c>
      <c r="F732" s="4" t="s">
        <v>25</v>
      </c>
      <c r="G732" s="4" t="s">
        <v>25</v>
      </c>
      <c r="H732" s="4" t="s">
        <v>25</v>
      </c>
      <c r="I732" s="5">
        <v>44593</v>
      </c>
      <c r="J732" s="6">
        <v>0</v>
      </c>
      <c r="K732" s="6">
        <v>0</v>
      </c>
      <c r="L732" s="6">
        <v>191.77099999999999</v>
      </c>
      <c r="M732" s="6">
        <v>191.77099999999999</v>
      </c>
      <c r="N732" s="6">
        <v>191.77099999999999</v>
      </c>
      <c r="O732" s="6">
        <v>191.77099999999999</v>
      </c>
      <c r="P732" s="6">
        <v>2580</v>
      </c>
      <c r="Q732" s="4" t="s">
        <v>26</v>
      </c>
      <c r="R732" s="4">
        <v>0</v>
      </c>
      <c r="S732" s="4" t="s">
        <v>270</v>
      </c>
      <c r="T732" s="4" t="s">
        <v>492</v>
      </c>
      <c r="U732" s="4">
        <v>0</v>
      </c>
      <c r="V732" s="4">
        <v>33</v>
      </c>
      <c r="W732" s="4">
        <v>74</v>
      </c>
    </row>
    <row r="733" spans="1:23" ht="11.25" customHeight="1" x14ac:dyDescent="0.25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31</v>
      </c>
      <c r="F733" s="4" t="s">
        <v>25</v>
      </c>
      <c r="G733" s="4" t="s">
        <v>25</v>
      </c>
      <c r="H733" s="4" t="s">
        <v>25</v>
      </c>
      <c r="I733" s="5">
        <v>44621</v>
      </c>
      <c r="J733" s="6">
        <v>0</v>
      </c>
      <c r="K733" s="6">
        <v>0</v>
      </c>
      <c r="L733" s="6">
        <v>193.261</v>
      </c>
      <c r="M733" s="6">
        <v>193.261</v>
      </c>
      <c r="N733" s="6">
        <v>193.261</v>
      </c>
      <c r="O733" s="6">
        <v>193.261</v>
      </c>
      <c r="P733" s="6">
        <v>2685</v>
      </c>
      <c r="Q733" s="4" t="s">
        <v>26</v>
      </c>
      <c r="R733" s="4">
        <v>0</v>
      </c>
      <c r="S733" s="4" t="s">
        <v>271</v>
      </c>
      <c r="T733" s="4" t="s">
        <v>493</v>
      </c>
      <c r="U733" s="4">
        <v>0</v>
      </c>
      <c r="V733" s="4">
        <v>33</v>
      </c>
      <c r="W733" s="4">
        <v>74</v>
      </c>
    </row>
    <row r="734" spans="1:23" ht="11.25" customHeight="1" x14ac:dyDescent="0.25">
      <c r="A734" s="4" t="s">
        <v>21</v>
      </c>
      <c r="B734" s="4" t="s">
        <v>22</v>
      </c>
      <c r="C734" s="4" t="s">
        <v>23</v>
      </c>
      <c r="D734" s="4" t="s">
        <v>24</v>
      </c>
      <c r="E734" s="4" t="s">
        <v>31</v>
      </c>
      <c r="F734" s="4" t="s">
        <v>25</v>
      </c>
      <c r="G734" s="4" t="s">
        <v>25</v>
      </c>
      <c r="H734" s="4" t="s">
        <v>25</v>
      </c>
      <c r="I734" s="5">
        <v>44652</v>
      </c>
      <c r="J734" s="6">
        <v>0</v>
      </c>
      <c r="K734" s="6">
        <v>0</v>
      </c>
      <c r="L734" s="6">
        <v>183.00200000000001</v>
      </c>
      <c r="M734" s="6">
        <v>183.00200000000001</v>
      </c>
      <c r="N734" s="6">
        <v>183.00200000000001</v>
      </c>
      <c r="O734" s="6">
        <v>183.00200000000001</v>
      </c>
      <c r="P734" s="6">
        <v>2618</v>
      </c>
      <c r="Q734" s="4" t="s">
        <v>26</v>
      </c>
      <c r="R734" s="4">
        <v>0</v>
      </c>
      <c r="S734" s="4" t="s">
        <v>272</v>
      </c>
      <c r="T734" s="4" t="s">
        <v>494</v>
      </c>
      <c r="U734" s="4">
        <v>0</v>
      </c>
      <c r="V734" s="4">
        <v>33</v>
      </c>
      <c r="W734" s="4">
        <v>74</v>
      </c>
    </row>
    <row r="735" spans="1:2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31</v>
      </c>
      <c r="F735" s="4" t="s">
        <v>25</v>
      </c>
      <c r="G735" s="4" t="s">
        <v>25</v>
      </c>
      <c r="H735" s="4" t="s">
        <v>25</v>
      </c>
      <c r="I735" s="5">
        <v>44682</v>
      </c>
      <c r="J735" s="6">
        <v>0</v>
      </c>
      <c r="K735" s="6">
        <v>0</v>
      </c>
      <c r="L735" s="6">
        <v>185.56899999999999</v>
      </c>
      <c r="M735" s="6">
        <v>185.56899999999999</v>
      </c>
      <c r="N735" s="6">
        <v>185.56899999999999</v>
      </c>
      <c r="O735" s="6">
        <v>185.56899999999999</v>
      </c>
      <c r="P735" s="6">
        <v>2619</v>
      </c>
      <c r="Q735" s="4" t="s">
        <v>26</v>
      </c>
      <c r="R735" s="4">
        <v>0</v>
      </c>
      <c r="S735" s="4" t="s">
        <v>273</v>
      </c>
      <c r="T735" s="4" t="s">
        <v>495</v>
      </c>
      <c r="U735" s="4">
        <v>0</v>
      </c>
      <c r="V735" s="4">
        <v>33</v>
      </c>
      <c r="W735" s="4">
        <v>74</v>
      </c>
    </row>
    <row r="736" spans="1:23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44682</v>
      </c>
      <c r="J736" s="6">
        <v>0</v>
      </c>
      <c r="K736" s="6">
        <v>0</v>
      </c>
      <c r="L736" s="6">
        <v>-0.157</v>
      </c>
      <c r="M736" s="6">
        <v>-0.157</v>
      </c>
      <c r="N736" s="6">
        <v>-0.157</v>
      </c>
      <c r="O736" s="6">
        <v>-0.157</v>
      </c>
      <c r="P736" s="6">
        <v>0</v>
      </c>
      <c r="Q736" s="4" t="s">
        <v>26</v>
      </c>
      <c r="R736" s="4">
        <v>0</v>
      </c>
      <c r="S736" s="4" t="s">
        <v>273</v>
      </c>
      <c r="T736" s="4" t="s">
        <v>495</v>
      </c>
      <c r="U736" s="4">
        <v>0</v>
      </c>
      <c r="V736" s="4">
        <v>33</v>
      </c>
      <c r="W736" s="4">
        <v>74</v>
      </c>
    </row>
    <row r="737" spans="1:2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44348</v>
      </c>
      <c r="J737" s="6">
        <v>0</v>
      </c>
      <c r="K737" s="6">
        <v>0</v>
      </c>
      <c r="L737" s="6">
        <v>32.509</v>
      </c>
      <c r="M737" s="6">
        <v>32.509</v>
      </c>
      <c r="N737" s="6">
        <v>32.509</v>
      </c>
      <c r="O737" s="6">
        <v>32.509</v>
      </c>
      <c r="P737" s="6">
        <v>507</v>
      </c>
      <c r="Q737" s="4" t="s">
        <v>26</v>
      </c>
      <c r="R737" s="4">
        <v>0</v>
      </c>
      <c r="S737" s="4" t="s">
        <v>274</v>
      </c>
      <c r="T737" s="4" t="s">
        <v>496</v>
      </c>
      <c r="U737" s="4">
        <v>0</v>
      </c>
      <c r="V737" s="4">
        <v>34</v>
      </c>
      <c r="W737" s="4">
        <v>75</v>
      </c>
    </row>
    <row r="738" spans="1:23" ht="11.25" customHeight="1" x14ac:dyDescent="0.25">
      <c r="A738" s="4" t="s">
        <v>27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44348</v>
      </c>
      <c r="J738" s="6">
        <v>0</v>
      </c>
      <c r="K738" s="6">
        <v>0</v>
      </c>
      <c r="L738" s="6">
        <v>-0.16300000000000001</v>
      </c>
      <c r="M738" s="6">
        <v>-0.16300000000000001</v>
      </c>
      <c r="N738" s="6">
        <v>-0.16300000000000001</v>
      </c>
      <c r="O738" s="6">
        <v>-0.16300000000000001</v>
      </c>
      <c r="P738" s="6">
        <v>0</v>
      </c>
      <c r="Q738" s="4" t="s">
        <v>26</v>
      </c>
      <c r="R738" s="4">
        <v>0</v>
      </c>
      <c r="S738" s="4" t="s">
        <v>274</v>
      </c>
      <c r="T738" s="4" t="s">
        <v>496</v>
      </c>
      <c r="U738" s="4">
        <v>0</v>
      </c>
      <c r="V738" s="4">
        <v>34</v>
      </c>
      <c r="W738" s="4">
        <v>75</v>
      </c>
    </row>
    <row r="739" spans="1:23" ht="11.25" customHeight="1" x14ac:dyDescent="0.25">
      <c r="A739" s="4" t="s">
        <v>21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37.683</v>
      </c>
      <c r="M739" s="6">
        <v>37.683</v>
      </c>
      <c r="N739" s="6">
        <v>37.683</v>
      </c>
      <c r="O739" s="6">
        <v>37.683</v>
      </c>
      <c r="P739" s="6">
        <v>514</v>
      </c>
      <c r="Q739" s="4" t="s">
        <v>26</v>
      </c>
      <c r="R739" s="4">
        <v>0</v>
      </c>
      <c r="S739" s="4" t="s">
        <v>275</v>
      </c>
      <c r="T739" s="4" t="s">
        <v>497</v>
      </c>
      <c r="U739" s="4">
        <v>0</v>
      </c>
      <c r="V739" s="4">
        <v>34</v>
      </c>
      <c r="W739" s="4">
        <v>75</v>
      </c>
    </row>
    <row r="740" spans="1:23" ht="11.25" customHeight="1" x14ac:dyDescent="0.25">
      <c r="A740" s="4" t="s">
        <v>27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44378</v>
      </c>
      <c r="J740" s="6">
        <v>0</v>
      </c>
      <c r="K740" s="6">
        <v>0</v>
      </c>
      <c r="L740" s="6">
        <v>-0.79</v>
      </c>
      <c r="M740" s="6">
        <v>-0.79</v>
      </c>
      <c r="N740" s="6">
        <v>-0.79</v>
      </c>
      <c r="O740" s="6">
        <v>-0.79</v>
      </c>
      <c r="P740" s="6">
        <v>0</v>
      </c>
      <c r="Q740" s="4" t="s">
        <v>26</v>
      </c>
      <c r="R740" s="4">
        <v>0</v>
      </c>
      <c r="S740" s="4" t="s">
        <v>275</v>
      </c>
      <c r="T740" s="4" t="s">
        <v>497</v>
      </c>
      <c r="U740" s="4">
        <v>0</v>
      </c>
      <c r="V740" s="4">
        <v>34</v>
      </c>
      <c r="W740" s="4">
        <v>75</v>
      </c>
    </row>
    <row r="741" spans="1:2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44409</v>
      </c>
      <c r="J741" s="6">
        <v>0</v>
      </c>
      <c r="K741" s="6">
        <v>0</v>
      </c>
      <c r="L741" s="6">
        <v>37.825000000000003</v>
      </c>
      <c r="M741" s="6">
        <v>37.825000000000003</v>
      </c>
      <c r="N741" s="6">
        <v>37.825000000000003</v>
      </c>
      <c r="O741" s="6">
        <v>37.825000000000003</v>
      </c>
      <c r="P741" s="6">
        <v>539</v>
      </c>
      <c r="Q741" s="4" t="s">
        <v>26</v>
      </c>
      <c r="R741" s="4">
        <v>0</v>
      </c>
      <c r="S741" s="4" t="s">
        <v>276</v>
      </c>
      <c r="T741" s="4" t="s">
        <v>498</v>
      </c>
      <c r="U741" s="4">
        <v>0</v>
      </c>
      <c r="V741" s="4">
        <v>34</v>
      </c>
      <c r="W741" s="4">
        <v>75</v>
      </c>
    </row>
    <row r="742" spans="1:2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44409</v>
      </c>
      <c r="J742" s="6">
        <v>0</v>
      </c>
      <c r="K742" s="6">
        <v>0</v>
      </c>
      <c r="L742" s="6">
        <v>-0.34699999999999998</v>
      </c>
      <c r="M742" s="6">
        <v>-0.34699999999999998</v>
      </c>
      <c r="N742" s="6">
        <v>-0.34699999999999998</v>
      </c>
      <c r="O742" s="6">
        <v>-0.34699999999999998</v>
      </c>
      <c r="P742" s="6">
        <v>0</v>
      </c>
      <c r="Q742" s="4" t="s">
        <v>26</v>
      </c>
      <c r="R742" s="4">
        <v>0</v>
      </c>
      <c r="S742" s="4" t="s">
        <v>276</v>
      </c>
      <c r="T742" s="4" t="s">
        <v>498</v>
      </c>
      <c r="U742" s="4">
        <v>0</v>
      </c>
      <c r="V742" s="4">
        <v>34</v>
      </c>
      <c r="W742" s="4">
        <v>75</v>
      </c>
    </row>
    <row r="743" spans="1:23" ht="11.25" customHeight="1" x14ac:dyDescent="0.25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44440</v>
      </c>
      <c r="J743" s="6">
        <v>0</v>
      </c>
      <c r="K743" s="6">
        <v>0</v>
      </c>
      <c r="L743" s="6">
        <v>30.623000000000001</v>
      </c>
      <c r="M743" s="6">
        <v>30.623000000000001</v>
      </c>
      <c r="N743" s="6">
        <v>30.623000000000001</v>
      </c>
      <c r="O743" s="6">
        <v>30.623000000000001</v>
      </c>
      <c r="P743" s="6">
        <v>487</v>
      </c>
      <c r="Q743" s="4" t="s">
        <v>26</v>
      </c>
      <c r="R743" s="4">
        <v>0</v>
      </c>
      <c r="S743" s="4" t="s">
        <v>277</v>
      </c>
      <c r="T743" s="4" t="s">
        <v>499</v>
      </c>
      <c r="U743" s="4">
        <v>0</v>
      </c>
      <c r="V743" s="4">
        <v>34</v>
      </c>
      <c r="W743" s="4">
        <v>75</v>
      </c>
    </row>
    <row r="744" spans="1:23" ht="11.25" customHeight="1" x14ac:dyDescent="0.25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44440</v>
      </c>
      <c r="J744" s="6">
        <v>0</v>
      </c>
      <c r="K744" s="6">
        <v>0</v>
      </c>
      <c r="L744" s="6">
        <v>-1.9E-2</v>
      </c>
      <c r="M744" s="6">
        <v>-1.9E-2</v>
      </c>
      <c r="N744" s="6">
        <v>-1.9E-2</v>
      </c>
      <c r="O744" s="6">
        <v>-1.9E-2</v>
      </c>
      <c r="P744" s="6">
        <v>0</v>
      </c>
      <c r="Q744" s="4" t="s">
        <v>26</v>
      </c>
      <c r="R744" s="4">
        <v>0</v>
      </c>
      <c r="S744" s="4" t="s">
        <v>277</v>
      </c>
      <c r="T744" s="4" t="s">
        <v>499</v>
      </c>
      <c r="U744" s="4">
        <v>0</v>
      </c>
      <c r="V744" s="4">
        <v>34</v>
      </c>
      <c r="W744" s="4">
        <v>75</v>
      </c>
    </row>
    <row r="745" spans="1:23" ht="11.25" customHeight="1" x14ac:dyDescent="0.25">
      <c r="A745" s="4" t="s">
        <v>21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44470</v>
      </c>
      <c r="J745" s="6">
        <v>0</v>
      </c>
      <c r="K745" s="6">
        <v>0</v>
      </c>
      <c r="L745" s="6">
        <v>31.774000000000001</v>
      </c>
      <c r="M745" s="6">
        <v>31.774000000000001</v>
      </c>
      <c r="N745" s="6">
        <v>31.774000000000001</v>
      </c>
      <c r="O745" s="6">
        <v>31.774000000000001</v>
      </c>
      <c r="P745" s="6">
        <v>503</v>
      </c>
      <c r="Q745" s="4" t="s">
        <v>26</v>
      </c>
      <c r="R745" s="4">
        <v>0</v>
      </c>
      <c r="S745" s="4" t="s">
        <v>278</v>
      </c>
      <c r="T745" s="4" t="s">
        <v>500</v>
      </c>
      <c r="U745" s="4">
        <v>0</v>
      </c>
      <c r="V745" s="4">
        <v>34</v>
      </c>
      <c r="W745" s="4">
        <v>75</v>
      </c>
    </row>
    <row r="746" spans="1:23" ht="11.25" customHeight="1" x14ac:dyDescent="0.25">
      <c r="A746" s="4" t="s">
        <v>27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44470</v>
      </c>
      <c r="J746" s="6">
        <v>0</v>
      </c>
      <c r="K746" s="6">
        <v>0</v>
      </c>
      <c r="L746" s="6">
        <v>-0.60399999999999998</v>
      </c>
      <c r="M746" s="6">
        <v>-0.60399999999999998</v>
      </c>
      <c r="N746" s="6">
        <v>-0.60399999999999998</v>
      </c>
      <c r="O746" s="6">
        <v>-0.60399999999999998</v>
      </c>
      <c r="P746" s="6">
        <v>0</v>
      </c>
      <c r="Q746" s="4" t="s">
        <v>26</v>
      </c>
      <c r="R746" s="4">
        <v>0</v>
      </c>
      <c r="S746" s="4" t="s">
        <v>278</v>
      </c>
      <c r="T746" s="4" t="s">
        <v>500</v>
      </c>
      <c r="U746" s="4">
        <v>0</v>
      </c>
      <c r="V746" s="4">
        <v>34</v>
      </c>
      <c r="W746" s="4">
        <v>75</v>
      </c>
    </row>
    <row r="747" spans="1:23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32</v>
      </c>
      <c r="F747" s="4" t="s">
        <v>25</v>
      </c>
      <c r="G747" s="4" t="s">
        <v>25</v>
      </c>
      <c r="H747" s="4" t="s">
        <v>25</v>
      </c>
      <c r="I747" s="5">
        <v>44501</v>
      </c>
      <c r="J747" s="6">
        <v>0</v>
      </c>
      <c r="K747" s="6">
        <v>0</v>
      </c>
      <c r="L747" s="6">
        <v>30.585999999999999</v>
      </c>
      <c r="M747" s="6">
        <v>30.585999999999999</v>
      </c>
      <c r="N747" s="6">
        <v>30.585999999999999</v>
      </c>
      <c r="O747" s="6">
        <v>30.585999999999999</v>
      </c>
      <c r="P747" s="6">
        <v>464</v>
      </c>
      <c r="Q747" s="4" t="s">
        <v>26</v>
      </c>
      <c r="R747" s="4">
        <v>0</v>
      </c>
      <c r="S747" s="4" t="s">
        <v>279</v>
      </c>
      <c r="T747" s="4" t="s">
        <v>501</v>
      </c>
      <c r="U747" s="4">
        <v>0</v>
      </c>
      <c r="V747" s="4">
        <v>34</v>
      </c>
      <c r="W747" s="4">
        <v>75</v>
      </c>
    </row>
    <row r="748" spans="1:23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32</v>
      </c>
      <c r="F748" s="4" t="s">
        <v>25</v>
      </c>
      <c r="G748" s="4" t="s">
        <v>25</v>
      </c>
      <c r="H748" s="4" t="s">
        <v>25</v>
      </c>
      <c r="I748" s="5">
        <v>44501</v>
      </c>
      <c r="J748" s="6">
        <v>0</v>
      </c>
      <c r="K748" s="6">
        <v>0</v>
      </c>
      <c r="L748" s="6">
        <v>-0.45100000000000001</v>
      </c>
      <c r="M748" s="6">
        <v>-0.45100000000000001</v>
      </c>
      <c r="N748" s="6">
        <v>-0.45100000000000001</v>
      </c>
      <c r="O748" s="6">
        <v>-0.45100000000000001</v>
      </c>
      <c r="P748" s="6">
        <v>0</v>
      </c>
      <c r="Q748" s="4" t="s">
        <v>26</v>
      </c>
      <c r="R748" s="4">
        <v>0</v>
      </c>
      <c r="S748" s="4" t="s">
        <v>279</v>
      </c>
      <c r="T748" s="4" t="s">
        <v>501</v>
      </c>
      <c r="U748" s="4">
        <v>0</v>
      </c>
      <c r="V748" s="4">
        <v>34</v>
      </c>
      <c r="W748" s="4">
        <v>75</v>
      </c>
    </row>
    <row r="749" spans="1:23" ht="11.25" customHeight="1" x14ac:dyDescent="0.25">
      <c r="A749" s="4" t="s">
        <v>21</v>
      </c>
      <c r="B749" s="4" t="s">
        <v>22</v>
      </c>
      <c r="C749" s="4" t="s">
        <v>23</v>
      </c>
      <c r="D749" s="4" t="s">
        <v>24</v>
      </c>
      <c r="E749" s="4" t="s">
        <v>32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25.991</v>
      </c>
      <c r="M749" s="6">
        <v>25.991</v>
      </c>
      <c r="N749" s="6">
        <v>25.991</v>
      </c>
      <c r="O749" s="6">
        <v>25.991</v>
      </c>
      <c r="P749" s="6">
        <v>398</v>
      </c>
      <c r="Q749" s="4" t="s">
        <v>26</v>
      </c>
      <c r="R749" s="4">
        <v>0</v>
      </c>
      <c r="S749" s="4" t="s">
        <v>280</v>
      </c>
      <c r="T749" s="4" t="s">
        <v>502</v>
      </c>
      <c r="U749" s="4">
        <v>0</v>
      </c>
      <c r="V749" s="4">
        <v>34</v>
      </c>
      <c r="W749" s="4">
        <v>75</v>
      </c>
    </row>
    <row r="750" spans="1:23" ht="11.25" customHeight="1" x14ac:dyDescent="0.25">
      <c r="A750" s="4" t="s">
        <v>27</v>
      </c>
      <c r="B750" s="4" t="s">
        <v>22</v>
      </c>
      <c r="C750" s="4" t="s">
        <v>23</v>
      </c>
      <c r="D750" s="4" t="s">
        <v>24</v>
      </c>
      <c r="E750" s="4" t="s">
        <v>32</v>
      </c>
      <c r="F750" s="4" t="s">
        <v>25</v>
      </c>
      <c r="G750" s="4" t="s">
        <v>25</v>
      </c>
      <c r="H750" s="4" t="s">
        <v>25</v>
      </c>
      <c r="I750" s="5">
        <v>44531</v>
      </c>
      <c r="J750" s="6">
        <v>0</v>
      </c>
      <c r="K750" s="6">
        <v>0</v>
      </c>
      <c r="L750" s="6">
        <v>-7.0000000000000001E-3</v>
      </c>
      <c r="M750" s="6">
        <v>-7.0000000000000001E-3</v>
      </c>
      <c r="N750" s="6">
        <v>-7.0000000000000001E-3</v>
      </c>
      <c r="O750" s="6">
        <v>-7.0000000000000001E-3</v>
      </c>
      <c r="P750" s="6">
        <v>0</v>
      </c>
      <c r="Q750" s="4" t="s">
        <v>26</v>
      </c>
      <c r="R750" s="4">
        <v>0</v>
      </c>
      <c r="S750" s="4" t="s">
        <v>280</v>
      </c>
      <c r="T750" s="4" t="s">
        <v>502</v>
      </c>
      <c r="U750" s="4">
        <v>0</v>
      </c>
      <c r="V750" s="4">
        <v>34</v>
      </c>
      <c r="W750" s="4">
        <v>75</v>
      </c>
    </row>
    <row r="751" spans="1:23" ht="11.25" customHeight="1" x14ac:dyDescent="0.25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32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30.13</v>
      </c>
      <c r="M751" s="6">
        <v>30.13</v>
      </c>
      <c r="N751" s="6">
        <v>30.13</v>
      </c>
      <c r="O751" s="6">
        <v>30.13</v>
      </c>
      <c r="P751" s="6">
        <v>440</v>
      </c>
      <c r="Q751" s="4" t="s">
        <v>26</v>
      </c>
      <c r="R751" s="4">
        <v>0</v>
      </c>
      <c r="S751" s="4" t="s">
        <v>281</v>
      </c>
      <c r="T751" s="4" t="s">
        <v>503</v>
      </c>
      <c r="U751" s="4">
        <v>0</v>
      </c>
      <c r="V751" s="4">
        <v>34</v>
      </c>
      <c r="W751" s="4">
        <v>75</v>
      </c>
    </row>
    <row r="752" spans="1:23" ht="11.25" customHeight="1" x14ac:dyDescent="0.25">
      <c r="A752" s="4" t="s">
        <v>27</v>
      </c>
      <c r="B752" s="4" t="s">
        <v>22</v>
      </c>
      <c r="C752" s="4" t="s">
        <v>23</v>
      </c>
      <c r="D752" s="4" t="s">
        <v>24</v>
      </c>
      <c r="E752" s="4" t="s">
        <v>32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-0.183</v>
      </c>
      <c r="M752" s="6">
        <v>-0.183</v>
      </c>
      <c r="N752" s="6">
        <v>-0.183</v>
      </c>
      <c r="O752" s="6">
        <v>-0.183</v>
      </c>
      <c r="P752" s="6">
        <v>0</v>
      </c>
      <c r="Q752" s="4" t="s">
        <v>26</v>
      </c>
      <c r="R752" s="4">
        <v>0</v>
      </c>
      <c r="S752" s="4" t="s">
        <v>281</v>
      </c>
      <c r="T752" s="4" t="s">
        <v>503</v>
      </c>
      <c r="U752" s="4">
        <v>0</v>
      </c>
      <c r="V752" s="4">
        <v>34</v>
      </c>
      <c r="W752" s="4">
        <v>75</v>
      </c>
    </row>
    <row r="753" spans="1:23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32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41.759</v>
      </c>
      <c r="M753" s="6">
        <v>41.759</v>
      </c>
      <c r="N753" s="6">
        <v>41.759</v>
      </c>
      <c r="O753" s="6">
        <v>41.759</v>
      </c>
      <c r="P753" s="6">
        <v>578</v>
      </c>
      <c r="Q753" s="4" t="s">
        <v>26</v>
      </c>
      <c r="R753" s="4">
        <v>0</v>
      </c>
      <c r="S753" s="4" t="s">
        <v>282</v>
      </c>
      <c r="T753" s="4" t="s">
        <v>504</v>
      </c>
      <c r="U753" s="4">
        <v>0</v>
      </c>
      <c r="V753" s="4">
        <v>34</v>
      </c>
      <c r="W753" s="4">
        <v>75</v>
      </c>
    </row>
    <row r="754" spans="1:23" ht="11.25" customHeight="1" x14ac:dyDescent="0.25">
      <c r="A754" s="4" t="s">
        <v>21</v>
      </c>
      <c r="B754" s="4" t="s">
        <v>22</v>
      </c>
      <c r="C754" s="4" t="s">
        <v>23</v>
      </c>
      <c r="D754" s="4" t="s">
        <v>24</v>
      </c>
      <c r="E754" s="4" t="s">
        <v>32</v>
      </c>
      <c r="F754" s="4" t="s">
        <v>25</v>
      </c>
      <c r="G754" s="4" t="s">
        <v>25</v>
      </c>
      <c r="H754" s="4" t="s">
        <v>25</v>
      </c>
      <c r="I754" s="5">
        <v>44621</v>
      </c>
      <c r="J754" s="6">
        <v>0</v>
      </c>
      <c r="K754" s="6">
        <v>0</v>
      </c>
      <c r="L754" s="6">
        <v>43.734999999999999</v>
      </c>
      <c r="M754" s="6">
        <v>43.734999999999999</v>
      </c>
      <c r="N754" s="6">
        <v>43.734999999999999</v>
      </c>
      <c r="O754" s="6">
        <v>43.734999999999999</v>
      </c>
      <c r="P754" s="6">
        <v>572</v>
      </c>
      <c r="Q754" s="4" t="s">
        <v>26</v>
      </c>
      <c r="R754" s="4">
        <v>0</v>
      </c>
      <c r="S754" s="4" t="s">
        <v>283</v>
      </c>
      <c r="T754" s="4" t="s">
        <v>505</v>
      </c>
      <c r="U754" s="4">
        <v>0</v>
      </c>
      <c r="V754" s="4">
        <v>34</v>
      </c>
      <c r="W754" s="4">
        <v>75</v>
      </c>
    </row>
    <row r="755" spans="1:23" ht="11.25" customHeight="1" x14ac:dyDescent="0.25">
      <c r="A755" s="4" t="s">
        <v>21</v>
      </c>
      <c r="B755" s="4" t="s">
        <v>22</v>
      </c>
      <c r="C755" s="4" t="s">
        <v>23</v>
      </c>
      <c r="D755" s="4" t="s">
        <v>24</v>
      </c>
      <c r="E755" s="4" t="s">
        <v>32</v>
      </c>
      <c r="F755" s="4" t="s">
        <v>25</v>
      </c>
      <c r="G755" s="4" t="s">
        <v>25</v>
      </c>
      <c r="H755" s="4" t="s">
        <v>25</v>
      </c>
      <c r="I755" s="5">
        <v>44652</v>
      </c>
      <c r="J755" s="6">
        <v>0</v>
      </c>
      <c r="K755" s="6">
        <v>0</v>
      </c>
      <c r="L755" s="6">
        <v>34.807000000000002</v>
      </c>
      <c r="M755" s="6">
        <v>34.807000000000002</v>
      </c>
      <c r="N755" s="6">
        <v>34.807000000000002</v>
      </c>
      <c r="O755" s="6">
        <v>34.807000000000002</v>
      </c>
      <c r="P755" s="6">
        <v>514</v>
      </c>
      <c r="Q755" s="4" t="s">
        <v>26</v>
      </c>
      <c r="R755" s="4">
        <v>0</v>
      </c>
      <c r="S755" s="4" t="s">
        <v>284</v>
      </c>
      <c r="T755" s="4" t="s">
        <v>506</v>
      </c>
      <c r="U755" s="4">
        <v>0</v>
      </c>
      <c r="V755" s="4">
        <v>34</v>
      </c>
      <c r="W755" s="4">
        <v>75</v>
      </c>
    </row>
    <row r="756" spans="1:2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32</v>
      </c>
      <c r="F756" s="4" t="s">
        <v>25</v>
      </c>
      <c r="G756" s="4" t="s">
        <v>25</v>
      </c>
      <c r="H756" s="4" t="s">
        <v>25</v>
      </c>
      <c r="I756" s="5">
        <v>44682</v>
      </c>
      <c r="J756" s="6">
        <v>0</v>
      </c>
      <c r="K756" s="6">
        <v>0</v>
      </c>
      <c r="L756" s="6">
        <v>37.749000000000002</v>
      </c>
      <c r="M756" s="6">
        <v>37.749000000000002</v>
      </c>
      <c r="N756" s="6">
        <v>37.749000000000002</v>
      </c>
      <c r="O756" s="6">
        <v>37.749000000000002</v>
      </c>
      <c r="P756" s="6">
        <v>540</v>
      </c>
      <c r="Q756" s="4" t="s">
        <v>26</v>
      </c>
      <c r="R756" s="4">
        <v>0</v>
      </c>
      <c r="S756" s="4" t="s">
        <v>285</v>
      </c>
      <c r="T756" s="4" t="s">
        <v>507</v>
      </c>
      <c r="U756" s="4">
        <v>0</v>
      </c>
      <c r="V756" s="4">
        <v>34</v>
      </c>
      <c r="W756" s="4">
        <v>75</v>
      </c>
    </row>
    <row r="757" spans="1:2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32</v>
      </c>
      <c r="F757" s="4" t="s">
        <v>25</v>
      </c>
      <c r="G757" s="4" t="s">
        <v>25</v>
      </c>
      <c r="H757" s="4" t="s">
        <v>25</v>
      </c>
      <c r="I757" s="5">
        <v>44682</v>
      </c>
      <c r="J757" s="6">
        <v>0</v>
      </c>
      <c r="K757" s="6">
        <v>0</v>
      </c>
      <c r="L757" s="6">
        <v>-0.39300000000000002</v>
      </c>
      <c r="M757" s="6">
        <v>-0.39300000000000002</v>
      </c>
      <c r="N757" s="6">
        <v>-0.39300000000000002</v>
      </c>
      <c r="O757" s="6">
        <v>-0.39300000000000002</v>
      </c>
      <c r="P757" s="6">
        <v>0</v>
      </c>
      <c r="Q757" s="4" t="s">
        <v>26</v>
      </c>
      <c r="R757" s="4">
        <v>0</v>
      </c>
      <c r="S757" s="4" t="s">
        <v>285</v>
      </c>
      <c r="T757" s="4" t="s">
        <v>507</v>
      </c>
      <c r="U757" s="4">
        <v>0</v>
      </c>
      <c r="V757" s="4">
        <v>34</v>
      </c>
      <c r="W757" s="4">
        <v>75</v>
      </c>
    </row>
    <row r="758" spans="1:23" ht="11.25" customHeight="1" x14ac:dyDescent="0.25">
      <c r="A758" s="4" t="s">
        <v>21</v>
      </c>
      <c r="B758" s="4" t="s">
        <v>44</v>
      </c>
      <c r="C758" s="4" t="s">
        <v>23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44348</v>
      </c>
      <c r="J758" s="6">
        <v>0</v>
      </c>
      <c r="K758" s="6">
        <v>0</v>
      </c>
      <c r="L758" s="6">
        <v>538.70600000000002</v>
      </c>
      <c r="M758" s="6">
        <v>538.70600000000002</v>
      </c>
      <c r="N758" s="6">
        <v>538.70600000000002</v>
      </c>
      <c r="O758" s="6">
        <v>538.70600000000002</v>
      </c>
      <c r="P758" s="6">
        <v>1770</v>
      </c>
      <c r="Q758" s="4" t="s">
        <v>26</v>
      </c>
      <c r="R758" s="4">
        <v>0</v>
      </c>
      <c r="S758" s="4" t="s">
        <v>286</v>
      </c>
      <c r="T758" s="4" t="s">
        <v>508</v>
      </c>
      <c r="U758" s="4">
        <v>0</v>
      </c>
      <c r="V758" s="4">
        <v>43</v>
      </c>
      <c r="W758" s="4">
        <v>84</v>
      </c>
    </row>
    <row r="759" spans="1:23" ht="11.25" customHeight="1" x14ac:dyDescent="0.25">
      <c r="A759" s="4" t="s">
        <v>27</v>
      </c>
      <c r="B759" s="4" t="s">
        <v>44</v>
      </c>
      <c r="C759" s="4" t="s">
        <v>23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44348</v>
      </c>
      <c r="J759" s="6">
        <v>0</v>
      </c>
      <c r="K759" s="6">
        <v>0</v>
      </c>
      <c r="L759" s="6">
        <v>0.57799999999999996</v>
      </c>
      <c r="M759" s="6">
        <v>0.57799999999999996</v>
      </c>
      <c r="N759" s="6">
        <v>0.57799999999999996</v>
      </c>
      <c r="O759" s="6">
        <v>0.57799999999999996</v>
      </c>
      <c r="P759" s="6">
        <v>0</v>
      </c>
      <c r="Q759" s="4" t="s">
        <v>26</v>
      </c>
      <c r="R759" s="4">
        <v>0</v>
      </c>
      <c r="S759" s="4" t="s">
        <v>286</v>
      </c>
      <c r="T759" s="4" t="s">
        <v>508</v>
      </c>
      <c r="U759" s="4">
        <v>0</v>
      </c>
      <c r="V759" s="4">
        <v>43</v>
      </c>
      <c r="W759" s="4">
        <v>84</v>
      </c>
    </row>
    <row r="760" spans="1:23" ht="11.25" customHeight="1" x14ac:dyDescent="0.25">
      <c r="A760" s="4" t="s">
        <v>28</v>
      </c>
      <c r="B760" s="4" t="s">
        <v>44</v>
      </c>
      <c r="C760" s="4" t="s">
        <v>23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44348</v>
      </c>
      <c r="J760" s="6">
        <v>0</v>
      </c>
      <c r="K760" s="6">
        <v>0</v>
      </c>
      <c r="L760" s="6">
        <v>1.46</v>
      </c>
      <c r="M760" s="6">
        <v>1.46</v>
      </c>
      <c r="N760" s="6">
        <v>1.46</v>
      </c>
      <c r="O760" s="6">
        <v>1.46</v>
      </c>
      <c r="P760" s="6">
        <v>8</v>
      </c>
      <c r="Q760" s="4" t="s">
        <v>26</v>
      </c>
      <c r="R760" s="4">
        <v>0</v>
      </c>
      <c r="S760" s="4" t="s">
        <v>286</v>
      </c>
      <c r="T760" s="4" t="s">
        <v>508</v>
      </c>
      <c r="U760" s="4">
        <v>0</v>
      </c>
      <c r="V760" s="4">
        <v>43</v>
      </c>
      <c r="W760" s="4">
        <v>84</v>
      </c>
    </row>
    <row r="761" spans="1:23" ht="11.25" customHeight="1" x14ac:dyDescent="0.25">
      <c r="A761" s="4" t="s">
        <v>21</v>
      </c>
      <c r="B761" s="4" t="s">
        <v>44</v>
      </c>
      <c r="C761" s="4" t="s">
        <v>23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44378</v>
      </c>
      <c r="J761" s="6">
        <v>0</v>
      </c>
      <c r="K761" s="6">
        <v>0</v>
      </c>
      <c r="L761" s="6">
        <v>562.96199999999999</v>
      </c>
      <c r="M761" s="6">
        <v>562.96199999999999</v>
      </c>
      <c r="N761" s="6">
        <v>562.96199999999999</v>
      </c>
      <c r="O761" s="6">
        <v>562.96199999999999</v>
      </c>
      <c r="P761" s="6">
        <v>1772</v>
      </c>
      <c r="Q761" s="4" t="s">
        <v>26</v>
      </c>
      <c r="R761" s="4">
        <v>0</v>
      </c>
      <c r="S761" s="4" t="s">
        <v>287</v>
      </c>
      <c r="T761" s="4" t="s">
        <v>509</v>
      </c>
      <c r="U761" s="4">
        <v>0</v>
      </c>
      <c r="V761" s="4">
        <v>43</v>
      </c>
      <c r="W761" s="4">
        <v>84</v>
      </c>
    </row>
    <row r="762" spans="1:23" ht="11.25" customHeight="1" x14ac:dyDescent="0.25">
      <c r="A762" s="4" t="s">
        <v>27</v>
      </c>
      <c r="B762" s="4" t="s">
        <v>44</v>
      </c>
      <c r="C762" s="4" t="s">
        <v>23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44378</v>
      </c>
      <c r="J762" s="6">
        <v>0</v>
      </c>
      <c r="K762" s="6">
        <v>0</v>
      </c>
      <c r="L762" s="6">
        <v>-0.11</v>
      </c>
      <c r="M762" s="6">
        <v>-0.11</v>
      </c>
      <c r="N762" s="6">
        <v>-0.11</v>
      </c>
      <c r="O762" s="6">
        <v>-0.11</v>
      </c>
      <c r="P762" s="6">
        <v>0</v>
      </c>
      <c r="Q762" s="4" t="s">
        <v>26</v>
      </c>
      <c r="R762" s="4">
        <v>0</v>
      </c>
      <c r="S762" s="4" t="s">
        <v>287</v>
      </c>
      <c r="T762" s="4" t="s">
        <v>509</v>
      </c>
      <c r="U762" s="4">
        <v>0</v>
      </c>
      <c r="V762" s="4">
        <v>43</v>
      </c>
      <c r="W762" s="4">
        <v>84</v>
      </c>
    </row>
    <row r="763" spans="1:23" ht="11.25" customHeight="1" x14ac:dyDescent="0.25">
      <c r="A763" s="4" t="s">
        <v>28</v>
      </c>
      <c r="B763" s="4" t="s">
        <v>44</v>
      </c>
      <c r="C763" s="4" t="s">
        <v>23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44378</v>
      </c>
      <c r="J763" s="6">
        <v>0</v>
      </c>
      <c r="K763" s="6">
        <v>0</v>
      </c>
      <c r="L763" s="6">
        <v>0.84199999999999997</v>
      </c>
      <c r="M763" s="6">
        <v>0.84199999999999997</v>
      </c>
      <c r="N763" s="6">
        <v>0.84199999999999997</v>
      </c>
      <c r="O763" s="6">
        <v>0.84199999999999997</v>
      </c>
      <c r="P763" s="6">
        <v>7</v>
      </c>
      <c r="Q763" s="4" t="s">
        <v>26</v>
      </c>
      <c r="R763" s="4">
        <v>0</v>
      </c>
      <c r="S763" s="4" t="s">
        <v>287</v>
      </c>
      <c r="T763" s="4" t="s">
        <v>509</v>
      </c>
      <c r="U763" s="4">
        <v>0</v>
      </c>
      <c r="V763" s="4">
        <v>43</v>
      </c>
      <c r="W763" s="4">
        <v>84</v>
      </c>
    </row>
    <row r="764" spans="1:23" ht="11.25" customHeight="1" x14ac:dyDescent="0.25">
      <c r="A764" s="4" t="s">
        <v>21</v>
      </c>
      <c r="B764" s="4" t="s">
        <v>44</v>
      </c>
      <c r="C764" s="4" t="s">
        <v>23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44409</v>
      </c>
      <c r="J764" s="6">
        <v>0</v>
      </c>
      <c r="K764" s="6">
        <v>0</v>
      </c>
      <c r="L764" s="6">
        <v>539.01599999999996</v>
      </c>
      <c r="M764" s="6">
        <v>539.01599999999996</v>
      </c>
      <c r="N764" s="6">
        <v>539.01599999999996</v>
      </c>
      <c r="O764" s="6">
        <v>539.01599999999996</v>
      </c>
      <c r="P764" s="6">
        <v>1770</v>
      </c>
      <c r="Q764" s="4" t="s">
        <v>26</v>
      </c>
      <c r="R764" s="4">
        <v>0</v>
      </c>
      <c r="S764" s="4" t="s">
        <v>288</v>
      </c>
      <c r="T764" s="4" t="s">
        <v>510</v>
      </c>
      <c r="U764" s="4">
        <v>0</v>
      </c>
      <c r="V764" s="4">
        <v>43</v>
      </c>
      <c r="W764" s="4">
        <v>84</v>
      </c>
    </row>
    <row r="765" spans="1:23" ht="11.25" customHeight="1" x14ac:dyDescent="0.25">
      <c r="A765" s="4" t="s">
        <v>27</v>
      </c>
      <c r="B765" s="4" t="s">
        <v>44</v>
      </c>
      <c r="C765" s="4" t="s">
        <v>23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44409</v>
      </c>
      <c r="J765" s="6">
        <v>0</v>
      </c>
      <c r="K765" s="6">
        <v>0</v>
      </c>
      <c r="L765" s="6">
        <v>0.09</v>
      </c>
      <c r="M765" s="6">
        <v>0.09</v>
      </c>
      <c r="N765" s="6">
        <v>0.09</v>
      </c>
      <c r="O765" s="6">
        <v>0.09</v>
      </c>
      <c r="P765" s="6">
        <v>0</v>
      </c>
      <c r="Q765" s="4" t="s">
        <v>26</v>
      </c>
      <c r="R765" s="4">
        <v>0</v>
      </c>
      <c r="S765" s="4" t="s">
        <v>288</v>
      </c>
      <c r="T765" s="4" t="s">
        <v>510</v>
      </c>
      <c r="U765" s="4">
        <v>0</v>
      </c>
      <c r="V765" s="4">
        <v>43</v>
      </c>
      <c r="W765" s="4">
        <v>84</v>
      </c>
    </row>
    <row r="766" spans="1:23" ht="11.25" customHeight="1" x14ac:dyDescent="0.25">
      <c r="A766" s="4" t="s">
        <v>28</v>
      </c>
      <c r="B766" s="4" t="s">
        <v>44</v>
      </c>
      <c r="C766" s="4" t="s">
        <v>23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44409</v>
      </c>
      <c r="J766" s="6">
        <v>0</v>
      </c>
      <c r="K766" s="6">
        <v>0</v>
      </c>
      <c r="L766" s="6">
        <v>1.9710000000000001</v>
      </c>
      <c r="M766" s="6">
        <v>1.9710000000000001</v>
      </c>
      <c r="N766" s="6">
        <v>1.9710000000000001</v>
      </c>
      <c r="O766" s="6">
        <v>1.9710000000000001</v>
      </c>
      <c r="P766" s="6">
        <v>8</v>
      </c>
      <c r="Q766" s="4" t="s">
        <v>26</v>
      </c>
      <c r="R766" s="4">
        <v>0</v>
      </c>
      <c r="S766" s="4" t="s">
        <v>288</v>
      </c>
      <c r="T766" s="4" t="s">
        <v>510</v>
      </c>
      <c r="U766" s="4">
        <v>0</v>
      </c>
      <c r="V766" s="4">
        <v>43</v>
      </c>
      <c r="W766" s="4">
        <v>84</v>
      </c>
    </row>
    <row r="767" spans="1:23" ht="11.25" customHeight="1" x14ac:dyDescent="0.25">
      <c r="A767" s="4" t="s">
        <v>21</v>
      </c>
      <c r="B767" s="4" t="s">
        <v>44</v>
      </c>
      <c r="C767" s="4" t="s">
        <v>23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44440</v>
      </c>
      <c r="J767" s="6">
        <v>0</v>
      </c>
      <c r="K767" s="6">
        <v>0</v>
      </c>
      <c r="L767" s="6">
        <v>525.69899999999996</v>
      </c>
      <c r="M767" s="6">
        <v>525.69899999999996</v>
      </c>
      <c r="N767" s="6">
        <v>525.69899999999996</v>
      </c>
      <c r="O767" s="6">
        <v>525.69899999999996</v>
      </c>
      <c r="P767" s="6">
        <v>1768</v>
      </c>
      <c r="Q767" s="4" t="s">
        <v>26</v>
      </c>
      <c r="R767" s="4">
        <v>0</v>
      </c>
      <c r="S767" s="4" t="s">
        <v>289</v>
      </c>
      <c r="T767" s="4" t="s">
        <v>511</v>
      </c>
      <c r="U767" s="4">
        <v>0</v>
      </c>
      <c r="V767" s="4">
        <v>43</v>
      </c>
      <c r="W767" s="4">
        <v>84</v>
      </c>
    </row>
    <row r="768" spans="1:23" ht="11.25" customHeight="1" x14ac:dyDescent="0.25">
      <c r="A768" s="4" t="s">
        <v>27</v>
      </c>
      <c r="B768" s="4" t="s">
        <v>44</v>
      </c>
      <c r="C768" s="4" t="s">
        <v>23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44440</v>
      </c>
      <c r="J768" s="6">
        <v>0</v>
      </c>
      <c r="K768" s="6">
        <v>0</v>
      </c>
      <c r="L768" s="6">
        <v>-0.26700000000000002</v>
      </c>
      <c r="M768" s="6">
        <v>-0.26700000000000002</v>
      </c>
      <c r="N768" s="6">
        <v>-0.26700000000000002</v>
      </c>
      <c r="O768" s="6">
        <v>-0.26700000000000002</v>
      </c>
      <c r="P768" s="6">
        <v>0</v>
      </c>
      <c r="Q768" s="4" t="s">
        <v>26</v>
      </c>
      <c r="R768" s="4">
        <v>0</v>
      </c>
      <c r="S768" s="4" t="s">
        <v>289</v>
      </c>
      <c r="T768" s="4" t="s">
        <v>511</v>
      </c>
      <c r="U768" s="4">
        <v>0</v>
      </c>
      <c r="V768" s="4">
        <v>43</v>
      </c>
      <c r="W768" s="4">
        <v>84</v>
      </c>
    </row>
    <row r="769" spans="1:23" ht="11.25" customHeight="1" x14ac:dyDescent="0.25">
      <c r="A769" s="4" t="s">
        <v>28</v>
      </c>
      <c r="B769" s="4" t="s">
        <v>44</v>
      </c>
      <c r="C769" s="4" t="s">
        <v>23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44440</v>
      </c>
      <c r="J769" s="6">
        <v>0</v>
      </c>
      <c r="K769" s="6">
        <v>0</v>
      </c>
      <c r="L769" s="6">
        <v>2.528</v>
      </c>
      <c r="M769" s="6">
        <v>2.528</v>
      </c>
      <c r="N769" s="6">
        <v>2.528</v>
      </c>
      <c r="O769" s="6">
        <v>2.528</v>
      </c>
      <c r="P769" s="6">
        <v>11</v>
      </c>
      <c r="Q769" s="4" t="s">
        <v>26</v>
      </c>
      <c r="R769" s="4">
        <v>0</v>
      </c>
      <c r="S769" s="4" t="s">
        <v>289</v>
      </c>
      <c r="T769" s="4" t="s">
        <v>511</v>
      </c>
      <c r="U769" s="4">
        <v>0</v>
      </c>
      <c r="V769" s="4">
        <v>43</v>
      </c>
      <c r="W769" s="4">
        <v>84</v>
      </c>
    </row>
    <row r="770" spans="1:23" ht="11.25" customHeight="1" x14ac:dyDescent="0.25">
      <c r="A770" s="4" t="s">
        <v>21</v>
      </c>
      <c r="B770" s="4" t="s">
        <v>44</v>
      </c>
      <c r="C770" s="4" t="s">
        <v>23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44470</v>
      </c>
      <c r="J770" s="6">
        <v>0</v>
      </c>
      <c r="K770" s="6">
        <v>0</v>
      </c>
      <c r="L770" s="6">
        <v>541.39200000000005</v>
      </c>
      <c r="M770" s="6">
        <v>541.39200000000005</v>
      </c>
      <c r="N770" s="6">
        <v>541.39200000000005</v>
      </c>
      <c r="O770" s="6">
        <v>541.39200000000005</v>
      </c>
      <c r="P770" s="6">
        <v>1763</v>
      </c>
      <c r="Q770" s="4" t="s">
        <v>26</v>
      </c>
      <c r="R770" s="4">
        <v>0</v>
      </c>
      <c r="S770" s="4" t="s">
        <v>290</v>
      </c>
      <c r="T770" s="4" t="s">
        <v>512</v>
      </c>
      <c r="U770" s="4">
        <v>0</v>
      </c>
      <c r="V770" s="4">
        <v>43</v>
      </c>
      <c r="W770" s="4">
        <v>84</v>
      </c>
    </row>
    <row r="771" spans="1:23" ht="11.25" customHeight="1" x14ac:dyDescent="0.25">
      <c r="A771" s="4" t="s">
        <v>27</v>
      </c>
      <c r="B771" s="4" t="s">
        <v>44</v>
      </c>
      <c r="C771" s="4" t="s">
        <v>23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44470</v>
      </c>
      <c r="J771" s="6">
        <v>0</v>
      </c>
      <c r="K771" s="6">
        <v>0</v>
      </c>
      <c r="L771" s="6">
        <v>-0.81200000000000006</v>
      </c>
      <c r="M771" s="6">
        <v>-0.81200000000000006</v>
      </c>
      <c r="N771" s="6">
        <v>-0.81200000000000006</v>
      </c>
      <c r="O771" s="6">
        <v>-0.81200000000000006</v>
      </c>
      <c r="P771" s="6">
        <v>0</v>
      </c>
      <c r="Q771" s="4" t="s">
        <v>26</v>
      </c>
      <c r="R771" s="4">
        <v>0</v>
      </c>
      <c r="S771" s="4" t="s">
        <v>290</v>
      </c>
      <c r="T771" s="4" t="s">
        <v>512</v>
      </c>
      <c r="U771" s="4">
        <v>0</v>
      </c>
      <c r="V771" s="4">
        <v>43</v>
      </c>
      <c r="W771" s="4">
        <v>84</v>
      </c>
    </row>
    <row r="772" spans="1:23" ht="11.25" customHeight="1" x14ac:dyDescent="0.25">
      <c r="A772" s="4" t="s">
        <v>28</v>
      </c>
      <c r="B772" s="4" t="s">
        <v>44</v>
      </c>
      <c r="C772" s="4" t="s">
        <v>23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44470</v>
      </c>
      <c r="J772" s="6">
        <v>0</v>
      </c>
      <c r="K772" s="6">
        <v>0</v>
      </c>
      <c r="L772" s="6">
        <v>1.7310000000000001</v>
      </c>
      <c r="M772" s="6">
        <v>1.7310000000000001</v>
      </c>
      <c r="N772" s="6">
        <v>1.7310000000000001</v>
      </c>
      <c r="O772" s="6">
        <v>1.7310000000000001</v>
      </c>
      <c r="P772" s="6">
        <v>11</v>
      </c>
      <c r="Q772" s="4" t="s">
        <v>26</v>
      </c>
      <c r="R772" s="4">
        <v>0</v>
      </c>
      <c r="S772" s="4" t="s">
        <v>290</v>
      </c>
      <c r="T772" s="4" t="s">
        <v>512</v>
      </c>
      <c r="U772" s="4">
        <v>0</v>
      </c>
      <c r="V772" s="4">
        <v>43</v>
      </c>
      <c r="W772" s="4">
        <v>84</v>
      </c>
    </row>
    <row r="773" spans="1:23" ht="11.25" customHeight="1" x14ac:dyDescent="0.25">
      <c r="A773" s="4" t="s">
        <v>21</v>
      </c>
      <c r="B773" s="4" t="s">
        <v>44</v>
      </c>
      <c r="C773" s="4" t="s">
        <v>23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44501</v>
      </c>
      <c r="J773" s="6">
        <v>0</v>
      </c>
      <c r="K773" s="6">
        <v>0</v>
      </c>
      <c r="L773" s="6">
        <v>512.59900000000005</v>
      </c>
      <c r="M773" s="6">
        <v>512.59900000000005</v>
      </c>
      <c r="N773" s="6">
        <v>512.59900000000005</v>
      </c>
      <c r="O773" s="6">
        <v>512.59900000000005</v>
      </c>
      <c r="P773" s="6">
        <v>1754</v>
      </c>
      <c r="Q773" s="4" t="s">
        <v>26</v>
      </c>
      <c r="R773" s="4">
        <v>0</v>
      </c>
      <c r="S773" s="4" t="s">
        <v>291</v>
      </c>
      <c r="T773" s="4" t="s">
        <v>513</v>
      </c>
      <c r="U773" s="4">
        <v>0</v>
      </c>
      <c r="V773" s="4">
        <v>43</v>
      </c>
      <c r="W773" s="4">
        <v>84</v>
      </c>
    </row>
    <row r="774" spans="1:23" ht="11.25" customHeight="1" x14ac:dyDescent="0.25">
      <c r="A774" s="4" t="s">
        <v>27</v>
      </c>
      <c r="B774" s="4" t="s">
        <v>44</v>
      </c>
      <c r="C774" s="4" t="s">
        <v>23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44501</v>
      </c>
      <c r="J774" s="6">
        <v>0</v>
      </c>
      <c r="K774" s="6">
        <v>0</v>
      </c>
      <c r="L774" s="6">
        <v>-0.185</v>
      </c>
      <c r="M774" s="6">
        <v>-0.185</v>
      </c>
      <c r="N774" s="6">
        <v>-0.185</v>
      </c>
      <c r="O774" s="6">
        <v>-0.185</v>
      </c>
      <c r="P774" s="6">
        <v>0</v>
      </c>
      <c r="Q774" s="4" t="s">
        <v>26</v>
      </c>
      <c r="R774" s="4">
        <v>0</v>
      </c>
      <c r="S774" s="4" t="s">
        <v>291</v>
      </c>
      <c r="T774" s="4" t="s">
        <v>513</v>
      </c>
      <c r="U774" s="4">
        <v>0</v>
      </c>
      <c r="V774" s="4">
        <v>43</v>
      </c>
      <c r="W774" s="4">
        <v>84</v>
      </c>
    </row>
    <row r="775" spans="1:23" ht="11.25" customHeight="1" x14ac:dyDescent="0.25">
      <c r="A775" s="4" t="s">
        <v>28</v>
      </c>
      <c r="B775" s="4" t="s">
        <v>44</v>
      </c>
      <c r="C775" s="4" t="s">
        <v>23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44501</v>
      </c>
      <c r="J775" s="6">
        <v>0</v>
      </c>
      <c r="K775" s="6">
        <v>0</v>
      </c>
      <c r="L775" s="6">
        <v>1.8939999999999999</v>
      </c>
      <c r="M775" s="6">
        <v>1.8939999999999999</v>
      </c>
      <c r="N775" s="6">
        <v>1.8939999999999999</v>
      </c>
      <c r="O775" s="6">
        <v>1.8939999999999999</v>
      </c>
      <c r="P775" s="6">
        <v>12</v>
      </c>
      <c r="Q775" s="4" t="s">
        <v>26</v>
      </c>
      <c r="R775" s="4">
        <v>0</v>
      </c>
      <c r="S775" s="4" t="s">
        <v>291</v>
      </c>
      <c r="T775" s="4" t="s">
        <v>513</v>
      </c>
      <c r="U775" s="4">
        <v>0</v>
      </c>
      <c r="V775" s="4">
        <v>43</v>
      </c>
      <c r="W775" s="4">
        <v>84</v>
      </c>
    </row>
    <row r="776" spans="1:23" ht="11.25" customHeight="1" x14ac:dyDescent="0.25">
      <c r="A776" s="4" t="s">
        <v>21</v>
      </c>
      <c r="B776" s="4" t="s">
        <v>44</v>
      </c>
      <c r="C776" s="4" t="s">
        <v>23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44531</v>
      </c>
      <c r="J776" s="6">
        <v>0</v>
      </c>
      <c r="K776" s="6">
        <v>0</v>
      </c>
      <c r="L776" s="6">
        <v>543.45000000000005</v>
      </c>
      <c r="M776" s="6">
        <v>543.45000000000005</v>
      </c>
      <c r="N776" s="6">
        <v>543.45000000000005</v>
      </c>
      <c r="O776" s="6">
        <v>543.45000000000005</v>
      </c>
      <c r="P776" s="6">
        <v>1739</v>
      </c>
      <c r="Q776" s="4" t="s">
        <v>26</v>
      </c>
      <c r="R776" s="4">
        <v>0</v>
      </c>
      <c r="S776" s="4" t="s">
        <v>292</v>
      </c>
      <c r="T776" s="4" t="s">
        <v>514</v>
      </c>
      <c r="U776" s="4">
        <v>0</v>
      </c>
      <c r="V776" s="4">
        <v>43</v>
      </c>
      <c r="W776" s="4">
        <v>84</v>
      </c>
    </row>
    <row r="777" spans="1:23" ht="11.25" customHeight="1" x14ac:dyDescent="0.25">
      <c r="A777" s="4" t="s">
        <v>27</v>
      </c>
      <c r="B777" s="4" t="s">
        <v>44</v>
      </c>
      <c r="C777" s="4" t="s">
        <v>23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44531</v>
      </c>
      <c r="J777" s="6">
        <v>0</v>
      </c>
      <c r="K777" s="6">
        <v>0</v>
      </c>
      <c r="L777" s="6">
        <v>-0.155</v>
      </c>
      <c r="M777" s="6">
        <v>-0.155</v>
      </c>
      <c r="N777" s="6">
        <v>-0.155</v>
      </c>
      <c r="O777" s="6">
        <v>-0.155</v>
      </c>
      <c r="P777" s="6">
        <v>0</v>
      </c>
      <c r="Q777" s="4" t="s">
        <v>26</v>
      </c>
      <c r="R777" s="4">
        <v>0</v>
      </c>
      <c r="S777" s="4" t="s">
        <v>292</v>
      </c>
      <c r="T777" s="4" t="s">
        <v>514</v>
      </c>
      <c r="U777" s="4">
        <v>0</v>
      </c>
      <c r="V777" s="4">
        <v>43</v>
      </c>
      <c r="W777" s="4">
        <v>84</v>
      </c>
    </row>
    <row r="778" spans="1:23" ht="11.25" customHeight="1" x14ac:dyDescent="0.25">
      <c r="A778" s="4" t="s">
        <v>28</v>
      </c>
      <c r="B778" s="4" t="s">
        <v>44</v>
      </c>
      <c r="C778" s="4" t="s">
        <v>23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44531</v>
      </c>
      <c r="J778" s="6">
        <v>0</v>
      </c>
      <c r="K778" s="6">
        <v>0</v>
      </c>
      <c r="L778" s="6">
        <v>2.7130000000000001</v>
      </c>
      <c r="M778" s="6">
        <v>2.7130000000000001</v>
      </c>
      <c r="N778" s="6">
        <v>2.7130000000000001</v>
      </c>
      <c r="O778" s="6">
        <v>2.7130000000000001</v>
      </c>
      <c r="P778" s="6">
        <v>19</v>
      </c>
      <c r="Q778" s="4" t="s">
        <v>26</v>
      </c>
      <c r="R778" s="4">
        <v>0</v>
      </c>
      <c r="S778" s="4" t="s">
        <v>292</v>
      </c>
      <c r="T778" s="4" t="s">
        <v>514</v>
      </c>
      <c r="U778" s="4">
        <v>0</v>
      </c>
      <c r="V778" s="4">
        <v>43</v>
      </c>
      <c r="W778" s="4">
        <v>84</v>
      </c>
    </row>
    <row r="779" spans="1:23" ht="11.25" customHeight="1" x14ac:dyDescent="0.25">
      <c r="A779" s="4" t="s">
        <v>21</v>
      </c>
      <c r="B779" s="4" t="s">
        <v>44</v>
      </c>
      <c r="C779" s="4" t="s">
        <v>23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44562</v>
      </c>
      <c r="J779" s="6">
        <v>0</v>
      </c>
      <c r="K779" s="6">
        <v>0</v>
      </c>
      <c r="L779" s="6">
        <v>523.37199999999996</v>
      </c>
      <c r="M779" s="6">
        <v>523.37199999999996</v>
      </c>
      <c r="N779" s="6">
        <v>523.37199999999996</v>
      </c>
      <c r="O779" s="6">
        <v>523.37199999999996</v>
      </c>
      <c r="P779" s="6">
        <v>1733</v>
      </c>
      <c r="Q779" s="4" t="s">
        <v>26</v>
      </c>
      <c r="R779" s="4">
        <v>0</v>
      </c>
      <c r="S779" s="4" t="s">
        <v>293</v>
      </c>
      <c r="T779" s="4" t="s">
        <v>515</v>
      </c>
      <c r="U779" s="4">
        <v>0</v>
      </c>
      <c r="V779" s="4">
        <v>43</v>
      </c>
      <c r="W779" s="4">
        <v>84</v>
      </c>
    </row>
    <row r="780" spans="1:23" ht="11.25" customHeight="1" x14ac:dyDescent="0.25">
      <c r="A780" s="4" t="s">
        <v>27</v>
      </c>
      <c r="B780" s="4" t="s">
        <v>44</v>
      </c>
      <c r="C780" s="4" t="s">
        <v>23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44562</v>
      </c>
      <c r="J780" s="6">
        <v>0</v>
      </c>
      <c r="K780" s="6">
        <v>0</v>
      </c>
      <c r="L780" s="6">
        <v>-0.97599999999999998</v>
      </c>
      <c r="M780" s="6">
        <v>-0.97599999999999998</v>
      </c>
      <c r="N780" s="6">
        <v>-0.97599999999999998</v>
      </c>
      <c r="O780" s="6">
        <v>-0.97599999999999998</v>
      </c>
      <c r="P780" s="6">
        <v>0</v>
      </c>
      <c r="Q780" s="4" t="s">
        <v>26</v>
      </c>
      <c r="R780" s="4">
        <v>0</v>
      </c>
      <c r="S780" s="4" t="s">
        <v>293</v>
      </c>
      <c r="T780" s="4" t="s">
        <v>515</v>
      </c>
      <c r="U780" s="4">
        <v>0</v>
      </c>
      <c r="V780" s="4">
        <v>43</v>
      </c>
      <c r="W780" s="4">
        <v>84</v>
      </c>
    </row>
    <row r="781" spans="1:23" ht="11.25" customHeight="1" x14ac:dyDescent="0.25">
      <c r="A781" s="4" t="s">
        <v>28</v>
      </c>
      <c r="B781" s="4" t="s">
        <v>44</v>
      </c>
      <c r="C781" s="4" t="s">
        <v>23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44562</v>
      </c>
      <c r="J781" s="6">
        <v>0</v>
      </c>
      <c r="K781" s="6">
        <v>0</v>
      </c>
      <c r="L781" s="6">
        <v>3.7149999999999999</v>
      </c>
      <c r="M781" s="6">
        <v>3.7149999999999999</v>
      </c>
      <c r="N781" s="6">
        <v>3.7149999999999999</v>
      </c>
      <c r="O781" s="6">
        <v>3.7149999999999999</v>
      </c>
      <c r="P781" s="6">
        <v>21</v>
      </c>
      <c r="Q781" s="4" t="s">
        <v>26</v>
      </c>
      <c r="R781" s="4">
        <v>0</v>
      </c>
      <c r="S781" s="4" t="s">
        <v>293</v>
      </c>
      <c r="T781" s="4" t="s">
        <v>515</v>
      </c>
      <c r="U781" s="4">
        <v>0</v>
      </c>
      <c r="V781" s="4">
        <v>43</v>
      </c>
      <c r="W781" s="4">
        <v>84</v>
      </c>
    </row>
    <row r="782" spans="1:23" ht="11.25" customHeight="1" x14ac:dyDescent="0.25">
      <c r="A782" s="4" t="s">
        <v>21</v>
      </c>
      <c r="B782" s="4" t="s">
        <v>44</v>
      </c>
      <c r="C782" s="4" t="s">
        <v>23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44593</v>
      </c>
      <c r="J782" s="6">
        <v>0</v>
      </c>
      <c r="K782" s="6">
        <v>0</v>
      </c>
      <c r="L782" s="6">
        <v>521.06500000000005</v>
      </c>
      <c r="M782" s="6">
        <v>521.06500000000005</v>
      </c>
      <c r="N782" s="6">
        <v>521.06500000000005</v>
      </c>
      <c r="O782" s="6">
        <v>521.06500000000005</v>
      </c>
      <c r="P782" s="6">
        <v>1728</v>
      </c>
      <c r="Q782" s="4" t="s">
        <v>26</v>
      </c>
      <c r="R782" s="4">
        <v>0</v>
      </c>
      <c r="S782" s="4" t="s">
        <v>294</v>
      </c>
      <c r="T782" s="4" t="s">
        <v>516</v>
      </c>
      <c r="U782" s="4">
        <v>0</v>
      </c>
      <c r="V782" s="4">
        <v>43</v>
      </c>
      <c r="W782" s="4">
        <v>84</v>
      </c>
    </row>
    <row r="783" spans="1:23" ht="11.25" customHeight="1" x14ac:dyDescent="0.25">
      <c r="A783" s="4" t="s">
        <v>21</v>
      </c>
      <c r="B783" s="4" t="s">
        <v>44</v>
      </c>
      <c r="C783" s="4" t="s">
        <v>23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44621</v>
      </c>
      <c r="J783" s="6">
        <v>0</v>
      </c>
      <c r="K783" s="6">
        <v>0</v>
      </c>
      <c r="L783" s="6">
        <v>508.90899999999999</v>
      </c>
      <c r="M783" s="6">
        <v>508.90899999999999</v>
      </c>
      <c r="N783" s="6">
        <v>508.90899999999999</v>
      </c>
      <c r="O783" s="6">
        <v>508.90899999999999</v>
      </c>
      <c r="P783" s="6">
        <v>1728</v>
      </c>
      <c r="Q783" s="4" t="s">
        <v>26</v>
      </c>
      <c r="R783" s="4">
        <v>0</v>
      </c>
      <c r="S783" s="4" t="s">
        <v>295</v>
      </c>
      <c r="T783" s="4" t="s">
        <v>517</v>
      </c>
      <c r="U783" s="4">
        <v>0</v>
      </c>
      <c r="V783" s="4">
        <v>43</v>
      </c>
      <c r="W783" s="4">
        <v>84</v>
      </c>
    </row>
    <row r="784" spans="1:23" ht="11.25" customHeight="1" x14ac:dyDescent="0.25">
      <c r="A784" s="4" t="s">
        <v>28</v>
      </c>
      <c r="B784" s="4" t="s">
        <v>44</v>
      </c>
      <c r="C784" s="4" t="s">
        <v>23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44621</v>
      </c>
      <c r="J784" s="6">
        <v>0</v>
      </c>
      <c r="K784" s="6">
        <v>0</v>
      </c>
      <c r="L784" s="6">
        <v>5.8129999999999997</v>
      </c>
      <c r="M784" s="6">
        <v>5.8129999999999997</v>
      </c>
      <c r="N784" s="6">
        <v>5.8129999999999997</v>
      </c>
      <c r="O784" s="6">
        <v>5.8129999999999997</v>
      </c>
      <c r="P784" s="6">
        <v>24</v>
      </c>
      <c r="Q784" s="4" t="s">
        <v>26</v>
      </c>
      <c r="R784" s="4">
        <v>0</v>
      </c>
      <c r="S784" s="4" t="s">
        <v>295</v>
      </c>
      <c r="T784" s="4" t="s">
        <v>517</v>
      </c>
      <c r="U784" s="4">
        <v>0</v>
      </c>
      <c r="V784" s="4">
        <v>43</v>
      </c>
      <c r="W784" s="4">
        <v>84</v>
      </c>
    </row>
    <row r="785" spans="1:23" ht="11.25" customHeight="1" x14ac:dyDescent="0.25">
      <c r="A785" s="4" t="s">
        <v>21</v>
      </c>
      <c r="B785" s="4" t="s">
        <v>44</v>
      </c>
      <c r="C785" s="4" t="s">
        <v>23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44652</v>
      </c>
      <c r="J785" s="6">
        <v>0</v>
      </c>
      <c r="K785" s="6">
        <v>0</v>
      </c>
      <c r="L785" s="6">
        <v>484.93299999999999</v>
      </c>
      <c r="M785" s="6">
        <v>484.93299999999999</v>
      </c>
      <c r="N785" s="6">
        <v>484.93299999999999</v>
      </c>
      <c r="O785" s="6">
        <v>484.93299999999999</v>
      </c>
      <c r="P785" s="6">
        <v>1705</v>
      </c>
      <c r="Q785" s="4" t="s">
        <v>26</v>
      </c>
      <c r="R785" s="4">
        <v>0</v>
      </c>
      <c r="S785" s="4" t="s">
        <v>296</v>
      </c>
      <c r="T785" s="4" t="s">
        <v>518</v>
      </c>
      <c r="U785" s="4">
        <v>0</v>
      </c>
      <c r="V785" s="4">
        <v>43</v>
      </c>
      <c r="W785" s="4">
        <v>84</v>
      </c>
    </row>
    <row r="786" spans="1:23" ht="11.25" customHeight="1" x14ac:dyDescent="0.25">
      <c r="A786" s="4" t="s">
        <v>28</v>
      </c>
      <c r="B786" s="4" t="s">
        <v>44</v>
      </c>
      <c r="C786" s="4" t="s">
        <v>23</v>
      </c>
      <c r="D786" s="4" t="s">
        <v>45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44652</v>
      </c>
      <c r="J786" s="6">
        <v>0</v>
      </c>
      <c r="K786" s="6">
        <v>0</v>
      </c>
      <c r="L786" s="6">
        <v>7.4870000000000001</v>
      </c>
      <c r="M786" s="6">
        <v>7.4870000000000001</v>
      </c>
      <c r="N786" s="6">
        <v>7.4870000000000001</v>
      </c>
      <c r="O786" s="6">
        <v>7.4870000000000001</v>
      </c>
      <c r="P786" s="6">
        <v>24</v>
      </c>
      <c r="Q786" s="4" t="s">
        <v>26</v>
      </c>
      <c r="R786" s="4">
        <v>0</v>
      </c>
      <c r="S786" s="4" t="s">
        <v>296</v>
      </c>
      <c r="T786" s="4" t="s">
        <v>518</v>
      </c>
      <c r="U786" s="4">
        <v>0</v>
      </c>
      <c r="V786" s="4">
        <v>43</v>
      </c>
      <c r="W786" s="4">
        <v>84</v>
      </c>
    </row>
    <row r="787" spans="1:23" ht="11.25" customHeight="1" x14ac:dyDescent="0.25">
      <c r="A787" s="4" t="s">
        <v>21</v>
      </c>
      <c r="B787" s="4" t="s">
        <v>44</v>
      </c>
      <c r="C787" s="4" t="s">
        <v>23</v>
      </c>
      <c r="D787" s="4" t="s">
        <v>45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44682</v>
      </c>
      <c r="J787" s="6">
        <v>0</v>
      </c>
      <c r="K787" s="6">
        <v>0</v>
      </c>
      <c r="L787" s="6">
        <v>504.78500000000003</v>
      </c>
      <c r="M787" s="6">
        <v>504.78500000000003</v>
      </c>
      <c r="N787" s="6">
        <v>504.78500000000003</v>
      </c>
      <c r="O787" s="6">
        <v>504.78500000000003</v>
      </c>
      <c r="P787" s="6">
        <v>1691</v>
      </c>
      <c r="Q787" s="4" t="s">
        <v>26</v>
      </c>
      <c r="R787" s="4">
        <v>0</v>
      </c>
      <c r="S787" s="4" t="s">
        <v>297</v>
      </c>
      <c r="T787" s="4" t="s">
        <v>519</v>
      </c>
      <c r="U787" s="4">
        <v>0</v>
      </c>
      <c r="V787" s="4">
        <v>43</v>
      </c>
      <c r="W787" s="4">
        <v>84</v>
      </c>
    </row>
    <row r="788" spans="1:23" ht="11.25" customHeight="1" x14ac:dyDescent="0.25">
      <c r="A788" s="4" t="s">
        <v>27</v>
      </c>
      <c r="B788" s="4" t="s">
        <v>44</v>
      </c>
      <c r="C788" s="4" t="s">
        <v>23</v>
      </c>
      <c r="D788" s="4" t="s">
        <v>45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44682</v>
      </c>
      <c r="J788" s="6">
        <v>0</v>
      </c>
      <c r="K788" s="6">
        <v>0</v>
      </c>
      <c r="L788" s="6">
        <v>0.27500000000000002</v>
      </c>
      <c r="M788" s="6">
        <v>0.27500000000000002</v>
      </c>
      <c r="N788" s="6">
        <v>0.27500000000000002</v>
      </c>
      <c r="O788" s="6">
        <v>0.27500000000000002</v>
      </c>
      <c r="P788" s="6">
        <v>0</v>
      </c>
      <c r="Q788" s="4" t="s">
        <v>26</v>
      </c>
      <c r="R788" s="4">
        <v>0</v>
      </c>
      <c r="S788" s="4" t="s">
        <v>297</v>
      </c>
      <c r="T788" s="4" t="s">
        <v>519</v>
      </c>
      <c r="U788" s="4">
        <v>0</v>
      </c>
      <c r="V788" s="4">
        <v>43</v>
      </c>
      <c r="W788" s="4">
        <v>84</v>
      </c>
    </row>
    <row r="789" spans="1:23" ht="11.25" customHeight="1" x14ac:dyDescent="0.25">
      <c r="A789" s="4" t="s">
        <v>28</v>
      </c>
      <c r="B789" s="4" t="s">
        <v>44</v>
      </c>
      <c r="C789" s="4" t="s">
        <v>23</v>
      </c>
      <c r="D789" s="4" t="s">
        <v>45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44682</v>
      </c>
      <c r="J789" s="6">
        <v>0</v>
      </c>
      <c r="K789" s="6">
        <v>0</v>
      </c>
      <c r="L789" s="6">
        <v>8.8949999999999996</v>
      </c>
      <c r="M789" s="6">
        <v>8.8949999999999996</v>
      </c>
      <c r="N789" s="6">
        <v>8.8949999999999996</v>
      </c>
      <c r="O789" s="6">
        <v>8.8949999999999996</v>
      </c>
      <c r="P789" s="6">
        <v>29</v>
      </c>
      <c r="Q789" s="4" t="s">
        <v>26</v>
      </c>
      <c r="R789" s="4">
        <v>0</v>
      </c>
      <c r="S789" s="4" t="s">
        <v>297</v>
      </c>
      <c r="T789" s="4" t="s">
        <v>519</v>
      </c>
      <c r="U789" s="4">
        <v>0</v>
      </c>
      <c r="V789" s="4">
        <v>43</v>
      </c>
      <c r="W789" s="4">
        <v>84</v>
      </c>
    </row>
    <row r="790" spans="1:23" ht="11.25" customHeight="1" x14ac:dyDescent="0.25">
      <c r="A790" s="4" t="s">
        <v>21</v>
      </c>
      <c r="B790" s="4" t="s">
        <v>39</v>
      </c>
      <c r="C790" s="4" t="s">
        <v>36</v>
      </c>
      <c r="D790" s="4" t="s">
        <v>43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44348</v>
      </c>
      <c r="J790" s="6">
        <v>0</v>
      </c>
      <c r="K790" s="6">
        <v>0</v>
      </c>
      <c r="L790" s="6">
        <v>30.501999999999999</v>
      </c>
      <c r="M790" s="6">
        <v>30.501999999999999</v>
      </c>
      <c r="N790" s="6">
        <v>30.501999999999999</v>
      </c>
      <c r="O790" s="6">
        <v>30.501999999999999</v>
      </c>
      <c r="P790" s="6">
        <v>0</v>
      </c>
      <c r="Q790" s="4" t="s">
        <v>26</v>
      </c>
      <c r="R790" s="4">
        <v>0</v>
      </c>
      <c r="S790" s="4" t="s">
        <v>298</v>
      </c>
      <c r="T790" s="4" t="s">
        <v>520</v>
      </c>
      <c r="U790" s="4">
        <v>0</v>
      </c>
      <c r="V790" s="4">
        <v>57</v>
      </c>
      <c r="W790" s="4">
        <v>98</v>
      </c>
    </row>
    <row r="791" spans="1:23" ht="11.25" customHeight="1" x14ac:dyDescent="0.25">
      <c r="A791" s="4" t="s">
        <v>21</v>
      </c>
      <c r="B791" s="4" t="s">
        <v>39</v>
      </c>
      <c r="C791" s="4" t="s">
        <v>36</v>
      </c>
      <c r="D791" s="4" t="s">
        <v>43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44378</v>
      </c>
      <c r="J791" s="6">
        <v>0</v>
      </c>
      <c r="K791" s="6">
        <v>0</v>
      </c>
      <c r="L791" s="6">
        <v>31.99</v>
      </c>
      <c r="M791" s="6">
        <v>31.99</v>
      </c>
      <c r="N791" s="6">
        <v>31.99</v>
      </c>
      <c r="O791" s="6">
        <v>31.99</v>
      </c>
      <c r="P791" s="6">
        <v>0</v>
      </c>
      <c r="Q791" s="4" t="s">
        <v>26</v>
      </c>
      <c r="R791" s="4">
        <v>0</v>
      </c>
      <c r="S791" s="4" t="s">
        <v>299</v>
      </c>
      <c r="T791" s="4" t="s">
        <v>521</v>
      </c>
      <c r="U791" s="4">
        <v>0</v>
      </c>
      <c r="V791" s="4">
        <v>57</v>
      </c>
      <c r="W791" s="4">
        <v>98</v>
      </c>
    </row>
    <row r="792" spans="1:23" ht="11.25" customHeight="1" x14ac:dyDescent="0.25">
      <c r="A792" s="4" t="s">
        <v>21</v>
      </c>
      <c r="B792" s="4" t="s">
        <v>39</v>
      </c>
      <c r="C792" s="4" t="s">
        <v>36</v>
      </c>
      <c r="D792" s="4" t="s">
        <v>43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44409</v>
      </c>
      <c r="J792" s="6">
        <v>0</v>
      </c>
      <c r="K792" s="6">
        <v>0</v>
      </c>
      <c r="L792" s="6">
        <v>32.703000000000003</v>
      </c>
      <c r="M792" s="6">
        <v>32.703000000000003</v>
      </c>
      <c r="N792" s="6">
        <v>32.703000000000003</v>
      </c>
      <c r="O792" s="6">
        <v>32.703000000000003</v>
      </c>
      <c r="P792" s="6">
        <v>0</v>
      </c>
      <c r="Q792" s="4" t="s">
        <v>26</v>
      </c>
      <c r="R792" s="4">
        <v>0</v>
      </c>
      <c r="S792" s="4" t="s">
        <v>300</v>
      </c>
      <c r="T792" s="4" t="s">
        <v>522</v>
      </c>
      <c r="U792" s="4">
        <v>0</v>
      </c>
      <c r="V792" s="4">
        <v>57</v>
      </c>
      <c r="W792" s="4">
        <v>98</v>
      </c>
    </row>
    <row r="793" spans="1:23" ht="11.25" customHeight="1" x14ac:dyDescent="0.25">
      <c r="A793" s="4" t="s">
        <v>21</v>
      </c>
      <c r="B793" s="4" t="s">
        <v>39</v>
      </c>
      <c r="C793" s="4" t="s">
        <v>36</v>
      </c>
      <c r="D793" s="4" t="s">
        <v>43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44440</v>
      </c>
      <c r="J793" s="6">
        <v>0</v>
      </c>
      <c r="K793" s="6">
        <v>0</v>
      </c>
      <c r="L793" s="6">
        <v>34.878</v>
      </c>
      <c r="M793" s="6">
        <v>34.878</v>
      </c>
      <c r="N793" s="6">
        <v>34.878</v>
      </c>
      <c r="O793" s="6">
        <v>34.878</v>
      </c>
      <c r="P793" s="6">
        <v>0</v>
      </c>
      <c r="Q793" s="4" t="s">
        <v>26</v>
      </c>
      <c r="R793" s="4">
        <v>0</v>
      </c>
      <c r="S793" s="4" t="s">
        <v>301</v>
      </c>
      <c r="T793" s="4" t="s">
        <v>523</v>
      </c>
      <c r="U793" s="4">
        <v>0</v>
      </c>
      <c r="V793" s="4">
        <v>57</v>
      </c>
      <c r="W793" s="4">
        <v>98</v>
      </c>
    </row>
    <row r="794" spans="1:23" ht="11.25" customHeight="1" x14ac:dyDescent="0.25">
      <c r="A794" s="4" t="s">
        <v>21</v>
      </c>
      <c r="B794" s="4" t="s">
        <v>39</v>
      </c>
      <c r="C794" s="4" t="s">
        <v>36</v>
      </c>
      <c r="D794" s="4" t="s">
        <v>43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44470</v>
      </c>
      <c r="J794" s="6">
        <v>0</v>
      </c>
      <c r="K794" s="6">
        <v>0</v>
      </c>
      <c r="L794" s="6">
        <v>35.561</v>
      </c>
      <c r="M794" s="6">
        <v>35.561</v>
      </c>
      <c r="N794" s="6">
        <v>35.561</v>
      </c>
      <c r="O794" s="6">
        <v>35.561</v>
      </c>
      <c r="P794" s="6">
        <v>0</v>
      </c>
      <c r="Q794" s="4" t="s">
        <v>26</v>
      </c>
      <c r="R794" s="4">
        <v>0</v>
      </c>
      <c r="S794" s="4" t="s">
        <v>302</v>
      </c>
      <c r="T794" s="4" t="s">
        <v>524</v>
      </c>
      <c r="U794" s="4">
        <v>0</v>
      </c>
      <c r="V794" s="4">
        <v>57</v>
      </c>
      <c r="W794" s="4">
        <v>98</v>
      </c>
    </row>
    <row r="795" spans="1:23" ht="11.25" customHeight="1" x14ac:dyDescent="0.25">
      <c r="A795" s="4" t="s">
        <v>21</v>
      </c>
      <c r="B795" s="4" t="s">
        <v>39</v>
      </c>
      <c r="C795" s="4" t="s">
        <v>36</v>
      </c>
      <c r="D795" s="4" t="s">
        <v>43</v>
      </c>
      <c r="E795" s="4" t="s">
        <v>25</v>
      </c>
      <c r="F795" s="4" t="s">
        <v>25</v>
      </c>
      <c r="G795" s="4" t="s">
        <v>25</v>
      </c>
      <c r="H795" s="4" t="s">
        <v>35</v>
      </c>
      <c r="I795" s="5">
        <v>44501</v>
      </c>
      <c r="J795" s="6">
        <v>0</v>
      </c>
      <c r="K795" s="6">
        <v>0</v>
      </c>
      <c r="L795" s="6">
        <v>34.975999999999999</v>
      </c>
      <c r="M795" s="6">
        <v>34.975999999999999</v>
      </c>
      <c r="N795" s="6">
        <v>34.975999999999999</v>
      </c>
      <c r="O795" s="6">
        <v>34.975999999999999</v>
      </c>
      <c r="P795" s="6">
        <v>0</v>
      </c>
      <c r="Q795" s="4" t="s">
        <v>26</v>
      </c>
      <c r="R795" s="4">
        <v>0</v>
      </c>
      <c r="S795" s="4" t="s">
        <v>303</v>
      </c>
      <c r="T795" s="4" t="s">
        <v>525</v>
      </c>
      <c r="U795" s="4">
        <v>0</v>
      </c>
      <c r="V795" s="4">
        <v>57</v>
      </c>
      <c r="W795" s="4">
        <v>98</v>
      </c>
    </row>
    <row r="796" spans="1:23" ht="11.25" customHeight="1" x14ac:dyDescent="0.25">
      <c r="A796" s="4" t="s">
        <v>21</v>
      </c>
      <c r="B796" s="4" t="s">
        <v>39</v>
      </c>
      <c r="C796" s="4" t="s">
        <v>36</v>
      </c>
      <c r="D796" s="4" t="s">
        <v>43</v>
      </c>
      <c r="E796" s="4" t="s">
        <v>25</v>
      </c>
      <c r="F796" s="4" t="s">
        <v>25</v>
      </c>
      <c r="G796" s="4" t="s">
        <v>25</v>
      </c>
      <c r="H796" s="4" t="s">
        <v>35</v>
      </c>
      <c r="I796" s="5">
        <v>44531</v>
      </c>
      <c r="J796" s="6">
        <v>0</v>
      </c>
      <c r="K796" s="6">
        <v>0</v>
      </c>
      <c r="L796" s="6">
        <v>39.262999999999998</v>
      </c>
      <c r="M796" s="6">
        <v>39.262999999999998</v>
      </c>
      <c r="N796" s="6">
        <v>39.262999999999998</v>
      </c>
      <c r="O796" s="6">
        <v>39.262999999999998</v>
      </c>
      <c r="P796" s="6">
        <v>0</v>
      </c>
      <c r="Q796" s="4" t="s">
        <v>26</v>
      </c>
      <c r="R796" s="4">
        <v>0</v>
      </c>
      <c r="S796" s="4" t="s">
        <v>304</v>
      </c>
      <c r="T796" s="4" t="s">
        <v>526</v>
      </c>
      <c r="U796" s="4">
        <v>0</v>
      </c>
      <c r="V796" s="4">
        <v>57</v>
      </c>
      <c r="W796" s="4">
        <v>98</v>
      </c>
    </row>
    <row r="797" spans="1:23" ht="11.25" customHeight="1" x14ac:dyDescent="0.25">
      <c r="A797" s="4" t="s">
        <v>21</v>
      </c>
      <c r="B797" s="4" t="s">
        <v>39</v>
      </c>
      <c r="C797" s="4" t="s">
        <v>36</v>
      </c>
      <c r="D797" s="4" t="s">
        <v>43</v>
      </c>
      <c r="E797" s="4" t="s">
        <v>25</v>
      </c>
      <c r="F797" s="4" t="s">
        <v>25</v>
      </c>
      <c r="G797" s="4" t="s">
        <v>25</v>
      </c>
      <c r="H797" s="4" t="s">
        <v>35</v>
      </c>
      <c r="I797" s="5">
        <v>44562</v>
      </c>
      <c r="J797" s="6">
        <v>0</v>
      </c>
      <c r="K797" s="6">
        <v>0</v>
      </c>
      <c r="L797" s="6">
        <v>35.311999999999998</v>
      </c>
      <c r="M797" s="6">
        <v>35.311999999999998</v>
      </c>
      <c r="N797" s="6">
        <v>35.311999999999998</v>
      </c>
      <c r="O797" s="6">
        <v>35.311999999999998</v>
      </c>
      <c r="P797" s="6">
        <v>0</v>
      </c>
      <c r="Q797" s="4" t="s">
        <v>26</v>
      </c>
      <c r="R797" s="4">
        <v>0</v>
      </c>
      <c r="S797" s="4" t="s">
        <v>305</v>
      </c>
      <c r="T797" s="4" t="s">
        <v>527</v>
      </c>
      <c r="U797" s="4">
        <v>0</v>
      </c>
      <c r="V797" s="4">
        <v>57</v>
      </c>
      <c r="W797" s="4">
        <v>98</v>
      </c>
    </row>
    <row r="798" spans="1:23" ht="11.25" customHeight="1" x14ac:dyDescent="0.25">
      <c r="A798" s="4" t="s">
        <v>21</v>
      </c>
      <c r="B798" s="4" t="s">
        <v>39</v>
      </c>
      <c r="C798" s="4" t="s">
        <v>36</v>
      </c>
      <c r="D798" s="4" t="s">
        <v>43</v>
      </c>
      <c r="E798" s="4" t="s">
        <v>25</v>
      </c>
      <c r="F798" s="4" t="s">
        <v>25</v>
      </c>
      <c r="G798" s="4" t="s">
        <v>25</v>
      </c>
      <c r="H798" s="4" t="s">
        <v>35</v>
      </c>
      <c r="I798" s="5">
        <v>44593</v>
      </c>
      <c r="J798" s="6">
        <v>0</v>
      </c>
      <c r="K798" s="6">
        <v>0</v>
      </c>
      <c r="L798" s="6">
        <v>40.908000000000001</v>
      </c>
      <c r="M798" s="6">
        <v>40.908000000000001</v>
      </c>
      <c r="N798" s="6">
        <v>40.908000000000001</v>
      </c>
      <c r="O798" s="6">
        <v>40.908000000000001</v>
      </c>
      <c r="P798" s="6">
        <v>0</v>
      </c>
      <c r="Q798" s="4" t="s">
        <v>26</v>
      </c>
      <c r="R798" s="4">
        <v>0</v>
      </c>
      <c r="S798" s="4" t="s">
        <v>306</v>
      </c>
      <c r="T798" s="4" t="s">
        <v>528</v>
      </c>
      <c r="U798" s="4">
        <v>0</v>
      </c>
      <c r="V798" s="4">
        <v>57</v>
      </c>
      <c r="W798" s="4">
        <v>98</v>
      </c>
    </row>
    <row r="799" spans="1:23" ht="11.25" customHeight="1" x14ac:dyDescent="0.25">
      <c r="A799" s="4" t="s">
        <v>21</v>
      </c>
      <c r="B799" s="4" t="s">
        <v>39</v>
      </c>
      <c r="C799" s="4" t="s">
        <v>36</v>
      </c>
      <c r="D799" s="4" t="s">
        <v>43</v>
      </c>
      <c r="E799" s="4" t="s">
        <v>25</v>
      </c>
      <c r="F799" s="4" t="s">
        <v>25</v>
      </c>
      <c r="G799" s="4" t="s">
        <v>25</v>
      </c>
      <c r="H799" s="4" t="s">
        <v>35</v>
      </c>
      <c r="I799" s="5">
        <v>44621</v>
      </c>
      <c r="J799" s="6">
        <v>0</v>
      </c>
      <c r="K799" s="6">
        <v>0</v>
      </c>
      <c r="L799" s="6">
        <v>37.264000000000003</v>
      </c>
      <c r="M799" s="6">
        <v>37.264000000000003</v>
      </c>
      <c r="N799" s="6">
        <v>37.264000000000003</v>
      </c>
      <c r="O799" s="6">
        <v>37.264000000000003</v>
      </c>
      <c r="P799" s="6">
        <v>0</v>
      </c>
      <c r="Q799" s="4" t="s">
        <v>26</v>
      </c>
      <c r="R799" s="4">
        <v>0</v>
      </c>
      <c r="S799" s="4" t="s">
        <v>307</v>
      </c>
      <c r="T799" s="4" t="s">
        <v>529</v>
      </c>
      <c r="U799" s="4">
        <v>0</v>
      </c>
      <c r="V799" s="4">
        <v>57</v>
      </c>
      <c r="W799" s="4">
        <v>98</v>
      </c>
    </row>
    <row r="800" spans="1:23" ht="11.25" customHeight="1" x14ac:dyDescent="0.25">
      <c r="A800" s="4" t="s">
        <v>21</v>
      </c>
      <c r="B800" s="4" t="s">
        <v>39</v>
      </c>
      <c r="C800" s="4" t="s">
        <v>36</v>
      </c>
      <c r="D800" s="4" t="s">
        <v>43</v>
      </c>
      <c r="E800" s="4" t="s">
        <v>25</v>
      </c>
      <c r="F800" s="4" t="s">
        <v>25</v>
      </c>
      <c r="G800" s="4" t="s">
        <v>25</v>
      </c>
      <c r="H800" s="4" t="s">
        <v>35</v>
      </c>
      <c r="I800" s="5">
        <v>44652</v>
      </c>
      <c r="J800" s="6">
        <v>0</v>
      </c>
      <c r="K800" s="6">
        <v>0</v>
      </c>
      <c r="L800" s="6">
        <v>30.814</v>
      </c>
      <c r="M800" s="6">
        <v>30.814</v>
      </c>
      <c r="N800" s="6">
        <v>30.814</v>
      </c>
      <c r="O800" s="6">
        <v>30.814</v>
      </c>
      <c r="P800" s="6">
        <v>0</v>
      </c>
      <c r="Q800" s="4" t="s">
        <v>26</v>
      </c>
      <c r="R800" s="4">
        <v>0</v>
      </c>
      <c r="S800" s="4" t="s">
        <v>308</v>
      </c>
      <c r="T800" s="4" t="s">
        <v>530</v>
      </c>
      <c r="U800" s="4">
        <v>0</v>
      </c>
      <c r="V800" s="4">
        <v>57</v>
      </c>
      <c r="W800" s="4">
        <v>98</v>
      </c>
    </row>
    <row r="801" spans="1:23" ht="11.25" customHeight="1" x14ac:dyDescent="0.25">
      <c r="A801" s="4" t="s">
        <v>28</v>
      </c>
      <c r="B801" s="4" t="s">
        <v>39</v>
      </c>
      <c r="C801" s="4" t="s">
        <v>36</v>
      </c>
      <c r="D801" s="4" t="s">
        <v>43</v>
      </c>
      <c r="E801" s="4" t="s">
        <v>25</v>
      </c>
      <c r="F801" s="4" t="s">
        <v>25</v>
      </c>
      <c r="G801" s="4" t="s">
        <v>25</v>
      </c>
      <c r="H801" s="4" t="s">
        <v>35</v>
      </c>
      <c r="I801" s="5">
        <v>44652</v>
      </c>
      <c r="J801" s="6">
        <v>0</v>
      </c>
      <c r="K801" s="6">
        <v>0</v>
      </c>
      <c r="L801" s="6">
        <v>0.23</v>
      </c>
      <c r="M801" s="6">
        <v>0.23</v>
      </c>
      <c r="N801" s="6">
        <v>0.23</v>
      </c>
      <c r="O801" s="6">
        <v>0.23</v>
      </c>
      <c r="P801" s="6">
        <v>0</v>
      </c>
      <c r="Q801" s="4" t="s">
        <v>26</v>
      </c>
      <c r="R801" s="4">
        <v>0</v>
      </c>
      <c r="S801" s="4" t="s">
        <v>308</v>
      </c>
      <c r="T801" s="4" t="s">
        <v>530</v>
      </c>
      <c r="U801" s="4">
        <v>0</v>
      </c>
      <c r="V801" s="4">
        <v>57</v>
      </c>
      <c r="W801" s="4">
        <v>98</v>
      </c>
    </row>
    <row r="802" spans="1:23" ht="11.25" customHeight="1" x14ac:dyDescent="0.25">
      <c r="A802" s="4" t="s">
        <v>21</v>
      </c>
      <c r="B802" s="4" t="s">
        <v>39</v>
      </c>
      <c r="C802" s="4" t="s">
        <v>36</v>
      </c>
      <c r="D802" s="4" t="s">
        <v>43</v>
      </c>
      <c r="E802" s="4" t="s">
        <v>25</v>
      </c>
      <c r="F802" s="4" t="s">
        <v>25</v>
      </c>
      <c r="G802" s="4" t="s">
        <v>25</v>
      </c>
      <c r="H802" s="4" t="s">
        <v>35</v>
      </c>
      <c r="I802" s="5">
        <v>44682</v>
      </c>
      <c r="J802" s="6">
        <v>0</v>
      </c>
      <c r="K802" s="6">
        <v>0</v>
      </c>
      <c r="L802" s="6">
        <v>32.301000000000002</v>
      </c>
      <c r="M802" s="6">
        <v>32.301000000000002</v>
      </c>
      <c r="N802" s="6">
        <v>32.301000000000002</v>
      </c>
      <c r="O802" s="6">
        <v>32.301000000000002</v>
      </c>
      <c r="P802" s="6">
        <v>0</v>
      </c>
      <c r="Q802" s="4" t="s">
        <v>26</v>
      </c>
      <c r="R802" s="4">
        <v>0</v>
      </c>
      <c r="S802" s="4" t="s">
        <v>309</v>
      </c>
      <c r="T802" s="4" t="s">
        <v>531</v>
      </c>
      <c r="U802" s="4">
        <v>0</v>
      </c>
      <c r="V802" s="4">
        <v>57</v>
      </c>
      <c r="W802" s="4">
        <v>98</v>
      </c>
    </row>
    <row r="803" spans="1:23" ht="11.25" customHeight="1" x14ac:dyDescent="0.25">
      <c r="A803" s="4" t="s">
        <v>21</v>
      </c>
      <c r="B803" s="4" t="s">
        <v>39</v>
      </c>
      <c r="C803" s="4" t="s">
        <v>36</v>
      </c>
      <c r="D803" s="4" t="s">
        <v>43</v>
      </c>
      <c r="E803" s="4" t="s">
        <v>25</v>
      </c>
      <c r="F803" s="4" t="s">
        <v>25</v>
      </c>
      <c r="G803" s="4" t="s">
        <v>25</v>
      </c>
      <c r="H803" s="4" t="s">
        <v>38</v>
      </c>
      <c r="I803" s="5">
        <v>44348</v>
      </c>
      <c r="J803" s="6">
        <v>0</v>
      </c>
      <c r="K803" s="6">
        <v>0</v>
      </c>
      <c r="L803" s="6">
        <v>2.0470000000000002</v>
      </c>
      <c r="M803" s="6">
        <v>2.0470000000000002</v>
      </c>
      <c r="N803" s="6">
        <v>2.0470000000000002</v>
      </c>
      <c r="O803" s="6">
        <v>2.0470000000000002</v>
      </c>
      <c r="P803" s="6">
        <v>0</v>
      </c>
      <c r="Q803" s="4" t="s">
        <v>26</v>
      </c>
      <c r="R803" s="4">
        <v>0</v>
      </c>
      <c r="S803" s="4" t="s">
        <v>310</v>
      </c>
      <c r="T803" s="4" t="s">
        <v>532</v>
      </c>
      <c r="U803" s="4">
        <v>0</v>
      </c>
      <c r="V803" s="4">
        <v>56</v>
      </c>
      <c r="W803" s="4">
        <v>97</v>
      </c>
    </row>
    <row r="804" spans="1:23" ht="11.25" customHeight="1" x14ac:dyDescent="0.25">
      <c r="A804" s="4" t="s">
        <v>21</v>
      </c>
      <c r="B804" s="4" t="s">
        <v>39</v>
      </c>
      <c r="C804" s="4" t="s">
        <v>36</v>
      </c>
      <c r="D804" s="4" t="s">
        <v>43</v>
      </c>
      <c r="E804" s="4" t="s">
        <v>25</v>
      </c>
      <c r="F804" s="4" t="s">
        <v>25</v>
      </c>
      <c r="G804" s="4" t="s">
        <v>25</v>
      </c>
      <c r="H804" s="4" t="s">
        <v>38</v>
      </c>
      <c r="I804" s="5">
        <v>44378</v>
      </c>
      <c r="J804" s="6">
        <v>0</v>
      </c>
      <c r="K804" s="6">
        <v>0</v>
      </c>
      <c r="L804" s="6">
        <v>2.145</v>
      </c>
      <c r="M804" s="6">
        <v>2.145</v>
      </c>
      <c r="N804" s="6">
        <v>2.145</v>
      </c>
      <c r="O804" s="6">
        <v>2.145</v>
      </c>
      <c r="P804" s="6">
        <v>0</v>
      </c>
      <c r="Q804" s="4" t="s">
        <v>26</v>
      </c>
      <c r="R804" s="4">
        <v>0</v>
      </c>
      <c r="S804" s="4" t="s">
        <v>311</v>
      </c>
      <c r="T804" s="4" t="s">
        <v>533</v>
      </c>
      <c r="U804" s="4">
        <v>0</v>
      </c>
      <c r="V804" s="4">
        <v>56</v>
      </c>
      <c r="W804" s="4">
        <v>97</v>
      </c>
    </row>
    <row r="805" spans="1:23" ht="11.25" customHeight="1" x14ac:dyDescent="0.25">
      <c r="A805" s="4" t="s">
        <v>21</v>
      </c>
      <c r="B805" s="4" t="s">
        <v>39</v>
      </c>
      <c r="C805" s="4" t="s">
        <v>36</v>
      </c>
      <c r="D805" s="4" t="s">
        <v>43</v>
      </c>
      <c r="E805" s="4" t="s">
        <v>25</v>
      </c>
      <c r="F805" s="4" t="s">
        <v>25</v>
      </c>
      <c r="G805" s="4" t="s">
        <v>25</v>
      </c>
      <c r="H805" s="4" t="s">
        <v>38</v>
      </c>
      <c r="I805" s="5">
        <v>44409</v>
      </c>
      <c r="J805" s="6">
        <v>0</v>
      </c>
      <c r="K805" s="6">
        <v>0</v>
      </c>
      <c r="L805" s="6">
        <v>2.1560000000000001</v>
      </c>
      <c r="M805" s="6">
        <v>2.1560000000000001</v>
      </c>
      <c r="N805" s="6">
        <v>2.1560000000000001</v>
      </c>
      <c r="O805" s="6">
        <v>2.1560000000000001</v>
      </c>
      <c r="P805" s="6">
        <v>0</v>
      </c>
      <c r="Q805" s="4" t="s">
        <v>26</v>
      </c>
      <c r="R805" s="4">
        <v>0</v>
      </c>
      <c r="S805" s="4" t="s">
        <v>312</v>
      </c>
      <c r="T805" s="4" t="s">
        <v>534</v>
      </c>
      <c r="U805" s="4">
        <v>0</v>
      </c>
      <c r="V805" s="4">
        <v>56</v>
      </c>
      <c r="W805" s="4">
        <v>97</v>
      </c>
    </row>
    <row r="806" spans="1:23" ht="11.25" customHeight="1" x14ac:dyDescent="0.25">
      <c r="A806" s="4" t="s">
        <v>21</v>
      </c>
      <c r="B806" s="4" t="s">
        <v>39</v>
      </c>
      <c r="C806" s="4" t="s">
        <v>36</v>
      </c>
      <c r="D806" s="4" t="s">
        <v>43</v>
      </c>
      <c r="E806" s="4" t="s">
        <v>25</v>
      </c>
      <c r="F806" s="4" t="s">
        <v>25</v>
      </c>
      <c r="G806" s="4" t="s">
        <v>25</v>
      </c>
      <c r="H806" s="4" t="s">
        <v>38</v>
      </c>
      <c r="I806" s="5">
        <v>44440</v>
      </c>
      <c r="J806" s="6">
        <v>0</v>
      </c>
      <c r="K806" s="6">
        <v>0</v>
      </c>
      <c r="L806" s="6">
        <v>2.2599999999999998</v>
      </c>
      <c r="M806" s="6">
        <v>2.2599999999999998</v>
      </c>
      <c r="N806" s="6">
        <v>2.2599999999999998</v>
      </c>
      <c r="O806" s="6">
        <v>2.2599999999999998</v>
      </c>
      <c r="P806" s="6">
        <v>0</v>
      </c>
      <c r="Q806" s="4" t="s">
        <v>26</v>
      </c>
      <c r="R806" s="4">
        <v>0</v>
      </c>
      <c r="S806" s="4" t="s">
        <v>313</v>
      </c>
      <c r="T806" s="4" t="s">
        <v>535</v>
      </c>
      <c r="U806" s="4">
        <v>0</v>
      </c>
      <c r="V806" s="4">
        <v>56</v>
      </c>
      <c r="W806" s="4">
        <v>97</v>
      </c>
    </row>
    <row r="807" spans="1:23" ht="11.25" customHeight="1" x14ac:dyDescent="0.25">
      <c r="A807" s="4" t="s">
        <v>21</v>
      </c>
      <c r="B807" s="4" t="s">
        <v>39</v>
      </c>
      <c r="C807" s="4" t="s">
        <v>36</v>
      </c>
      <c r="D807" s="4" t="s">
        <v>43</v>
      </c>
      <c r="E807" s="4" t="s">
        <v>25</v>
      </c>
      <c r="F807" s="4" t="s">
        <v>25</v>
      </c>
      <c r="G807" s="4" t="s">
        <v>25</v>
      </c>
      <c r="H807" s="4" t="s">
        <v>38</v>
      </c>
      <c r="I807" s="5">
        <v>44470</v>
      </c>
      <c r="J807" s="6">
        <v>0</v>
      </c>
      <c r="K807" s="6">
        <v>0</v>
      </c>
      <c r="L807" s="6">
        <v>2.206</v>
      </c>
      <c r="M807" s="6">
        <v>2.206</v>
      </c>
      <c r="N807" s="6">
        <v>2.206</v>
      </c>
      <c r="O807" s="6">
        <v>2.206</v>
      </c>
      <c r="P807" s="6">
        <v>0</v>
      </c>
      <c r="Q807" s="4" t="s">
        <v>26</v>
      </c>
      <c r="R807" s="4">
        <v>0</v>
      </c>
      <c r="S807" s="4" t="s">
        <v>314</v>
      </c>
      <c r="T807" s="4" t="s">
        <v>536</v>
      </c>
      <c r="U807" s="4">
        <v>0</v>
      </c>
      <c r="V807" s="4">
        <v>56</v>
      </c>
      <c r="W807" s="4">
        <v>97</v>
      </c>
    </row>
    <row r="808" spans="1:23" ht="11.25" customHeight="1" x14ac:dyDescent="0.25">
      <c r="A808" s="4" t="s">
        <v>21</v>
      </c>
      <c r="B808" s="4" t="s">
        <v>39</v>
      </c>
      <c r="C808" s="4" t="s">
        <v>36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38</v>
      </c>
      <c r="I808" s="5">
        <v>44501</v>
      </c>
      <c r="J808" s="6">
        <v>0</v>
      </c>
      <c r="K808" s="6">
        <v>0</v>
      </c>
      <c r="L808" s="6">
        <v>2.1429999999999998</v>
      </c>
      <c r="M808" s="6">
        <v>2.1429999999999998</v>
      </c>
      <c r="N808" s="6">
        <v>2.1429999999999998</v>
      </c>
      <c r="O808" s="6">
        <v>2.1429999999999998</v>
      </c>
      <c r="P808" s="6">
        <v>0</v>
      </c>
      <c r="Q808" s="4" t="s">
        <v>26</v>
      </c>
      <c r="R808" s="4">
        <v>0</v>
      </c>
      <c r="S808" s="4" t="s">
        <v>315</v>
      </c>
      <c r="T808" s="4" t="s">
        <v>537</v>
      </c>
      <c r="U808" s="4">
        <v>0</v>
      </c>
      <c r="V808" s="4">
        <v>56</v>
      </c>
      <c r="W808" s="4">
        <v>97</v>
      </c>
    </row>
    <row r="809" spans="1:23" ht="11.25" customHeight="1" x14ac:dyDescent="0.25">
      <c r="A809" s="4" t="s">
        <v>21</v>
      </c>
      <c r="B809" s="4" t="s">
        <v>39</v>
      </c>
      <c r="C809" s="4" t="s">
        <v>36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38</v>
      </c>
      <c r="I809" s="5">
        <v>44531</v>
      </c>
      <c r="J809" s="6">
        <v>0</v>
      </c>
      <c r="K809" s="6">
        <v>0</v>
      </c>
      <c r="L809" s="6">
        <v>2.3980000000000001</v>
      </c>
      <c r="M809" s="6">
        <v>2.3980000000000001</v>
      </c>
      <c r="N809" s="6">
        <v>2.3980000000000001</v>
      </c>
      <c r="O809" s="6">
        <v>2.3980000000000001</v>
      </c>
      <c r="P809" s="6">
        <v>0</v>
      </c>
      <c r="Q809" s="4" t="s">
        <v>26</v>
      </c>
      <c r="R809" s="4">
        <v>0</v>
      </c>
      <c r="S809" s="4" t="s">
        <v>316</v>
      </c>
      <c r="T809" s="4" t="s">
        <v>538</v>
      </c>
      <c r="U809" s="4">
        <v>0</v>
      </c>
      <c r="V809" s="4">
        <v>56</v>
      </c>
      <c r="W809" s="4">
        <v>97</v>
      </c>
    </row>
    <row r="810" spans="1:23" ht="11.25" customHeight="1" x14ac:dyDescent="0.25">
      <c r="A810" s="4" t="s">
        <v>21</v>
      </c>
      <c r="B810" s="4" t="s">
        <v>39</v>
      </c>
      <c r="C810" s="4" t="s">
        <v>36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38</v>
      </c>
      <c r="I810" s="5">
        <v>44562</v>
      </c>
      <c r="J810" s="6">
        <v>0</v>
      </c>
      <c r="K810" s="6">
        <v>0</v>
      </c>
      <c r="L810" s="6">
        <v>2.5150000000000001</v>
      </c>
      <c r="M810" s="6">
        <v>2.5150000000000001</v>
      </c>
      <c r="N810" s="6">
        <v>2.5150000000000001</v>
      </c>
      <c r="O810" s="6">
        <v>2.5150000000000001</v>
      </c>
      <c r="P810" s="6">
        <v>0</v>
      </c>
      <c r="Q810" s="4" t="s">
        <v>26</v>
      </c>
      <c r="R810" s="4">
        <v>0</v>
      </c>
      <c r="S810" s="4" t="s">
        <v>317</v>
      </c>
      <c r="T810" s="4" t="s">
        <v>539</v>
      </c>
      <c r="U810" s="4">
        <v>0</v>
      </c>
      <c r="V810" s="4">
        <v>56</v>
      </c>
      <c r="W810" s="4">
        <v>97</v>
      </c>
    </row>
    <row r="811" spans="1:23" ht="11.25" customHeight="1" x14ac:dyDescent="0.25">
      <c r="A811" s="4" t="s">
        <v>21</v>
      </c>
      <c r="B811" s="4" t="s">
        <v>39</v>
      </c>
      <c r="C811" s="4" t="s">
        <v>36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38</v>
      </c>
      <c r="I811" s="5">
        <v>44593</v>
      </c>
      <c r="J811" s="6">
        <v>0</v>
      </c>
      <c r="K811" s="6">
        <v>0</v>
      </c>
      <c r="L811" s="6">
        <v>2.9889999999999999</v>
      </c>
      <c r="M811" s="6">
        <v>2.9889999999999999</v>
      </c>
      <c r="N811" s="6">
        <v>2.9889999999999999</v>
      </c>
      <c r="O811" s="6">
        <v>2.9889999999999999</v>
      </c>
      <c r="P811" s="6">
        <v>0</v>
      </c>
      <c r="Q811" s="4" t="s">
        <v>26</v>
      </c>
      <c r="R811" s="4">
        <v>0</v>
      </c>
      <c r="S811" s="4" t="s">
        <v>318</v>
      </c>
      <c r="T811" s="4" t="s">
        <v>540</v>
      </c>
      <c r="U811" s="4">
        <v>0</v>
      </c>
      <c r="V811" s="4">
        <v>56</v>
      </c>
      <c r="W811" s="4">
        <v>97</v>
      </c>
    </row>
    <row r="812" spans="1:23" ht="11.25" customHeight="1" x14ac:dyDescent="0.25">
      <c r="A812" s="4" t="s">
        <v>21</v>
      </c>
      <c r="B812" s="4" t="s">
        <v>39</v>
      </c>
      <c r="C812" s="4" t="s">
        <v>36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38</v>
      </c>
      <c r="I812" s="5">
        <v>44621</v>
      </c>
      <c r="J812" s="6">
        <v>0</v>
      </c>
      <c r="K812" s="6">
        <v>0</v>
      </c>
      <c r="L812" s="6">
        <v>2.52</v>
      </c>
      <c r="M812" s="6">
        <v>2.52</v>
      </c>
      <c r="N812" s="6">
        <v>2.52</v>
      </c>
      <c r="O812" s="6">
        <v>2.52</v>
      </c>
      <c r="P812" s="6">
        <v>0</v>
      </c>
      <c r="Q812" s="4" t="s">
        <v>26</v>
      </c>
      <c r="R812" s="4">
        <v>0</v>
      </c>
      <c r="S812" s="4" t="s">
        <v>319</v>
      </c>
      <c r="T812" s="4" t="s">
        <v>541</v>
      </c>
      <c r="U812" s="4">
        <v>0</v>
      </c>
      <c r="V812" s="4">
        <v>56</v>
      </c>
      <c r="W812" s="4">
        <v>97</v>
      </c>
    </row>
    <row r="813" spans="1:23" ht="11.25" customHeight="1" x14ac:dyDescent="0.25">
      <c r="A813" s="4" t="s">
        <v>21</v>
      </c>
      <c r="B813" s="4" t="s">
        <v>39</v>
      </c>
      <c r="C813" s="4" t="s">
        <v>36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38</v>
      </c>
      <c r="I813" s="5">
        <v>44652</v>
      </c>
      <c r="J813" s="6">
        <v>0</v>
      </c>
      <c r="K813" s="6">
        <v>0</v>
      </c>
      <c r="L813" s="6">
        <v>2.093</v>
      </c>
      <c r="M813" s="6">
        <v>2.093</v>
      </c>
      <c r="N813" s="6">
        <v>2.093</v>
      </c>
      <c r="O813" s="6">
        <v>2.093</v>
      </c>
      <c r="P813" s="6">
        <v>0</v>
      </c>
      <c r="Q813" s="4" t="s">
        <v>26</v>
      </c>
      <c r="R813" s="4">
        <v>0</v>
      </c>
      <c r="S813" s="4" t="s">
        <v>320</v>
      </c>
      <c r="T813" s="4" t="s">
        <v>542</v>
      </c>
      <c r="U813" s="4">
        <v>0</v>
      </c>
      <c r="V813" s="4">
        <v>56</v>
      </c>
      <c r="W813" s="4">
        <v>97</v>
      </c>
    </row>
    <row r="814" spans="1:23" ht="11.25" customHeight="1" x14ac:dyDescent="0.25">
      <c r="A814" s="4" t="s">
        <v>28</v>
      </c>
      <c r="B814" s="4" t="s">
        <v>39</v>
      </c>
      <c r="C814" s="4" t="s">
        <v>36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38</v>
      </c>
      <c r="I814" s="5">
        <v>44652</v>
      </c>
      <c r="J814" s="6">
        <v>0</v>
      </c>
      <c r="K814" s="6">
        <v>0</v>
      </c>
      <c r="L814" s="6">
        <v>5.0999999999999997E-2</v>
      </c>
      <c r="M814" s="6">
        <v>5.0999999999999997E-2</v>
      </c>
      <c r="N814" s="6">
        <v>5.0999999999999997E-2</v>
      </c>
      <c r="O814" s="6">
        <v>5.0999999999999997E-2</v>
      </c>
      <c r="P814" s="6">
        <v>0</v>
      </c>
      <c r="Q814" s="4" t="s">
        <v>26</v>
      </c>
      <c r="R814" s="4">
        <v>0</v>
      </c>
      <c r="S814" s="4" t="s">
        <v>320</v>
      </c>
      <c r="T814" s="4" t="s">
        <v>542</v>
      </c>
      <c r="U814" s="4">
        <v>0</v>
      </c>
      <c r="V814" s="4">
        <v>56</v>
      </c>
      <c r="W814" s="4">
        <v>97</v>
      </c>
    </row>
    <row r="815" spans="1:23" ht="11.25" customHeight="1" x14ac:dyDescent="0.25">
      <c r="A815" s="4" t="s">
        <v>21</v>
      </c>
      <c r="B815" s="4" t="s">
        <v>39</v>
      </c>
      <c r="C815" s="4" t="s">
        <v>36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38</v>
      </c>
      <c r="I815" s="5">
        <v>44682</v>
      </c>
      <c r="J815" s="6">
        <v>0</v>
      </c>
      <c r="K815" s="6">
        <v>0</v>
      </c>
      <c r="L815" s="6">
        <v>2.1539999999999999</v>
      </c>
      <c r="M815" s="6">
        <v>2.1539999999999999</v>
      </c>
      <c r="N815" s="6">
        <v>2.1539999999999999</v>
      </c>
      <c r="O815" s="6">
        <v>2.1539999999999999</v>
      </c>
      <c r="P815" s="6">
        <v>0</v>
      </c>
      <c r="Q815" s="4" t="s">
        <v>26</v>
      </c>
      <c r="R815" s="4">
        <v>0</v>
      </c>
      <c r="S815" s="4" t="s">
        <v>321</v>
      </c>
      <c r="T815" s="4" t="s">
        <v>543</v>
      </c>
      <c r="U815" s="4">
        <v>0</v>
      </c>
      <c r="V815" s="4">
        <v>56</v>
      </c>
      <c r="W815" s="4">
        <v>97</v>
      </c>
    </row>
    <row r="816" spans="1:23" ht="11.25" customHeight="1" x14ac:dyDescent="0.25">
      <c r="A816" s="4" t="s">
        <v>21</v>
      </c>
      <c r="B816" s="4" t="s">
        <v>39</v>
      </c>
      <c r="C816" s="4" t="s">
        <v>36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37</v>
      </c>
      <c r="I816" s="5">
        <v>44348</v>
      </c>
      <c r="J816" s="6">
        <v>0</v>
      </c>
      <c r="K816" s="6">
        <v>0</v>
      </c>
      <c r="L816" s="6">
        <v>2.8239999999999998</v>
      </c>
      <c r="M816" s="6">
        <v>2.8239999999999998</v>
      </c>
      <c r="N816" s="6">
        <v>2.8239999999999998</v>
      </c>
      <c r="O816" s="6">
        <v>2.8239999999999998</v>
      </c>
      <c r="P816" s="6">
        <v>0</v>
      </c>
      <c r="Q816" s="4" t="s">
        <v>26</v>
      </c>
      <c r="R816" s="4">
        <v>0</v>
      </c>
      <c r="S816" s="4" t="s">
        <v>322</v>
      </c>
      <c r="T816" s="4" t="s">
        <v>544</v>
      </c>
      <c r="U816" s="4">
        <v>0</v>
      </c>
      <c r="V816" s="4">
        <v>55</v>
      </c>
      <c r="W816" s="4">
        <v>96</v>
      </c>
    </row>
    <row r="817" spans="1:23" ht="11.25" customHeight="1" x14ac:dyDescent="0.25">
      <c r="A817" s="4" t="s">
        <v>21</v>
      </c>
      <c r="B817" s="4" t="s">
        <v>39</v>
      </c>
      <c r="C817" s="4" t="s">
        <v>36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37</v>
      </c>
      <c r="I817" s="5">
        <v>44378</v>
      </c>
      <c r="J817" s="6">
        <v>0</v>
      </c>
      <c r="K817" s="6">
        <v>0</v>
      </c>
      <c r="L817" s="6">
        <v>3.0110000000000001</v>
      </c>
      <c r="M817" s="6">
        <v>3.0110000000000001</v>
      </c>
      <c r="N817" s="6">
        <v>3.0110000000000001</v>
      </c>
      <c r="O817" s="6">
        <v>3.0110000000000001</v>
      </c>
      <c r="P817" s="6">
        <v>0</v>
      </c>
      <c r="Q817" s="4" t="s">
        <v>26</v>
      </c>
      <c r="R817" s="4">
        <v>0</v>
      </c>
      <c r="S817" s="4" t="s">
        <v>323</v>
      </c>
      <c r="T817" s="4" t="s">
        <v>545</v>
      </c>
      <c r="U817" s="4">
        <v>0</v>
      </c>
      <c r="V817" s="4">
        <v>55</v>
      </c>
      <c r="W817" s="4">
        <v>96</v>
      </c>
    </row>
    <row r="818" spans="1:23" ht="11.25" customHeight="1" x14ac:dyDescent="0.25">
      <c r="A818" s="4" t="s">
        <v>21</v>
      </c>
      <c r="B818" s="4" t="s">
        <v>39</v>
      </c>
      <c r="C818" s="4" t="s">
        <v>36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37</v>
      </c>
      <c r="I818" s="5">
        <v>44409</v>
      </c>
      <c r="J818" s="6">
        <v>0</v>
      </c>
      <c r="K818" s="6">
        <v>0</v>
      </c>
      <c r="L818" s="6">
        <v>3.0510000000000002</v>
      </c>
      <c r="M818" s="6">
        <v>3.0510000000000002</v>
      </c>
      <c r="N818" s="6">
        <v>3.0510000000000002</v>
      </c>
      <c r="O818" s="6">
        <v>3.0510000000000002</v>
      </c>
      <c r="P818" s="6">
        <v>0</v>
      </c>
      <c r="Q818" s="4" t="s">
        <v>26</v>
      </c>
      <c r="R818" s="4">
        <v>0</v>
      </c>
      <c r="S818" s="4" t="s">
        <v>324</v>
      </c>
      <c r="T818" s="4" t="s">
        <v>546</v>
      </c>
      <c r="U818" s="4">
        <v>0</v>
      </c>
      <c r="V818" s="4">
        <v>55</v>
      </c>
      <c r="W818" s="4">
        <v>96</v>
      </c>
    </row>
    <row r="819" spans="1:23" ht="11.25" customHeight="1" x14ac:dyDescent="0.25">
      <c r="A819" s="4" t="s">
        <v>21</v>
      </c>
      <c r="B819" s="4" t="s">
        <v>39</v>
      </c>
      <c r="C819" s="4" t="s">
        <v>36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37</v>
      </c>
      <c r="I819" s="5">
        <v>44440</v>
      </c>
      <c r="J819" s="6">
        <v>0</v>
      </c>
      <c r="K819" s="6">
        <v>0</v>
      </c>
      <c r="L819" s="6">
        <v>2.9340000000000002</v>
      </c>
      <c r="M819" s="6">
        <v>2.9340000000000002</v>
      </c>
      <c r="N819" s="6">
        <v>2.9340000000000002</v>
      </c>
      <c r="O819" s="6">
        <v>2.9340000000000002</v>
      </c>
      <c r="P819" s="6">
        <v>0</v>
      </c>
      <c r="Q819" s="4" t="s">
        <v>26</v>
      </c>
      <c r="R819" s="4">
        <v>0</v>
      </c>
      <c r="S819" s="4" t="s">
        <v>325</v>
      </c>
      <c r="T819" s="4" t="s">
        <v>547</v>
      </c>
      <c r="U819" s="4">
        <v>0</v>
      </c>
      <c r="V819" s="4">
        <v>55</v>
      </c>
      <c r="W819" s="4">
        <v>96</v>
      </c>
    </row>
    <row r="820" spans="1:23" ht="11.25" customHeight="1" x14ac:dyDescent="0.25">
      <c r="A820" s="4" t="s">
        <v>21</v>
      </c>
      <c r="B820" s="4" t="s">
        <v>39</v>
      </c>
      <c r="C820" s="4" t="s">
        <v>36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37</v>
      </c>
      <c r="I820" s="5">
        <v>44470</v>
      </c>
      <c r="J820" s="6">
        <v>0</v>
      </c>
      <c r="K820" s="6">
        <v>0</v>
      </c>
      <c r="L820" s="6">
        <v>3.6360000000000001</v>
      </c>
      <c r="M820" s="6">
        <v>3.6360000000000001</v>
      </c>
      <c r="N820" s="6">
        <v>3.6360000000000001</v>
      </c>
      <c r="O820" s="6">
        <v>3.6360000000000001</v>
      </c>
      <c r="P820" s="6">
        <v>0</v>
      </c>
      <c r="Q820" s="4" t="s">
        <v>26</v>
      </c>
      <c r="R820" s="4">
        <v>0</v>
      </c>
      <c r="S820" s="4" t="s">
        <v>326</v>
      </c>
      <c r="T820" s="4" t="s">
        <v>548</v>
      </c>
      <c r="U820" s="4">
        <v>0</v>
      </c>
      <c r="V820" s="4">
        <v>55</v>
      </c>
      <c r="W820" s="4">
        <v>96</v>
      </c>
    </row>
    <row r="821" spans="1:23" ht="11.25" customHeight="1" x14ac:dyDescent="0.25">
      <c r="A821" s="4" t="s">
        <v>21</v>
      </c>
      <c r="B821" s="4" t="s">
        <v>39</v>
      </c>
      <c r="C821" s="4" t="s">
        <v>36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37</v>
      </c>
      <c r="I821" s="5">
        <v>44501</v>
      </c>
      <c r="J821" s="6">
        <v>0</v>
      </c>
      <c r="K821" s="6">
        <v>0</v>
      </c>
      <c r="L821" s="6">
        <v>4.3</v>
      </c>
      <c r="M821" s="6">
        <v>4.3</v>
      </c>
      <c r="N821" s="6">
        <v>4.3</v>
      </c>
      <c r="O821" s="6">
        <v>4.3</v>
      </c>
      <c r="P821" s="6">
        <v>0</v>
      </c>
      <c r="Q821" s="4" t="s">
        <v>26</v>
      </c>
      <c r="R821" s="4">
        <v>0</v>
      </c>
      <c r="S821" s="4" t="s">
        <v>327</v>
      </c>
      <c r="T821" s="4" t="s">
        <v>549</v>
      </c>
      <c r="U821" s="4">
        <v>0</v>
      </c>
      <c r="V821" s="4">
        <v>55</v>
      </c>
      <c r="W821" s="4">
        <v>96</v>
      </c>
    </row>
    <row r="822" spans="1:23" ht="11.25" customHeight="1" x14ac:dyDescent="0.25">
      <c r="A822" s="4" t="s">
        <v>21</v>
      </c>
      <c r="B822" s="4" t="s">
        <v>39</v>
      </c>
      <c r="C822" s="4" t="s">
        <v>36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37</v>
      </c>
      <c r="I822" s="5">
        <v>44531</v>
      </c>
      <c r="J822" s="6">
        <v>0</v>
      </c>
      <c r="K822" s="6">
        <v>0</v>
      </c>
      <c r="L822" s="6">
        <v>5.367</v>
      </c>
      <c r="M822" s="6">
        <v>5.367</v>
      </c>
      <c r="N822" s="6">
        <v>5.367</v>
      </c>
      <c r="O822" s="6">
        <v>5.367</v>
      </c>
      <c r="P822" s="6">
        <v>0</v>
      </c>
      <c r="Q822" s="4" t="s">
        <v>26</v>
      </c>
      <c r="R822" s="4">
        <v>0</v>
      </c>
      <c r="S822" s="4" t="s">
        <v>328</v>
      </c>
      <c r="T822" s="4" t="s">
        <v>550</v>
      </c>
      <c r="U822" s="4">
        <v>0</v>
      </c>
      <c r="V822" s="4">
        <v>55</v>
      </c>
      <c r="W822" s="4">
        <v>96</v>
      </c>
    </row>
    <row r="823" spans="1:23" ht="11.25" customHeight="1" x14ac:dyDescent="0.25">
      <c r="A823" s="4" t="s">
        <v>21</v>
      </c>
      <c r="B823" s="4" t="s">
        <v>39</v>
      </c>
      <c r="C823" s="4" t="s">
        <v>36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37</v>
      </c>
      <c r="I823" s="5">
        <v>44562</v>
      </c>
      <c r="J823" s="6">
        <v>0</v>
      </c>
      <c r="K823" s="6">
        <v>0</v>
      </c>
      <c r="L823" s="6">
        <v>3.3740000000000001</v>
      </c>
      <c r="M823" s="6">
        <v>3.3740000000000001</v>
      </c>
      <c r="N823" s="6">
        <v>3.3740000000000001</v>
      </c>
      <c r="O823" s="6">
        <v>3.3740000000000001</v>
      </c>
      <c r="P823" s="6">
        <v>0</v>
      </c>
      <c r="Q823" s="4" t="s">
        <v>26</v>
      </c>
      <c r="R823" s="4">
        <v>0</v>
      </c>
      <c r="S823" s="4" t="s">
        <v>329</v>
      </c>
      <c r="T823" s="4" t="s">
        <v>551</v>
      </c>
      <c r="U823" s="4">
        <v>0</v>
      </c>
      <c r="V823" s="4">
        <v>55</v>
      </c>
      <c r="W823" s="4">
        <v>96</v>
      </c>
    </row>
    <row r="824" spans="1:23" ht="11.25" customHeight="1" x14ac:dyDescent="0.25">
      <c r="A824" s="4" t="s">
        <v>21</v>
      </c>
      <c r="B824" s="4" t="s">
        <v>39</v>
      </c>
      <c r="C824" s="4" t="s">
        <v>36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37</v>
      </c>
      <c r="I824" s="5">
        <v>44593</v>
      </c>
      <c r="J824" s="6">
        <v>0</v>
      </c>
      <c r="K824" s="6">
        <v>0</v>
      </c>
      <c r="L824" s="6">
        <v>3.8740000000000001</v>
      </c>
      <c r="M824" s="6">
        <v>3.8740000000000001</v>
      </c>
      <c r="N824" s="6">
        <v>3.8740000000000001</v>
      </c>
      <c r="O824" s="6">
        <v>3.8740000000000001</v>
      </c>
      <c r="P824" s="6">
        <v>0</v>
      </c>
      <c r="Q824" s="4" t="s">
        <v>26</v>
      </c>
      <c r="R824" s="4">
        <v>0</v>
      </c>
      <c r="S824" s="4" t="s">
        <v>330</v>
      </c>
      <c r="T824" s="4" t="s">
        <v>552</v>
      </c>
      <c r="U824" s="4">
        <v>0</v>
      </c>
      <c r="V824" s="4">
        <v>55</v>
      </c>
      <c r="W824" s="4">
        <v>96</v>
      </c>
    </row>
    <row r="825" spans="1:23" ht="11.25" customHeight="1" x14ac:dyDescent="0.25">
      <c r="A825" s="4" t="s">
        <v>21</v>
      </c>
      <c r="B825" s="4" t="s">
        <v>39</v>
      </c>
      <c r="C825" s="4" t="s">
        <v>36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37</v>
      </c>
      <c r="I825" s="5">
        <v>44621</v>
      </c>
      <c r="J825" s="6">
        <v>0</v>
      </c>
      <c r="K825" s="6">
        <v>0</v>
      </c>
      <c r="L825" s="6">
        <v>3.29</v>
      </c>
      <c r="M825" s="6">
        <v>3.29</v>
      </c>
      <c r="N825" s="6">
        <v>3.29</v>
      </c>
      <c r="O825" s="6">
        <v>3.29</v>
      </c>
      <c r="P825" s="6">
        <v>0</v>
      </c>
      <c r="Q825" s="4" t="s">
        <v>26</v>
      </c>
      <c r="R825" s="4">
        <v>0</v>
      </c>
      <c r="S825" s="4" t="s">
        <v>331</v>
      </c>
      <c r="T825" s="4" t="s">
        <v>553</v>
      </c>
      <c r="U825" s="4">
        <v>0</v>
      </c>
      <c r="V825" s="4">
        <v>55</v>
      </c>
      <c r="W825" s="4">
        <v>96</v>
      </c>
    </row>
    <row r="826" spans="1:23" ht="11.25" customHeight="1" x14ac:dyDescent="0.25">
      <c r="A826" s="4" t="s">
        <v>21</v>
      </c>
      <c r="B826" s="4" t="s">
        <v>39</v>
      </c>
      <c r="C826" s="4" t="s">
        <v>36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37</v>
      </c>
      <c r="I826" s="5">
        <v>44652</v>
      </c>
      <c r="J826" s="6">
        <v>0</v>
      </c>
      <c r="K826" s="6">
        <v>0</v>
      </c>
      <c r="L826" s="6">
        <v>2.508</v>
      </c>
      <c r="M826" s="6">
        <v>2.508</v>
      </c>
      <c r="N826" s="6">
        <v>2.508</v>
      </c>
      <c r="O826" s="6">
        <v>2.508</v>
      </c>
      <c r="P826" s="6">
        <v>0</v>
      </c>
      <c r="Q826" s="4" t="s">
        <v>26</v>
      </c>
      <c r="R826" s="4">
        <v>0</v>
      </c>
      <c r="S826" s="4" t="s">
        <v>332</v>
      </c>
      <c r="T826" s="4" t="s">
        <v>554</v>
      </c>
      <c r="U826" s="4">
        <v>0</v>
      </c>
      <c r="V826" s="4">
        <v>55</v>
      </c>
      <c r="W826" s="4">
        <v>96</v>
      </c>
    </row>
    <row r="827" spans="1:23" ht="11.25" customHeight="1" x14ac:dyDescent="0.25">
      <c r="A827" s="4" t="s">
        <v>28</v>
      </c>
      <c r="B827" s="4" t="s">
        <v>39</v>
      </c>
      <c r="C827" s="4" t="s">
        <v>36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37</v>
      </c>
      <c r="I827" s="5">
        <v>44652</v>
      </c>
      <c r="J827" s="6">
        <v>0</v>
      </c>
      <c r="K827" s="6">
        <v>0</v>
      </c>
      <c r="L827" s="6">
        <v>0.82499999999999996</v>
      </c>
      <c r="M827" s="6">
        <v>0.82499999999999996</v>
      </c>
      <c r="N827" s="6">
        <v>0.82499999999999996</v>
      </c>
      <c r="O827" s="6">
        <v>0.82499999999999996</v>
      </c>
      <c r="P827" s="6">
        <v>0</v>
      </c>
      <c r="Q827" s="4" t="s">
        <v>26</v>
      </c>
      <c r="R827" s="4">
        <v>0</v>
      </c>
      <c r="S827" s="4" t="s">
        <v>332</v>
      </c>
      <c r="T827" s="4" t="s">
        <v>554</v>
      </c>
      <c r="U827" s="4">
        <v>0</v>
      </c>
      <c r="V827" s="4">
        <v>55</v>
      </c>
      <c r="W827" s="4">
        <v>96</v>
      </c>
    </row>
    <row r="828" spans="1:23" ht="11.25" customHeight="1" x14ac:dyDescent="0.25">
      <c r="A828" s="4" t="s">
        <v>21</v>
      </c>
      <c r="B828" s="4" t="s">
        <v>39</v>
      </c>
      <c r="C828" s="4" t="s">
        <v>36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37</v>
      </c>
      <c r="I828" s="5">
        <v>44682</v>
      </c>
      <c r="J828" s="6">
        <v>0</v>
      </c>
      <c r="K828" s="6">
        <v>0</v>
      </c>
      <c r="L828" s="6">
        <v>2.8730000000000002</v>
      </c>
      <c r="M828" s="6">
        <v>2.8730000000000002</v>
      </c>
      <c r="N828" s="6">
        <v>2.8730000000000002</v>
      </c>
      <c r="O828" s="6">
        <v>2.8730000000000002</v>
      </c>
      <c r="P828" s="6">
        <v>0</v>
      </c>
      <c r="Q828" s="4" t="s">
        <v>26</v>
      </c>
      <c r="R828" s="4">
        <v>0</v>
      </c>
      <c r="S828" s="4" t="s">
        <v>333</v>
      </c>
      <c r="T828" s="4" t="s">
        <v>555</v>
      </c>
      <c r="U828" s="4">
        <v>0</v>
      </c>
      <c r="V828" s="4">
        <v>55</v>
      </c>
      <c r="W828" s="4">
        <v>96</v>
      </c>
    </row>
    <row r="829" spans="1:23" ht="11.25" customHeight="1" x14ac:dyDescent="0.25">
      <c r="A829" s="4" t="s">
        <v>21</v>
      </c>
      <c r="B829" s="4" t="s">
        <v>39</v>
      </c>
      <c r="C829" s="4" t="s">
        <v>36</v>
      </c>
      <c r="D829" s="4" t="s">
        <v>40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44348</v>
      </c>
      <c r="J829" s="6">
        <v>0</v>
      </c>
      <c r="K829" s="6">
        <v>0</v>
      </c>
      <c r="L829" s="6">
        <v>1.972</v>
      </c>
      <c r="M829" s="6">
        <v>1.972</v>
      </c>
      <c r="N829" s="6">
        <v>1.972</v>
      </c>
      <c r="O829" s="6">
        <v>1.972</v>
      </c>
      <c r="P829" s="6">
        <v>0</v>
      </c>
      <c r="Q829" s="4" t="s">
        <v>26</v>
      </c>
      <c r="R829" s="4">
        <v>0</v>
      </c>
      <c r="S829" s="4" t="s">
        <v>298</v>
      </c>
      <c r="T829" s="4" t="s">
        <v>520</v>
      </c>
      <c r="U829" s="4">
        <v>0</v>
      </c>
      <c r="V829" s="4">
        <v>57</v>
      </c>
      <c r="W829" s="4">
        <v>98</v>
      </c>
    </row>
    <row r="830" spans="1:23" ht="11.25" customHeight="1" x14ac:dyDescent="0.25">
      <c r="A830" s="4" t="s">
        <v>21</v>
      </c>
      <c r="B830" s="4" t="s">
        <v>39</v>
      </c>
      <c r="C830" s="4" t="s">
        <v>36</v>
      </c>
      <c r="D830" s="4" t="s">
        <v>40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44378</v>
      </c>
      <c r="J830" s="6">
        <v>0</v>
      </c>
      <c r="K830" s="6">
        <v>0</v>
      </c>
      <c r="L830" s="6">
        <v>2.1680000000000001</v>
      </c>
      <c r="M830" s="6">
        <v>2.1680000000000001</v>
      </c>
      <c r="N830" s="6">
        <v>2.1680000000000001</v>
      </c>
      <c r="O830" s="6">
        <v>2.1680000000000001</v>
      </c>
      <c r="P830" s="6">
        <v>0</v>
      </c>
      <c r="Q830" s="4" t="s">
        <v>26</v>
      </c>
      <c r="R830" s="4">
        <v>0</v>
      </c>
      <c r="S830" s="4" t="s">
        <v>299</v>
      </c>
      <c r="T830" s="4" t="s">
        <v>521</v>
      </c>
      <c r="U830" s="4">
        <v>0</v>
      </c>
      <c r="V830" s="4">
        <v>57</v>
      </c>
      <c r="W830" s="4">
        <v>98</v>
      </c>
    </row>
    <row r="831" spans="1:23" ht="11.25" customHeight="1" x14ac:dyDescent="0.25">
      <c r="A831" s="4" t="s">
        <v>21</v>
      </c>
      <c r="B831" s="4" t="s">
        <v>39</v>
      </c>
      <c r="C831" s="4" t="s">
        <v>36</v>
      </c>
      <c r="D831" s="4" t="s">
        <v>40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44409</v>
      </c>
      <c r="J831" s="6">
        <v>0</v>
      </c>
      <c r="K831" s="6">
        <v>0</v>
      </c>
      <c r="L831" s="6">
        <v>2.1709999999999998</v>
      </c>
      <c r="M831" s="6">
        <v>2.1709999999999998</v>
      </c>
      <c r="N831" s="6">
        <v>2.1709999999999998</v>
      </c>
      <c r="O831" s="6">
        <v>2.1709999999999998</v>
      </c>
      <c r="P831" s="6">
        <v>0</v>
      </c>
      <c r="Q831" s="4" t="s">
        <v>26</v>
      </c>
      <c r="R831" s="4">
        <v>0</v>
      </c>
      <c r="S831" s="4" t="s">
        <v>300</v>
      </c>
      <c r="T831" s="4" t="s">
        <v>522</v>
      </c>
      <c r="U831" s="4">
        <v>0</v>
      </c>
      <c r="V831" s="4">
        <v>57</v>
      </c>
      <c r="W831" s="4">
        <v>98</v>
      </c>
    </row>
    <row r="832" spans="1:23" ht="11.25" customHeight="1" x14ac:dyDescent="0.25">
      <c r="A832" s="4" t="s">
        <v>21</v>
      </c>
      <c r="B832" s="4" t="s">
        <v>39</v>
      </c>
      <c r="C832" s="4" t="s">
        <v>36</v>
      </c>
      <c r="D832" s="4" t="s">
        <v>40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44440</v>
      </c>
      <c r="J832" s="6">
        <v>0</v>
      </c>
      <c r="K832" s="6">
        <v>0</v>
      </c>
      <c r="L832" s="6">
        <v>2.056</v>
      </c>
      <c r="M832" s="6">
        <v>2.056</v>
      </c>
      <c r="N832" s="6">
        <v>2.056</v>
      </c>
      <c r="O832" s="6">
        <v>2.056</v>
      </c>
      <c r="P832" s="6">
        <v>0</v>
      </c>
      <c r="Q832" s="4" t="s">
        <v>26</v>
      </c>
      <c r="R832" s="4">
        <v>0</v>
      </c>
      <c r="S832" s="4" t="s">
        <v>301</v>
      </c>
      <c r="T832" s="4" t="s">
        <v>523</v>
      </c>
      <c r="U832" s="4">
        <v>0</v>
      </c>
      <c r="V832" s="4">
        <v>57</v>
      </c>
      <c r="W832" s="4">
        <v>98</v>
      </c>
    </row>
    <row r="833" spans="1:23" ht="11.25" customHeight="1" x14ac:dyDescent="0.25">
      <c r="A833" s="4" t="s">
        <v>21</v>
      </c>
      <c r="B833" s="4" t="s">
        <v>39</v>
      </c>
      <c r="C833" s="4" t="s">
        <v>36</v>
      </c>
      <c r="D833" s="4" t="s">
        <v>40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44470</v>
      </c>
      <c r="J833" s="6">
        <v>0</v>
      </c>
      <c r="K833" s="6">
        <v>0</v>
      </c>
      <c r="L833" s="6">
        <v>2.024</v>
      </c>
      <c r="M833" s="6">
        <v>2.024</v>
      </c>
      <c r="N833" s="6">
        <v>2.024</v>
      </c>
      <c r="O833" s="6">
        <v>2.024</v>
      </c>
      <c r="P833" s="6">
        <v>0</v>
      </c>
      <c r="Q833" s="4" t="s">
        <v>26</v>
      </c>
      <c r="R833" s="4">
        <v>0</v>
      </c>
      <c r="S833" s="4" t="s">
        <v>302</v>
      </c>
      <c r="T833" s="4" t="s">
        <v>524</v>
      </c>
      <c r="U833" s="4">
        <v>0</v>
      </c>
      <c r="V833" s="4">
        <v>57</v>
      </c>
      <c r="W833" s="4">
        <v>98</v>
      </c>
    </row>
    <row r="834" spans="1:23" ht="11.25" customHeight="1" x14ac:dyDescent="0.25">
      <c r="A834" s="4" t="s">
        <v>21</v>
      </c>
      <c r="B834" s="4" t="s">
        <v>39</v>
      </c>
      <c r="C834" s="4" t="s">
        <v>36</v>
      </c>
      <c r="D834" s="4" t="s">
        <v>40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44501</v>
      </c>
      <c r="J834" s="6">
        <v>0</v>
      </c>
      <c r="K834" s="6">
        <v>0</v>
      </c>
      <c r="L834" s="6">
        <v>2.0179999999999998</v>
      </c>
      <c r="M834" s="6">
        <v>2.0179999999999998</v>
      </c>
      <c r="N834" s="6">
        <v>2.0179999999999998</v>
      </c>
      <c r="O834" s="6">
        <v>2.0179999999999998</v>
      </c>
      <c r="P834" s="6">
        <v>0</v>
      </c>
      <c r="Q834" s="4" t="s">
        <v>26</v>
      </c>
      <c r="R834" s="4">
        <v>0</v>
      </c>
      <c r="S834" s="4" t="s">
        <v>303</v>
      </c>
      <c r="T834" s="4" t="s">
        <v>525</v>
      </c>
      <c r="U834" s="4">
        <v>0</v>
      </c>
      <c r="V834" s="4">
        <v>57</v>
      </c>
      <c r="W834" s="4">
        <v>98</v>
      </c>
    </row>
    <row r="835" spans="1:23" ht="11.25" customHeight="1" x14ac:dyDescent="0.25">
      <c r="A835" s="4" t="s">
        <v>21</v>
      </c>
      <c r="B835" s="4" t="s">
        <v>39</v>
      </c>
      <c r="C835" s="4" t="s">
        <v>36</v>
      </c>
      <c r="D835" s="4" t="s">
        <v>40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44531</v>
      </c>
      <c r="J835" s="6">
        <v>0</v>
      </c>
      <c r="K835" s="6">
        <v>0</v>
      </c>
      <c r="L835" s="6">
        <v>2.08</v>
      </c>
      <c r="M835" s="6">
        <v>2.08</v>
      </c>
      <c r="N835" s="6">
        <v>2.08</v>
      </c>
      <c r="O835" s="6">
        <v>2.08</v>
      </c>
      <c r="P835" s="6">
        <v>0</v>
      </c>
      <c r="Q835" s="4" t="s">
        <v>26</v>
      </c>
      <c r="R835" s="4">
        <v>0</v>
      </c>
      <c r="S835" s="4" t="s">
        <v>304</v>
      </c>
      <c r="T835" s="4" t="s">
        <v>526</v>
      </c>
      <c r="U835" s="4">
        <v>0</v>
      </c>
      <c r="V835" s="4">
        <v>57</v>
      </c>
      <c r="W835" s="4">
        <v>98</v>
      </c>
    </row>
    <row r="836" spans="1:23" ht="11.25" customHeight="1" x14ac:dyDescent="0.25">
      <c r="A836" s="4" t="s">
        <v>21</v>
      </c>
      <c r="B836" s="4" t="s">
        <v>39</v>
      </c>
      <c r="C836" s="4" t="s">
        <v>36</v>
      </c>
      <c r="D836" s="4" t="s">
        <v>40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44562</v>
      </c>
      <c r="J836" s="6">
        <v>0</v>
      </c>
      <c r="K836" s="6">
        <v>0</v>
      </c>
      <c r="L836" s="6">
        <v>1.895</v>
      </c>
      <c r="M836" s="6">
        <v>1.895</v>
      </c>
      <c r="N836" s="6">
        <v>1.895</v>
      </c>
      <c r="O836" s="6">
        <v>1.895</v>
      </c>
      <c r="P836" s="6">
        <v>0</v>
      </c>
      <c r="Q836" s="4" t="s">
        <v>26</v>
      </c>
      <c r="R836" s="4">
        <v>0</v>
      </c>
      <c r="S836" s="4" t="s">
        <v>305</v>
      </c>
      <c r="T836" s="4" t="s">
        <v>527</v>
      </c>
      <c r="U836" s="4">
        <v>0</v>
      </c>
      <c r="V836" s="4">
        <v>57</v>
      </c>
      <c r="W836" s="4">
        <v>98</v>
      </c>
    </row>
    <row r="837" spans="1:23" ht="11.25" customHeight="1" x14ac:dyDescent="0.25">
      <c r="A837" s="4" t="s">
        <v>21</v>
      </c>
      <c r="B837" s="4" t="s">
        <v>39</v>
      </c>
      <c r="C837" s="4" t="s">
        <v>36</v>
      </c>
      <c r="D837" s="4" t="s">
        <v>40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44593</v>
      </c>
      <c r="J837" s="6">
        <v>0</v>
      </c>
      <c r="K837" s="6">
        <v>0</v>
      </c>
      <c r="L837" s="6">
        <v>2.2280000000000002</v>
      </c>
      <c r="M837" s="6">
        <v>2.2280000000000002</v>
      </c>
      <c r="N837" s="6">
        <v>2.2280000000000002</v>
      </c>
      <c r="O837" s="6">
        <v>2.2280000000000002</v>
      </c>
      <c r="P837" s="6">
        <v>0</v>
      </c>
      <c r="Q837" s="4" t="s">
        <v>26</v>
      </c>
      <c r="R837" s="4">
        <v>0</v>
      </c>
      <c r="S837" s="4" t="s">
        <v>306</v>
      </c>
      <c r="T837" s="4" t="s">
        <v>528</v>
      </c>
      <c r="U837" s="4">
        <v>0</v>
      </c>
      <c r="V837" s="4">
        <v>57</v>
      </c>
      <c r="W837" s="4">
        <v>98</v>
      </c>
    </row>
    <row r="838" spans="1:23" ht="11.25" customHeight="1" x14ac:dyDescent="0.25">
      <c r="A838" s="4" t="s">
        <v>21</v>
      </c>
      <c r="B838" s="4" t="s">
        <v>39</v>
      </c>
      <c r="C838" s="4" t="s">
        <v>36</v>
      </c>
      <c r="D838" s="4" t="s">
        <v>40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44621</v>
      </c>
      <c r="J838" s="6">
        <v>0</v>
      </c>
      <c r="K838" s="6">
        <v>0</v>
      </c>
      <c r="L838" s="6">
        <v>2.14</v>
      </c>
      <c r="M838" s="6">
        <v>2.14</v>
      </c>
      <c r="N838" s="6">
        <v>2.14</v>
      </c>
      <c r="O838" s="6">
        <v>2.14</v>
      </c>
      <c r="P838" s="6">
        <v>0</v>
      </c>
      <c r="Q838" s="4" t="s">
        <v>26</v>
      </c>
      <c r="R838" s="4">
        <v>0</v>
      </c>
      <c r="S838" s="4" t="s">
        <v>307</v>
      </c>
      <c r="T838" s="4" t="s">
        <v>529</v>
      </c>
      <c r="U838" s="4">
        <v>0</v>
      </c>
      <c r="V838" s="4">
        <v>57</v>
      </c>
      <c r="W838" s="4">
        <v>98</v>
      </c>
    </row>
    <row r="839" spans="1:23" ht="11.25" customHeight="1" x14ac:dyDescent="0.25">
      <c r="A839" s="4" t="s">
        <v>21</v>
      </c>
      <c r="B839" s="4" t="s">
        <v>39</v>
      </c>
      <c r="C839" s="4" t="s">
        <v>36</v>
      </c>
      <c r="D839" s="4" t="s">
        <v>40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44652</v>
      </c>
      <c r="J839" s="6">
        <v>0</v>
      </c>
      <c r="K839" s="6">
        <v>0</v>
      </c>
      <c r="L839" s="6">
        <v>2.0470000000000002</v>
      </c>
      <c r="M839" s="6">
        <v>2.0470000000000002</v>
      </c>
      <c r="N839" s="6">
        <v>2.0470000000000002</v>
      </c>
      <c r="O839" s="6">
        <v>2.0470000000000002</v>
      </c>
      <c r="P839" s="6">
        <v>0</v>
      </c>
      <c r="Q839" s="4" t="s">
        <v>26</v>
      </c>
      <c r="R839" s="4">
        <v>0</v>
      </c>
      <c r="S839" s="4" t="s">
        <v>308</v>
      </c>
      <c r="T839" s="4" t="s">
        <v>530</v>
      </c>
      <c r="U839" s="4">
        <v>0</v>
      </c>
      <c r="V839" s="4">
        <v>57</v>
      </c>
      <c r="W839" s="4">
        <v>98</v>
      </c>
    </row>
    <row r="840" spans="1:23" ht="11.25" customHeight="1" x14ac:dyDescent="0.25">
      <c r="A840" s="4" t="s">
        <v>21</v>
      </c>
      <c r="B840" s="4" t="s">
        <v>39</v>
      </c>
      <c r="C840" s="4" t="s">
        <v>36</v>
      </c>
      <c r="D840" s="4" t="s">
        <v>40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44682</v>
      </c>
      <c r="J840" s="6">
        <v>0</v>
      </c>
      <c r="K840" s="6">
        <v>0</v>
      </c>
      <c r="L840" s="6">
        <v>2.173</v>
      </c>
      <c r="M840" s="6">
        <v>2.173</v>
      </c>
      <c r="N840" s="6">
        <v>2.173</v>
      </c>
      <c r="O840" s="6">
        <v>2.173</v>
      </c>
      <c r="P840" s="6">
        <v>0</v>
      </c>
      <c r="Q840" s="4" t="s">
        <v>26</v>
      </c>
      <c r="R840" s="4">
        <v>0</v>
      </c>
      <c r="S840" s="4" t="s">
        <v>309</v>
      </c>
      <c r="T840" s="4" t="s">
        <v>531</v>
      </c>
      <c r="U840" s="4">
        <v>0</v>
      </c>
      <c r="V840" s="4">
        <v>57</v>
      </c>
      <c r="W840" s="4">
        <v>98</v>
      </c>
    </row>
    <row r="841" spans="1:23" ht="11.25" customHeight="1" x14ac:dyDescent="0.25">
      <c r="A841" s="4" t="s">
        <v>21</v>
      </c>
      <c r="B841" s="4" t="s">
        <v>39</v>
      </c>
      <c r="C841" s="4" t="s">
        <v>36</v>
      </c>
      <c r="D841" s="4" t="s">
        <v>40</v>
      </c>
      <c r="E841" s="4" t="s">
        <v>25</v>
      </c>
      <c r="F841" s="4" t="s">
        <v>25</v>
      </c>
      <c r="G841" s="4" t="s">
        <v>25</v>
      </c>
      <c r="H841" s="4" t="s">
        <v>38</v>
      </c>
      <c r="I841" s="5">
        <v>44348</v>
      </c>
      <c r="J841" s="6">
        <v>0</v>
      </c>
      <c r="K841" s="6">
        <v>0</v>
      </c>
      <c r="L841" s="6">
        <v>8.2000000000000003E-2</v>
      </c>
      <c r="M841" s="6">
        <v>8.2000000000000003E-2</v>
      </c>
      <c r="N841" s="6">
        <v>8.2000000000000003E-2</v>
      </c>
      <c r="O841" s="6">
        <v>8.2000000000000003E-2</v>
      </c>
      <c r="P841" s="6">
        <v>0</v>
      </c>
      <c r="Q841" s="4" t="s">
        <v>26</v>
      </c>
      <c r="R841" s="4">
        <v>0</v>
      </c>
      <c r="S841" s="4" t="s">
        <v>310</v>
      </c>
      <c r="T841" s="4" t="s">
        <v>532</v>
      </c>
      <c r="U841" s="4">
        <v>0</v>
      </c>
      <c r="V841" s="4">
        <v>56</v>
      </c>
      <c r="W841" s="4">
        <v>97</v>
      </c>
    </row>
    <row r="842" spans="1:23" ht="11.25" customHeight="1" x14ac:dyDescent="0.25">
      <c r="A842" s="4" t="s">
        <v>21</v>
      </c>
      <c r="B842" s="4" t="s">
        <v>39</v>
      </c>
      <c r="C842" s="4" t="s">
        <v>36</v>
      </c>
      <c r="D842" s="4" t="s">
        <v>40</v>
      </c>
      <c r="E842" s="4" t="s">
        <v>25</v>
      </c>
      <c r="F842" s="4" t="s">
        <v>25</v>
      </c>
      <c r="G842" s="4" t="s">
        <v>25</v>
      </c>
      <c r="H842" s="4" t="s">
        <v>38</v>
      </c>
      <c r="I842" s="5">
        <v>44378</v>
      </c>
      <c r="J842" s="6">
        <v>0</v>
      </c>
      <c r="K842" s="6">
        <v>0</v>
      </c>
      <c r="L842" s="6">
        <v>9.1999999999999998E-2</v>
      </c>
      <c r="M842" s="6">
        <v>9.1999999999999998E-2</v>
      </c>
      <c r="N842" s="6">
        <v>9.1999999999999998E-2</v>
      </c>
      <c r="O842" s="6">
        <v>9.1999999999999998E-2</v>
      </c>
      <c r="P842" s="6">
        <v>0</v>
      </c>
      <c r="Q842" s="4" t="s">
        <v>26</v>
      </c>
      <c r="R842" s="4">
        <v>0</v>
      </c>
      <c r="S842" s="4" t="s">
        <v>311</v>
      </c>
      <c r="T842" s="4" t="s">
        <v>533</v>
      </c>
      <c r="U842" s="4">
        <v>0</v>
      </c>
      <c r="V842" s="4">
        <v>56</v>
      </c>
      <c r="W842" s="4">
        <v>97</v>
      </c>
    </row>
    <row r="843" spans="1:23" ht="11.25" customHeight="1" x14ac:dyDescent="0.25">
      <c r="A843" s="4" t="s">
        <v>21</v>
      </c>
      <c r="B843" s="4" t="s">
        <v>39</v>
      </c>
      <c r="C843" s="4" t="s">
        <v>36</v>
      </c>
      <c r="D843" s="4" t="s">
        <v>40</v>
      </c>
      <c r="E843" s="4" t="s">
        <v>25</v>
      </c>
      <c r="F843" s="4" t="s">
        <v>25</v>
      </c>
      <c r="G843" s="4" t="s">
        <v>25</v>
      </c>
      <c r="H843" s="4" t="s">
        <v>38</v>
      </c>
      <c r="I843" s="5">
        <v>44409</v>
      </c>
      <c r="J843" s="6">
        <v>0</v>
      </c>
      <c r="K843" s="6">
        <v>0</v>
      </c>
      <c r="L843" s="6">
        <v>9.5000000000000001E-2</v>
      </c>
      <c r="M843" s="6">
        <v>9.5000000000000001E-2</v>
      </c>
      <c r="N843" s="6">
        <v>9.5000000000000001E-2</v>
      </c>
      <c r="O843" s="6">
        <v>9.5000000000000001E-2</v>
      </c>
      <c r="P843" s="6">
        <v>0</v>
      </c>
      <c r="Q843" s="4" t="s">
        <v>26</v>
      </c>
      <c r="R843" s="4">
        <v>0</v>
      </c>
      <c r="S843" s="4" t="s">
        <v>312</v>
      </c>
      <c r="T843" s="4" t="s">
        <v>534</v>
      </c>
      <c r="U843" s="4">
        <v>0</v>
      </c>
      <c r="V843" s="4">
        <v>56</v>
      </c>
      <c r="W843" s="4">
        <v>97</v>
      </c>
    </row>
    <row r="844" spans="1:23" ht="11.25" customHeight="1" x14ac:dyDescent="0.25">
      <c r="A844" s="4" t="s">
        <v>21</v>
      </c>
      <c r="B844" s="4" t="s">
        <v>39</v>
      </c>
      <c r="C844" s="4" t="s">
        <v>36</v>
      </c>
      <c r="D844" s="4" t="s">
        <v>40</v>
      </c>
      <c r="E844" s="4" t="s">
        <v>25</v>
      </c>
      <c r="F844" s="4" t="s">
        <v>25</v>
      </c>
      <c r="G844" s="4" t="s">
        <v>25</v>
      </c>
      <c r="H844" s="4" t="s">
        <v>38</v>
      </c>
      <c r="I844" s="5">
        <v>44440</v>
      </c>
      <c r="J844" s="6">
        <v>0</v>
      </c>
      <c r="K844" s="6">
        <v>0</v>
      </c>
      <c r="L844" s="6">
        <v>9.7000000000000003E-2</v>
      </c>
      <c r="M844" s="6">
        <v>9.7000000000000003E-2</v>
      </c>
      <c r="N844" s="6">
        <v>9.7000000000000003E-2</v>
      </c>
      <c r="O844" s="6">
        <v>9.7000000000000003E-2</v>
      </c>
      <c r="P844" s="6">
        <v>0</v>
      </c>
      <c r="Q844" s="4" t="s">
        <v>26</v>
      </c>
      <c r="R844" s="4">
        <v>0</v>
      </c>
      <c r="S844" s="4" t="s">
        <v>313</v>
      </c>
      <c r="T844" s="4" t="s">
        <v>535</v>
      </c>
      <c r="U844" s="4">
        <v>0</v>
      </c>
      <c r="V844" s="4">
        <v>56</v>
      </c>
      <c r="W844" s="4">
        <v>97</v>
      </c>
    </row>
    <row r="845" spans="1:23" ht="11.25" customHeight="1" x14ac:dyDescent="0.25">
      <c r="A845" s="4" t="s">
        <v>21</v>
      </c>
      <c r="B845" s="4" t="s">
        <v>39</v>
      </c>
      <c r="C845" s="4" t="s">
        <v>36</v>
      </c>
      <c r="D845" s="4" t="s">
        <v>40</v>
      </c>
      <c r="E845" s="4" t="s">
        <v>25</v>
      </c>
      <c r="F845" s="4" t="s">
        <v>25</v>
      </c>
      <c r="G845" s="4" t="s">
        <v>25</v>
      </c>
      <c r="H845" s="4" t="s">
        <v>38</v>
      </c>
      <c r="I845" s="5">
        <v>44470</v>
      </c>
      <c r="J845" s="6">
        <v>0</v>
      </c>
      <c r="K845" s="6">
        <v>0</v>
      </c>
      <c r="L845" s="6">
        <v>8.3000000000000004E-2</v>
      </c>
      <c r="M845" s="6">
        <v>8.3000000000000004E-2</v>
      </c>
      <c r="N845" s="6">
        <v>8.3000000000000004E-2</v>
      </c>
      <c r="O845" s="6">
        <v>8.3000000000000004E-2</v>
      </c>
      <c r="P845" s="6">
        <v>0</v>
      </c>
      <c r="Q845" s="4" t="s">
        <v>26</v>
      </c>
      <c r="R845" s="4">
        <v>0</v>
      </c>
      <c r="S845" s="4" t="s">
        <v>314</v>
      </c>
      <c r="T845" s="4" t="s">
        <v>536</v>
      </c>
      <c r="U845" s="4">
        <v>0</v>
      </c>
      <c r="V845" s="4">
        <v>56</v>
      </c>
      <c r="W845" s="4">
        <v>97</v>
      </c>
    </row>
    <row r="846" spans="1:23" ht="11.25" customHeight="1" x14ac:dyDescent="0.25">
      <c r="A846" s="4" t="s">
        <v>21</v>
      </c>
      <c r="B846" s="4" t="s">
        <v>39</v>
      </c>
      <c r="C846" s="4" t="s">
        <v>36</v>
      </c>
      <c r="D846" s="4" t="s">
        <v>40</v>
      </c>
      <c r="E846" s="4" t="s">
        <v>25</v>
      </c>
      <c r="F846" s="4" t="s">
        <v>25</v>
      </c>
      <c r="G846" s="4" t="s">
        <v>25</v>
      </c>
      <c r="H846" s="4" t="s">
        <v>38</v>
      </c>
      <c r="I846" s="5">
        <v>44501</v>
      </c>
      <c r="J846" s="6">
        <v>0</v>
      </c>
      <c r="K846" s="6">
        <v>0</v>
      </c>
      <c r="L846" s="6">
        <v>8.8999999999999996E-2</v>
      </c>
      <c r="M846" s="6">
        <v>8.8999999999999996E-2</v>
      </c>
      <c r="N846" s="6">
        <v>8.8999999999999996E-2</v>
      </c>
      <c r="O846" s="6">
        <v>8.8999999999999996E-2</v>
      </c>
      <c r="P846" s="6">
        <v>0</v>
      </c>
      <c r="Q846" s="4" t="s">
        <v>26</v>
      </c>
      <c r="R846" s="4">
        <v>0</v>
      </c>
      <c r="S846" s="4" t="s">
        <v>315</v>
      </c>
      <c r="T846" s="4" t="s">
        <v>537</v>
      </c>
      <c r="U846" s="4">
        <v>0</v>
      </c>
      <c r="V846" s="4">
        <v>56</v>
      </c>
      <c r="W846" s="4">
        <v>97</v>
      </c>
    </row>
    <row r="847" spans="1:23" ht="11.25" customHeight="1" x14ac:dyDescent="0.25">
      <c r="A847" s="4" t="s">
        <v>21</v>
      </c>
      <c r="B847" s="4" t="s">
        <v>39</v>
      </c>
      <c r="C847" s="4" t="s">
        <v>36</v>
      </c>
      <c r="D847" s="4" t="s">
        <v>40</v>
      </c>
      <c r="E847" s="4" t="s">
        <v>25</v>
      </c>
      <c r="F847" s="4" t="s">
        <v>25</v>
      </c>
      <c r="G847" s="4" t="s">
        <v>25</v>
      </c>
      <c r="H847" s="4" t="s">
        <v>38</v>
      </c>
      <c r="I847" s="5">
        <v>44531</v>
      </c>
      <c r="J847" s="6">
        <v>0</v>
      </c>
      <c r="K847" s="6">
        <v>0</v>
      </c>
      <c r="L847" s="6">
        <v>0.11</v>
      </c>
      <c r="M847" s="6">
        <v>0.11</v>
      </c>
      <c r="N847" s="6">
        <v>0.11</v>
      </c>
      <c r="O847" s="6">
        <v>0.11</v>
      </c>
      <c r="P847" s="6">
        <v>0</v>
      </c>
      <c r="Q847" s="4" t="s">
        <v>26</v>
      </c>
      <c r="R847" s="4">
        <v>0</v>
      </c>
      <c r="S847" s="4" t="s">
        <v>316</v>
      </c>
      <c r="T847" s="4" t="s">
        <v>538</v>
      </c>
      <c r="U847" s="4">
        <v>0</v>
      </c>
      <c r="V847" s="4">
        <v>56</v>
      </c>
      <c r="W847" s="4">
        <v>97</v>
      </c>
    </row>
    <row r="848" spans="1:23" ht="11.25" customHeight="1" x14ac:dyDescent="0.25">
      <c r="A848" s="4" t="s">
        <v>21</v>
      </c>
      <c r="B848" s="4" t="s">
        <v>39</v>
      </c>
      <c r="C848" s="4" t="s">
        <v>36</v>
      </c>
      <c r="D848" s="4" t="s">
        <v>40</v>
      </c>
      <c r="E848" s="4" t="s">
        <v>25</v>
      </c>
      <c r="F848" s="4" t="s">
        <v>25</v>
      </c>
      <c r="G848" s="4" t="s">
        <v>25</v>
      </c>
      <c r="H848" s="4" t="s">
        <v>38</v>
      </c>
      <c r="I848" s="5">
        <v>44562</v>
      </c>
      <c r="J848" s="6">
        <v>0</v>
      </c>
      <c r="K848" s="6">
        <v>0</v>
      </c>
      <c r="L848" s="6">
        <v>0.104</v>
      </c>
      <c r="M848" s="6">
        <v>0.104</v>
      </c>
      <c r="N848" s="6">
        <v>0.104</v>
      </c>
      <c r="O848" s="6">
        <v>0.104</v>
      </c>
      <c r="P848" s="6">
        <v>0</v>
      </c>
      <c r="Q848" s="4" t="s">
        <v>26</v>
      </c>
      <c r="R848" s="4">
        <v>0</v>
      </c>
      <c r="S848" s="4" t="s">
        <v>317</v>
      </c>
      <c r="T848" s="4" t="s">
        <v>539</v>
      </c>
      <c r="U848" s="4">
        <v>0</v>
      </c>
      <c r="V848" s="4">
        <v>56</v>
      </c>
      <c r="W848" s="4">
        <v>97</v>
      </c>
    </row>
    <row r="849" spans="1:23" ht="11.25" customHeight="1" x14ac:dyDescent="0.25">
      <c r="A849" s="4" t="s">
        <v>21</v>
      </c>
      <c r="B849" s="4" t="s">
        <v>39</v>
      </c>
      <c r="C849" s="4" t="s">
        <v>36</v>
      </c>
      <c r="D849" s="4" t="s">
        <v>40</v>
      </c>
      <c r="E849" s="4" t="s">
        <v>25</v>
      </c>
      <c r="F849" s="4" t="s">
        <v>25</v>
      </c>
      <c r="G849" s="4" t="s">
        <v>25</v>
      </c>
      <c r="H849" s="4" t="s">
        <v>38</v>
      </c>
      <c r="I849" s="5">
        <v>44593</v>
      </c>
      <c r="J849" s="6">
        <v>0</v>
      </c>
      <c r="K849" s="6">
        <v>0</v>
      </c>
      <c r="L849" s="6">
        <v>0.11799999999999999</v>
      </c>
      <c r="M849" s="6">
        <v>0.11799999999999999</v>
      </c>
      <c r="N849" s="6">
        <v>0.11799999999999999</v>
      </c>
      <c r="O849" s="6">
        <v>0.11799999999999999</v>
      </c>
      <c r="P849" s="6">
        <v>0</v>
      </c>
      <c r="Q849" s="4" t="s">
        <v>26</v>
      </c>
      <c r="R849" s="4">
        <v>0</v>
      </c>
      <c r="S849" s="4" t="s">
        <v>318</v>
      </c>
      <c r="T849" s="4" t="s">
        <v>540</v>
      </c>
      <c r="U849" s="4">
        <v>0</v>
      </c>
      <c r="V849" s="4">
        <v>56</v>
      </c>
      <c r="W849" s="4">
        <v>97</v>
      </c>
    </row>
    <row r="850" spans="1:23" ht="11.25" customHeight="1" x14ac:dyDescent="0.25">
      <c r="A850" s="4" t="s">
        <v>21</v>
      </c>
      <c r="B850" s="4" t="s">
        <v>39</v>
      </c>
      <c r="C850" s="4" t="s">
        <v>36</v>
      </c>
      <c r="D850" s="4" t="s">
        <v>40</v>
      </c>
      <c r="E850" s="4" t="s">
        <v>25</v>
      </c>
      <c r="F850" s="4" t="s">
        <v>25</v>
      </c>
      <c r="G850" s="4" t="s">
        <v>25</v>
      </c>
      <c r="H850" s="4" t="s">
        <v>38</v>
      </c>
      <c r="I850" s="5">
        <v>44621</v>
      </c>
      <c r="J850" s="6">
        <v>0</v>
      </c>
      <c r="K850" s="6">
        <v>0</v>
      </c>
      <c r="L850" s="6">
        <v>9.0999999999999998E-2</v>
      </c>
      <c r="M850" s="6">
        <v>9.0999999999999998E-2</v>
      </c>
      <c r="N850" s="6">
        <v>9.0999999999999998E-2</v>
      </c>
      <c r="O850" s="6">
        <v>9.0999999999999998E-2</v>
      </c>
      <c r="P850" s="6">
        <v>0</v>
      </c>
      <c r="Q850" s="4" t="s">
        <v>26</v>
      </c>
      <c r="R850" s="4">
        <v>0</v>
      </c>
      <c r="S850" s="4" t="s">
        <v>319</v>
      </c>
      <c r="T850" s="4" t="s">
        <v>541</v>
      </c>
      <c r="U850" s="4">
        <v>0</v>
      </c>
      <c r="V850" s="4">
        <v>56</v>
      </c>
      <c r="W850" s="4">
        <v>97</v>
      </c>
    </row>
    <row r="851" spans="1:23" ht="11.25" customHeight="1" x14ac:dyDescent="0.25">
      <c r="A851" s="4" t="s">
        <v>21</v>
      </c>
      <c r="B851" s="4" t="s">
        <v>39</v>
      </c>
      <c r="C851" s="4" t="s">
        <v>36</v>
      </c>
      <c r="D851" s="4" t="s">
        <v>40</v>
      </c>
      <c r="E851" s="4" t="s">
        <v>25</v>
      </c>
      <c r="F851" s="4" t="s">
        <v>25</v>
      </c>
      <c r="G851" s="4" t="s">
        <v>25</v>
      </c>
      <c r="H851" s="4" t="s">
        <v>38</v>
      </c>
      <c r="I851" s="5">
        <v>44652</v>
      </c>
      <c r="J851" s="6">
        <v>0</v>
      </c>
      <c r="K851" s="6">
        <v>0</v>
      </c>
      <c r="L851" s="6">
        <v>0.09</v>
      </c>
      <c r="M851" s="6">
        <v>0.09</v>
      </c>
      <c r="N851" s="6">
        <v>0.09</v>
      </c>
      <c r="O851" s="6">
        <v>0.09</v>
      </c>
      <c r="P851" s="6">
        <v>0</v>
      </c>
      <c r="Q851" s="4" t="s">
        <v>26</v>
      </c>
      <c r="R851" s="4">
        <v>0</v>
      </c>
      <c r="S851" s="4" t="s">
        <v>320</v>
      </c>
      <c r="T851" s="4" t="s">
        <v>542</v>
      </c>
      <c r="U851" s="4">
        <v>0</v>
      </c>
      <c r="V851" s="4">
        <v>56</v>
      </c>
      <c r="W851" s="4">
        <v>97</v>
      </c>
    </row>
    <row r="852" spans="1:23" ht="11.25" customHeight="1" x14ac:dyDescent="0.25">
      <c r="A852" s="4" t="s">
        <v>21</v>
      </c>
      <c r="B852" s="4" t="s">
        <v>39</v>
      </c>
      <c r="C852" s="4" t="s">
        <v>36</v>
      </c>
      <c r="D852" s="4" t="s">
        <v>40</v>
      </c>
      <c r="E852" s="4" t="s">
        <v>25</v>
      </c>
      <c r="F852" s="4" t="s">
        <v>25</v>
      </c>
      <c r="G852" s="4" t="s">
        <v>25</v>
      </c>
      <c r="H852" s="4" t="s">
        <v>38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0</v>
      </c>
      <c r="Q852" s="4" t="s">
        <v>26</v>
      </c>
      <c r="R852" s="4">
        <v>0</v>
      </c>
      <c r="S852" s="4" t="s">
        <v>321</v>
      </c>
      <c r="T852" s="4" t="s">
        <v>543</v>
      </c>
      <c r="U852" s="4">
        <v>0</v>
      </c>
      <c r="V852" s="4">
        <v>56</v>
      </c>
      <c r="W852" s="4">
        <v>97</v>
      </c>
    </row>
    <row r="853" spans="1:23" ht="11.25" customHeight="1" x14ac:dyDescent="0.25">
      <c r="A853" s="4" t="s">
        <v>21</v>
      </c>
      <c r="B853" s="4" t="s">
        <v>39</v>
      </c>
      <c r="C853" s="4" t="s">
        <v>36</v>
      </c>
      <c r="D853" s="4" t="s">
        <v>40</v>
      </c>
      <c r="E853" s="4" t="s">
        <v>25</v>
      </c>
      <c r="F853" s="4" t="s">
        <v>25</v>
      </c>
      <c r="G853" s="4" t="s">
        <v>25</v>
      </c>
      <c r="H853" s="4" t="s">
        <v>37</v>
      </c>
      <c r="I853" s="5">
        <v>44348</v>
      </c>
      <c r="J853" s="6">
        <v>0</v>
      </c>
      <c r="K853" s="6">
        <v>0</v>
      </c>
      <c r="L853" s="6">
        <v>0.11</v>
      </c>
      <c r="M853" s="6">
        <v>0.11</v>
      </c>
      <c r="N853" s="6">
        <v>0.11</v>
      </c>
      <c r="O853" s="6">
        <v>0.11</v>
      </c>
      <c r="P853" s="6">
        <v>0</v>
      </c>
      <c r="Q853" s="4" t="s">
        <v>26</v>
      </c>
      <c r="R853" s="4">
        <v>0</v>
      </c>
      <c r="S853" s="4" t="s">
        <v>322</v>
      </c>
      <c r="T853" s="4" t="s">
        <v>544</v>
      </c>
      <c r="U853" s="4">
        <v>0</v>
      </c>
      <c r="V853" s="4">
        <v>55</v>
      </c>
      <c r="W853" s="4">
        <v>96</v>
      </c>
    </row>
    <row r="854" spans="1:23" ht="11.25" customHeight="1" x14ac:dyDescent="0.25">
      <c r="A854" s="4" t="s">
        <v>21</v>
      </c>
      <c r="B854" s="4" t="s">
        <v>39</v>
      </c>
      <c r="C854" s="4" t="s">
        <v>36</v>
      </c>
      <c r="D854" s="4" t="s">
        <v>40</v>
      </c>
      <c r="E854" s="4" t="s">
        <v>25</v>
      </c>
      <c r="F854" s="4" t="s">
        <v>25</v>
      </c>
      <c r="G854" s="4" t="s">
        <v>25</v>
      </c>
      <c r="H854" s="4" t="s">
        <v>37</v>
      </c>
      <c r="I854" s="5">
        <v>44378</v>
      </c>
      <c r="J854" s="6">
        <v>0</v>
      </c>
      <c r="K854" s="6">
        <v>0</v>
      </c>
      <c r="L854" s="6">
        <v>0.113</v>
      </c>
      <c r="M854" s="6">
        <v>0.113</v>
      </c>
      <c r="N854" s="6">
        <v>0.113</v>
      </c>
      <c r="O854" s="6">
        <v>0.113</v>
      </c>
      <c r="P854" s="6">
        <v>0</v>
      </c>
      <c r="Q854" s="4" t="s">
        <v>26</v>
      </c>
      <c r="R854" s="4">
        <v>0</v>
      </c>
      <c r="S854" s="4" t="s">
        <v>323</v>
      </c>
      <c r="T854" s="4" t="s">
        <v>545</v>
      </c>
      <c r="U854" s="4">
        <v>0</v>
      </c>
      <c r="V854" s="4">
        <v>55</v>
      </c>
      <c r="W854" s="4">
        <v>96</v>
      </c>
    </row>
    <row r="855" spans="1:23" ht="11.25" customHeight="1" x14ac:dyDescent="0.25">
      <c r="A855" s="4" t="s">
        <v>21</v>
      </c>
      <c r="B855" s="4" t="s">
        <v>39</v>
      </c>
      <c r="C855" s="4" t="s">
        <v>36</v>
      </c>
      <c r="D855" s="4" t="s">
        <v>40</v>
      </c>
      <c r="E855" s="4" t="s">
        <v>25</v>
      </c>
      <c r="F855" s="4" t="s">
        <v>25</v>
      </c>
      <c r="G855" s="4" t="s">
        <v>25</v>
      </c>
      <c r="H855" s="4" t="s">
        <v>37</v>
      </c>
      <c r="I855" s="5">
        <v>44409</v>
      </c>
      <c r="J855" s="6">
        <v>0</v>
      </c>
      <c r="K855" s="6">
        <v>0</v>
      </c>
      <c r="L855" s="6">
        <v>0.104</v>
      </c>
      <c r="M855" s="6">
        <v>0.104</v>
      </c>
      <c r="N855" s="6">
        <v>0.104</v>
      </c>
      <c r="O855" s="6">
        <v>0.104</v>
      </c>
      <c r="P855" s="6">
        <v>0</v>
      </c>
      <c r="Q855" s="4" t="s">
        <v>26</v>
      </c>
      <c r="R855" s="4">
        <v>0</v>
      </c>
      <c r="S855" s="4" t="s">
        <v>324</v>
      </c>
      <c r="T855" s="4" t="s">
        <v>546</v>
      </c>
      <c r="U855" s="4">
        <v>0</v>
      </c>
      <c r="V855" s="4">
        <v>55</v>
      </c>
      <c r="W855" s="4">
        <v>96</v>
      </c>
    </row>
    <row r="856" spans="1:23" ht="11.25" customHeight="1" x14ac:dyDescent="0.25">
      <c r="A856" s="4" t="s">
        <v>21</v>
      </c>
      <c r="B856" s="4" t="s">
        <v>39</v>
      </c>
      <c r="C856" s="4" t="s">
        <v>36</v>
      </c>
      <c r="D856" s="4" t="s">
        <v>40</v>
      </c>
      <c r="E856" s="4" t="s">
        <v>25</v>
      </c>
      <c r="F856" s="4" t="s">
        <v>25</v>
      </c>
      <c r="G856" s="4" t="s">
        <v>25</v>
      </c>
      <c r="H856" s="4" t="s">
        <v>37</v>
      </c>
      <c r="I856" s="5">
        <v>44440</v>
      </c>
      <c r="J856" s="6">
        <v>0</v>
      </c>
      <c r="K856" s="6">
        <v>0</v>
      </c>
      <c r="L856" s="6">
        <v>0.108</v>
      </c>
      <c r="M856" s="6">
        <v>0.108</v>
      </c>
      <c r="N856" s="6">
        <v>0.108</v>
      </c>
      <c r="O856" s="6">
        <v>0.108</v>
      </c>
      <c r="P856" s="6">
        <v>0</v>
      </c>
      <c r="Q856" s="4" t="s">
        <v>26</v>
      </c>
      <c r="R856" s="4">
        <v>0</v>
      </c>
      <c r="S856" s="4" t="s">
        <v>325</v>
      </c>
      <c r="T856" s="4" t="s">
        <v>547</v>
      </c>
      <c r="U856" s="4">
        <v>0</v>
      </c>
      <c r="V856" s="4">
        <v>55</v>
      </c>
      <c r="W856" s="4">
        <v>96</v>
      </c>
    </row>
    <row r="857" spans="1:23" ht="11.25" customHeight="1" x14ac:dyDescent="0.25">
      <c r="A857" s="4" t="s">
        <v>21</v>
      </c>
      <c r="B857" s="4" t="s">
        <v>39</v>
      </c>
      <c r="C857" s="4" t="s">
        <v>36</v>
      </c>
      <c r="D857" s="4" t="s">
        <v>40</v>
      </c>
      <c r="E857" s="4" t="s">
        <v>25</v>
      </c>
      <c r="F857" s="4" t="s">
        <v>25</v>
      </c>
      <c r="G857" s="4" t="s">
        <v>25</v>
      </c>
      <c r="H857" s="4" t="s">
        <v>37</v>
      </c>
      <c r="I857" s="5">
        <v>44470</v>
      </c>
      <c r="J857" s="6">
        <v>0</v>
      </c>
      <c r="K857" s="6">
        <v>0</v>
      </c>
      <c r="L857" s="6">
        <v>0.112</v>
      </c>
      <c r="M857" s="6">
        <v>0.112</v>
      </c>
      <c r="N857" s="6">
        <v>0.112</v>
      </c>
      <c r="O857" s="6">
        <v>0.112</v>
      </c>
      <c r="P857" s="6">
        <v>0</v>
      </c>
      <c r="Q857" s="4" t="s">
        <v>26</v>
      </c>
      <c r="R857" s="4">
        <v>0</v>
      </c>
      <c r="S857" s="4" t="s">
        <v>326</v>
      </c>
      <c r="T857" s="4" t="s">
        <v>548</v>
      </c>
      <c r="U857" s="4">
        <v>0</v>
      </c>
      <c r="V857" s="4">
        <v>55</v>
      </c>
      <c r="W857" s="4">
        <v>96</v>
      </c>
    </row>
    <row r="858" spans="1:23" ht="11.25" customHeight="1" x14ac:dyDescent="0.25">
      <c r="A858" s="4" t="s">
        <v>21</v>
      </c>
      <c r="B858" s="4" t="s">
        <v>39</v>
      </c>
      <c r="C858" s="4" t="s">
        <v>36</v>
      </c>
      <c r="D858" s="4" t="s">
        <v>40</v>
      </c>
      <c r="E858" s="4" t="s">
        <v>25</v>
      </c>
      <c r="F858" s="4" t="s">
        <v>25</v>
      </c>
      <c r="G858" s="4" t="s">
        <v>25</v>
      </c>
      <c r="H858" s="4" t="s">
        <v>37</v>
      </c>
      <c r="I858" s="5">
        <v>44501</v>
      </c>
      <c r="J858" s="6">
        <v>0</v>
      </c>
      <c r="K858" s="6">
        <v>0</v>
      </c>
      <c r="L858" s="6">
        <v>0.10199999999999999</v>
      </c>
      <c r="M858" s="6">
        <v>0.10199999999999999</v>
      </c>
      <c r="N858" s="6">
        <v>0.10199999999999999</v>
      </c>
      <c r="O858" s="6">
        <v>0.10199999999999999</v>
      </c>
      <c r="P858" s="6">
        <v>0</v>
      </c>
      <c r="Q858" s="4" t="s">
        <v>26</v>
      </c>
      <c r="R858" s="4">
        <v>0</v>
      </c>
      <c r="S858" s="4" t="s">
        <v>327</v>
      </c>
      <c r="T858" s="4" t="s">
        <v>549</v>
      </c>
      <c r="U858" s="4">
        <v>0</v>
      </c>
      <c r="V858" s="4">
        <v>55</v>
      </c>
      <c r="W858" s="4">
        <v>96</v>
      </c>
    </row>
    <row r="859" spans="1:23" ht="11.25" customHeight="1" x14ac:dyDescent="0.25">
      <c r="A859" s="4" t="s">
        <v>21</v>
      </c>
      <c r="B859" s="4" t="s">
        <v>39</v>
      </c>
      <c r="C859" s="4" t="s">
        <v>36</v>
      </c>
      <c r="D859" s="4" t="s">
        <v>40</v>
      </c>
      <c r="E859" s="4" t="s">
        <v>25</v>
      </c>
      <c r="F859" s="4" t="s">
        <v>25</v>
      </c>
      <c r="G859" s="4" t="s">
        <v>25</v>
      </c>
      <c r="H859" s="4" t="s">
        <v>37</v>
      </c>
      <c r="I859" s="5">
        <v>44531</v>
      </c>
      <c r="J859" s="6">
        <v>0</v>
      </c>
      <c r="K859" s="6">
        <v>0</v>
      </c>
      <c r="L859" s="6">
        <v>0.125</v>
      </c>
      <c r="M859" s="6">
        <v>0.125</v>
      </c>
      <c r="N859" s="6">
        <v>0.125</v>
      </c>
      <c r="O859" s="6">
        <v>0.125</v>
      </c>
      <c r="P859" s="6">
        <v>0</v>
      </c>
      <c r="Q859" s="4" t="s">
        <v>26</v>
      </c>
      <c r="R859" s="4">
        <v>0</v>
      </c>
      <c r="S859" s="4" t="s">
        <v>328</v>
      </c>
      <c r="T859" s="4" t="s">
        <v>550</v>
      </c>
      <c r="U859" s="4">
        <v>0</v>
      </c>
      <c r="V859" s="4">
        <v>55</v>
      </c>
      <c r="W859" s="4">
        <v>96</v>
      </c>
    </row>
    <row r="860" spans="1:23" ht="11.25" customHeight="1" x14ac:dyDescent="0.25">
      <c r="A860" s="4" t="s">
        <v>21</v>
      </c>
      <c r="B860" s="4" t="s">
        <v>39</v>
      </c>
      <c r="C860" s="4" t="s">
        <v>36</v>
      </c>
      <c r="D860" s="4" t="s">
        <v>40</v>
      </c>
      <c r="E860" s="4" t="s">
        <v>25</v>
      </c>
      <c r="F860" s="4" t="s">
        <v>25</v>
      </c>
      <c r="G860" s="4" t="s">
        <v>25</v>
      </c>
      <c r="H860" s="4" t="s">
        <v>37</v>
      </c>
      <c r="I860" s="5">
        <v>44562</v>
      </c>
      <c r="J860" s="6">
        <v>0</v>
      </c>
      <c r="K860" s="6">
        <v>0</v>
      </c>
      <c r="L860" s="6">
        <v>0.125</v>
      </c>
      <c r="M860" s="6">
        <v>0.125</v>
      </c>
      <c r="N860" s="6">
        <v>0.125</v>
      </c>
      <c r="O860" s="6">
        <v>0.125</v>
      </c>
      <c r="P860" s="6">
        <v>0</v>
      </c>
      <c r="Q860" s="4" t="s">
        <v>26</v>
      </c>
      <c r="R860" s="4">
        <v>0</v>
      </c>
      <c r="S860" s="4" t="s">
        <v>329</v>
      </c>
      <c r="T860" s="4" t="s">
        <v>551</v>
      </c>
      <c r="U860" s="4">
        <v>0</v>
      </c>
      <c r="V860" s="4">
        <v>55</v>
      </c>
      <c r="W860" s="4">
        <v>96</v>
      </c>
    </row>
    <row r="861" spans="1:23" ht="11.25" customHeight="1" x14ac:dyDescent="0.25">
      <c r="A861" s="4" t="s">
        <v>21</v>
      </c>
      <c r="B861" s="4" t="s">
        <v>39</v>
      </c>
      <c r="C861" s="4" t="s">
        <v>36</v>
      </c>
      <c r="D861" s="4" t="s">
        <v>40</v>
      </c>
      <c r="E861" s="4" t="s">
        <v>25</v>
      </c>
      <c r="F861" s="4" t="s">
        <v>25</v>
      </c>
      <c r="G861" s="4" t="s">
        <v>25</v>
      </c>
      <c r="H861" s="4" t="s">
        <v>37</v>
      </c>
      <c r="I861" s="5">
        <v>44593</v>
      </c>
      <c r="J861" s="6">
        <v>0</v>
      </c>
      <c r="K861" s="6">
        <v>0</v>
      </c>
      <c r="L861" s="6">
        <v>0.124</v>
      </c>
      <c r="M861" s="6">
        <v>0.124</v>
      </c>
      <c r="N861" s="6">
        <v>0.124</v>
      </c>
      <c r="O861" s="6">
        <v>0.124</v>
      </c>
      <c r="P861" s="6">
        <v>0</v>
      </c>
      <c r="Q861" s="4" t="s">
        <v>26</v>
      </c>
      <c r="R861" s="4">
        <v>0</v>
      </c>
      <c r="S861" s="4" t="s">
        <v>330</v>
      </c>
      <c r="T861" s="4" t="s">
        <v>552</v>
      </c>
      <c r="U861" s="4">
        <v>0</v>
      </c>
      <c r="V861" s="4">
        <v>55</v>
      </c>
      <c r="W861" s="4">
        <v>96</v>
      </c>
    </row>
    <row r="862" spans="1:23" ht="11.25" customHeight="1" x14ac:dyDescent="0.25">
      <c r="A862" s="4" t="s">
        <v>21</v>
      </c>
      <c r="B862" s="4" t="s">
        <v>39</v>
      </c>
      <c r="C862" s="4" t="s">
        <v>36</v>
      </c>
      <c r="D862" s="4" t="s">
        <v>40</v>
      </c>
      <c r="E862" s="4" t="s">
        <v>25</v>
      </c>
      <c r="F862" s="4" t="s">
        <v>25</v>
      </c>
      <c r="G862" s="4" t="s">
        <v>25</v>
      </c>
      <c r="H862" s="4" t="s">
        <v>37</v>
      </c>
      <c r="I862" s="5">
        <v>44621</v>
      </c>
      <c r="J862" s="6">
        <v>0</v>
      </c>
      <c r="K862" s="6">
        <v>0</v>
      </c>
      <c r="L862" s="6">
        <v>0.114</v>
      </c>
      <c r="M862" s="6">
        <v>0.114</v>
      </c>
      <c r="N862" s="6">
        <v>0.114</v>
      </c>
      <c r="O862" s="6">
        <v>0.114</v>
      </c>
      <c r="P862" s="6">
        <v>0</v>
      </c>
      <c r="Q862" s="4" t="s">
        <v>26</v>
      </c>
      <c r="R862" s="4">
        <v>0</v>
      </c>
      <c r="S862" s="4" t="s">
        <v>331</v>
      </c>
      <c r="T862" s="4" t="s">
        <v>553</v>
      </c>
      <c r="U862" s="4">
        <v>0</v>
      </c>
      <c r="V862" s="4">
        <v>55</v>
      </c>
      <c r="W862" s="4">
        <v>96</v>
      </c>
    </row>
    <row r="863" spans="1:23" ht="11.25" customHeight="1" x14ac:dyDescent="0.25">
      <c r="A863" s="4" t="s">
        <v>21</v>
      </c>
      <c r="B863" s="4" t="s">
        <v>39</v>
      </c>
      <c r="C863" s="4" t="s">
        <v>36</v>
      </c>
      <c r="D863" s="4" t="s">
        <v>40</v>
      </c>
      <c r="E863" s="4" t="s">
        <v>25</v>
      </c>
      <c r="F863" s="4" t="s">
        <v>25</v>
      </c>
      <c r="G863" s="4" t="s">
        <v>25</v>
      </c>
      <c r="H863" s="4" t="s">
        <v>37</v>
      </c>
      <c r="I863" s="5">
        <v>44652</v>
      </c>
      <c r="J863" s="6">
        <v>0</v>
      </c>
      <c r="K863" s="6">
        <v>0</v>
      </c>
      <c r="L863" s="6">
        <v>0.11600000000000001</v>
      </c>
      <c r="M863" s="6">
        <v>0.11600000000000001</v>
      </c>
      <c r="N863" s="6">
        <v>0.11600000000000001</v>
      </c>
      <c r="O863" s="6">
        <v>0.11600000000000001</v>
      </c>
      <c r="P863" s="6">
        <v>0</v>
      </c>
      <c r="Q863" s="4" t="s">
        <v>26</v>
      </c>
      <c r="R863" s="4">
        <v>0</v>
      </c>
      <c r="S863" s="4" t="s">
        <v>332</v>
      </c>
      <c r="T863" s="4" t="s">
        <v>554</v>
      </c>
      <c r="U863" s="4">
        <v>0</v>
      </c>
      <c r="V863" s="4">
        <v>55</v>
      </c>
      <c r="W863" s="4">
        <v>96</v>
      </c>
    </row>
    <row r="864" spans="1:23" ht="11.25" customHeight="1" x14ac:dyDescent="0.25">
      <c r="A864" s="4" t="s">
        <v>21</v>
      </c>
      <c r="B864" s="4" t="s">
        <v>39</v>
      </c>
      <c r="C864" s="4" t="s">
        <v>36</v>
      </c>
      <c r="D864" s="4" t="s">
        <v>40</v>
      </c>
      <c r="E864" s="4" t="s">
        <v>25</v>
      </c>
      <c r="F864" s="4" t="s">
        <v>25</v>
      </c>
      <c r="G864" s="4" t="s">
        <v>25</v>
      </c>
      <c r="H864" s="4" t="s">
        <v>37</v>
      </c>
      <c r="I864" s="5">
        <v>44682</v>
      </c>
      <c r="J864" s="6">
        <v>0</v>
      </c>
      <c r="K864" s="6">
        <v>0</v>
      </c>
      <c r="L864" s="6">
        <v>0.114</v>
      </c>
      <c r="M864" s="6">
        <v>0.114</v>
      </c>
      <c r="N864" s="6">
        <v>0.114</v>
      </c>
      <c r="O864" s="6">
        <v>0.114</v>
      </c>
      <c r="P864" s="6">
        <v>0</v>
      </c>
      <c r="Q864" s="4" t="s">
        <v>26</v>
      </c>
      <c r="R864" s="4">
        <v>0</v>
      </c>
      <c r="S864" s="4" t="s">
        <v>333</v>
      </c>
      <c r="T864" s="4" t="s">
        <v>555</v>
      </c>
      <c r="U864" s="4">
        <v>0</v>
      </c>
      <c r="V864" s="4">
        <v>55</v>
      </c>
      <c r="W864" s="4">
        <v>96</v>
      </c>
    </row>
    <row r="865" spans="1:23" ht="11.25" customHeight="1" x14ac:dyDescent="0.25">
      <c r="A865" s="4" t="s">
        <v>21</v>
      </c>
      <c r="B865" s="4" t="s">
        <v>39</v>
      </c>
      <c r="C865" s="4" t="s">
        <v>23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44348</v>
      </c>
      <c r="J865" s="6">
        <v>0</v>
      </c>
      <c r="K865" s="6">
        <v>0</v>
      </c>
      <c r="L865" s="6">
        <v>1705.5170000000001</v>
      </c>
      <c r="M865" s="6">
        <v>1705.5170000000001</v>
      </c>
      <c r="N865" s="6">
        <v>1705.5170000000001</v>
      </c>
      <c r="O865" s="6">
        <v>1705.5170000000001</v>
      </c>
      <c r="P865" s="6">
        <v>3389</v>
      </c>
      <c r="Q865" s="4" t="s">
        <v>26</v>
      </c>
      <c r="R865" s="4">
        <v>0</v>
      </c>
      <c r="S865" s="4" t="s">
        <v>334</v>
      </c>
      <c r="T865" s="4" t="s">
        <v>556</v>
      </c>
      <c r="U865" s="4">
        <v>0</v>
      </c>
      <c r="V865" s="4">
        <v>58</v>
      </c>
      <c r="W865" s="4">
        <v>99</v>
      </c>
    </row>
    <row r="866" spans="1:23" ht="11.25" customHeight="1" x14ac:dyDescent="0.25">
      <c r="A866" s="4" t="s">
        <v>27</v>
      </c>
      <c r="B866" s="4" t="s">
        <v>39</v>
      </c>
      <c r="C866" s="4" t="s">
        <v>23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44348</v>
      </c>
      <c r="J866" s="6">
        <v>0</v>
      </c>
      <c r="K866" s="6">
        <v>0</v>
      </c>
      <c r="L866" s="6">
        <v>-0.81399999999999995</v>
      </c>
      <c r="M866" s="6">
        <v>-0.81399999999999995</v>
      </c>
      <c r="N866" s="6">
        <v>-0.81399999999999995</v>
      </c>
      <c r="O866" s="6">
        <v>-0.81399999999999995</v>
      </c>
      <c r="P866" s="6">
        <v>0</v>
      </c>
      <c r="Q866" s="4" t="s">
        <v>26</v>
      </c>
      <c r="R866" s="4">
        <v>0</v>
      </c>
      <c r="S866" s="4" t="s">
        <v>334</v>
      </c>
      <c r="T866" s="4" t="s">
        <v>556</v>
      </c>
      <c r="U866" s="4">
        <v>0</v>
      </c>
      <c r="V866" s="4">
        <v>58</v>
      </c>
      <c r="W866" s="4">
        <v>99</v>
      </c>
    </row>
    <row r="867" spans="1:23" ht="11.25" customHeight="1" x14ac:dyDescent="0.25">
      <c r="A867" s="4" t="s">
        <v>28</v>
      </c>
      <c r="B867" s="4" t="s">
        <v>39</v>
      </c>
      <c r="C867" s="4" t="s">
        <v>23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44348</v>
      </c>
      <c r="J867" s="6">
        <v>0</v>
      </c>
      <c r="K867" s="6">
        <v>0</v>
      </c>
      <c r="L867" s="6">
        <v>42.02</v>
      </c>
      <c r="M867" s="6">
        <v>42.02</v>
      </c>
      <c r="N867" s="6">
        <v>42.02</v>
      </c>
      <c r="O867" s="6">
        <v>42.02</v>
      </c>
      <c r="P867" s="6">
        <v>29</v>
      </c>
      <c r="Q867" s="4" t="s">
        <v>26</v>
      </c>
      <c r="R867" s="4">
        <v>0</v>
      </c>
      <c r="S867" s="4" t="s">
        <v>334</v>
      </c>
      <c r="T867" s="4" t="s">
        <v>556</v>
      </c>
      <c r="U867" s="4">
        <v>0</v>
      </c>
      <c r="V867" s="4">
        <v>58</v>
      </c>
      <c r="W867" s="4">
        <v>99</v>
      </c>
    </row>
    <row r="868" spans="1:23" ht="11.25" customHeight="1" x14ac:dyDescent="0.25">
      <c r="A868" s="4" t="s">
        <v>21</v>
      </c>
      <c r="B868" s="4" t="s">
        <v>39</v>
      </c>
      <c r="C868" s="4" t="s">
        <v>23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44378</v>
      </c>
      <c r="J868" s="6">
        <v>0</v>
      </c>
      <c r="K868" s="6">
        <v>0</v>
      </c>
      <c r="L868" s="6">
        <v>1761.8520000000001</v>
      </c>
      <c r="M868" s="6">
        <v>1761.8520000000001</v>
      </c>
      <c r="N868" s="6">
        <v>1761.8520000000001</v>
      </c>
      <c r="O868" s="6">
        <v>1761.8520000000001</v>
      </c>
      <c r="P868" s="6">
        <v>3395</v>
      </c>
      <c r="Q868" s="4" t="s">
        <v>26</v>
      </c>
      <c r="R868" s="4">
        <v>0</v>
      </c>
      <c r="S868" s="4" t="s">
        <v>335</v>
      </c>
      <c r="T868" s="4" t="s">
        <v>557</v>
      </c>
      <c r="U868" s="4">
        <v>0</v>
      </c>
      <c r="V868" s="4">
        <v>58</v>
      </c>
      <c r="W868" s="4">
        <v>99</v>
      </c>
    </row>
    <row r="869" spans="1:23" ht="11.25" customHeight="1" x14ac:dyDescent="0.25">
      <c r="A869" s="4" t="s">
        <v>27</v>
      </c>
      <c r="B869" s="4" t="s">
        <v>39</v>
      </c>
      <c r="C869" s="4" t="s">
        <v>23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44378</v>
      </c>
      <c r="J869" s="6">
        <v>0</v>
      </c>
      <c r="K869" s="6">
        <v>0</v>
      </c>
      <c r="L869" s="6">
        <v>-0.50800000000000001</v>
      </c>
      <c r="M869" s="6">
        <v>-0.50800000000000001</v>
      </c>
      <c r="N869" s="6">
        <v>-0.50800000000000001</v>
      </c>
      <c r="O869" s="6">
        <v>-0.50800000000000001</v>
      </c>
      <c r="P869" s="6">
        <v>0</v>
      </c>
      <c r="Q869" s="4" t="s">
        <v>26</v>
      </c>
      <c r="R869" s="4">
        <v>0</v>
      </c>
      <c r="S869" s="4" t="s">
        <v>335</v>
      </c>
      <c r="T869" s="4" t="s">
        <v>557</v>
      </c>
      <c r="U869" s="4">
        <v>0</v>
      </c>
      <c r="V869" s="4">
        <v>58</v>
      </c>
      <c r="W869" s="4">
        <v>99</v>
      </c>
    </row>
    <row r="870" spans="1:23" ht="11.25" customHeight="1" x14ac:dyDescent="0.25">
      <c r="A870" s="4" t="s">
        <v>28</v>
      </c>
      <c r="B870" s="4" t="s">
        <v>39</v>
      </c>
      <c r="C870" s="4" t="s">
        <v>23</v>
      </c>
      <c r="D870" s="4" t="s">
        <v>43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44378</v>
      </c>
      <c r="J870" s="6">
        <v>0</v>
      </c>
      <c r="K870" s="6">
        <v>0</v>
      </c>
      <c r="L870" s="6">
        <v>44.585999999999999</v>
      </c>
      <c r="M870" s="6">
        <v>44.585999999999999</v>
      </c>
      <c r="N870" s="6">
        <v>44.585999999999999</v>
      </c>
      <c r="O870" s="6">
        <v>44.585999999999999</v>
      </c>
      <c r="P870" s="6">
        <v>30</v>
      </c>
      <c r="Q870" s="4" t="s">
        <v>26</v>
      </c>
      <c r="R870" s="4">
        <v>0</v>
      </c>
      <c r="S870" s="4" t="s">
        <v>335</v>
      </c>
      <c r="T870" s="4" t="s">
        <v>557</v>
      </c>
      <c r="U870" s="4">
        <v>0</v>
      </c>
      <c r="V870" s="4">
        <v>58</v>
      </c>
      <c r="W870" s="4">
        <v>99</v>
      </c>
    </row>
    <row r="871" spans="1:23" ht="11.25" customHeight="1" x14ac:dyDescent="0.25">
      <c r="A871" s="4" t="s">
        <v>21</v>
      </c>
      <c r="B871" s="4" t="s">
        <v>39</v>
      </c>
      <c r="C871" s="4" t="s">
        <v>23</v>
      </c>
      <c r="D871" s="4" t="s">
        <v>43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44409</v>
      </c>
      <c r="J871" s="6">
        <v>0</v>
      </c>
      <c r="K871" s="6">
        <v>0</v>
      </c>
      <c r="L871" s="6">
        <v>1803.2190000000001</v>
      </c>
      <c r="M871" s="6">
        <v>1803.2190000000001</v>
      </c>
      <c r="N871" s="6">
        <v>1803.2190000000001</v>
      </c>
      <c r="O871" s="6">
        <v>1803.2190000000001</v>
      </c>
      <c r="P871" s="6">
        <v>3401</v>
      </c>
      <c r="Q871" s="4" t="s">
        <v>26</v>
      </c>
      <c r="R871" s="4">
        <v>0</v>
      </c>
      <c r="S871" s="4" t="s">
        <v>336</v>
      </c>
      <c r="T871" s="4" t="s">
        <v>558</v>
      </c>
      <c r="U871" s="4">
        <v>0</v>
      </c>
      <c r="V871" s="4">
        <v>58</v>
      </c>
      <c r="W871" s="4">
        <v>99</v>
      </c>
    </row>
    <row r="872" spans="1:23" ht="11.25" customHeight="1" x14ac:dyDescent="0.25">
      <c r="A872" s="4" t="s">
        <v>27</v>
      </c>
      <c r="B872" s="4" t="s">
        <v>39</v>
      </c>
      <c r="C872" s="4" t="s">
        <v>23</v>
      </c>
      <c r="D872" s="4" t="s">
        <v>43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44409</v>
      </c>
      <c r="J872" s="6">
        <v>0</v>
      </c>
      <c r="K872" s="6">
        <v>0</v>
      </c>
      <c r="L872" s="6">
        <v>-0.48099999999999998</v>
      </c>
      <c r="M872" s="6">
        <v>-0.48099999999999998</v>
      </c>
      <c r="N872" s="6">
        <v>-0.48099999999999998</v>
      </c>
      <c r="O872" s="6">
        <v>-0.48099999999999998</v>
      </c>
      <c r="P872" s="6">
        <v>0</v>
      </c>
      <c r="Q872" s="4" t="s">
        <v>26</v>
      </c>
      <c r="R872" s="4">
        <v>0</v>
      </c>
      <c r="S872" s="4" t="s">
        <v>336</v>
      </c>
      <c r="T872" s="4" t="s">
        <v>558</v>
      </c>
      <c r="U872" s="4">
        <v>0</v>
      </c>
      <c r="V872" s="4">
        <v>58</v>
      </c>
      <c r="W872" s="4">
        <v>99</v>
      </c>
    </row>
    <row r="873" spans="1:23" ht="11.25" customHeight="1" x14ac:dyDescent="0.25">
      <c r="A873" s="4" t="s">
        <v>28</v>
      </c>
      <c r="B873" s="4" t="s">
        <v>39</v>
      </c>
      <c r="C873" s="4" t="s">
        <v>23</v>
      </c>
      <c r="D873" s="4" t="s">
        <v>43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44409</v>
      </c>
      <c r="J873" s="6">
        <v>0</v>
      </c>
      <c r="K873" s="6">
        <v>0</v>
      </c>
      <c r="L873" s="6">
        <v>49.484000000000002</v>
      </c>
      <c r="M873" s="6">
        <v>49.484000000000002</v>
      </c>
      <c r="N873" s="6">
        <v>49.484000000000002</v>
      </c>
      <c r="O873" s="6">
        <v>49.484000000000002</v>
      </c>
      <c r="P873" s="6">
        <v>34</v>
      </c>
      <c r="Q873" s="4" t="s">
        <v>26</v>
      </c>
      <c r="R873" s="4">
        <v>0</v>
      </c>
      <c r="S873" s="4" t="s">
        <v>336</v>
      </c>
      <c r="T873" s="4" t="s">
        <v>558</v>
      </c>
      <c r="U873" s="4">
        <v>0</v>
      </c>
      <c r="V873" s="4">
        <v>58</v>
      </c>
      <c r="W873" s="4">
        <v>99</v>
      </c>
    </row>
    <row r="874" spans="1:23" ht="11.25" customHeight="1" x14ac:dyDescent="0.25">
      <c r="A874" s="4" t="s">
        <v>21</v>
      </c>
      <c r="B874" s="4" t="s">
        <v>39</v>
      </c>
      <c r="C874" s="4" t="s">
        <v>23</v>
      </c>
      <c r="D874" s="4" t="s">
        <v>43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44440</v>
      </c>
      <c r="J874" s="6">
        <v>0</v>
      </c>
      <c r="K874" s="6">
        <v>0</v>
      </c>
      <c r="L874" s="6">
        <v>1785.528</v>
      </c>
      <c r="M874" s="6">
        <v>1785.528</v>
      </c>
      <c r="N874" s="6">
        <v>1785.528</v>
      </c>
      <c r="O874" s="6">
        <v>1785.528</v>
      </c>
      <c r="P874" s="6">
        <v>3403</v>
      </c>
      <c r="Q874" s="4" t="s">
        <v>26</v>
      </c>
      <c r="R874" s="4">
        <v>0</v>
      </c>
      <c r="S874" s="4" t="s">
        <v>337</v>
      </c>
      <c r="T874" s="4" t="s">
        <v>559</v>
      </c>
      <c r="U874" s="4">
        <v>0</v>
      </c>
      <c r="V874" s="4">
        <v>58</v>
      </c>
      <c r="W874" s="4">
        <v>99</v>
      </c>
    </row>
    <row r="875" spans="1:23" ht="11.25" customHeight="1" x14ac:dyDescent="0.25">
      <c r="A875" s="4" t="s">
        <v>27</v>
      </c>
      <c r="B875" s="4" t="s">
        <v>39</v>
      </c>
      <c r="C875" s="4" t="s">
        <v>23</v>
      </c>
      <c r="D875" s="4" t="s">
        <v>43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44440</v>
      </c>
      <c r="J875" s="6">
        <v>0</v>
      </c>
      <c r="K875" s="6">
        <v>0</v>
      </c>
      <c r="L875" s="6">
        <v>1.4630000000000001</v>
      </c>
      <c r="M875" s="6">
        <v>1.4630000000000001</v>
      </c>
      <c r="N875" s="6">
        <v>1.4630000000000001</v>
      </c>
      <c r="O875" s="6">
        <v>1.4630000000000001</v>
      </c>
      <c r="P875" s="6">
        <v>0</v>
      </c>
      <c r="Q875" s="4" t="s">
        <v>26</v>
      </c>
      <c r="R875" s="4">
        <v>0</v>
      </c>
      <c r="S875" s="4" t="s">
        <v>337</v>
      </c>
      <c r="T875" s="4" t="s">
        <v>559</v>
      </c>
      <c r="U875" s="4">
        <v>0</v>
      </c>
      <c r="V875" s="4">
        <v>58</v>
      </c>
      <c r="W875" s="4">
        <v>99</v>
      </c>
    </row>
    <row r="876" spans="1:23" ht="11.25" customHeight="1" x14ac:dyDescent="0.25">
      <c r="A876" s="4" t="s">
        <v>28</v>
      </c>
      <c r="B876" s="4" t="s">
        <v>39</v>
      </c>
      <c r="C876" s="4" t="s">
        <v>23</v>
      </c>
      <c r="D876" s="4" t="s">
        <v>43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44440</v>
      </c>
      <c r="J876" s="6">
        <v>0</v>
      </c>
      <c r="K876" s="6">
        <v>0</v>
      </c>
      <c r="L876" s="6">
        <v>36.250999999999998</v>
      </c>
      <c r="M876" s="6">
        <v>36.250999999999998</v>
      </c>
      <c r="N876" s="6">
        <v>36.250999999999998</v>
      </c>
      <c r="O876" s="6">
        <v>36.250999999999998</v>
      </c>
      <c r="P876" s="6">
        <v>39</v>
      </c>
      <c r="Q876" s="4" t="s">
        <v>26</v>
      </c>
      <c r="R876" s="4">
        <v>0</v>
      </c>
      <c r="S876" s="4" t="s">
        <v>337</v>
      </c>
      <c r="T876" s="4" t="s">
        <v>559</v>
      </c>
      <c r="U876" s="4">
        <v>0</v>
      </c>
      <c r="V876" s="4">
        <v>58</v>
      </c>
      <c r="W876" s="4">
        <v>99</v>
      </c>
    </row>
    <row r="877" spans="1:23" ht="11.25" customHeight="1" x14ac:dyDescent="0.25">
      <c r="A877" s="4" t="s">
        <v>21</v>
      </c>
      <c r="B877" s="4" t="s">
        <v>39</v>
      </c>
      <c r="C877" s="4" t="s">
        <v>23</v>
      </c>
      <c r="D877" s="4" t="s">
        <v>43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44470</v>
      </c>
      <c r="J877" s="6">
        <v>0</v>
      </c>
      <c r="K877" s="6">
        <v>0</v>
      </c>
      <c r="L877" s="6">
        <v>1825.8389999999999</v>
      </c>
      <c r="M877" s="6">
        <v>1825.8389999999999</v>
      </c>
      <c r="N877" s="6">
        <v>1825.8389999999999</v>
      </c>
      <c r="O877" s="6">
        <v>1825.8389999999999</v>
      </c>
      <c r="P877" s="6">
        <v>3466</v>
      </c>
      <c r="Q877" s="4" t="s">
        <v>26</v>
      </c>
      <c r="R877" s="4">
        <v>0</v>
      </c>
      <c r="S877" s="4" t="s">
        <v>338</v>
      </c>
      <c r="T877" s="4" t="s">
        <v>560</v>
      </c>
      <c r="U877" s="4">
        <v>0</v>
      </c>
      <c r="V877" s="4">
        <v>58</v>
      </c>
      <c r="W877" s="4">
        <v>99</v>
      </c>
    </row>
    <row r="878" spans="1:23" ht="11.25" customHeight="1" x14ac:dyDescent="0.25">
      <c r="A878" s="4" t="s">
        <v>27</v>
      </c>
      <c r="B878" s="4" t="s">
        <v>39</v>
      </c>
      <c r="C878" s="4" t="s">
        <v>23</v>
      </c>
      <c r="D878" s="4" t="s">
        <v>43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44470</v>
      </c>
      <c r="J878" s="6">
        <v>0</v>
      </c>
      <c r="K878" s="6">
        <v>0</v>
      </c>
      <c r="L878" s="6">
        <v>1.978</v>
      </c>
      <c r="M878" s="6">
        <v>1.978</v>
      </c>
      <c r="N878" s="6">
        <v>1.978</v>
      </c>
      <c r="O878" s="6">
        <v>1.978</v>
      </c>
      <c r="P878" s="6">
        <v>0</v>
      </c>
      <c r="Q878" s="4" t="s">
        <v>26</v>
      </c>
      <c r="R878" s="4">
        <v>0</v>
      </c>
      <c r="S878" s="4" t="s">
        <v>338</v>
      </c>
      <c r="T878" s="4" t="s">
        <v>560</v>
      </c>
      <c r="U878" s="4">
        <v>0</v>
      </c>
      <c r="V878" s="4">
        <v>58</v>
      </c>
      <c r="W878" s="4">
        <v>99</v>
      </c>
    </row>
    <row r="879" spans="1:23" ht="11.25" customHeight="1" x14ac:dyDescent="0.25">
      <c r="A879" s="4" t="s">
        <v>28</v>
      </c>
      <c r="B879" s="4" t="s">
        <v>39</v>
      </c>
      <c r="C879" s="4" t="s">
        <v>23</v>
      </c>
      <c r="D879" s="4" t="s">
        <v>43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44470</v>
      </c>
      <c r="J879" s="6">
        <v>0</v>
      </c>
      <c r="K879" s="6">
        <v>0</v>
      </c>
      <c r="L879" s="6">
        <v>45.094000000000001</v>
      </c>
      <c r="M879" s="6">
        <v>45.094000000000001</v>
      </c>
      <c r="N879" s="6">
        <v>45.094000000000001</v>
      </c>
      <c r="O879" s="6">
        <v>45.094000000000001</v>
      </c>
      <c r="P879" s="6">
        <v>41</v>
      </c>
      <c r="Q879" s="4" t="s">
        <v>26</v>
      </c>
      <c r="R879" s="4">
        <v>0</v>
      </c>
      <c r="S879" s="4" t="s">
        <v>338</v>
      </c>
      <c r="T879" s="4" t="s">
        <v>560</v>
      </c>
      <c r="U879" s="4">
        <v>0</v>
      </c>
      <c r="V879" s="4">
        <v>58</v>
      </c>
      <c r="W879" s="4">
        <v>99</v>
      </c>
    </row>
    <row r="880" spans="1:23" ht="11.25" customHeight="1" x14ac:dyDescent="0.25">
      <c r="A880" s="4" t="s">
        <v>21</v>
      </c>
      <c r="B880" s="4" t="s">
        <v>39</v>
      </c>
      <c r="C880" s="4" t="s">
        <v>23</v>
      </c>
      <c r="D880" s="4" t="s">
        <v>43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44501</v>
      </c>
      <c r="J880" s="6">
        <v>0</v>
      </c>
      <c r="K880" s="6">
        <v>0</v>
      </c>
      <c r="L880" s="6">
        <v>1845.65</v>
      </c>
      <c r="M880" s="6">
        <v>1845.65</v>
      </c>
      <c r="N880" s="6">
        <v>1845.65</v>
      </c>
      <c r="O880" s="6">
        <v>1845.65</v>
      </c>
      <c r="P880" s="6">
        <v>3478</v>
      </c>
      <c r="Q880" s="4" t="s">
        <v>26</v>
      </c>
      <c r="R880" s="4">
        <v>0</v>
      </c>
      <c r="S880" s="4" t="s">
        <v>339</v>
      </c>
      <c r="T880" s="4" t="s">
        <v>561</v>
      </c>
      <c r="U880" s="4">
        <v>0</v>
      </c>
      <c r="V880" s="4">
        <v>58</v>
      </c>
      <c r="W880" s="4">
        <v>99</v>
      </c>
    </row>
    <row r="881" spans="1:23" ht="11.25" customHeight="1" x14ac:dyDescent="0.25">
      <c r="A881" s="4" t="s">
        <v>27</v>
      </c>
      <c r="B881" s="4" t="s">
        <v>39</v>
      </c>
      <c r="C881" s="4" t="s">
        <v>23</v>
      </c>
      <c r="D881" s="4" t="s">
        <v>43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44501</v>
      </c>
      <c r="J881" s="6">
        <v>0</v>
      </c>
      <c r="K881" s="6">
        <v>0</v>
      </c>
      <c r="L881" s="6">
        <v>-0.35499999999999998</v>
      </c>
      <c r="M881" s="6">
        <v>-0.35499999999999998</v>
      </c>
      <c r="N881" s="6">
        <v>-0.35499999999999998</v>
      </c>
      <c r="O881" s="6">
        <v>-0.35499999999999998</v>
      </c>
      <c r="P881" s="6">
        <v>0</v>
      </c>
      <c r="Q881" s="4" t="s">
        <v>26</v>
      </c>
      <c r="R881" s="4">
        <v>0</v>
      </c>
      <c r="S881" s="4" t="s">
        <v>339</v>
      </c>
      <c r="T881" s="4" t="s">
        <v>561</v>
      </c>
      <c r="U881" s="4">
        <v>0</v>
      </c>
      <c r="V881" s="4">
        <v>58</v>
      </c>
      <c r="W881" s="4">
        <v>99</v>
      </c>
    </row>
    <row r="882" spans="1:23" ht="11.25" customHeight="1" x14ac:dyDescent="0.25">
      <c r="A882" s="4" t="s">
        <v>28</v>
      </c>
      <c r="B882" s="4" t="s">
        <v>39</v>
      </c>
      <c r="C882" s="4" t="s">
        <v>23</v>
      </c>
      <c r="D882" s="4" t="s">
        <v>43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44501</v>
      </c>
      <c r="J882" s="6">
        <v>0</v>
      </c>
      <c r="K882" s="6">
        <v>0</v>
      </c>
      <c r="L882" s="6">
        <v>35.295999999999999</v>
      </c>
      <c r="M882" s="6">
        <v>35.295999999999999</v>
      </c>
      <c r="N882" s="6">
        <v>35.295999999999999</v>
      </c>
      <c r="O882" s="6">
        <v>35.295999999999999</v>
      </c>
      <c r="P882" s="6">
        <v>45</v>
      </c>
      <c r="Q882" s="4" t="s">
        <v>26</v>
      </c>
      <c r="R882" s="4">
        <v>0</v>
      </c>
      <c r="S882" s="4" t="s">
        <v>339</v>
      </c>
      <c r="T882" s="4" t="s">
        <v>561</v>
      </c>
      <c r="U882" s="4">
        <v>0</v>
      </c>
      <c r="V882" s="4">
        <v>58</v>
      </c>
      <c r="W882" s="4">
        <v>99</v>
      </c>
    </row>
    <row r="883" spans="1:23" ht="11.25" customHeight="1" x14ac:dyDescent="0.25">
      <c r="A883" s="4" t="s">
        <v>21</v>
      </c>
      <c r="B883" s="4" t="s">
        <v>39</v>
      </c>
      <c r="C883" s="4" t="s">
        <v>23</v>
      </c>
      <c r="D883" s="4" t="s">
        <v>43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44531</v>
      </c>
      <c r="J883" s="6">
        <v>0</v>
      </c>
      <c r="K883" s="6">
        <v>0</v>
      </c>
      <c r="L883" s="6">
        <v>1962.22</v>
      </c>
      <c r="M883" s="6">
        <v>1962.22</v>
      </c>
      <c r="N883" s="6">
        <v>1962.22</v>
      </c>
      <c r="O883" s="6">
        <v>1962.22</v>
      </c>
      <c r="P883" s="6">
        <v>3468</v>
      </c>
      <c r="Q883" s="4" t="s">
        <v>26</v>
      </c>
      <c r="R883" s="4">
        <v>0</v>
      </c>
      <c r="S883" s="4" t="s">
        <v>340</v>
      </c>
      <c r="T883" s="4" t="s">
        <v>562</v>
      </c>
      <c r="U883" s="4">
        <v>0</v>
      </c>
      <c r="V883" s="4">
        <v>58</v>
      </c>
      <c r="W883" s="4">
        <v>99</v>
      </c>
    </row>
    <row r="884" spans="1:23" ht="11.25" customHeight="1" x14ac:dyDescent="0.25">
      <c r="A884" s="4" t="s">
        <v>27</v>
      </c>
      <c r="B884" s="4" t="s">
        <v>39</v>
      </c>
      <c r="C884" s="4" t="s">
        <v>23</v>
      </c>
      <c r="D884" s="4" t="s">
        <v>43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44531</v>
      </c>
      <c r="J884" s="6">
        <v>0</v>
      </c>
      <c r="K884" s="6">
        <v>0</v>
      </c>
      <c r="L884" s="6">
        <v>-2.1150000000000002</v>
      </c>
      <c r="M884" s="6">
        <v>-2.1150000000000002</v>
      </c>
      <c r="N884" s="6">
        <v>-2.1150000000000002</v>
      </c>
      <c r="O884" s="6">
        <v>-2.1150000000000002</v>
      </c>
      <c r="P884" s="6">
        <v>0</v>
      </c>
      <c r="Q884" s="4" t="s">
        <v>26</v>
      </c>
      <c r="R884" s="4">
        <v>0</v>
      </c>
      <c r="S884" s="4" t="s">
        <v>340</v>
      </c>
      <c r="T884" s="4" t="s">
        <v>562</v>
      </c>
      <c r="U884" s="4">
        <v>0</v>
      </c>
      <c r="V884" s="4">
        <v>58</v>
      </c>
      <c r="W884" s="4">
        <v>99</v>
      </c>
    </row>
    <row r="885" spans="1:23" ht="11.25" customHeight="1" x14ac:dyDescent="0.25">
      <c r="A885" s="4" t="s">
        <v>28</v>
      </c>
      <c r="B885" s="4" t="s">
        <v>39</v>
      </c>
      <c r="C885" s="4" t="s">
        <v>23</v>
      </c>
      <c r="D885" s="4" t="s">
        <v>43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44531</v>
      </c>
      <c r="J885" s="6">
        <v>0</v>
      </c>
      <c r="K885" s="6">
        <v>0</v>
      </c>
      <c r="L885" s="6">
        <v>30.349</v>
      </c>
      <c r="M885" s="6">
        <v>30.349</v>
      </c>
      <c r="N885" s="6">
        <v>30.349</v>
      </c>
      <c r="O885" s="6">
        <v>30.349</v>
      </c>
      <c r="P885" s="6">
        <v>46</v>
      </c>
      <c r="Q885" s="4" t="s">
        <v>26</v>
      </c>
      <c r="R885" s="4">
        <v>0</v>
      </c>
      <c r="S885" s="4" t="s">
        <v>340</v>
      </c>
      <c r="T885" s="4" t="s">
        <v>562</v>
      </c>
      <c r="U885" s="4">
        <v>0</v>
      </c>
      <c r="V885" s="4">
        <v>58</v>
      </c>
      <c r="W885" s="4">
        <v>99</v>
      </c>
    </row>
    <row r="886" spans="1:23" ht="11.25" customHeight="1" x14ac:dyDescent="0.25">
      <c r="A886" s="4" t="s">
        <v>21</v>
      </c>
      <c r="B886" s="4" t="s">
        <v>39</v>
      </c>
      <c r="C886" s="4" t="s">
        <v>23</v>
      </c>
      <c r="D886" s="4" t="s">
        <v>43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44562</v>
      </c>
      <c r="J886" s="6">
        <v>0</v>
      </c>
      <c r="K886" s="6">
        <v>0</v>
      </c>
      <c r="L886" s="6">
        <v>1891.8610000000001</v>
      </c>
      <c r="M886" s="6">
        <v>1891.8610000000001</v>
      </c>
      <c r="N886" s="6">
        <v>1891.8610000000001</v>
      </c>
      <c r="O886" s="6">
        <v>1891.8610000000001</v>
      </c>
      <c r="P886" s="6">
        <v>3456</v>
      </c>
      <c r="Q886" s="4" t="s">
        <v>26</v>
      </c>
      <c r="R886" s="4">
        <v>0</v>
      </c>
      <c r="S886" s="4" t="s">
        <v>341</v>
      </c>
      <c r="T886" s="4" t="s">
        <v>563</v>
      </c>
      <c r="U886" s="4">
        <v>0</v>
      </c>
      <c r="V886" s="4">
        <v>58</v>
      </c>
      <c r="W886" s="4">
        <v>99</v>
      </c>
    </row>
    <row r="887" spans="1:23" ht="11.25" customHeight="1" x14ac:dyDescent="0.25">
      <c r="A887" s="4" t="s">
        <v>27</v>
      </c>
      <c r="B887" s="4" t="s">
        <v>39</v>
      </c>
      <c r="C887" s="4" t="s">
        <v>23</v>
      </c>
      <c r="D887" s="4" t="s">
        <v>43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44562</v>
      </c>
      <c r="J887" s="6">
        <v>0</v>
      </c>
      <c r="K887" s="6">
        <v>0</v>
      </c>
      <c r="L887" s="6">
        <v>-3.53</v>
      </c>
      <c r="M887" s="6">
        <v>-3.53</v>
      </c>
      <c r="N887" s="6">
        <v>-3.53</v>
      </c>
      <c r="O887" s="6">
        <v>-3.53</v>
      </c>
      <c r="P887" s="6">
        <v>0</v>
      </c>
      <c r="Q887" s="4" t="s">
        <v>26</v>
      </c>
      <c r="R887" s="4">
        <v>0</v>
      </c>
      <c r="S887" s="4" t="s">
        <v>341</v>
      </c>
      <c r="T887" s="4" t="s">
        <v>563</v>
      </c>
      <c r="U887" s="4">
        <v>0</v>
      </c>
      <c r="V887" s="4">
        <v>58</v>
      </c>
      <c r="W887" s="4">
        <v>99</v>
      </c>
    </row>
    <row r="888" spans="1:23" ht="11.25" customHeight="1" x14ac:dyDescent="0.25">
      <c r="A888" s="4" t="s">
        <v>28</v>
      </c>
      <c r="B888" s="4" t="s">
        <v>39</v>
      </c>
      <c r="C888" s="4" t="s">
        <v>23</v>
      </c>
      <c r="D888" s="4" t="s">
        <v>43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43.569000000000003</v>
      </c>
      <c r="M888" s="6">
        <v>43.569000000000003</v>
      </c>
      <c r="N888" s="6">
        <v>43.569000000000003</v>
      </c>
      <c r="O888" s="6">
        <v>43.569000000000003</v>
      </c>
      <c r="P888" s="6">
        <v>60</v>
      </c>
      <c r="Q888" s="4" t="s">
        <v>26</v>
      </c>
      <c r="R888" s="4">
        <v>0</v>
      </c>
      <c r="S888" s="4" t="s">
        <v>341</v>
      </c>
      <c r="T888" s="4" t="s">
        <v>563</v>
      </c>
      <c r="U888" s="4">
        <v>0</v>
      </c>
      <c r="V888" s="4">
        <v>58</v>
      </c>
      <c r="W888" s="4">
        <v>99</v>
      </c>
    </row>
    <row r="889" spans="1:23" ht="11.25" customHeight="1" x14ac:dyDescent="0.25">
      <c r="A889" s="4" t="s">
        <v>21</v>
      </c>
      <c r="B889" s="4" t="s">
        <v>39</v>
      </c>
      <c r="C889" s="4" t="s">
        <v>23</v>
      </c>
      <c r="D889" s="4" t="s">
        <v>43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2009.923</v>
      </c>
      <c r="M889" s="6">
        <v>2009.923</v>
      </c>
      <c r="N889" s="6">
        <v>2009.923</v>
      </c>
      <c r="O889" s="6">
        <v>2009.923</v>
      </c>
      <c r="P889" s="6">
        <v>3440</v>
      </c>
      <c r="Q889" s="4" t="s">
        <v>26</v>
      </c>
      <c r="R889" s="4">
        <v>0</v>
      </c>
      <c r="S889" s="4" t="s">
        <v>342</v>
      </c>
      <c r="T889" s="4" t="s">
        <v>564</v>
      </c>
      <c r="U889" s="4">
        <v>0</v>
      </c>
      <c r="V889" s="4">
        <v>58</v>
      </c>
      <c r="W889" s="4">
        <v>99</v>
      </c>
    </row>
    <row r="890" spans="1:23" ht="11.25" customHeight="1" x14ac:dyDescent="0.25">
      <c r="A890" s="4" t="s">
        <v>28</v>
      </c>
      <c r="B890" s="4" t="s">
        <v>39</v>
      </c>
      <c r="C890" s="4" t="s">
        <v>23</v>
      </c>
      <c r="D890" s="4" t="s">
        <v>43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44593</v>
      </c>
      <c r="J890" s="6">
        <v>0</v>
      </c>
      <c r="K890" s="6">
        <v>0</v>
      </c>
      <c r="L890" s="6">
        <v>49.106000000000002</v>
      </c>
      <c r="M890" s="6">
        <v>49.106000000000002</v>
      </c>
      <c r="N890" s="6">
        <v>49.106000000000002</v>
      </c>
      <c r="O890" s="6">
        <v>49.106000000000002</v>
      </c>
      <c r="P890" s="6">
        <v>67</v>
      </c>
      <c r="Q890" s="4" t="s">
        <v>26</v>
      </c>
      <c r="R890" s="4">
        <v>0</v>
      </c>
      <c r="S890" s="4" t="s">
        <v>342</v>
      </c>
      <c r="T890" s="4" t="s">
        <v>564</v>
      </c>
      <c r="U890" s="4">
        <v>0</v>
      </c>
      <c r="V890" s="4">
        <v>58</v>
      </c>
      <c r="W890" s="4">
        <v>99</v>
      </c>
    </row>
    <row r="891" spans="1:23" ht="11.25" customHeight="1" x14ac:dyDescent="0.25">
      <c r="A891" s="4" t="s">
        <v>21</v>
      </c>
      <c r="B891" s="4" t="s">
        <v>39</v>
      </c>
      <c r="C891" s="4" t="s">
        <v>23</v>
      </c>
      <c r="D891" s="4" t="s">
        <v>43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2002.925</v>
      </c>
      <c r="M891" s="6">
        <v>2002.925</v>
      </c>
      <c r="N891" s="6">
        <v>2002.925</v>
      </c>
      <c r="O891" s="6">
        <v>2002.925</v>
      </c>
      <c r="P891" s="6">
        <v>3434</v>
      </c>
      <c r="Q891" s="4" t="s">
        <v>26</v>
      </c>
      <c r="R891" s="4">
        <v>0</v>
      </c>
      <c r="S891" s="4" t="s">
        <v>343</v>
      </c>
      <c r="T891" s="4" t="s">
        <v>565</v>
      </c>
      <c r="U891" s="4">
        <v>0</v>
      </c>
      <c r="V891" s="4">
        <v>58</v>
      </c>
      <c r="W891" s="4">
        <v>99</v>
      </c>
    </row>
    <row r="892" spans="1:23" ht="11.25" customHeight="1" x14ac:dyDescent="0.25">
      <c r="A892" s="4" t="s">
        <v>28</v>
      </c>
      <c r="B892" s="4" t="s">
        <v>39</v>
      </c>
      <c r="C892" s="4" t="s">
        <v>23</v>
      </c>
      <c r="D892" s="4" t="s">
        <v>43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44621</v>
      </c>
      <c r="J892" s="6">
        <v>0</v>
      </c>
      <c r="K892" s="6">
        <v>0</v>
      </c>
      <c r="L892" s="6">
        <v>55.305</v>
      </c>
      <c r="M892" s="6">
        <v>55.305</v>
      </c>
      <c r="N892" s="6">
        <v>55.305</v>
      </c>
      <c r="O892" s="6">
        <v>55.305</v>
      </c>
      <c r="P892" s="6">
        <v>67</v>
      </c>
      <c r="Q892" s="4" t="s">
        <v>26</v>
      </c>
      <c r="R892" s="4">
        <v>0</v>
      </c>
      <c r="S892" s="4" t="s">
        <v>343</v>
      </c>
      <c r="T892" s="4" t="s">
        <v>565</v>
      </c>
      <c r="U892" s="4">
        <v>0</v>
      </c>
      <c r="V892" s="4">
        <v>58</v>
      </c>
      <c r="W892" s="4">
        <v>99</v>
      </c>
    </row>
    <row r="893" spans="1:23" ht="11.25" customHeight="1" x14ac:dyDescent="0.25">
      <c r="A893" s="4" t="s">
        <v>21</v>
      </c>
      <c r="B893" s="4" t="s">
        <v>39</v>
      </c>
      <c r="C893" s="4" t="s">
        <v>23</v>
      </c>
      <c r="D893" s="4" t="s">
        <v>43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1803.5989999999999</v>
      </c>
      <c r="M893" s="6">
        <v>1803.5989999999999</v>
      </c>
      <c r="N893" s="6">
        <v>1803.5989999999999</v>
      </c>
      <c r="O893" s="6">
        <v>1803.5989999999999</v>
      </c>
      <c r="P893" s="6">
        <v>3430</v>
      </c>
      <c r="Q893" s="4" t="s">
        <v>26</v>
      </c>
      <c r="R893" s="4">
        <v>0</v>
      </c>
      <c r="S893" s="4" t="s">
        <v>344</v>
      </c>
      <c r="T893" s="4" t="s">
        <v>566</v>
      </c>
      <c r="U893" s="4">
        <v>0</v>
      </c>
      <c r="V893" s="4">
        <v>58</v>
      </c>
      <c r="W893" s="4">
        <v>99</v>
      </c>
    </row>
    <row r="894" spans="1:23" ht="11.25" customHeight="1" x14ac:dyDescent="0.25">
      <c r="A894" s="4" t="s">
        <v>27</v>
      </c>
      <c r="B894" s="4" t="s">
        <v>39</v>
      </c>
      <c r="C894" s="4" t="s">
        <v>23</v>
      </c>
      <c r="D894" s="4" t="s">
        <v>43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44652</v>
      </c>
      <c r="J894" s="6">
        <v>0</v>
      </c>
      <c r="K894" s="6">
        <v>0</v>
      </c>
      <c r="L894" s="6">
        <v>-5.1180000000000003</v>
      </c>
      <c r="M894" s="6">
        <v>-5.1180000000000003</v>
      </c>
      <c r="N894" s="6">
        <v>-5.1180000000000003</v>
      </c>
      <c r="O894" s="6">
        <v>-5.1180000000000003</v>
      </c>
      <c r="P894" s="6">
        <v>0</v>
      </c>
      <c r="Q894" s="4" t="s">
        <v>26</v>
      </c>
      <c r="R894" s="4">
        <v>0</v>
      </c>
      <c r="S894" s="4" t="s">
        <v>344</v>
      </c>
      <c r="T894" s="4" t="s">
        <v>566</v>
      </c>
      <c r="U894" s="4">
        <v>0</v>
      </c>
      <c r="V894" s="4">
        <v>58</v>
      </c>
      <c r="W894" s="4">
        <v>99</v>
      </c>
    </row>
    <row r="895" spans="1:23" ht="11.25" customHeight="1" x14ac:dyDescent="0.25">
      <c r="A895" s="4" t="s">
        <v>28</v>
      </c>
      <c r="B895" s="4" t="s">
        <v>39</v>
      </c>
      <c r="C895" s="4" t="s">
        <v>23</v>
      </c>
      <c r="D895" s="4" t="s">
        <v>43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44652</v>
      </c>
      <c r="J895" s="6">
        <v>0</v>
      </c>
      <c r="K895" s="6">
        <v>0</v>
      </c>
      <c r="L895" s="6">
        <v>67.347999999999999</v>
      </c>
      <c r="M895" s="6">
        <v>67.347999999999999</v>
      </c>
      <c r="N895" s="6">
        <v>67.347999999999999</v>
      </c>
      <c r="O895" s="6">
        <v>67.347999999999999</v>
      </c>
      <c r="P895" s="6">
        <v>72</v>
      </c>
      <c r="Q895" s="4" t="s">
        <v>26</v>
      </c>
      <c r="R895" s="4">
        <v>0</v>
      </c>
      <c r="S895" s="4" t="s">
        <v>344</v>
      </c>
      <c r="T895" s="4" t="s">
        <v>566</v>
      </c>
      <c r="U895" s="4">
        <v>0</v>
      </c>
      <c r="V895" s="4">
        <v>58</v>
      </c>
      <c r="W895" s="4">
        <v>99</v>
      </c>
    </row>
    <row r="896" spans="1:23" ht="11.25" customHeight="1" x14ac:dyDescent="0.25">
      <c r="A896" s="4" t="s">
        <v>21</v>
      </c>
      <c r="B896" s="4" t="s">
        <v>39</v>
      </c>
      <c r="C896" s="4" t="s">
        <v>23</v>
      </c>
      <c r="D896" s="4" t="s">
        <v>43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44682</v>
      </c>
      <c r="J896" s="6">
        <v>0</v>
      </c>
      <c r="K896" s="6">
        <v>0</v>
      </c>
      <c r="L896" s="6">
        <v>1746.1179999999999</v>
      </c>
      <c r="M896" s="6">
        <v>1746.1179999999999</v>
      </c>
      <c r="N896" s="6">
        <v>1746.1179999999999</v>
      </c>
      <c r="O896" s="6">
        <v>1746.1179999999999</v>
      </c>
      <c r="P896" s="6">
        <v>3431</v>
      </c>
      <c r="Q896" s="4" t="s">
        <v>26</v>
      </c>
      <c r="R896" s="4">
        <v>0</v>
      </c>
      <c r="S896" s="4" t="s">
        <v>345</v>
      </c>
      <c r="T896" s="4" t="s">
        <v>567</v>
      </c>
      <c r="U896" s="4">
        <v>0</v>
      </c>
      <c r="V896" s="4">
        <v>58</v>
      </c>
      <c r="W896" s="4">
        <v>99</v>
      </c>
    </row>
    <row r="897" spans="1:23" ht="11.25" customHeight="1" x14ac:dyDescent="0.25">
      <c r="A897" s="4" t="s">
        <v>27</v>
      </c>
      <c r="B897" s="4" t="s">
        <v>39</v>
      </c>
      <c r="C897" s="4" t="s">
        <v>23</v>
      </c>
      <c r="D897" s="4" t="s">
        <v>43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44682</v>
      </c>
      <c r="J897" s="6">
        <v>0</v>
      </c>
      <c r="K897" s="6">
        <v>0</v>
      </c>
      <c r="L897" s="6">
        <v>-3.5670000000000002</v>
      </c>
      <c r="M897" s="6">
        <v>-3.5670000000000002</v>
      </c>
      <c r="N897" s="6">
        <v>-3.5670000000000002</v>
      </c>
      <c r="O897" s="6">
        <v>-3.5670000000000002</v>
      </c>
      <c r="P897" s="6">
        <v>0</v>
      </c>
      <c r="Q897" s="4" t="s">
        <v>26</v>
      </c>
      <c r="R897" s="4">
        <v>0</v>
      </c>
      <c r="S897" s="4" t="s">
        <v>345</v>
      </c>
      <c r="T897" s="4" t="s">
        <v>567</v>
      </c>
      <c r="U897" s="4">
        <v>0</v>
      </c>
      <c r="V897" s="4">
        <v>58</v>
      </c>
      <c r="W897" s="4">
        <v>99</v>
      </c>
    </row>
    <row r="898" spans="1:23" ht="11.25" customHeight="1" x14ac:dyDescent="0.25">
      <c r="A898" s="4" t="s">
        <v>28</v>
      </c>
      <c r="B898" s="4" t="s">
        <v>39</v>
      </c>
      <c r="C898" s="4" t="s">
        <v>23</v>
      </c>
      <c r="D898" s="4" t="s">
        <v>43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44682</v>
      </c>
      <c r="J898" s="6">
        <v>0</v>
      </c>
      <c r="K898" s="6">
        <v>0</v>
      </c>
      <c r="L898" s="6">
        <v>61.813000000000002</v>
      </c>
      <c r="M898" s="6">
        <v>61.813000000000002</v>
      </c>
      <c r="N898" s="6">
        <v>61.813000000000002</v>
      </c>
      <c r="O898" s="6">
        <v>61.813000000000002</v>
      </c>
      <c r="P898" s="6">
        <v>76</v>
      </c>
      <c r="Q898" s="4" t="s">
        <v>26</v>
      </c>
      <c r="R898" s="4">
        <v>0</v>
      </c>
      <c r="S898" s="4" t="s">
        <v>345</v>
      </c>
      <c r="T898" s="4" t="s">
        <v>567</v>
      </c>
      <c r="U898" s="4">
        <v>0</v>
      </c>
      <c r="V898" s="4">
        <v>58</v>
      </c>
      <c r="W898" s="4">
        <v>99</v>
      </c>
    </row>
    <row r="899" spans="1:23" ht="11.25" customHeight="1" x14ac:dyDescent="0.25">
      <c r="A899" s="4" t="s">
        <v>21</v>
      </c>
      <c r="B899" s="4" t="s">
        <v>39</v>
      </c>
      <c r="C899" s="4" t="s">
        <v>23</v>
      </c>
      <c r="D899" s="4" t="s">
        <v>52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44348</v>
      </c>
      <c r="J899" s="6">
        <v>0</v>
      </c>
      <c r="K899" s="6">
        <v>0</v>
      </c>
      <c r="L899" s="6">
        <v>10.805</v>
      </c>
      <c r="M899" s="6">
        <v>10.805</v>
      </c>
      <c r="N899" s="6">
        <v>10.805</v>
      </c>
      <c r="O899" s="6">
        <v>10.805</v>
      </c>
      <c r="P899" s="6">
        <v>3</v>
      </c>
      <c r="Q899" s="4" t="s">
        <v>26</v>
      </c>
      <c r="R899" s="4">
        <v>0</v>
      </c>
      <c r="S899" s="4" t="s">
        <v>334</v>
      </c>
      <c r="T899" s="4" t="s">
        <v>556</v>
      </c>
      <c r="U899" s="4">
        <v>0</v>
      </c>
      <c r="V899" s="4">
        <v>58</v>
      </c>
      <c r="W899" s="4">
        <v>99</v>
      </c>
    </row>
    <row r="900" spans="1:23" ht="11.25" customHeight="1" x14ac:dyDescent="0.25">
      <c r="A900" s="4" t="s">
        <v>21</v>
      </c>
      <c r="B900" s="4" t="s">
        <v>39</v>
      </c>
      <c r="C900" s="4" t="s">
        <v>23</v>
      </c>
      <c r="D900" s="4" t="s">
        <v>52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44378</v>
      </c>
      <c r="J900" s="6">
        <v>0</v>
      </c>
      <c r="K900" s="6">
        <v>0</v>
      </c>
      <c r="L900" s="6">
        <v>11.516999999999999</v>
      </c>
      <c r="M900" s="6">
        <v>11.516999999999999</v>
      </c>
      <c r="N900" s="6">
        <v>11.516999999999999</v>
      </c>
      <c r="O900" s="6">
        <v>11.516999999999999</v>
      </c>
      <c r="P900" s="6">
        <v>3</v>
      </c>
      <c r="Q900" s="4" t="s">
        <v>26</v>
      </c>
      <c r="R900" s="4">
        <v>0</v>
      </c>
      <c r="S900" s="4" t="s">
        <v>335</v>
      </c>
      <c r="T900" s="4" t="s">
        <v>557</v>
      </c>
      <c r="U900" s="4">
        <v>0</v>
      </c>
      <c r="V900" s="4">
        <v>58</v>
      </c>
      <c r="W900" s="4">
        <v>99</v>
      </c>
    </row>
    <row r="901" spans="1:23" ht="11.25" customHeight="1" x14ac:dyDescent="0.25">
      <c r="A901" s="4" t="s">
        <v>21</v>
      </c>
      <c r="B901" s="4" t="s">
        <v>39</v>
      </c>
      <c r="C901" s="4" t="s">
        <v>23</v>
      </c>
      <c r="D901" s="4" t="s">
        <v>52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12.363</v>
      </c>
      <c r="M901" s="6">
        <v>12.363</v>
      </c>
      <c r="N901" s="6">
        <v>12.363</v>
      </c>
      <c r="O901" s="6">
        <v>12.363</v>
      </c>
      <c r="P901" s="6">
        <v>3</v>
      </c>
      <c r="Q901" s="4" t="s">
        <v>26</v>
      </c>
      <c r="R901" s="4">
        <v>0</v>
      </c>
      <c r="S901" s="4" t="s">
        <v>336</v>
      </c>
      <c r="T901" s="4" t="s">
        <v>558</v>
      </c>
      <c r="U901" s="4">
        <v>0</v>
      </c>
      <c r="V901" s="4">
        <v>58</v>
      </c>
      <c r="W901" s="4">
        <v>99</v>
      </c>
    </row>
    <row r="902" spans="1:23" ht="11.25" customHeight="1" x14ac:dyDescent="0.25">
      <c r="A902" s="4" t="s">
        <v>21</v>
      </c>
      <c r="B902" s="4" t="s">
        <v>39</v>
      </c>
      <c r="C902" s="4" t="s">
        <v>23</v>
      </c>
      <c r="D902" s="4" t="s">
        <v>52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44440</v>
      </c>
      <c r="J902" s="6">
        <v>0</v>
      </c>
      <c r="K902" s="6">
        <v>0</v>
      </c>
      <c r="L902" s="6">
        <v>11.031000000000001</v>
      </c>
      <c r="M902" s="6">
        <v>11.031000000000001</v>
      </c>
      <c r="N902" s="6">
        <v>11.031000000000001</v>
      </c>
      <c r="O902" s="6">
        <v>11.031000000000001</v>
      </c>
      <c r="P902" s="6">
        <v>3</v>
      </c>
      <c r="Q902" s="4" t="s">
        <v>26</v>
      </c>
      <c r="R902" s="4">
        <v>0</v>
      </c>
      <c r="S902" s="4" t="s">
        <v>337</v>
      </c>
      <c r="T902" s="4" t="s">
        <v>559</v>
      </c>
      <c r="U902" s="4">
        <v>0</v>
      </c>
      <c r="V902" s="4">
        <v>58</v>
      </c>
      <c r="W902" s="4">
        <v>99</v>
      </c>
    </row>
    <row r="903" spans="1:23" ht="11.25" customHeight="1" x14ac:dyDescent="0.25">
      <c r="A903" s="4" t="s">
        <v>21</v>
      </c>
      <c r="B903" s="4" t="s">
        <v>39</v>
      </c>
      <c r="C903" s="4" t="s">
        <v>23</v>
      </c>
      <c r="D903" s="4" t="s">
        <v>52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44470</v>
      </c>
      <c r="J903" s="6">
        <v>0</v>
      </c>
      <c r="K903" s="6">
        <v>0</v>
      </c>
      <c r="L903" s="6">
        <v>10.638999999999999</v>
      </c>
      <c r="M903" s="6">
        <v>10.638999999999999</v>
      </c>
      <c r="N903" s="6">
        <v>10.638999999999999</v>
      </c>
      <c r="O903" s="6">
        <v>10.638999999999999</v>
      </c>
      <c r="P903" s="6">
        <v>3</v>
      </c>
      <c r="Q903" s="4" t="s">
        <v>26</v>
      </c>
      <c r="R903" s="4">
        <v>0</v>
      </c>
      <c r="S903" s="4" t="s">
        <v>338</v>
      </c>
      <c r="T903" s="4" t="s">
        <v>560</v>
      </c>
      <c r="U903" s="4">
        <v>0</v>
      </c>
      <c r="V903" s="4">
        <v>58</v>
      </c>
      <c r="W903" s="4">
        <v>99</v>
      </c>
    </row>
    <row r="904" spans="1:23" ht="11.25" customHeight="1" x14ac:dyDescent="0.25">
      <c r="A904" s="4" t="s">
        <v>21</v>
      </c>
      <c r="B904" s="4" t="s">
        <v>39</v>
      </c>
      <c r="C904" s="4" t="s">
        <v>23</v>
      </c>
      <c r="D904" s="4" t="s">
        <v>52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44501</v>
      </c>
      <c r="J904" s="6">
        <v>0</v>
      </c>
      <c r="K904" s="6">
        <v>0</v>
      </c>
      <c r="L904" s="6">
        <v>10.872</v>
      </c>
      <c r="M904" s="6">
        <v>10.872</v>
      </c>
      <c r="N904" s="6">
        <v>10.872</v>
      </c>
      <c r="O904" s="6">
        <v>10.872</v>
      </c>
      <c r="P904" s="6">
        <v>3</v>
      </c>
      <c r="Q904" s="4" t="s">
        <v>26</v>
      </c>
      <c r="R904" s="4">
        <v>0</v>
      </c>
      <c r="S904" s="4" t="s">
        <v>339</v>
      </c>
      <c r="T904" s="4" t="s">
        <v>561</v>
      </c>
      <c r="U904" s="4">
        <v>0</v>
      </c>
      <c r="V904" s="4">
        <v>58</v>
      </c>
      <c r="W904" s="4">
        <v>99</v>
      </c>
    </row>
    <row r="905" spans="1:23" ht="11.25" customHeight="1" x14ac:dyDescent="0.25">
      <c r="A905" s="4" t="s">
        <v>21</v>
      </c>
      <c r="B905" s="4" t="s">
        <v>39</v>
      </c>
      <c r="C905" s="4" t="s">
        <v>23</v>
      </c>
      <c r="D905" s="4" t="s">
        <v>52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44531</v>
      </c>
      <c r="J905" s="6">
        <v>0</v>
      </c>
      <c r="K905" s="6">
        <v>0</v>
      </c>
      <c r="L905" s="6">
        <v>11.117000000000001</v>
      </c>
      <c r="M905" s="6">
        <v>11.117000000000001</v>
      </c>
      <c r="N905" s="6">
        <v>11.117000000000001</v>
      </c>
      <c r="O905" s="6">
        <v>11.117000000000001</v>
      </c>
      <c r="P905" s="6">
        <v>3</v>
      </c>
      <c r="Q905" s="4" t="s">
        <v>26</v>
      </c>
      <c r="R905" s="4">
        <v>0</v>
      </c>
      <c r="S905" s="4" t="s">
        <v>340</v>
      </c>
      <c r="T905" s="4" t="s">
        <v>562</v>
      </c>
      <c r="U905" s="4">
        <v>0</v>
      </c>
      <c r="V905" s="4">
        <v>58</v>
      </c>
      <c r="W905" s="4">
        <v>99</v>
      </c>
    </row>
    <row r="906" spans="1:23" ht="11.25" customHeight="1" x14ac:dyDescent="0.25">
      <c r="A906" s="4" t="s">
        <v>21</v>
      </c>
      <c r="B906" s="4" t="s">
        <v>39</v>
      </c>
      <c r="C906" s="4" t="s">
        <v>23</v>
      </c>
      <c r="D906" s="4" t="s">
        <v>52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44562</v>
      </c>
      <c r="J906" s="6">
        <v>0</v>
      </c>
      <c r="K906" s="6">
        <v>0</v>
      </c>
      <c r="L906" s="6">
        <v>11.391</v>
      </c>
      <c r="M906" s="6">
        <v>11.391</v>
      </c>
      <c r="N906" s="6">
        <v>11.391</v>
      </c>
      <c r="O906" s="6">
        <v>11.391</v>
      </c>
      <c r="P906" s="6">
        <v>3</v>
      </c>
      <c r="Q906" s="4" t="s">
        <v>26</v>
      </c>
      <c r="R906" s="4">
        <v>0</v>
      </c>
      <c r="S906" s="4" t="s">
        <v>341</v>
      </c>
      <c r="T906" s="4" t="s">
        <v>563</v>
      </c>
      <c r="U906" s="4">
        <v>0</v>
      </c>
      <c r="V906" s="4">
        <v>58</v>
      </c>
      <c r="W906" s="4">
        <v>99</v>
      </c>
    </row>
    <row r="907" spans="1:23" ht="11.25" customHeight="1" x14ac:dyDescent="0.25">
      <c r="A907" s="4" t="s">
        <v>21</v>
      </c>
      <c r="B907" s="4" t="s">
        <v>39</v>
      </c>
      <c r="C907" s="4" t="s">
        <v>23</v>
      </c>
      <c r="D907" s="4" t="s">
        <v>52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44593</v>
      </c>
      <c r="J907" s="6">
        <v>0</v>
      </c>
      <c r="K907" s="6">
        <v>0</v>
      </c>
      <c r="L907" s="6">
        <v>10.548</v>
      </c>
      <c r="M907" s="6">
        <v>10.548</v>
      </c>
      <c r="N907" s="6">
        <v>10.548</v>
      </c>
      <c r="O907" s="6">
        <v>10.548</v>
      </c>
      <c r="P907" s="6">
        <v>3</v>
      </c>
      <c r="Q907" s="4" t="s">
        <v>26</v>
      </c>
      <c r="R907" s="4">
        <v>0</v>
      </c>
      <c r="S907" s="4" t="s">
        <v>342</v>
      </c>
      <c r="T907" s="4" t="s">
        <v>564</v>
      </c>
      <c r="U907" s="4">
        <v>0</v>
      </c>
      <c r="V907" s="4">
        <v>58</v>
      </c>
      <c r="W907" s="4">
        <v>99</v>
      </c>
    </row>
    <row r="908" spans="1:23" ht="11.25" customHeight="1" x14ac:dyDescent="0.25">
      <c r="A908" s="4" t="s">
        <v>21</v>
      </c>
      <c r="B908" s="4" t="s">
        <v>39</v>
      </c>
      <c r="C908" s="4" t="s">
        <v>23</v>
      </c>
      <c r="D908" s="4" t="s">
        <v>52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44621</v>
      </c>
      <c r="J908" s="6">
        <v>0</v>
      </c>
      <c r="K908" s="6">
        <v>0</v>
      </c>
      <c r="L908" s="6">
        <v>11.641</v>
      </c>
      <c r="M908" s="6">
        <v>11.641</v>
      </c>
      <c r="N908" s="6">
        <v>11.641</v>
      </c>
      <c r="O908" s="6">
        <v>11.641</v>
      </c>
      <c r="P908" s="6">
        <v>3</v>
      </c>
      <c r="Q908" s="4" t="s">
        <v>26</v>
      </c>
      <c r="R908" s="4">
        <v>0</v>
      </c>
      <c r="S908" s="4" t="s">
        <v>343</v>
      </c>
      <c r="T908" s="4" t="s">
        <v>565</v>
      </c>
      <c r="U908" s="4">
        <v>0</v>
      </c>
      <c r="V908" s="4">
        <v>58</v>
      </c>
      <c r="W908" s="4">
        <v>99</v>
      </c>
    </row>
    <row r="909" spans="1:23" ht="11.25" customHeight="1" x14ac:dyDescent="0.25">
      <c r="A909" s="4" t="s">
        <v>21</v>
      </c>
      <c r="B909" s="4" t="s">
        <v>39</v>
      </c>
      <c r="C909" s="4" t="s">
        <v>23</v>
      </c>
      <c r="D909" s="4" t="s">
        <v>52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44652</v>
      </c>
      <c r="J909" s="6">
        <v>0</v>
      </c>
      <c r="K909" s="6">
        <v>0</v>
      </c>
      <c r="L909" s="6">
        <v>10.666</v>
      </c>
      <c r="M909" s="6">
        <v>10.666</v>
      </c>
      <c r="N909" s="6">
        <v>10.666</v>
      </c>
      <c r="O909" s="6">
        <v>10.666</v>
      </c>
      <c r="P909" s="6">
        <v>3</v>
      </c>
      <c r="Q909" s="4" t="s">
        <v>26</v>
      </c>
      <c r="R909" s="4">
        <v>0</v>
      </c>
      <c r="S909" s="4" t="s">
        <v>344</v>
      </c>
      <c r="T909" s="4" t="s">
        <v>566</v>
      </c>
      <c r="U909" s="4">
        <v>0</v>
      </c>
      <c r="V909" s="4">
        <v>58</v>
      </c>
      <c r="W909" s="4">
        <v>99</v>
      </c>
    </row>
    <row r="910" spans="1:23" ht="11.25" customHeight="1" x14ac:dyDescent="0.25">
      <c r="A910" s="4" t="s">
        <v>21</v>
      </c>
      <c r="B910" s="4" t="s">
        <v>39</v>
      </c>
      <c r="C910" s="4" t="s">
        <v>23</v>
      </c>
      <c r="D910" s="4" t="s">
        <v>52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44682</v>
      </c>
      <c r="J910" s="6">
        <v>0</v>
      </c>
      <c r="K910" s="6">
        <v>0</v>
      </c>
      <c r="L910" s="6">
        <v>10.265000000000001</v>
      </c>
      <c r="M910" s="6">
        <v>10.265000000000001</v>
      </c>
      <c r="N910" s="6">
        <v>10.265000000000001</v>
      </c>
      <c r="O910" s="6">
        <v>10.265000000000001</v>
      </c>
      <c r="P910" s="6">
        <v>3</v>
      </c>
      <c r="Q910" s="4" t="s">
        <v>26</v>
      </c>
      <c r="R910" s="4">
        <v>0</v>
      </c>
      <c r="S910" s="4" t="s">
        <v>345</v>
      </c>
      <c r="T910" s="4" t="s">
        <v>567</v>
      </c>
      <c r="U910" s="4">
        <v>0</v>
      </c>
      <c r="V910" s="4">
        <v>58</v>
      </c>
      <c r="W910" s="4">
        <v>99</v>
      </c>
    </row>
    <row r="911" spans="1:23" ht="11.25" customHeight="1" x14ac:dyDescent="0.25">
      <c r="A911" s="4" t="s">
        <v>21</v>
      </c>
      <c r="B911" s="4" t="s">
        <v>39</v>
      </c>
      <c r="C911" s="4" t="s">
        <v>23</v>
      </c>
      <c r="D911" s="4" t="s">
        <v>40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44348</v>
      </c>
      <c r="J911" s="6">
        <v>0</v>
      </c>
      <c r="K911" s="6">
        <v>0</v>
      </c>
      <c r="L911" s="6">
        <v>278.79899999999998</v>
      </c>
      <c r="M911" s="6">
        <v>278.79899999999998</v>
      </c>
      <c r="N911" s="6">
        <v>278.79899999999998</v>
      </c>
      <c r="O911" s="6">
        <v>278.79899999999998</v>
      </c>
      <c r="P911" s="6">
        <v>284</v>
      </c>
      <c r="Q911" s="4" t="s">
        <v>26</v>
      </c>
      <c r="R911" s="4">
        <v>0</v>
      </c>
      <c r="S911" s="4" t="s">
        <v>334</v>
      </c>
      <c r="T911" s="4" t="s">
        <v>556</v>
      </c>
      <c r="U911" s="4">
        <v>0</v>
      </c>
      <c r="V911" s="4">
        <v>58</v>
      </c>
      <c r="W911" s="4">
        <v>99</v>
      </c>
    </row>
    <row r="912" spans="1:23" ht="11.25" customHeight="1" x14ac:dyDescent="0.25">
      <c r="A912" s="4" t="s">
        <v>27</v>
      </c>
      <c r="B912" s="4" t="s">
        <v>39</v>
      </c>
      <c r="C912" s="4" t="s">
        <v>23</v>
      </c>
      <c r="D912" s="4" t="s">
        <v>40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44348</v>
      </c>
      <c r="J912" s="6">
        <v>0</v>
      </c>
      <c r="K912" s="6">
        <v>0</v>
      </c>
      <c r="L912" s="6">
        <v>-1.7999999999999999E-2</v>
      </c>
      <c r="M912" s="6">
        <v>-1.7999999999999999E-2</v>
      </c>
      <c r="N912" s="6">
        <v>-1.7999999999999999E-2</v>
      </c>
      <c r="O912" s="6">
        <v>-1.7999999999999999E-2</v>
      </c>
      <c r="P912" s="6">
        <v>0</v>
      </c>
      <c r="Q912" s="4" t="s">
        <v>26</v>
      </c>
      <c r="R912" s="4">
        <v>0</v>
      </c>
      <c r="S912" s="4" t="s">
        <v>334</v>
      </c>
      <c r="T912" s="4" t="s">
        <v>556</v>
      </c>
      <c r="U912" s="4">
        <v>0</v>
      </c>
      <c r="V912" s="4">
        <v>58</v>
      </c>
      <c r="W912" s="4">
        <v>99</v>
      </c>
    </row>
    <row r="913" spans="1:23" ht="11.25" customHeight="1" x14ac:dyDescent="0.25">
      <c r="A913" s="4" t="s">
        <v>28</v>
      </c>
      <c r="B913" s="4" t="s">
        <v>39</v>
      </c>
      <c r="C913" s="4" t="s">
        <v>23</v>
      </c>
      <c r="D913" s="4" t="s">
        <v>40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44348</v>
      </c>
      <c r="J913" s="6">
        <v>0</v>
      </c>
      <c r="K913" s="6">
        <v>0</v>
      </c>
      <c r="L913" s="6">
        <v>1.6619999999999999</v>
      </c>
      <c r="M913" s="6">
        <v>1.6619999999999999</v>
      </c>
      <c r="N913" s="6">
        <v>1.6619999999999999</v>
      </c>
      <c r="O913" s="6">
        <v>1.6619999999999999</v>
      </c>
      <c r="P913" s="6">
        <v>2</v>
      </c>
      <c r="Q913" s="4" t="s">
        <v>26</v>
      </c>
      <c r="R913" s="4">
        <v>0</v>
      </c>
      <c r="S913" s="4" t="s">
        <v>334</v>
      </c>
      <c r="T913" s="4" t="s">
        <v>556</v>
      </c>
      <c r="U913" s="4">
        <v>0</v>
      </c>
      <c r="V913" s="4">
        <v>58</v>
      </c>
      <c r="W913" s="4">
        <v>99</v>
      </c>
    </row>
    <row r="914" spans="1:23" ht="11.25" customHeight="1" x14ac:dyDescent="0.25">
      <c r="A914" s="4" t="s">
        <v>21</v>
      </c>
      <c r="B914" s="4" t="s">
        <v>39</v>
      </c>
      <c r="C914" s="4" t="s">
        <v>23</v>
      </c>
      <c r="D914" s="4" t="s">
        <v>40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44378</v>
      </c>
      <c r="J914" s="6">
        <v>0</v>
      </c>
      <c r="K914" s="6">
        <v>0</v>
      </c>
      <c r="L914" s="6">
        <v>291.45699999999999</v>
      </c>
      <c r="M914" s="6">
        <v>291.45699999999999</v>
      </c>
      <c r="N914" s="6">
        <v>291.45699999999999</v>
      </c>
      <c r="O914" s="6">
        <v>291.45699999999999</v>
      </c>
      <c r="P914" s="6">
        <v>283</v>
      </c>
      <c r="Q914" s="4" t="s">
        <v>26</v>
      </c>
      <c r="R914" s="4">
        <v>0</v>
      </c>
      <c r="S914" s="4" t="s">
        <v>335</v>
      </c>
      <c r="T914" s="4" t="s">
        <v>557</v>
      </c>
      <c r="U914" s="4">
        <v>0</v>
      </c>
      <c r="V914" s="4">
        <v>58</v>
      </c>
      <c r="W914" s="4">
        <v>99</v>
      </c>
    </row>
    <row r="915" spans="1:23" ht="11.25" customHeight="1" x14ac:dyDescent="0.25">
      <c r="A915" s="4" t="s">
        <v>27</v>
      </c>
      <c r="B915" s="4" t="s">
        <v>39</v>
      </c>
      <c r="C915" s="4" t="s">
        <v>23</v>
      </c>
      <c r="D915" s="4" t="s">
        <v>40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44378</v>
      </c>
      <c r="J915" s="6">
        <v>0</v>
      </c>
      <c r="K915" s="6">
        <v>0</v>
      </c>
      <c r="L915" s="6">
        <v>-0.51700000000000002</v>
      </c>
      <c r="M915" s="6">
        <v>-0.51700000000000002</v>
      </c>
      <c r="N915" s="6">
        <v>-0.51700000000000002</v>
      </c>
      <c r="O915" s="6">
        <v>-0.51700000000000002</v>
      </c>
      <c r="P915" s="6">
        <v>0</v>
      </c>
      <c r="Q915" s="4" t="s">
        <v>26</v>
      </c>
      <c r="R915" s="4">
        <v>0</v>
      </c>
      <c r="S915" s="4" t="s">
        <v>335</v>
      </c>
      <c r="T915" s="4" t="s">
        <v>557</v>
      </c>
      <c r="U915" s="4">
        <v>0</v>
      </c>
      <c r="V915" s="4">
        <v>58</v>
      </c>
      <c r="W915" s="4">
        <v>99</v>
      </c>
    </row>
    <row r="916" spans="1:23" ht="11.25" customHeight="1" x14ac:dyDescent="0.25">
      <c r="A916" s="4" t="s">
        <v>28</v>
      </c>
      <c r="B916" s="4" t="s">
        <v>39</v>
      </c>
      <c r="C916" s="4" t="s">
        <v>23</v>
      </c>
      <c r="D916" s="4" t="s">
        <v>40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44378</v>
      </c>
      <c r="J916" s="6">
        <v>0</v>
      </c>
      <c r="K916" s="6">
        <v>0</v>
      </c>
      <c r="L916" s="6">
        <v>1.052</v>
      </c>
      <c r="M916" s="6">
        <v>1.052</v>
      </c>
      <c r="N916" s="6">
        <v>1.052</v>
      </c>
      <c r="O916" s="6">
        <v>1.052</v>
      </c>
      <c r="P916" s="6">
        <v>2</v>
      </c>
      <c r="Q916" s="4" t="s">
        <v>26</v>
      </c>
      <c r="R916" s="4">
        <v>0</v>
      </c>
      <c r="S916" s="4" t="s">
        <v>335</v>
      </c>
      <c r="T916" s="4" t="s">
        <v>557</v>
      </c>
      <c r="U916" s="4">
        <v>0</v>
      </c>
      <c r="V916" s="4">
        <v>58</v>
      </c>
      <c r="W916" s="4">
        <v>99</v>
      </c>
    </row>
    <row r="917" spans="1:23" ht="11.25" customHeight="1" x14ac:dyDescent="0.25">
      <c r="A917" s="4" t="s">
        <v>21</v>
      </c>
      <c r="B917" s="4" t="s">
        <v>39</v>
      </c>
      <c r="C917" s="4" t="s">
        <v>23</v>
      </c>
      <c r="D917" s="4" t="s">
        <v>40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44409</v>
      </c>
      <c r="J917" s="6">
        <v>0</v>
      </c>
      <c r="K917" s="6">
        <v>0</v>
      </c>
      <c r="L917" s="6">
        <v>302.52699999999999</v>
      </c>
      <c r="M917" s="6">
        <v>302.52699999999999</v>
      </c>
      <c r="N917" s="6">
        <v>302.52699999999999</v>
      </c>
      <c r="O917" s="6">
        <v>302.52699999999999</v>
      </c>
      <c r="P917" s="6">
        <v>285</v>
      </c>
      <c r="Q917" s="4" t="s">
        <v>26</v>
      </c>
      <c r="R917" s="4">
        <v>0</v>
      </c>
      <c r="S917" s="4" t="s">
        <v>336</v>
      </c>
      <c r="T917" s="4" t="s">
        <v>558</v>
      </c>
      <c r="U917" s="4">
        <v>0</v>
      </c>
      <c r="V917" s="4">
        <v>58</v>
      </c>
      <c r="W917" s="4">
        <v>99</v>
      </c>
    </row>
    <row r="918" spans="1:23" ht="11.25" customHeight="1" x14ac:dyDescent="0.25">
      <c r="A918" s="4" t="s">
        <v>27</v>
      </c>
      <c r="B918" s="4" t="s">
        <v>39</v>
      </c>
      <c r="C918" s="4" t="s">
        <v>23</v>
      </c>
      <c r="D918" s="4" t="s">
        <v>40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44409</v>
      </c>
      <c r="J918" s="6">
        <v>0</v>
      </c>
      <c r="K918" s="6">
        <v>0</v>
      </c>
      <c r="L918" s="6">
        <v>-0.34</v>
      </c>
      <c r="M918" s="6">
        <v>-0.34</v>
      </c>
      <c r="N918" s="6">
        <v>-0.34</v>
      </c>
      <c r="O918" s="6">
        <v>-0.34</v>
      </c>
      <c r="P918" s="6">
        <v>0</v>
      </c>
      <c r="Q918" s="4" t="s">
        <v>26</v>
      </c>
      <c r="R918" s="4">
        <v>0</v>
      </c>
      <c r="S918" s="4" t="s">
        <v>336</v>
      </c>
      <c r="T918" s="4" t="s">
        <v>558</v>
      </c>
      <c r="U918" s="4">
        <v>0</v>
      </c>
      <c r="V918" s="4">
        <v>58</v>
      </c>
      <c r="W918" s="4">
        <v>99</v>
      </c>
    </row>
    <row r="919" spans="1:23" ht="11.25" customHeight="1" x14ac:dyDescent="0.25">
      <c r="A919" s="4" t="s">
        <v>28</v>
      </c>
      <c r="B919" s="4" t="s">
        <v>39</v>
      </c>
      <c r="C919" s="4" t="s">
        <v>23</v>
      </c>
      <c r="D919" s="4" t="s">
        <v>40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44409</v>
      </c>
      <c r="J919" s="6">
        <v>0</v>
      </c>
      <c r="K919" s="6">
        <v>0</v>
      </c>
      <c r="L919" s="6">
        <v>0.73699999999999999</v>
      </c>
      <c r="M919" s="6">
        <v>0.73699999999999999</v>
      </c>
      <c r="N919" s="6">
        <v>0.73699999999999999</v>
      </c>
      <c r="O919" s="6">
        <v>0.73699999999999999</v>
      </c>
      <c r="P919" s="6">
        <v>2</v>
      </c>
      <c r="Q919" s="4" t="s">
        <v>26</v>
      </c>
      <c r="R919" s="4">
        <v>0</v>
      </c>
      <c r="S919" s="4" t="s">
        <v>336</v>
      </c>
      <c r="T919" s="4" t="s">
        <v>558</v>
      </c>
      <c r="U919" s="4">
        <v>0</v>
      </c>
      <c r="V919" s="4">
        <v>58</v>
      </c>
      <c r="W919" s="4">
        <v>99</v>
      </c>
    </row>
    <row r="920" spans="1:23" ht="11.25" customHeight="1" x14ac:dyDescent="0.25">
      <c r="A920" s="4" t="s">
        <v>21</v>
      </c>
      <c r="B920" s="4" t="s">
        <v>39</v>
      </c>
      <c r="C920" s="4" t="s">
        <v>23</v>
      </c>
      <c r="D920" s="4" t="s">
        <v>40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44440</v>
      </c>
      <c r="J920" s="6">
        <v>0</v>
      </c>
      <c r="K920" s="6">
        <v>0</v>
      </c>
      <c r="L920" s="6">
        <v>295.16800000000001</v>
      </c>
      <c r="M920" s="6">
        <v>295.16800000000001</v>
      </c>
      <c r="N920" s="6">
        <v>295.16800000000001</v>
      </c>
      <c r="O920" s="6">
        <v>295.16800000000001</v>
      </c>
      <c r="P920" s="6">
        <v>284</v>
      </c>
      <c r="Q920" s="4" t="s">
        <v>26</v>
      </c>
      <c r="R920" s="4">
        <v>0</v>
      </c>
      <c r="S920" s="4" t="s">
        <v>337</v>
      </c>
      <c r="T920" s="4" t="s">
        <v>559</v>
      </c>
      <c r="U920" s="4">
        <v>0</v>
      </c>
      <c r="V920" s="4">
        <v>58</v>
      </c>
      <c r="W920" s="4">
        <v>99</v>
      </c>
    </row>
    <row r="921" spans="1:23" ht="11.25" customHeight="1" x14ac:dyDescent="0.25">
      <c r="A921" s="4" t="s">
        <v>28</v>
      </c>
      <c r="B921" s="4" t="s">
        <v>39</v>
      </c>
      <c r="C921" s="4" t="s">
        <v>23</v>
      </c>
      <c r="D921" s="4" t="s">
        <v>40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44440</v>
      </c>
      <c r="J921" s="6">
        <v>0</v>
      </c>
      <c r="K921" s="6">
        <v>0</v>
      </c>
      <c r="L921" s="6">
        <v>0.59</v>
      </c>
      <c r="M921" s="6">
        <v>0.59</v>
      </c>
      <c r="N921" s="6">
        <v>0.59</v>
      </c>
      <c r="O921" s="6">
        <v>0.59</v>
      </c>
      <c r="P921" s="6">
        <v>2</v>
      </c>
      <c r="Q921" s="4" t="s">
        <v>26</v>
      </c>
      <c r="R921" s="4">
        <v>0</v>
      </c>
      <c r="S921" s="4" t="s">
        <v>337</v>
      </c>
      <c r="T921" s="4" t="s">
        <v>559</v>
      </c>
      <c r="U921" s="4">
        <v>0</v>
      </c>
      <c r="V921" s="4">
        <v>58</v>
      </c>
      <c r="W921" s="4">
        <v>99</v>
      </c>
    </row>
    <row r="922" spans="1:23" ht="11.25" customHeight="1" x14ac:dyDescent="0.25">
      <c r="A922" s="4" t="s">
        <v>21</v>
      </c>
      <c r="B922" s="4" t="s">
        <v>39</v>
      </c>
      <c r="C922" s="4" t="s">
        <v>23</v>
      </c>
      <c r="D922" s="4" t="s">
        <v>40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44470</v>
      </c>
      <c r="J922" s="6">
        <v>0</v>
      </c>
      <c r="K922" s="6">
        <v>0</v>
      </c>
      <c r="L922" s="6">
        <v>298.017</v>
      </c>
      <c r="M922" s="6">
        <v>298.017</v>
      </c>
      <c r="N922" s="6">
        <v>298.017</v>
      </c>
      <c r="O922" s="6">
        <v>298.017</v>
      </c>
      <c r="P922" s="6">
        <v>287</v>
      </c>
      <c r="Q922" s="4" t="s">
        <v>26</v>
      </c>
      <c r="R922" s="4">
        <v>0</v>
      </c>
      <c r="S922" s="4" t="s">
        <v>338</v>
      </c>
      <c r="T922" s="4" t="s">
        <v>560</v>
      </c>
      <c r="U922" s="4">
        <v>0</v>
      </c>
      <c r="V922" s="4">
        <v>58</v>
      </c>
      <c r="W922" s="4">
        <v>99</v>
      </c>
    </row>
    <row r="923" spans="1:23" ht="11.25" customHeight="1" x14ac:dyDescent="0.25">
      <c r="A923" s="4" t="s">
        <v>28</v>
      </c>
      <c r="B923" s="4" t="s">
        <v>39</v>
      </c>
      <c r="C923" s="4" t="s">
        <v>23</v>
      </c>
      <c r="D923" s="4" t="s">
        <v>40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44470</v>
      </c>
      <c r="J923" s="6">
        <v>0</v>
      </c>
      <c r="K923" s="6">
        <v>0</v>
      </c>
      <c r="L923" s="6">
        <v>0.68600000000000005</v>
      </c>
      <c r="M923" s="6">
        <v>0.68600000000000005</v>
      </c>
      <c r="N923" s="6">
        <v>0.68600000000000005</v>
      </c>
      <c r="O923" s="6">
        <v>0.68600000000000005</v>
      </c>
      <c r="P923" s="6">
        <v>2</v>
      </c>
      <c r="Q923" s="4" t="s">
        <v>26</v>
      </c>
      <c r="R923" s="4">
        <v>0</v>
      </c>
      <c r="S923" s="4" t="s">
        <v>338</v>
      </c>
      <c r="T923" s="4" t="s">
        <v>560</v>
      </c>
      <c r="U923" s="4">
        <v>0</v>
      </c>
      <c r="V923" s="4">
        <v>58</v>
      </c>
      <c r="W923" s="4">
        <v>99</v>
      </c>
    </row>
    <row r="924" spans="1:23" ht="11.25" customHeight="1" x14ac:dyDescent="0.25">
      <c r="A924" s="4" t="s">
        <v>21</v>
      </c>
      <c r="B924" s="4" t="s">
        <v>39</v>
      </c>
      <c r="C924" s="4" t="s">
        <v>23</v>
      </c>
      <c r="D924" s="4" t="s">
        <v>40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44501</v>
      </c>
      <c r="J924" s="6">
        <v>0</v>
      </c>
      <c r="K924" s="6">
        <v>0</v>
      </c>
      <c r="L924" s="6">
        <v>295.75</v>
      </c>
      <c r="M924" s="6">
        <v>295.75</v>
      </c>
      <c r="N924" s="6">
        <v>295.75</v>
      </c>
      <c r="O924" s="6">
        <v>295.75</v>
      </c>
      <c r="P924" s="6">
        <v>284</v>
      </c>
      <c r="Q924" s="4" t="s">
        <v>26</v>
      </c>
      <c r="R924" s="4">
        <v>0</v>
      </c>
      <c r="S924" s="4" t="s">
        <v>339</v>
      </c>
      <c r="T924" s="4" t="s">
        <v>561</v>
      </c>
      <c r="U924" s="4">
        <v>0</v>
      </c>
      <c r="V924" s="4">
        <v>58</v>
      </c>
      <c r="W924" s="4">
        <v>99</v>
      </c>
    </row>
    <row r="925" spans="1:23" ht="11.25" customHeight="1" x14ac:dyDescent="0.25">
      <c r="A925" s="4" t="s">
        <v>28</v>
      </c>
      <c r="B925" s="4" t="s">
        <v>39</v>
      </c>
      <c r="C925" s="4" t="s">
        <v>23</v>
      </c>
      <c r="D925" s="4" t="s">
        <v>40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0.53600000000000003</v>
      </c>
      <c r="M925" s="6">
        <v>0.53600000000000003</v>
      </c>
      <c r="N925" s="6">
        <v>0.53600000000000003</v>
      </c>
      <c r="O925" s="6">
        <v>0.53600000000000003</v>
      </c>
      <c r="P925" s="6">
        <v>2</v>
      </c>
      <c r="Q925" s="4" t="s">
        <v>26</v>
      </c>
      <c r="R925" s="4">
        <v>0</v>
      </c>
      <c r="S925" s="4" t="s">
        <v>339</v>
      </c>
      <c r="T925" s="4" t="s">
        <v>561</v>
      </c>
      <c r="U925" s="4">
        <v>0</v>
      </c>
      <c r="V925" s="4">
        <v>58</v>
      </c>
      <c r="W925" s="4">
        <v>99</v>
      </c>
    </row>
    <row r="926" spans="1:23" ht="11.25" customHeight="1" x14ac:dyDescent="0.25">
      <c r="A926" s="4" t="s">
        <v>21</v>
      </c>
      <c r="B926" s="4" t="s">
        <v>39</v>
      </c>
      <c r="C926" s="4" t="s">
        <v>23</v>
      </c>
      <c r="D926" s="4" t="s">
        <v>40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302.40300000000002</v>
      </c>
      <c r="M926" s="6">
        <v>302.40300000000002</v>
      </c>
      <c r="N926" s="6">
        <v>302.40300000000002</v>
      </c>
      <c r="O926" s="6">
        <v>302.40300000000002</v>
      </c>
      <c r="P926" s="6">
        <v>279</v>
      </c>
      <c r="Q926" s="4" t="s">
        <v>26</v>
      </c>
      <c r="R926" s="4">
        <v>0</v>
      </c>
      <c r="S926" s="4" t="s">
        <v>340</v>
      </c>
      <c r="T926" s="4" t="s">
        <v>562</v>
      </c>
      <c r="U926" s="4">
        <v>0</v>
      </c>
      <c r="V926" s="4">
        <v>58</v>
      </c>
      <c r="W926" s="4">
        <v>99</v>
      </c>
    </row>
    <row r="927" spans="1:23" ht="11.25" customHeight="1" x14ac:dyDescent="0.25">
      <c r="A927" s="4" t="s">
        <v>27</v>
      </c>
      <c r="B927" s="4" t="s">
        <v>39</v>
      </c>
      <c r="C927" s="4" t="s">
        <v>23</v>
      </c>
      <c r="D927" s="4" t="s">
        <v>40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44531</v>
      </c>
      <c r="J927" s="6">
        <v>0</v>
      </c>
      <c r="K927" s="6">
        <v>0</v>
      </c>
      <c r="L927" s="6">
        <v>-9.9000000000000005E-2</v>
      </c>
      <c r="M927" s="6">
        <v>-9.9000000000000005E-2</v>
      </c>
      <c r="N927" s="6">
        <v>-9.9000000000000005E-2</v>
      </c>
      <c r="O927" s="6">
        <v>-9.9000000000000005E-2</v>
      </c>
      <c r="P927" s="6">
        <v>0</v>
      </c>
      <c r="Q927" s="4" t="s">
        <v>26</v>
      </c>
      <c r="R927" s="4">
        <v>0</v>
      </c>
      <c r="S927" s="4" t="s">
        <v>340</v>
      </c>
      <c r="T927" s="4" t="s">
        <v>562</v>
      </c>
      <c r="U927" s="4">
        <v>0</v>
      </c>
      <c r="V927" s="4">
        <v>58</v>
      </c>
      <c r="W927" s="4">
        <v>99</v>
      </c>
    </row>
    <row r="928" spans="1:23" ht="11.25" customHeight="1" x14ac:dyDescent="0.25">
      <c r="A928" s="4" t="s">
        <v>28</v>
      </c>
      <c r="B928" s="4" t="s">
        <v>39</v>
      </c>
      <c r="C928" s="4" t="s">
        <v>23</v>
      </c>
      <c r="D928" s="4" t="s">
        <v>40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44531</v>
      </c>
      <c r="J928" s="6">
        <v>0</v>
      </c>
      <c r="K928" s="6">
        <v>0</v>
      </c>
      <c r="L928" s="6">
        <v>0.372</v>
      </c>
      <c r="M928" s="6">
        <v>0.372</v>
      </c>
      <c r="N928" s="6">
        <v>0.372</v>
      </c>
      <c r="O928" s="6">
        <v>0.372</v>
      </c>
      <c r="P928" s="6">
        <v>2</v>
      </c>
      <c r="Q928" s="4" t="s">
        <v>26</v>
      </c>
      <c r="R928" s="4">
        <v>0</v>
      </c>
      <c r="S928" s="4" t="s">
        <v>340</v>
      </c>
      <c r="T928" s="4" t="s">
        <v>562</v>
      </c>
      <c r="U928" s="4">
        <v>0</v>
      </c>
      <c r="V928" s="4">
        <v>58</v>
      </c>
      <c r="W928" s="4">
        <v>99</v>
      </c>
    </row>
    <row r="929" spans="1:23" ht="11.25" customHeight="1" x14ac:dyDescent="0.25">
      <c r="A929" s="4" t="s">
        <v>21</v>
      </c>
      <c r="B929" s="4" t="s">
        <v>39</v>
      </c>
      <c r="C929" s="4" t="s">
        <v>23</v>
      </c>
      <c r="D929" s="4" t="s">
        <v>40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44562</v>
      </c>
      <c r="J929" s="6">
        <v>0</v>
      </c>
      <c r="K929" s="6">
        <v>0</v>
      </c>
      <c r="L929" s="6">
        <v>240.11500000000001</v>
      </c>
      <c r="M929" s="6">
        <v>240.11500000000001</v>
      </c>
      <c r="N929" s="6">
        <v>240.11500000000001</v>
      </c>
      <c r="O929" s="6">
        <v>240.11500000000001</v>
      </c>
      <c r="P929" s="6">
        <v>279</v>
      </c>
      <c r="Q929" s="4" t="s">
        <v>26</v>
      </c>
      <c r="R929" s="4">
        <v>0</v>
      </c>
      <c r="S929" s="4" t="s">
        <v>341</v>
      </c>
      <c r="T929" s="4" t="s">
        <v>563</v>
      </c>
      <c r="U929" s="4">
        <v>0</v>
      </c>
      <c r="V929" s="4">
        <v>58</v>
      </c>
      <c r="W929" s="4">
        <v>99</v>
      </c>
    </row>
    <row r="930" spans="1:23" ht="11.25" customHeight="1" x14ac:dyDescent="0.25">
      <c r="A930" s="4" t="s">
        <v>27</v>
      </c>
      <c r="B930" s="4" t="s">
        <v>39</v>
      </c>
      <c r="C930" s="4" t="s">
        <v>23</v>
      </c>
      <c r="D930" s="4" t="s">
        <v>40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44562</v>
      </c>
      <c r="J930" s="6">
        <v>0</v>
      </c>
      <c r="K930" s="6">
        <v>0</v>
      </c>
      <c r="L930" s="6">
        <v>0.314</v>
      </c>
      <c r="M930" s="6">
        <v>0.314</v>
      </c>
      <c r="N930" s="6">
        <v>0.314</v>
      </c>
      <c r="O930" s="6">
        <v>0.314</v>
      </c>
      <c r="P930" s="6">
        <v>0</v>
      </c>
      <c r="Q930" s="4" t="s">
        <v>26</v>
      </c>
      <c r="R930" s="4">
        <v>0</v>
      </c>
      <c r="S930" s="4" t="s">
        <v>341</v>
      </c>
      <c r="T930" s="4" t="s">
        <v>563</v>
      </c>
      <c r="U930" s="4">
        <v>0</v>
      </c>
      <c r="V930" s="4">
        <v>58</v>
      </c>
      <c r="W930" s="4">
        <v>99</v>
      </c>
    </row>
    <row r="931" spans="1:23" ht="11.25" customHeight="1" x14ac:dyDescent="0.25">
      <c r="A931" s="4" t="s">
        <v>28</v>
      </c>
      <c r="B931" s="4" t="s">
        <v>39</v>
      </c>
      <c r="C931" s="4" t="s">
        <v>23</v>
      </c>
      <c r="D931" s="4" t="s">
        <v>40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44562</v>
      </c>
      <c r="J931" s="6">
        <v>0</v>
      </c>
      <c r="K931" s="6">
        <v>0</v>
      </c>
      <c r="L931" s="6">
        <v>0.36799999999999999</v>
      </c>
      <c r="M931" s="6">
        <v>0.36799999999999999</v>
      </c>
      <c r="N931" s="6">
        <v>0.36799999999999999</v>
      </c>
      <c r="O931" s="6">
        <v>0.36799999999999999</v>
      </c>
      <c r="P931" s="6">
        <v>2</v>
      </c>
      <c r="Q931" s="4" t="s">
        <v>26</v>
      </c>
      <c r="R931" s="4">
        <v>0</v>
      </c>
      <c r="S931" s="4" t="s">
        <v>341</v>
      </c>
      <c r="T931" s="4" t="s">
        <v>563</v>
      </c>
      <c r="U931" s="4">
        <v>0</v>
      </c>
      <c r="V931" s="4">
        <v>58</v>
      </c>
      <c r="W931" s="4">
        <v>99</v>
      </c>
    </row>
    <row r="932" spans="1:23" ht="11.25" customHeight="1" x14ac:dyDescent="0.25">
      <c r="A932" s="4" t="s">
        <v>21</v>
      </c>
      <c r="B932" s="4" t="s">
        <v>39</v>
      </c>
      <c r="C932" s="4" t="s">
        <v>23</v>
      </c>
      <c r="D932" s="4" t="s">
        <v>40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44593</v>
      </c>
      <c r="J932" s="6">
        <v>0</v>
      </c>
      <c r="K932" s="6">
        <v>0</v>
      </c>
      <c r="L932" s="6">
        <v>284.11599999999999</v>
      </c>
      <c r="M932" s="6">
        <v>284.11599999999999</v>
      </c>
      <c r="N932" s="6">
        <v>284.11599999999999</v>
      </c>
      <c r="O932" s="6">
        <v>284.11599999999999</v>
      </c>
      <c r="P932" s="6">
        <v>277</v>
      </c>
      <c r="Q932" s="4" t="s">
        <v>26</v>
      </c>
      <c r="R932" s="4">
        <v>0</v>
      </c>
      <c r="S932" s="4" t="s">
        <v>342</v>
      </c>
      <c r="T932" s="4" t="s">
        <v>564</v>
      </c>
      <c r="U932" s="4">
        <v>0</v>
      </c>
      <c r="V932" s="4">
        <v>58</v>
      </c>
      <c r="W932" s="4">
        <v>99</v>
      </c>
    </row>
    <row r="933" spans="1:23" ht="11.25" customHeight="1" x14ac:dyDescent="0.25">
      <c r="A933" s="4" t="s">
        <v>28</v>
      </c>
      <c r="B933" s="4" t="s">
        <v>39</v>
      </c>
      <c r="C933" s="4" t="s">
        <v>23</v>
      </c>
      <c r="D933" s="4" t="s">
        <v>40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44593</v>
      </c>
      <c r="J933" s="6">
        <v>0</v>
      </c>
      <c r="K933" s="6">
        <v>0</v>
      </c>
      <c r="L933" s="6">
        <v>0.51200000000000001</v>
      </c>
      <c r="M933" s="6">
        <v>0.51200000000000001</v>
      </c>
      <c r="N933" s="6">
        <v>0.51200000000000001</v>
      </c>
      <c r="O933" s="6">
        <v>0.51200000000000001</v>
      </c>
      <c r="P933" s="6">
        <v>2</v>
      </c>
      <c r="Q933" s="4" t="s">
        <v>26</v>
      </c>
      <c r="R933" s="4">
        <v>0</v>
      </c>
      <c r="S933" s="4" t="s">
        <v>342</v>
      </c>
      <c r="T933" s="4" t="s">
        <v>564</v>
      </c>
      <c r="U933" s="4">
        <v>0</v>
      </c>
      <c r="V933" s="4">
        <v>58</v>
      </c>
      <c r="W933" s="4">
        <v>99</v>
      </c>
    </row>
    <row r="934" spans="1:23" ht="11.25" customHeight="1" x14ac:dyDescent="0.25">
      <c r="A934" s="4" t="s">
        <v>21</v>
      </c>
      <c r="B934" s="4" t="s">
        <v>39</v>
      </c>
      <c r="C934" s="4" t="s">
        <v>23</v>
      </c>
      <c r="D934" s="4" t="s">
        <v>40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44621</v>
      </c>
      <c r="J934" s="6">
        <v>0</v>
      </c>
      <c r="K934" s="6">
        <v>0</v>
      </c>
      <c r="L934" s="6">
        <v>289.50700000000001</v>
      </c>
      <c r="M934" s="6">
        <v>289.50700000000001</v>
      </c>
      <c r="N934" s="6">
        <v>289.50700000000001</v>
      </c>
      <c r="O934" s="6">
        <v>289.50700000000001</v>
      </c>
      <c r="P934" s="6">
        <v>276</v>
      </c>
      <c r="Q934" s="4" t="s">
        <v>26</v>
      </c>
      <c r="R934" s="4">
        <v>0</v>
      </c>
      <c r="S934" s="4" t="s">
        <v>343</v>
      </c>
      <c r="T934" s="4" t="s">
        <v>565</v>
      </c>
      <c r="U934" s="4">
        <v>0</v>
      </c>
      <c r="V934" s="4">
        <v>58</v>
      </c>
      <c r="W934" s="4">
        <v>99</v>
      </c>
    </row>
    <row r="935" spans="1:23" ht="11.25" customHeight="1" x14ac:dyDescent="0.25">
      <c r="A935" s="4" t="s">
        <v>28</v>
      </c>
      <c r="B935" s="4" t="s">
        <v>39</v>
      </c>
      <c r="C935" s="4" t="s">
        <v>23</v>
      </c>
      <c r="D935" s="4" t="s">
        <v>40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44621</v>
      </c>
      <c r="J935" s="6">
        <v>0</v>
      </c>
      <c r="K935" s="6">
        <v>0</v>
      </c>
      <c r="L935" s="6">
        <v>0.504</v>
      </c>
      <c r="M935" s="6">
        <v>0.504</v>
      </c>
      <c r="N935" s="6">
        <v>0.504</v>
      </c>
      <c r="O935" s="6">
        <v>0.504</v>
      </c>
      <c r="P935" s="6">
        <v>2</v>
      </c>
      <c r="Q935" s="4" t="s">
        <v>26</v>
      </c>
      <c r="R935" s="4">
        <v>0</v>
      </c>
      <c r="S935" s="4" t="s">
        <v>343</v>
      </c>
      <c r="T935" s="4" t="s">
        <v>565</v>
      </c>
      <c r="U935" s="4">
        <v>0</v>
      </c>
      <c r="V935" s="4">
        <v>58</v>
      </c>
      <c r="W935" s="4">
        <v>99</v>
      </c>
    </row>
    <row r="936" spans="1:23" ht="11.25" customHeight="1" x14ac:dyDescent="0.25">
      <c r="A936" s="4" t="s">
        <v>21</v>
      </c>
      <c r="B936" s="4" t="s">
        <v>39</v>
      </c>
      <c r="C936" s="4" t="s">
        <v>23</v>
      </c>
      <c r="D936" s="4" t="s">
        <v>40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44652</v>
      </c>
      <c r="J936" s="6">
        <v>0</v>
      </c>
      <c r="K936" s="6">
        <v>0</v>
      </c>
      <c r="L936" s="6">
        <v>271.29899999999998</v>
      </c>
      <c r="M936" s="6">
        <v>271.29899999999998</v>
      </c>
      <c r="N936" s="6">
        <v>271.29899999999998</v>
      </c>
      <c r="O936" s="6">
        <v>271.29899999999998</v>
      </c>
      <c r="P936" s="6">
        <v>266</v>
      </c>
      <c r="Q936" s="4" t="s">
        <v>26</v>
      </c>
      <c r="R936" s="4">
        <v>0</v>
      </c>
      <c r="S936" s="4" t="s">
        <v>344</v>
      </c>
      <c r="T936" s="4" t="s">
        <v>566</v>
      </c>
      <c r="U936" s="4">
        <v>0</v>
      </c>
      <c r="V936" s="4">
        <v>58</v>
      </c>
      <c r="W936" s="4">
        <v>99</v>
      </c>
    </row>
    <row r="937" spans="1:23" ht="11.25" customHeight="1" x14ac:dyDescent="0.25">
      <c r="A937" s="4" t="s">
        <v>28</v>
      </c>
      <c r="B937" s="4" t="s">
        <v>39</v>
      </c>
      <c r="C937" s="4" t="s">
        <v>23</v>
      </c>
      <c r="D937" s="4" t="s">
        <v>40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44652</v>
      </c>
      <c r="J937" s="6">
        <v>0</v>
      </c>
      <c r="K937" s="6">
        <v>0</v>
      </c>
      <c r="L937" s="6">
        <v>0.58899999999999997</v>
      </c>
      <c r="M937" s="6">
        <v>0.58899999999999997</v>
      </c>
      <c r="N937" s="6">
        <v>0.58899999999999997</v>
      </c>
      <c r="O937" s="6">
        <v>0.58899999999999997</v>
      </c>
      <c r="P937" s="6">
        <v>2</v>
      </c>
      <c r="Q937" s="4" t="s">
        <v>26</v>
      </c>
      <c r="R937" s="4">
        <v>0</v>
      </c>
      <c r="S937" s="4" t="s">
        <v>344</v>
      </c>
      <c r="T937" s="4" t="s">
        <v>566</v>
      </c>
      <c r="U937" s="4">
        <v>0</v>
      </c>
      <c r="V937" s="4">
        <v>58</v>
      </c>
      <c r="W937" s="4">
        <v>99</v>
      </c>
    </row>
    <row r="938" spans="1:23" ht="11.25" customHeight="1" x14ac:dyDescent="0.25">
      <c r="A938" s="4" t="s">
        <v>21</v>
      </c>
      <c r="B938" s="4" t="s">
        <v>39</v>
      </c>
      <c r="C938" s="4" t="s">
        <v>23</v>
      </c>
      <c r="D938" s="4" t="s">
        <v>40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44682</v>
      </c>
      <c r="J938" s="6">
        <v>0</v>
      </c>
      <c r="K938" s="6">
        <v>0</v>
      </c>
      <c r="L938" s="6">
        <v>266.976</v>
      </c>
      <c r="M938" s="6">
        <v>266.976</v>
      </c>
      <c r="N938" s="6">
        <v>266.976</v>
      </c>
      <c r="O938" s="6">
        <v>266.976</v>
      </c>
      <c r="P938" s="6">
        <v>262</v>
      </c>
      <c r="Q938" s="4" t="s">
        <v>26</v>
      </c>
      <c r="R938" s="4">
        <v>0</v>
      </c>
      <c r="S938" s="4" t="s">
        <v>345</v>
      </c>
      <c r="T938" s="4" t="s">
        <v>567</v>
      </c>
      <c r="U938" s="4">
        <v>0</v>
      </c>
      <c r="V938" s="4">
        <v>58</v>
      </c>
      <c r="W938" s="4">
        <v>99</v>
      </c>
    </row>
    <row r="939" spans="1:23" ht="11.25" customHeight="1" x14ac:dyDescent="0.25">
      <c r="A939" s="4" t="s">
        <v>28</v>
      </c>
      <c r="B939" s="4" t="s">
        <v>39</v>
      </c>
      <c r="C939" s="4" t="s">
        <v>23</v>
      </c>
      <c r="D939" s="4" t="s">
        <v>40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44682</v>
      </c>
      <c r="J939" s="6">
        <v>0</v>
      </c>
      <c r="K939" s="6">
        <v>0</v>
      </c>
      <c r="L939" s="6">
        <v>0.57799999999999996</v>
      </c>
      <c r="M939" s="6">
        <v>0.57799999999999996</v>
      </c>
      <c r="N939" s="6">
        <v>0.57799999999999996</v>
      </c>
      <c r="O939" s="6">
        <v>0.57799999999999996</v>
      </c>
      <c r="P939" s="6">
        <v>2</v>
      </c>
      <c r="Q939" s="4" t="s">
        <v>26</v>
      </c>
      <c r="R939" s="4">
        <v>0</v>
      </c>
      <c r="S939" s="4" t="s">
        <v>345</v>
      </c>
      <c r="T939" s="4" t="s">
        <v>567</v>
      </c>
      <c r="U939" s="4">
        <v>0</v>
      </c>
      <c r="V939" s="4">
        <v>58</v>
      </c>
      <c r="W939" s="4">
        <v>99</v>
      </c>
    </row>
    <row r="940" spans="1:23" ht="11.25" customHeight="1" x14ac:dyDescent="0.25">
      <c r="A940" s="4" t="s">
        <v>21</v>
      </c>
      <c r="B940" s="4" t="s">
        <v>39</v>
      </c>
      <c r="C940" s="4" t="s">
        <v>23</v>
      </c>
      <c r="D940" s="4" t="s">
        <v>46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44348</v>
      </c>
      <c r="J940" s="6">
        <v>0</v>
      </c>
      <c r="K940" s="6">
        <v>0</v>
      </c>
      <c r="L940" s="6">
        <v>116.09</v>
      </c>
      <c r="M940" s="6">
        <v>116.09</v>
      </c>
      <c r="N940" s="6">
        <v>116.09</v>
      </c>
      <c r="O940" s="6">
        <v>116.09</v>
      </c>
      <c r="P940" s="6">
        <v>305</v>
      </c>
      <c r="Q940" s="4" t="s">
        <v>26</v>
      </c>
      <c r="R940" s="4">
        <v>0</v>
      </c>
      <c r="S940" s="4" t="s">
        <v>334</v>
      </c>
      <c r="T940" s="4" t="s">
        <v>556</v>
      </c>
      <c r="U940" s="4">
        <v>0</v>
      </c>
      <c r="V940" s="4">
        <v>58</v>
      </c>
      <c r="W940" s="4">
        <v>99</v>
      </c>
    </row>
    <row r="941" spans="1:23" ht="11.25" customHeight="1" x14ac:dyDescent="0.25">
      <c r="A941" s="4" t="s">
        <v>28</v>
      </c>
      <c r="B941" s="4" t="s">
        <v>39</v>
      </c>
      <c r="C941" s="4" t="s">
        <v>23</v>
      </c>
      <c r="D941" s="4" t="s">
        <v>46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44348</v>
      </c>
      <c r="J941" s="6">
        <v>0</v>
      </c>
      <c r="K941" s="6">
        <v>0</v>
      </c>
      <c r="L941" s="6">
        <v>0.56699999999999995</v>
      </c>
      <c r="M941" s="6">
        <v>0.56699999999999995</v>
      </c>
      <c r="N941" s="6">
        <v>0.56699999999999995</v>
      </c>
      <c r="O941" s="6">
        <v>0.56699999999999995</v>
      </c>
      <c r="P941" s="6">
        <v>2</v>
      </c>
      <c r="Q941" s="4" t="s">
        <v>26</v>
      </c>
      <c r="R941" s="4">
        <v>0</v>
      </c>
      <c r="S941" s="4" t="s">
        <v>334</v>
      </c>
      <c r="T941" s="4" t="s">
        <v>556</v>
      </c>
      <c r="U941" s="4">
        <v>0</v>
      </c>
      <c r="V941" s="4">
        <v>58</v>
      </c>
      <c r="W941" s="4">
        <v>99</v>
      </c>
    </row>
    <row r="942" spans="1:23" ht="11.25" customHeight="1" x14ac:dyDescent="0.25">
      <c r="A942" s="4" t="s">
        <v>21</v>
      </c>
      <c r="B942" s="4" t="s">
        <v>39</v>
      </c>
      <c r="C942" s="4" t="s">
        <v>23</v>
      </c>
      <c r="D942" s="4" t="s">
        <v>46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44378</v>
      </c>
      <c r="J942" s="6">
        <v>0</v>
      </c>
      <c r="K942" s="6">
        <v>0</v>
      </c>
      <c r="L942" s="6">
        <v>120.57599999999999</v>
      </c>
      <c r="M942" s="6">
        <v>120.57599999999999</v>
      </c>
      <c r="N942" s="6">
        <v>120.57599999999999</v>
      </c>
      <c r="O942" s="6">
        <v>120.57599999999999</v>
      </c>
      <c r="P942" s="6">
        <v>301</v>
      </c>
      <c r="Q942" s="4" t="s">
        <v>26</v>
      </c>
      <c r="R942" s="4">
        <v>0</v>
      </c>
      <c r="S942" s="4" t="s">
        <v>335</v>
      </c>
      <c r="T942" s="4" t="s">
        <v>557</v>
      </c>
      <c r="U942" s="4">
        <v>0</v>
      </c>
      <c r="V942" s="4">
        <v>58</v>
      </c>
      <c r="W942" s="4">
        <v>99</v>
      </c>
    </row>
    <row r="943" spans="1:23" ht="11.25" customHeight="1" x14ac:dyDescent="0.25">
      <c r="A943" s="4" t="s">
        <v>27</v>
      </c>
      <c r="B943" s="4" t="s">
        <v>39</v>
      </c>
      <c r="C943" s="4" t="s">
        <v>23</v>
      </c>
      <c r="D943" s="4" t="s">
        <v>46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44378</v>
      </c>
      <c r="J943" s="6">
        <v>0</v>
      </c>
      <c r="K943" s="6">
        <v>0</v>
      </c>
      <c r="L943" s="6">
        <v>-0.72299999999999998</v>
      </c>
      <c r="M943" s="6">
        <v>-0.72299999999999998</v>
      </c>
      <c r="N943" s="6">
        <v>-0.72299999999999998</v>
      </c>
      <c r="O943" s="6">
        <v>-0.72299999999999998</v>
      </c>
      <c r="P943" s="6">
        <v>0</v>
      </c>
      <c r="Q943" s="4" t="s">
        <v>26</v>
      </c>
      <c r="R943" s="4">
        <v>0</v>
      </c>
      <c r="S943" s="4" t="s">
        <v>335</v>
      </c>
      <c r="T943" s="4" t="s">
        <v>557</v>
      </c>
      <c r="U943" s="4">
        <v>0</v>
      </c>
      <c r="V943" s="4">
        <v>58</v>
      </c>
      <c r="W943" s="4">
        <v>99</v>
      </c>
    </row>
    <row r="944" spans="1:23" ht="11.25" customHeight="1" x14ac:dyDescent="0.25">
      <c r="A944" s="4" t="s">
        <v>28</v>
      </c>
      <c r="B944" s="4" t="s">
        <v>39</v>
      </c>
      <c r="C944" s="4" t="s">
        <v>23</v>
      </c>
      <c r="D944" s="4" t="s">
        <v>46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44378</v>
      </c>
      <c r="J944" s="6">
        <v>0</v>
      </c>
      <c r="K944" s="6">
        <v>0</v>
      </c>
      <c r="L944" s="6">
        <v>4.7930000000000001</v>
      </c>
      <c r="M944" s="6">
        <v>4.7930000000000001</v>
      </c>
      <c r="N944" s="6">
        <v>4.7930000000000001</v>
      </c>
      <c r="O944" s="6">
        <v>4.7930000000000001</v>
      </c>
      <c r="P944" s="6">
        <v>5</v>
      </c>
      <c r="Q944" s="4" t="s">
        <v>26</v>
      </c>
      <c r="R944" s="4">
        <v>0</v>
      </c>
      <c r="S944" s="4" t="s">
        <v>335</v>
      </c>
      <c r="T944" s="4" t="s">
        <v>557</v>
      </c>
      <c r="U944" s="4">
        <v>0</v>
      </c>
      <c r="V944" s="4">
        <v>58</v>
      </c>
      <c r="W944" s="4">
        <v>99</v>
      </c>
    </row>
    <row r="945" spans="1:23" ht="11.25" customHeight="1" x14ac:dyDescent="0.25">
      <c r="A945" s="4" t="s">
        <v>21</v>
      </c>
      <c r="B945" s="4" t="s">
        <v>39</v>
      </c>
      <c r="C945" s="4" t="s">
        <v>23</v>
      </c>
      <c r="D945" s="4" t="s">
        <v>46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44409</v>
      </c>
      <c r="J945" s="6">
        <v>0</v>
      </c>
      <c r="K945" s="6">
        <v>0</v>
      </c>
      <c r="L945" s="6">
        <v>143.05600000000001</v>
      </c>
      <c r="M945" s="6">
        <v>143.05600000000001</v>
      </c>
      <c r="N945" s="6">
        <v>143.05600000000001</v>
      </c>
      <c r="O945" s="6">
        <v>143.05600000000001</v>
      </c>
      <c r="P945" s="6">
        <v>299</v>
      </c>
      <c r="Q945" s="4" t="s">
        <v>26</v>
      </c>
      <c r="R945" s="4">
        <v>0</v>
      </c>
      <c r="S945" s="4" t="s">
        <v>336</v>
      </c>
      <c r="T945" s="4" t="s">
        <v>558</v>
      </c>
      <c r="U945" s="4">
        <v>0</v>
      </c>
      <c r="V945" s="4">
        <v>58</v>
      </c>
      <c r="W945" s="4">
        <v>99</v>
      </c>
    </row>
    <row r="946" spans="1:23" ht="11.25" customHeight="1" x14ac:dyDescent="0.25">
      <c r="A946" s="4" t="s">
        <v>28</v>
      </c>
      <c r="B946" s="4" t="s">
        <v>39</v>
      </c>
      <c r="C946" s="4" t="s">
        <v>23</v>
      </c>
      <c r="D946" s="4" t="s">
        <v>46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44409</v>
      </c>
      <c r="J946" s="6">
        <v>0</v>
      </c>
      <c r="K946" s="6">
        <v>0</v>
      </c>
      <c r="L946" s="6">
        <v>3.0139999999999998</v>
      </c>
      <c r="M946" s="6">
        <v>3.0139999999999998</v>
      </c>
      <c r="N946" s="6">
        <v>3.0139999999999998</v>
      </c>
      <c r="O946" s="6">
        <v>3.0139999999999998</v>
      </c>
      <c r="P946" s="6">
        <v>6</v>
      </c>
      <c r="Q946" s="4" t="s">
        <v>26</v>
      </c>
      <c r="R946" s="4">
        <v>0</v>
      </c>
      <c r="S946" s="4" t="s">
        <v>336</v>
      </c>
      <c r="T946" s="4" t="s">
        <v>558</v>
      </c>
      <c r="U946" s="4">
        <v>0</v>
      </c>
      <c r="V946" s="4">
        <v>58</v>
      </c>
      <c r="W946" s="4">
        <v>99</v>
      </c>
    </row>
    <row r="947" spans="1:23" ht="11.25" customHeight="1" x14ac:dyDescent="0.25">
      <c r="A947" s="4" t="s">
        <v>21</v>
      </c>
      <c r="B947" s="4" t="s">
        <v>39</v>
      </c>
      <c r="C947" s="4" t="s">
        <v>23</v>
      </c>
      <c r="D947" s="4" t="s">
        <v>46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44440</v>
      </c>
      <c r="J947" s="6">
        <v>0</v>
      </c>
      <c r="K947" s="6">
        <v>0</v>
      </c>
      <c r="L947" s="6">
        <v>142.28200000000001</v>
      </c>
      <c r="M947" s="6">
        <v>142.28200000000001</v>
      </c>
      <c r="N947" s="6">
        <v>142.28200000000001</v>
      </c>
      <c r="O947" s="6">
        <v>142.28200000000001</v>
      </c>
      <c r="P947" s="6">
        <v>299</v>
      </c>
      <c r="Q947" s="4" t="s">
        <v>26</v>
      </c>
      <c r="R947" s="4">
        <v>0</v>
      </c>
      <c r="S947" s="4" t="s">
        <v>337</v>
      </c>
      <c r="T947" s="4" t="s">
        <v>559</v>
      </c>
      <c r="U947" s="4">
        <v>0</v>
      </c>
      <c r="V947" s="4">
        <v>58</v>
      </c>
      <c r="W947" s="4">
        <v>99</v>
      </c>
    </row>
    <row r="948" spans="1:23" ht="11.25" customHeight="1" x14ac:dyDescent="0.25">
      <c r="A948" s="4" t="s">
        <v>28</v>
      </c>
      <c r="B948" s="4" t="s">
        <v>39</v>
      </c>
      <c r="C948" s="4" t="s">
        <v>23</v>
      </c>
      <c r="D948" s="4" t="s">
        <v>46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44440</v>
      </c>
      <c r="J948" s="6">
        <v>0</v>
      </c>
      <c r="K948" s="6">
        <v>0</v>
      </c>
      <c r="L948" s="6">
        <v>5.1660000000000004</v>
      </c>
      <c r="M948" s="6">
        <v>5.1660000000000004</v>
      </c>
      <c r="N948" s="6">
        <v>5.1660000000000004</v>
      </c>
      <c r="O948" s="6">
        <v>5.1660000000000004</v>
      </c>
      <c r="P948" s="6">
        <v>6</v>
      </c>
      <c r="Q948" s="4" t="s">
        <v>26</v>
      </c>
      <c r="R948" s="4">
        <v>0</v>
      </c>
      <c r="S948" s="4" t="s">
        <v>337</v>
      </c>
      <c r="T948" s="4" t="s">
        <v>559</v>
      </c>
      <c r="U948" s="4">
        <v>0</v>
      </c>
      <c r="V948" s="4">
        <v>58</v>
      </c>
      <c r="W948" s="4">
        <v>99</v>
      </c>
    </row>
    <row r="949" spans="1:23" ht="11.25" customHeight="1" x14ac:dyDescent="0.25">
      <c r="A949" s="4" t="s">
        <v>21</v>
      </c>
      <c r="B949" s="4" t="s">
        <v>39</v>
      </c>
      <c r="C949" s="4" t="s">
        <v>23</v>
      </c>
      <c r="D949" s="4" t="s">
        <v>46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44470</v>
      </c>
      <c r="J949" s="6">
        <v>0</v>
      </c>
      <c r="K949" s="6">
        <v>0</v>
      </c>
      <c r="L949" s="6">
        <v>142.167</v>
      </c>
      <c r="M949" s="6">
        <v>142.167</v>
      </c>
      <c r="N949" s="6">
        <v>142.167</v>
      </c>
      <c r="O949" s="6">
        <v>142.167</v>
      </c>
      <c r="P949" s="6">
        <v>299</v>
      </c>
      <c r="Q949" s="4" t="s">
        <v>26</v>
      </c>
      <c r="R949" s="4">
        <v>0</v>
      </c>
      <c r="S949" s="4" t="s">
        <v>338</v>
      </c>
      <c r="T949" s="4" t="s">
        <v>560</v>
      </c>
      <c r="U949" s="4">
        <v>0</v>
      </c>
      <c r="V949" s="4">
        <v>58</v>
      </c>
      <c r="W949" s="4">
        <v>99</v>
      </c>
    </row>
    <row r="950" spans="1:23" ht="11.25" customHeight="1" x14ac:dyDescent="0.25">
      <c r="A950" s="4" t="s">
        <v>28</v>
      </c>
      <c r="B950" s="4" t="s">
        <v>39</v>
      </c>
      <c r="C950" s="4" t="s">
        <v>23</v>
      </c>
      <c r="D950" s="4" t="s">
        <v>46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44470</v>
      </c>
      <c r="J950" s="6">
        <v>0</v>
      </c>
      <c r="K950" s="6">
        <v>0</v>
      </c>
      <c r="L950" s="6">
        <v>6.24</v>
      </c>
      <c r="M950" s="6">
        <v>6.24</v>
      </c>
      <c r="N950" s="6">
        <v>6.24</v>
      </c>
      <c r="O950" s="6">
        <v>6.24</v>
      </c>
      <c r="P950" s="6">
        <v>6</v>
      </c>
      <c r="Q950" s="4" t="s">
        <v>26</v>
      </c>
      <c r="R950" s="4">
        <v>0</v>
      </c>
      <c r="S950" s="4" t="s">
        <v>338</v>
      </c>
      <c r="T950" s="4" t="s">
        <v>560</v>
      </c>
      <c r="U950" s="4">
        <v>0</v>
      </c>
      <c r="V950" s="4">
        <v>58</v>
      </c>
      <c r="W950" s="4">
        <v>99</v>
      </c>
    </row>
    <row r="951" spans="1:23" ht="11.25" customHeight="1" x14ac:dyDescent="0.25">
      <c r="A951" s="4" t="s">
        <v>21</v>
      </c>
      <c r="B951" s="4" t="s">
        <v>39</v>
      </c>
      <c r="C951" s="4" t="s">
        <v>23</v>
      </c>
      <c r="D951" s="4" t="s">
        <v>46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44501</v>
      </c>
      <c r="J951" s="6">
        <v>0</v>
      </c>
      <c r="K951" s="6">
        <v>0</v>
      </c>
      <c r="L951" s="6">
        <v>136.66200000000001</v>
      </c>
      <c r="M951" s="6">
        <v>136.66200000000001</v>
      </c>
      <c r="N951" s="6">
        <v>136.66200000000001</v>
      </c>
      <c r="O951" s="6">
        <v>136.66200000000001</v>
      </c>
      <c r="P951" s="6">
        <v>299</v>
      </c>
      <c r="Q951" s="4" t="s">
        <v>26</v>
      </c>
      <c r="R951" s="4">
        <v>0</v>
      </c>
      <c r="S951" s="4" t="s">
        <v>339</v>
      </c>
      <c r="T951" s="4" t="s">
        <v>561</v>
      </c>
      <c r="U951" s="4">
        <v>0</v>
      </c>
      <c r="V951" s="4">
        <v>58</v>
      </c>
      <c r="W951" s="4">
        <v>99</v>
      </c>
    </row>
    <row r="952" spans="1:23" ht="11.25" customHeight="1" x14ac:dyDescent="0.25">
      <c r="A952" s="4" t="s">
        <v>28</v>
      </c>
      <c r="B952" s="4" t="s">
        <v>39</v>
      </c>
      <c r="C952" s="4" t="s">
        <v>23</v>
      </c>
      <c r="D952" s="4" t="s">
        <v>46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44501</v>
      </c>
      <c r="J952" s="6">
        <v>0</v>
      </c>
      <c r="K952" s="6">
        <v>0</v>
      </c>
      <c r="L952" s="6">
        <v>6.6740000000000004</v>
      </c>
      <c r="M952" s="6">
        <v>6.6740000000000004</v>
      </c>
      <c r="N952" s="6">
        <v>6.6740000000000004</v>
      </c>
      <c r="O952" s="6">
        <v>6.6740000000000004</v>
      </c>
      <c r="P952" s="6">
        <v>6</v>
      </c>
      <c r="Q952" s="4" t="s">
        <v>26</v>
      </c>
      <c r="R952" s="4">
        <v>0</v>
      </c>
      <c r="S952" s="4" t="s">
        <v>339</v>
      </c>
      <c r="T952" s="4" t="s">
        <v>561</v>
      </c>
      <c r="U952" s="4">
        <v>0</v>
      </c>
      <c r="V952" s="4">
        <v>58</v>
      </c>
      <c r="W952" s="4">
        <v>99</v>
      </c>
    </row>
    <row r="953" spans="1:23" ht="11.25" customHeight="1" x14ac:dyDescent="0.25">
      <c r="A953" s="4" t="s">
        <v>21</v>
      </c>
      <c r="B953" s="4" t="s">
        <v>39</v>
      </c>
      <c r="C953" s="4" t="s">
        <v>23</v>
      </c>
      <c r="D953" s="4" t="s">
        <v>46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44531</v>
      </c>
      <c r="J953" s="6">
        <v>0</v>
      </c>
      <c r="K953" s="6">
        <v>0</v>
      </c>
      <c r="L953" s="6">
        <v>145.38200000000001</v>
      </c>
      <c r="M953" s="6">
        <v>145.38200000000001</v>
      </c>
      <c r="N953" s="6">
        <v>145.38200000000001</v>
      </c>
      <c r="O953" s="6">
        <v>145.38200000000001</v>
      </c>
      <c r="P953" s="6">
        <v>302</v>
      </c>
      <c r="Q953" s="4" t="s">
        <v>26</v>
      </c>
      <c r="R953" s="4">
        <v>0</v>
      </c>
      <c r="S953" s="4" t="s">
        <v>340</v>
      </c>
      <c r="T953" s="4" t="s">
        <v>562</v>
      </c>
      <c r="U953" s="4">
        <v>0</v>
      </c>
      <c r="V953" s="4">
        <v>58</v>
      </c>
      <c r="W953" s="4">
        <v>99</v>
      </c>
    </row>
    <row r="954" spans="1:23" ht="11.25" customHeight="1" x14ac:dyDescent="0.25">
      <c r="A954" s="4" t="s">
        <v>28</v>
      </c>
      <c r="B954" s="4" t="s">
        <v>39</v>
      </c>
      <c r="C954" s="4" t="s">
        <v>23</v>
      </c>
      <c r="D954" s="4" t="s">
        <v>46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44531</v>
      </c>
      <c r="J954" s="6">
        <v>0</v>
      </c>
      <c r="K954" s="6">
        <v>0</v>
      </c>
      <c r="L954" s="6">
        <v>6.18</v>
      </c>
      <c r="M954" s="6">
        <v>6.18</v>
      </c>
      <c r="N954" s="6">
        <v>6.18</v>
      </c>
      <c r="O954" s="6">
        <v>6.18</v>
      </c>
      <c r="P954" s="6">
        <v>6</v>
      </c>
      <c r="Q954" s="4" t="s">
        <v>26</v>
      </c>
      <c r="R954" s="4">
        <v>0</v>
      </c>
      <c r="S954" s="4" t="s">
        <v>340</v>
      </c>
      <c r="T954" s="4" t="s">
        <v>562</v>
      </c>
      <c r="U954" s="4">
        <v>0</v>
      </c>
      <c r="V954" s="4">
        <v>58</v>
      </c>
      <c r="W954" s="4">
        <v>99</v>
      </c>
    </row>
    <row r="955" spans="1:23" ht="11.25" customHeight="1" x14ac:dyDescent="0.25">
      <c r="A955" s="4" t="s">
        <v>21</v>
      </c>
      <c r="B955" s="4" t="s">
        <v>39</v>
      </c>
      <c r="C955" s="4" t="s">
        <v>23</v>
      </c>
      <c r="D955" s="4" t="s">
        <v>46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44562</v>
      </c>
      <c r="J955" s="6">
        <v>0</v>
      </c>
      <c r="K955" s="6">
        <v>0</v>
      </c>
      <c r="L955" s="6">
        <v>109.54900000000001</v>
      </c>
      <c r="M955" s="6">
        <v>109.54900000000001</v>
      </c>
      <c r="N955" s="6">
        <v>109.54900000000001</v>
      </c>
      <c r="O955" s="6">
        <v>109.54900000000001</v>
      </c>
      <c r="P955" s="6">
        <v>302</v>
      </c>
      <c r="Q955" s="4" t="s">
        <v>26</v>
      </c>
      <c r="R955" s="4">
        <v>0</v>
      </c>
      <c r="S955" s="4" t="s">
        <v>341</v>
      </c>
      <c r="T955" s="4" t="s">
        <v>563</v>
      </c>
      <c r="U955" s="4">
        <v>0</v>
      </c>
      <c r="V955" s="4">
        <v>58</v>
      </c>
      <c r="W955" s="4">
        <v>99</v>
      </c>
    </row>
    <row r="956" spans="1:23" ht="11.25" customHeight="1" x14ac:dyDescent="0.25">
      <c r="A956" s="4" t="s">
        <v>28</v>
      </c>
      <c r="B956" s="4" t="s">
        <v>39</v>
      </c>
      <c r="C956" s="4" t="s">
        <v>23</v>
      </c>
      <c r="D956" s="4" t="s">
        <v>46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44562</v>
      </c>
      <c r="J956" s="6">
        <v>0</v>
      </c>
      <c r="K956" s="6">
        <v>0</v>
      </c>
      <c r="L956" s="6">
        <v>7.5069999999999997</v>
      </c>
      <c r="M956" s="6">
        <v>7.5069999999999997</v>
      </c>
      <c r="N956" s="6">
        <v>7.5069999999999997</v>
      </c>
      <c r="O956" s="6">
        <v>7.5069999999999997</v>
      </c>
      <c r="P956" s="6">
        <v>6</v>
      </c>
      <c r="Q956" s="4" t="s">
        <v>26</v>
      </c>
      <c r="R956" s="4">
        <v>0</v>
      </c>
      <c r="S956" s="4" t="s">
        <v>341</v>
      </c>
      <c r="T956" s="4" t="s">
        <v>563</v>
      </c>
      <c r="U956" s="4">
        <v>0</v>
      </c>
      <c r="V956" s="4">
        <v>58</v>
      </c>
      <c r="W956" s="4">
        <v>99</v>
      </c>
    </row>
    <row r="957" spans="1:23" ht="11.25" customHeight="1" x14ac:dyDescent="0.25">
      <c r="A957" s="4" t="s">
        <v>21</v>
      </c>
      <c r="B957" s="4" t="s">
        <v>39</v>
      </c>
      <c r="C957" s="4" t="s">
        <v>23</v>
      </c>
      <c r="D957" s="4" t="s">
        <v>46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44593</v>
      </c>
      <c r="J957" s="6">
        <v>0</v>
      </c>
      <c r="K957" s="6">
        <v>0</v>
      </c>
      <c r="L957" s="6">
        <v>135.85599999999999</v>
      </c>
      <c r="M957" s="6">
        <v>135.85599999999999</v>
      </c>
      <c r="N957" s="6">
        <v>135.85599999999999</v>
      </c>
      <c r="O957" s="6">
        <v>135.85599999999999</v>
      </c>
      <c r="P957" s="6">
        <v>303</v>
      </c>
      <c r="Q957" s="4" t="s">
        <v>26</v>
      </c>
      <c r="R957" s="4">
        <v>0</v>
      </c>
      <c r="S957" s="4" t="s">
        <v>342</v>
      </c>
      <c r="T957" s="4" t="s">
        <v>564</v>
      </c>
      <c r="U957" s="4">
        <v>0</v>
      </c>
      <c r="V957" s="4">
        <v>58</v>
      </c>
      <c r="W957" s="4">
        <v>99</v>
      </c>
    </row>
    <row r="958" spans="1:23" ht="11.25" customHeight="1" x14ac:dyDescent="0.25">
      <c r="A958" s="4" t="s">
        <v>21</v>
      </c>
      <c r="B958" s="4" t="s">
        <v>39</v>
      </c>
      <c r="C958" s="4" t="s">
        <v>23</v>
      </c>
      <c r="D958" s="4" t="s">
        <v>46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44621</v>
      </c>
      <c r="J958" s="6">
        <v>0</v>
      </c>
      <c r="K958" s="6">
        <v>0</v>
      </c>
      <c r="L958" s="6">
        <v>161.43600000000001</v>
      </c>
      <c r="M958" s="6">
        <v>161.43600000000001</v>
      </c>
      <c r="N958" s="6">
        <v>161.43600000000001</v>
      </c>
      <c r="O958" s="6">
        <v>161.43600000000001</v>
      </c>
      <c r="P958" s="6">
        <v>304</v>
      </c>
      <c r="Q958" s="4" t="s">
        <v>26</v>
      </c>
      <c r="R958" s="4">
        <v>0</v>
      </c>
      <c r="S958" s="4" t="s">
        <v>343</v>
      </c>
      <c r="T958" s="4" t="s">
        <v>565</v>
      </c>
      <c r="U958" s="4">
        <v>0</v>
      </c>
      <c r="V958" s="4">
        <v>58</v>
      </c>
      <c r="W958" s="4">
        <v>99</v>
      </c>
    </row>
    <row r="959" spans="1:23" ht="11.25" customHeight="1" x14ac:dyDescent="0.25">
      <c r="A959" s="4" t="s">
        <v>28</v>
      </c>
      <c r="B959" s="4" t="s">
        <v>39</v>
      </c>
      <c r="C959" s="4" t="s">
        <v>23</v>
      </c>
      <c r="D959" s="4" t="s">
        <v>46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44621</v>
      </c>
      <c r="J959" s="6">
        <v>0</v>
      </c>
      <c r="K959" s="6">
        <v>0</v>
      </c>
      <c r="L959" s="6">
        <v>3.7759999999999998</v>
      </c>
      <c r="M959" s="6">
        <v>3.7759999999999998</v>
      </c>
      <c r="N959" s="6">
        <v>3.7759999999999998</v>
      </c>
      <c r="O959" s="6">
        <v>3.7759999999999998</v>
      </c>
      <c r="P959" s="6">
        <v>6</v>
      </c>
      <c r="Q959" s="4" t="s">
        <v>26</v>
      </c>
      <c r="R959" s="4">
        <v>0</v>
      </c>
      <c r="S959" s="4" t="s">
        <v>343</v>
      </c>
      <c r="T959" s="4" t="s">
        <v>565</v>
      </c>
      <c r="U959" s="4">
        <v>0</v>
      </c>
      <c r="V959" s="4">
        <v>58</v>
      </c>
      <c r="W959" s="4">
        <v>99</v>
      </c>
    </row>
    <row r="960" spans="1:23" ht="11.25" customHeight="1" x14ac:dyDescent="0.25">
      <c r="A960" s="4" t="s">
        <v>21</v>
      </c>
      <c r="B960" s="4" t="s">
        <v>39</v>
      </c>
      <c r="C960" s="4" t="s">
        <v>23</v>
      </c>
      <c r="D960" s="4" t="s">
        <v>46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44652</v>
      </c>
      <c r="J960" s="6">
        <v>0</v>
      </c>
      <c r="K960" s="6">
        <v>0</v>
      </c>
      <c r="L960" s="6">
        <v>151.37100000000001</v>
      </c>
      <c r="M960" s="6">
        <v>151.37100000000001</v>
      </c>
      <c r="N960" s="6">
        <v>151.37100000000001</v>
      </c>
      <c r="O960" s="6">
        <v>151.37100000000001</v>
      </c>
      <c r="P960" s="6">
        <v>301</v>
      </c>
      <c r="Q960" s="4" t="s">
        <v>26</v>
      </c>
      <c r="R960" s="4">
        <v>0</v>
      </c>
      <c r="S960" s="4" t="s">
        <v>344</v>
      </c>
      <c r="T960" s="4" t="s">
        <v>566</v>
      </c>
      <c r="U960" s="4">
        <v>0</v>
      </c>
      <c r="V960" s="4">
        <v>58</v>
      </c>
      <c r="W960" s="4">
        <v>99</v>
      </c>
    </row>
    <row r="961" spans="1:23" ht="11.25" customHeight="1" x14ac:dyDescent="0.25">
      <c r="A961" s="4" t="s">
        <v>28</v>
      </c>
      <c r="B961" s="4" t="s">
        <v>39</v>
      </c>
      <c r="C961" s="4" t="s">
        <v>23</v>
      </c>
      <c r="D961" s="4" t="s">
        <v>46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44652</v>
      </c>
      <c r="J961" s="6">
        <v>0</v>
      </c>
      <c r="K961" s="6">
        <v>0</v>
      </c>
      <c r="L961" s="6">
        <v>5.266</v>
      </c>
      <c r="M961" s="6">
        <v>5.266</v>
      </c>
      <c r="N961" s="6">
        <v>5.266</v>
      </c>
      <c r="O961" s="6">
        <v>5.266</v>
      </c>
      <c r="P961" s="6">
        <v>6</v>
      </c>
      <c r="Q961" s="4" t="s">
        <v>26</v>
      </c>
      <c r="R961" s="4">
        <v>0</v>
      </c>
      <c r="S961" s="4" t="s">
        <v>344</v>
      </c>
      <c r="T961" s="4" t="s">
        <v>566</v>
      </c>
      <c r="U961" s="4">
        <v>0</v>
      </c>
      <c r="V961" s="4">
        <v>58</v>
      </c>
      <c r="W961" s="4">
        <v>99</v>
      </c>
    </row>
    <row r="962" spans="1:23" ht="11.25" customHeight="1" x14ac:dyDescent="0.25">
      <c r="A962" s="4" t="s">
        <v>21</v>
      </c>
      <c r="B962" s="4" t="s">
        <v>39</v>
      </c>
      <c r="C962" s="4" t="s">
        <v>23</v>
      </c>
      <c r="D962" s="4" t="s">
        <v>46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44682</v>
      </c>
      <c r="J962" s="6">
        <v>0</v>
      </c>
      <c r="K962" s="6">
        <v>0</v>
      </c>
      <c r="L962" s="6">
        <v>152.90199999999999</v>
      </c>
      <c r="M962" s="6">
        <v>152.90199999999999</v>
      </c>
      <c r="N962" s="6">
        <v>152.90199999999999</v>
      </c>
      <c r="O962" s="6">
        <v>152.90199999999999</v>
      </c>
      <c r="P962" s="6">
        <v>304</v>
      </c>
      <c r="Q962" s="4" t="s">
        <v>26</v>
      </c>
      <c r="R962" s="4">
        <v>0</v>
      </c>
      <c r="S962" s="4" t="s">
        <v>345</v>
      </c>
      <c r="T962" s="4" t="s">
        <v>567</v>
      </c>
      <c r="U962" s="4">
        <v>0</v>
      </c>
      <c r="V962" s="4">
        <v>58</v>
      </c>
      <c r="W962" s="4">
        <v>99</v>
      </c>
    </row>
    <row r="963" spans="1:23" ht="11.25" customHeight="1" x14ac:dyDescent="0.25">
      <c r="A963" s="4" t="s">
        <v>28</v>
      </c>
      <c r="B963" s="4" t="s">
        <v>39</v>
      </c>
      <c r="C963" s="4" t="s">
        <v>23</v>
      </c>
      <c r="D963" s="4" t="s">
        <v>46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44682</v>
      </c>
      <c r="J963" s="6">
        <v>0</v>
      </c>
      <c r="K963" s="6">
        <v>0</v>
      </c>
      <c r="L963" s="6">
        <v>6.1769999999999996</v>
      </c>
      <c r="M963" s="6">
        <v>6.1769999999999996</v>
      </c>
      <c r="N963" s="6">
        <v>6.1769999999999996</v>
      </c>
      <c r="O963" s="6">
        <v>6.1769999999999996</v>
      </c>
      <c r="P963" s="6">
        <v>6</v>
      </c>
      <c r="Q963" s="4" t="s">
        <v>26</v>
      </c>
      <c r="R963" s="4">
        <v>0</v>
      </c>
      <c r="S963" s="4" t="s">
        <v>345</v>
      </c>
      <c r="T963" s="4" t="s">
        <v>567</v>
      </c>
      <c r="U963" s="4">
        <v>0</v>
      </c>
      <c r="V963" s="4">
        <v>58</v>
      </c>
      <c r="W963" s="4">
        <v>99</v>
      </c>
    </row>
    <row r="964" spans="1:23" ht="11.25" customHeight="1" x14ac:dyDescent="0.25">
      <c r="A964" s="4" t="s">
        <v>21</v>
      </c>
      <c r="B964" s="4" t="s">
        <v>39</v>
      </c>
      <c r="C964" s="4" t="s">
        <v>23</v>
      </c>
      <c r="D964" s="4" t="s">
        <v>50</v>
      </c>
      <c r="E964" s="4" t="s">
        <v>51</v>
      </c>
      <c r="F964" s="4" t="s">
        <v>25</v>
      </c>
      <c r="G964" s="4" t="s">
        <v>25</v>
      </c>
      <c r="H964" s="4" t="s">
        <v>25</v>
      </c>
      <c r="I964" s="5">
        <v>44348</v>
      </c>
      <c r="J964" s="6">
        <v>0</v>
      </c>
      <c r="K964" s="6">
        <v>0</v>
      </c>
      <c r="L964" s="6">
        <v>42.679000000000002</v>
      </c>
      <c r="M964" s="6">
        <v>40.118259999999999</v>
      </c>
      <c r="N964" s="6">
        <v>42.679000000000002</v>
      </c>
      <c r="O964" s="6">
        <v>40.118259999999999</v>
      </c>
      <c r="P964" s="6">
        <v>49</v>
      </c>
      <c r="Q964" s="4" t="s">
        <v>26</v>
      </c>
      <c r="R964" s="4">
        <v>0</v>
      </c>
      <c r="S964" s="4" t="s">
        <v>334</v>
      </c>
      <c r="T964" s="4" t="s">
        <v>556</v>
      </c>
      <c r="U964" s="4">
        <v>0</v>
      </c>
      <c r="V964" s="4">
        <v>58</v>
      </c>
      <c r="W964" s="4">
        <v>99</v>
      </c>
    </row>
    <row r="965" spans="1:23" ht="11.25" customHeight="1" x14ac:dyDescent="0.25">
      <c r="A965" s="4" t="s">
        <v>21</v>
      </c>
      <c r="B965" s="4" t="s">
        <v>39</v>
      </c>
      <c r="C965" s="4" t="s">
        <v>23</v>
      </c>
      <c r="D965" s="4" t="s">
        <v>50</v>
      </c>
      <c r="E965" s="4" t="s">
        <v>51</v>
      </c>
      <c r="F965" s="4" t="s">
        <v>25</v>
      </c>
      <c r="G965" s="4" t="s">
        <v>25</v>
      </c>
      <c r="H965" s="4" t="s">
        <v>25</v>
      </c>
      <c r="I965" s="5">
        <v>44378</v>
      </c>
      <c r="J965" s="6">
        <v>0</v>
      </c>
      <c r="K965" s="6">
        <v>0</v>
      </c>
      <c r="L965" s="6">
        <v>50.063000000000002</v>
      </c>
      <c r="M965" s="6">
        <v>47.059219999999996</v>
      </c>
      <c r="N965" s="6">
        <v>50.063000000000002</v>
      </c>
      <c r="O965" s="6">
        <v>47.059219999999996</v>
      </c>
      <c r="P965" s="6">
        <v>49</v>
      </c>
      <c r="Q965" s="4" t="s">
        <v>26</v>
      </c>
      <c r="R965" s="4">
        <v>0</v>
      </c>
      <c r="S965" s="4" t="s">
        <v>335</v>
      </c>
      <c r="T965" s="4" t="s">
        <v>557</v>
      </c>
      <c r="U965" s="4">
        <v>0</v>
      </c>
      <c r="V965" s="4">
        <v>58</v>
      </c>
      <c r="W965" s="4">
        <v>99</v>
      </c>
    </row>
    <row r="966" spans="1:23" ht="11.25" customHeight="1" x14ac:dyDescent="0.25">
      <c r="A966" s="4" t="s">
        <v>21</v>
      </c>
      <c r="B966" s="4" t="s">
        <v>39</v>
      </c>
      <c r="C966" s="4" t="s">
        <v>23</v>
      </c>
      <c r="D966" s="4" t="s">
        <v>50</v>
      </c>
      <c r="E966" s="4" t="s">
        <v>51</v>
      </c>
      <c r="F966" s="4" t="s">
        <v>25</v>
      </c>
      <c r="G966" s="4" t="s">
        <v>25</v>
      </c>
      <c r="H966" s="4" t="s">
        <v>25</v>
      </c>
      <c r="I966" s="5">
        <v>44409</v>
      </c>
      <c r="J966" s="6">
        <v>0</v>
      </c>
      <c r="K966" s="6">
        <v>0</v>
      </c>
      <c r="L966" s="6">
        <v>49.665999999999997</v>
      </c>
      <c r="M966" s="6">
        <v>46.686039999999998</v>
      </c>
      <c r="N966" s="6">
        <v>49.665999999999997</v>
      </c>
      <c r="O966" s="6">
        <v>46.686039999999998</v>
      </c>
      <c r="P966" s="6">
        <v>49</v>
      </c>
      <c r="Q966" s="4" t="s">
        <v>26</v>
      </c>
      <c r="R966" s="4">
        <v>0</v>
      </c>
      <c r="S966" s="4" t="s">
        <v>336</v>
      </c>
      <c r="T966" s="4" t="s">
        <v>558</v>
      </c>
      <c r="U966" s="4">
        <v>0</v>
      </c>
      <c r="V966" s="4">
        <v>58</v>
      </c>
      <c r="W966" s="4">
        <v>99</v>
      </c>
    </row>
    <row r="967" spans="1:23" ht="11.25" customHeight="1" x14ac:dyDescent="0.25">
      <c r="A967" s="4" t="s">
        <v>21</v>
      </c>
      <c r="B967" s="4" t="s">
        <v>39</v>
      </c>
      <c r="C967" s="4" t="s">
        <v>23</v>
      </c>
      <c r="D967" s="4" t="s">
        <v>50</v>
      </c>
      <c r="E967" s="4" t="s">
        <v>51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6">
        <v>0</v>
      </c>
      <c r="L967" s="6">
        <v>46.872</v>
      </c>
      <c r="M967" s="6">
        <v>44.05968</v>
      </c>
      <c r="N967" s="6">
        <v>46.872</v>
      </c>
      <c r="O967" s="6">
        <v>44.05968</v>
      </c>
      <c r="P967" s="6">
        <v>49</v>
      </c>
      <c r="Q967" s="4" t="s">
        <v>26</v>
      </c>
      <c r="R967" s="4">
        <v>0</v>
      </c>
      <c r="S967" s="4" t="s">
        <v>337</v>
      </c>
      <c r="T967" s="4" t="s">
        <v>559</v>
      </c>
      <c r="U967" s="4">
        <v>0</v>
      </c>
      <c r="V967" s="4">
        <v>58</v>
      </c>
      <c r="W967" s="4">
        <v>99</v>
      </c>
    </row>
    <row r="968" spans="1:23" ht="11.25" customHeight="1" x14ac:dyDescent="0.25">
      <c r="A968" s="4" t="s">
        <v>21</v>
      </c>
      <c r="B968" s="4" t="s">
        <v>39</v>
      </c>
      <c r="C968" s="4" t="s">
        <v>23</v>
      </c>
      <c r="D968" s="4" t="s">
        <v>50</v>
      </c>
      <c r="E968" s="4" t="s">
        <v>51</v>
      </c>
      <c r="F968" s="4" t="s">
        <v>25</v>
      </c>
      <c r="G968" s="4" t="s">
        <v>25</v>
      </c>
      <c r="H968" s="4" t="s">
        <v>25</v>
      </c>
      <c r="I968" s="5">
        <v>44470</v>
      </c>
      <c r="J968" s="6">
        <v>0</v>
      </c>
      <c r="K968" s="6">
        <v>0</v>
      </c>
      <c r="L968" s="6">
        <v>44.296999999999997</v>
      </c>
      <c r="M968" s="6">
        <v>41.639180000000003</v>
      </c>
      <c r="N968" s="6">
        <v>44.296999999999997</v>
      </c>
      <c r="O968" s="6">
        <v>41.639180000000003</v>
      </c>
      <c r="P968" s="6">
        <v>49</v>
      </c>
      <c r="Q968" s="4" t="s">
        <v>26</v>
      </c>
      <c r="R968" s="4">
        <v>0</v>
      </c>
      <c r="S968" s="4" t="s">
        <v>338</v>
      </c>
      <c r="T968" s="4" t="s">
        <v>560</v>
      </c>
      <c r="U968" s="4">
        <v>0</v>
      </c>
      <c r="V968" s="4">
        <v>58</v>
      </c>
      <c r="W968" s="4">
        <v>99</v>
      </c>
    </row>
    <row r="969" spans="1:23" ht="11.25" customHeight="1" x14ac:dyDescent="0.25">
      <c r="A969" s="4" t="s">
        <v>21</v>
      </c>
      <c r="B969" s="4" t="s">
        <v>39</v>
      </c>
      <c r="C969" s="4" t="s">
        <v>23</v>
      </c>
      <c r="D969" s="4" t="s">
        <v>50</v>
      </c>
      <c r="E969" s="4" t="s">
        <v>51</v>
      </c>
      <c r="F969" s="4" t="s">
        <v>25</v>
      </c>
      <c r="G969" s="4" t="s">
        <v>25</v>
      </c>
      <c r="H969" s="4" t="s">
        <v>25</v>
      </c>
      <c r="I969" s="5">
        <v>44501</v>
      </c>
      <c r="J969" s="6">
        <v>0</v>
      </c>
      <c r="K969" s="6">
        <v>0</v>
      </c>
      <c r="L969" s="6">
        <v>44.539000000000001</v>
      </c>
      <c r="M969" s="6">
        <v>41.866660000000003</v>
      </c>
      <c r="N969" s="6">
        <v>44.539000000000001</v>
      </c>
      <c r="O969" s="6">
        <v>41.866660000000003</v>
      </c>
      <c r="P969" s="6">
        <v>49</v>
      </c>
      <c r="Q969" s="4" t="s">
        <v>26</v>
      </c>
      <c r="R969" s="4">
        <v>0</v>
      </c>
      <c r="S969" s="4" t="s">
        <v>339</v>
      </c>
      <c r="T969" s="4" t="s">
        <v>561</v>
      </c>
      <c r="U969" s="4">
        <v>0</v>
      </c>
      <c r="V969" s="4">
        <v>58</v>
      </c>
      <c r="W969" s="4">
        <v>99</v>
      </c>
    </row>
    <row r="970" spans="1:23" ht="11.25" customHeight="1" x14ac:dyDescent="0.25">
      <c r="A970" s="4" t="s">
        <v>21</v>
      </c>
      <c r="B970" s="4" t="s">
        <v>39</v>
      </c>
      <c r="C970" s="4" t="s">
        <v>23</v>
      </c>
      <c r="D970" s="4" t="s">
        <v>50</v>
      </c>
      <c r="E970" s="4" t="s">
        <v>51</v>
      </c>
      <c r="F970" s="4" t="s">
        <v>25</v>
      </c>
      <c r="G970" s="4" t="s">
        <v>25</v>
      </c>
      <c r="H970" s="4" t="s">
        <v>25</v>
      </c>
      <c r="I970" s="5">
        <v>44531</v>
      </c>
      <c r="J970" s="6">
        <v>0</v>
      </c>
      <c r="K970" s="6">
        <v>0</v>
      </c>
      <c r="L970" s="6">
        <v>57.579000000000001</v>
      </c>
      <c r="M970" s="6">
        <v>54.12426</v>
      </c>
      <c r="N970" s="6">
        <v>57.579000000000001</v>
      </c>
      <c r="O970" s="6">
        <v>54.12426</v>
      </c>
      <c r="P970" s="6">
        <v>51</v>
      </c>
      <c r="Q970" s="4" t="s">
        <v>26</v>
      </c>
      <c r="R970" s="4">
        <v>0</v>
      </c>
      <c r="S970" s="4" t="s">
        <v>340</v>
      </c>
      <c r="T970" s="4" t="s">
        <v>562</v>
      </c>
      <c r="U970" s="4">
        <v>0</v>
      </c>
      <c r="V970" s="4">
        <v>58</v>
      </c>
      <c r="W970" s="4">
        <v>99</v>
      </c>
    </row>
    <row r="971" spans="1:23" ht="11.25" customHeight="1" x14ac:dyDescent="0.25">
      <c r="A971" s="4" t="s">
        <v>21</v>
      </c>
      <c r="B971" s="4" t="s">
        <v>39</v>
      </c>
      <c r="C971" s="4" t="s">
        <v>23</v>
      </c>
      <c r="D971" s="4" t="s">
        <v>50</v>
      </c>
      <c r="E971" s="4" t="s">
        <v>51</v>
      </c>
      <c r="F971" s="4" t="s">
        <v>25</v>
      </c>
      <c r="G971" s="4" t="s">
        <v>25</v>
      </c>
      <c r="H971" s="4" t="s">
        <v>25</v>
      </c>
      <c r="I971" s="5">
        <v>44562</v>
      </c>
      <c r="J971" s="6">
        <v>0</v>
      </c>
      <c r="K971" s="6">
        <v>0</v>
      </c>
      <c r="L971" s="6">
        <v>61.433999999999997</v>
      </c>
      <c r="M971" s="6">
        <v>57.747959999999999</v>
      </c>
      <c r="N971" s="6">
        <v>61.433999999999997</v>
      </c>
      <c r="O971" s="6">
        <v>57.747959999999999</v>
      </c>
      <c r="P971" s="6">
        <v>51</v>
      </c>
      <c r="Q971" s="4" t="s">
        <v>26</v>
      </c>
      <c r="R971" s="4">
        <v>0</v>
      </c>
      <c r="S971" s="4" t="s">
        <v>341</v>
      </c>
      <c r="T971" s="4" t="s">
        <v>563</v>
      </c>
      <c r="U971" s="4">
        <v>0</v>
      </c>
      <c r="V971" s="4">
        <v>58</v>
      </c>
      <c r="W971" s="4">
        <v>99</v>
      </c>
    </row>
    <row r="972" spans="1:23" ht="11.25" customHeight="1" x14ac:dyDescent="0.25">
      <c r="A972" s="4" t="s">
        <v>21</v>
      </c>
      <c r="B972" s="4" t="s">
        <v>39</v>
      </c>
      <c r="C972" s="4" t="s">
        <v>23</v>
      </c>
      <c r="D972" s="4" t="s">
        <v>50</v>
      </c>
      <c r="E972" s="4" t="s">
        <v>51</v>
      </c>
      <c r="F972" s="4" t="s">
        <v>25</v>
      </c>
      <c r="G972" s="4" t="s">
        <v>25</v>
      </c>
      <c r="H972" s="4" t="s">
        <v>25</v>
      </c>
      <c r="I972" s="5">
        <v>44593</v>
      </c>
      <c r="J972" s="6">
        <v>0</v>
      </c>
      <c r="K972" s="6">
        <v>0</v>
      </c>
      <c r="L972" s="6">
        <v>66.64</v>
      </c>
      <c r="M972" s="6">
        <v>62.641599999999997</v>
      </c>
      <c r="N972" s="6">
        <v>66.64</v>
      </c>
      <c r="O972" s="6">
        <v>62.641599999999997</v>
      </c>
      <c r="P972" s="6">
        <v>51</v>
      </c>
      <c r="Q972" s="4" t="s">
        <v>26</v>
      </c>
      <c r="R972" s="4">
        <v>0</v>
      </c>
      <c r="S972" s="4" t="s">
        <v>342</v>
      </c>
      <c r="T972" s="4" t="s">
        <v>564</v>
      </c>
      <c r="U972" s="4">
        <v>0</v>
      </c>
      <c r="V972" s="4">
        <v>58</v>
      </c>
      <c r="W972" s="4">
        <v>99</v>
      </c>
    </row>
    <row r="973" spans="1:23" ht="11.25" customHeight="1" x14ac:dyDescent="0.25">
      <c r="A973" s="4" t="s">
        <v>21</v>
      </c>
      <c r="B973" s="4" t="s">
        <v>39</v>
      </c>
      <c r="C973" s="4" t="s">
        <v>23</v>
      </c>
      <c r="D973" s="4" t="s">
        <v>50</v>
      </c>
      <c r="E973" s="4" t="s">
        <v>51</v>
      </c>
      <c r="F973" s="4" t="s">
        <v>25</v>
      </c>
      <c r="G973" s="4" t="s">
        <v>25</v>
      </c>
      <c r="H973" s="4" t="s">
        <v>25</v>
      </c>
      <c r="I973" s="5">
        <v>44621</v>
      </c>
      <c r="J973" s="6">
        <v>0</v>
      </c>
      <c r="K973" s="6">
        <v>0</v>
      </c>
      <c r="L973" s="6">
        <v>65.355000000000004</v>
      </c>
      <c r="M973" s="6">
        <v>61.433700000000002</v>
      </c>
      <c r="N973" s="6">
        <v>65.355000000000004</v>
      </c>
      <c r="O973" s="6">
        <v>61.433700000000002</v>
      </c>
      <c r="P973" s="6">
        <v>51</v>
      </c>
      <c r="Q973" s="4" t="s">
        <v>26</v>
      </c>
      <c r="R973" s="4">
        <v>0</v>
      </c>
      <c r="S973" s="4" t="s">
        <v>343</v>
      </c>
      <c r="T973" s="4" t="s">
        <v>565</v>
      </c>
      <c r="U973" s="4">
        <v>0</v>
      </c>
      <c r="V973" s="4">
        <v>58</v>
      </c>
      <c r="W973" s="4">
        <v>99</v>
      </c>
    </row>
    <row r="974" spans="1:23" ht="11.25" customHeight="1" x14ac:dyDescent="0.25">
      <c r="A974" s="4" t="s">
        <v>21</v>
      </c>
      <c r="B974" s="4" t="s">
        <v>39</v>
      </c>
      <c r="C974" s="4" t="s">
        <v>23</v>
      </c>
      <c r="D974" s="4" t="s">
        <v>50</v>
      </c>
      <c r="E974" s="4" t="s">
        <v>51</v>
      </c>
      <c r="F974" s="4" t="s">
        <v>25</v>
      </c>
      <c r="G974" s="4" t="s">
        <v>25</v>
      </c>
      <c r="H974" s="4" t="s">
        <v>25</v>
      </c>
      <c r="I974" s="5">
        <v>44652</v>
      </c>
      <c r="J974" s="6">
        <v>0</v>
      </c>
      <c r="K974" s="6">
        <v>0</v>
      </c>
      <c r="L974" s="6">
        <v>63.993000000000002</v>
      </c>
      <c r="M974" s="6">
        <v>60.153419999999997</v>
      </c>
      <c r="N974" s="6">
        <v>63.993000000000002</v>
      </c>
      <c r="O974" s="6">
        <v>60.153419999999997</v>
      </c>
      <c r="P974" s="6">
        <v>50</v>
      </c>
      <c r="Q974" s="4" t="s">
        <v>26</v>
      </c>
      <c r="R974" s="4">
        <v>0</v>
      </c>
      <c r="S974" s="4" t="s">
        <v>344</v>
      </c>
      <c r="T974" s="4" t="s">
        <v>566</v>
      </c>
      <c r="U974" s="4">
        <v>0</v>
      </c>
      <c r="V974" s="4">
        <v>58</v>
      </c>
      <c r="W974" s="4">
        <v>99</v>
      </c>
    </row>
    <row r="975" spans="1:23" ht="11.25" customHeight="1" x14ac:dyDescent="0.25">
      <c r="A975" s="4" t="s">
        <v>21</v>
      </c>
      <c r="B975" s="4" t="s">
        <v>39</v>
      </c>
      <c r="C975" s="4" t="s">
        <v>23</v>
      </c>
      <c r="D975" s="4" t="s">
        <v>50</v>
      </c>
      <c r="E975" s="4" t="s">
        <v>51</v>
      </c>
      <c r="F975" s="4" t="s">
        <v>25</v>
      </c>
      <c r="G975" s="4" t="s">
        <v>25</v>
      </c>
      <c r="H975" s="4" t="s">
        <v>25</v>
      </c>
      <c r="I975" s="5">
        <v>44682</v>
      </c>
      <c r="J975" s="6">
        <v>0</v>
      </c>
      <c r="K975" s="6">
        <v>0</v>
      </c>
      <c r="L975" s="6">
        <v>65.480999999999995</v>
      </c>
      <c r="M975" s="6">
        <v>61.552140000000001</v>
      </c>
      <c r="N975" s="6">
        <v>65.480999999999995</v>
      </c>
      <c r="O975" s="6">
        <v>61.552140000000001</v>
      </c>
      <c r="P975" s="6">
        <v>50</v>
      </c>
      <c r="Q975" s="4" t="s">
        <v>26</v>
      </c>
      <c r="R975" s="4">
        <v>0</v>
      </c>
      <c r="S975" s="4" t="s">
        <v>345</v>
      </c>
      <c r="T975" s="4" t="s">
        <v>567</v>
      </c>
      <c r="U975" s="4">
        <v>0</v>
      </c>
      <c r="V975" s="4">
        <v>58</v>
      </c>
      <c r="W975" s="4">
        <v>99</v>
      </c>
    </row>
    <row r="976" spans="1:23" ht="11.25" customHeight="1" x14ac:dyDescent="0.25">
      <c r="A976" s="4" t="s">
        <v>21</v>
      </c>
      <c r="B976" s="4" t="s">
        <v>47</v>
      </c>
      <c r="C976" s="4" t="s">
        <v>23</v>
      </c>
      <c r="D976" s="4" t="s">
        <v>48</v>
      </c>
      <c r="E976" s="4" t="s">
        <v>49</v>
      </c>
      <c r="F976" s="4" t="s">
        <v>25</v>
      </c>
      <c r="G976" s="4" t="s">
        <v>25</v>
      </c>
      <c r="H976" s="4" t="s">
        <v>25</v>
      </c>
      <c r="I976" s="5">
        <v>44348</v>
      </c>
      <c r="J976" s="6">
        <v>0</v>
      </c>
      <c r="K976" s="6">
        <v>0</v>
      </c>
      <c r="L976" s="6">
        <v>993.76</v>
      </c>
      <c r="M976" s="6">
        <v>993.76</v>
      </c>
      <c r="N976" s="6">
        <v>993.76</v>
      </c>
      <c r="O976" s="6">
        <v>993.76</v>
      </c>
      <c r="P976" s="6">
        <v>1</v>
      </c>
      <c r="Q976" s="4" t="s">
        <v>26</v>
      </c>
      <c r="R976" s="4">
        <v>0</v>
      </c>
      <c r="S976" s="4" t="s">
        <v>346</v>
      </c>
      <c r="T976" s="4" t="s">
        <v>568</v>
      </c>
      <c r="U976" s="4">
        <v>0</v>
      </c>
      <c r="V976" s="4">
        <v>60</v>
      </c>
      <c r="W976" s="4">
        <v>101</v>
      </c>
    </row>
    <row r="977" spans="1:23" ht="11.25" customHeight="1" x14ac:dyDescent="0.25">
      <c r="A977" s="4" t="s">
        <v>21</v>
      </c>
      <c r="B977" s="4" t="s">
        <v>47</v>
      </c>
      <c r="C977" s="4" t="s">
        <v>23</v>
      </c>
      <c r="D977" s="4" t="s">
        <v>48</v>
      </c>
      <c r="E977" s="4" t="s">
        <v>49</v>
      </c>
      <c r="F977" s="4" t="s">
        <v>25</v>
      </c>
      <c r="G977" s="4" t="s">
        <v>25</v>
      </c>
      <c r="H977" s="4" t="s">
        <v>25</v>
      </c>
      <c r="I977" s="5">
        <v>44378</v>
      </c>
      <c r="J977" s="6">
        <v>0</v>
      </c>
      <c r="K977" s="6">
        <v>0</v>
      </c>
      <c r="L977" s="6">
        <v>1093.136</v>
      </c>
      <c r="M977" s="6">
        <v>1093.136</v>
      </c>
      <c r="N977" s="6">
        <v>1093.136</v>
      </c>
      <c r="O977" s="6">
        <v>1093.136</v>
      </c>
      <c r="P977" s="6">
        <v>1</v>
      </c>
      <c r="Q977" s="4" t="s">
        <v>26</v>
      </c>
      <c r="R977" s="4">
        <v>0</v>
      </c>
      <c r="S977" s="4" t="s">
        <v>347</v>
      </c>
      <c r="T977" s="4" t="s">
        <v>569</v>
      </c>
      <c r="U977" s="4">
        <v>0</v>
      </c>
      <c r="V977" s="4">
        <v>60</v>
      </c>
      <c r="W977" s="4">
        <v>101</v>
      </c>
    </row>
    <row r="978" spans="1:23" ht="11.25" customHeight="1" x14ac:dyDescent="0.25">
      <c r="A978" s="4" t="s">
        <v>21</v>
      </c>
      <c r="B978" s="4" t="s">
        <v>47</v>
      </c>
      <c r="C978" s="4" t="s">
        <v>23</v>
      </c>
      <c r="D978" s="4" t="s">
        <v>48</v>
      </c>
      <c r="E978" s="4" t="s">
        <v>49</v>
      </c>
      <c r="F978" s="4" t="s">
        <v>25</v>
      </c>
      <c r="G978" s="4" t="s">
        <v>25</v>
      </c>
      <c r="H978" s="4" t="s">
        <v>25</v>
      </c>
      <c r="I978" s="5">
        <v>44409</v>
      </c>
      <c r="J978" s="6">
        <v>0</v>
      </c>
      <c r="K978" s="6">
        <v>0</v>
      </c>
      <c r="L978" s="6">
        <v>1093.135</v>
      </c>
      <c r="M978" s="6">
        <v>1093.135</v>
      </c>
      <c r="N978" s="6">
        <v>1093.135</v>
      </c>
      <c r="O978" s="6">
        <v>1093.135</v>
      </c>
      <c r="P978" s="6">
        <v>1</v>
      </c>
      <c r="Q978" s="4" t="s">
        <v>26</v>
      </c>
      <c r="R978" s="4">
        <v>0</v>
      </c>
      <c r="S978" s="4" t="s">
        <v>348</v>
      </c>
      <c r="T978" s="4" t="s">
        <v>570</v>
      </c>
      <c r="U978" s="4">
        <v>0</v>
      </c>
      <c r="V978" s="4">
        <v>60</v>
      </c>
      <c r="W978" s="4">
        <v>101</v>
      </c>
    </row>
    <row r="979" spans="1:23" ht="11.25" customHeight="1" x14ac:dyDescent="0.25">
      <c r="A979" s="4" t="s">
        <v>21</v>
      </c>
      <c r="B979" s="4" t="s">
        <v>47</v>
      </c>
      <c r="C979" s="4" t="s">
        <v>23</v>
      </c>
      <c r="D979" s="4" t="s">
        <v>48</v>
      </c>
      <c r="E979" s="4" t="s">
        <v>49</v>
      </c>
      <c r="F979" s="4" t="s">
        <v>25</v>
      </c>
      <c r="G979" s="4" t="s">
        <v>25</v>
      </c>
      <c r="H979" s="4" t="s">
        <v>25</v>
      </c>
      <c r="I979" s="5">
        <v>44440</v>
      </c>
      <c r="J979" s="6">
        <v>0</v>
      </c>
      <c r="K979" s="6">
        <v>0</v>
      </c>
      <c r="L979" s="6">
        <v>1026.885</v>
      </c>
      <c r="M979" s="6">
        <v>1026.885</v>
      </c>
      <c r="N979" s="6">
        <v>1026.885</v>
      </c>
      <c r="O979" s="6">
        <v>1026.885</v>
      </c>
      <c r="P979" s="6">
        <v>1</v>
      </c>
      <c r="Q979" s="4" t="s">
        <v>26</v>
      </c>
      <c r="R979" s="4">
        <v>0</v>
      </c>
      <c r="S979" s="4" t="s">
        <v>349</v>
      </c>
      <c r="T979" s="4" t="s">
        <v>571</v>
      </c>
      <c r="U979" s="4">
        <v>0</v>
      </c>
      <c r="V979" s="4">
        <v>60</v>
      </c>
      <c r="W979" s="4">
        <v>101</v>
      </c>
    </row>
    <row r="980" spans="1:23" ht="11.25" customHeight="1" x14ac:dyDescent="0.25">
      <c r="A980" s="4" t="s">
        <v>21</v>
      </c>
      <c r="B980" s="4" t="s">
        <v>47</v>
      </c>
      <c r="C980" s="4" t="s">
        <v>23</v>
      </c>
      <c r="D980" s="4" t="s">
        <v>48</v>
      </c>
      <c r="E980" s="4" t="s">
        <v>49</v>
      </c>
      <c r="F980" s="4" t="s">
        <v>25</v>
      </c>
      <c r="G980" s="4" t="s">
        <v>25</v>
      </c>
      <c r="H980" s="4" t="s">
        <v>25</v>
      </c>
      <c r="I980" s="5">
        <v>44470</v>
      </c>
      <c r="J980" s="6">
        <v>0</v>
      </c>
      <c r="K980" s="6">
        <v>0</v>
      </c>
      <c r="L980" s="6">
        <v>1026.885</v>
      </c>
      <c r="M980" s="6">
        <v>1026.885</v>
      </c>
      <c r="N980" s="6">
        <v>1026.885</v>
      </c>
      <c r="O980" s="6">
        <v>1026.885</v>
      </c>
      <c r="P980" s="6">
        <v>1</v>
      </c>
      <c r="Q980" s="4" t="s">
        <v>26</v>
      </c>
      <c r="R980" s="4">
        <v>0</v>
      </c>
      <c r="S980" s="4" t="s">
        <v>350</v>
      </c>
      <c r="T980" s="4" t="s">
        <v>572</v>
      </c>
      <c r="U980" s="4">
        <v>0</v>
      </c>
      <c r="V980" s="4">
        <v>60</v>
      </c>
      <c r="W980" s="4">
        <v>101</v>
      </c>
    </row>
    <row r="981" spans="1:23" ht="11.25" customHeight="1" x14ac:dyDescent="0.25">
      <c r="A981" s="4" t="s">
        <v>21</v>
      </c>
      <c r="B981" s="4" t="s">
        <v>47</v>
      </c>
      <c r="C981" s="4" t="s">
        <v>23</v>
      </c>
      <c r="D981" s="4" t="s">
        <v>48</v>
      </c>
      <c r="E981" s="4" t="s">
        <v>49</v>
      </c>
      <c r="F981" s="4" t="s">
        <v>25</v>
      </c>
      <c r="G981" s="4" t="s">
        <v>25</v>
      </c>
      <c r="H981" s="4" t="s">
        <v>25</v>
      </c>
      <c r="I981" s="5">
        <v>44501</v>
      </c>
      <c r="J981" s="6">
        <v>0</v>
      </c>
      <c r="K981" s="6">
        <v>0</v>
      </c>
      <c r="L981" s="6">
        <v>993.76</v>
      </c>
      <c r="M981" s="6">
        <v>993.76</v>
      </c>
      <c r="N981" s="6">
        <v>993.76</v>
      </c>
      <c r="O981" s="6">
        <v>993.76</v>
      </c>
      <c r="P981" s="6">
        <v>1</v>
      </c>
      <c r="Q981" s="4" t="s">
        <v>26</v>
      </c>
      <c r="R981" s="4">
        <v>0</v>
      </c>
      <c r="S981" s="4" t="s">
        <v>351</v>
      </c>
      <c r="T981" s="4" t="s">
        <v>573</v>
      </c>
      <c r="U981" s="4">
        <v>0</v>
      </c>
      <c r="V981" s="4">
        <v>60</v>
      </c>
      <c r="W981" s="4">
        <v>101</v>
      </c>
    </row>
    <row r="982" spans="1:23" ht="11.25" customHeight="1" x14ac:dyDescent="0.25">
      <c r="A982" s="4" t="s">
        <v>21</v>
      </c>
      <c r="B982" s="4" t="s">
        <v>47</v>
      </c>
      <c r="C982" s="4" t="s">
        <v>23</v>
      </c>
      <c r="D982" s="4" t="s">
        <v>48</v>
      </c>
      <c r="E982" s="4" t="s">
        <v>49</v>
      </c>
      <c r="F982" s="4" t="s">
        <v>25</v>
      </c>
      <c r="G982" s="4" t="s">
        <v>25</v>
      </c>
      <c r="H982" s="4" t="s">
        <v>25</v>
      </c>
      <c r="I982" s="5">
        <v>44531</v>
      </c>
      <c r="J982" s="6">
        <v>0</v>
      </c>
      <c r="K982" s="6">
        <v>0</v>
      </c>
      <c r="L982" s="6">
        <v>1026.885</v>
      </c>
      <c r="M982" s="6">
        <v>1026.885</v>
      </c>
      <c r="N982" s="6">
        <v>1026.885</v>
      </c>
      <c r="O982" s="6">
        <v>1026.885</v>
      </c>
      <c r="P982" s="6">
        <v>1</v>
      </c>
      <c r="Q982" s="4" t="s">
        <v>26</v>
      </c>
      <c r="R982" s="4">
        <v>0</v>
      </c>
      <c r="S982" s="4" t="s">
        <v>352</v>
      </c>
      <c r="T982" s="4" t="s">
        <v>574</v>
      </c>
      <c r="U982" s="4">
        <v>0</v>
      </c>
      <c r="V982" s="4">
        <v>60</v>
      </c>
      <c r="W982" s="4">
        <v>101</v>
      </c>
    </row>
    <row r="983" spans="1:23" ht="11.25" customHeight="1" x14ac:dyDescent="0.25">
      <c r="A983" s="4" t="s">
        <v>21</v>
      </c>
      <c r="B983" s="4" t="s">
        <v>47</v>
      </c>
      <c r="C983" s="4" t="s">
        <v>23</v>
      </c>
      <c r="D983" s="4" t="s">
        <v>48</v>
      </c>
      <c r="E983" s="4" t="s">
        <v>49</v>
      </c>
      <c r="F983" s="4" t="s">
        <v>25</v>
      </c>
      <c r="G983" s="4" t="s">
        <v>25</v>
      </c>
      <c r="H983" s="4" t="s">
        <v>25</v>
      </c>
      <c r="I983" s="5">
        <v>44562</v>
      </c>
      <c r="J983" s="6">
        <v>0</v>
      </c>
      <c r="K983" s="6">
        <v>0</v>
      </c>
      <c r="L983" s="6">
        <v>899.43499999999995</v>
      </c>
      <c r="M983" s="6">
        <v>899.43499999999995</v>
      </c>
      <c r="N983" s="6">
        <v>899.43499999999995</v>
      </c>
      <c r="O983" s="6">
        <v>899.43499999999995</v>
      </c>
      <c r="P983" s="6">
        <v>1</v>
      </c>
      <c r="Q983" s="4" t="s">
        <v>26</v>
      </c>
      <c r="R983" s="4">
        <v>0</v>
      </c>
      <c r="S983" s="4" t="s">
        <v>353</v>
      </c>
      <c r="T983" s="4" t="s">
        <v>575</v>
      </c>
      <c r="U983" s="4">
        <v>0</v>
      </c>
      <c r="V983" s="4">
        <v>60</v>
      </c>
      <c r="W983" s="4">
        <v>101</v>
      </c>
    </row>
    <row r="984" spans="1:23" ht="11.25" customHeight="1" x14ac:dyDescent="0.25">
      <c r="A984" s="4" t="s">
        <v>21</v>
      </c>
      <c r="B984" s="4" t="s">
        <v>47</v>
      </c>
      <c r="C984" s="4" t="s">
        <v>23</v>
      </c>
      <c r="D984" s="4" t="s">
        <v>48</v>
      </c>
      <c r="E984" s="4" t="s">
        <v>49</v>
      </c>
      <c r="F984" s="4" t="s">
        <v>25</v>
      </c>
      <c r="G984" s="4" t="s">
        <v>25</v>
      </c>
      <c r="H984" s="4" t="s">
        <v>25</v>
      </c>
      <c r="I984" s="5">
        <v>44593</v>
      </c>
      <c r="J984" s="6">
        <v>0</v>
      </c>
      <c r="K984" s="6">
        <v>0</v>
      </c>
      <c r="L984" s="6">
        <v>858.42399999999998</v>
      </c>
      <c r="M984" s="6">
        <v>858.42399999999998</v>
      </c>
      <c r="N984" s="6">
        <v>858.42399999999998</v>
      </c>
      <c r="O984" s="6">
        <v>858.42399999999998</v>
      </c>
      <c r="P984" s="6">
        <v>1</v>
      </c>
      <c r="Q984" s="4" t="s">
        <v>26</v>
      </c>
      <c r="R984" s="4">
        <v>0</v>
      </c>
      <c r="S984" s="4" t="s">
        <v>354</v>
      </c>
      <c r="T984" s="4" t="s">
        <v>576</v>
      </c>
      <c r="U984" s="4">
        <v>0</v>
      </c>
      <c r="V984" s="4">
        <v>60</v>
      </c>
      <c r="W984" s="4">
        <v>101</v>
      </c>
    </row>
    <row r="985" spans="1:23" ht="11.25" customHeight="1" x14ac:dyDescent="0.25">
      <c r="A985" s="4" t="s">
        <v>21</v>
      </c>
      <c r="B985" s="4" t="s">
        <v>47</v>
      </c>
      <c r="C985" s="4" t="s">
        <v>23</v>
      </c>
      <c r="D985" s="4" t="s">
        <v>48</v>
      </c>
      <c r="E985" s="4" t="s">
        <v>49</v>
      </c>
      <c r="F985" s="4" t="s">
        <v>25</v>
      </c>
      <c r="G985" s="4" t="s">
        <v>25</v>
      </c>
      <c r="H985" s="4" t="s">
        <v>25</v>
      </c>
      <c r="I985" s="5">
        <v>44621</v>
      </c>
      <c r="J985" s="6">
        <v>0</v>
      </c>
      <c r="K985" s="6">
        <v>0</v>
      </c>
      <c r="L985" s="6">
        <v>1004.369</v>
      </c>
      <c r="M985" s="6">
        <v>1004.369</v>
      </c>
      <c r="N985" s="6">
        <v>1004.369</v>
      </c>
      <c r="O985" s="6">
        <v>1004.369</v>
      </c>
      <c r="P985" s="6">
        <v>1</v>
      </c>
      <c r="Q985" s="4" t="s">
        <v>26</v>
      </c>
      <c r="R985" s="4">
        <v>0</v>
      </c>
      <c r="S985" s="4" t="s">
        <v>355</v>
      </c>
      <c r="T985" s="4" t="s">
        <v>577</v>
      </c>
      <c r="U985" s="4">
        <v>0</v>
      </c>
      <c r="V985" s="4">
        <v>60</v>
      </c>
      <c r="W985" s="4">
        <v>101</v>
      </c>
    </row>
    <row r="986" spans="1:23" ht="11.25" customHeight="1" x14ac:dyDescent="0.25">
      <c r="A986" s="4" t="s">
        <v>21</v>
      </c>
      <c r="B986" s="4" t="s">
        <v>47</v>
      </c>
      <c r="C986" s="4" t="s">
        <v>23</v>
      </c>
      <c r="D986" s="4" t="s">
        <v>48</v>
      </c>
      <c r="E986" s="4" t="s">
        <v>49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1044.548</v>
      </c>
      <c r="M986" s="6">
        <v>1044.548</v>
      </c>
      <c r="N986" s="6">
        <v>1044.548</v>
      </c>
      <c r="O986" s="6">
        <v>1044.548</v>
      </c>
      <c r="P986" s="6">
        <v>1</v>
      </c>
      <c r="Q986" s="4" t="s">
        <v>26</v>
      </c>
      <c r="R986" s="4">
        <v>0</v>
      </c>
      <c r="S986" s="4" t="s">
        <v>356</v>
      </c>
      <c r="T986" s="4" t="s">
        <v>578</v>
      </c>
      <c r="U986" s="4">
        <v>0</v>
      </c>
      <c r="V986" s="4">
        <v>60</v>
      </c>
      <c r="W986" s="4">
        <v>101</v>
      </c>
    </row>
    <row r="987" spans="1:23" ht="11.25" customHeight="1" x14ac:dyDescent="0.25">
      <c r="A987" s="4" t="s">
        <v>21</v>
      </c>
      <c r="B987" s="4" t="s">
        <v>47</v>
      </c>
      <c r="C987" s="4" t="s">
        <v>23</v>
      </c>
      <c r="D987" s="4" t="s">
        <v>48</v>
      </c>
      <c r="E987" s="4" t="s">
        <v>49</v>
      </c>
      <c r="F987" s="4" t="s">
        <v>25</v>
      </c>
      <c r="G987" s="4" t="s">
        <v>25</v>
      </c>
      <c r="H987" s="4" t="s">
        <v>25</v>
      </c>
      <c r="I987" s="5">
        <v>44682</v>
      </c>
      <c r="J987" s="6">
        <v>0</v>
      </c>
      <c r="K987" s="6">
        <v>0</v>
      </c>
      <c r="L987" s="6">
        <v>1139.2840000000001</v>
      </c>
      <c r="M987" s="6">
        <v>1139.2840000000001</v>
      </c>
      <c r="N987" s="6">
        <v>1139.2840000000001</v>
      </c>
      <c r="O987" s="6">
        <v>1139.2840000000001</v>
      </c>
      <c r="P987" s="6">
        <v>1</v>
      </c>
      <c r="Q987" s="4" t="s">
        <v>26</v>
      </c>
      <c r="R987" s="4">
        <v>0</v>
      </c>
      <c r="S987" s="4" t="s">
        <v>357</v>
      </c>
      <c r="T987" s="4" t="s">
        <v>579</v>
      </c>
      <c r="U987" s="4">
        <v>0</v>
      </c>
      <c r="V987" s="4">
        <v>60</v>
      </c>
      <c r="W987" s="4">
        <v>101</v>
      </c>
    </row>
  </sheetData>
  <autoFilter ref="A1:W987" xr:uid="{34153E67-B5E8-42FD-B250-D0FEF70E0715}"/>
  <sortState xmlns:xlrd2="http://schemas.microsoft.com/office/spreadsheetml/2017/richdata2" ref="A2:W987">
    <sortCondition ref="B2:B987"/>
    <sortCondition ref="C2:C987"/>
    <sortCondition ref="D2:D987"/>
    <sortCondition ref="E2:E987"/>
    <sortCondition ref="F2:F987"/>
    <sortCondition ref="H2:H98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081A-4F1B-436F-82ED-00281E38C2B7}">
  <sheetPr>
    <tabColor theme="9" tint="-0.249977111117893"/>
  </sheetPr>
  <dimension ref="B2:V29"/>
  <sheetViews>
    <sheetView topLeftCell="A16" workbookViewId="0">
      <selection activeCell="L38" sqref="L38"/>
    </sheetView>
  </sheetViews>
  <sheetFormatPr defaultRowHeight="15" x14ac:dyDescent="0.25"/>
  <cols>
    <col min="2" max="2" width="35.140625" bestFit="1" customWidth="1"/>
    <col min="10" max="10" width="11.28515625" bestFit="1" customWidth="1"/>
    <col min="18" max="22" width="14.28515625" bestFit="1" customWidth="1"/>
  </cols>
  <sheetData>
    <row r="2" spans="2:22" x14ac:dyDescent="0.25">
      <c r="R2" t="s">
        <v>1335</v>
      </c>
    </row>
    <row r="3" spans="2:22" x14ac:dyDescent="0.25">
      <c r="B3" s="120" t="s">
        <v>762</v>
      </c>
      <c r="C3" s="120" t="s">
        <v>1350</v>
      </c>
      <c r="D3" s="120" t="s">
        <v>1351</v>
      </c>
      <c r="E3" s="120" t="s">
        <v>1352</v>
      </c>
      <c r="F3" s="120" t="s">
        <v>1353</v>
      </c>
      <c r="G3" s="120" t="s">
        <v>1354</v>
      </c>
      <c r="H3" s="120" t="s">
        <v>1348</v>
      </c>
      <c r="J3" s="130" t="s">
        <v>1333</v>
      </c>
      <c r="K3" s="130"/>
      <c r="L3" s="130"/>
      <c r="M3" s="130" t="s">
        <v>1356</v>
      </c>
      <c r="N3" s="130"/>
      <c r="O3" s="130"/>
      <c r="R3" s="120" t="s">
        <v>1350</v>
      </c>
      <c r="S3" s="120" t="s">
        <v>1351</v>
      </c>
      <c r="T3" s="120" t="s">
        <v>1352</v>
      </c>
      <c r="U3" s="120" t="s">
        <v>1353</v>
      </c>
      <c r="V3" s="120" t="s">
        <v>1354</v>
      </c>
    </row>
    <row r="4" spans="2:22" x14ac:dyDescent="0.25">
      <c r="B4" s="121" t="s">
        <v>22</v>
      </c>
      <c r="C4" s="122">
        <v>7552.9210000000003</v>
      </c>
      <c r="D4" s="122">
        <v>7943.8010000000004</v>
      </c>
      <c r="E4" s="122">
        <v>7732.8879999999999</v>
      </c>
      <c r="F4" s="122">
        <v>7497.4609999999993</v>
      </c>
      <c r="G4" s="122">
        <v>7589.7660000000014</v>
      </c>
      <c r="H4" s="122">
        <v>38316.836999999992</v>
      </c>
      <c r="J4" t="s">
        <v>581</v>
      </c>
      <c r="K4" t="s">
        <v>609</v>
      </c>
      <c r="L4" t="s">
        <v>619</v>
      </c>
      <c r="M4" t="s">
        <v>581</v>
      </c>
      <c r="N4" t="s">
        <v>609</v>
      </c>
      <c r="O4" t="s">
        <v>619</v>
      </c>
    </row>
    <row r="5" spans="2:22" x14ac:dyDescent="0.25">
      <c r="B5" s="123" t="s">
        <v>36</v>
      </c>
      <c r="C5" s="82">
        <v>2.2250000000000001</v>
      </c>
      <c r="D5" s="82">
        <v>2.3790000000000004</v>
      </c>
      <c r="E5" s="82">
        <v>2.2449999999999997</v>
      </c>
      <c r="F5" s="82">
        <v>2.2189999999999999</v>
      </c>
      <c r="G5" s="82">
        <v>2.0409999999999999</v>
      </c>
      <c r="H5" s="82">
        <v>11.109000000000002</v>
      </c>
      <c r="L5">
        <f>J5+K5</f>
        <v>0</v>
      </c>
      <c r="O5">
        <f>M5+N5</f>
        <v>0</v>
      </c>
    </row>
    <row r="6" spans="2:22" x14ac:dyDescent="0.25">
      <c r="B6" s="118" t="s">
        <v>35</v>
      </c>
      <c r="C6">
        <v>1.9159999999999999</v>
      </c>
      <c r="D6">
        <v>2.0550000000000002</v>
      </c>
      <c r="E6">
        <v>1.95</v>
      </c>
      <c r="F6">
        <v>1.927</v>
      </c>
      <c r="G6">
        <v>1.7849999999999999</v>
      </c>
      <c r="H6">
        <v>9.6330000000000009</v>
      </c>
      <c r="J6">
        <f>'TAR FIN'!Q30</f>
        <v>151.41</v>
      </c>
      <c r="K6">
        <f>'TAR FIN'!Q71</f>
        <v>284.36</v>
      </c>
      <c r="L6">
        <f t="shared" ref="L6:L28" si="0">J6+K6</f>
        <v>435.77</v>
      </c>
      <c r="M6">
        <f>'TAR FIN COPEL'!O185</f>
        <v>198.56</v>
      </c>
      <c r="N6">
        <f>'TAR FIN COPEL'!O33</f>
        <v>275.36</v>
      </c>
      <c r="O6">
        <f t="shared" ref="O6:O28" si="1">M6+N6</f>
        <v>473.92</v>
      </c>
      <c r="R6" s="124">
        <f>($L6-$O6)*C6*26/31</f>
        <v>-61.305819354838768</v>
      </c>
      <c r="S6" s="124">
        <f t="shared" ref="S6:V6" si="2">($L6-$O6)*D6</f>
        <v>-78.398250000000075</v>
      </c>
      <c r="T6" s="124">
        <f t="shared" si="2"/>
        <v>-74.392500000000069</v>
      </c>
      <c r="U6" s="124">
        <f t="shared" si="2"/>
        <v>-73.515050000000073</v>
      </c>
      <c r="V6" s="124">
        <f t="shared" si="2"/>
        <v>-68.097750000000062</v>
      </c>
    </row>
    <row r="7" spans="2:22" x14ac:dyDescent="0.25">
      <c r="B7" s="118" t="s">
        <v>38</v>
      </c>
      <c r="C7">
        <v>0.13200000000000001</v>
      </c>
      <c r="D7">
        <v>0.13600000000000001</v>
      </c>
      <c r="E7">
        <v>0.11600000000000001</v>
      </c>
      <c r="F7">
        <v>0.125</v>
      </c>
      <c r="G7">
        <v>0.115</v>
      </c>
      <c r="H7">
        <v>0.624</v>
      </c>
      <c r="J7">
        <f>'TAR FIN'!Q29</f>
        <v>384.22</v>
      </c>
      <c r="K7">
        <f>'TAR FIN'!Q70</f>
        <v>284.36</v>
      </c>
      <c r="L7">
        <f t="shared" si="0"/>
        <v>668.58</v>
      </c>
      <c r="M7">
        <f>'TAR FIN COPEL'!O186</f>
        <v>380.18</v>
      </c>
      <c r="N7">
        <f>'TAR FIN COPEL'!O34</f>
        <v>275.36</v>
      </c>
      <c r="O7">
        <f t="shared" si="1"/>
        <v>655.54</v>
      </c>
      <c r="R7" s="124">
        <f t="shared" ref="R7:R28" si="3">($L7-$O7)*C7*26/31</f>
        <v>1.4436541935483957</v>
      </c>
      <c r="S7" s="124">
        <f t="shared" ref="S7:S28" si="4">($L7-$O7)*D7</f>
        <v>1.7734400000000106</v>
      </c>
      <c r="T7" s="124">
        <f t="shared" ref="T7:T28" si="5">($L7-$O7)*E7</f>
        <v>1.5126400000000091</v>
      </c>
      <c r="U7" s="124">
        <f t="shared" ref="U7:U28" si="6">($L7-$O7)*F7</f>
        <v>1.6300000000000097</v>
      </c>
      <c r="V7" s="124">
        <f t="shared" ref="V7:V28" si="7">($L7-$O7)*G7</f>
        <v>1.4996000000000089</v>
      </c>
    </row>
    <row r="8" spans="2:22" x14ac:dyDescent="0.25">
      <c r="B8" s="118" t="s">
        <v>37</v>
      </c>
      <c r="C8">
        <v>0.17699999999999999</v>
      </c>
      <c r="D8">
        <v>0.188</v>
      </c>
      <c r="E8">
        <v>0.17899999999999999</v>
      </c>
      <c r="F8">
        <v>0.16700000000000001</v>
      </c>
      <c r="G8">
        <v>0.14099999999999999</v>
      </c>
      <c r="H8">
        <v>0.85200000000000009</v>
      </c>
      <c r="J8">
        <f>'TAR FIN'!Q28</f>
        <v>1257.26</v>
      </c>
      <c r="K8">
        <f>'TAR FIN'!Q69</f>
        <v>454.9</v>
      </c>
      <c r="L8">
        <f t="shared" si="0"/>
        <v>1712.1599999999999</v>
      </c>
      <c r="M8">
        <f>'TAR FIN COPEL'!O187</f>
        <v>561.79999999999995</v>
      </c>
      <c r="N8">
        <f>'TAR FIN COPEL'!O35</f>
        <v>437.87</v>
      </c>
      <c r="O8">
        <f t="shared" si="1"/>
        <v>999.67</v>
      </c>
      <c r="R8" s="124">
        <f t="shared" si="3"/>
        <v>105.77028967741934</v>
      </c>
      <c r="S8" s="124">
        <f t="shared" si="4"/>
        <v>133.94811999999999</v>
      </c>
      <c r="T8" s="124">
        <f t="shared" si="5"/>
        <v>127.53570999999998</v>
      </c>
      <c r="U8" s="124">
        <f t="shared" si="6"/>
        <v>118.98582999999999</v>
      </c>
      <c r="V8" s="124">
        <f t="shared" si="7"/>
        <v>100.46108999999997</v>
      </c>
    </row>
    <row r="9" spans="2:22" x14ac:dyDescent="0.25">
      <c r="B9" s="123" t="s">
        <v>23</v>
      </c>
      <c r="C9" s="82">
        <v>7550.6959999999999</v>
      </c>
      <c r="D9" s="82">
        <v>7941.4220000000005</v>
      </c>
      <c r="E9" s="82">
        <v>7730.643</v>
      </c>
      <c r="F9" s="82">
        <v>7495.2419999999993</v>
      </c>
      <c r="G9" s="82">
        <v>7587.7250000000013</v>
      </c>
      <c r="H9" s="82">
        <v>38305.727999999996</v>
      </c>
      <c r="L9">
        <f t="shared" si="0"/>
        <v>0</v>
      </c>
      <c r="O9">
        <f t="shared" si="1"/>
        <v>0</v>
      </c>
      <c r="R9" s="124">
        <f t="shared" si="3"/>
        <v>0</v>
      </c>
      <c r="S9" s="124">
        <f t="shared" si="4"/>
        <v>0</v>
      </c>
      <c r="T9" s="124">
        <f t="shared" si="5"/>
        <v>0</v>
      </c>
      <c r="U9" s="124">
        <f t="shared" si="6"/>
        <v>0</v>
      </c>
      <c r="V9" s="124">
        <f t="shared" si="7"/>
        <v>0</v>
      </c>
    </row>
    <row r="10" spans="2:22" x14ac:dyDescent="0.25">
      <c r="B10" s="119" t="s">
        <v>24</v>
      </c>
      <c r="C10">
        <v>6950.9009999999998</v>
      </c>
      <c r="D10">
        <v>7281.8410000000003</v>
      </c>
      <c r="E10">
        <v>7040.7219999999998</v>
      </c>
      <c r="F10">
        <v>6827.5769999999993</v>
      </c>
      <c r="G10">
        <v>6911.9540000000006</v>
      </c>
      <c r="H10">
        <v>35012.994999999995</v>
      </c>
      <c r="J10">
        <f>'TAR FIN'!Q31</f>
        <v>308.77</v>
      </c>
      <c r="K10">
        <f>'TAR FIN'!Q72</f>
        <v>298.58</v>
      </c>
      <c r="L10">
        <f t="shared" si="0"/>
        <v>607.34999999999991</v>
      </c>
      <c r="M10">
        <f>'TAR FIN COPEL'!O188</f>
        <v>269.91000000000003</v>
      </c>
      <c r="N10">
        <f>'TAR FIN COPEL'!O28</f>
        <v>288.89999999999998</v>
      </c>
      <c r="O10">
        <f t="shared" si="1"/>
        <v>558.80999999999995</v>
      </c>
      <c r="R10" s="124">
        <f t="shared" si="3"/>
        <v>282977.90638838691</v>
      </c>
      <c r="S10" s="124">
        <f t="shared" si="4"/>
        <v>353460.56213999976</v>
      </c>
      <c r="T10" s="124">
        <f t="shared" si="5"/>
        <v>341756.64587999973</v>
      </c>
      <c r="U10" s="124">
        <f t="shared" si="6"/>
        <v>331410.5875799997</v>
      </c>
      <c r="V10" s="124">
        <f t="shared" si="7"/>
        <v>335506.2471599998</v>
      </c>
    </row>
    <row r="11" spans="2:22" x14ac:dyDescent="0.25">
      <c r="B11" s="119" t="s">
        <v>29</v>
      </c>
      <c r="C11">
        <v>137.904</v>
      </c>
      <c r="D11">
        <v>142.95599999999999</v>
      </c>
      <c r="E11">
        <v>153.839</v>
      </c>
      <c r="F11">
        <v>154.833</v>
      </c>
      <c r="G11">
        <v>156.327</v>
      </c>
      <c r="H11">
        <v>745.85900000000004</v>
      </c>
      <c r="J11">
        <f>'TAR FIN'!Q35</f>
        <v>239.1</v>
      </c>
      <c r="K11">
        <f>K10</f>
        <v>298.58</v>
      </c>
      <c r="L11">
        <f t="shared" si="0"/>
        <v>537.67999999999995</v>
      </c>
      <c r="M11">
        <f>'TAR FIN COPEL'!O192</f>
        <v>195.8</v>
      </c>
      <c r="N11">
        <f>'TAR FIN COPEL'!O32</f>
        <v>288.89999999999998</v>
      </c>
      <c r="O11">
        <f t="shared" si="1"/>
        <v>484.7</v>
      </c>
      <c r="R11" s="124">
        <f t="shared" si="3"/>
        <v>6127.7419974193508</v>
      </c>
      <c r="S11" s="124">
        <f t="shared" si="4"/>
        <v>7573.8088799999941</v>
      </c>
      <c r="T11" s="124">
        <f t="shared" si="5"/>
        <v>8150.3902199999939</v>
      </c>
      <c r="U11" s="124">
        <f t="shared" si="6"/>
        <v>8203.0523399999947</v>
      </c>
      <c r="V11" s="124">
        <f t="shared" si="7"/>
        <v>8282.2044599999936</v>
      </c>
    </row>
    <row r="12" spans="2:22" x14ac:dyDescent="0.25">
      <c r="B12" s="119" t="s">
        <v>30</v>
      </c>
      <c r="C12">
        <v>267.66400000000004</v>
      </c>
      <c r="D12">
        <v>283.09500000000003</v>
      </c>
      <c r="E12">
        <v>299.08600000000001</v>
      </c>
      <c r="F12">
        <v>295.02300000000002</v>
      </c>
      <c r="G12">
        <v>296.67599999999999</v>
      </c>
      <c r="H12">
        <v>1441.5439999999999</v>
      </c>
      <c r="J12">
        <f>J11</f>
        <v>239.1</v>
      </c>
      <c r="K12">
        <f t="shared" ref="K12:K14" si="8">K11</f>
        <v>298.58</v>
      </c>
      <c r="L12">
        <f t="shared" si="0"/>
        <v>537.67999999999995</v>
      </c>
      <c r="M12">
        <f>M11</f>
        <v>195.8</v>
      </c>
      <c r="N12">
        <f>N11</f>
        <v>288.89999999999998</v>
      </c>
      <c r="O12">
        <f t="shared" si="1"/>
        <v>484.7</v>
      </c>
      <c r="R12" s="124">
        <f t="shared" si="3"/>
        <v>11893.60666838709</v>
      </c>
      <c r="S12" s="124">
        <f t="shared" si="4"/>
        <v>14998.37309999999</v>
      </c>
      <c r="T12" s="124">
        <f t="shared" si="5"/>
        <v>15845.576279999988</v>
      </c>
      <c r="U12" s="124">
        <f t="shared" si="6"/>
        <v>15630.318539999989</v>
      </c>
      <c r="V12" s="124">
        <f t="shared" si="7"/>
        <v>15717.894479999988</v>
      </c>
    </row>
    <row r="13" spans="2:22" x14ac:dyDescent="0.25">
      <c r="B13" s="119" t="s">
        <v>31</v>
      </c>
      <c r="C13">
        <v>164.28</v>
      </c>
      <c r="D13">
        <v>191.77099999999999</v>
      </c>
      <c r="E13">
        <v>193.261</v>
      </c>
      <c r="F13">
        <v>183.00200000000001</v>
      </c>
      <c r="G13">
        <v>185.41199999999998</v>
      </c>
      <c r="H13">
        <v>917.72600000000011</v>
      </c>
      <c r="J13">
        <f t="shared" ref="J13:J14" si="9">J12</f>
        <v>239.1</v>
      </c>
      <c r="K13">
        <f t="shared" si="8"/>
        <v>298.58</v>
      </c>
      <c r="L13">
        <f t="shared" si="0"/>
        <v>537.67999999999995</v>
      </c>
      <c r="M13">
        <f t="shared" ref="M13:M14" si="10">M12</f>
        <v>195.8</v>
      </c>
      <c r="N13">
        <f>N11</f>
        <v>288.89999999999998</v>
      </c>
      <c r="O13">
        <f t="shared" si="1"/>
        <v>484.7</v>
      </c>
      <c r="R13" s="124">
        <f t="shared" si="3"/>
        <v>7299.7553032258011</v>
      </c>
      <c r="S13" s="124">
        <f t="shared" si="4"/>
        <v>10160.027579999993</v>
      </c>
      <c r="T13" s="124">
        <f t="shared" si="5"/>
        <v>10238.967779999992</v>
      </c>
      <c r="U13" s="124">
        <f t="shared" si="6"/>
        <v>9695.4459599999936</v>
      </c>
      <c r="V13" s="124">
        <f t="shared" si="7"/>
        <v>9823.1277599999921</v>
      </c>
    </row>
    <row r="14" spans="2:22" x14ac:dyDescent="0.25">
      <c r="B14" s="119" t="s">
        <v>32</v>
      </c>
      <c r="C14">
        <v>29.946999999999999</v>
      </c>
      <c r="D14">
        <v>41.759</v>
      </c>
      <c r="E14">
        <v>43.734999999999999</v>
      </c>
      <c r="F14">
        <v>34.807000000000002</v>
      </c>
      <c r="G14">
        <v>37.356000000000002</v>
      </c>
      <c r="H14">
        <v>187.60399999999998</v>
      </c>
      <c r="J14">
        <f t="shared" si="9"/>
        <v>239.1</v>
      </c>
      <c r="K14">
        <f t="shared" si="8"/>
        <v>298.58</v>
      </c>
      <c r="L14">
        <f t="shared" si="0"/>
        <v>537.67999999999995</v>
      </c>
      <c r="M14">
        <f t="shared" si="10"/>
        <v>195.8</v>
      </c>
      <c r="N14">
        <f>N11</f>
        <v>288.89999999999998</v>
      </c>
      <c r="O14">
        <f t="shared" si="1"/>
        <v>484.7</v>
      </c>
      <c r="R14" s="124">
        <f t="shared" si="3"/>
        <v>1330.6901148387087</v>
      </c>
      <c r="S14" s="124">
        <f t="shared" si="4"/>
        <v>2212.3918199999985</v>
      </c>
      <c r="T14" s="124">
        <f t="shared" si="5"/>
        <v>2317.0802999999983</v>
      </c>
      <c r="U14" s="124">
        <f t="shared" si="6"/>
        <v>1844.0748599999988</v>
      </c>
      <c r="V14" s="124">
        <f t="shared" si="7"/>
        <v>1979.1208799999986</v>
      </c>
    </row>
    <row r="15" spans="2:22" x14ac:dyDescent="0.25">
      <c r="B15" s="121" t="s">
        <v>44</v>
      </c>
      <c r="C15" s="122">
        <v>526.11099999999999</v>
      </c>
      <c r="D15" s="122">
        <v>521.06500000000005</v>
      </c>
      <c r="E15" s="122">
        <v>514.72199999999998</v>
      </c>
      <c r="F15" s="122">
        <v>492.42</v>
      </c>
      <c r="G15" s="122">
        <v>513.95500000000004</v>
      </c>
      <c r="H15" s="122">
        <v>2568.2729999999997</v>
      </c>
      <c r="L15">
        <f t="shared" si="0"/>
        <v>0</v>
      </c>
      <c r="O15">
        <f t="shared" si="1"/>
        <v>0</v>
      </c>
      <c r="R15" s="124">
        <f t="shared" si="3"/>
        <v>0</v>
      </c>
      <c r="S15" s="124">
        <f t="shared" si="4"/>
        <v>0</v>
      </c>
      <c r="T15" s="124">
        <f t="shared" si="5"/>
        <v>0</v>
      </c>
      <c r="U15" s="124">
        <f t="shared" si="6"/>
        <v>0</v>
      </c>
      <c r="V15" s="124">
        <f t="shared" si="7"/>
        <v>0</v>
      </c>
    </row>
    <row r="16" spans="2:22" x14ac:dyDescent="0.25">
      <c r="B16" s="123" t="s">
        <v>23</v>
      </c>
      <c r="C16" s="82">
        <v>526.11099999999999</v>
      </c>
      <c r="D16" s="82">
        <v>521.06500000000005</v>
      </c>
      <c r="E16" s="82">
        <v>514.72199999999998</v>
      </c>
      <c r="F16" s="82">
        <v>492.42</v>
      </c>
      <c r="G16" s="82">
        <v>513.95500000000004</v>
      </c>
      <c r="H16" s="82">
        <v>2568.2729999999997</v>
      </c>
      <c r="L16">
        <f t="shared" si="0"/>
        <v>0</v>
      </c>
      <c r="O16">
        <f t="shared" si="1"/>
        <v>0</v>
      </c>
      <c r="R16" s="124">
        <f t="shared" si="3"/>
        <v>0</v>
      </c>
      <c r="S16" s="124">
        <f t="shared" si="4"/>
        <v>0</v>
      </c>
      <c r="T16" s="124">
        <f t="shared" si="5"/>
        <v>0</v>
      </c>
      <c r="U16" s="124">
        <f t="shared" si="6"/>
        <v>0</v>
      </c>
      <c r="V16" s="124">
        <f t="shared" si="7"/>
        <v>0</v>
      </c>
    </row>
    <row r="17" spans="2:22" x14ac:dyDescent="0.25">
      <c r="B17" s="119" t="s">
        <v>25</v>
      </c>
      <c r="C17">
        <v>526.11099999999999</v>
      </c>
      <c r="D17">
        <v>521.06500000000005</v>
      </c>
      <c r="E17">
        <v>514.72199999999998</v>
      </c>
      <c r="F17">
        <v>492.42</v>
      </c>
      <c r="G17">
        <v>513.95500000000004</v>
      </c>
      <c r="H17">
        <v>2568.2729999999997</v>
      </c>
      <c r="J17">
        <f>'TAR FIN'!Q44</f>
        <v>271.72000000000003</v>
      </c>
      <c r="K17">
        <f>'TAR FIN'!Q85</f>
        <v>262.75</v>
      </c>
      <c r="L17">
        <f t="shared" si="0"/>
        <v>534.47</v>
      </c>
      <c r="M17">
        <f>'TAR FIN COPEL'!O208</f>
        <v>237.52</v>
      </c>
      <c r="N17">
        <f>'TAR FIN COPEL'!O37</f>
        <v>254.23</v>
      </c>
      <c r="O17">
        <f t="shared" si="1"/>
        <v>491.75</v>
      </c>
      <c r="R17" s="124">
        <f t="shared" si="3"/>
        <v>18850.387416774203</v>
      </c>
      <c r="S17" s="124">
        <f t="shared" si="4"/>
        <v>22259.896800000017</v>
      </c>
      <c r="T17" s="124">
        <f t="shared" si="5"/>
        <v>21988.923840000014</v>
      </c>
      <c r="U17" s="124">
        <f t="shared" si="6"/>
        <v>21036.182400000012</v>
      </c>
      <c r="V17" s="124">
        <f t="shared" si="7"/>
        <v>21956.157600000017</v>
      </c>
    </row>
    <row r="18" spans="2:22" x14ac:dyDescent="0.25">
      <c r="B18" s="121" t="s">
        <v>39</v>
      </c>
      <c r="C18" s="122">
        <v>2402.2169600000002</v>
      </c>
      <c r="D18" s="122">
        <v>2602.9436000000001</v>
      </c>
      <c r="E18" s="122">
        <v>2631.9467</v>
      </c>
      <c r="F18" s="122">
        <v>2403.94742</v>
      </c>
      <c r="G18" s="122">
        <v>2342.5361399999997</v>
      </c>
      <c r="H18" s="122">
        <v>12383.590819999998</v>
      </c>
      <c r="L18">
        <f t="shared" si="0"/>
        <v>0</v>
      </c>
      <c r="O18">
        <f t="shared" si="1"/>
        <v>0</v>
      </c>
      <c r="R18" s="124">
        <f t="shared" si="3"/>
        <v>0</v>
      </c>
      <c r="S18" s="124">
        <f t="shared" si="4"/>
        <v>0</v>
      </c>
      <c r="T18" s="124">
        <f t="shared" si="5"/>
        <v>0</v>
      </c>
      <c r="U18" s="124">
        <f t="shared" si="6"/>
        <v>0</v>
      </c>
      <c r="V18" s="124">
        <f t="shared" si="7"/>
        <v>0</v>
      </c>
    </row>
    <row r="19" spans="2:22" x14ac:dyDescent="0.25">
      <c r="B19" s="123" t="s">
        <v>36</v>
      </c>
      <c r="C19" s="82">
        <v>43.325000000000003</v>
      </c>
      <c r="D19" s="82">
        <v>50.241</v>
      </c>
      <c r="E19" s="82">
        <v>45.418999999999997</v>
      </c>
      <c r="F19" s="82">
        <v>38.774000000000001</v>
      </c>
      <c r="G19" s="82">
        <v>39.722000000000008</v>
      </c>
      <c r="H19" s="82">
        <v>217.48099999999999</v>
      </c>
      <c r="L19">
        <f t="shared" si="0"/>
        <v>0</v>
      </c>
      <c r="O19">
        <f t="shared" si="1"/>
        <v>0</v>
      </c>
      <c r="R19" s="124">
        <f t="shared" si="3"/>
        <v>0</v>
      </c>
      <c r="S19" s="124">
        <f t="shared" si="4"/>
        <v>0</v>
      </c>
      <c r="T19" s="124">
        <f t="shared" si="5"/>
        <v>0</v>
      </c>
      <c r="U19" s="124">
        <f t="shared" si="6"/>
        <v>0</v>
      </c>
      <c r="V19" s="124">
        <f t="shared" si="7"/>
        <v>0</v>
      </c>
    </row>
    <row r="20" spans="2:22" x14ac:dyDescent="0.25">
      <c r="B20" s="118" t="s">
        <v>35</v>
      </c>
      <c r="C20">
        <v>37.207000000000001</v>
      </c>
      <c r="D20">
        <v>43.136000000000003</v>
      </c>
      <c r="E20">
        <v>39.404000000000003</v>
      </c>
      <c r="F20">
        <v>33.091000000000001</v>
      </c>
      <c r="G20">
        <v>34.474000000000004</v>
      </c>
      <c r="H20">
        <v>187.31200000000001</v>
      </c>
      <c r="J20">
        <f>'TAR FIN'!Q58</f>
        <v>244.1</v>
      </c>
      <c r="K20">
        <f>'TAR FIN'!Q99</f>
        <v>284.36</v>
      </c>
      <c r="L20">
        <f t="shared" si="0"/>
        <v>528.46</v>
      </c>
      <c r="M20">
        <f>'TAR FIN COPEL'!O213</f>
        <v>214.77</v>
      </c>
      <c r="N20">
        <f>'TAR FIN COPEL'!O53</f>
        <v>275.36</v>
      </c>
      <c r="O20">
        <f t="shared" si="1"/>
        <v>490.13</v>
      </c>
      <c r="R20" s="124">
        <f t="shared" si="3"/>
        <v>1196.1210341935498</v>
      </c>
      <c r="S20" s="124">
        <f t="shared" si="4"/>
        <v>1653.4028800000019</v>
      </c>
      <c r="T20" s="124">
        <f t="shared" si="5"/>
        <v>1510.3553200000017</v>
      </c>
      <c r="U20" s="124">
        <f t="shared" si="6"/>
        <v>1268.3780300000014</v>
      </c>
      <c r="V20" s="124">
        <f t="shared" si="7"/>
        <v>1321.3884200000016</v>
      </c>
    </row>
    <row r="21" spans="2:22" x14ac:dyDescent="0.25">
      <c r="B21" s="118" t="s">
        <v>38</v>
      </c>
      <c r="C21">
        <v>2.6190000000000002</v>
      </c>
      <c r="D21">
        <v>3.1069999999999998</v>
      </c>
      <c r="E21">
        <v>2.6110000000000002</v>
      </c>
      <c r="F21">
        <v>2.234</v>
      </c>
      <c r="G21">
        <v>2.2610000000000001</v>
      </c>
      <c r="H21">
        <v>12.832000000000001</v>
      </c>
      <c r="J21">
        <f>'TAR FIN'!Q57</f>
        <v>244.1</v>
      </c>
      <c r="K21">
        <f>'TAR FIN'!Q98</f>
        <v>284.36</v>
      </c>
      <c r="L21">
        <f t="shared" si="0"/>
        <v>528.46</v>
      </c>
      <c r="M21">
        <f>'TAR FIN COPEL'!O214</f>
        <v>428.83</v>
      </c>
      <c r="N21">
        <f>'TAR FIN COPEL'!O54</f>
        <v>275.36</v>
      </c>
      <c r="O21">
        <f t="shared" si="1"/>
        <v>704.19</v>
      </c>
      <c r="R21" s="124">
        <f t="shared" si="3"/>
        <v>-386.0051167741936</v>
      </c>
      <c r="S21" s="124">
        <f t="shared" si="4"/>
        <v>-545.99311</v>
      </c>
      <c r="T21" s="124">
        <f t="shared" si="5"/>
        <v>-458.83103000000011</v>
      </c>
      <c r="U21" s="124">
        <f t="shared" si="6"/>
        <v>-392.58082000000002</v>
      </c>
      <c r="V21" s="124">
        <f t="shared" si="7"/>
        <v>-397.32553000000007</v>
      </c>
    </row>
    <row r="22" spans="2:22" x14ac:dyDescent="0.25">
      <c r="B22" s="118" t="s">
        <v>37</v>
      </c>
      <c r="C22">
        <v>3.4990000000000001</v>
      </c>
      <c r="D22">
        <v>3.9980000000000002</v>
      </c>
      <c r="E22">
        <v>3.4039999999999999</v>
      </c>
      <c r="F22">
        <v>3.4489999999999998</v>
      </c>
      <c r="G22">
        <v>2.9870000000000001</v>
      </c>
      <c r="H22">
        <v>17.337</v>
      </c>
      <c r="J22">
        <f>'TAR FIN'!Q56</f>
        <v>847.68</v>
      </c>
      <c r="K22">
        <f>'TAR FIN'!Q97</f>
        <v>454.9</v>
      </c>
      <c r="L22">
        <f t="shared" si="0"/>
        <v>1302.58</v>
      </c>
      <c r="M22">
        <f>'TAR FIN COPEL'!O215</f>
        <v>642.88</v>
      </c>
      <c r="N22">
        <f>'TAR FIN COPEL'!O55</f>
        <v>437.87</v>
      </c>
      <c r="O22">
        <f t="shared" si="1"/>
        <v>1080.75</v>
      </c>
      <c r="R22" s="124">
        <f t="shared" si="3"/>
        <v>650.99233612903208</v>
      </c>
      <c r="S22" s="124">
        <f t="shared" si="4"/>
        <v>886.8763399999998</v>
      </c>
      <c r="T22" s="124">
        <f t="shared" si="5"/>
        <v>755.10931999999968</v>
      </c>
      <c r="U22" s="124">
        <f t="shared" si="6"/>
        <v>765.09166999999968</v>
      </c>
      <c r="V22" s="124">
        <f t="shared" si="7"/>
        <v>662.60620999999981</v>
      </c>
    </row>
    <row r="23" spans="2:22" x14ac:dyDescent="0.25">
      <c r="B23" s="123" t="s">
        <v>23</v>
      </c>
      <c r="C23" s="82">
        <v>2358.8919600000004</v>
      </c>
      <c r="D23" s="82">
        <v>2552.7026000000001</v>
      </c>
      <c r="E23" s="82">
        <v>2586.5277000000001</v>
      </c>
      <c r="F23" s="82">
        <v>2365.1734200000001</v>
      </c>
      <c r="G23" s="82">
        <v>2302.8141399999995</v>
      </c>
      <c r="H23" s="82">
        <v>12166.109819999998</v>
      </c>
      <c r="L23">
        <f t="shared" si="0"/>
        <v>0</v>
      </c>
      <c r="O23">
        <f t="shared" si="1"/>
        <v>0</v>
      </c>
      <c r="R23" s="124">
        <f t="shared" si="3"/>
        <v>0</v>
      </c>
      <c r="S23" s="124">
        <f t="shared" si="4"/>
        <v>0</v>
      </c>
      <c r="T23" s="124">
        <f t="shared" si="5"/>
        <v>0</v>
      </c>
      <c r="U23" s="124">
        <f t="shared" si="6"/>
        <v>0</v>
      </c>
      <c r="V23" s="124">
        <f t="shared" si="7"/>
        <v>0</v>
      </c>
    </row>
    <row r="24" spans="2:22" x14ac:dyDescent="0.25">
      <c r="B24" s="119" t="s">
        <v>51</v>
      </c>
      <c r="C24">
        <v>57.747959999999999</v>
      </c>
      <c r="D24">
        <v>62.641599999999997</v>
      </c>
      <c r="E24">
        <v>61.433700000000002</v>
      </c>
      <c r="F24">
        <v>60.153419999999997</v>
      </c>
      <c r="G24">
        <v>61.552140000000001</v>
      </c>
      <c r="H24">
        <v>303.52882</v>
      </c>
      <c r="J24">
        <f>'TAR FIN'!Q59</f>
        <v>308.77</v>
      </c>
      <c r="K24">
        <f>'TAR FIN'!Q100</f>
        <v>298.58</v>
      </c>
      <c r="L24">
        <f t="shared" si="0"/>
        <v>607.34999999999991</v>
      </c>
      <c r="M24">
        <f>'TAR FIN COPEL'!O216</f>
        <v>269.91000000000003</v>
      </c>
      <c r="N24">
        <f>'TAR FIN COPEL'!O51</f>
        <v>288.89999999999998</v>
      </c>
      <c r="O24">
        <f t="shared" si="1"/>
        <v>558.80999999999995</v>
      </c>
      <c r="R24" s="124">
        <f t="shared" si="3"/>
        <v>2350.9753367225785</v>
      </c>
      <c r="S24" s="124">
        <f t="shared" si="4"/>
        <v>3040.6232639999976</v>
      </c>
      <c r="T24" s="124">
        <f t="shared" si="5"/>
        <v>2981.9917979999977</v>
      </c>
      <c r="U24" s="124">
        <f t="shared" si="6"/>
        <v>2919.8470067999979</v>
      </c>
      <c r="V24" s="124">
        <f t="shared" si="7"/>
        <v>2987.7408755999977</v>
      </c>
    </row>
    <row r="25" spans="2:22" x14ac:dyDescent="0.25">
      <c r="B25" s="119" t="s">
        <v>25</v>
      </c>
      <c r="C25">
        <v>2301.1440000000002</v>
      </c>
      <c r="D25">
        <v>2490.0610000000001</v>
      </c>
      <c r="E25">
        <v>2525.0940000000001</v>
      </c>
      <c r="F25">
        <v>2305.02</v>
      </c>
      <c r="G25">
        <v>2241.2619999999997</v>
      </c>
      <c r="H25">
        <v>11862.580999999998</v>
      </c>
      <c r="J25">
        <f>'TAR FIN'!Q59</f>
        <v>308.77</v>
      </c>
      <c r="K25">
        <f>K24</f>
        <v>298.58</v>
      </c>
      <c r="L25">
        <f t="shared" si="0"/>
        <v>607.34999999999991</v>
      </c>
      <c r="M25">
        <f>M24</f>
        <v>269.91000000000003</v>
      </c>
      <c r="N25">
        <f>N24</f>
        <v>288.89999999999998</v>
      </c>
      <c r="O25">
        <f t="shared" si="1"/>
        <v>558.80999999999995</v>
      </c>
      <c r="R25" s="124">
        <f t="shared" si="3"/>
        <v>93681.799153548331</v>
      </c>
      <c r="S25" s="124">
        <f t="shared" si="4"/>
        <v>120867.56093999992</v>
      </c>
      <c r="T25" s="124">
        <f t="shared" si="5"/>
        <v>122568.06275999991</v>
      </c>
      <c r="U25" s="124">
        <f t="shared" si="6"/>
        <v>111885.67079999992</v>
      </c>
      <c r="V25" s="124">
        <f t="shared" si="7"/>
        <v>108790.8574799999</v>
      </c>
    </row>
    <row r="26" spans="2:22" x14ac:dyDescent="0.25">
      <c r="B26" s="121" t="s">
        <v>47</v>
      </c>
      <c r="C26" s="122">
        <v>899.43499999999995</v>
      </c>
      <c r="D26" s="122">
        <v>858.42399999999998</v>
      </c>
      <c r="E26" s="122">
        <v>1004.369</v>
      </c>
      <c r="F26" s="122">
        <v>1044.548</v>
      </c>
      <c r="G26" s="122">
        <v>1139.2840000000001</v>
      </c>
      <c r="H26" s="122">
        <v>4946.0599999999995</v>
      </c>
      <c r="L26">
        <f t="shared" si="0"/>
        <v>0</v>
      </c>
      <c r="O26">
        <f t="shared" si="1"/>
        <v>0</v>
      </c>
      <c r="R26" s="124">
        <f t="shared" si="3"/>
        <v>0</v>
      </c>
      <c r="S26" s="124">
        <f t="shared" si="4"/>
        <v>0</v>
      </c>
      <c r="T26" s="124">
        <f t="shared" si="5"/>
        <v>0</v>
      </c>
      <c r="U26" s="124">
        <f t="shared" si="6"/>
        <v>0</v>
      </c>
      <c r="V26" s="124">
        <f t="shared" si="7"/>
        <v>0</v>
      </c>
    </row>
    <row r="27" spans="2:22" x14ac:dyDescent="0.25">
      <c r="B27" s="123" t="s">
        <v>23</v>
      </c>
      <c r="C27" s="82">
        <v>899.43499999999995</v>
      </c>
      <c r="D27" s="82">
        <v>858.42399999999998</v>
      </c>
      <c r="E27" s="82">
        <v>1004.369</v>
      </c>
      <c r="F27" s="82">
        <v>1044.548</v>
      </c>
      <c r="G27" s="82">
        <v>1139.2840000000001</v>
      </c>
      <c r="H27" s="82">
        <v>4946.0599999999995</v>
      </c>
      <c r="L27">
        <f t="shared" si="0"/>
        <v>0</v>
      </c>
      <c r="O27">
        <f t="shared" si="1"/>
        <v>0</v>
      </c>
      <c r="R27" s="124">
        <f t="shared" si="3"/>
        <v>0</v>
      </c>
      <c r="S27" s="124">
        <f t="shared" si="4"/>
        <v>0</v>
      </c>
      <c r="T27" s="124">
        <f t="shared" si="5"/>
        <v>0</v>
      </c>
      <c r="U27" s="124">
        <f t="shared" si="6"/>
        <v>0</v>
      </c>
      <c r="V27" s="124">
        <f t="shared" si="7"/>
        <v>0</v>
      </c>
    </row>
    <row r="28" spans="2:22" x14ac:dyDescent="0.25">
      <c r="B28" s="119" t="s">
        <v>49</v>
      </c>
      <c r="C28">
        <v>899.43499999999995</v>
      </c>
      <c r="D28">
        <v>858.42399999999998</v>
      </c>
      <c r="E28">
        <v>1004.369</v>
      </c>
      <c r="F28">
        <v>1044.548</v>
      </c>
      <c r="G28">
        <v>1139.2840000000001</v>
      </c>
      <c r="H28">
        <v>4946.0599999999995</v>
      </c>
      <c r="J28">
        <f>'TAR FIN'!Q61</f>
        <v>169.82</v>
      </c>
      <c r="K28">
        <f>'TAR FIN'!Q102</f>
        <v>164.22</v>
      </c>
      <c r="L28">
        <f t="shared" si="0"/>
        <v>334.03999999999996</v>
      </c>
      <c r="M28">
        <f>'TAR FIN COPEL'!O218</f>
        <v>148.44999999999999</v>
      </c>
      <c r="N28">
        <f>'TAR FIN COPEL'!O56</f>
        <v>158.9</v>
      </c>
      <c r="O28">
        <f t="shared" si="1"/>
        <v>307.35000000000002</v>
      </c>
      <c r="R28" s="124">
        <f t="shared" si="3"/>
        <v>20133.997545161248</v>
      </c>
      <c r="S28" s="124">
        <f t="shared" si="4"/>
        <v>22911.336559999949</v>
      </c>
      <c r="T28" s="124">
        <f t="shared" si="5"/>
        <v>26806.608609999941</v>
      </c>
      <c r="U28" s="124">
        <f t="shared" si="6"/>
        <v>27878.98611999994</v>
      </c>
      <c r="V28" s="124">
        <f t="shared" si="7"/>
        <v>30407.489959999937</v>
      </c>
    </row>
    <row r="29" spans="2:22" x14ac:dyDescent="0.25">
      <c r="Q29" s="82" t="s">
        <v>619</v>
      </c>
      <c r="R29" s="125">
        <f>SUM(R6:R28)</f>
        <v>446153.87630252872</v>
      </c>
      <c r="S29" s="125">
        <f t="shared" ref="S29:V29" si="11">SUM(S6:S28)</f>
        <v>559536.19050399959</v>
      </c>
      <c r="T29" s="125">
        <f t="shared" si="11"/>
        <v>554515.53692799958</v>
      </c>
      <c r="U29" s="125">
        <f t="shared" si="11"/>
        <v>532192.1552667995</v>
      </c>
      <c r="V29" s="125">
        <f t="shared" si="11"/>
        <v>537071.37269559968</v>
      </c>
    </row>
  </sheetData>
  <mergeCells count="2">
    <mergeCell ref="M3:O3"/>
    <mergeCell ref="J3:L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2AB-8E13-4E08-8C1A-7B20A1302B7D}">
  <dimension ref="A1:H131"/>
  <sheetViews>
    <sheetView showGridLines="0" workbookViewId="0">
      <selection activeCell="H1" sqref="H1"/>
    </sheetView>
  </sheetViews>
  <sheetFormatPr defaultRowHeight="11.25" customHeight="1" x14ac:dyDescent="0.25"/>
  <cols>
    <col min="1" max="1" width="11.140625" style="8" bestFit="1" customWidth="1"/>
    <col min="2" max="2" width="85.7109375" style="8" bestFit="1" customWidth="1"/>
    <col min="3" max="3" width="13.140625" style="8" bestFit="1" customWidth="1"/>
    <col min="4" max="4" width="5.5703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55</v>
      </c>
      <c r="B1" s="7" t="s">
        <v>56</v>
      </c>
      <c r="C1" s="7" t="s">
        <v>57</v>
      </c>
      <c r="D1" s="7" t="s">
        <v>58</v>
      </c>
      <c r="E1" s="7" t="s">
        <v>59</v>
      </c>
      <c r="G1" s="7" t="s">
        <v>60</v>
      </c>
      <c r="H1" s="7">
        <f>COUNTA(A:A)</f>
        <v>131</v>
      </c>
    </row>
    <row r="2" spans="1:8" ht="11.25" customHeight="1" x14ac:dyDescent="0.25">
      <c r="A2" s="8" t="s">
        <v>362</v>
      </c>
      <c r="B2" s="8" t="s">
        <v>363</v>
      </c>
      <c r="C2" s="8" t="s">
        <v>364</v>
      </c>
      <c r="D2" s="8">
        <v>5</v>
      </c>
      <c r="E2" s="8" t="s">
        <v>365</v>
      </c>
    </row>
    <row r="3" spans="1:8" ht="11.25" customHeight="1" x14ac:dyDescent="0.25">
      <c r="A3" s="8" t="s">
        <v>362</v>
      </c>
      <c r="B3" s="8" t="s">
        <v>363</v>
      </c>
      <c r="C3" s="8" t="s">
        <v>364</v>
      </c>
      <c r="D3" s="8">
        <v>6</v>
      </c>
      <c r="E3" s="8" t="s">
        <v>365</v>
      </c>
    </row>
    <row r="4" spans="1:8" ht="11.25" customHeight="1" x14ac:dyDescent="0.25">
      <c r="A4" s="8" t="s">
        <v>362</v>
      </c>
      <c r="B4" s="8" t="s">
        <v>363</v>
      </c>
      <c r="C4" s="8" t="s">
        <v>364</v>
      </c>
      <c r="D4" s="8">
        <v>7</v>
      </c>
      <c r="E4" s="8" t="s">
        <v>365</v>
      </c>
    </row>
    <row r="5" spans="1:8" ht="11.25" customHeight="1" x14ac:dyDescent="0.25">
      <c r="A5" s="8" t="s">
        <v>362</v>
      </c>
      <c r="B5" s="8" t="s">
        <v>363</v>
      </c>
      <c r="C5" s="8" t="s">
        <v>364</v>
      </c>
      <c r="D5" s="8">
        <v>8</v>
      </c>
      <c r="E5" s="8" t="s">
        <v>365</v>
      </c>
    </row>
    <row r="6" spans="1:8" ht="11.25" customHeight="1" x14ac:dyDescent="0.25">
      <c r="A6" s="8" t="s">
        <v>362</v>
      </c>
      <c r="B6" s="8" t="s">
        <v>363</v>
      </c>
      <c r="C6" s="8" t="s">
        <v>364</v>
      </c>
      <c r="D6" s="8">
        <v>9</v>
      </c>
      <c r="E6" s="8" t="s">
        <v>365</v>
      </c>
    </row>
    <row r="7" spans="1:8" ht="11.25" customHeight="1" x14ac:dyDescent="0.25">
      <c r="A7" s="8" t="s">
        <v>362</v>
      </c>
      <c r="B7" s="8" t="s">
        <v>363</v>
      </c>
      <c r="C7" s="8" t="s">
        <v>364</v>
      </c>
      <c r="D7" s="8">
        <v>10</v>
      </c>
      <c r="E7" s="8" t="s">
        <v>365</v>
      </c>
    </row>
    <row r="8" spans="1:8" ht="11.25" customHeight="1" x14ac:dyDescent="0.25">
      <c r="A8" s="8" t="s">
        <v>362</v>
      </c>
      <c r="B8" s="8" t="s">
        <v>363</v>
      </c>
      <c r="C8" s="8" t="s">
        <v>364</v>
      </c>
      <c r="D8" s="8">
        <v>63</v>
      </c>
      <c r="E8" s="8" t="s">
        <v>365</v>
      </c>
    </row>
    <row r="9" spans="1:8" ht="11.25" customHeight="1" x14ac:dyDescent="0.25">
      <c r="A9" s="8" t="s">
        <v>362</v>
      </c>
      <c r="B9" s="8" t="s">
        <v>363</v>
      </c>
      <c r="C9" s="8" t="s">
        <v>364</v>
      </c>
      <c r="D9" s="8">
        <v>64</v>
      </c>
      <c r="E9" s="8" t="s">
        <v>365</v>
      </c>
    </row>
    <row r="10" spans="1:8" ht="11.25" customHeight="1" x14ac:dyDescent="0.25">
      <c r="A10" s="8" t="s">
        <v>362</v>
      </c>
      <c r="B10" s="8" t="s">
        <v>363</v>
      </c>
      <c r="C10" s="8" t="s">
        <v>364</v>
      </c>
      <c r="D10" s="8">
        <v>65</v>
      </c>
      <c r="E10" s="8" t="s">
        <v>365</v>
      </c>
    </row>
    <row r="11" spans="1:8" ht="11.25" customHeight="1" x14ac:dyDescent="0.25">
      <c r="A11" s="8" t="s">
        <v>362</v>
      </c>
      <c r="B11" s="8" t="s">
        <v>363</v>
      </c>
      <c r="C11" s="8" t="s">
        <v>364</v>
      </c>
      <c r="D11" s="8">
        <v>66</v>
      </c>
      <c r="E11" s="8" t="s">
        <v>365</v>
      </c>
    </row>
    <row r="12" spans="1:8" ht="11.25" customHeight="1" x14ac:dyDescent="0.25">
      <c r="A12" s="8" t="s">
        <v>362</v>
      </c>
      <c r="B12" s="8" t="s">
        <v>363</v>
      </c>
      <c r="C12" s="8" t="s">
        <v>364</v>
      </c>
      <c r="D12" s="8">
        <v>67</v>
      </c>
      <c r="E12" s="8" t="s">
        <v>365</v>
      </c>
    </row>
    <row r="13" spans="1:8" ht="11.25" customHeight="1" x14ac:dyDescent="0.25">
      <c r="A13" s="8" t="s">
        <v>362</v>
      </c>
      <c r="B13" s="8" t="s">
        <v>363</v>
      </c>
      <c r="C13" s="8" t="s">
        <v>364</v>
      </c>
      <c r="D13" s="8">
        <v>68</v>
      </c>
      <c r="E13" s="8" t="s">
        <v>365</v>
      </c>
    </row>
    <row r="14" spans="1:8" ht="11.25" customHeight="1" x14ac:dyDescent="0.25">
      <c r="A14" s="8" t="s">
        <v>362</v>
      </c>
      <c r="B14" s="8" t="s">
        <v>363</v>
      </c>
      <c r="C14" s="8" t="s">
        <v>364</v>
      </c>
      <c r="D14" s="8">
        <v>69</v>
      </c>
      <c r="E14" s="8" t="s">
        <v>365</v>
      </c>
    </row>
    <row r="15" spans="1:8" ht="11.25" customHeight="1" x14ac:dyDescent="0.25">
      <c r="A15" s="8" t="s">
        <v>362</v>
      </c>
      <c r="B15" s="8" t="s">
        <v>363</v>
      </c>
      <c r="C15" s="8" t="s">
        <v>364</v>
      </c>
      <c r="D15" s="8">
        <v>70</v>
      </c>
      <c r="E15" s="8" t="s">
        <v>365</v>
      </c>
    </row>
    <row r="16" spans="1:8" ht="11.25" customHeight="1" x14ac:dyDescent="0.25">
      <c r="A16" s="8" t="s">
        <v>362</v>
      </c>
      <c r="B16" s="8" t="s">
        <v>363</v>
      </c>
      <c r="C16" s="8" t="s">
        <v>364</v>
      </c>
      <c r="D16" s="8">
        <v>71</v>
      </c>
      <c r="E16" s="8" t="s">
        <v>365</v>
      </c>
    </row>
    <row r="17" spans="1:5" ht="11.25" customHeight="1" x14ac:dyDescent="0.25">
      <c r="A17" s="8" t="s">
        <v>362</v>
      </c>
      <c r="B17" s="8" t="s">
        <v>363</v>
      </c>
      <c r="C17" s="8" t="s">
        <v>364</v>
      </c>
      <c r="D17" s="8">
        <v>72</v>
      </c>
      <c r="E17" s="8" t="s">
        <v>365</v>
      </c>
    </row>
    <row r="18" spans="1:5" ht="11.25" customHeight="1" x14ac:dyDescent="0.25">
      <c r="A18" s="8" t="s">
        <v>362</v>
      </c>
      <c r="B18" s="8" t="s">
        <v>363</v>
      </c>
      <c r="C18" s="8" t="s">
        <v>364</v>
      </c>
      <c r="D18" s="8">
        <v>73</v>
      </c>
      <c r="E18" s="8" t="s">
        <v>365</v>
      </c>
    </row>
    <row r="19" spans="1:5" ht="11.25" customHeight="1" x14ac:dyDescent="0.25">
      <c r="A19" s="8" t="s">
        <v>362</v>
      </c>
      <c r="B19" s="8" t="s">
        <v>363</v>
      </c>
      <c r="C19" s="8" t="s">
        <v>364</v>
      </c>
      <c r="D19" s="8">
        <v>74</v>
      </c>
      <c r="E19" s="8" t="s">
        <v>365</v>
      </c>
    </row>
    <row r="20" spans="1:5" ht="11.25" customHeight="1" x14ac:dyDescent="0.25">
      <c r="A20" s="8" t="s">
        <v>362</v>
      </c>
      <c r="B20" s="8" t="s">
        <v>363</v>
      </c>
      <c r="C20" s="8" t="s">
        <v>364</v>
      </c>
      <c r="D20" s="8">
        <v>75</v>
      </c>
      <c r="E20" s="8" t="s">
        <v>365</v>
      </c>
    </row>
    <row r="21" spans="1:5" ht="11.25" customHeight="1" x14ac:dyDescent="0.25">
      <c r="A21" s="8" t="s">
        <v>362</v>
      </c>
      <c r="B21" s="8" t="s">
        <v>363</v>
      </c>
      <c r="C21" s="8" t="s">
        <v>364</v>
      </c>
      <c r="D21" s="8">
        <v>76</v>
      </c>
      <c r="E21" s="8" t="s">
        <v>365</v>
      </c>
    </row>
    <row r="22" spans="1:5" ht="11.25" customHeight="1" x14ac:dyDescent="0.25">
      <c r="A22" s="8" t="s">
        <v>362</v>
      </c>
      <c r="B22" s="8" t="s">
        <v>363</v>
      </c>
      <c r="C22" s="8" t="s">
        <v>364</v>
      </c>
      <c r="D22" s="8">
        <v>77</v>
      </c>
      <c r="E22" s="8" t="s">
        <v>365</v>
      </c>
    </row>
    <row r="23" spans="1:5" ht="11.25" customHeight="1" x14ac:dyDescent="0.25">
      <c r="A23" s="8" t="s">
        <v>362</v>
      </c>
      <c r="B23" s="8" t="s">
        <v>363</v>
      </c>
      <c r="C23" s="8" t="s">
        <v>364</v>
      </c>
      <c r="D23" s="8">
        <v>78</v>
      </c>
      <c r="E23" s="8" t="s">
        <v>365</v>
      </c>
    </row>
    <row r="24" spans="1:5" ht="11.25" customHeight="1" x14ac:dyDescent="0.25">
      <c r="A24" s="8" t="s">
        <v>362</v>
      </c>
      <c r="B24" s="8" t="s">
        <v>363</v>
      </c>
      <c r="C24" s="8" t="s">
        <v>364</v>
      </c>
      <c r="D24" s="8">
        <v>79</v>
      </c>
      <c r="E24" s="8" t="s">
        <v>365</v>
      </c>
    </row>
    <row r="25" spans="1:5" ht="11.25" customHeight="1" x14ac:dyDescent="0.25">
      <c r="A25" s="8" t="s">
        <v>362</v>
      </c>
      <c r="B25" s="8" t="s">
        <v>363</v>
      </c>
      <c r="C25" s="8" t="s">
        <v>364</v>
      </c>
      <c r="D25" s="8">
        <v>80</v>
      </c>
      <c r="E25" s="8" t="s">
        <v>365</v>
      </c>
    </row>
    <row r="26" spans="1:5" ht="11.25" customHeight="1" x14ac:dyDescent="0.25">
      <c r="A26" s="8" t="s">
        <v>362</v>
      </c>
      <c r="B26" s="8" t="s">
        <v>411</v>
      </c>
      <c r="C26" s="8" t="s">
        <v>364</v>
      </c>
      <c r="D26" s="8">
        <v>267</v>
      </c>
      <c r="E26" s="8" t="s">
        <v>365</v>
      </c>
    </row>
    <row r="27" spans="1:5" ht="11.25" customHeight="1" x14ac:dyDescent="0.25">
      <c r="A27" s="8" t="s">
        <v>362</v>
      </c>
      <c r="B27" s="8" t="s">
        <v>411</v>
      </c>
      <c r="C27" s="8" t="s">
        <v>364</v>
      </c>
      <c r="D27" s="8">
        <v>268</v>
      </c>
      <c r="E27" s="8" t="s">
        <v>365</v>
      </c>
    </row>
    <row r="28" spans="1:5" ht="11.25" customHeight="1" x14ac:dyDescent="0.25">
      <c r="A28" s="8" t="s">
        <v>362</v>
      </c>
      <c r="B28" s="8" t="s">
        <v>411</v>
      </c>
      <c r="C28" s="8" t="s">
        <v>364</v>
      </c>
      <c r="D28" s="8">
        <v>269</v>
      </c>
      <c r="E28" s="8" t="s">
        <v>365</v>
      </c>
    </row>
    <row r="29" spans="1:5" ht="11.25" customHeight="1" x14ac:dyDescent="0.25">
      <c r="A29" s="8" t="s">
        <v>362</v>
      </c>
      <c r="B29" s="8" t="s">
        <v>411</v>
      </c>
      <c r="C29" s="8" t="s">
        <v>364</v>
      </c>
      <c r="D29" s="8">
        <v>270</v>
      </c>
      <c r="E29" s="8" t="s">
        <v>365</v>
      </c>
    </row>
    <row r="30" spans="1:5" ht="11.25" customHeight="1" x14ac:dyDescent="0.25">
      <c r="A30" s="8" t="s">
        <v>362</v>
      </c>
      <c r="B30" s="8" t="s">
        <v>411</v>
      </c>
      <c r="C30" s="8" t="s">
        <v>364</v>
      </c>
      <c r="D30" s="8">
        <v>271</v>
      </c>
      <c r="E30" s="8" t="s">
        <v>365</v>
      </c>
    </row>
    <row r="31" spans="1:5" ht="11.25" customHeight="1" x14ac:dyDescent="0.25">
      <c r="A31" s="8" t="s">
        <v>362</v>
      </c>
      <c r="B31" s="8" t="s">
        <v>411</v>
      </c>
      <c r="C31" s="8" t="s">
        <v>364</v>
      </c>
      <c r="D31" s="8">
        <v>272</v>
      </c>
      <c r="E31" s="8" t="s">
        <v>365</v>
      </c>
    </row>
    <row r="32" spans="1:5" ht="11.25" customHeight="1" x14ac:dyDescent="0.25">
      <c r="A32" s="8" t="s">
        <v>362</v>
      </c>
      <c r="B32" s="8" t="s">
        <v>411</v>
      </c>
      <c r="C32" s="8" t="s">
        <v>364</v>
      </c>
      <c r="D32" s="8">
        <v>273</v>
      </c>
      <c r="E32" s="8" t="s">
        <v>365</v>
      </c>
    </row>
    <row r="33" spans="1:5" ht="11.25" customHeight="1" x14ac:dyDescent="0.25">
      <c r="A33" s="8" t="s">
        <v>362</v>
      </c>
      <c r="B33" s="8" t="s">
        <v>411</v>
      </c>
      <c r="C33" s="8" t="s">
        <v>364</v>
      </c>
      <c r="D33" s="8">
        <v>274</v>
      </c>
      <c r="E33" s="8" t="s">
        <v>365</v>
      </c>
    </row>
    <row r="34" spans="1:5" ht="11.25" customHeight="1" x14ac:dyDescent="0.25">
      <c r="A34" s="8" t="s">
        <v>362</v>
      </c>
      <c r="B34" s="8" t="s">
        <v>411</v>
      </c>
      <c r="C34" s="8" t="s">
        <v>364</v>
      </c>
      <c r="D34" s="8">
        <v>275</v>
      </c>
      <c r="E34" s="8" t="s">
        <v>365</v>
      </c>
    </row>
    <row r="35" spans="1:5" ht="11.25" customHeight="1" x14ac:dyDescent="0.25">
      <c r="A35" s="8" t="s">
        <v>362</v>
      </c>
      <c r="B35" s="8" t="s">
        <v>411</v>
      </c>
      <c r="C35" s="8" t="s">
        <v>364</v>
      </c>
      <c r="D35" s="8">
        <v>276</v>
      </c>
      <c r="E35" s="8" t="s">
        <v>365</v>
      </c>
    </row>
    <row r="36" spans="1:5" ht="11.25" customHeight="1" x14ac:dyDescent="0.25">
      <c r="A36" s="8" t="s">
        <v>362</v>
      </c>
      <c r="B36" s="8" t="s">
        <v>411</v>
      </c>
      <c r="C36" s="8" t="s">
        <v>364</v>
      </c>
      <c r="D36" s="8">
        <v>277</v>
      </c>
      <c r="E36" s="8" t="s">
        <v>365</v>
      </c>
    </row>
    <row r="37" spans="1:5" ht="11.25" customHeight="1" x14ac:dyDescent="0.25">
      <c r="A37" s="8" t="s">
        <v>362</v>
      </c>
      <c r="B37" s="8" t="s">
        <v>411</v>
      </c>
      <c r="C37" s="8" t="s">
        <v>364</v>
      </c>
      <c r="D37" s="8">
        <v>278</v>
      </c>
      <c r="E37" s="8" t="s">
        <v>365</v>
      </c>
    </row>
    <row r="38" spans="1:5" ht="11.25" customHeight="1" x14ac:dyDescent="0.25">
      <c r="A38" s="8" t="s">
        <v>362</v>
      </c>
      <c r="B38" s="8" t="s">
        <v>411</v>
      </c>
      <c r="C38" s="8" t="s">
        <v>364</v>
      </c>
      <c r="D38" s="8">
        <v>279</v>
      </c>
      <c r="E38" s="8" t="s">
        <v>365</v>
      </c>
    </row>
    <row r="39" spans="1:5" ht="11.25" customHeight="1" x14ac:dyDescent="0.25">
      <c r="A39" s="8" t="s">
        <v>362</v>
      </c>
      <c r="B39" s="8" t="s">
        <v>411</v>
      </c>
      <c r="C39" s="8" t="s">
        <v>364</v>
      </c>
      <c r="D39" s="8">
        <v>280</v>
      </c>
      <c r="E39" s="8" t="s">
        <v>365</v>
      </c>
    </row>
    <row r="40" spans="1:5" ht="11.25" customHeight="1" x14ac:dyDescent="0.25">
      <c r="A40" s="8" t="s">
        <v>362</v>
      </c>
      <c r="B40" s="8" t="s">
        <v>411</v>
      </c>
      <c r="C40" s="8" t="s">
        <v>364</v>
      </c>
      <c r="D40" s="8">
        <v>281</v>
      </c>
      <c r="E40" s="8" t="s">
        <v>365</v>
      </c>
    </row>
    <row r="41" spans="1:5" ht="11.25" customHeight="1" x14ac:dyDescent="0.25">
      <c r="A41" s="8" t="s">
        <v>362</v>
      </c>
      <c r="B41" s="8" t="s">
        <v>411</v>
      </c>
      <c r="C41" s="8" t="s">
        <v>364</v>
      </c>
      <c r="D41" s="8">
        <v>282</v>
      </c>
      <c r="E41" s="8" t="s">
        <v>365</v>
      </c>
    </row>
    <row r="42" spans="1:5" ht="11.25" customHeight="1" x14ac:dyDescent="0.25">
      <c r="A42" s="8" t="s">
        <v>362</v>
      </c>
      <c r="B42" s="8" t="s">
        <v>411</v>
      </c>
      <c r="C42" s="8" t="s">
        <v>364</v>
      </c>
      <c r="D42" s="8">
        <v>283</v>
      </c>
      <c r="E42" s="8" t="s">
        <v>365</v>
      </c>
    </row>
    <row r="43" spans="1:5" ht="11.25" customHeight="1" x14ac:dyDescent="0.25">
      <c r="A43" s="8" t="s">
        <v>362</v>
      </c>
      <c r="B43" s="8" t="s">
        <v>411</v>
      </c>
      <c r="C43" s="8" t="s">
        <v>364</v>
      </c>
      <c r="D43" s="8">
        <v>284</v>
      </c>
      <c r="E43" s="8" t="s">
        <v>365</v>
      </c>
    </row>
    <row r="44" spans="1:5" ht="11.25" customHeight="1" x14ac:dyDescent="0.25">
      <c r="A44" s="8" t="s">
        <v>362</v>
      </c>
      <c r="B44" s="8" t="s">
        <v>411</v>
      </c>
      <c r="C44" s="8" t="s">
        <v>364</v>
      </c>
      <c r="D44" s="8">
        <v>285</v>
      </c>
      <c r="E44" s="8" t="s">
        <v>365</v>
      </c>
    </row>
    <row r="45" spans="1:5" ht="11.25" customHeight="1" x14ac:dyDescent="0.25">
      <c r="A45" s="8" t="s">
        <v>362</v>
      </c>
      <c r="B45" s="8" t="s">
        <v>411</v>
      </c>
      <c r="C45" s="8" t="s">
        <v>364</v>
      </c>
      <c r="D45" s="8">
        <v>286</v>
      </c>
      <c r="E45" s="8" t="s">
        <v>365</v>
      </c>
    </row>
    <row r="46" spans="1:5" ht="11.25" customHeight="1" x14ac:dyDescent="0.25">
      <c r="A46" s="8" t="s">
        <v>362</v>
      </c>
      <c r="B46" s="8" t="s">
        <v>411</v>
      </c>
      <c r="C46" s="8" t="s">
        <v>364</v>
      </c>
      <c r="D46" s="8">
        <v>287</v>
      </c>
      <c r="E46" s="8" t="s">
        <v>365</v>
      </c>
    </row>
    <row r="47" spans="1:5" ht="11.25" customHeight="1" x14ac:dyDescent="0.25">
      <c r="A47" s="8" t="s">
        <v>362</v>
      </c>
      <c r="B47" s="8" t="s">
        <v>411</v>
      </c>
      <c r="C47" s="8" t="s">
        <v>364</v>
      </c>
      <c r="D47" s="8">
        <v>288</v>
      </c>
      <c r="E47" s="8" t="s">
        <v>365</v>
      </c>
    </row>
    <row r="48" spans="1:5" ht="11.25" customHeight="1" x14ac:dyDescent="0.25">
      <c r="A48" s="8" t="s">
        <v>362</v>
      </c>
      <c r="B48" s="8" t="s">
        <v>411</v>
      </c>
      <c r="C48" s="8" t="s">
        <v>364</v>
      </c>
      <c r="D48" s="8">
        <v>289</v>
      </c>
      <c r="E48" s="8" t="s">
        <v>365</v>
      </c>
    </row>
    <row r="49" spans="1:5" ht="11.25" customHeight="1" x14ac:dyDescent="0.25">
      <c r="A49" s="8" t="s">
        <v>362</v>
      </c>
      <c r="B49" s="8" t="s">
        <v>411</v>
      </c>
      <c r="C49" s="8" t="s">
        <v>364</v>
      </c>
      <c r="D49" s="8">
        <v>290</v>
      </c>
      <c r="E49" s="8" t="s">
        <v>365</v>
      </c>
    </row>
    <row r="50" spans="1:5" ht="11.25" customHeight="1" x14ac:dyDescent="0.25">
      <c r="A50" s="8" t="s">
        <v>362</v>
      </c>
      <c r="B50" s="8" t="s">
        <v>411</v>
      </c>
      <c r="C50" s="8" t="s">
        <v>364</v>
      </c>
      <c r="D50" s="8">
        <v>291</v>
      </c>
      <c r="E50" s="8" t="s">
        <v>365</v>
      </c>
    </row>
    <row r="51" spans="1:5" ht="11.25" customHeight="1" x14ac:dyDescent="0.25">
      <c r="A51" s="8" t="s">
        <v>362</v>
      </c>
      <c r="B51" s="8" t="s">
        <v>411</v>
      </c>
      <c r="C51" s="8" t="s">
        <v>364</v>
      </c>
      <c r="D51" s="8">
        <v>292</v>
      </c>
      <c r="E51" s="8" t="s">
        <v>365</v>
      </c>
    </row>
    <row r="52" spans="1:5" ht="11.25" customHeight="1" x14ac:dyDescent="0.25">
      <c r="A52" s="8" t="s">
        <v>362</v>
      </c>
      <c r="B52" s="8" t="s">
        <v>411</v>
      </c>
      <c r="C52" s="8" t="s">
        <v>364</v>
      </c>
      <c r="D52" s="8">
        <v>377</v>
      </c>
      <c r="E52" s="8" t="s">
        <v>365</v>
      </c>
    </row>
    <row r="53" spans="1:5" ht="11.25" customHeight="1" x14ac:dyDescent="0.25">
      <c r="A53" s="8" t="s">
        <v>362</v>
      </c>
      <c r="B53" s="8" t="s">
        <v>411</v>
      </c>
      <c r="C53" s="8" t="s">
        <v>364</v>
      </c>
      <c r="D53" s="8">
        <v>379</v>
      </c>
      <c r="E53" s="8" t="s">
        <v>365</v>
      </c>
    </row>
    <row r="54" spans="1:5" ht="11.25" customHeight="1" x14ac:dyDescent="0.25">
      <c r="A54" s="8" t="s">
        <v>362</v>
      </c>
      <c r="B54" s="8" t="s">
        <v>411</v>
      </c>
      <c r="C54" s="8" t="s">
        <v>364</v>
      </c>
      <c r="D54" s="8">
        <v>381</v>
      </c>
      <c r="E54" s="8" t="s">
        <v>365</v>
      </c>
    </row>
    <row r="55" spans="1:5" ht="11.25" customHeight="1" x14ac:dyDescent="0.25">
      <c r="A55" s="8" t="s">
        <v>362</v>
      </c>
      <c r="B55" s="8" t="s">
        <v>411</v>
      </c>
      <c r="C55" s="8" t="s">
        <v>364</v>
      </c>
      <c r="D55" s="8">
        <v>383</v>
      </c>
      <c r="E55" s="8" t="s">
        <v>365</v>
      </c>
    </row>
    <row r="56" spans="1:5" ht="11.25" customHeight="1" x14ac:dyDescent="0.25">
      <c r="A56" s="8" t="s">
        <v>362</v>
      </c>
      <c r="B56" s="8" t="s">
        <v>411</v>
      </c>
      <c r="C56" s="8" t="s">
        <v>364</v>
      </c>
      <c r="D56" s="8">
        <v>385</v>
      </c>
      <c r="E56" s="8" t="s">
        <v>365</v>
      </c>
    </row>
    <row r="57" spans="1:5" ht="11.25" customHeight="1" x14ac:dyDescent="0.25">
      <c r="A57" s="8" t="s">
        <v>362</v>
      </c>
      <c r="B57" s="8" t="s">
        <v>411</v>
      </c>
      <c r="C57" s="8" t="s">
        <v>364</v>
      </c>
      <c r="D57" s="8">
        <v>387</v>
      </c>
      <c r="E57" s="8" t="s">
        <v>365</v>
      </c>
    </row>
    <row r="58" spans="1:5" ht="11.25" customHeight="1" x14ac:dyDescent="0.25">
      <c r="A58" s="8" t="s">
        <v>362</v>
      </c>
      <c r="B58" s="8" t="s">
        <v>411</v>
      </c>
      <c r="C58" s="8" t="s">
        <v>364</v>
      </c>
      <c r="D58" s="8">
        <v>389</v>
      </c>
      <c r="E58" s="8" t="s">
        <v>365</v>
      </c>
    </row>
    <row r="59" spans="1:5" ht="11.25" customHeight="1" x14ac:dyDescent="0.25">
      <c r="A59" s="8" t="s">
        <v>362</v>
      </c>
      <c r="B59" s="8" t="s">
        <v>411</v>
      </c>
      <c r="C59" s="8" t="s">
        <v>364</v>
      </c>
      <c r="D59" s="8">
        <v>390</v>
      </c>
      <c r="E59" s="8" t="s">
        <v>365</v>
      </c>
    </row>
    <row r="60" spans="1:5" ht="11.25" customHeight="1" x14ac:dyDescent="0.25">
      <c r="A60" s="8" t="s">
        <v>362</v>
      </c>
      <c r="B60" s="8" t="s">
        <v>411</v>
      </c>
      <c r="C60" s="8" t="s">
        <v>364</v>
      </c>
      <c r="D60" s="8">
        <v>392</v>
      </c>
      <c r="E60" s="8" t="s">
        <v>365</v>
      </c>
    </row>
    <row r="61" spans="1:5" ht="11.25" customHeight="1" x14ac:dyDescent="0.25">
      <c r="A61" s="8" t="s">
        <v>362</v>
      </c>
      <c r="B61" s="8" t="s">
        <v>411</v>
      </c>
      <c r="C61" s="8" t="s">
        <v>364</v>
      </c>
      <c r="D61" s="8">
        <v>393</v>
      </c>
      <c r="E61" s="8" t="s">
        <v>365</v>
      </c>
    </row>
    <row r="62" spans="1:5" ht="11.25" customHeight="1" x14ac:dyDescent="0.25">
      <c r="A62" s="8" t="s">
        <v>362</v>
      </c>
      <c r="B62" s="8" t="s">
        <v>411</v>
      </c>
      <c r="C62" s="8" t="s">
        <v>364</v>
      </c>
      <c r="D62" s="8">
        <v>395</v>
      </c>
      <c r="E62" s="8" t="s">
        <v>365</v>
      </c>
    </row>
    <row r="63" spans="1:5" ht="11.25" customHeight="1" x14ac:dyDescent="0.25">
      <c r="A63" s="8" t="s">
        <v>362</v>
      </c>
      <c r="B63" s="8" t="s">
        <v>411</v>
      </c>
      <c r="C63" s="8" t="s">
        <v>364</v>
      </c>
      <c r="D63" s="8">
        <v>396</v>
      </c>
      <c r="E63" s="8" t="s">
        <v>365</v>
      </c>
    </row>
    <row r="64" spans="1:5" ht="11.25" customHeight="1" x14ac:dyDescent="0.25">
      <c r="A64" s="8" t="s">
        <v>362</v>
      </c>
      <c r="B64" s="8" t="s">
        <v>411</v>
      </c>
      <c r="C64" s="8" t="s">
        <v>364</v>
      </c>
      <c r="D64" s="8">
        <v>398</v>
      </c>
      <c r="E64" s="8" t="s">
        <v>365</v>
      </c>
    </row>
    <row r="65" spans="1:5" ht="11.25" customHeight="1" x14ac:dyDescent="0.25">
      <c r="A65" s="8" t="s">
        <v>362</v>
      </c>
      <c r="B65" s="8" t="s">
        <v>411</v>
      </c>
      <c r="C65" s="8" t="s">
        <v>364</v>
      </c>
      <c r="D65" s="8">
        <v>399</v>
      </c>
      <c r="E65" s="8" t="s">
        <v>365</v>
      </c>
    </row>
    <row r="66" spans="1:5" ht="11.25" customHeight="1" x14ac:dyDescent="0.25">
      <c r="A66" s="8" t="s">
        <v>362</v>
      </c>
      <c r="B66" s="8" t="s">
        <v>411</v>
      </c>
      <c r="C66" s="8" t="s">
        <v>364</v>
      </c>
      <c r="D66" s="8">
        <v>401</v>
      </c>
      <c r="E66" s="8" t="s">
        <v>365</v>
      </c>
    </row>
    <row r="67" spans="1:5" ht="11.25" customHeight="1" x14ac:dyDescent="0.25">
      <c r="A67" s="8" t="s">
        <v>362</v>
      </c>
      <c r="B67" s="8" t="s">
        <v>411</v>
      </c>
      <c r="C67" s="8" t="s">
        <v>364</v>
      </c>
      <c r="D67" s="8">
        <v>402</v>
      </c>
      <c r="E67" s="8" t="s">
        <v>365</v>
      </c>
    </row>
    <row r="68" spans="1:5" ht="11.25" customHeight="1" x14ac:dyDescent="0.25">
      <c r="A68" s="8" t="s">
        <v>362</v>
      </c>
      <c r="B68" s="8" t="s">
        <v>411</v>
      </c>
      <c r="C68" s="8" t="s">
        <v>364</v>
      </c>
      <c r="D68" s="8">
        <v>404</v>
      </c>
      <c r="E68" s="8" t="s">
        <v>365</v>
      </c>
    </row>
    <row r="69" spans="1:5" ht="11.25" customHeight="1" x14ac:dyDescent="0.25">
      <c r="A69" s="8" t="s">
        <v>362</v>
      </c>
      <c r="B69" s="8" t="s">
        <v>411</v>
      </c>
      <c r="C69" s="8" t="s">
        <v>364</v>
      </c>
      <c r="D69" s="8">
        <v>405</v>
      </c>
      <c r="E69" s="8" t="s">
        <v>365</v>
      </c>
    </row>
    <row r="70" spans="1:5" ht="11.25" customHeight="1" x14ac:dyDescent="0.25">
      <c r="A70" s="8" t="s">
        <v>362</v>
      </c>
      <c r="B70" s="8" t="s">
        <v>411</v>
      </c>
      <c r="C70" s="8" t="s">
        <v>364</v>
      </c>
      <c r="D70" s="8">
        <v>460</v>
      </c>
      <c r="E70" s="8" t="s">
        <v>365</v>
      </c>
    </row>
    <row r="71" spans="1:5" ht="11.25" customHeight="1" x14ac:dyDescent="0.25">
      <c r="A71" s="8" t="s">
        <v>362</v>
      </c>
      <c r="B71" s="8" t="s">
        <v>411</v>
      </c>
      <c r="C71" s="8" t="s">
        <v>364</v>
      </c>
      <c r="D71" s="8">
        <v>461</v>
      </c>
      <c r="E71" s="8" t="s">
        <v>365</v>
      </c>
    </row>
    <row r="72" spans="1:5" ht="11.25" customHeight="1" x14ac:dyDescent="0.25">
      <c r="A72" s="8" t="s">
        <v>362</v>
      </c>
      <c r="B72" s="8" t="s">
        <v>411</v>
      </c>
      <c r="C72" s="8" t="s">
        <v>364</v>
      </c>
      <c r="D72" s="8">
        <v>462</v>
      </c>
      <c r="E72" s="8" t="s">
        <v>365</v>
      </c>
    </row>
    <row r="73" spans="1:5" ht="11.25" customHeight="1" x14ac:dyDescent="0.25">
      <c r="A73" s="8" t="s">
        <v>362</v>
      </c>
      <c r="B73" s="8" t="s">
        <v>411</v>
      </c>
      <c r="C73" s="8" t="s">
        <v>364</v>
      </c>
      <c r="D73" s="8">
        <v>463</v>
      </c>
      <c r="E73" s="8" t="s">
        <v>365</v>
      </c>
    </row>
    <row r="74" spans="1:5" ht="11.25" customHeight="1" x14ac:dyDescent="0.25">
      <c r="A74" s="8" t="s">
        <v>362</v>
      </c>
      <c r="B74" s="8" t="s">
        <v>411</v>
      </c>
      <c r="C74" s="8" t="s">
        <v>364</v>
      </c>
      <c r="D74" s="8">
        <v>464</v>
      </c>
      <c r="E74" s="8" t="s">
        <v>365</v>
      </c>
    </row>
    <row r="75" spans="1:5" ht="11.25" customHeight="1" x14ac:dyDescent="0.25">
      <c r="A75" s="8" t="s">
        <v>362</v>
      </c>
      <c r="B75" s="8" t="s">
        <v>411</v>
      </c>
      <c r="C75" s="8" t="s">
        <v>364</v>
      </c>
      <c r="D75" s="8">
        <v>465</v>
      </c>
      <c r="E75" s="8" t="s">
        <v>365</v>
      </c>
    </row>
    <row r="76" spans="1:5" ht="11.25" customHeight="1" x14ac:dyDescent="0.25">
      <c r="A76" s="8" t="s">
        <v>362</v>
      </c>
      <c r="B76" s="8" t="s">
        <v>411</v>
      </c>
      <c r="C76" s="8" t="s">
        <v>364</v>
      </c>
      <c r="D76" s="8">
        <v>466</v>
      </c>
      <c r="E76" s="8" t="s">
        <v>365</v>
      </c>
    </row>
    <row r="77" spans="1:5" ht="11.25" customHeight="1" x14ac:dyDescent="0.25">
      <c r="A77" s="8" t="s">
        <v>362</v>
      </c>
      <c r="B77" s="8" t="s">
        <v>411</v>
      </c>
      <c r="C77" s="8" t="s">
        <v>364</v>
      </c>
      <c r="D77" s="8">
        <v>467</v>
      </c>
      <c r="E77" s="8" t="s">
        <v>365</v>
      </c>
    </row>
    <row r="78" spans="1:5" ht="11.25" customHeight="1" x14ac:dyDescent="0.25">
      <c r="A78" s="8" t="s">
        <v>362</v>
      </c>
      <c r="B78" s="8" t="s">
        <v>411</v>
      </c>
      <c r="C78" s="8" t="s">
        <v>364</v>
      </c>
      <c r="D78" s="8">
        <v>468</v>
      </c>
      <c r="E78" s="8" t="s">
        <v>365</v>
      </c>
    </row>
    <row r="79" spans="1:5" ht="11.25" customHeight="1" x14ac:dyDescent="0.25">
      <c r="A79" s="8" t="s">
        <v>362</v>
      </c>
      <c r="B79" s="8" t="s">
        <v>411</v>
      </c>
      <c r="C79" s="8" t="s">
        <v>364</v>
      </c>
      <c r="D79" s="8">
        <v>469</v>
      </c>
      <c r="E79" s="8" t="s">
        <v>365</v>
      </c>
    </row>
    <row r="80" spans="1:5" ht="11.25" customHeight="1" x14ac:dyDescent="0.25">
      <c r="A80" s="8" t="s">
        <v>362</v>
      </c>
      <c r="B80" s="8" t="s">
        <v>411</v>
      </c>
      <c r="C80" s="8" t="s">
        <v>364</v>
      </c>
      <c r="D80" s="8">
        <v>470</v>
      </c>
      <c r="E80" s="8" t="s">
        <v>365</v>
      </c>
    </row>
    <row r="81" spans="1:5" ht="11.25" customHeight="1" x14ac:dyDescent="0.25">
      <c r="A81" s="8" t="s">
        <v>362</v>
      </c>
      <c r="B81" s="8" t="s">
        <v>411</v>
      </c>
      <c r="C81" s="8" t="s">
        <v>364</v>
      </c>
      <c r="D81" s="8">
        <v>471</v>
      </c>
      <c r="E81" s="8" t="s">
        <v>365</v>
      </c>
    </row>
    <row r="82" spans="1:5" ht="11.25" customHeight="1" x14ac:dyDescent="0.25">
      <c r="A82" s="8" t="s">
        <v>362</v>
      </c>
      <c r="B82" s="8" t="s">
        <v>411</v>
      </c>
      <c r="C82" s="8" t="s">
        <v>364</v>
      </c>
      <c r="D82" s="8">
        <v>472</v>
      </c>
      <c r="E82" s="8" t="s">
        <v>365</v>
      </c>
    </row>
    <row r="83" spans="1:5" ht="11.25" customHeight="1" x14ac:dyDescent="0.25">
      <c r="A83" s="8" t="s">
        <v>362</v>
      </c>
      <c r="B83" s="8" t="s">
        <v>411</v>
      </c>
      <c r="C83" s="8" t="s">
        <v>364</v>
      </c>
      <c r="D83" s="8">
        <v>473</v>
      </c>
      <c r="E83" s="8" t="s">
        <v>365</v>
      </c>
    </row>
    <row r="84" spans="1:5" ht="11.25" customHeight="1" x14ac:dyDescent="0.25">
      <c r="A84" s="8" t="s">
        <v>362</v>
      </c>
      <c r="B84" s="8" t="s">
        <v>411</v>
      </c>
      <c r="C84" s="8" t="s">
        <v>364</v>
      </c>
      <c r="D84" s="8">
        <v>474</v>
      </c>
      <c r="E84" s="8" t="s">
        <v>365</v>
      </c>
    </row>
    <row r="85" spans="1:5" ht="11.25" customHeight="1" x14ac:dyDescent="0.25">
      <c r="A85" s="8" t="s">
        <v>362</v>
      </c>
      <c r="B85" s="8" t="s">
        <v>411</v>
      </c>
      <c r="C85" s="8" t="s">
        <v>364</v>
      </c>
      <c r="D85" s="8">
        <v>475</v>
      </c>
      <c r="E85" s="8" t="s">
        <v>365</v>
      </c>
    </row>
    <row r="86" spans="1:5" ht="11.25" customHeight="1" x14ac:dyDescent="0.25">
      <c r="A86" s="8" t="s">
        <v>362</v>
      </c>
      <c r="B86" s="8" t="s">
        <v>411</v>
      </c>
      <c r="C86" s="8" t="s">
        <v>364</v>
      </c>
      <c r="D86" s="8">
        <v>476</v>
      </c>
      <c r="E86" s="8" t="s">
        <v>365</v>
      </c>
    </row>
    <row r="87" spans="1:5" ht="11.25" customHeight="1" x14ac:dyDescent="0.25">
      <c r="A87" s="8" t="s">
        <v>362</v>
      </c>
      <c r="B87" s="8" t="s">
        <v>411</v>
      </c>
      <c r="C87" s="8" t="s">
        <v>364</v>
      </c>
      <c r="D87" s="8">
        <v>477</v>
      </c>
      <c r="E87" s="8" t="s">
        <v>365</v>
      </c>
    </row>
    <row r="88" spans="1:5" ht="11.25" customHeight="1" x14ac:dyDescent="0.25">
      <c r="A88" s="8" t="s">
        <v>362</v>
      </c>
      <c r="B88" s="8" t="s">
        <v>411</v>
      </c>
      <c r="C88" s="8" t="s">
        <v>364</v>
      </c>
      <c r="D88" s="8">
        <v>478</v>
      </c>
      <c r="E88" s="8" t="s">
        <v>365</v>
      </c>
    </row>
    <row r="89" spans="1:5" ht="11.25" customHeight="1" x14ac:dyDescent="0.25">
      <c r="A89" s="8" t="s">
        <v>362</v>
      </c>
      <c r="B89" s="8" t="s">
        <v>411</v>
      </c>
      <c r="C89" s="8" t="s">
        <v>364</v>
      </c>
      <c r="D89" s="8">
        <v>479</v>
      </c>
      <c r="E89" s="8" t="s">
        <v>365</v>
      </c>
    </row>
    <row r="90" spans="1:5" ht="11.25" customHeight="1" x14ac:dyDescent="0.25">
      <c r="A90" s="8" t="s">
        <v>362</v>
      </c>
      <c r="B90" s="8" t="s">
        <v>411</v>
      </c>
      <c r="C90" s="8" t="s">
        <v>364</v>
      </c>
      <c r="D90" s="8">
        <v>480</v>
      </c>
      <c r="E90" s="8" t="s">
        <v>365</v>
      </c>
    </row>
    <row r="91" spans="1:5" ht="11.25" customHeight="1" x14ac:dyDescent="0.25">
      <c r="A91" s="8" t="s">
        <v>362</v>
      </c>
      <c r="B91" s="8" t="s">
        <v>411</v>
      </c>
      <c r="C91" s="8" t="s">
        <v>364</v>
      </c>
      <c r="D91" s="8">
        <v>481</v>
      </c>
      <c r="E91" s="8" t="s">
        <v>365</v>
      </c>
    </row>
    <row r="92" spans="1:5" ht="11.25" customHeight="1" x14ac:dyDescent="0.25">
      <c r="A92" s="8" t="s">
        <v>362</v>
      </c>
      <c r="B92" s="8" t="s">
        <v>411</v>
      </c>
      <c r="C92" s="8" t="s">
        <v>364</v>
      </c>
      <c r="D92" s="8">
        <v>482</v>
      </c>
      <c r="E92" s="8" t="s">
        <v>365</v>
      </c>
    </row>
    <row r="93" spans="1:5" ht="11.25" customHeight="1" x14ac:dyDescent="0.25">
      <c r="A93" s="8" t="s">
        <v>362</v>
      </c>
      <c r="B93" s="8" t="s">
        <v>411</v>
      </c>
      <c r="C93" s="8" t="s">
        <v>364</v>
      </c>
      <c r="D93" s="8">
        <v>518</v>
      </c>
      <c r="E93" s="8" t="s">
        <v>365</v>
      </c>
    </row>
    <row r="94" spans="1:5" ht="11.25" customHeight="1" x14ac:dyDescent="0.25">
      <c r="A94" s="8" t="s">
        <v>362</v>
      </c>
      <c r="B94" s="8" t="s">
        <v>411</v>
      </c>
      <c r="C94" s="8" t="s">
        <v>364</v>
      </c>
      <c r="D94" s="8">
        <v>519</v>
      </c>
      <c r="E94" s="8" t="s">
        <v>365</v>
      </c>
    </row>
    <row r="95" spans="1:5" ht="11.25" customHeight="1" x14ac:dyDescent="0.25">
      <c r="A95" s="8" t="s">
        <v>362</v>
      </c>
      <c r="B95" s="8" t="s">
        <v>411</v>
      </c>
      <c r="C95" s="8" t="s">
        <v>364</v>
      </c>
      <c r="D95" s="8">
        <v>520</v>
      </c>
      <c r="E95" s="8" t="s">
        <v>365</v>
      </c>
    </row>
    <row r="96" spans="1:5" ht="11.25" customHeight="1" x14ac:dyDescent="0.25">
      <c r="A96" s="8" t="s">
        <v>362</v>
      </c>
      <c r="B96" s="8" t="s">
        <v>411</v>
      </c>
      <c r="C96" s="8" t="s">
        <v>364</v>
      </c>
      <c r="D96" s="8">
        <v>521</v>
      </c>
      <c r="E96" s="8" t="s">
        <v>365</v>
      </c>
    </row>
    <row r="97" spans="1:5" ht="11.25" customHeight="1" x14ac:dyDescent="0.25">
      <c r="A97" s="8" t="s">
        <v>362</v>
      </c>
      <c r="B97" s="8" t="s">
        <v>411</v>
      </c>
      <c r="C97" s="8" t="s">
        <v>364</v>
      </c>
      <c r="D97" s="8">
        <v>522</v>
      </c>
      <c r="E97" s="8" t="s">
        <v>365</v>
      </c>
    </row>
    <row r="98" spans="1:5" ht="11.25" customHeight="1" x14ac:dyDescent="0.25">
      <c r="A98" s="8" t="s">
        <v>362</v>
      </c>
      <c r="B98" s="8" t="s">
        <v>411</v>
      </c>
      <c r="C98" s="8" t="s">
        <v>364</v>
      </c>
      <c r="D98" s="8">
        <v>523</v>
      </c>
      <c r="E98" s="8" t="s">
        <v>365</v>
      </c>
    </row>
    <row r="99" spans="1:5" ht="11.25" customHeight="1" x14ac:dyDescent="0.25">
      <c r="A99" s="8" t="s">
        <v>362</v>
      </c>
      <c r="B99" s="8" t="s">
        <v>411</v>
      </c>
      <c r="C99" s="8" t="s">
        <v>364</v>
      </c>
      <c r="D99" s="8">
        <v>524</v>
      </c>
      <c r="E99" s="8" t="s">
        <v>365</v>
      </c>
    </row>
    <row r="100" spans="1:5" ht="11.25" customHeight="1" x14ac:dyDescent="0.25">
      <c r="A100" s="8" t="s">
        <v>362</v>
      </c>
      <c r="B100" s="8" t="s">
        <v>411</v>
      </c>
      <c r="C100" s="8" t="s">
        <v>364</v>
      </c>
      <c r="D100" s="8">
        <v>525</v>
      </c>
      <c r="E100" s="8" t="s">
        <v>365</v>
      </c>
    </row>
    <row r="101" spans="1:5" ht="11.25" customHeight="1" x14ac:dyDescent="0.25">
      <c r="A101" s="8" t="s">
        <v>362</v>
      </c>
      <c r="B101" s="8" t="s">
        <v>411</v>
      </c>
      <c r="C101" s="8" t="s">
        <v>364</v>
      </c>
      <c r="D101" s="8">
        <v>526</v>
      </c>
      <c r="E101" s="8" t="s">
        <v>365</v>
      </c>
    </row>
    <row r="102" spans="1:5" ht="11.25" customHeight="1" x14ac:dyDescent="0.25">
      <c r="A102" s="8" t="s">
        <v>362</v>
      </c>
      <c r="B102" s="8" t="s">
        <v>411</v>
      </c>
      <c r="C102" s="8" t="s">
        <v>364</v>
      </c>
      <c r="D102" s="8">
        <v>527</v>
      </c>
      <c r="E102" s="8" t="s">
        <v>365</v>
      </c>
    </row>
    <row r="103" spans="1:5" ht="11.25" customHeight="1" x14ac:dyDescent="0.25">
      <c r="A103" s="8" t="s">
        <v>362</v>
      </c>
      <c r="B103" s="8" t="s">
        <v>411</v>
      </c>
      <c r="C103" s="8" t="s">
        <v>364</v>
      </c>
      <c r="D103" s="8">
        <v>528</v>
      </c>
      <c r="E103" s="8" t="s">
        <v>365</v>
      </c>
    </row>
    <row r="104" spans="1:5" ht="11.25" customHeight="1" x14ac:dyDescent="0.25">
      <c r="A104" s="8" t="s">
        <v>362</v>
      </c>
      <c r="B104" s="8" t="s">
        <v>411</v>
      </c>
      <c r="C104" s="8" t="s">
        <v>364</v>
      </c>
      <c r="D104" s="8">
        <v>529</v>
      </c>
      <c r="E104" s="8" t="s">
        <v>365</v>
      </c>
    </row>
    <row r="105" spans="1:5" ht="11.25" customHeight="1" x14ac:dyDescent="0.25">
      <c r="A105" s="8" t="s">
        <v>362</v>
      </c>
      <c r="B105" s="8" t="s">
        <v>411</v>
      </c>
      <c r="C105" s="8" t="s">
        <v>364</v>
      </c>
      <c r="D105" s="8">
        <v>552</v>
      </c>
      <c r="E105" s="8" t="s">
        <v>365</v>
      </c>
    </row>
    <row r="106" spans="1:5" ht="11.25" customHeight="1" x14ac:dyDescent="0.25">
      <c r="A106" s="8" t="s">
        <v>362</v>
      </c>
      <c r="B106" s="8" t="s">
        <v>411</v>
      </c>
      <c r="C106" s="8" t="s">
        <v>364</v>
      </c>
      <c r="D106" s="8">
        <v>553</v>
      </c>
      <c r="E106" s="8" t="s">
        <v>365</v>
      </c>
    </row>
    <row r="107" spans="1:5" ht="11.25" customHeight="1" x14ac:dyDescent="0.25">
      <c r="A107" s="8" t="s">
        <v>362</v>
      </c>
      <c r="B107" s="8" t="s">
        <v>411</v>
      </c>
      <c r="C107" s="8" t="s">
        <v>364</v>
      </c>
      <c r="D107" s="8">
        <v>554</v>
      </c>
      <c r="E107" s="8" t="s">
        <v>365</v>
      </c>
    </row>
    <row r="108" spans="1:5" ht="11.25" customHeight="1" x14ac:dyDescent="0.25">
      <c r="A108" s="8" t="s">
        <v>362</v>
      </c>
      <c r="B108" s="8" t="s">
        <v>411</v>
      </c>
      <c r="C108" s="8" t="s">
        <v>364</v>
      </c>
      <c r="D108" s="8">
        <v>555</v>
      </c>
      <c r="E108" s="8" t="s">
        <v>365</v>
      </c>
    </row>
    <row r="109" spans="1:5" ht="11.25" customHeight="1" x14ac:dyDescent="0.25">
      <c r="A109" s="8" t="s">
        <v>362</v>
      </c>
      <c r="B109" s="8" t="s">
        <v>411</v>
      </c>
      <c r="C109" s="8" t="s">
        <v>364</v>
      </c>
      <c r="D109" s="8">
        <v>556</v>
      </c>
      <c r="E109" s="8" t="s">
        <v>365</v>
      </c>
    </row>
    <row r="110" spans="1:5" ht="11.25" customHeight="1" x14ac:dyDescent="0.25">
      <c r="A110" s="8" t="s">
        <v>362</v>
      </c>
      <c r="B110" s="8" t="s">
        <v>411</v>
      </c>
      <c r="C110" s="8" t="s">
        <v>364</v>
      </c>
      <c r="D110" s="8">
        <v>557</v>
      </c>
      <c r="E110" s="8" t="s">
        <v>365</v>
      </c>
    </row>
    <row r="111" spans="1:5" ht="11.25" customHeight="1" x14ac:dyDescent="0.25">
      <c r="A111" s="8" t="s">
        <v>362</v>
      </c>
      <c r="B111" s="8" t="s">
        <v>411</v>
      </c>
      <c r="C111" s="8" t="s">
        <v>364</v>
      </c>
      <c r="D111" s="8">
        <v>558</v>
      </c>
      <c r="E111" s="8" t="s">
        <v>365</v>
      </c>
    </row>
    <row r="112" spans="1:5" ht="11.25" customHeight="1" x14ac:dyDescent="0.25">
      <c r="A112" s="8" t="s">
        <v>362</v>
      </c>
      <c r="B112" s="8" t="s">
        <v>411</v>
      </c>
      <c r="C112" s="8" t="s">
        <v>364</v>
      </c>
      <c r="D112" s="8">
        <v>559</v>
      </c>
      <c r="E112" s="8" t="s">
        <v>365</v>
      </c>
    </row>
    <row r="113" spans="1:5" ht="11.25" customHeight="1" x14ac:dyDescent="0.25">
      <c r="A113" s="8" t="s">
        <v>362</v>
      </c>
      <c r="B113" s="8" t="s">
        <v>411</v>
      </c>
      <c r="C113" s="8" t="s">
        <v>364</v>
      </c>
      <c r="D113" s="8">
        <v>560</v>
      </c>
      <c r="E113" s="8" t="s">
        <v>365</v>
      </c>
    </row>
    <row r="114" spans="1:5" ht="11.25" customHeight="1" x14ac:dyDescent="0.25">
      <c r="A114" s="8" t="s">
        <v>362</v>
      </c>
      <c r="B114" s="8" t="s">
        <v>411</v>
      </c>
      <c r="C114" s="8" t="s">
        <v>364</v>
      </c>
      <c r="D114" s="8">
        <v>561</v>
      </c>
      <c r="E114" s="8" t="s">
        <v>365</v>
      </c>
    </row>
    <row r="115" spans="1:5" ht="11.25" customHeight="1" x14ac:dyDescent="0.25">
      <c r="A115" s="8" t="s">
        <v>362</v>
      </c>
      <c r="B115" s="8" t="s">
        <v>411</v>
      </c>
      <c r="C115" s="8" t="s">
        <v>364</v>
      </c>
      <c r="D115" s="8">
        <v>562</v>
      </c>
      <c r="E115" s="8" t="s">
        <v>365</v>
      </c>
    </row>
    <row r="116" spans="1:5" ht="11.25" customHeight="1" x14ac:dyDescent="0.25">
      <c r="A116" s="8" t="s">
        <v>362</v>
      </c>
      <c r="B116" s="8" t="s">
        <v>411</v>
      </c>
      <c r="C116" s="8" t="s">
        <v>364</v>
      </c>
      <c r="D116" s="8">
        <v>586</v>
      </c>
      <c r="E116" s="8" t="s">
        <v>365</v>
      </c>
    </row>
    <row r="117" spans="1:5" ht="11.25" customHeight="1" x14ac:dyDescent="0.25">
      <c r="A117" s="8" t="s">
        <v>362</v>
      </c>
      <c r="B117" s="8" t="s">
        <v>411</v>
      </c>
      <c r="C117" s="8" t="s">
        <v>364</v>
      </c>
      <c r="D117" s="8">
        <v>587</v>
      </c>
      <c r="E117" s="8" t="s">
        <v>365</v>
      </c>
    </row>
    <row r="118" spans="1:5" ht="11.25" customHeight="1" x14ac:dyDescent="0.25">
      <c r="A118" s="8" t="s">
        <v>362</v>
      </c>
      <c r="B118" s="8" t="s">
        <v>411</v>
      </c>
      <c r="C118" s="8" t="s">
        <v>364</v>
      </c>
      <c r="D118" s="8">
        <v>588</v>
      </c>
      <c r="E118" s="8" t="s">
        <v>365</v>
      </c>
    </row>
    <row r="119" spans="1:5" ht="11.25" customHeight="1" x14ac:dyDescent="0.25">
      <c r="A119" s="8" t="s">
        <v>362</v>
      </c>
      <c r="B119" s="8" t="s">
        <v>411</v>
      </c>
      <c r="C119" s="8" t="s">
        <v>364</v>
      </c>
      <c r="D119" s="8">
        <v>589</v>
      </c>
      <c r="E119" s="8" t="s">
        <v>365</v>
      </c>
    </row>
    <row r="120" spans="1:5" ht="11.25" customHeight="1" x14ac:dyDescent="0.25">
      <c r="A120" s="8" t="s">
        <v>362</v>
      </c>
      <c r="B120" s="8" t="s">
        <v>411</v>
      </c>
      <c r="C120" s="8" t="s">
        <v>364</v>
      </c>
      <c r="D120" s="8">
        <v>590</v>
      </c>
      <c r="E120" s="8" t="s">
        <v>365</v>
      </c>
    </row>
    <row r="121" spans="1:5" ht="11.25" customHeight="1" x14ac:dyDescent="0.25">
      <c r="A121" s="8" t="s">
        <v>362</v>
      </c>
      <c r="B121" s="8" t="s">
        <v>411</v>
      </c>
      <c r="C121" s="8" t="s">
        <v>364</v>
      </c>
      <c r="D121" s="8">
        <v>591</v>
      </c>
      <c r="E121" s="8" t="s">
        <v>365</v>
      </c>
    </row>
    <row r="122" spans="1:5" ht="11.25" customHeight="1" x14ac:dyDescent="0.25">
      <c r="A122" s="8" t="s">
        <v>362</v>
      </c>
      <c r="B122" s="8" t="s">
        <v>411</v>
      </c>
      <c r="C122" s="8" t="s">
        <v>364</v>
      </c>
      <c r="D122" s="8">
        <v>592</v>
      </c>
      <c r="E122" s="8" t="s">
        <v>365</v>
      </c>
    </row>
    <row r="123" spans="1:5" ht="11.25" customHeight="1" x14ac:dyDescent="0.25">
      <c r="A123" s="8" t="s">
        <v>362</v>
      </c>
      <c r="B123" s="8" t="s">
        <v>411</v>
      </c>
      <c r="C123" s="8" t="s">
        <v>364</v>
      </c>
      <c r="D123" s="8">
        <v>593</v>
      </c>
      <c r="E123" s="8" t="s">
        <v>365</v>
      </c>
    </row>
    <row r="124" spans="1:5" ht="11.25" customHeight="1" x14ac:dyDescent="0.25">
      <c r="A124" s="8" t="s">
        <v>362</v>
      </c>
      <c r="B124" s="8" t="s">
        <v>411</v>
      </c>
      <c r="C124" s="8" t="s">
        <v>364</v>
      </c>
      <c r="D124" s="8">
        <v>594</v>
      </c>
      <c r="E124" s="8" t="s">
        <v>365</v>
      </c>
    </row>
    <row r="125" spans="1:5" ht="11.25" customHeight="1" x14ac:dyDescent="0.25">
      <c r="A125" s="8" t="s">
        <v>362</v>
      </c>
      <c r="B125" s="8" t="s">
        <v>411</v>
      </c>
      <c r="C125" s="8" t="s">
        <v>364</v>
      </c>
      <c r="D125" s="8">
        <v>595</v>
      </c>
      <c r="E125" s="8" t="s">
        <v>365</v>
      </c>
    </row>
    <row r="126" spans="1:5" ht="11.25" customHeight="1" x14ac:dyDescent="0.25">
      <c r="A126" s="8" t="s">
        <v>362</v>
      </c>
      <c r="B126" s="8" t="s">
        <v>411</v>
      </c>
      <c r="C126" s="8" t="s">
        <v>364</v>
      </c>
      <c r="D126" s="8">
        <v>596</v>
      </c>
      <c r="E126" s="8" t="s">
        <v>365</v>
      </c>
    </row>
    <row r="127" spans="1:5" ht="11.25" customHeight="1" x14ac:dyDescent="0.25">
      <c r="A127" s="8" t="s">
        <v>362</v>
      </c>
      <c r="B127" s="8" t="s">
        <v>411</v>
      </c>
      <c r="C127" s="8" t="s">
        <v>364</v>
      </c>
      <c r="D127" s="8">
        <v>597</v>
      </c>
      <c r="E127" s="8" t="s">
        <v>365</v>
      </c>
    </row>
    <row r="128" spans="1:5" ht="11.25" customHeight="1" x14ac:dyDescent="0.25">
      <c r="A128" s="8" t="s">
        <v>362</v>
      </c>
      <c r="C128" s="8" t="s">
        <v>669</v>
      </c>
      <c r="D128" s="8">
        <v>40</v>
      </c>
      <c r="E128" s="8" t="s">
        <v>9</v>
      </c>
    </row>
    <row r="129" spans="1:5" ht="11.25" customHeight="1" x14ac:dyDescent="0.25">
      <c r="A129" s="8" t="s">
        <v>362</v>
      </c>
      <c r="C129" s="8" t="s">
        <v>669</v>
      </c>
      <c r="D129" s="8">
        <v>40</v>
      </c>
      <c r="E129" s="8" t="s">
        <v>9</v>
      </c>
    </row>
    <row r="130" spans="1:5" ht="11.25" customHeight="1" x14ac:dyDescent="0.25">
      <c r="A130" s="8" t="s">
        <v>362</v>
      </c>
      <c r="C130" s="8" t="s">
        <v>669</v>
      </c>
      <c r="D130" s="8">
        <v>40</v>
      </c>
      <c r="E130" s="8" t="s">
        <v>9</v>
      </c>
    </row>
    <row r="131" spans="1:5" ht="11.25" customHeight="1" x14ac:dyDescent="0.25">
      <c r="A131" s="8" t="s">
        <v>362</v>
      </c>
      <c r="C131" s="8" t="s">
        <v>669</v>
      </c>
      <c r="D131" s="8">
        <v>40</v>
      </c>
      <c r="E13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80A2-C542-41E5-A980-BE146E43E72A}">
  <sheetPr>
    <tabColor theme="4" tint="-0.249977111117893"/>
  </sheetPr>
  <dimension ref="A1:AX219"/>
  <sheetViews>
    <sheetView showGridLines="0" topLeftCell="A157" workbookViewId="0">
      <selection activeCell="O188" sqref="O188"/>
    </sheetView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7" width="10.28515625" style="8" bestFit="1" customWidth="1"/>
    <col min="8" max="8" width="28.28515625" style="8" bestFit="1" customWidth="1"/>
    <col min="9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30" t="s">
        <v>728</v>
      </c>
      <c r="B1" s="30" t="s">
        <v>719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720</v>
      </c>
      <c r="K1" s="30" t="s">
        <v>721</v>
      </c>
      <c r="L1" s="30" t="s">
        <v>722</v>
      </c>
      <c r="M1" s="30" t="s">
        <v>723</v>
      </c>
      <c r="N1" s="30" t="s">
        <v>724</v>
      </c>
      <c r="O1" s="30" t="s">
        <v>601</v>
      </c>
      <c r="P1" s="30" t="s">
        <v>587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1">
        <v>50</v>
      </c>
      <c r="B2" s="31" t="s">
        <v>609</v>
      </c>
      <c r="C2" s="31" t="s">
        <v>835</v>
      </c>
      <c r="D2" s="31" t="s">
        <v>70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35</v>
      </c>
      <c r="J2" s="31" t="s">
        <v>727</v>
      </c>
      <c r="K2" s="31" t="s">
        <v>726</v>
      </c>
      <c r="L2" s="31" t="s">
        <v>71</v>
      </c>
      <c r="M2" s="31">
        <v>2021</v>
      </c>
      <c r="N2" s="31">
        <v>0</v>
      </c>
      <c r="O2" s="31">
        <v>275.36</v>
      </c>
      <c r="P2" s="31"/>
      <c r="R2" s="8" t="str">
        <f t="shared" ref="R2:R65" si="0">B2&amp;C2&amp;D2&amp;E2&amp;F2&amp;G2&amp;H2&amp;I2</f>
        <v>TEA1Energia horáriaNão se aplicaNão se aplicaNão se aplicaNão se aplicaFora ponta</v>
      </c>
      <c r="S2" s="8">
        <f t="shared" ref="S2:S65" si="1">O2</f>
        <v>275.36</v>
      </c>
    </row>
    <row r="3" spans="1:50" ht="11.25" customHeight="1" x14ac:dyDescent="0.25">
      <c r="A3" s="31">
        <v>48</v>
      </c>
      <c r="B3" s="31" t="s">
        <v>609</v>
      </c>
      <c r="C3" s="31" t="s">
        <v>835</v>
      </c>
      <c r="D3" s="31" t="s">
        <v>70</v>
      </c>
      <c r="E3" s="31" t="s">
        <v>25</v>
      </c>
      <c r="F3" s="31" t="s">
        <v>25</v>
      </c>
      <c r="G3" s="31" t="s">
        <v>25</v>
      </c>
      <c r="H3" s="31" t="s">
        <v>25</v>
      </c>
      <c r="I3" s="31" t="s">
        <v>37</v>
      </c>
      <c r="J3" s="31" t="s">
        <v>727</v>
      </c>
      <c r="K3" s="31" t="s">
        <v>726</v>
      </c>
      <c r="L3" s="31" t="s">
        <v>71</v>
      </c>
      <c r="M3" s="31">
        <v>2021</v>
      </c>
      <c r="N3" s="31">
        <v>0</v>
      </c>
      <c r="O3" s="31">
        <v>437.87</v>
      </c>
      <c r="P3" s="31"/>
      <c r="R3" s="8" t="str">
        <f t="shared" si="0"/>
        <v>TEA1Energia horáriaNão se aplicaNão se aplicaNão se aplicaNão se aplicaPonta</v>
      </c>
      <c r="S3" s="8">
        <f t="shared" si="1"/>
        <v>437.87</v>
      </c>
    </row>
    <row r="4" spans="1:50" ht="11.25" customHeight="1" x14ac:dyDescent="0.25">
      <c r="A4" s="31">
        <v>54</v>
      </c>
      <c r="B4" s="31" t="s">
        <v>609</v>
      </c>
      <c r="C4" s="31" t="s">
        <v>714</v>
      </c>
      <c r="D4" s="31" t="s">
        <v>70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35</v>
      </c>
      <c r="J4" s="31" t="s">
        <v>727</v>
      </c>
      <c r="K4" s="31" t="s">
        <v>726</v>
      </c>
      <c r="L4" s="31" t="s">
        <v>71</v>
      </c>
      <c r="M4" s="31">
        <v>2021</v>
      </c>
      <c r="N4" s="31">
        <v>0</v>
      </c>
      <c r="O4" s="31">
        <v>275.36</v>
      </c>
      <c r="P4" s="31"/>
      <c r="R4" s="8" t="str">
        <f t="shared" si="0"/>
        <v>TEA2Energia horáriaNão se aplicaNão se aplicaNão se aplicaNão se aplicaFora ponta</v>
      </c>
      <c r="S4" s="8">
        <f t="shared" si="1"/>
        <v>275.36</v>
      </c>
    </row>
    <row r="5" spans="1:50" ht="11.25" customHeight="1" x14ac:dyDescent="0.25">
      <c r="A5" s="31">
        <v>52</v>
      </c>
      <c r="B5" s="31" t="s">
        <v>609</v>
      </c>
      <c r="C5" s="31" t="s">
        <v>714</v>
      </c>
      <c r="D5" s="31" t="s">
        <v>70</v>
      </c>
      <c r="E5" s="31" t="s">
        <v>25</v>
      </c>
      <c r="F5" s="31" t="s">
        <v>25</v>
      </c>
      <c r="G5" s="31" t="s">
        <v>25</v>
      </c>
      <c r="H5" s="31" t="s">
        <v>25</v>
      </c>
      <c r="I5" s="31" t="s">
        <v>37</v>
      </c>
      <c r="J5" s="31" t="s">
        <v>727</v>
      </c>
      <c r="K5" s="31" t="s">
        <v>726</v>
      </c>
      <c r="L5" s="31" t="s">
        <v>71</v>
      </c>
      <c r="M5" s="31">
        <v>2021</v>
      </c>
      <c r="N5" s="31">
        <v>0</v>
      </c>
      <c r="O5" s="31">
        <v>437.87</v>
      </c>
      <c r="P5" s="31"/>
      <c r="R5" s="8" t="str">
        <f t="shared" si="0"/>
        <v>TEA2Energia horáriaNão se aplicaNão se aplicaNão se aplicaNão se aplicaPonta</v>
      </c>
      <c r="S5" s="8">
        <f t="shared" si="1"/>
        <v>437.87</v>
      </c>
    </row>
    <row r="6" spans="1:50" ht="11.25" customHeight="1" x14ac:dyDescent="0.25">
      <c r="A6" s="31">
        <v>58</v>
      </c>
      <c r="B6" s="31" t="s">
        <v>609</v>
      </c>
      <c r="C6" s="31" t="s">
        <v>715</v>
      </c>
      <c r="D6" s="31" t="s">
        <v>70</v>
      </c>
      <c r="E6" s="31" t="s">
        <v>25</v>
      </c>
      <c r="F6" s="31" t="s">
        <v>25</v>
      </c>
      <c r="G6" s="31" t="s">
        <v>25</v>
      </c>
      <c r="H6" s="31" t="s">
        <v>25</v>
      </c>
      <c r="I6" s="31" t="s">
        <v>35</v>
      </c>
      <c r="J6" s="31" t="s">
        <v>727</v>
      </c>
      <c r="K6" s="31" t="s">
        <v>726</v>
      </c>
      <c r="L6" s="31" t="s">
        <v>71</v>
      </c>
      <c r="M6" s="31">
        <v>2021</v>
      </c>
      <c r="N6" s="31">
        <v>0</v>
      </c>
      <c r="O6" s="31">
        <v>275.36</v>
      </c>
      <c r="P6" s="31"/>
      <c r="R6" s="8" t="str">
        <f t="shared" si="0"/>
        <v>TEA3Energia horáriaNão se aplicaNão se aplicaNão se aplicaNão se aplicaFora ponta</v>
      </c>
      <c r="S6" s="8">
        <f t="shared" si="1"/>
        <v>275.36</v>
      </c>
    </row>
    <row r="7" spans="1:50" ht="11.25" customHeight="1" x14ac:dyDescent="0.25">
      <c r="A7" s="31">
        <v>56</v>
      </c>
      <c r="B7" s="31" t="s">
        <v>609</v>
      </c>
      <c r="C7" s="31" t="s">
        <v>715</v>
      </c>
      <c r="D7" s="31" t="s">
        <v>70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37</v>
      </c>
      <c r="J7" s="31" t="s">
        <v>727</v>
      </c>
      <c r="K7" s="31" t="s">
        <v>726</v>
      </c>
      <c r="L7" s="31" t="s">
        <v>71</v>
      </c>
      <c r="M7" s="31">
        <v>2021</v>
      </c>
      <c r="N7" s="31">
        <v>0</v>
      </c>
      <c r="O7" s="31">
        <v>437.87</v>
      </c>
      <c r="P7" s="31"/>
      <c r="R7" s="8" t="str">
        <f t="shared" si="0"/>
        <v>TEA3Energia horáriaNão se aplicaNão se aplicaNão se aplicaNão se aplicaPonta</v>
      </c>
      <c r="S7" s="8">
        <f t="shared" si="1"/>
        <v>437.87</v>
      </c>
    </row>
    <row r="8" spans="1:50" ht="11.25" customHeight="1" x14ac:dyDescent="0.25">
      <c r="A8" s="31">
        <v>66</v>
      </c>
      <c r="B8" s="31" t="s">
        <v>609</v>
      </c>
      <c r="C8" s="31" t="s">
        <v>42</v>
      </c>
      <c r="D8" s="31" t="s">
        <v>74</v>
      </c>
      <c r="E8" s="31" t="s">
        <v>25</v>
      </c>
      <c r="F8" s="31" t="s">
        <v>25</v>
      </c>
      <c r="G8" s="31" t="s">
        <v>25</v>
      </c>
      <c r="H8" s="31" t="s">
        <v>25</v>
      </c>
      <c r="I8" s="31" t="s">
        <v>25</v>
      </c>
      <c r="J8" s="31" t="s">
        <v>727</v>
      </c>
      <c r="K8" s="31" t="s">
        <v>726</v>
      </c>
      <c r="L8" s="31" t="s">
        <v>71</v>
      </c>
      <c r="M8" s="31">
        <v>2021</v>
      </c>
      <c r="N8" s="31">
        <v>0</v>
      </c>
      <c r="O8" s="31">
        <v>288.89999999999998</v>
      </c>
      <c r="P8" s="31"/>
      <c r="R8" s="8" t="str">
        <f t="shared" si="0"/>
        <v>TEA3aEnergia convencionalNão se aplicaNão se aplicaNão se aplicaNão se aplicaNão se aplica</v>
      </c>
      <c r="S8" s="8">
        <f t="shared" si="1"/>
        <v>288.89999999999998</v>
      </c>
    </row>
    <row r="9" spans="1:50" ht="11.25" customHeight="1" x14ac:dyDescent="0.25">
      <c r="A9" s="31">
        <v>62</v>
      </c>
      <c r="B9" s="31" t="s">
        <v>609</v>
      </c>
      <c r="C9" s="31" t="s">
        <v>42</v>
      </c>
      <c r="D9" s="31" t="s">
        <v>70</v>
      </c>
      <c r="E9" s="31" t="s">
        <v>25</v>
      </c>
      <c r="F9" s="31" t="s">
        <v>25</v>
      </c>
      <c r="G9" s="31" t="s">
        <v>25</v>
      </c>
      <c r="H9" s="31" t="s">
        <v>25</v>
      </c>
      <c r="I9" s="31" t="s">
        <v>35</v>
      </c>
      <c r="J9" s="31" t="s">
        <v>727</v>
      </c>
      <c r="K9" s="31" t="s">
        <v>726</v>
      </c>
      <c r="L9" s="31" t="s">
        <v>71</v>
      </c>
      <c r="M9" s="31">
        <v>2021</v>
      </c>
      <c r="N9" s="31">
        <v>0</v>
      </c>
      <c r="O9" s="31">
        <v>275.36</v>
      </c>
      <c r="P9" s="31"/>
      <c r="R9" s="8" t="str">
        <f t="shared" si="0"/>
        <v>TEA3aEnergia horáriaNão se aplicaNão se aplicaNão se aplicaNão se aplicaFora ponta</v>
      </c>
      <c r="S9" s="8">
        <f t="shared" si="1"/>
        <v>275.36</v>
      </c>
    </row>
    <row r="10" spans="1:50" ht="11.25" customHeight="1" x14ac:dyDescent="0.25">
      <c r="A10" s="31">
        <v>60</v>
      </c>
      <c r="B10" s="31" t="s">
        <v>609</v>
      </c>
      <c r="C10" s="31" t="s">
        <v>42</v>
      </c>
      <c r="D10" s="31" t="s">
        <v>70</v>
      </c>
      <c r="E10" s="31" t="s">
        <v>25</v>
      </c>
      <c r="F10" s="31" t="s">
        <v>25</v>
      </c>
      <c r="G10" s="31" t="s">
        <v>25</v>
      </c>
      <c r="H10" s="31" t="s">
        <v>25</v>
      </c>
      <c r="I10" s="31" t="s">
        <v>37</v>
      </c>
      <c r="J10" s="31" t="s">
        <v>727</v>
      </c>
      <c r="K10" s="31" t="s">
        <v>726</v>
      </c>
      <c r="L10" s="31" t="s">
        <v>71</v>
      </c>
      <c r="M10" s="31">
        <v>2021</v>
      </c>
      <c r="N10" s="31">
        <v>0</v>
      </c>
      <c r="O10" s="31">
        <v>437.87</v>
      </c>
      <c r="P10" s="31"/>
      <c r="R10" s="8" t="str">
        <f t="shared" si="0"/>
        <v>TEA3aEnergia horáriaNão se aplicaNão se aplicaNão se aplicaNão se aplicaPonta</v>
      </c>
      <c r="S10" s="8">
        <f t="shared" si="1"/>
        <v>437.87</v>
      </c>
    </row>
    <row r="11" spans="1:50" ht="11.25" customHeight="1" x14ac:dyDescent="0.25">
      <c r="A11" s="31">
        <v>64</v>
      </c>
      <c r="B11" s="31" t="s">
        <v>609</v>
      </c>
      <c r="C11" s="31" t="s">
        <v>42</v>
      </c>
      <c r="D11" s="31" t="s">
        <v>1336</v>
      </c>
      <c r="E11" s="31" t="s">
        <v>25</v>
      </c>
      <c r="F11" s="31" t="s">
        <v>25</v>
      </c>
      <c r="G11" s="31" t="s">
        <v>1337</v>
      </c>
      <c r="H11" s="31" t="s">
        <v>25</v>
      </c>
      <c r="I11" s="31" t="s">
        <v>25</v>
      </c>
      <c r="J11" s="31" t="s">
        <v>727</v>
      </c>
      <c r="K11" s="31" t="s">
        <v>726</v>
      </c>
      <c r="L11" s="31" t="s">
        <v>71</v>
      </c>
      <c r="M11" s="31">
        <v>2021</v>
      </c>
      <c r="N11" s="31">
        <v>0</v>
      </c>
      <c r="O11" s="31">
        <v>303.57</v>
      </c>
      <c r="P11" s="31"/>
      <c r="R11" s="8" t="str">
        <f t="shared" si="0"/>
        <v>TEA3aEnergia suprimento concessionáriaNão se aplicaNão se aplica&lt;500GWhNão se aplicaNão se aplica</v>
      </c>
      <c r="S11" s="8">
        <f t="shared" si="1"/>
        <v>303.57</v>
      </c>
    </row>
    <row r="12" spans="1:50" ht="11.25" customHeight="1" x14ac:dyDescent="0.25">
      <c r="A12" s="31">
        <v>70</v>
      </c>
      <c r="B12" s="31" t="s">
        <v>609</v>
      </c>
      <c r="C12" s="31" t="s">
        <v>42</v>
      </c>
      <c r="D12" s="31" t="s">
        <v>1336</v>
      </c>
      <c r="E12" s="31" t="s">
        <v>25</v>
      </c>
      <c r="F12" s="31" t="s">
        <v>25</v>
      </c>
      <c r="G12" s="31" t="s">
        <v>25</v>
      </c>
      <c r="H12" s="31" t="s">
        <v>25</v>
      </c>
      <c r="I12" s="31" t="s">
        <v>25</v>
      </c>
      <c r="J12" s="31" t="s">
        <v>727</v>
      </c>
      <c r="K12" s="31" t="s">
        <v>726</v>
      </c>
      <c r="L12" s="31" t="s">
        <v>71</v>
      </c>
      <c r="M12" s="31">
        <v>2021</v>
      </c>
      <c r="N12" s="31">
        <v>0</v>
      </c>
      <c r="O12" s="31">
        <v>278.45</v>
      </c>
      <c r="P12" s="31"/>
      <c r="R12" s="8" t="str">
        <f t="shared" si="0"/>
        <v>TEA3aEnergia suprimento concessionáriaNão se aplicaNão se aplicaNão se aplicaNão se aplicaNão se aplica</v>
      </c>
      <c r="S12" s="8">
        <f t="shared" si="1"/>
        <v>278.45</v>
      </c>
    </row>
    <row r="13" spans="1:50" ht="11.25" customHeight="1" x14ac:dyDescent="0.25">
      <c r="A13" s="31">
        <v>68</v>
      </c>
      <c r="B13" s="31" t="s">
        <v>609</v>
      </c>
      <c r="C13" s="31" t="s">
        <v>42</v>
      </c>
      <c r="D13" s="31" t="s">
        <v>1338</v>
      </c>
      <c r="E13" s="31" t="s">
        <v>25</v>
      </c>
      <c r="F13" s="31" t="s">
        <v>25</v>
      </c>
      <c r="G13" s="31" t="s">
        <v>1337</v>
      </c>
      <c r="H13" s="31" t="s">
        <v>25</v>
      </c>
      <c r="I13" s="31" t="s">
        <v>25</v>
      </c>
      <c r="J13" s="31" t="s">
        <v>727</v>
      </c>
      <c r="K13" s="31" t="s">
        <v>726</v>
      </c>
      <c r="L13" s="31" t="s">
        <v>71</v>
      </c>
      <c r="M13" s="31">
        <v>2021</v>
      </c>
      <c r="N13" s="31">
        <v>0</v>
      </c>
      <c r="O13" s="31">
        <v>303.57</v>
      </c>
      <c r="P13" s="31"/>
      <c r="R13" s="8" t="str">
        <f t="shared" si="0"/>
        <v>TEA3aEnergia suprimento permissionáriaNão se aplicaNão se aplica&lt;500GWhNão se aplicaNão se aplica</v>
      </c>
      <c r="S13" s="8">
        <f t="shared" si="1"/>
        <v>303.57</v>
      </c>
    </row>
    <row r="14" spans="1:50" ht="11.25" customHeight="1" x14ac:dyDescent="0.25">
      <c r="A14" s="31">
        <v>78</v>
      </c>
      <c r="B14" s="31" t="s">
        <v>609</v>
      </c>
      <c r="C14" s="31" t="s">
        <v>33</v>
      </c>
      <c r="D14" s="31" t="s">
        <v>74</v>
      </c>
      <c r="E14" s="31" t="s">
        <v>25</v>
      </c>
      <c r="F14" s="31" t="s">
        <v>25</v>
      </c>
      <c r="G14" s="31" t="s">
        <v>25</v>
      </c>
      <c r="H14" s="31" t="s">
        <v>25</v>
      </c>
      <c r="I14" s="31" t="s">
        <v>25</v>
      </c>
      <c r="J14" s="31" t="s">
        <v>727</v>
      </c>
      <c r="K14" s="31" t="s">
        <v>726</v>
      </c>
      <c r="L14" s="31" t="s">
        <v>71</v>
      </c>
      <c r="M14" s="31">
        <v>2021</v>
      </c>
      <c r="N14" s="31">
        <v>0</v>
      </c>
      <c r="O14" s="31">
        <v>288.89999999999998</v>
      </c>
      <c r="P14" s="31"/>
      <c r="R14" s="8" t="str">
        <f t="shared" si="0"/>
        <v>TEA4Energia convencionalNão se aplicaNão se aplicaNão se aplicaNão se aplicaNão se aplica</v>
      </c>
      <c r="S14" s="8">
        <f t="shared" si="1"/>
        <v>288.89999999999998</v>
      </c>
    </row>
    <row r="15" spans="1:50" ht="11.25" customHeight="1" x14ac:dyDescent="0.25">
      <c r="A15" s="31">
        <v>74</v>
      </c>
      <c r="B15" s="31" t="s">
        <v>609</v>
      </c>
      <c r="C15" s="31" t="s">
        <v>33</v>
      </c>
      <c r="D15" s="31" t="s">
        <v>70</v>
      </c>
      <c r="E15" s="31" t="s">
        <v>25</v>
      </c>
      <c r="F15" s="31" t="s">
        <v>25</v>
      </c>
      <c r="G15" s="31" t="s">
        <v>25</v>
      </c>
      <c r="H15" s="31" t="s">
        <v>25</v>
      </c>
      <c r="I15" s="31" t="s">
        <v>35</v>
      </c>
      <c r="J15" s="31" t="s">
        <v>727</v>
      </c>
      <c r="K15" s="31" t="s">
        <v>726</v>
      </c>
      <c r="L15" s="31" t="s">
        <v>71</v>
      </c>
      <c r="M15" s="31">
        <v>2021</v>
      </c>
      <c r="N15" s="31">
        <v>0</v>
      </c>
      <c r="O15" s="31">
        <v>275.36</v>
      </c>
      <c r="P15" s="31"/>
      <c r="R15" s="8" t="str">
        <f t="shared" si="0"/>
        <v>TEA4Energia horáriaNão se aplicaNão se aplicaNão se aplicaNão se aplicaFora ponta</v>
      </c>
      <c r="S15" s="8">
        <f t="shared" si="1"/>
        <v>275.36</v>
      </c>
    </row>
    <row r="16" spans="1:50" ht="11.25" customHeight="1" x14ac:dyDescent="0.25">
      <c r="A16" s="31">
        <v>72</v>
      </c>
      <c r="B16" s="31" t="s">
        <v>609</v>
      </c>
      <c r="C16" s="31" t="s">
        <v>33</v>
      </c>
      <c r="D16" s="31" t="s">
        <v>70</v>
      </c>
      <c r="E16" s="31" t="s">
        <v>25</v>
      </c>
      <c r="F16" s="31" t="s">
        <v>25</v>
      </c>
      <c r="G16" s="31" t="s">
        <v>25</v>
      </c>
      <c r="H16" s="31" t="s">
        <v>25</v>
      </c>
      <c r="I16" s="31" t="s">
        <v>37</v>
      </c>
      <c r="J16" s="31" t="s">
        <v>727</v>
      </c>
      <c r="K16" s="31" t="s">
        <v>726</v>
      </c>
      <c r="L16" s="31" t="s">
        <v>71</v>
      </c>
      <c r="M16" s="31">
        <v>2021</v>
      </c>
      <c r="N16" s="31">
        <v>0</v>
      </c>
      <c r="O16" s="31">
        <v>437.87</v>
      </c>
      <c r="P16" s="31"/>
      <c r="R16" s="8" t="str">
        <f t="shared" si="0"/>
        <v>TEA4Energia horáriaNão se aplicaNão se aplicaNão se aplicaNão se aplicaPonta</v>
      </c>
      <c r="S16" s="8">
        <f t="shared" si="1"/>
        <v>437.87</v>
      </c>
    </row>
    <row r="17" spans="1:19" ht="11.25" customHeight="1" x14ac:dyDescent="0.25">
      <c r="A17" s="31">
        <v>76</v>
      </c>
      <c r="B17" s="31" t="s">
        <v>609</v>
      </c>
      <c r="C17" s="31" t="s">
        <v>33</v>
      </c>
      <c r="D17" s="31" t="s">
        <v>1336</v>
      </c>
      <c r="E17" s="31" t="s">
        <v>25</v>
      </c>
      <c r="F17" s="31" t="s">
        <v>25</v>
      </c>
      <c r="G17" s="31" t="s">
        <v>1337</v>
      </c>
      <c r="H17" s="31" t="s">
        <v>25</v>
      </c>
      <c r="I17" s="31" t="s">
        <v>25</v>
      </c>
      <c r="J17" s="31" t="s">
        <v>727</v>
      </c>
      <c r="K17" s="31" t="s">
        <v>726</v>
      </c>
      <c r="L17" s="31" t="s">
        <v>71</v>
      </c>
      <c r="M17" s="31">
        <v>2021</v>
      </c>
      <c r="N17" s="31">
        <v>0</v>
      </c>
      <c r="O17" s="31">
        <v>303.57</v>
      </c>
      <c r="P17" s="31"/>
      <c r="R17" s="8" t="str">
        <f t="shared" si="0"/>
        <v>TEA4Energia suprimento concessionáriaNão se aplicaNão se aplica&lt;500GWhNão se aplicaNão se aplica</v>
      </c>
      <c r="S17" s="8">
        <f t="shared" si="1"/>
        <v>303.57</v>
      </c>
    </row>
    <row r="18" spans="1:19" ht="11.25" customHeight="1" x14ac:dyDescent="0.25">
      <c r="A18" s="31">
        <v>82</v>
      </c>
      <c r="B18" s="31" t="s">
        <v>609</v>
      </c>
      <c r="C18" s="31" t="s">
        <v>33</v>
      </c>
      <c r="D18" s="31" t="s">
        <v>1336</v>
      </c>
      <c r="E18" s="31" t="s">
        <v>25</v>
      </c>
      <c r="F18" s="31" t="s">
        <v>25</v>
      </c>
      <c r="G18" s="31" t="s">
        <v>25</v>
      </c>
      <c r="H18" s="31" t="s">
        <v>25</v>
      </c>
      <c r="I18" s="31" t="s">
        <v>25</v>
      </c>
      <c r="J18" s="31" t="s">
        <v>727</v>
      </c>
      <c r="K18" s="31" t="s">
        <v>726</v>
      </c>
      <c r="L18" s="31" t="s">
        <v>71</v>
      </c>
      <c r="M18" s="31">
        <v>2021</v>
      </c>
      <c r="N18" s="31">
        <v>0</v>
      </c>
      <c r="O18" s="31">
        <v>278.45</v>
      </c>
      <c r="P18" s="31"/>
      <c r="R18" s="8" t="str">
        <f t="shared" si="0"/>
        <v>TEA4Energia suprimento concessionáriaNão se aplicaNão se aplicaNão se aplicaNão se aplicaNão se aplica</v>
      </c>
      <c r="S18" s="8">
        <f t="shared" si="1"/>
        <v>278.45</v>
      </c>
    </row>
    <row r="19" spans="1:19" ht="11.25" customHeight="1" x14ac:dyDescent="0.25">
      <c r="A19" s="31">
        <v>80</v>
      </c>
      <c r="B19" s="31" t="s">
        <v>609</v>
      </c>
      <c r="C19" s="31" t="s">
        <v>33</v>
      </c>
      <c r="D19" s="31" t="s">
        <v>1338</v>
      </c>
      <c r="E19" s="31" t="s">
        <v>25</v>
      </c>
      <c r="F19" s="31" t="s">
        <v>25</v>
      </c>
      <c r="G19" s="31" t="s">
        <v>1337</v>
      </c>
      <c r="H19" s="31" t="s">
        <v>25</v>
      </c>
      <c r="I19" s="31" t="s">
        <v>25</v>
      </c>
      <c r="J19" s="31" t="s">
        <v>727</v>
      </c>
      <c r="K19" s="31" t="s">
        <v>726</v>
      </c>
      <c r="L19" s="31" t="s">
        <v>71</v>
      </c>
      <c r="M19" s="31">
        <v>2021</v>
      </c>
      <c r="N19" s="31">
        <v>0</v>
      </c>
      <c r="O19" s="31">
        <v>303.57</v>
      </c>
      <c r="P19" s="31"/>
      <c r="R19" s="8" t="str">
        <f t="shared" si="0"/>
        <v>TEA4Energia suprimento permissionáriaNão se aplicaNão se aplica&lt;500GWhNão se aplicaNão se aplica</v>
      </c>
      <c r="S19" s="8">
        <f t="shared" si="1"/>
        <v>303.57</v>
      </c>
    </row>
    <row r="20" spans="1:19" ht="11.25" customHeight="1" x14ac:dyDescent="0.25">
      <c r="A20" s="31">
        <v>88</v>
      </c>
      <c r="B20" s="31" t="s">
        <v>609</v>
      </c>
      <c r="C20" s="31" t="s">
        <v>716</v>
      </c>
      <c r="D20" s="31" t="s">
        <v>74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25</v>
      </c>
      <c r="J20" s="31" t="s">
        <v>727</v>
      </c>
      <c r="K20" s="31" t="s">
        <v>726</v>
      </c>
      <c r="L20" s="31" t="s">
        <v>71</v>
      </c>
      <c r="M20" s="31">
        <v>2021</v>
      </c>
      <c r="N20" s="31">
        <v>0</v>
      </c>
      <c r="O20" s="31">
        <v>288.89999999999998</v>
      </c>
      <c r="P20" s="31"/>
      <c r="R20" s="8" t="str">
        <f t="shared" si="0"/>
        <v>TEASEnergia convencionalNão se aplicaNão se aplicaNão se aplicaNão se aplicaNão se aplica</v>
      </c>
      <c r="S20" s="8">
        <f t="shared" si="1"/>
        <v>288.89999999999998</v>
      </c>
    </row>
    <row r="21" spans="1:19" ht="11.25" customHeight="1" x14ac:dyDescent="0.25">
      <c r="A21" s="31">
        <v>86</v>
      </c>
      <c r="B21" s="31" t="s">
        <v>609</v>
      </c>
      <c r="C21" s="31" t="s">
        <v>716</v>
      </c>
      <c r="D21" s="31" t="s">
        <v>70</v>
      </c>
      <c r="E21" s="31" t="s">
        <v>25</v>
      </c>
      <c r="F21" s="31" t="s">
        <v>25</v>
      </c>
      <c r="G21" s="31" t="s">
        <v>25</v>
      </c>
      <c r="H21" s="31" t="s">
        <v>25</v>
      </c>
      <c r="I21" s="31" t="s">
        <v>35</v>
      </c>
      <c r="J21" s="31" t="s">
        <v>727</v>
      </c>
      <c r="K21" s="31" t="s">
        <v>726</v>
      </c>
      <c r="L21" s="31" t="s">
        <v>71</v>
      </c>
      <c r="M21" s="31">
        <v>2021</v>
      </c>
      <c r="N21" s="31">
        <v>0</v>
      </c>
      <c r="O21" s="31">
        <v>275.36</v>
      </c>
      <c r="P21" s="31"/>
      <c r="R21" s="8" t="str">
        <f t="shared" si="0"/>
        <v>TEASEnergia horáriaNão se aplicaNão se aplicaNão se aplicaNão se aplicaFora ponta</v>
      </c>
      <c r="S21" s="8">
        <f t="shared" si="1"/>
        <v>275.36</v>
      </c>
    </row>
    <row r="22" spans="1:19" ht="11.25" customHeight="1" x14ac:dyDescent="0.25">
      <c r="A22" s="31">
        <v>84</v>
      </c>
      <c r="B22" s="31" t="s">
        <v>609</v>
      </c>
      <c r="C22" s="31" t="s">
        <v>716</v>
      </c>
      <c r="D22" s="31" t="s">
        <v>70</v>
      </c>
      <c r="E22" s="31" t="s">
        <v>25</v>
      </c>
      <c r="F22" s="31" t="s">
        <v>25</v>
      </c>
      <c r="G22" s="31" t="s">
        <v>25</v>
      </c>
      <c r="H22" s="31" t="s">
        <v>25</v>
      </c>
      <c r="I22" s="31" t="s">
        <v>37</v>
      </c>
      <c r="J22" s="31" t="s">
        <v>727</v>
      </c>
      <c r="K22" s="31" t="s">
        <v>726</v>
      </c>
      <c r="L22" s="31" t="s">
        <v>71</v>
      </c>
      <c r="M22" s="31">
        <v>2021</v>
      </c>
      <c r="N22" s="31">
        <v>0</v>
      </c>
      <c r="O22" s="31">
        <v>437.87</v>
      </c>
      <c r="P22" s="31"/>
      <c r="R22" s="8" t="str">
        <f t="shared" si="0"/>
        <v>TEASEnergia horáriaNão se aplicaNão se aplicaNão se aplicaNão se aplicaPonta</v>
      </c>
      <c r="S22" s="8">
        <f t="shared" si="1"/>
        <v>437.87</v>
      </c>
    </row>
    <row r="23" spans="1:19" ht="11.25" customHeight="1" x14ac:dyDescent="0.25">
      <c r="A23" s="31">
        <v>96</v>
      </c>
      <c r="B23" s="31" t="s">
        <v>609</v>
      </c>
      <c r="C23" s="31" t="s">
        <v>22</v>
      </c>
      <c r="D23" s="31" t="s">
        <v>74</v>
      </c>
      <c r="E23" s="31" t="s">
        <v>24</v>
      </c>
      <c r="F23" s="31" t="s">
        <v>24</v>
      </c>
      <c r="G23" s="31" t="s">
        <v>25</v>
      </c>
      <c r="H23" s="31" t="s">
        <v>25</v>
      </c>
      <c r="I23" s="31" t="s">
        <v>25</v>
      </c>
      <c r="J23" s="31" t="s">
        <v>727</v>
      </c>
      <c r="K23" s="31" t="s">
        <v>726</v>
      </c>
      <c r="L23" s="31" t="s">
        <v>71</v>
      </c>
      <c r="M23" s="31">
        <v>2021</v>
      </c>
      <c r="N23" s="31">
        <v>0</v>
      </c>
      <c r="O23" s="31">
        <v>288.89999999999998</v>
      </c>
      <c r="P23" s="31"/>
      <c r="R23" s="8" t="str">
        <f t="shared" si="0"/>
        <v>TEB1Energia convencionalResidencialResidencialNão se aplicaNão se aplicaNão se aplica</v>
      </c>
      <c r="S23" s="8">
        <f t="shared" si="1"/>
        <v>288.89999999999998</v>
      </c>
    </row>
    <row r="24" spans="1:19" ht="11.25" customHeight="1" x14ac:dyDescent="0.25">
      <c r="A24" s="31">
        <v>98</v>
      </c>
      <c r="B24" s="31" t="s">
        <v>609</v>
      </c>
      <c r="C24" s="31" t="s">
        <v>22</v>
      </c>
      <c r="D24" s="31" t="s">
        <v>74</v>
      </c>
      <c r="E24" s="31" t="s">
        <v>24</v>
      </c>
      <c r="F24" s="31" t="s">
        <v>29</v>
      </c>
      <c r="G24" s="31" t="s">
        <v>25</v>
      </c>
      <c r="H24" s="31" t="s">
        <v>25</v>
      </c>
      <c r="I24" s="31" t="s">
        <v>25</v>
      </c>
      <c r="J24" s="31" t="s">
        <v>727</v>
      </c>
      <c r="K24" s="31" t="s">
        <v>726</v>
      </c>
      <c r="L24" s="31" t="s">
        <v>71</v>
      </c>
      <c r="M24" s="31">
        <v>2021</v>
      </c>
      <c r="N24" s="31">
        <v>0</v>
      </c>
      <c r="O24" s="31">
        <v>101.12</v>
      </c>
      <c r="P24" s="31"/>
      <c r="R24" s="8" t="str">
        <f t="shared" si="0"/>
        <v>TEB1Energia convencionalResidencialResidencial baixa renda – faixa 01Não se aplicaNão se aplicaNão se aplica</v>
      </c>
      <c r="S24" s="8">
        <f t="shared" si="1"/>
        <v>101.12</v>
      </c>
    </row>
    <row r="25" spans="1:19" ht="11.25" customHeight="1" x14ac:dyDescent="0.25">
      <c r="A25" s="31">
        <v>100</v>
      </c>
      <c r="B25" s="31" t="s">
        <v>609</v>
      </c>
      <c r="C25" s="31" t="s">
        <v>22</v>
      </c>
      <c r="D25" s="31" t="s">
        <v>74</v>
      </c>
      <c r="E25" s="31" t="s">
        <v>24</v>
      </c>
      <c r="F25" s="31" t="s">
        <v>30</v>
      </c>
      <c r="G25" s="31" t="s">
        <v>25</v>
      </c>
      <c r="H25" s="31" t="s">
        <v>25</v>
      </c>
      <c r="I25" s="31" t="s">
        <v>25</v>
      </c>
      <c r="J25" s="31" t="s">
        <v>727</v>
      </c>
      <c r="K25" s="31" t="s">
        <v>726</v>
      </c>
      <c r="L25" s="31" t="s">
        <v>71</v>
      </c>
      <c r="M25" s="31">
        <v>2021</v>
      </c>
      <c r="N25" s="31">
        <v>0</v>
      </c>
      <c r="O25" s="31">
        <v>173.34</v>
      </c>
      <c r="P25" s="31"/>
      <c r="R25" s="8" t="str">
        <f t="shared" si="0"/>
        <v>TEB1Energia convencionalResidencialResidencial baixa renda – faixa 02Não se aplicaNão se aplicaNão se aplica</v>
      </c>
      <c r="S25" s="8">
        <f t="shared" si="1"/>
        <v>173.34</v>
      </c>
    </row>
    <row r="26" spans="1:19" ht="11.25" customHeight="1" x14ac:dyDescent="0.25">
      <c r="A26" s="31">
        <v>102</v>
      </c>
      <c r="B26" s="31" t="s">
        <v>609</v>
      </c>
      <c r="C26" s="31" t="s">
        <v>22</v>
      </c>
      <c r="D26" s="31" t="s">
        <v>74</v>
      </c>
      <c r="E26" s="31" t="s">
        <v>24</v>
      </c>
      <c r="F26" s="31" t="s">
        <v>31</v>
      </c>
      <c r="G26" s="31" t="s">
        <v>25</v>
      </c>
      <c r="H26" s="31" t="s">
        <v>25</v>
      </c>
      <c r="I26" s="31" t="s">
        <v>25</v>
      </c>
      <c r="J26" s="31" t="s">
        <v>727</v>
      </c>
      <c r="K26" s="31" t="s">
        <v>726</v>
      </c>
      <c r="L26" s="31" t="s">
        <v>71</v>
      </c>
      <c r="M26" s="31">
        <v>2021</v>
      </c>
      <c r="N26" s="31">
        <v>0</v>
      </c>
      <c r="O26" s="31">
        <v>260.01</v>
      </c>
      <c r="P26" s="31"/>
      <c r="R26" s="8" t="str">
        <f t="shared" si="0"/>
        <v>TEB1Energia convencionalResidencialResidencial baixa renda – faixa 03Não se aplicaNão se aplicaNão se aplica</v>
      </c>
      <c r="S26" s="8">
        <f t="shared" si="1"/>
        <v>260.01</v>
      </c>
    </row>
    <row r="27" spans="1:19" ht="11.25" customHeight="1" x14ac:dyDescent="0.25">
      <c r="A27" s="31">
        <v>104</v>
      </c>
      <c r="B27" s="31" t="s">
        <v>609</v>
      </c>
      <c r="C27" s="31" t="s">
        <v>22</v>
      </c>
      <c r="D27" s="31" t="s">
        <v>74</v>
      </c>
      <c r="E27" s="31" t="s">
        <v>24</v>
      </c>
      <c r="F27" s="31" t="s">
        <v>32</v>
      </c>
      <c r="G27" s="31" t="s">
        <v>25</v>
      </c>
      <c r="H27" s="31" t="s">
        <v>25</v>
      </c>
      <c r="I27" s="31" t="s">
        <v>25</v>
      </c>
      <c r="J27" s="31" t="s">
        <v>727</v>
      </c>
      <c r="K27" s="31" t="s">
        <v>726</v>
      </c>
      <c r="L27" s="31" t="s">
        <v>71</v>
      </c>
      <c r="M27" s="31">
        <v>2021</v>
      </c>
      <c r="N27" s="31">
        <v>0</v>
      </c>
      <c r="O27" s="31">
        <v>288.89999999999998</v>
      </c>
      <c r="P27" s="31"/>
      <c r="R27" s="8" t="str">
        <f t="shared" si="0"/>
        <v>TEB1Energia convencionalResidencialResidencial baixa renda – faixa 04Não se aplicaNão se aplicaNão se aplica</v>
      </c>
      <c r="S27" s="8">
        <f t="shared" si="1"/>
        <v>288.89999999999998</v>
      </c>
    </row>
    <row r="28" spans="1:19" ht="11.25" customHeight="1" x14ac:dyDescent="0.25">
      <c r="A28" s="31">
        <v>106</v>
      </c>
      <c r="B28" s="31" t="s">
        <v>609</v>
      </c>
      <c r="C28" s="31" t="s">
        <v>22</v>
      </c>
      <c r="D28" s="31" t="s">
        <v>85</v>
      </c>
      <c r="E28" s="31" t="s">
        <v>24</v>
      </c>
      <c r="F28" s="31" t="s">
        <v>24</v>
      </c>
      <c r="G28" s="31" t="s">
        <v>25</v>
      </c>
      <c r="H28" s="31" t="s">
        <v>25</v>
      </c>
      <c r="I28" s="31" t="s">
        <v>25</v>
      </c>
      <c r="J28" s="31" t="s">
        <v>727</v>
      </c>
      <c r="K28" s="31" t="s">
        <v>726</v>
      </c>
      <c r="L28" s="31" t="s">
        <v>71</v>
      </c>
      <c r="M28" s="31">
        <v>2021</v>
      </c>
      <c r="N28" s="31">
        <v>0</v>
      </c>
      <c r="O28" s="31">
        <v>288.89999999999998</v>
      </c>
      <c r="P28" s="31"/>
      <c r="R28" s="8" t="str">
        <f t="shared" si="0"/>
        <v>TEB1Energia convencional pré-pagamentoResidencialResidencialNão se aplicaNão se aplicaNão se aplica</v>
      </c>
      <c r="S28" s="8">
        <f t="shared" si="1"/>
        <v>288.89999999999998</v>
      </c>
    </row>
    <row r="29" spans="1:19" ht="11.25" customHeight="1" x14ac:dyDescent="0.25">
      <c r="A29" s="31">
        <v>108</v>
      </c>
      <c r="B29" s="31" t="s">
        <v>609</v>
      </c>
      <c r="C29" s="31" t="s">
        <v>22</v>
      </c>
      <c r="D29" s="31" t="s">
        <v>85</v>
      </c>
      <c r="E29" s="31" t="s">
        <v>24</v>
      </c>
      <c r="F29" s="31" t="s">
        <v>29</v>
      </c>
      <c r="G29" s="31" t="s">
        <v>25</v>
      </c>
      <c r="H29" s="31" t="s">
        <v>25</v>
      </c>
      <c r="I29" s="31" t="s">
        <v>25</v>
      </c>
      <c r="J29" s="31" t="s">
        <v>727</v>
      </c>
      <c r="K29" s="31" t="s">
        <v>726</v>
      </c>
      <c r="L29" s="31" t="s">
        <v>71</v>
      </c>
      <c r="M29" s="31">
        <v>2021</v>
      </c>
      <c r="N29" s="31">
        <v>0</v>
      </c>
      <c r="O29" s="31">
        <v>101.12</v>
      </c>
      <c r="P29" s="31"/>
      <c r="R29" s="8" t="str">
        <f t="shared" si="0"/>
        <v>TEB1Energia convencional pré-pagamentoResidencialResidencial baixa renda – faixa 01Não se aplicaNão se aplicaNão se aplica</v>
      </c>
      <c r="S29" s="8">
        <f t="shared" si="1"/>
        <v>101.12</v>
      </c>
    </row>
    <row r="30" spans="1:19" ht="11.25" customHeight="1" x14ac:dyDescent="0.25">
      <c r="A30" s="31">
        <v>110</v>
      </c>
      <c r="B30" s="31" t="s">
        <v>609</v>
      </c>
      <c r="C30" s="31" t="s">
        <v>22</v>
      </c>
      <c r="D30" s="31" t="s">
        <v>85</v>
      </c>
      <c r="E30" s="31" t="s">
        <v>24</v>
      </c>
      <c r="F30" s="31" t="s">
        <v>30</v>
      </c>
      <c r="G30" s="31" t="s">
        <v>25</v>
      </c>
      <c r="H30" s="31" t="s">
        <v>25</v>
      </c>
      <c r="I30" s="31" t="s">
        <v>25</v>
      </c>
      <c r="J30" s="31" t="s">
        <v>727</v>
      </c>
      <c r="K30" s="31" t="s">
        <v>726</v>
      </c>
      <c r="L30" s="31" t="s">
        <v>71</v>
      </c>
      <c r="M30" s="31">
        <v>2021</v>
      </c>
      <c r="N30" s="31">
        <v>0</v>
      </c>
      <c r="O30" s="31">
        <v>173.34</v>
      </c>
      <c r="P30" s="31"/>
      <c r="R30" s="8" t="str">
        <f t="shared" si="0"/>
        <v>TEB1Energia convencional pré-pagamentoResidencialResidencial baixa renda – faixa 02Não se aplicaNão se aplicaNão se aplica</v>
      </c>
      <c r="S30" s="8">
        <f t="shared" si="1"/>
        <v>173.34</v>
      </c>
    </row>
    <row r="31" spans="1:19" ht="11.25" customHeight="1" x14ac:dyDescent="0.25">
      <c r="A31" s="31">
        <v>112</v>
      </c>
      <c r="B31" s="31" t="s">
        <v>609</v>
      </c>
      <c r="C31" s="31" t="s">
        <v>22</v>
      </c>
      <c r="D31" s="31" t="s">
        <v>85</v>
      </c>
      <c r="E31" s="31" t="s">
        <v>24</v>
      </c>
      <c r="F31" s="31" t="s">
        <v>31</v>
      </c>
      <c r="G31" s="31" t="s">
        <v>25</v>
      </c>
      <c r="H31" s="31" t="s">
        <v>25</v>
      </c>
      <c r="I31" s="31" t="s">
        <v>25</v>
      </c>
      <c r="J31" s="31" t="s">
        <v>727</v>
      </c>
      <c r="K31" s="31" t="s">
        <v>726</v>
      </c>
      <c r="L31" s="31" t="s">
        <v>71</v>
      </c>
      <c r="M31" s="31">
        <v>2021</v>
      </c>
      <c r="N31" s="31">
        <v>0</v>
      </c>
      <c r="O31" s="31">
        <v>260.01</v>
      </c>
      <c r="P31" s="31"/>
      <c r="R31" s="8" t="str">
        <f t="shared" si="0"/>
        <v>TEB1Energia convencional pré-pagamentoResidencialResidencial baixa renda – faixa 03Não se aplicaNão se aplicaNão se aplica</v>
      </c>
      <c r="S31" s="8">
        <f t="shared" si="1"/>
        <v>260.01</v>
      </c>
    </row>
    <row r="32" spans="1:19" ht="11.25" customHeight="1" x14ac:dyDescent="0.25">
      <c r="A32" s="31">
        <v>114</v>
      </c>
      <c r="B32" s="31" t="s">
        <v>609</v>
      </c>
      <c r="C32" s="31" t="s">
        <v>22</v>
      </c>
      <c r="D32" s="31" t="s">
        <v>85</v>
      </c>
      <c r="E32" s="31" t="s">
        <v>24</v>
      </c>
      <c r="F32" s="31" t="s">
        <v>32</v>
      </c>
      <c r="G32" s="31" t="s">
        <v>25</v>
      </c>
      <c r="H32" s="31" t="s">
        <v>25</v>
      </c>
      <c r="I32" s="31" t="s">
        <v>25</v>
      </c>
      <c r="J32" s="31" t="s">
        <v>727</v>
      </c>
      <c r="K32" s="31" t="s">
        <v>726</v>
      </c>
      <c r="L32" s="31" t="s">
        <v>71</v>
      </c>
      <c r="M32" s="31">
        <v>2021</v>
      </c>
      <c r="N32" s="31">
        <v>0</v>
      </c>
      <c r="O32" s="31">
        <v>288.89999999999998</v>
      </c>
      <c r="P32" s="31"/>
      <c r="R32" s="8" t="str">
        <f t="shared" si="0"/>
        <v>TEB1Energia convencional pré-pagamentoResidencialResidencial baixa renda – faixa 04Não se aplicaNão se aplicaNão se aplica</v>
      </c>
      <c r="S32" s="8">
        <f t="shared" si="1"/>
        <v>288.89999999999998</v>
      </c>
    </row>
    <row r="33" spans="1:19" ht="11.25" customHeight="1" x14ac:dyDescent="0.25">
      <c r="A33" s="31">
        <v>94</v>
      </c>
      <c r="B33" s="31" t="s">
        <v>609</v>
      </c>
      <c r="C33" s="31" t="s">
        <v>22</v>
      </c>
      <c r="D33" s="31" t="s">
        <v>70</v>
      </c>
      <c r="E33" s="31" t="s">
        <v>24</v>
      </c>
      <c r="F33" s="31" t="s">
        <v>24</v>
      </c>
      <c r="G33" s="31" t="s">
        <v>25</v>
      </c>
      <c r="H33" s="31" t="s">
        <v>25</v>
      </c>
      <c r="I33" s="31" t="s">
        <v>35</v>
      </c>
      <c r="J33" s="31" t="s">
        <v>727</v>
      </c>
      <c r="K33" s="31" t="s">
        <v>726</v>
      </c>
      <c r="L33" s="31" t="s">
        <v>71</v>
      </c>
      <c r="M33" s="31">
        <v>2021</v>
      </c>
      <c r="N33" s="31">
        <v>0</v>
      </c>
      <c r="O33" s="31">
        <v>275.36</v>
      </c>
      <c r="P33" s="31"/>
      <c r="R33" s="8" t="str">
        <f t="shared" si="0"/>
        <v>TEB1Energia horáriaResidencialResidencialNão se aplicaNão se aplicaFora ponta</v>
      </c>
      <c r="S33" s="8">
        <f t="shared" si="1"/>
        <v>275.36</v>
      </c>
    </row>
    <row r="34" spans="1:19" ht="11.25" customHeight="1" x14ac:dyDescent="0.25">
      <c r="A34" s="31">
        <v>92</v>
      </c>
      <c r="B34" s="31" t="s">
        <v>609</v>
      </c>
      <c r="C34" s="31" t="s">
        <v>22</v>
      </c>
      <c r="D34" s="31" t="s">
        <v>70</v>
      </c>
      <c r="E34" s="31" t="s">
        <v>24</v>
      </c>
      <c r="F34" s="31" t="s">
        <v>24</v>
      </c>
      <c r="G34" s="31" t="s">
        <v>25</v>
      </c>
      <c r="H34" s="31" t="s">
        <v>25</v>
      </c>
      <c r="I34" s="31" t="s">
        <v>38</v>
      </c>
      <c r="J34" s="31" t="s">
        <v>727</v>
      </c>
      <c r="K34" s="31" t="s">
        <v>726</v>
      </c>
      <c r="L34" s="31" t="s">
        <v>71</v>
      </c>
      <c r="M34" s="31">
        <v>2021</v>
      </c>
      <c r="N34" s="31">
        <v>0</v>
      </c>
      <c r="O34" s="31">
        <v>275.36</v>
      </c>
      <c r="P34" s="31"/>
      <c r="R34" s="8" t="str">
        <f t="shared" si="0"/>
        <v>TEB1Energia horáriaResidencialResidencialNão se aplicaNão se aplicaIntermediário</v>
      </c>
      <c r="S34" s="8">
        <f t="shared" si="1"/>
        <v>275.36</v>
      </c>
    </row>
    <row r="35" spans="1:19" ht="11.25" customHeight="1" x14ac:dyDescent="0.25">
      <c r="A35" s="31">
        <v>90</v>
      </c>
      <c r="B35" s="31" t="s">
        <v>609</v>
      </c>
      <c r="C35" s="31" t="s">
        <v>22</v>
      </c>
      <c r="D35" s="31" t="s">
        <v>70</v>
      </c>
      <c r="E35" s="31" t="s">
        <v>24</v>
      </c>
      <c r="F35" s="31" t="s">
        <v>24</v>
      </c>
      <c r="G35" s="31" t="s">
        <v>25</v>
      </c>
      <c r="H35" s="31" t="s">
        <v>25</v>
      </c>
      <c r="I35" s="31" t="s">
        <v>37</v>
      </c>
      <c r="J35" s="31" t="s">
        <v>727</v>
      </c>
      <c r="K35" s="31" t="s">
        <v>726</v>
      </c>
      <c r="L35" s="31" t="s">
        <v>71</v>
      </c>
      <c r="M35" s="31">
        <v>2021</v>
      </c>
      <c r="N35" s="31">
        <v>0</v>
      </c>
      <c r="O35" s="31">
        <v>437.87</v>
      </c>
      <c r="P35" s="31"/>
      <c r="R35" s="8" t="str">
        <f t="shared" si="0"/>
        <v>TEB1Energia horáriaResidencialResidencialNão se aplicaNão se aplicaPonta</v>
      </c>
      <c r="S35" s="8">
        <f t="shared" si="1"/>
        <v>437.87</v>
      </c>
    </row>
    <row r="36" spans="1:19" ht="11.25" customHeight="1" x14ac:dyDescent="0.25">
      <c r="A36" s="31">
        <v>130</v>
      </c>
      <c r="B36" s="31" t="s">
        <v>609</v>
      </c>
      <c r="C36" s="31" t="s">
        <v>44</v>
      </c>
      <c r="D36" s="31" t="s">
        <v>74</v>
      </c>
      <c r="E36" s="31" t="s">
        <v>45</v>
      </c>
      <c r="F36" s="31" t="s">
        <v>87</v>
      </c>
      <c r="G36" s="31" t="s">
        <v>25</v>
      </c>
      <c r="H36" s="31" t="s">
        <v>25</v>
      </c>
      <c r="I36" s="31" t="s">
        <v>25</v>
      </c>
      <c r="J36" s="31" t="s">
        <v>727</v>
      </c>
      <c r="K36" s="31" t="s">
        <v>726</v>
      </c>
      <c r="L36" s="31" t="s">
        <v>71</v>
      </c>
      <c r="M36" s="31">
        <v>2021</v>
      </c>
      <c r="N36" s="31">
        <v>0</v>
      </c>
      <c r="O36" s="31">
        <v>246.87</v>
      </c>
      <c r="P36" s="31"/>
      <c r="R36" s="8" t="str">
        <f t="shared" si="0"/>
        <v>TEB2Energia convencionalRuralCooperativa de eletrificação ruralNão se aplicaNão se aplicaNão se aplica</v>
      </c>
      <c r="S36" s="8">
        <f t="shared" si="1"/>
        <v>246.87</v>
      </c>
    </row>
    <row r="37" spans="1:19" ht="11.25" customHeight="1" x14ac:dyDescent="0.25">
      <c r="A37" s="31">
        <v>122</v>
      </c>
      <c r="B37" s="31" t="s">
        <v>609</v>
      </c>
      <c r="C37" s="31" t="s">
        <v>44</v>
      </c>
      <c r="D37" s="31" t="s">
        <v>74</v>
      </c>
      <c r="E37" s="31" t="s">
        <v>45</v>
      </c>
      <c r="F37" s="31" t="s">
        <v>25</v>
      </c>
      <c r="G37" s="31" t="s">
        <v>25</v>
      </c>
      <c r="H37" s="31" t="s">
        <v>25</v>
      </c>
      <c r="I37" s="31" t="s">
        <v>25</v>
      </c>
      <c r="J37" s="31" t="s">
        <v>727</v>
      </c>
      <c r="K37" s="31" t="s">
        <v>726</v>
      </c>
      <c r="L37" s="31" t="s">
        <v>71</v>
      </c>
      <c r="M37" s="31">
        <v>2021</v>
      </c>
      <c r="N37" s="31">
        <v>0</v>
      </c>
      <c r="O37" s="31">
        <v>254.23</v>
      </c>
      <c r="P37" s="31"/>
      <c r="R37" s="8" t="str">
        <f t="shared" si="0"/>
        <v>TEB2Energia convencionalRuralNão se aplicaNão se aplicaNão se aplicaNão se aplica</v>
      </c>
      <c r="S37" s="8">
        <f t="shared" si="1"/>
        <v>254.23</v>
      </c>
    </row>
    <row r="38" spans="1:19" ht="11.25" customHeight="1" x14ac:dyDescent="0.25">
      <c r="A38" s="31">
        <v>138</v>
      </c>
      <c r="B38" s="31" t="s">
        <v>609</v>
      </c>
      <c r="C38" s="31" t="s">
        <v>44</v>
      </c>
      <c r="D38" s="31" t="s">
        <v>74</v>
      </c>
      <c r="E38" s="31" t="s">
        <v>45</v>
      </c>
      <c r="F38" s="31" t="s">
        <v>88</v>
      </c>
      <c r="G38" s="31" t="s">
        <v>25</v>
      </c>
      <c r="H38" s="31" t="s">
        <v>25</v>
      </c>
      <c r="I38" s="31" t="s">
        <v>25</v>
      </c>
      <c r="J38" s="31" t="s">
        <v>727</v>
      </c>
      <c r="K38" s="31" t="s">
        <v>726</v>
      </c>
      <c r="L38" s="31" t="s">
        <v>71</v>
      </c>
      <c r="M38" s="31">
        <v>2021</v>
      </c>
      <c r="N38" s="31">
        <v>0</v>
      </c>
      <c r="O38" s="31">
        <v>242.68</v>
      </c>
      <c r="P38" s="31"/>
      <c r="R38" s="8" t="str">
        <f t="shared" si="0"/>
        <v>TEB2Energia convencionalRuralServiço público de irrigação ruralNão se aplicaNão se aplicaNão se aplica</v>
      </c>
      <c r="S38" s="8">
        <f t="shared" si="1"/>
        <v>242.68</v>
      </c>
    </row>
    <row r="39" spans="1:19" ht="11.25" customHeight="1" x14ac:dyDescent="0.25">
      <c r="A39" s="31">
        <v>142</v>
      </c>
      <c r="B39" s="31" t="s">
        <v>609</v>
      </c>
      <c r="C39" s="31" t="s">
        <v>44</v>
      </c>
      <c r="D39" s="31" t="s">
        <v>85</v>
      </c>
      <c r="E39" s="31" t="s">
        <v>45</v>
      </c>
      <c r="F39" s="31" t="s">
        <v>87</v>
      </c>
      <c r="G39" s="31" t="s">
        <v>25</v>
      </c>
      <c r="H39" s="31" t="s">
        <v>25</v>
      </c>
      <c r="I39" s="31" t="s">
        <v>25</v>
      </c>
      <c r="J39" s="31" t="s">
        <v>727</v>
      </c>
      <c r="K39" s="31" t="s">
        <v>726</v>
      </c>
      <c r="L39" s="31" t="s">
        <v>71</v>
      </c>
      <c r="M39" s="31">
        <v>2021</v>
      </c>
      <c r="N39" s="31">
        <v>0</v>
      </c>
      <c r="O39" s="31">
        <v>246.87</v>
      </c>
      <c r="P39" s="31"/>
      <c r="R39" s="8" t="str">
        <f t="shared" si="0"/>
        <v>TEB2Energia convencional pré-pagamentoRuralCooperativa de eletrificação ruralNão se aplicaNão se aplicaNão se aplica</v>
      </c>
      <c r="S39" s="8">
        <f t="shared" si="1"/>
        <v>246.87</v>
      </c>
    </row>
    <row r="40" spans="1:19" ht="11.25" customHeight="1" x14ac:dyDescent="0.25">
      <c r="A40" s="31">
        <v>140</v>
      </c>
      <c r="B40" s="31" t="s">
        <v>609</v>
      </c>
      <c r="C40" s="31" t="s">
        <v>44</v>
      </c>
      <c r="D40" s="31" t="s">
        <v>85</v>
      </c>
      <c r="E40" s="31" t="s">
        <v>45</v>
      </c>
      <c r="F40" s="31" t="s">
        <v>25</v>
      </c>
      <c r="G40" s="31" t="s">
        <v>25</v>
      </c>
      <c r="H40" s="31" t="s">
        <v>25</v>
      </c>
      <c r="I40" s="31" t="s">
        <v>25</v>
      </c>
      <c r="J40" s="31" t="s">
        <v>727</v>
      </c>
      <c r="K40" s="31" t="s">
        <v>726</v>
      </c>
      <c r="L40" s="31" t="s">
        <v>71</v>
      </c>
      <c r="M40" s="31">
        <v>2021</v>
      </c>
      <c r="N40" s="31">
        <v>0</v>
      </c>
      <c r="O40" s="31">
        <v>254.23</v>
      </c>
      <c r="P40" s="31"/>
      <c r="R40" s="8" t="str">
        <f t="shared" si="0"/>
        <v>TEB2Energia convencional pré-pagamentoRuralNão se aplicaNão se aplicaNão se aplicaNão se aplica</v>
      </c>
      <c r="S40" s="8">
        <f t="shared" si="1"/>
        <v>254.23</v>
      </c>
    </row>
    <row r="41" spans="1:19" ht="11.25" customHeight="1" x14ac:dyDescent="0.25">
      <c r="A41" s="31">
        <v>144</v>
      </c>
      <c r="B41" s="31" t="s">
        <v>609</v>
      </c>
      <c r="C41" s="31" t="s">
        <v>44</v>
      </c>
      <c r="D41" s="31" t="s">
        <v>85</v>
      </c>
      <c r="E41" s="31" t="s">
        <v>45</v>
      </c>
      <c r="F41" s="31" t="s">
        <v>88</v>
      </c>
      <c r="G41" s="31" t="s">
        <v>25</v>
      </c>
      <c r="H41" s="31" t="s">
        <v>25</v>
      </c>
      <c r="I41" s="31" t="s">
        <v>25</v>
      </c>
      <c r="J41" s="31" t="s">
        <v>727</v>
      </c>
      <c r="K41" s="31" t="s">
        <v>726</v>
      </c>
      <c r="L41" s="31" t="s">
        <v>71</v>
      </c>
      <c r="M41" s="31">
        <v>2021</v>
      </c>
      <c r="N41" s="31">
        <v>0</v>
      </c>
      <c r="O41" s="31">
        <v>242.68</v>
      </c>
      <c r="P41" s="31"/>
      <c r="R41" s="8" t="str">
        <f t="shared" si="0"/>
        <v>TEB2Energia convencional pré-pagamentoRuralServiço público de irrigação ruralNão se aplicaNão se aplicaNão se aplica</v>
      </c>
      <c r="S41" s="8">
        <f t="shared" si="1"/>
        <v>242.68</v>
      </c>
    </row>
    <row r="42" spans="1:19" ht="11.25" customHeight="1" x14ac:dyDescent="0.25">
      <c r="A42" s="31">
        <v>128</v>
      </c>
      <c r="B42" s="31" t="s">
        <v>609</v>
      </c>
      <c r="C42" s="31" t="s">
        <v>44</v>
      </c>
      <c r="D42" s="31" t="s">
        <v>70</v>
      </c>
      <c r="E42" s="31" t="s">
        <v>45</v>
      </c>
      <c r="F42" s="31" t="s">
        <v>87</v>
      </c>
      <c r="G42" s="31" t="s">
        <v>25</v>
      </c>
      <c r="H42" s="31" t="s">
        <v>25</v>
      </c>
      <c r="I42" s="31" t="s">
        <v>35</v>
      </c>
      <c r="J42" s="31" t="s">
        <v>727</v>
      </c>
      <c r="K42" s="31" t="s">
        <v>726</v>
      </c>
      <c r="L42" s="31" t="s">
        <v>71</v>
      </c>
      <c r="M42" s="31">
        <v>2021</v>
      </c>
      <c r="N42" s="31">
        <v>0</v>
      </c>
      <c r="O42" s="31">
        <v>235.29</v>
      </c>
      <c r="P42" s="31"/>
      <c r="R42" s="8" t="str">
        <f t="shared" si="0"/>
        <v>TEB2Energia horáriaRuralCooperativa de eletrificação ruralNão se aplicaNão se aplicaFora ponta</v>
      </c>
      <c r="S42" s="8">
        <f t="shared" si="1"/>
        <v>235.29</v>
      </c>
    </row>
    <row r="43" spans="1:19" ht="11.25" customHeight="1" x14ac:dyDescent="0.25">
      <c r="A43" s="31">
        <v>126</v>
      </c>
      <c r="B43" s="31" t="s">
        <v>609</v>
      </c>
      <c r="C43" s="31" t="s">
        <v>44</v>
      </c>
      <c r="D43" s="31" t="s">
        <v>70</v>
      </c>
      <c r="E43" s="31" t="s">
        <v>45</v>
      </c>
      <c r="F43" s="31" t="s">
        <v>87</v>
      </c>
      <c r="G43" s="31" t="s">
        <v>25</v>
      </c>
      <c r="H43" s="31" t="s">
        <v>25</v>
      </c>
      <c r="I43" s="31" t="s">
        <v>38</v>
      </c>
      <c r="J43" s="31" t="s">
        <v>727</v>
      </c>
      <c r="K43" s="31" t="s">
        <v>726</v>
      </c>
      <c r="L43" s="31" t="s">
        <v>71</v>
      </c>
      <c r="M43" s="31">
        <v>2021</v>
      </c>
      <c r="N43" s="31">
        <v>0</v>
      </c>
      <c r="O43" s="31">
        <v>235.29</v>
      </c>
      <c r="P43" s="31"/>
      <c r="R43" s="8" t="str">
        <f t="shared" si="0"/>
        <v>TEB2Energia horáriaRuralCooperativa de eletrificação ruralNão se aplicaNão se aplicaIntermediário</v>
      </c>
      <c r="S43" s="8">
        <f t="shared" si="1"/>
        <v>235.29</v>
      </c>
    </row>
    <row r="44" spans="1:19" ht="11.25" customHeight="1" x14ac:dyDescent="0.25">
      <c r="A44" s="31">
        <v>124</v>
      </c>
      <c r="B44" s="31" t="s">
        <v>609</v>
      </c>
      <c r="C44" s="31" t="s">
        <v>44</v>
      </c>
      <c r="D44" s="31" t="s">
        <v>70</v>
      </c>
      <c r="E44" s="31" t="s">
        <v>45</v>
      </c>
      <c r="F44" s="31" t="s">
        <v>87</v>
      </c>
      <c r="G44" s="31" t="s">
        <v>25</v>
      </c>
      <c r="H44" s="31" t="s">
        <v>25</v>
      </c>
      <c r="I44" s="31" t="s">
        <v>37</v>
      </c>
      <c r="J44" s="31" t="s">
        <v>727</v>
      </c>
      <c r="K44" s="31" t="s">
        <v>726</v>
      </c>
      <c r="L44" s="31" t="s">
        <v>71</v>
      </c>
      <c r="M44" s="31">
        <v>2021</v>
      </c>
      <c r="N44" s="31">
        <v>0</v>
      </c>
      <c r="O44" s="31">
        <v>374.16</v>
      </c>
      <c r="P44" s="31"/>
      <c r="R44" s="8" t="str">
        <f t="shared" si="0"/>
        <v>TEB2Energia horáriaRuralCooperativa de eletrificação ruralNão se aplicaNão se aplicaPonta</v>
      </c>
      <c r="S44" s="8">
        <f t="shared" si="1"/>
        <v>374.16</v>
      </c>
    </row>
    <row r="45" spans="1:19" ht="11.25" customHeight="1" x14ac:dyDescent="0.25">
      <c r="A45" s="31">
        <v>120</v>
      </c>
      <c r="B45" s="31" t="s">
        <v>609</v>
      </c>
      <c r="C45" s="31" t="s">
        <v>44</v>
      </c>
      <c r="D45" s="31" t="s">
        <v>70</v>
      </c>
      <c r="E45" s="31" t="s">
        <v>45</v>
      </c>
      <c r="F45" s="31" t="s">
        <v>25</v>
      </c>
      <c r="G45" s="31" t="s">
        <v>25</v>
      </c>
      <c r="H45" s="31" t="s">
        <v>25</v>
      </c>
      <c r="I45" s="31" t="s">
        <v>35</v>
      </c>
      <c r="J45" s="31" t="s">
        <v>727</v>
      </c>
      <c r="K45" s="31" t="s">
        <v>726</v>
      </c>
      <c r="L45" s="31" t="s">
        <v>71</v>
      </c>
      <c r="M45" s="31">
        <v>2021</v>
      </c>
      <c r="N45" s="31">
        <v>0</v>
      </c>
      <c r="O45" s="31">
        <v>242.31</v>
      </c>
      <c r="P45" s="31"/>
      <c r="R45" s="8" t="str">
        <f t="shared" si="0"/>
        <v>TEB2Energia horáriaRuralNão se aplicaNão se aplicaNão se aplicaFora ponta</v>
      </c>
      <c r="S45" s="8">
        <f t="shared" si="1"/>
        <v>242.31</v>
      </c>
    </row>
    <row r="46" spans="1:19" ht="11.25" customHeight="1" x14ac:dyDescent="0.25">
      <c r="A46" s="31">
        <v>118</v>
      </c>
      <c r="B46" s="31" t="s">
        <v>609</v>
      </c>
      <c r="C46" s="31" t="s">
        <v>44</v>
      </c>
      <c r="D46" s="31" t="s">
        <v>70</v>
      </c>
      <c r="E46" s="31" t="s">
        <v>45</v>
      </c>
      <c r="F46" s="31" t="s">
        <v>25</v>
      </c>
      <c r="G46" s="31" t="s">
        <v>25</v>
      </c>
      <c r="H46" s="31" t="s">
        <v>25</v>
      </c>
      <c r="I46" s="31" t="s">
        <v>38</v>
      </c>
      <c r="J46" s="31" t="s">
        <v>727</v>
      </c>
      <c r="K46" s="31" t="s">
        <v>726</v>
      </c>
      <c r="L46" s="31" t="s">
        <v>71</v>
      </c>
      <c r="M46" s="31">
        <v>2021</v>
      </c>
      <c r="N46" s="31">
        <v>0</v>
      </c>
      <c r="O46" s="31">
        <v>242.31</v>
      </c>
      <c r="P46" s="31"/>
      <c r="R46" s="8" t="str">
        <f t="shared" si="0"/>
        <v>TEB2Energia horáriaRuralNão se aplicaNão se aplicaNão se aplicaIntermediário</v>
      </c>
      <c r="S46" s="8">
        <f t="shared" si="1"/>
        <v>242.31</v>
      </c>
    </row>
    <row r="47" spans="1:19" ht="11.25" customHeight="1" x14ac:dyDescent="0.25">
      <c r="A47" s="31">
        <v>116</v>
      </c>
      <c r="B47" s="31" t="s">
        <v>609</v>
      </c>
      <c r="C47" s="31" t="s">
        <v>44</v>
      </c>
      <c r="D47" s="31" t="s">
        <v>70</v>
      </c>
      <c r="E47" s="31" t="s">
        <v>45</v>
      </c>
      <c r="F47" s="31" t="s">
        <v>25</v>
      </c>
      <c r="G47" s="31" t="s">
        <v>25</v>
      </c>
      <c r="H47" s="31" t="s">
        <v>25</v>
      </c>
      <c r="I47" s="31" t="s">
        <v>37</v>
      </c>
      <c r="J47" s="31" t="s">
        <v>727</v>
      </c>
      <c r="K47" s="31" t="s">
        <v>726</v>
      </c>
      <c r="L47" s="31" t="s">
        <v>71</v>
      </c>
      <c r="M47" s="31">
        <v>2021</v>
      </c>
      <c r="N47" s="31">
        <v>0</v>
      </c>
      <c r="O47" s="31">
        <v>385.33</v>
      </c>
      <c r="P47" s="31"/>
      <c r="R47" s="8" t="str">
        <f t="shared" si="0"/>
        <v>TEB2Energia horáriaRuralNão se aplicaNão se aplicaNão se aplicaPonta</v>
      </c>
      <c r="S47" s="8">
        <f t="shared" si="1"/>
        <v>385.33</v>
      </c>
    </row>
    <row r="48" spans="1:19" ht="11.25" customHeight="1" x14ac:dyDescent="0.25">
      <c r="A48" s="31">
        <v>136</v>
      </c>
      <c r="B48" s="31" t="s">
        <v>609</v>
      </c>
      <c r="C48" s="31" t="s">
        <v>44</v>
      </c>
      <c r="D48" s="31" t="s">
        <v>70</v>
      </c>
      <c r="E48" s="31" t="s">
        <v>45</v>
      </c>
      <c r="F48" s="31" t="s">
        <v>88</v>
      </c>
      <c r="G48" s="31" t="s">
        <v>25</v>
      </c>
      <c r="H48" s="31" t="s">
        <v>25</v>
      </c>
      <c r="I48" s="31" t="s">
        <v>35</v>
      </c>
      <c r="J48" s="31" t="s">
        <v>727</v>
      </c>
      <c r="K48" s="31" t="s">
        <v>726</v>
      </c>
      <c r="L48" s="31" t="s">
        <v>71</v>
      </c>
      <c r="M48" s="31">
        <v>2021</v>
      </c>
      <c r="N48" s="31">
        <v>0</v>
      </c>
      <c r="O48" s="31">
        <v>231.3</v>
      </c>
      <c r="P48" s="31"/>
      <c r="R48" s="8" t="str">
        <f t="shared" si="0"/>
        <v>TEB2Energia horáriaRuralServiço público de irrigação ruralNão se aplicaNão se aplicaFora ponta</v>
      </c>
      <c r="S48" s="8">
        <f t="shared" si="1"/>
        <v>231.3</v>
      </c>
    </row>
    <row r="49" spans="1:19" ht="11.25" customHeight="1" x14ac:dyDescent="0.25">
      <c r="A49" s="31">
        <v>134</v>
      </c>
      <c r="B49" s="31" t="s">
        <v>609</v>
      </c>
      <c r="C49" s="31" t="s">
        <v>44</v>
      </c>
      <c r="D49" s="31" t="s">
        <v>70</v>
      </c>
      <c r="E49" s="31" t="s">
        <v>45</v>
      </c>
      <c r="F49" s="31" t="s">
        <v>88</v>
      </c>
      <c r="G49" s="31" t="s">
        <v>25</v>
      </c>
      <c r="H49" s="31" t="s">
        <v>25</v>
      </c>
      <c r="I49" s="31" t="s">
        <v>38</v>
      </c>
      <c r="J49" s="31" t="s">
        <v>727</v>
      </c>
      <c r="K49" s="31" t="s">
        <v>726</v>
      </c>
      <c r="L49" s="31" t="s">
        <v>71</v>
      </c>
      <c r="M49" s="31">
        <v>2021</v>
      </c>
      <c r="N49" s="31">
        <v>0</v>
      </c>
      <c r="O49" s="31">
        <v>231.3</v>
      </c>
      <c r="P49" s="31"/>
      <c r="R49" s="8" t="str">
        <f t="shared" si="0"/>
        <v>TEB2Energia horáriaRuralServiço público de irrigação ruralNão se aplicaNão se aplicaIntermediário</v>
      </c>
      <c r="S49" s="8">
        <f t="shared" si="1"/>
        <v>231.3</v>
      </c>
    </row>
    <row r="50" spans="1:19" ht="11.25" customHeight="1" x14ac:dyDescent="0.25">
      <c r="A50" s="31">
        <v>132</v>
      </c>
      <c r="B50" s="31" t="s">
        <v>609</v>
      </c>
      <c r="C50" s="31" t="s">
        <v>44</v>
      </c>
      <c r="D50" s="31" t="s">
        <v>70</v>
      </c>
      <c r="E50" s="31" t="s">
        <v>45</v>
      </c>
      <c r="F50" s="31" t="s">
        <v>88</v>
      </c>
      <c r="G50" s="31" t="s">
        <v>25</v>
      </c>
      <c r="H50" s="31" t="s">
        <v>25</v>
      </c>
      <c r="I50" s="31" t="s">
        <v>37</v>
      </c>
      <c r="J50" s="31" t="s">
        <v>727</v>
      </c>
      <c r="K50" s="31" t="s">
        <v>726</v>
      </c>
      <c r="L50" s="31" t="s">
        <v>71</v>
      </c>
      <c r="M50" s="31">
        <v>2021</v>
      </c>
      <c r="N50" s="31">
        <v>0</v>
      </c>
      <c r="O50" s="31">
        <v>367.81</v>
      </c>
      <c r="P50" s="31"/>
      <c r="R50" s="8" t="str">
        <f t="shared" si="0"/>
        <v>TEB2Energia horáriaRuralServiço público de irrigação ruralNão se aplicaNão se aplicaPonta</v>
      </c>
      <c r="S50" s="8">
        <f t="shared" si="1"/>
        <v>367.81</v>
      </c>
    </row>
    <row r="51" spans="1:19" ht="11.25" customHeight="1" x14ac:dyDescent="0.25">
      <c r="A51" s="31">
        <v>152</v>
      </c>
      <c r="B51" s="31" t="s">
        <v>609</v>
      </c>
      <c r="C51" s="31" t="s">
        <v>39</v>
      </c>
      <c r="D51" s="31" t="s">
        <v>74</v>
      </c>
      <c r="E51" s="31" t="s">
        <v>25</v>
      </c>
      <c r="F51" s="31" t="s">
        <v>25</v>
      </c>
      <c r="G51" s="31" t="s">
        <v>25</v>
      </c>
      <c r="H51" s="31" t="s">
        <v>25</v>
      </c>
      <c r="I51" s="31" t="s">
        <v>25</v>
      </c>
      <c r="J51" s="31" t="s">
        <v>727</v>
      </c>
      <c r="K51" s="31" t="s">
        <v>726</v>
      </c>
      <c r="L51" s="31" t="s">
        <v>71</v>
      </c>
      <c r="M51" s="31">
        <v>2021</v>
      </c>
      <c r="N51" s="31">
        <v>0</v>
      </c>
      <c r="O51" s="31">
        <v>288.89999999999998</v>
      </c>
      <c r="P51" s="31"/>
      <c r="R51" s="8" t="str">
        <f t="shared" si="0"/>
        <v>TEB3Energia convencionalNão se aplicaNão se aplicaNão se aplicaNão se aplicaNão se aplica</v>
      </c>
      <c r="S51" s="8">
        <f t="shared" si="1"/>
        <v>288.89999999999998</v>
      </c>
    </row>
    <row r="52" spans="1:19" ht="11.25" customHeight="1" x14ac:dyDescent="0.25">
      <c r="A52" s="31">
        <v>154</v>
      </c>
      <c r="B52" s="31" t="s">
        <v>609</v>
      </c>
      <c r="C52" s="31" t="s">
        <v>39</v>
      </c>
      <c r="D52" s="31" t="s">
        <v>85</v>
      </c>
      <c r="E52" s="31" t="s">
        <v>25</v>
      </c>
      <c r="F52" s="31" t="s">
        <v>25</v>
      </c>
      <c r="G52" s="31" t="s">
        <v>25</v>
      </c>
      <c r="H52" s="31" t="s">
        <v>25</v>
      </c>
      <c r="I52" s="31" t="s">
        <v>25</v>
      </c>
      <c r="J52" s="31" t="s">
        <v>727</v>
      </c>
      <c r="K52" s="31" t="s">
        <v>726</v>
      </c>
      <c r="L52" s="31" t="s">
        <v>71</v>
      </c>
      <c r="M52" s="31">
        <v>2021</v>
      </c>
      <c r="N52" s="31">
        <v>0</v>
      </c>
      <c r="O52" s="31">
        <v>288.89999999999998</v>
      </c>
      <c r="P52" s="31"/>
      <c r="R52" s="8" t="str">
        <f t="shared" si="0"/>
        <v>TEB3Energia convencional pré-pagamentoNão se aplicaNão se aplicaNão se aplicaNão se aplicaNão se aplica</v>
      </c>
      <c r="S52" s="8">
        <f t="shared" si="1"/>
        <v>288.89999999999998</v>
      </c>
    </row>
    <row r="53" spans="1:19" ht="11.25" customHeight="1" x14ac:dyDescent="0.25">
      <c r="A53" s="31">
        <v>150</v>
      </c>
      <c r="B53" s="31" t="s">
        <v>609</v>
      </c>
      <c r="C53" s="31" t="s">
        <v>39</v>
      </c>
      <c r="D53" s="31" t="s">
        <v>70</v>
      </c>
      <c r="E53" s="31" t="s">
        <v>25</v>
      </c>
      <c r="F53" s="31" t="s">
        <v>25</v>
      </c>
      <c r="G53" s="31" t="s">
        <v>25</v>
      </c>
      <c r="H53" s="31" t="s">
        <v>25</v>
      </c>
      <c r="I53" s="31" t="s">
        <v>35</v>
      </c>
      <c r="J53" s="31" t="s">
        <v>727</v>
      </c>
      <c r="K53" s="31" t="s">
        <v>726</v>
      </c>
      <c r="L53" s="31" t="s">
        <v>71</v>
      </c>
      <c r="M53" s="31">
        <v>2021</v>
      </c>
      <c r="N53" s="31">
        <v>0</v>
      </c>
      <c r="O53" s="31">
        <v>275.36</v>
      </c>
      <c r="P53" s="31"/>
      <c r="R53" s="8" t="str">
        <f t="shared" si="0"/>
        <v>TEB3Energia horáriaNão se aplicaNão se aplicaNão se aplicaNão se aplicaFora ponta</v>
      </c>
      <c r="S53" s="8">
        <f t="shared" si="1"/>
        <v>275.36</v>
      </c>
    </row>
    <row r="54" spans="1:19" ht="11.25" customHeight="1" x14ac:dyDescent="0.25">
      <c r="A54" s="31">
        <v>148</v>
      </c>
      <c r="B54" s="31" t="s">
        <v>609</v>
      </c>
      <c r="C54" s="31" t="s">
        <v>39</v>
      </c>
      <c r="D54" s="31" t="s">
        <v>70</v>
      </c>
      <c r="E54" s="31" t="s">
        <v>25</v>
      </c>
      <c r="F54" s="31" t="s">
        <v>25</v>
      </c>
      <c r="G54" s="31" t="s">
        <v>25</v>
      </c>
      <c r="H54" s="31" t="s">
        <v>25</v>
      </c>
      <c r="I54" s="31" t="s">
        <v>38</v>
      </c>
      <c r="J54" s="31" t="s">
        <v>727</v>
      </c>
      <c r="K54" s="31" t="s">
        <v>726</v>
      </c>
      <c r="L54" s="31" t="s">
        <v>71</v>
      </c>
      <c r="M54" s="31">
        <v>2021</v>
      </c>
      <c r="N54" s="31">
        <v>0</v>
      </c>
      <c r="O54" s="31">
        <v>275.36</v>
      </c>
      <c r="P54" s="31"/>
      <c r="R54" s="8" t="str">
        <f t="shared" si="0"/>
        <v>TEB3Energia horáriaNão se aplicaNão se aplicaNão se aplicaNão se aplicaIntermediário</v>
      </c>
      <c r="S54" s="8">
        <f t="shared" si="1"/>
        <v>275.36</v>
      </c>
    </row>
    <row r="55" spans="1:19" ht="11.25" customHeight="1" x14ac:dyDescent="0.25">
      <c r="A55" s="31">
        <v>146</v>
      </c>
      <c r="B55" s="31" t="s">
        <v>609</v>
      </c>
      <c r="C55" s="31" t="s">
        <v>39</v>
      </c>
      <c r="D55" s="31" t="s">
        <v>70</v>
      </c>
      <c r="E55" s="31" t="s">
        <v>25</v>
      </c>
      <c r="F55" s="31" t="s">
        <v>25</v>
      </c>
      <c r="G55" s="31" t="s">
        <v>25</v>
      </c>
      <c r="H55" s="31" t="s">
        <v>25</v>
      </c>
      <c r="I55" s="31" t="s">
        <v>37</v>
      </c>
      <c r="J55" s="31" t="s">
        <v>727</v>
      </c>
      <c r="K55" s="31" t="s">
        <v>726</v>
      </c>
      <c r="L55" s="31" t="s">
        <v>71</v>
      </c>
      <c r="M55" s="31">
        <v>2021</v>
      </c>
      <c r="N55" s="31">
        <v>0</v>
      </c>
      <c r="O55" s="31">
        <v>437.87</v>
      </c>
      <c r="P55" s="31"/>
      <c r="R55" s="8" t="str">
        <f t="shared" si="0"/>
        <v>TEB3Energia horáriaNão se aplicaNão se aplicaNão se aplicaNão se aplicaPonta</v>
      </c>
      <c r="S55" s="8">
        <f t="shared" si="1"/>
        <v>437.87</v>
      </c>
    </row>
    <row r="56" spans="1:19" ht="11.25" customHeight="1" x14ac:dyDescent="0.25">
      <c r="A56" s="31">
        <v>156</v>
      </c>
      <c r="B56" s="31" t="s">
        <v>609</v>
      </c>
      <c r="C56" s="31" t="s">
        <v>47</v>
      </c>
      <c r="D56" s="31" t="s">
        <v>74</v>
      </c>
      <c r="E56" s="31" t="s">
        <v>48</v>
      </c>
      <c r="F56" s="31" t="s">
        <v>49</v>
      </c>
      <c r="G56" s="31" t="s">
        <v>25</v>
      </c>
      <c r="H56" s="31" t="s">
        <v>25</v>
      </c>
      <c r="I56" s="31" t="s">
        <v>25</v>
      </c>
      <c r="J56" s="31" t="s">
        <v>727</v>
      </c>
      <c r="K56" s="31" t="s">
        <v>726</v>
      </c>
      <c r="L56" s="31" t="s">
        <v>71</v>
      </c>
      <c r="M56" s="31">
        <v>2021</v>
      </c>
      <c r="N56" s="31">
        <v>0</v>
      </c>
      <c r="O56" s="31">
        <v>158.9</v>
      </c>
      <c r="P56" s="31"/>
      <c r="R56" s="8" t="str">
        <f t="shared" si="0"/>
        <v>TEB4Energia convencionalIluminação públicaIluminação pública – B4aNão se aplicaNão se aplicaNão se aplica</v>
      </c>
      <c r="S56" s="8">
        <f t="shared" si="1"/>
        <v>158.9</v>
      </c>
    </row>
    <row r="57" spans="1:19" ht="11.25" customHeight="1" x14ac:dyDescent="0.25">
      <c r="A57" s="31">
        <v>158</v>
      </c>
      <c r="B57" s="31" t="s">
        <v>609</v>
      </c>
      <c r="C57" s="31" t="s">
        <v>47</v>
      </c>
      <c r="D57" s="31" t="s">
        <v>74</v>
      </c>
      <c r="E57" s="31" t="s">
        <v>48</v>
      </c>
      <c r="F57" s="31" t="s">
        <v>89</v>
      </c>
      <c r="G57" s="31" t="s">
        <v>25</v>
      </c>
      <c r="H57" s="31" t="s">
        <v>25</v>
      </c>
      <c r="I57" s="31" t="s">
        <v>25</v>
      </c>
      <c r="J57" s="31" t="s">
        <v>727</v>
      </c>
      <c r="K57" s="31" t="s">
        <v>726</v>
      </c>
      <c r="L57" s="31" t="s">
        <v>71</v>
      </c>
      <c r="M57" s="31">
        <v>2021</v>
      </c>
      <c r="N57" s="31">
        <v>0</v>
      </c>
      <c r="O57" s="31">
        <v>173.34</v>
      </c>
      <c r="P57" s="31"/>
      <c r="R57" s="8" t="str">
        <f t="shared" si="0"/>
        <v>TEB4Energia convencionalIluminação públicaIluminação pública – B4bNão se aplicaNão se aplicaNão se aplica</v>
      </c>
      <c r="S57" s="8">
        <f t="shared" si="1"/>
        <v>173.34</v>
      </c>
    </row>
    <row r="58" spans="1:19" ht="11.25" customHeight="1" x14ac:dyDescent="0.25">
      <c r="A58" s="31">
        <v>7</v>
      </c>
      <c r="B58" s="31" t="s">
        <v>581</v>
      </c>
      <c r="C58" s="31" t="s">
        <v>835</v>
      </c>
      <c r="D58" s="31" t="s">
        <v>41</v>
      </c>
      <c r="E58" s="31" t="s">
        <v>25</v>
      </c>
      <c r="F58" s="31" t="s">
        <v>25</v>
      </c>
      <c r="G58" s="31" t="s">
        <v>79</v>
      </c>
      <c r="H58" s="31" t="s">
        <v>1291</v>
      </c>
      <c r="I58" s="31" t="s">
        <v>25</v>
      </c>
      <c r="J58" s="31" t="s">
        <v>727</v>
      </c>
      <c r="K58" s="31" t="s">
        <v>726</v>
      </c>
      <c r="L58" s="31" t="s">
        <v>71</v>
      </c>
      <c r="M58" s="31">
        <v>2021</v>
      </c>
      <c r="N58" s="31">
        <v>0</v>
      </c>
      <c r="O58" s="31">
        <v>2.56</v>
      </c>
      <c r="P58" s="31">
        <v>0</v>
      </c>
      <c r="R58" s="8" t="str">
        <f t="shared" si="0"/>
        <v>TUSDA1AzulNão se aplicaNão se aplicaAPEGERDAU AÇOS LONGOS - COPELNão se aplica</v>
      </c>
      <c r="S58" s="8">
        <f t="shared" si="1"/>
        <v>2.56</v>
      </c>
    </row>
    <row r="59" spans="1:19" ht="11.25" customHeight="1" x14ac:dyDescent="0.25">
      <c r="A59" s="31">
        <v>31</v>
      </c>
      <c r="B59" s="31" t="s">
        <v>581</v>
      </c>
      <c r="C59" s="31" t="s">
        <v>835</v>
      </c>
      <c r="D59" s="31" t="s">
        <v>41</v>
      </c>
      <c r="E59" s="31" t="s">
        <v>25</v>
      </c>
      <c r="F59" s="31" t="s">
        <v>25</v>
      </c>
      <c r="G59" s="31" t="s">
        <v>79</v>
      </c>
      <c r="H59" s="31" t="s">
        <v>1294</v>
      </c>
      <c r="I59" s="31" t="s">
        <v>25</v>
      </c>
      <c r="J59" s="31" t="s">
        <v>727</v>
      </c>
      <c r="K59" s="31" t="s">
        <v>726</v>
      </c>
      <c r="L59" s="31" t="s">
        <v>71</v>
      </c>
      <c r="M59" s="31">
        <v>2021</v>
      </c>
      <c r="N59" s="31">
        <v>0</v>
      </c>
      <c r="O59" s="31">
        <v>2.56</v>
      </c>
      <c r="P59" s="31">
        <v>0</v>
      </c>
      <c r="R59" s="8" t="str">
        <f t="shared" si="0"/>
        <v>TUSDA1AzulNão se aplicaNão se aplicaAPELINDE GASESNão se aplica</v>
      </c>
      <c r="S59" s="8">
        <f t="shared" si="1"/>
        <v>2.56</v>
      </c>
    </row>
    <row r="60" spans="1:19" ht="11.25" customHeight="1" x14ac:dyDescent="0.25">
      <c r="A60" s="31">
        <v>15</v>
      </c>
      <c r="B60" s="31" t="s">
        <v>581</v>
      </c>
      <c r="C60" s="31" t="s">
        <v>835</v>
      </c>
      <c r="D60" s="31" t="s">
        <v>41</v>
      </c>
      <c r="E60" s="31" t="s">
        <v>25</v>
      </c>
      <c r="F60" s="31" t="s">
        <v>25</v>
      </c>
      <c r="G60" s="31" t="s">
        <v>79</v>
      </c>
      <c r="H60" s="31" t="s">
        <v>1292</v>
      </c>
      <c r="I60" s="31" t="s">
        <v>25</v>
      </c>
      <c r="J60" s="31" t="s">
        <v>727</v>
      </c>
      <c r="K60" s="31" t="s">
        <v>726</v>
      </c>
      <c r="L60" s="31" t="s">
        <v>71</v>
      </c>
      <c r="M60" s="31">
        <v>2021</v>
      </c>
      <c r="N60" s="31">
        <v>0</v>
      </c>
      <c r="O60" s="31">
        <v>2.56</v>
      </c>
      <c r="P60" s="31">
        <v>0</v>
      </c>
      <c r="R60" s="8" t="str">
        <f t="shared" si="0"/>
        <v>TUSDA1AzulNão se aplicaNão se aplicaAPEPERÓXIDOS DO BRASILNão se aplica</v>
      </c>
      <c r="S60" s="8">
        <f t="shared" si="1"/>
        <v>2.56</v>
      </c>
    </row>
    <row r="61" spans="1:19" ht="11.25" customHeight="1" x14ac:dyDescent="0.25">
      <c r="A61" s="31">
        <v>23</v>
      </c>
      <c r="B61" s="31" t="s">
        <v>581</v>
      </c>
      <c r="C61" s="31" t="s">
        <v>835</v>
      </c>
      <c r="D61" s="31" t="s">
        <v>41</v>
      </c>
      <c r="E61" s="31" t="s">
        <v>25</v>
      </c>
      <c r="F61" s="31" t="s">
        <v>25</v>
      </c>
      <c r="G61" s="31" t="s">
        <v>79</v>
      </c>
      <c r="H61" s="31" t="s">
        <v>1293</v>
      </c>
      <c r="I61" s="31" t="s">
        <v>25</v>
      </c>
      <c r="J61" s="31" t="s">
        <v>727</v>
      </c>
      <c r="K61" s="31" t="s">
        <v>726</v>
      </c>
      <c r="L61" s="31" t="s">
        <v>71</v>
      </c>
      <c r="M61" s="31">
        <v>2021</v>
      </c>
      <c r="N61" s="31">
        <v>0</v>
      </c>
      <c r="O61" s="31">
        <v>2.56</v>
      </c>
      <c r="P61" s="31">
        <v>0</v>
      </c>
      <c r="R61" s="8" t="str">
        <f t="shared" si="0"/>
        <v>TUSDA1AzulNão se aplicaNão se aplicaAPEWHB FUNDIÇÃONão se aplica</v>
      </c>
      <c r="S61" s="8">
        <f t="shared" si="1"/>
        <v>2.56</v>
      </c>
    </row>
    <row r="62" spans="1:19" ht="11.25" customHeight="1" x14ac:dyDescent="0.25">
      <c r="A62" s="31">
        <v>3</v>
      </c>
      <c r="B62" s="31" t="s">
        <v>581</v>
      </c>
      <c r="C62" s="31" t="s">
        <v>835</v>
      </c>
      <c r="D62" s="31" t="s">
        <v>41</v>
      </c>
      <c r="E62" s="31" t="s">
        <v>25</v>
      </c>
      <c r="F62" s="31" t="s">
        <v>25</v>
      </c>
      <c r="G62" s="31" t="s">
        <v>25</v>
      </c>
      <c r="H62" s="31" t="s">
        <v>1291</v>
      </c>
      <c r="I62" s="31" t="s">
        <v>35</v>
      </c>
      <c r="J62" s="31" t="s">
        <v>725</v>
      </c>
      <c r="K62" s="31" t="s">
        <v>726</v>
      </c>
      <c r="L62" s="31" t="s">
        <v>76</v>
      </c>
      <c r="M62" s="31">
        <v>2021</v>
      </c>
      <c r="N62" s="31">
        <v>0</v>
      </c>
      <c r="O62" s="31">
        <v>5.36</v>
      </c>
      <c r="P62" s="31">
        <v>0</v>
      </c>
      <c r="R62" s="8" t="str">
        <f t="shared" si="0"/>
        <v>TUSDA1AzulNão se aplicaNão se aplicaNão se aplicaGERDAU AÇOS LONGOS - COPELFora ponta</v>
      </c>
      <c r="S62" s="8">
        <f t="shared" si="1"/>
        <v>5.36</v>
      </c>
    </row>
    <row r="63" spans="1:19" ht="11.25" customHeight="1" x14ac:dyDescent="0.25">
      <c r="A63" s="31">
        <v>5</v>
      </c>
      <c r="B63" s="31" t="s">
        <v>581</v>
      </c>
      <c r="C63" s="31" t="s">
        <v>835</v>
      </c>
      <c r="D63" s="31" t="s">
        <v>41</v>
      </c>
      <c r="E63" s="31" t="s">
        <v>25</v>
      </c>
      <c r="F63" s="31" t="s">
        <v>25</v>
      </c>
      <c r="G63" s="31" t="s">
        <v>25</v>
      </c>
      <c r="H63" s="31" t="s">
        <v>1291</v>
      </c>
      <c r="I63" s="31" t="s">
        <v>25</v>
      </c>
      <c r="J63" s="31" t="s">
        <v>727</v>
      </c>
      <c r="K63" s="31" t="s">
        <v>726</v>
      </c>
      <c r="L63" s="31" t="s">
        <v>71</v>
      </c>
      <c r="M63" s="31">
        <v>2021</v>
      </c>
      <c r="N63" s="31">
        <v>0</v>
      </c>
      <c r="O63" s="31">
        <v>55.37</v>
      </c>
      <c r="P63" s="31">
        <v>41.137505263872498</v>
      </c>
      <c r="R63" s="8" t="str">
        <f t="shared" si="0"/>
        <v>TUSDA1AzulNão se aplicaNão se aplicaNão se aplicaGERDAU AÇOS LONGOS - COPELNão se aplica</v>
      </c>
      <c r="S63" s="8">
        <f t="shared" si="1"/>
        <v>55.37</v>
      </c>
    </row>
    <row r="64" spans="1:19" ht="11.25" customHeight="1" x14ac:dyDescent="0.25">
      <c r="A64" s="31">
        <v>1</v>
      </c>
      <c r="B64" s="31" t="s">
        <v>581</v>
      </c>
      <c r="C64" s="31" t="s">
        <v>835</v>
      </c>
      <c r="D64" s="31" t="s">
        <v>41</v>
      </c>
      <c r="E64" s="31" t="s">
        <v>25</v>
      </c>
      <c r="F64" s="31" t="s">
        <v>25</v>
      </c>
      <c r="G64" s="31" t="s">
        <v>25</v>
      </c>
      <c r="H64" s="31" t="s">
        <v>1291</v>
      </c>
      <c r="I64" s="31" t="s">
        <v>37</v>
      </c>
      <c r="J64" s="31" t="s">
        <v>725</v>
      </c>
      <c r="K64" s="31" t="s">
        <v>726</v>
      </c>
      <c r="L64" s="31" t="s">
        <v>76</v>
      </c>
      <c r="M64" s="31">
        <v>2021</v>
      </c>
      <c r="N64" s="31">
        <v>0</v>
      </c>
      <c r="O64" s="31">
        <v>4.97</v>
      </c>
      <c r="P64" s="31">
        <v>0</v>
      </c>
      <c r="R64" s="8" t="str">
        <f t="shared" si="0"/>
        <v>TUSDA1AzulNão se aplicaNão se aplicaNão se aplicaGERDAU AÇOS LONGOS - COPELPonta</v>
      </c>
      <c r="S64" s="8">
        <f t="shared" si="1"/>
        <v>4.97</v>
      </c>
    </row>
    <row r="65" spans="1:19" ht="11.25" customHeight="1" x14ac:dyDescent="0.25">
      <c r="A65" s="31">
        <v>27</v>
      </c>
      <c r="B65" s="31" t="s">
        <v>581</v>
      </c>
      <c r="C65" s="31" t="s">
        <v>835</v>
      </c>
      <c r="D65" s="31" t="s">
        <v>41</v>
      </c>
      <c r="E65" s="31" t="s">
        <v>25</v>
      </c>
      <c r="F65" s="31" t="s">
        <v>25</v>
      </c>
      <c r="G65" s="31" t="s">
        <v>25</v>
      </c>
      <c r="H65" s="31" t="s">
        <v>1294</v>
      </c>
      <c r="I65" s="31" t="s">
        <v>35</v>
      </c>
      <c r="J65" s="31" t="s">
        <v>725</v>
      </c>
      <c r="K65" s="31" t="s">
        <v>726</v>
      </c>
      <c r="L65" s="31" t="s">
        <v>76</v>
      </c>
      <c r="M65" s="31">
        <v>2021</v>
      </c>
      <c r="N65" s="31">
        <v>0</v>
      </c>
      <c r="O65" s="31">
        <v>5.36</v>
      </c>
      <c r="P65" s="31">
        <v>0</v>
      </c>
      <c r="R65" s="8" t="str">
        <f t="shared" si="0"/>
        <v>TUSDA1AzulNão se aplicaNão se aplicaNão se aplicaLINDE GASESFora ponta</v>
      </c>
      <c r="S65" s="8">
        <f t="shared" si="1"/>
        <v>5.36</v>
      </c>
    </row>
    <row r="66" spans="1:19" ht="11.25" customHeight="1" x14ac:dyDescent="0.25">
      <c r="A66" s="31">
        <v>29</v>
      </c>
      <c r="B66" s="31" t="s">
        <v>581</v>
      </c>
      <c r="C66" s="31" t="s">
        <v>835</v>
      </c>
      <c r="D66" s="31" t="s">
        <v>41</v>
      </c>
      <c r="E66" s="31" t="s">
        <v>25</v>
      </c>
      <c r="F66" s="31" t="s">
        <v>25</v>
      </c>
      <c r="G66" s="31" t="s">
        <v>25</v>
      </c>
      <c r="H66" s="31" t="s">
        <v>1294</v>
      </c>
      <c r="I66" s="31" t="s">
        <v>25</v>
      </c>
      <c r="J66" s="31" t="s">
        <v>727</v>
      </c>
      <c r="K66" s="31" t="s">
        <v>726</v>
      </c>
      <c r="L66" s="31" t="s">
        <v>71</v>
      </c>
      <c r="M66" s="31">
        <v>2021</v>
      </c>
      <c r="N66" s="31">
        <v>0</v>
      </c>
      <c r="O66" s="31">
        <v>55.37</v>
      </c>
      <c r="P66" s="31">
        <v>41.137505263872498</v>
      </c>
      <c r="R66" s="8" t="str">
        <f t="shared" ref="R66:R129" si="2">B66&amp;C66&amp;D66&amp;E66&amp;F66&amp;G66&amp;H66&amp;I66</f>
        <v>TUSDA1AzulNão se aplicaNão se aplicaNão se aplicaLINDE GASESNão se aplica</v>
      </c>
      <c r="S66" s="8">
        <f t="shared" ref="S66:S129" si="3">O66</f>
        <v>55.37</v>
      </c>
    </row>
    <row r="67" spans="1:19" ht="11.25" customHeight="1" x14ac:dyDescent="0.25">
      <c r="A67" s="31">
        <v>25</v>
      </c>
      <c r="B67" s="31" t="s">
        <v>581</v>
      </c>
      <c r="C67" s="31" t="s">
        <v>835</v>
      </c>
      <c r="D67" s="31" t="s">
        <v>41</v>
      </c>
      <c r="E67" s="31" t="s">
        <v>25</v>
      </c>
      <c r="F67" s="31" t="s">
        <v>25</v>
      </c>
      <c r="G67" s="31" t="s">
        <v>25</v>
      </c>
      <c r="H67" s="31" t="s">
        <v>1294</v>
      </c>
      <c r="I67" s="31" t="s">
        <v>37</v>
      </c>
      <c r="J67" s="31" t="s">
        <v>725</v>
      </c>
      <c r="K67" s="31" t="s">
        <v>726</v>
      </c>
      <c r="L67" s="31" t="s">
        <v>76</v>
      </c>
      <c r="M67" s="31">
        <v>2021</v>
      </c>
      <c r="N67" s="31">
        <v>0</v>
      </c>
      <c r="O67" s="31">
        <v>4.97</v>
      </c>
      <c r="P67" s="31">
        <v>0</v>
      </c>
      <c r="R67" s="8" t="str">
        <f t="shared" si="2"/>
        <v>TUSDA1AzulNão se aplicaNão se aplicaNão se aplicaLINDE GASESPonta</v>
      </c>
      <c r="S67" s="8">
        <f t="shared" si="3"/>
        <v>4.97</v>
      </c>
    </row>
    <row r="68" spans="1:19" ht="11.25" customHeight="1" x14ac:dyDescent="0.25">
      <c r="A68" s="31">
        <v>11</v>
      </c>
      <c r="B68" s="31" t="s">
        <v>581</v>
      </c>
      <c r="C68" s="31" t="s">
        <v>835</v>
      </c>
      <c r="D68" s="31" t="s">
        <v>41</v>
      </c>
      <c r="E68" s="31" t="s">
        <v>25</v>
      </c>
      <c r="F68" s="31" t="s">
        <v>25</v>
      </c>
      <c r="G68" s="31" t="s">
        <v>25</v>
      </c>
      <c r="H68" s="31" t="s">
        <v>1292</v>
      </c>
      <c r="I68" s="31" t="s">
        <v>35</v>
      </c>
      <c r="J68" s="31" t="s">
        <v>725</v>
      </c>
      <c r="K68" s="31" t="s">
        <v>726</v>
      </c>
      <c r="L68" s="31" t="s">
        <v>76</v>
      </c>
      <c r="M68" s="31">
        <v>2021</v>
      </c>
      <c r="N68" s="31">
        <v>0</v>
      </c>
      <c r="O68" s="31">
        <v>5.36</v>
      </c>
      <c r="P68" s="31">
        <v>0</v>
      </c>
      <c r="R68" s="8" t="str">
        <f t="shared" si="2"/>
        <v>TUSDA1AzulNão se aplicaNão se aplicaNão se aplicaPERÓXIDOS DO BRASILFora ponta</v>
      </c>
      <c r="S68" s="8">
        <f t="shared" si="3"/>
        <v>5.36</v>
      </c>
    </row>
    <row r="69" spans="1:19" ht="11.25" customHeight="1" x14ac:dyDescent="0.25">
      <c r="A69" s="31">
        <v>13</v>
      </c>
      <c r="B69" s="31" t="s">
        <v>581</v>
      </c>
      <c r="C69" s="31" t="s">
        <v>835</v>
      </c>
      <c r="D69" s="31" t="s">
        <v>41</v>
      </c>
      <c r="E69" s="31" t="s">
        <v>25</v>
      </c>
      <c r="F69" s="31" t="s">
        <v>25</v>
      </c>
      <c r="G69" s="31" t="s">
        <v>25</v>
      </c>
      <c r="H69" s="31" t="s">
        <v>1292</v>
      </c>
      <c r="I69" s="31" t="s">
        <v>25</v>
      </c>
      <c r="J69" s="31" t="s">
        <v>727</v>
      </c>
      <c r="K69" s="31" t="s">
        <v>726</v>
      </c>
      <c r="L69" s="31" t="s">
        <v>71</v>
      </c>
      <c r="M69" s="31">
        <v>2021</v>
      </c>
      <c r="N69" s="31">
        <v>0</v>
      </c>
      <c r="O69" s="31">
        <v>55.37</v>
      </c>
      <c r="P69" s="31">
        <v>41.137505263872498</v>
      </c>
      <c r="R69" s="8" t="str">
        <f t="shared" si="2"/>
        <v>TUSDA1AzulNão se aplicaNão se aplicaNão se aplicaPERÓXIDOS DO BRASILNão se aplica</v>
      </c>
      <c r="S69" s="8">
        <f t="shared" si="3"/>
        <v>55.37</v>
      </c>
    </row>
    <row r="70" spans="1:19" ht="11.25" customHeight="1" x14ac:dyDescent="0.25">
      <c r="A70" s="31">
        <v>9</v>
      </c>
      <c r="B70" s="31" t="s">
        <v>581</v>
      </c>
      <c r="C70" s="31" t="s">
        <v>835</v>
      </c>
      <c r="D70" s="31" t="s">
        <v>41</v>
      </c>
      <c r="E70" s="31" t="s">
        <v>25</v>
      </c>
      <c r="F70" s="31" t="s">
        <v>25</v>
      </c>
      <c r="G70" s="31" t="s">
        <v>25</v>
      </c>
      <c r="H70" s="31" t="s">
        <v>1292</v>
      </c>
      <c r="I70" s="31" t="s">
        <v>37</v>
      </c>
      <c r="J70" s="31" t="s">
        <v>725</v>
      </c>
      <c r="K70" s="31" t="s">
        <v>726</v>
      </c>
      <c r="L70" s="31" t="s">
        <v>76</v>
      </c>
      <c r="M70" s="31">
        <v>2021</v>
      </c>
      <c r="N70" s="31">
        <v>0</v>
      </c>
      <c r="O70" s="31">
        <v>4.97</v>
      </c>
      <c r="P70" s="31">
        <v>0</v>
      </c>
      <c r="R70" s="8" t="str">
        <f t="shared" si="2"/>
        <v>TUSDA1AzulNão se aplicaNão se aplicaNão se aplicaPERÓXIDOS DO BRASILPonta</v>
      </c>
      <c r="S70" s="8">
        <f t="shared" si="3"/>
        <v>4.97</v>
      </c>
    </row>
    <row r="71" spans="1:19" ht="11.25" customHeight="1" x14ac:dyDescent="0.25">
      <c r="A71" s="31">
        <v>19</v>
      </c>
      <c r="B71" s="31" t="s">
        <v>581</v>
      </c>
      <c r="C71" s="31" t="s">
        <v>835</v>
      </c>
      <c r="D71" s="31" t="s">
        <v>41</v>
      </c>
      <c r="E71" s="31" t="s">
        <v>25</v>
      </c>
      <c r="F71" s="31" t="s">
        <v>25</v>
      </c>
      <c r="G71" s="31" t="s">
        <v>25</v>
      </c>
      <c r="H71" s="31" t="s">
        <v>1293</v>
      </c>
      <c r="I71" s="31" t="s">
        <v>35</v>
      </c>
      <c r="J71" s="31" t="s">
        <v>725</v>
      </c>
      <c r="K71" s="31" t="s">
        <v>726</v>
      </c>
      <c r="L71" s="31" t="s">
        <v>76</v>
      </c>
      <c r="M71" s="31">
        <v>2021</v>
      </c>
      <c r="N71" s="31">
        <v>0</v>
      </c>
      <c r="O71" s="31">
        <v>5.36</v>
      </c>
      <c r="P71" s="31">
        <v>0</v>
      </c>
      <c r="R71" s="8" t="str">
        <f t="shared" si="2"/>
        <v>TUSDA1AzulNão se aplicaNão se aplicaNão se aplicaWHB FUNDIÇÃOFora ponta</v>
      </c>
      <c r="S71" s="8">
        <f t="shared" si="3"/>
        <v>5.36</v>
      </c>
    </row>
    <row r="72" spans="1:19" ht="11.25" customHeight="1" x14ac:dyDescent="0.25">
      <c r="A72" s="31">
        <v>21</v>
      </c>
      <c r="B72" s="31" t="s">
        <v>581</v>
      </c>
      <c r="C72" s="31" t="s">
        <v>835</v>
      </c>
      <c r="D72" s="31" t="s">
        <v>41</v>
      </c>
      <c r="E72" s="31" t="s">
        <v>25</v>
      </c>
      <c r="F72" s="31" t="s">
        <v>25</v>
      </c>
      <c r="G72" s="31" t="s">
        <v>25</v>
      </c>
      <c r="H72" s="31" t="s">
        <v>1293</v>
      </c>
      <c r="I72" s="31" t="s">
        <v>25</v>
      </c>
      <c r="J72" s="31" t="s">
        <v>727</v>
      </c>
      <c r="K72" s="31" t="s">
        <v>726</v>
      </c>
      <c r="L72" s="31" t="s">
        <v>71</v>
      </c>
      <c r="M72" s="31">
        <v>2021</v>
      </c>
      <c r="N72" s="31">
        <v>0</v>
      </c>
      <c r="O72" s="31">
        <v>55.37</v>
      </c>
      <c r="P72" s="31">
        <v>41.137505263872498</v>
      </c>
      <c r="R72" s="8" t="str">
        <f t="shared" si="2"/>
        <v>TUSDA1AzulNão se aplicaNão se aplicaNão se aplicaWHB FUNDIÇÃONão se aplica</v>
      </c>
      <c r="S72" s="8">
        <f t="shared" si="3"/>
        <v>55.37</v>
      </c>
    </row>
    <row r="73" spans="1:19" ht="11.25" customHeight="1" x14ac:dyDescent="0.25">
      <c r="A73" s="31">
        <v>17</v>
      </c>
      <c r="B73" s="31" t="s">
        <v>581</v>
      </c>
      <c r="C73" s="31" t="s">
        <v>835</v>
      </c>
      <c r="D73" s="31" t="s">
        <v>41</v>
      </c>
      <c r="E73" s="31" t="s">
        <v>25</v>
      </c>
      <c r="F73" s="31" t="s">
        <v>25</v>
      </c>
      <c r="G73" s="31" t="s">
        <v>25</v>
      </c>
      <c r="H73" s="31" t="s">
        <v>1293</v>
      </c>
      <c r="I73" s="31" t="s">
        <v>37</v>
      </c>
      <c r="J73" s="31" t="s">
        <v>725</v>
      </c>
      <c r="K73" s="31" t="s">
        <v>726</v>
      </c>
      <c r="L73" s="31" t="s">
        <v>76</v>
      </c>
      <c r="M73" s="31">
        <v>2021</v>
      </c>
      <c r="N73" s="31">
        <v>0</v>
      </c>
      <c r="O73" s="31">
        <v>4.97</v>
      </c>
      <c r="P73" s="31">
        <v>0</v>
      </c>
      <c r="R73" s="8" t="str">
        <f t="shared" si="2"/>
        <v>TUSDA1AzulNão se aplicaNão se aplicaNão se aplicaWHB FUNDIÇÃOPonta</v>
      </c>
      <c r="S73" s="8">
        <f t="shared" si="3"/>
        <v>4.97</v>
      </c>
    </row>
    <row r="74" spans="1:19" ht="11.25" customHeight="1" x14ac:dyDescent="0.25">
      <c r="A74" s="31">
        <v>39</v>
      </c>
      <c r="B74" s="31" t="s">
        <v>581</v>
      </c>
      <c r="C74" s="31" t="s">
        <v>714</v>
      </c>
      <c r="D74" s="31" t="s">
        <v>41</v>
      </c>
      <c r="E74" s="31" t="s">
        <v>25</v>
      </c>
      <c r="F74" s="31" t="s">
        <v>25</v>
      </c>
      <c r="G74" s="31" t="s">
        <v>79</v>
      </c>
      <c r="H74" s="31" t="s">
        <v>25</v>
      </c>
      <c r="I74" s="31" t="s">
        <v>25</v>
      </c>
      <c r="J74" s="31" t="s">
        <v>727</v>
      </c>
      <c r="K74" s="31" t="s">
        <v>726</v>
      </c>
      <c r="L74" s="31" t="s">
        <v>71</v>
      </c>
      <c r="M74" s="31">
        <v>2021</v>
      </c>
      <c r="N74" s="31">
        <v>0</v>
      </c>
      <c r="O74" s="31">
        <v>8.1199999999999992</v>
      </c>
      <c r="P74" s="31">
        <v>0</v>
      </c>
      <c r="R74" s="8" t="str">
        <f t="shared" si="2"/>
        <v>TUSDA2AzulNão se aplicaNão se aplicaAPENão se aplicaNão se aplica</v>
      </c>
      <c r="S74" s="8">
        <f t="shared" si="3"/>
        <v>8.1199999999999992</v>
      </c>
    </row>
    <row r="75" spans="1:19" ht="11.25" customHeight="1" x14ac:dyDescent="0.25">
      <c r="A75" s="31">
        <v>35</v>
      </c>
      <c r="B75" s="31" t="s">
        <v>581</v>
      </c>
      <c r="C75" s="31" t="s">
        <v>714</v>
      </c>
      <c r="D75" s="31" t="s">
        <v>41</v>
      </c>
      <c r="E75" s="31" t="s">
        <v>25</v>
      </c>
      <c r="F75" s="31" t="s">
        <v>25</v>
      </c>
      <c r="G75" s="31" t="s">
        <v>25</v>
      </c>
      <c r="H75" s="31" t="s">
        <v>25</v>
      </c>
      <c r="I75" s="31" t="s">
        <v>35</v>
      </c>
      <c r="J75" s="31" t="s">
        <v>725</v>
      </c>
      <c r="K75" s="31" t="s">
        <v>726</v>
      </c>
      <c r="L75" s="31" t="s">
        <v>76</v>
      </c>
      <c r="M75" s="31">
        <v>2021</v>
      </c>
      <c r="N75" s="31">
        <v>0</v>
      </c>
      <c r="O75" s="31">
        <v>9.7200000000000006</v>
      </c>
      <c r="P75" s="31">
        <v>0</v>
      </c>
      <c r="R75" s="8" t="str">
        <f t="shared" si="2"/>
        <v>TUSDA2AzulNão se aplicaNão se aplicaNão se aplicaNão se aplicaFora ponta</v>
      </c>
      <c r="S75" s="8">
        <f t="shared" si="3"/>
        <v>9.7200000000000006</v>
      </c>
    </row>
    <row r="76" spans="1:19" ht="11.25" customHeight="1" x14ac:dyDescent="0.25">
      <c r="A76" s="31">
        <v>37</v>
      </c>
      <c r="B76" s="31" t="s">
        <v>581</v>
      </c>
      <c r="C76" s="31" t="s">
        <v>714</v>
      </c>
      <c r="D76" s="31" t="s">
        <v>41</v>
      </c>
      <c r="E76" s="31" t="s">
        <v>25</v>
      </c>
      <c r="F76" s="31" t="s">
        <v>25</v>
      </c>
      <c r="G76" s="31" t="s">
        <v>25</v>
      </c>
      <c r="H76" s="31" t="s">
        <v>25</v>
      </c>
      <c r="I76" s="31" t="s">
        <v>25</v>
      </c>
      <c r="J76" s="31" t="s">
        <v>727</v>
      </c>
      <c r="K76" s="31" t="s">
        <v>726</v>
      </c>
      <c r="L76" s="31" t="s">
        <v>71</v>
      </c>
      <c r="M76" s="31">
        <v>2021</v>
      </c>
      <c r="N76" s="31">
        <v>0</v>
      </c>
      <c r="O76" s="31">
        <v>60.94</v>
      </c>
      <c r="P76" s="31">
        <v>41.137505263872498</v>
      </c>
      <c r="R76" s="8" t="str">
        <f t="shared" si="2"/>
        <v>TUSDA2AzulNão se aplicaNão se aplicaNão se aplicaNão se aplicaNão se aplica</v>
      </c>
      <c r="S76" s="8">
        <f t="shared" si="3"/>
        <v>60.94</v>
      </c>
    </row>
    <row r="77" spans="1:19" ht="11.25" customHeight="1" x14ac:dyDescent="0.25">
      <c r="A77" s="31">
        <v>33</v>
      </c>
      <c r="B77" s="31" t="s">
        <v>581</v>
      </c>
      <c r="C77" s="31" t="s">
        <v>714</v>
      </c>
      <c r="D77" s="31" t="s">
        <v>41</v>
      </c>
      <c r="E77" s="31" t="s">
        <v>25</v>
      </c>
      <c r="F77" s="31" t="s">
        <v>25</v>
      </c>
      <c r="G77" s="31" t="s">
        <v>25</v>
      </c>
      <c r="H77" s="31" t="s">
        <v>25</v>
      </c>
      <c r="I77" s="31" t="s">
        <v>37</v>
      </c>
      <c r="J77" s="31" t="s">
        <v>725</v>
      </c>
      <c r="K77" s="31" t="s">
        <v>726</v>
      </c>
      <c r="L77" s="31" t="s">
        <v>76</v>
      </c>
      <c r="M77" s="31">
        <v>2021</v>
      </c>
      <c r="N77" s="31">
        <v>0</v>
      </c>
      <c r="O77" s="31">
        <v>18.23</v>
      </c>
      <c r="P77" s="31">
        <v>0</v>
      </c>
      <c r="R77" s="8" t="str">
        <f t="shared" si="2"/>
        <v>TUSDA2AzulNão se aplicaNão se aplicaNão se aplicaNão se aplicaPonta</v>
      </c>
      <c r="S77" s="8">
        <f t="shared" si="3"/>
        <v>18.23</v>
      </c>
    </row>
    <row r="78" spans="1:19" ht="11.25" customHeight="1" x14ac:dyDescent="0.25">
      <c r="A78" s="31">
        <v>43</v>
      </c>
      <c r="B78" s="31" t="s">
        <v>581</v>
      </c>
      <c r="C78" s="31" t="s">
        <v>714</v>
      </c>
      <c r="D78" s="31" t="s">
        <v>1295</v>
      </c>
      <c r="E78" s="31" t="s">
        <v>25</v>
      </c>
      <c r="F78" s="31" t="s">
        <v>25</v>
      </c>
      <c r="G78" s="31" t="s">
        <v>25</v>
      </c>
      <c r="H78" s="31" t="s">
        <v>1296</v>
      </c>
      <c r="I78" s="31" t="s">
        <v>35</v>
      </c>
      <c r="J78" s="31" t="s">
        <v>725</v>
      </c>
      <c r="K78" s="31" t="s">
        <v>726</v>
      </c>
      <c r="L78" s="31" t="s">
        <v>76</v>
      </c>
      <c r="M78" s="31">
        <v>2021</v>
      </c>
      <c r="N78" s="31">
        <v>0</v>
      </c>
      <c r="O78" s="31">
        <v>10.26</v>
      </c>
      <c r="P78" s="31">
        <v>0</v>
      </c>
      <c r="R78" s="8" t="str">
        <f t="shared" si="2"/>
        <v>TUSDA2DistribuiçãoNão se aplicaNão se aplicaNão se aplicaCocelFora ponta</v>
      </c>
      <c r="S78" s="8">
        <f t="shared" si="3"/>
        <v>10.26</v>
      </c>
    </row>
    <row r="79" spans="1:19" ht="11.25" customHeight="1" x14ac:dyDescent="0.25">
      <c r="A79" s="31">
        <v>45</v>
      </c>
      <c r="B79" s="31" t="s">
        <v>581</v>
      </c>
      <c r="C79" s="31" t="s">
        <v>714</v>
      </c>
      <c r="D79" s="31" t="s">
        <v>1295</v>
      </c>
      <c r="E79" s="31" t="s">
        <v>25</v>
      </c>
      <c r="F79" s="31" t="s">
        <v>25</v>
      </c>
      <c r="G79" s="31" t="s">
        <v>25</v>
      </c>
      <c r="H79" s="31" t="s">
        <v>1296</v>
      </c>
      <c r="I79" s="31" t="s">
        <v>25</v>
      </c>
      <c r="J79" s="31" t="s">
        <v>727</v>
      </c>
      <c r="K79" s="31" t="s">
        <v>726</v>
      </c>
      <c r="L79" s="31" t="s">
        <v>71</v>
      </c>
      <c r="M79" s="31">
        <v>2021</v>
      </c>
      <c r="N79" s="31">
        <v>0</v>
      </c>
      <c r="O79" s="31">
        <v>4.6900000000000004</v>
      </c>
      <c r="P79" s="31">
        <v>0</v>
      </c>
      <c r="R79" s="8" t="str">
        <f t="shared" si="2"/>
        <v>TUSDA2DistribuiçãoNão se aplicaNão se aplicaNão se aplicaCocelNão se aplica</v>
      </c>
      <c r="S79" s="8">
        <f t="shared" si="3"/>
        <v>4.6900000000000004</v>
      </c>
    </row>
    <row r="80" spans="1:19" ht="11.25" customHeight="1" x14ac:dyDescent="0.25">
      <c r="A80" s="31">
        <v>41</v>
      </c>
      <c r="B80" s="31" t="s">
        <v>581</v>
      </c>
      <c r="C80" s="31" t="s">
        <v>714</v>
      </c>
      <c r="D80" s="31" t="s">
        <v>1295</v>
      </c>
      <c r="E80" s="31" t="s">
        <v>25</v>
      </c>
      <c r="F80" s="31" t="s">
        <v>25</v>
      </c>
      <c r="G80" s="31" t="s">
        <v>25</v>
      </c>
      <c r="H80" s="31" t="s">
        <v>1296</v>
      </c>
      <c r="I80" s="31" t="s">
        <v>37</v>
      </c>
      <c r="J80" s="31" t="s">
        <v>725</v>
      </c>
      <c r="K80" s="31" t="s">
        <v>726</v>
      </c>
      <c r="L80" s="31" t="s">
        <v>76</v>
      </c>
      <c r="M80" s="31">
        <v>2021</v>
      </c>
      <c r="N80" s="31">
        <v>0</v>
      </c>
      <c r="O80" s="31">
        <v>19.309999999999999</v>
      </c>
      <c r="P80" s="31">
        <v>0</v>
      </c>
      <c r="R80" s="8" t="str">
        <f t="shared" si="2"/>
        <v>TUSDA2DistribuiçãoNão se aplicaNão se aplicaNão se aplicaCocelPonta</v>
      </c>
      <c r="S80" s="8">
        <f t="shared" si="3"/>
        <v>19.309999999999999</v>
      </c>
    </row>
    <row r="81" spans="1:19" ht="11.25" customHeight="1" x14ac:dyDescent="0.25">
      <c r="A81" s="31">
        <v>49</v>
      </c>
      <c r="B81" s="31" t="s">
        <v>581</v>
      </c>
      <c r="C81" s="31" t="s">
        <v>714</v>
      </c>
      <c r="D81" s="31" t="s">
        <v>1295</v>
      </c>
      <c r="E81" s="31" t="s">
        <v>25</v>
      </c>
      <c r="F81" s="31" t="s">
        <v>25</v>
      </c>
      <c r="G81" s="31" t="s">
        <v>25</v>
      </c>
      <c r="H81" s="31" t="s">
        <v>1297</v>
      </c>
      <c r="I81" s="31" t="s">
        <v>35</v>
      </c>
      <c r="J81" s="31" t="s">
        <v>725</v>
      </c>
      <c r="K81" s="31" t="s">
        <v>726</v>
      </c>
      <c r="L81" s="31" t="s">
        <v>76</v>
      </c>
      <c r="M81" s="31">
        <v>2021</v>
      </c>
      <c r="N81" s="31">
        <v>0</v>
      </c>
      <c r="O81" s="31">
        <v>10.26</v>
      </c>
      <c r="P81" s="31">
        <v>0</v>
      </c>
      <c r="R81" s="8" t="str">
        <f t="shared" si="2"/>
        <v>TUSDA2DistribuiçãoNão se aplicaNão se aplicaNão se aplicaESSFora ponta</v>
      </c>
      <c r="S81" s="8">
        <f t="shared" si="3"/>
        <v>10.26</v>
      </c>
    </row>
    <row r="82" spans="1:19" ht="11.25" customHeight="1" x14ac:dyDescent="0.25">
      <c r="A82" s="31">
        <v>51</v>
      </c>
      <c r="B82" s="31" t="s">
        <v>581</v>
      </c>
      <c r="C82" s="31" t="s">
        <v>714</v>
      </c>
      <c r="D82" s="31" t="s">
        <v>1295</v>
      </c>
      <c r="E82" s="31" t="s">
        <v>25</v>
      </c>
      <c r="F82" s="31" t="s">
        <v>25</v>
      </c>
      <c r="G82" s="31" t="s">
        <v>25</v>
      </c>
      <c r="H82" s="31" t="s">
        <v>1297</v>
      </c>
      <c r="I82" s="31" t="s">
        <v>25</v>
      </c>
      <c r="J82" s="31" t="s">
        <v>727</v>
      </c>
      <c r="K82" s="31" t="s">
        <v>726</v>
      </c>
      <c r="L82" s="31" t="s">
        <v>71</v>
      </c>
      <c r="M82" s="31">
        <v>2021</v>
      </c>
      <c r="N82" s="31">
        <v>0</v>
      </c>
      <c r="O82" s="31">
        <v>4.6900000000000004</v>
      </c>
      <c r="P82" s="31">
        <v>0</v>
      </c>
      <c r="R82" s="8" t="str">
        <f t="shared" si="2"/>
        <v>TUSDA2DistribuiçãoNão se aplicaNão se aplicaNão se aplicaESSNão se aplica</v>
      </c>
      <c r="S82" s="8">
        <f t="shared" si="3"/>
        <v>4.6900000000000004</v>
      </c>
    </row>
    <row r="83" spans="1:19" ht="11.25" customHeight="1" x14ac:dyDescent="0.25">
      <c r="A83" s="31">
        <v>47</v>
      </c>
      <c r="B83" s="31" t="s">
        <v>581</v>
      </c>
      <c r="C83" s="31" t="s">
        <v>714</v>
      </c>
      <c r="D83" s="31" t="s">
        <v>1295</v>
      </c>
      <c r="E83" s="31" t="s">
        <v>25</v>
      </c>
      <c r="F83" s="31" t="s">
        <v>25</v>
      </c>
      <c r="G83" s="31" t="s">
        <v>25</v>
      </c>
      <c r="H83" s="31" t="s">
        <v>1297</v>
      </c>
      <c r="I83" s="31" t="s">
        <v>37</v>
      </c>
      <c r="J83" s="31" t="s">
        <v>725</v>
      </c>
      <c r="K83" s="31" t="s">
        <v>726</v>
      </c>
      <c r="L83" s="31" t="s">
        <v>76</v>
      </c>
      <c r="M83" s="31">
        <v>2021</v>
      </c>
      <c r="N83" s="31">
        <v>0</v>
      </c>
      <c r="O83" s="31">
        <v>19.309999999999999</v>
      </c>
      <c r="P83" s="31">
        <v>0</v>
      </c>
      <c r="R83" s="8" t="str">
        <f t="shared" si="2"/>
        <v>TUSDA2DistribuiçãoNão se aplicaNão se aplicaNão se aplicaESSPonta</v>
      </c>
      <c r="S83" s="8">
        <f t="shared" si="3"/>
        <v>19.309999999999999</v>
      </c>
    </row>
    <row r="84" spans="1:19" ht="11.25" customHeight="1" x14ac:dyDescent="0.25">
      <c r="A84" s="31">
        <v>97</v>
      </c>
      <c r="B84" s="31" t="s">
        <v>581</v>
      </c>
      <c r="C84" s="31" t="s">
        <v>714</v>
      </c>
      <c r="D84" s="31" t="s">
        <v>80</v>
      </c>
      <c r="E84" s="31" t="s">
        <v>25</v>
      </c>
      <c r="F84" s="31" t="s">
        <v>25</v>
      </c>
      <c r="G84" s="31" t="s">
        <v>25</v>
      </c>
      <c r="H84" s="31" t="s">
        <v>1339</v>
      </c>
      <c r="I84" s="31" t="s">
        <v>25</v>
      </c>
      <c r="J84" s="31" t="s">
        <v>725</v>
      </c>
      <c r="K84" s="31" t="s">
        <v>726</v>
      </c>
      <c r="L84" s="31" t="s">
        <v>76</v>
      </c>
      <c r="M84" s="31">
        <v>2021</v>
      </c>
      <c r="N84" s="31">
        <v>0</v>
      </c>
      <c r="O84" s="31">
        <v>5.35</v>
      </c>
      <c r="P84" s="31">
        <v>0</v>
      </c>
      <c r="R84" s="8" t="str">
        <f t="shared" si="2"/>
        <v>TUSDA2GeraçãoNão se aplicaNão se aplicaNão se aplicaIMP IMPORTACAO ANDENão se aplica</v>
      </c>
      <c r="S84" s="8">
        <f t="shared" si="3"/>
        <v>5.35</v>
      </c>
    </row>
    <row r="85" spans="1:19" ht="11.25" customHeight="1" x14ac:dyDescent="0.25">
      <c r="A85" s="31">
        <v>99</v>
      </c>
      <c r="B85" s="31" t="s">
        <v>581</v>
      </c>
      <c r="C85" s="31" t="s">
        <v>714</v>
      </c>
      <c r="D85" s="31" t="s">
        <v>80</v>
      </c>
      <c r="E85" s="31" t="s">
        <v>25</v>
      </c>
      <c r="F85" s="31" t="s">
        <v>25</v>
      </c>
      <c r="G85" s="31" t="s">
        <v>25</v>
      </c>
      <c r="H85" s="31" t="s">
        <v>1328</v>
      </c>
      <c r="I85" s="31" t="s">
        <v>25</v>
      </c>
      <c r="J85" s="31" t="s">
        <v>725</v>
      </c>
      <c r="K85" s="31" t="s">
        <v>726</v>
      </c>
      <c r="L85" s="31" t="s">
        <v>76</v>
      </c>
      <c r="M85" s="31">
        <v>2021</v>
      </c>
      <c r="N85" s="31">
        <v>0</v>
      </c>
      <c r="O85" s="31">
        <v>6.53</v>
      </c>
      <c r="P85" s="31">
        <v>0</v>
      </c>
      <c r="R85" s="8" t="str">
        <f t="shared" si="2"/>
        <v>TUSDA2GeraçãoNão se aplicaNão se aplicaNão se aplicaNOVO GERADORNão se aplica</v>
      </c>
      <c r="S85" s="8">
        <f t="shared" si="3"/>
        <v>6.53</v>
      </c>
    </row>
    <row r="86" spans="1:19" ht="11.25" customHeight="1" x14ac:dyDescent="0.25">
      <c r="A86" s="31">
        <v>71</v>
      </c>
      <c r="B86" s="31" t="s">
        <v>581</v>
      </c>
      <c r="C86" s="31" t="s">
        <v>714</v>
      </c>
      <c r="D86" s="31" t="s">
        <v>80</v>
      </c>
      <c r="E86" s="31" t="s">
        <v>25</v>
      </c>
      <c r="F86" s="31" t="s">
        <v>25</v>
      </c>
      <c r="G86" s="31" t="s">
        <v>25</v>
      </c>
      <c r="H86" s="31" t="s">
        <v>1308</v>
      </c>
      <c r="I86" s="31" t="s">
        <v>25</v>
      </c>
      <c r="J86" s="31" t="s">
        <v>725</v>
      </c>
      <c r="K86" s="31" t="s">
        <v>726</v>
      </c>
      <c r="L86" s="31" t="s">
        <v>76</v>
      </c>
      <c r="M86" s="31">
        <v>2021</v>
      </c>
      <c r="N86" s="31">
        <v>0</v>
      </c>
      <c r="O86" s="31">
        <v>6.15</v>
      </c>
      <c r="P86" s="31">
        <v>0</v>
      </c>
      <c r="R86" s="8" t="str">
        <f t="shared" si="2"/>
        <v>TUSDA2GeraçãoNão se aplicaNão se aplicaNão se aplicaPCH ARTURO ANDREOLINão se aplica</v>
      </c>
      <c r="S86" s="8">
        <f t="shared" si="3"/>
        <v>6.15</v>
      </c>
    </row>
    <row r="87" spans="1:19" ht="11.25" customHeight="1" x14ac:dyDescent="0.25">
      <c r="A87" s="31">
        <v>89</v>
      </c>
      <c r="B87" s="31" t="s">
        <v>581</v>
      </c>
      <c r="C87" s="31" t="s">
        <v>714</v>
      </c>
      <c r="D87" s="31" t="s">
        <v>80</v>
      </c>
      <c r="E87" s="31" t="s">
        <v>25</v>
      </c>
      <c r="F87" s="31" t="s">
        <v>25</v>
      </c>
      <c r="G87" s="31" t="s">
        <v>25</v>
      </c>
      <c r="H87" s="31" t="s">
        <v>1317</v>
      </c>
      <c r="I87" s="31" t="s">
        <v>25</v>
      </c>
      <c r="J87" s="31" t="s">
        <v>725</v>
      </c>
      <c r="K87" s="31" t="s">
        <v>726</v>
      </c>
      <c r="L87" s="31" t="s">
        <v>76</v>
      </c>
      <c r="M87" s="31">
        <v>2021</v>
      </c>
      <c r="N87" s="31">
        <v>0</v>
      </c>
      <c r="O87" s="31">
        <v>8.0500000000000007</v>
      </c>
      <c r="P87" s="31">
        <v>0</v>
      </c>
      <c r="R87" s="8" t="str">
        <f t="shared" si="2"/>
        <v>TUSDA2GeraçãoNão se aplicaNão se aplicaNão se aplicaPCH CANHADAONão se aplica</v>
      </c>
      <c r="S87" s="8">
        <f t="shared" si="3"/>
        <v>8.0500000000000007</v>
      </c>
    </row>
    <row r="88" spans="1:19" ht="11.25" customHeight="1" x14ac:dyDescent="0.25">
      <c r="A88" s="31">
        <v>83</v>
      </c>
      <c r="B88" s="31" t="s">
        <v>581</v>
      </c>
      <c r="C88" s="31" t="s">
        <v>714</v>
      </c>
      <c r="D88" s="31" t="s">
        <v>80</v>
      </c>
      <c r="E88" s="31" t="s">
        <v>25</v>
      </c>
      <c r="F88" s="31" t="s">
        <v>25</v>
      </c>
      <c r="G88" s="31" t="s">
        <v>25</v>
      </c>
      <c r="H88" s="31" t="s">
        <v>1314</v>
      </c>
      <c r="I88" s="31" t="s">
        <v>25</v>
      </c>
      <c r="J88" s="31" t="s">
        <v>725</v>
      </c>
      <c r="K88" s="31" t="s">
        <v>726</v>
      </c>
      <c r="L88" s="31" t="s">
        <v>76</v>
      </c>
      <c r="M88" s="31">
        <v>2021</v>
      </c>
      <c r="N88" s="31">
        <v>0</v>
      </c>
      <c r="O88" s="31">
        <v>3.33</v>
      </c>
      <c r="P88" s="31">
        <v>0</v>
      </c>
      <c r="R88" s="8" t="str">
        <f t="shared" si="2"/>
        <v>TUSDA2GeraçãoNão se aplicaNão se aplicaNão se aplicaPCH CANTU 2Não se aplica</v>
      </c>
      <c r="S88" s="8">
        <f t="shared" si="3"/>
        <v>3.33</v>
      </c>
    </row>
    <row r="89" spans="1:19" ht="11.25" customHeight="1" x14ac:dyDescent="0.25">
      <c r="A89" s="31">
        <v>87</v>
      </c>
      <c r="B89" s="31" t="s">
        <v>581</v>
      </c>
      <c r="C89" s="31" t="s">
        <v>714</v>
      </c>
      <c r="D89" s="31" t="s">
        <v>80</v>
      </c>
      <c r="E89" s="31" t="s">
        <v>25</v>
      </c>
      <c r="F89" s="31" t="s">
        <v>25</v>
      </c>
      <c r="G89" s="31" t="s">
        <v>25</v>
      </c>
      <c r="H89" s="31" t="s">
        <v>1316</v>
      </c>
      <c r="I89" s="31" t="s">
        <v>25</v>
      </c>
      <c r="J89" s="31" t="s">
        <v>725</v>
      </c>
      <c r="K89" s="31" t="s">
        <v>726</v>
      </c>
      <c r="L89" s="31" t="s">
        <v>76</v>
      </c>
      <c r="M89" s="31">
        <v>2021</v>
      </c>
      <c r="N89" s="31">
        <v>0</v>
      </c>
      <c r="O89" s="31">
        <v>6.93</v>
      </c>
      <c r="P89" s="31">
        <v>0</v>
      </c>
      <c r="R89" s="8" t="str">
        <f t="shared" si="2"/>
        <v>TUSDA2GeraçãoNão se aplicaNão se aplicaNão se aplicaPCH CAVERNOSO IINão se aplica</v>
      </c>
      <c r="S89" s="8">
        <f t="shared" si="3"/>
        <v>6.93</v>
      </c>
    </row>
    <row r="90" spans="1:19" ht="11.25" customHeight="1" x14ac:dyDescent="0.25">
      <c r="A90" s="31">
        <v>101</v>
      </c>
      <c r="B90" s="31" t="s">
        <v>581</v>
      </c>
      <c r="C90" s="31" t="s">
        <v>714</v>
      </c>
      <c r="D90" s="31" t="s">
        <v>80</v>
      </c>
      <c r="E90" s="31" t="s">
        <v>25</v>
      </c>
      <c r="F90" s="31" t="s">
        <v>25</v>
      </c>
      <c r="G90" s="31" t="s">
        <v>25</v>
      </c>
      <c r="H90" s="31" t="s">
        <v>1329</v>
      </c>
      <c r="I90" s="31" t="s">
        <v>25</v>
      </c>
      <c r="J90" s="31" t="s">
        <v>725</v>
      </c>
      <c r="K90" s="31" t="s">
        <v>726</v>
      </c>
      <c r="L90" s="31" t="s">
        <v>76</v>
      </c>
      <c r="M90" s="31">
        <v>2021</v>
      </c>
      <c r="N90" s="31">
        <v>0</v>
      </c>
      <c r="O90" s="31">
        <v>3.79</v>
      </c>
      <c r="P90" s="31">
        <v>0</v>
      </c>
      <c r="R90" s="8" t="str">
        <f t="shared" si="2"/>
        <v>TUSDA2GeraçãoNão se aplicaNão se aplicaNão se aplicaPCH CONFLUENCIANão se aplica</v>
      </c>
      <c r="S90" s="8">
        <f t="shared" si="3"/>
        <v>3.79</v>
      </c>
    </row>
    <row r="91" spans="1:19" ht="11.25" customHeight="1" x14ac:dyDescent="0.25">
      <c r="A91" s="31">
        <v>95</v>
      </c>
      <c r="B91" s="31" t="s">
        <v>581</v>
      </c>
      <c r="C91" s="31" t="s">
        <v>714</v>
      </c>
      <c r="D91" s="31" t="s">
        <v>80</v>
      </c>
      <c r="E91" s="31" t="s">
        <v>25</v>
      </c>
      <c r="F91" s="31" t="s">
        <v>25</v>
      </c>
      <c r="G91" s="31" t="s">
        <v>25</v>
      </c>
      <c r="H91" s="31" t="s">
        <v>1320</v>
      </c>
      <c r="I91" s="31" t="s">
        <v>25</v>
      </c>
      <c r="J91" s="31" t="s">
        <v>725</v>
      </c>
      <c r="K91" s="31" t="s">
        <v>726</v>
      </c>
      <c r="L91" s="31" t="s">
        <v>76</v>
      </c>
      <c r="M91" s="31">
        <v>2021</v>
      </c>
      <c r="N91" s="31">
        <v>0</v>
      </c>
      <c r="O91" s="31">
        <v>6.53</v>
      </c>
      <c r="P91" s="31">
        <v>0</v>
      </c>
      <c r="R91" s="8" t="str">
        <f t="shared" si="2"/>
        <v>TUSDA2GeraçãoNão se aplicaNão se aplicaNão se aplicaPCH FORQUILHANão se aplica</v>
      </c>
      <c r="S91" s="8">
        <f t="shared" si="3"/>
        <v>6.53</v>
      </c>
    </row>
    <row r="92" spans="1:19" ht="11.25" customHeight="1" x14ac:dyDescent="0.25">
      <c r="A92" s="31">
        <v>79</v>
      </c>
      <c r="B92" s="31" t="s">
        <v>581</v>
      </c>
      <c r="C92" s="31" t="s">
        <v>714</v>
      </c>
      <c r="D92" s="31" t="s">
        <v>80</v>
      </c>
      <c r="E92" s="31" t="s">
        <v>25</v>
      </c>
      <c r="F92" s="31" t="s">
        <v>25</v>
      </c>
      <c r="G92" s="31" t="s">
        <v>25</v>
      </c>
      <c r="H92" s="31" t="s">
        <v>1312</v>
      </c>
      <c r="I92" s="31" t="s">
        <v>25</v>
      </c>
      <c r="J92" s="31" t="s">
        <v>725</v>
      </c>
      <c r="K92" s="31" t="s">
        <v>726</v>
      </c>
      <c r="L92" s="31" t="s">
        <v>76</v>
      </c>
      <c r="M92" s="31">
        <v>2021</v>
      </c>
      <c r="N92" s="31">
        <v>0</v>
      </c>
      <c r="O92" s="31">
        <v>6.05</v>
      </c>
      <c r="P92" s="31">
        <v>0</v>
      </c>
      <c r="R92" s="8" t="str">
        <f t="shared" si="2"/>
        <v>TUSDA2GeraçãoNão se aplicaNão se aplicaNão se aplicaPCH LUDESANão se aplica</v>
      </c>
      <c r="S92" s="8">
        <f t="shared" si="3"/>
        <v>6.05</v>
      </c>
    </row>
    <row r="93" spans="1:19" ht="11.25" customHeight="1" x14ac:dyDescent="0.25">
      <c r="A93" s="31">
        <v>93</v>
      </c>
      <c r="B93" s="31" t="s">
        <v>581</v>
      </c>
      <c r="C93" s="31" t="s">
        <v>714</v>
      </c>
      <c r="D93" s="31" t="s">
        <v>80</v>
      </c>
      <c r="E93" s="31" t="s">
        <v>25</v>
      </c>
      <c r="F93" s="31" t="s">
        <v>25</v>
      </c>
      <c r="G93" s="31" t="s">
        <v>25</v>
      </c>
      <c r="H93" s="31" t="s">
        <v>1319</v>
      </c>
      <c r="I93" s="31" t="s">
        <v>25</v>
      </c>
      <c r="J93" s="31" t="s">
        <v>725</v>
      </c>
      <c r="K93" s="31" t="s">
        <v>726</v>
      </c>
      <c r="L93" s="31" t="s">
        <v>76</v>
      </c>
      <c r="M93" s="31">
        <v>2021</v>
      </c>
      <c r="N93" s="31">
        <v>0</v>
      </c>
      <c r="O93" s="31">
        <v>6.49</v>
      </c>
      <c r="P93" s="31">
        <v>0</v>
      </c>
      <c r="R93" s="8" t="str">
        <f t="shared" si="2"/>
        <v>TUSDA2GeraçãoNão se aplicaNão se aplicaNão se aplicaPCH MACACOSNão se aplica</v>
      </c>
      <c r="S93" s="8">
        <f t="shared" si="3"/>
        <v>6.49</v>
      </c>
    </row>
    <row r="94" spans="1:19" ht="11.25" customHeight="1" x14ac:dyDescent="0.25">
      <c r="A94" s="31">
        <v>77</v>
      </c>
      <c r="B94" s="31" t="s">
        <v>581</v>
      </c>
      <c r="C94" s="31" t="s">
        <v>714</v>
      </c>
      <c r="D94" s="31" t="s">
        <v>80</v>
      </c>
      <c r="E94" s="31" t="s">
        <v>25</v>
      </c>
      <c r="F94" s="31" t="s">
        <v>25</v>
      </c>
      <c r="G94" s="31" t="s">
        <v>25</v>
      </c>
      <c r="H94" s="31" t="s">
        <v>1311</v>
      </c>
      <c r="I94" s="31" t="s">
        <v>25</v>
      </c>
      <c r="J94" s="31" t="s">
        <v>725</v>
      </c>
      <c r="K94" s="31" t="s">
        <v>726</v>
      </c>
      <c r="L94" s="31" t="s">
        <v>76</v>
      </c>
      <c r="M94" s="31">
        <v>2021</v>
      </c>
      <c r="N94" s="31">
        <v>0</v>
      </c>
      <c r="O94" s="31">
        <v>6.67</v>
      </c>
      <c r="P94" s="31">
        <v>0</v>
      </c>
      <c r="R94" s="8" t="str">
        <f t="shared" si="2"/>
        <v>TUSDA2GeraçãoNão se aplicaNão se aplicaNão se aplicaPCH NOVO HORIZONTENão se aplica</v>
      </c>
      <c r="S94" s="8">
        <f t="shared" si="3"/>
        <v>6.67</v>
      </c>
    </row>
    <row r="95" spans="1:19" ht="11.25" customHeight="1" x14ac:dyDescent="0.25">
      <c r="A95" s="31">
        <v>85</v>
      </c>
      <c r="B95" s="31" t="s">
        <v>581</v>
      </c>
      <c r="C95" s="31" t="s">
        <v>714</v>
      </c>
      <c r="D95" s="31" t="s">
        <v>80</v>
      </c>
      <c r="E95" s="31" t="s">
        <v>25</v>
      </c>
      <c r="F95" s="31" t="s">
        <v>25</v>
      </c>
      <c r="G95" s="31" t="s">
        <v>25</v>
      </c>
      <c r="H95" s="31" t="s">
        <v>1315</v>
      </c>
      <c r="I95" s="31" t="s">
        <v>25</v>
      </c>
      <c r="J95" s="31" t="s">
        <v>725</v>
      </c>
      <c r="K95" s="31" t="s">
        <v>726</v>
      </c>
      <c r="L95" s="31" t="s">
        <v>76</v>
      </c>
      <c r="M95" s="31">
        <v>2021</v>
      </c>
      <c r="N95" s="31">
        <v>0</v>
      </c>
      <c r="O95" s="31">
        <v>6.05</v>
      </c>
      <c r="P95" s="31">
        <v>0</v>
      </c>
      <c r="R95" s="8" t="str">
        <f t="shared" si="2"/>
        <v>TUSDA2GeraçãoNão se aplicaNão se aplicaNão se aplicaPCH SANTA LUZIA ALTONão se aplica</v>
      </c>
      <c r="S95" s="8">
        <f t="shared" si="3"/>
        <v>6.05</v>
      </c>
    </row>
    <row r="96" spans="1:19" ht="11.25" customHeight="1" x14ac:dyDescent="0.25">
      <c r="A96" s="31">
        <v>81</v>
      </c>
      <c r="B96" s="31" t="s">
        <v>581</v>
      </c>
      <c r="C96" s="31" t="s">
        <v>714</v>
      </c>
      <c r="D96" s="31" t="s">
        <v>80</v>
      </c>
      <c r="E96" s="31" t="s">
        <v>25</v>
      </c>
      <c r="F96" s="31" t="s">
        <v>25</v>
      </c>
      <c r="G96" s="31" t="s">
        <v>25</v>
      </c>
      <c r="H96" s="31" t="s">
        <v>1313</v>
      </c>
      <c r="I96" s="31" t="s">
        <v>25</v>
      </c>
      <c r="J96" s="31" t="s">
        <v>725</v>
      </c>
      <c r="K96" s="31" t="s">
        <v>726</v>
      </c>
      <c r="L96" s="31" t="s">
        <v>76</v>
      </c>
      <c r="M96" s="31">
        <v>2021</v>
      </c>
      <c r="N96" s="31">
        <v>0</v>
      </c>
      <c r="O96" s="31">
        <v>6.13</v>
      </c>
      <c r="P96" s="31">
        <v>0</v>
      </c>
      <c r="R96" s="8" t="str">
        <f t="shared" si="2"/>
        <v>TUSDA2GeraçãoNão se aplicaNão se aplicaNão se aplicaPCH VICTOR BAPTISTA ADAMINão se aplica</v>
      </c>
      <c r="S96" s="8">
        <f t="shared" si="3"/>
        <v>6.13</v>
      </c>
    </row>
    <row r="97" spans="1:19" ht="11.25" customHeight="1" x14ac:dyDescent="0.25">
      <c r="A97" s="31">
        <v>73</v>
      </c>
      <c r="B97" s="31" t="s">
        <v>581</v>
      </c>
      <c r="C97" s="31" t="s">
        <v>714</v>
      </c>
      <c r="D97" s="31" t="s">
        <v>80</v>
      </c>
      <c r="E97" s="31" t="s">
        <v>25</v>
      </c>
      <c r="F97" s="31" t="s">
        <v>25</v>
      </c>
      <c r="G97" s="31" t="s">
        <v>25</v>
      </c>
      <c r="H97" s="31" t="s">
        <v>1309</v>
      </c>
      <c r="I97" s="31" t="s">
        <v>25</v>
      </c>
      <c r="J97" s="31" t="s">
        <v>725</v>
      </c>
      <c r="K97" s="31" t="s">
        <v>726</v>
      </c>
      <c r="L97" s="31" t="s">
        <v>76</v>
      </c>
      <c r="M97" s="31">
        <v>2021</v>
      </c>
      <c r="N97" s="31">
        <v>0</v>
      </c>
      <c r="O97" s="31">
        <v>8.43</v>
      </c>
      <c r="P97" s="31">
        <v>0</v>
      </c>
      <c r="R97" s="8" t="str">
        <f t="shared" si="2"/>
        <v>TUSDA2GeraçãoNão se aplicaNão se aplicaNão se aplicaUHE FUNDAONão se aplica</v>
      </c>
      <c r="S97" s="8">
        <f t="shared" si="3"/>
        <v>8.43</v>
      </c>
    </row>
    <row r="98" spans="1:19" ht="11.25" customHeight="1" x14ac:dyDescent="0.25">
      <c r="A98" s="31">
        <v>160</v>
      </c>
      <c r="B98" s="31" t="s">
        <v>581</v>
      </c>
      <c r="C98" s="31" t="s">
        <v>714</v>
      </c>
      <c r="D98" s="31" t="s">
        <v>80</v>
      </c>
      <c r="E98" s="31" t="s">
        <v>25</v>
      </c>
      <c r="F98" s="31" t="s">
        <v>25</v>
      </c>
      <c r="G98" s="31" t="s">
        <v>25</v>
      </c>
      <c r="H98" s="31" t="s">
        <v>1342</v>
      </c>
      <c r="I98" s="31" t="s">
        <v>25</v>
      </c>
      <c r="J98" s="31" t="s">
        <v>725</v>
      </c>
      <c r="K98" s="31" t="s">
        <v>726</v>
      </c>
      <c r="L98" s="31" t="s">
        <v>76</v>
      </c>
      <c r="M98" s="31">
        <v>2021</v>
      </c>
      <c r="N98" s="31">
        <v>0</v>
      </c>
      <c r="O98" s="31">
        <v>5.91</v>
      </c>
      <c r="P98" s="31">
        <v>0</v>
      </c>
      <c r="R98" s="8" t="str">
        <f t="shared" si="2"/>
        <v>TUSDA2GeraçãoNão se aplicaNão se aplicaNão se aplicaUHE SANTA BRANCA 35290Não se aplica</v>
      </c>
      <c r="S98" s="8">
        <f t="shared" si="3"/>
        <v>5.91</v>
      </c>
    </row>
    <row r="99" spans="1:19" ht="11.25" customHeight="1" x14ac:dyDescent="0.25">
      <c r="A99" s="31">
        <v>75</v>
      </c>
      <c r="B99" s="31" t="s">
        <v>581</v>
      </c>
      <c r="C99" s="31" t="s">
        <v>714</v>
      </c>
      <c r="D99" s="31" t="s">
        <v>80</v>
      </c>
      <c r="E99" s="31" t="s">
        <v>25</v>
      </c>
      <c r="F99" s="31" t="s">
        <v>25</v>
      </c>
      <c r="G99" s="31" t="s">
        <v>25</v>
      </c>
      <c r="H99" s="31" t="s">
        <v>1310</v>
      </c>
      <c r="I99" s="31" t="s">
        <v>25</v>
      </c>
      <c r="J99" s="31" t="s">
        <v>725</v>
      </c>
      <c r="K99" s="31" t="s">
        <v>726</v>
      </c>
      <c r="L99" s="31" t="s">
        <v>76</v>
      </c>
      <c r="M99" s="31">
        <v>2021</v>
      </c>
      <c r="N99" s="31">
        <v>0</v>
      </c>
      <c r="O99" s="31">
        <v>8.59</v>
      </c>
      <c r="P99" s="31">
        <v>0</v>
      </c>
      <c r="R99" s="8" t="str">
        <f t="shared" si="2"/>
        <v>TUSDA2GeraçãoNão se aplicaNão se aplicaNão se aplicaUHE SANTA CLARA 28361Não se aplica</v>
      </c>
      <c r="S99" s="8">
        <f t="shared" si="3"/>
        <v>8.59</v>
      </c>
    </row>
    <row r="100" spans="1:19" ht="11.25" customHeight="1" x14ac:dyDescent="0.25">
      <c r="A100" s="31">
        <v>91</v>
      </c>
      <c r="B100" s="31" t="s">
        <v>581</v>
      </c>
      <c r="C100" s="31" t="s">
        <v>714</v>
      </c>
      <c r="D100" s="31" t="s">
        <v>80</v>
      </c>
      <c r="E100" s="31" t="s">
        <v>25</v>
      </c>
      <c r="F100" s="31" t="s">
        <v>25</v>
      </c>
      <c r="G100" s="31" t="s">
        <v>25</v>
      </c>
      <c r="H100" s="31" t="s">
        <v>1318</v>
      </c>
      <c r="I100" s="31" t="s">
        <v>25</v>
      </c>
      <c r="J100" s="31" t="s">
        <v>725</v>
      </c>
      <c r="K100" s="31" t="s">
        <v>726</v>
      </c>
      <c r="L100" s="31" t="s">
        <v>76</v>
      </c>
      <c r="M100" s="31">
        <v>2021</v>
      </c>
      <c r="N100" s="31">
        <v>0</v>
      </c>
      <c r="O100" s="31">
        <v>3.84</v>
      </c>
      <c r="P100" s="31">
        <v>0</v>
      </c>
      <c r="R100" s="8" t="str">
        <f t="shared" si="2"/>
        <v>TUSDA2GeraçãoNão se aplicaNão se aplicaNão se aplicaUHE TIBAGI MONTANTENão se aplica</v>
      </c>
      <c r="S100" s="8">
        <f t="shared" si="3"/>
        <v>3.84</v>
      </c>
    </row>
    <row r="101" spans="1:19" ht="11.25" customHeight="1" x14ac:dyDescent="0.25">
      <c r="A101" s="31">
        <v>59</v>
      </c>
      <c r="B101" s="31" t="s">
        <v>581</v>
      </c>
      <c r="C101" s="31" t="s">
        <v>714</v>
      </c>
      <c r="D101" s="31" t="s">
        <v>80</v>
      </c>
      <c r="E101" s="31" t="s">
        <v>25</v>
      </c>
      <c r="F101" s="31" t="s">
        <v>25</v>
      </c>
      <c r="G101" s="31" t="s">
        <v>25</v>
      </c>
      <c r="H101" s="31" t="s">
        <v>1301</v>
      </c>
      <c r="I101" s="31" t="s">
        <v>25</v>
      </c>
      <c r="J101" s="31" t="s">
        <v>725</v>
      </c>
      <c r="K101" s="31" t="s">
        <v>726</v>
      </c>
      <c r="L101" s="31" t="s">
        <v>76</v>
      </c>
      <c r="M101" s="31">
        <v>2021</v>
      </c>
      <c r="N101" s="31">
        <v>0</v>
      </c>
      <c r="O101" s="31">
        <v>5.9</v>
      </c>
      <c r="P101" s="31">
        <v>0</v>
      </c>
      <c r="R101" s="8" t="str">
        <f t="shared" si="2"/>
        <v>TUSDA2GeraçãoNão se aplicaNão se aplicaNão se aplicaUTE ALTO ALEGRE - UJUNão se aplica</v>
      </c>
      <c r="S101" s="8">
        <f t="shared" si="3"/>
        <v>5.9</v>
      </c>
    </row>
    <row r="102" spans="1:19" ht="11.25" customHeight="1" x14ac:dyDescent="0.25">
      <c r="A102" s="31">
        <v>55</v>
      </c>
      <c r="B102" s="31" t="s">
        <v>581</v>
      </c>
      <c r="C102" s="31" t="s">
        <v>714</v>
      </c>
      <c r="D102" s="31" t="s">
        <v>80</v>
      </c>
      <c r="E102" s="31" t="s">
        <v>25</v>
      </c>
      <c r="F102" s="31" t="s">
        <v>25</v>
      </c>
      <c r="G102" s="31" t="s">
        <v>25</v>
      </c>
      <c r="H102" s="31" t="s">
        <v>1299</v>
      </c>
      <c r="I102" s="31" t="s">
        <v>25</v>
      </c>
      <c r="J102" s="31" t="s">
        <v>725</v>
      </c>
      <c r="K102" s="31" t="s">
        <v>726</v>
      </c>
      <c r="L102" s="31" t="s">
        <v>76</v>
      </c>
      <c r="M102" s="31">
        <v>2021</v>
      </c>
      <c r="N102" s="31">
        <v>0</v>
      </c>
      <c r="O102" s="31">
        <v>4.58</v>
      </c>
      <c r="P102" s="31">
        <v>0</v>
      </c>
      <c r="R102" s="8" t="str">
        <f t="shared" si="2"/>
        <v>TUSDA2GeraçãoNão se aplicaNão se aplicaNão se aplicaUTE BIO COOPCANANão se aplica</v>
      </c>
      <c r="S102" s="8">
        <f t="shared" si="3"/>
        <v>4.58</v>
      </c>
    </row>
    <row r="103" spans="1:19" ht="11.25" customHeight="1" x14ac:dyDescent="0.25">
      <c r="A103" s="31">
        <v>69</v>
      </c>
      <c r="B103" s="31" t="s">
        <v>581</v>
      </c>
      <c r="C103" s="31" t="s">
        <v>714</v>
      </c>
      <c r="D103" s="31" t="s">
        <v>80</v>
      </c>
      <c r="E103" s="31" t="s">
        <v>25</v>
      </c>
      <c r="F103" s="31" t="s">
        <v>25</v>
      </c>
      <c r="G103" s="31" t="s">
        <v>25</v>
      </c>
      <c r="H103" s="31" t="s">
        <v>1307</v>
      </c>
      <c r="I103" s="31" t="s">
        <v>25</v>
      </c>
      <c r="J103" s="31" t="s">
        <v>725</v>
      </c>
      <c r="K103" s="31" t="s">
        <v>726</v>
      </c>
      <c r="L103" s="31" t="s">
        <v>76</v>
      </c>
      <c r="M103" s="31">
        <v>2021</v>
      </c>
      <c r="N103" s="31">
        <v>0</v>
      </c>
      <c r="O103" s="31">
        <v>6.59</v>
      </c>
      <c r="P103" s="31">
        <v>0</v>
      </c>
      <c r="R103" s="8" t="str">
        <f t="shared" si="2"/>
        <v>TUSDA2GeraçãoNão se aplicaNão se aplicaNão se aplicaUTE FIGUEIRANão se aplica</v>
      </c>
      <c r="S103" s="8">
        <f t="shared" si="3"/>
        <v>6.59</v>
      </c>
    </row>
    <row r="104" spans="1:19" ht="11.25" customHeight="1" x14ac:dyDescent="0.25">
      <c r="A104" s="31">
        <v>57</v>
      </c>
      <c r="B104" s="31" t="s">
        <v>581</v>
      </c>
      <c r="C104" s="31" t="s">
        <v>714</v>
      </c>
      <c r="D104" s="31" t="s">
        <v>80</v>
      </c>
      <c r="E104" s="31" t="s">
        <v>25</v>
      </c>
      <c r="F104" s="31" t="s">
        <v>25</v>
      </c>
      <c r="G104" s="31" t="s">
        <v>25</v>
      </c>
      <c r="H104" s="31" t="s">
        <v>1300</v>
      </c>
      <c r="I104" s="31" t="s">
        <v>25</v>
      </c>
      <c r="J104" s="31" t="s">
        <v>725</v>
      </c>
      <c r="K104" s="31" t="s">
        <v>726</v>
      </c>
      <c r="L104" s="31" t="s">
        <v>76</v>
      </c>
      <c r="M104" s="31">
        <v>2021</v>
      </c>
      <c r="N104" s="31">
        <v>0</v>
      </c>
      <c r="O104" s="31">
        <v>5.75</v>
      </c>
      <c r="P104" s="31">
        <v>0</v>
      </c>
      <c r="R104" s="8" t="str">
        <f t="shared" si="2"/>
        <v>TUSDA2GeraçãoNão se aplicaNão se aplicaNão se aplicaUTE SANTA TEREZINHANão se aplica</v>
      </c>
      <c r="S104" s="8">
        <f t="shared" si="3"/>
        <v>5.75</v>
      </c>
    </row>
    <row r="105" spans="1:19" ht="11.25" customHeight="1" x14ac:dyDescent="0.25">
      <c r="A105" s="31">
        <v>53</v>
      </c>
      <c r="B105" s="31" t="s">
        <v>581</v>
      </c>
      <c r="C105" s="31" t="s">
        <v>714</v>
      </c>
      <c r="D105" s="31" t="s">
        <v>80</v>
      </c>
      <c r="E105" s="31" t="s">
        <v>25</v>
      </c>
      <c r="F105" s="31" t="s">
        <v>25</v>
      </c>
      <c r="G105" s="31" t="s">
        <v>25</v>
      </c>
      <c r="H105" s="31" t="s">
        <v>1298</v>
      </c>
      <c r="I105" s="31" t="s">
        <v>25</v>
      </c>
      <c r="J105" s="31" t="s">
        <v>725</v>
      </c>
      <c r="K105" s="31" t="s">
        <v>726</v>
      </c>
      <c r="L105" s="31" t="s">
        <v>76</v>
      </c>
      <c r="M105" s="31">
        <v>2021</v>
      </c>
      <c r="N105" s="31">
        <v>0</v>
      </c>
      <c r="O105" s="31">
        <v>5.36</v>
      </c>
      <c r="P105" s="31">
        <v>0</v>
      </c>
      <c r="R105" s="8" t="str">
        <f t="shared" si="2"/>
        <v>TUSDA2GeraçãoNão se aplicaNão se aplicaNão se aplicaUTE SANTA TEREZINHA PARANACITYNão se aplica</v>
      </c>
      <c r="S105" s="8">
        <f t="shared" si="3"/>
        <v>5.36</v>
      </c>
    </row>
    <row r="106" spans="1:19" ht="11.25" customHeight="1" x14ac:dyDescent="0.25">
      <c r="A106" s="31">
        <v>65</v>
      </c>
      <c r="B106" s="31" t="s">
        <v>581</v>
      </c>
      <c r="C106" s="31" t="s">
        <v>714</v>
      </c>
      <c r="D106" s="31" t="s">
        <v>80</v>
      </c>
      <c r="E106" s="31" t="s">
        <v>25</v>
      </c>
      <c r="F106" s="31" t="s">
        <v>25</v>
      </c>
      <c r="G106" s="31" t="s">
        <v>25</v>
      </c>
      <c r="H106" s="31" t="s">
        <v>1304</v>
      </c>
      <c r="I106" s="31" t="s">
        <v>25</v>
      </c>
      <c r="J106" s="31" t="s">
        <v>725</v>
      </c>
      <c r="K106" s="31" t="s">
        <v>726</v>
      </c>
      <c r="L106" s="31" t="s">
        <v>76</v>
      </c>
      <c r="M106" s="31">
        <v>2021</v>
      </c>
      <c r="N106" s="31">
        <v>0</v>
      </c>
      <c r="O106" s="31">
        <v>6.7</v>
      </c>
      <c r="P106" s="31">
        <v>0</v>
      </c>
      <c r="R106" s="8" t="str">
        <f t="shared" si="2"/>
        <v>TUSDA2GeraçãoNão se aplicaNão se aplicaNão se aplicaUTE UFLNão se aplica</v>
      </c>
      <c r="S106" s="8">
        <f t="shared" si="3"/>
        <v>6.7</v>
      </c>
    </row>
    <row r="107" spans="1:19" ht="11.25" customHeight="1" x14ac:dyDescent="0.25">
      <c r="A107" s="31">
        <v>61</v>
      </c>
      <c r="B107" s="31" t="s">
        <v>581</v>
      </c>
      <c r="C107" s="31" t="s">
        <v>714</v>
      </c>
      <c r="D107" s="31" t="s">
        <v>80</v>
      </c>
      <c r="E107" s="31" t="s">
        <v>25</v>
      </c>
      <c r="F107" s="31" t="s">
        <v>25</v>
      </c>
      <c r="G107" s="31" t="s">
        <v>25</v>
      </c>
      <c r="H107" s="31" t="s">
        <v>1302</v>
      </c>
      <c r="I107" s="31" t="s">
        <v>25</v>
      </c>
      <c r="J107" s="31" t="s">
        <v>725</v>
      </c>
      <c r="K107" s="31" t="s">
        <v>726</v>
      </c>
      <c r="L107" s="31" t="s">
        <v>76</v>
      </c>
      <c r="M107" s="31">
        <v>2021</v>
      </c>
      <c r="N107" s="31">
        <v>0</v>
      </c>
      <c r="O107" s="31">
        <v>5.35</v>
      </c>
      <c r="P107" s="31">
        <v>0</v>
      </c>
      <c r="R107" s="8" t="str">
        <f t="shared" si="2"/>
        <v>TUSDA2GeraçãoNão se aplicaNão se aplicaNão se aplicaUTE USACIGANão se aplica</v>
      </c>
      <c r="S107" s="8">
        <f t="shared" si="3"/>
        <v>5.35</v>
      </c>
    </row>
    <row r="108" spans="1:19" ht="11.25" customHeight="1" x14ac:dyDescent="0.25">
      <c r="A108" s="31">
        <v>63</v>
      </c>
      <c r="B108" s="31" t="s">
        <v>581</v>
      </c>
      <c r="C108" s="31" t="s">
        <v>714</v>
      </c>
      <c r="D108" s="31" t="s">
        <v>80</v>
      </c>
      <c r="E108" s="31" t="s">
        <v>25</v>
      </c>
      <c r="F108" s="31" t="s">
        <v>25</v>
      </c>
      <c r="G108" s="31" t="s">
        <v>25</v>
      </c>
      <c r="H108" s="31" t="s">
        <v>1303</v>
      </c>
      <c r="I108" s="31" t="s">
        <v>25</v>
      </c>
      <c r="J108" s="31" t="s">
        <v>725</v>
      </c>
      <c r="K108" s="31" t="s">
        <v>726</v>
      </c>
      <c r="L108" s="31" t="s">
        <v>76</v>
      </c>
      <c r="M108" s="31">
        <v>2021</v>
      </c>
      <c r="N108" s="31">
        <v>0</v>
      </c>
      <c r="O108" s="31">
        <v>6.7</v>
      </c>
      <c r="P108" s="31">
        <v>0</v>
      </c>
      <c r="R108" s="8" t="str">
        <f t="shared" si="2"/>
        <v>TUSDA2GeraçãoNão se aplicaNão se aplicaNão se aplicaUTE USINão se aplica</v>
      </c>
      <c r="S108" s="8">
        <f t="shared" si="3"/>
        <v>6.7</v>
      </c>
    </row>
    <row r="109" spans="1:19" ht="11.25" customHeight="1" x14ac:dyDescent="0.25">
      <c r="A109" s="31">
        <v>67</v>
      </c>
      <c r="B109" s="31" t="s">
        <v>581</v>
      </c>
      <c r="C109" s="31" t="s">
        <v>714</v>
      </c>
      <c r="D109" s="31" t="s">
        <v>80</v>
      </c>
      <c r="E109" s="31" t="s">
        <v>25</v>
      </c>
      <c r="F109" s="31" t="s">
        <v>25</v>
      </c>
      <c r="G109" s="31" t="s">
        <v>25</v>
      </c>
      <c r="H109" s="31" t="s">
        <v>1305</v>
      </c>
      <c r="I109" s="31" t="s">
        <v>25</v>
      </c>
      <c r="J109" s="31" t="s">
        <v>725</v>
      </c>
      <c r="K109" s="31" t="s">
        <v>726</v>
      </c>
      <c r="L109" s="31" t="s">
        <v>76</v>
      </c>
      <c r="M109" s="31">
        <v>2021</v>
      </c>
      <c r="N109" s="31">
        <v>0</v>
      </c>
      <c r="O109" s="31">
        <v>6.7</v>
      </c>
      <c r="P109" s="31">
        <v>0</v>
      </c>
      <c r="R109" s="8" t="str">
        <f t="shared" si="2"/>
        <v>TUSDA2GeraçãoNão se aplicaNão se aplicaNão se aplicaUTE USI BIONão se aplica</v>
      </c>
      <c r="S109" s="8">
        <f t="shared" si="3"/>
        <v>6.7</v>
      </c>
    </row>
    <row r="110" spans="1:19" ht="11.25" customHeight="1" x14ac:dyDescent="0.25">
      <c r="A110" s="31">
        <v>109</v>
      </c>
      <c r="B110" s="31" t="s">
        <v>581</v>
      </c>
      <c r="C110" s="31" t="s">
        <v>715</v>
      </c>
      <c r="D110" s="31" t="s">
        <v>41</v>
      </c>
      <c r="E110" s="31" t="s">
        <v>25</v>
      </c>
      <c r="F110" s="31" t="s">
        <v>25</v>
      </c>
      <c r="G110" s="31" t="s">
        <v>79</v>
      </c>
      <c r="H110" s="31" t="s">
        <v>25</v>
      </c>
      <c r="I110" s="31" t="s">
        <v>25</v>
      </c>
      <c r="J110" s="31" t="s">
        <v>727</v>
      </c>
      <c r="K110" s="31" t="s">
        <v>726</v>
      </c>
      <c r="L110" s="31" t="s">
        <v>71</v>
      </c>
      <c r="M110" s="31">
        <v>2021</v>
      </c>
      <c r="N110" s="31">
        <v>0</v>
      </c>
      <c r="O110" s="31">
        <v>8.32</v>
      </c>
      <c r="P110" s="31">
        <v>0</v>
      </c>
      <c r="R110" s="8" t="str">
        <f t="shared" si="2"/>
        <v>TUSDA3AzulNão se aplicaNão se aplicaAPENão se aplicaNão se aplica</v>
      </c>
      <c r="S110" s="8">
        <f t="shared" si="3"/>
        <v>8.32</v>
      </c>
    </row>
    <row r="111" spans="1:19" ht="11.25" customHeight="1" x14ac:dyDescent="0.25">
      <c r="A111" s="31">
        <v>105</v>
      </c>
      <c r="B111" s="31" t="s">
        <v>581</v>
      </c>
      <c r="C111" s="31" t="s">
        <v>715</v>
      </c>
      <c r="D111" s="31" t="s">
        <v>41</v>
      </c>
      <c r="E111" s="31" t="s">
        <v>25</v>
      </c>
      <c r="F111" s="31" t="s">
        <v>25</v>
      </c>
      <c r="G111" s="31" t="s">
        <v>25</v>
      </c>
      <c r="H111" s="31" t="s">
        <v>25</v>
      </c>
      <c r="I111" s="31" t="s">
        <v>35</v>
      </c>
      <c r="J111" s="31" t="s">
        <v>725</v>
      </c>
      <c r="K111" s="31" t="s">
        <v>726</v>
      </c>
      <c r="L111" s="31" t="s">
        <v>76</v>
      </c>
      <c r="M111" s="31">
        <v>2021</v>
      </c>
      <c r="N111" s="31">
        <v>0</v>
      </c>
      <c r="O111" s="31">
        <v>7.6</v>
      </c>
      <c r="P111" s="31">
        <v>0</v>
      </c>
      <c r="R111" s="8" t="str">
        <f t="shared" si="2"/>
        <v>TUSDA3AzulNão se aplicaNão se aplicaNão se aplicaNão se aplicaFora ponta</v>
      </c>
      <c r="S111" s="8">
        <f t="shared" si="3"/>
        <v>7.6</v>
      </c>
    </row>
    <row r="112" spans="1:19" ht="11.25" customHeight="1" x14ac:dyDescent="0.25">
      <c r="A112" s="31">
        <v>107</v>
      </c>
      <c r="B112" s="31" t="s">
        <v>581</v>
      </c>
      <c r="C112" s="31" t="s">
        <v>715</v>
      </c>
      <c r="D112" s="31" t="s">
        <v>41</v>
      </c>
      <c r="E112" s="31" t="s">
        <v>25</v>
      </c>
      <c r="F112" s="31" t="s">
        <v>25</v>
      </c>
      <c r="G112" s="31" t="s">
        <v>25</v>
      </c>
      <c r="H112" s="31" t="s">
        <v>25</v>
      </c>
      <c r="I112" s="31" t="s">
        <v>25</v>
      </c>
      <c r="J112" s="31" t="s">
        <v>727</v>
      </c>
      <c r="K112" s="31" t="s">
        <v>726</v>
      </c>
      <c r="L112" s="31" t="s">
        <v>71</v>
      </c>
      <c r="M112" s="31">
        <v>2021</v>
      </c>
      <c r="N112" s="31">
        <v>0</v>
      </c>
      <c r="O112" s="31">
        <v>61.14</v>
      </c>
      <c r="P112" s="31">
        <v>41.137505263872498</v>
      </c>
      <c r="R112" s="8" t="str">
        <f t="shared" si="2"/>
        <v>TUSDA3AzulNão se aplicaNão se aplicaNão se aplicaNão se aplicaNão se aplica</v>
      </c>
      <c r="S112" s="8">
        <f t="shared" si="3"/>
        <v>61.14</v>
      </c>
    </row>
    <row r="113" spans="1:19" ht="11.25" customHeight="1" x14ac:dyDescent="0.25">
      <c r="A113" s="31">
        <v>103</v>
      </c>
      <c r="B113" s="31" t="s">
        <v>581</v>
      </c>
      <c r="C113" s="31" t="s">
        <v>715</v>
      </c>
      <c r="D113" s="31" t="s">
        <v>41</v>
      </c>
      <c r="E113" s="31" t="s">
        <v>25</v>
      </c>
      <c r="F113" s="31" t="s">
        <v>25</v>
      </c>
      <c r="G113" s="31" t="s">
        <v>25</v>
      </c>
      <c r="H113" s="31" t="s">
        <v>25</v>
      </c>
      <c r="I113" s="31" t="s">
        <v>37</v>
      </c>
      <c r="J113" s="31" t="s">
        <v>725</v>
      </c>
      <c r="K113" s="31" t="s">
        <v>726</v>
      </c>
      <c r="L113" s="31" t="s">
        <v>76</v>
      </c>
      <c r="M113" s="31">
        <v>2021</v>
      </c>
      <c r="N113" s="31">
        <v>0</v>
      </c>
      <c r="O113" s="31">
        <v>12.77</v>
      </c>
      <c r="P113" s="31">
        <v>0</v>
      </c>
      <c r="R113" s="8" t="str">
        <f t="shared" si="2"/>
        <v>TUSDA3AzulNão se aplicaNão se aplicaNão se aplicaNão se aplicaPonta</v>
      </c>
      <c r="S113" s="8">
        <f t="shared" si="3"/>
        <v>12.77</v>
      </c>
    </row>
    <row r="114" spans="1:19" ht="11.25" customHeight="1" x14ac:dyDescent="0.25">
      <c r="A114" s="31">
        <v>111</v>
      </c>
      <c r="B114" s="31" t="s">
        <v>581</v>
      </c>
      <c r="C114" s="31" t="s">
        <v>715</v>
      </c>
      <c r="D114" s="31" t="s">
        <v>80</v>
      </c>
      <c r="E114" s="31" t="s">
        <v>25</v>
      </c>
      <c r="F114" s="31" t="s">
        <v>25</v>
      </c>
      <c r="G114" s="31" t="s">
        <v>25</v>
      </c>
      <c r="H114" s="31" t="s">
        <v>25</v>
      </c>
      <c r="I114" s="31" t="s">
        <v>25</v>
      </c>
      <c r="J114" s="31" t="s">
        <v>725</v>
      </c>
      <c r="K114" s="31" t="s">
        <v>726</v>
      </c>
      <c r="L114" s="31" t="s">
        <v>76</v>
      </c>
      <c r="M114" s="31">
        <v>2021</v>
      </c>
      <c r="N114" s="31">
        <v>0</v>
      </c>
      <c r="O114" s="31">
        <v>6.68</v>
      </c>
      <c r="P114" s="31">
        <v>0</v>
      </c>
      <c r="R114" s="8" t="str">
        <f t="shared" si="2"/>
        <v>TUSDA3GeraçãoNão se aplicaNão se aplicaNão se aplicaNão se aplicaNão se aplica</v>
      </c>
      <c r="S114" s="8">
        <f t="shared" si="3"/>
        <v>6.68</v>
      </c>
    </row>
    <row r="115" spans="1:19" ht="11.25" customHeight="1" x14ac:dyDescent="0.25">
      <c r="A115" s="31">
        <v>119</v>
      </c>
      <c r="B115" s="31" t="s">
        <v>581</v>
      </c>
      <c r="C115" s="31" t="s">
        <v>42</v>
      </c>
      <c r="D115" s="31" t="s">
        <v>41</v>
      </c>
      <c r="E115" s="31" t="s">
        <v>25</v>
      </c>
      <c r="F115" s="31" t="s">
        <v>25</v>
      </c>
      <c r="G115" s="31" t="s">
        <v>79</v>
      </c>
      <c r="H115" s="31" t="s">
        <v>25</v>
      </c>
      <c r="I115" s="31" t="s">
        <v>25</v>
      </c>
      <c r="J115" s="31" t="s">
        <v>727</v>
      </c>
      <c r="K115" s="31" t="s">
        <v>726</v>
      </c>
      <c r="L115" s="31" t="s">
        <v>71</v>
      </c>
      <c r="M115" s="31">
        <v>2021</v>
      </c>
      <c r="N115" s="31">
        <v>0</v>
      </c>
      <c r="O115" s="31">
        <v>16.87</v>
      </c>
      <c r="P115" s="31">
        <v>0</v>
      </c>
      <c r="R115" s="8" t="str">
        <f t="shared" si="2"/>
        <v>TUSDA3aAzulNão se aplicaNão se aplicaAPENão se aplicaNão se aplica</v>
      </c>
      <c r="S115" s="8">
        <f t="shared" si="3"/>
        <v>16.87</v>
      </c>
    </row>
    <row r="116" spans="1:19" ht="11.25" customHeight="1" x14ac:dyDescent="0.25">
      <c r="A116" s="31">
        <v>115</v>
      </c>
      <c r="B116" s="31" t="s">
        <v>581</v>
      </c>
      <c r="C116" s="31" t="s">
        <v>42</v>
      </c>
      <c r="D116" s="31" t="s">
        <v>41</v>
      </c>
      <c r="E116" s="31" t="s">
        <v>25</v>
      </c>
      <c r="F116" s="31" t="s">
        <v>25</v>
      </c>
      <c r="G116" s="31" t="s">
        <v>25</v>
      </c>
      <c r="H116" s="31" t="s">
        <v>25</v>
      </c>
      <c r="I116" s="31" t="s">
        <v>35</v>
      </c>
      <c r="J116" s="31" t="s">
        <v>725</v>
      </c>
      <c r="K116" s="31" t="s">
        <v>726</v>
      </c>
      <c r="L116" s="31" t="s">
        <v>76</v>
      </c>
      <c r="M116" s="31">
        <v>2021</v>
      </c>
      <c r="N116" s="31">
        <v>0</v>
      </c>
      <c r="O116" s="31">
        <v>17.07</v>
      </c>
      <c r="P116" s="31">
        <v>0</v>
      </c>
      <c r="R116" s="8" t="str">
        <f t="shared" si="2"/>
        <v>TUSDA3aAzulNão se aplicaNão se aplicaNão se aplicaNão se aplicaFora ponta</v>
      </c>
      <c r="S116" s="8">
        <f t="shared" si="3"/>
        <v>17.07</v>
      </c>
    </row>
    <row r="117" spans="1:19" ht="11.25" customHeight="1" x14ac:dyDescent="0.25">
      <c r="A117" s="31">
        <v>117</v>
      </c>
      <c r="B117" s="31" t="s">
        <v>581</v>
      </c>
      <c r="C117" s="31" t="s">
        <v>42</v>
      </c>
      <c r="D117" s="31" t="s">
        <v>41</v>
      </c>
      <c r="E117" s="31" t="s">
        <v>25</v>
      </c>
      <c r="F117" s="31" t="s">
        <v>25</v>
      </c>
      <c r="G117" s="31" t="s">
        <v>25</v>
      </c>
      <c r="H117" s="31" t="s">
        <v>25</v>
      </c>
      <c r="I117" s="31" t="s">
        <v>25</v>
      </c>
      <c r="J117" s="31" t="s">
        <v>727</v>
      </c>
      <c r="K117" s="31" t="s">
        <v>726</v>
      </c>
      <c r="L117" s="31" t="s">
        <v>71</v>
      </c>
      <c r="M117" s="31">
        <v>2021</v>
      </c>
      <c r="N117" s="31">
        <v>0</v>
      </c>
      <c r="O117" s="31">
        <v>82.6</v>
      </c>
      <c r="P117" s="31">
        <v>53.417357581446403</v>
      </c>
      <c r="R117" s="8" t="str">
        <f t="shared" si="2"/>
        <v>TUSDA3aAzulNão se aplicaNão se aplicaNão se aplicaNão se aplicaNão se aplica</v>
      </c>
      <c r="S117" s="8">
        <f t="shared" si="3"/>
        <v>82.6</v>
      </c>
    </row>
    <row r="118" spans="1:19" ht="11.25" customHeight="1" x14ac:dyDescent="0.25">
      <c r="A118" s="31">
        <v>113</v>
      </c>
      <c r="B118" s="31" t="s">
        <v>581</v>
      </c>
      <c r="C118" s="31" t="s">
        <v>42</v>
      </c>
      <c r="D118" s="31" t="s">
        <v>41</v>
      </c>
      <c r="E118" s="31" t="s">
        <v>25</v>
      </c>
      <c r="F118" s="31" t="s">
        <v>25</v>
      </c>
      <c r="G118" s="31" t="s">
        <v>25</v>
      </c>
      <c r="H118" s="31" t="s">
        <v>25</v>
      </c>
      <c r="I118" s="31" t="s">
        <v>37</v>
      </c>
      <c r="J118" s="31" t="s">
        <v>725</v>
      </c>
      <c r="K118" s="31" t="s">
        <v>726</v>
      </c>
      <c r="L118" s="31" t="s">
        <v>76</v>
      </c>
      <c r="M118" s="31">
        <v>2021</v>
      </c>
      <c r="N118" s="31">
        <v>0</v>
      </c>
      <c r="O118" s="31">
        <v>36.08</v>
      </c>
      <c r="P118" s="31">
        <v>0</v>
      </c>
      <c r="R118" s="8" t="str">
        <f t="shared" si="2"/>
        <v>TUSDA3aAzulNão se aplicaNão se aplicaNão se aplicaNão se aplicaPonta</v>
      </c>
      <c r="S118" s="8">
        <f t="shared" si="3"/>
        <v>36.08</v>
      </c>
    </row>
    <row r="119" spans="1:19" ht="11.25" customHeight="1" x14ac:dyDescent="0.25">
      <c r="A119" s="31">
        <v>165</v>
      </c>
      <c r="B119" s="31" t="s">
        <v>581</v>
      </c>
      <c r="C119" s="31" t="s">
        <v>42</v>
      </c>
      <c r="D119" s="31" t="s">
        <v>23</v>
      </c>
      <c r="E119" s="31" t="s">
        <v>25</v>
      </c>
      <c r="F119" s="31" t="s">
        <v>25</v>
      </c>
      <c r="G119" s="31" t="s">
        <v>25</v>
      </c>
      <c r="H119" s="31" t="s">
        <v>25</v>
      </c>
      <c r="I119" s="31" t="s">
        <v>25</v>
      </c>
      <c r="J119" s="31" t="s">
        <v>725</v>
      </c>
      <c r="K119" s="31" t="s">
        <v>726</v>
      </c>
      <c r="L119" s="31" t="s">
        <v>76</v>
      </c>
      <c r="M119" s="31">
        <v>2021</v>
      </c>
      <c r="N119" s="31">
        <v>0</v>
      </c>
      <c r="O119" s="31">
        <v>43.17</v>
      </c>
      <c r="P119" s="31">
        <v>0</v>
      </c>
      <c r="R119" s="8" t="str">
        <f t="shared" si="2"/>
        <v>TUSDA3aConvencionalNão se aplicaNão se aplicaNão se aplicaNão se aplicaNão se aplica</v>
      </c>
      <c r="S119" s="8">
        <f t="shared" si="3"/>
        <v>43.17</v>
      </c>
    </row>
    <row r="120" spans="1:19" ht="11.25" customHeight="1" x14ac:dyDescent="0.25">
      <c r="A120" s="31">
        <v>166</v>
      </c>
      <c r="B120" s="31" t="s">
        <v>581</v>
      </c>
      <c r="C120" s="31" t="s">
        <v>42</v>
      </c>
      <c r="D120" s="31" t="s">
        <v>23</v>
      </c>
      <c r="E120" s="31" t="s">
        <v>25</v>
      </c>
      <c r="F120" s="31" t="s">
        <v>25</v>
      </c>
      <c r="G120" s="31" t="s">
        <v>25</v>
      </c>
      <c r="H120" s="31" t="s">
        <v>25</v>
      </c>
      <c r="I120" s="31" t="s">
        <v>25</v>
      </c>
      <c r="J120" s="31" t="s">
        <v>727</v>
      </c>
      <c r="K120" s="31" t="s">
        <v>726</v>
      </c>
      <c r="L120" s="31" t="s">
        <v>71</v>
      </c>
      <c r="M120" s="31">
        <v>2021</v>
      </c>
      <c r="N120" s="31">
        <v>0</v>
      </c>
      <c r="O120" s="31">
        <v>82.6</v>
      </c>
      <c r="P120" s="31">
        <v>53.417357581446403</v>
      </c>
      <c r="R120" s="8" t="str">
        <f t="shared" si="2"/>
        <v>TUSDA3aConvencionalNão se aplicaNão se aplicaNão se aplicaNão se aplicaNão se aplica</v>
      </c>
      <c r="S120" s="8">
        <f t="shared" si="3"/>
        <v>82.6</v>
      </c>
    </row>
    <row r="121" spans="1:19" ht="11.25" customHeight="1" x14ac:dyDescent="0.25">
      <c r="A121" s="31">
        <v>135</v>
      </c>
      <c r="B121" s="31" t="s">
        <v>581</v>
      </c>
      <c r="C121" s="31" t="s">
        <v>42</v>
      </c>
      <c r="D121" s="31" t="s">
        <v>1295</v>
      </c>
      <c r="E121" s="31" t="s">
        <v>25</v>
      </c>
      <c r="F121" s="31" t="s">
        <v>25</v>
      </c>
      <c r="G121" s="31" t="s">
        <v>25</v>
      </c>
      <c r="H121" s="31" t="s">
        <v>1341</v>
      </c>
      <c r="I121" s="31" t="s">
        <v>35</v>
      </c>
      <c r="J121" s="31" t="s">
        <v>725</v>
      </c>
      <c r="K121" s="31" t="s">
        <v>726</v>
      </c>
      <c r="L121" s="31" t="s">
        <v>76</v>
      </c>
      <c r="M121" s="31">
        <v>2021</v>
      </c>
      <c r="N121" s="31">
        <v>0</v>
      </c>
      <c r="O121" s="31">
        <v>12.85</v>
      </c>
      <c r="P121" s="31">
        <v>0</v>
      </c>
      <c r="R121" s="8" t="str">
        <f t="shared" si="2"/>
        <v>TUSDA3aDistribuiçãoNão se aplicaNão se aplicaNão se aplicaCastro - DISFora ponta</v>
      </c>
      <c r="S121" s="8">
        <f t="shared" si="3"/>
        <v>12.85</v>
      </c>
    </row>
    <row r="122" spans="1:19" ht="11.25" customHeight="1" x14ac:dyDescent="0.25">
      <c r="A122" s="31">
        <v>137</v>
      </c>
      <c r="B122" s="31" t="s">
        <v>581</v>
      </c>
      <c r="C122" s="31" t="s">
        <v>42</v>
      </c>
      <c r="D122" s="31" t="s">
        <v>1295</v>
      </c>
      <c r="E122" s="31" t="s">
        <v>25</v>
      </c>
      <c r="F122" s="31" t="s">
        <v>25</v>
      </c>
      <c r="G122" s="31" t="s">
        <v>25</v>
      </c>
      <c r="H122" s="31" t="s">
        <v>1341</v>
      </c>
      <c r="I122" s="31" t="s">
        <v>25</v>
      </c>
      <c r="J122" s="31" t="s">
        <v>727</v>
      </c>
      <c r="K122" s="31" t="s">
        <v>726</v>
      </c>
      <c r="L122" s="31" t="s">
        <v>71</v>
      </c>
      <c r="M122" s="31">
        <v>2021</v>
      </c>
      <c r="N122" s="31">
        <v>0</v>
      </c>
      <c r="O122" s="31">
        <v>9.81</v>
      </c>
      <c r="P122" s="31">
        <v>0</v>
      </c>
      <c r="R122" s="8" t="str">
        <f t="shared" si="2"/>
        <v>TUSDA3aDistribuiçãoNão se aplicaNão se aplicaNão se aplicaCastro - DISNão se aplica</v>
      </c>
      <c r="S122" s="8">
        <f t="shared" si="3"/>
        <v>9.81</v>
      </c>
    </row>
    <row r="123" spans="1:19" ht="11.25" customHeight="1" x14ac:dyDescent="0.25">
      <c r="A123" s="31">
        <v>133</v>
      </c>
      <c r="B123" s="31" t="s">
        <v>581</v>
      </c>
      <c r="C123" s="31" t="s">
        <v>42</v>
      </c>
      <c r="D123" s="31" t="s">
        <v>1295</v>
      </c>
      <c r="E123" s="31" t="s">
        <v>25</v>
      </c>
      <c r="F123" s="31" t="s">
        <v>25</v>
      </c>
      <c r="G123" s="31" t="s">
        <v>25</v>
      </c>
      <c r="H123" s="31" t="s">
        <v>1341</v>
      </c>
      <c r="I123" s="31" t="s">
        <v>37</v>
      </c>
      <c r="J123" s="31" t="s">
        <v>725</v>
      </c>
      <c r="K123" s="31" t="s">
        <v>726</v>
      </c>
      <c r="L123" s="31" t="s">
        <v>76</v>
      </c>
      <c r="M123" s="31">
        <v>2021</v>
      </c>
      <c r="N123" s="31">
        <v>0</v>
      </c>
      <c r="O123" s="31">
        <v>21.92</v>
      </c>
      <c r="P123" s="31">
        <v>0</v>
      </c>
      <c r="R123" s="8" t="str">
        <f t="shared" si="2"/>
        <v>TUSDA3aDistribuiçãoNão se aplicaNão se aplicaNão se aplicaCastro - DISPonta</v>
      </c>
      <c r="S123" s="8">
        <f t="shared" si="3"/>
        <v>21.92</v>
      </c>
    </row>
    <row r="124" spans="1:19" ht="11.25" customHeight="1" x14ac:dyDescent="0.25">
      <c r="A124" s="31">
        <v>153</v>
      </c>
      <c r="B124" s="31" t="s">
        <v>581</v>
      </c>
      <c r="C124" s="31" t="s">
        <v>42</v>
      </c>
      <c r="D124" s="31" t="s">
        <v>1295</v>
      </c>
      <c r="E124" s="31" t="s">
        <v>25</v>
      </c>
      <c r="F124" s="31" t="s">
        <v>25</v>
      </c>
      <c r="G124" s="31" t="s">
        <v>25</v>
      </c>
      <c r="H124" s="31" t="s">
        <v>1331</v>
      </c>
      <c r="I124" s="31" t="s">
        <v>35</v>
      </c>
      <c r="J124" s="31" t="s">
        <v>725</v>
      </c>
      <c r="K124" s="31" t="s">
        <v>726</v>
      </c>
      <c r="L124" s="31" t="s">
        <v>76</v>
      </c>
      <c r="M124" s="31">
        <v>2021</v>
      </c>
      <c r="N124" s="31">
        <v>0</v>
      </c>
      <c r="O124" s="31">
        <v>12.85</v>
      </c>
      <c r="P124" s="31">
        <v>0</v>
      </c>
      <c r="R124" s="8" t="str">
        <f t="shared" si="2"/>
        <v>TUSDA3aDistribuiçãoNão se aplicaNão se aplicaNão se aplicaCelesc-DISFora ponta</v>
      </c>
      <c r="S124" s="8">
        <f t="shared" si="3"/>
        <v>12.85</v>
      </c>
    </row>
    <row r="125" spans="1:19" ht="11.25" customHeight="1" x14ac:dyDescent="0.25">
      <c r="A125" s="31">
        <v>155</v>
      </c>
      <c r="B125" s="31" t="s">
        <v>581</v>
      </c>
      <c r="C125" s="31" t="s">
        <v>42</v>
      </c>
      <c r="D125" s="31" t="s">
        <v>1295</v>
      </c>
      <c r="E125" s="31" t="s">
        <v>25</v>
      </c>
      <c r="F125" s="31" t="s">
        <v>25</v>
      </c>
      <c r="G125" s="31" t="s">
        <v>25</v>
      </c>
      <c r="H125" s="31" t="s">
        <v>1331</v>
      </c>
      <c r="I125" s="31" t="s">
        <v>25</v>
      </c>
      <c r="J125" s="31" t="s">
        <v>727</v>
      </c>
      <c r="K125" s="31" t="s">
        <v>726</v>
      </c>
      <c r="L125" s="31" t="s">
        <v>71</v>
      </c>
      <c r="M125" s="31">
        <v>2021</v>
      </c>
      <c r="N125" s="31">
        <v>0</v>
      </c>
      <c r="O125" s="31">
        <v>9.81</v>
      </c>
      <c r="P125" s="31">
        <v>0</v>
      </c>
      <c r="R125" s="8" t="str">
        <f t="shared" si="2"/>
        <v>TUSDA3aDistribuiçãoNão se aplicaNão se aplicaNão se aplicaCelesc-DISNão se aplica</v>
      </c>
      <c r="S125" s="8">
        <f t="shared" si="3"/>
        <v>9.81</v>
      </c>
    </row>
    <row r="126" spans="1:19" ht="11.25" customHeight="1" x14ac:dyDescent="0.25">
      <c r="A126" s="31">
        <v>151</v>
      </c>
      <c r="B126" s="31" t="s">
        <v>581</v>
      </c>
      <c r="C126" s="31" t="s">
        <v>42</v>
      </c>
      <c r="D126" s="31" t="s">
        <v>1295</v>
      </c>
      <c r="E126" s="31" t="s">
        <v>25</v>
      </c>
      <c r="F126" s="31" t="s">
        <v>25</v>
      </c>
      <c r="G126" s="31" t="s">
        <v>25</v>
      </c>
      <c r="H126" s="31" t="s">
        <v>1331</v>
      </c>
      <c r="I126" s="31" t="s">
        <v>37</v>
      </c>
      <c r="J126" s="31" t="s">
        <v>725</v>
      </c>
      <c r="K126" s="31" t="s">
        <v>726</v>
      </c>
      <c r="L126" s="31" t="s">
        <v>76</v>
      </c>
      <c r="M126" s="31">
        <v>2021</v>
      </c>
      <c r="N126" s="31">
        <v>0</v>
      </c>
      <c r="O126" s="31">
        <v>21.92</v>
      </c>
      <c r="P126" s="31">
        <v>0</v>
      </c>
      <c r="R126" s="8" t="str">
        <f t="shared" si="2"/>
        <v>TUSDA3aDistribuiçãoNão se aplicaNão se aplicaNão se aplicaCelesc-DISPonta</v>
      </c>
      <c r="S126" s="8">
        <f t="shared" si="3"/>
        <v>21.92</v>
      </c>
    </row>
    <row r="127" spans="1:19" ht="11.25" customHeight="1" x14ac:dyDescent="0.25">
      <c r="A127" s="31">
        <v>129</v>
      </c>
      <c r="B127" s="31" t="s">
        <v>581</v>
      </c>
      <c r="C127" s="31" t="s">
        <v>42</v>
      </c>
      <c r="D127" s="31" t="s">
        <v>1295</v>
      </c>
      <c r="E127" s="31" t="s">
        <v>25</v>
      </c>
      <c r="F127" s="31" t="s">
        <v>25</v>
      </c>
      <c r="G127" s="31" t="s">
        <v>25</v>
      </c>
      <c r="H127" s="31" t="s">
        <v>1340</v>
      </c>
      <c r="I127" s="31" t="s">
        <v>35</v>
      </c>
      <c r="J127" s="31" t="s">
        <v>725</v>
      </c>
      <c r="K127" s="31" t="s">
        <v>726</v>
      </c>
      <c r="L127" s="31" t="s">
        <v>76</v>
      </c>
      <c r="M127" s="31">
        <v>2021</v>
      </c>
      <c r="N127" s="31">
        <v>0</v>
      </c>
      <c r="O127" s="31">
        <v>12.85</v>
      </c>
      <c r="P127" s="31">
        <v>0</v>
      </c>
      <c r="R127" s="8" t="str">
        <f t="shared" si="2"/>
        <v>TUSDA3aDistribuiçãoNão se aplicaNão se aplicaNão se aplicaCeral DISFora ponta</v>
      </c>
      <c r="S127" s="8">
        <f t="shared" si="3"/>
        <v>12.85</v>
      </c>
    </row>
    <row r="128" spans="1:19" ht="11.25" customHeight="1" x14ac:dyDescent="0.25">
      <c r="A128" s="31">
        <v>131</v>
      </c>
      <c r="B128" s="31" t="s">
        <v>581</v>
      </c>
      <c r="C128" s="31" t="s">
        <v>42</v>
      </c>
      <c r="D128" s="31" t="s">
        <v>1295</v>
      </c>
      <c r="E128" s="31" t="s">
        <v>25</v>
      </c>
      <c r="F128" s="31" t="s">
        <v>25</v>
      </c>
      <c r="G128" s="31" t="s">
        <v>25</v>
      </c>
      <c r="H128" s="31" t="s">
        <v>1340</v>
      </c>
      <c r="I128" s="31" t="s">
        <v>25</v>
      </c>
      <c r="J128" s="31" t="s">
        <v>727</v>
      </c>
      <c r="K128" s="31" t="s">
        <v>726</v>
      </c>
      <c r="L128" s="31" t="s">
        <v>71</v>
      </c>
      <c r="M128" s="31">
        <v>2021</v>
      </c>
      <c r="N128" s="31">
        <v>0</v>
      </c>
      <c r="O128" s="31">
        <v>9.81</v>
      </c>
      <c r="P128" s="31">
        <v>0</v>
      </c>
      <c r="R128" s="8" t="str">
        <f t="shared" si="2"/>
        <v>TUSDA3aDistribuiçãoNão se aplicaNão se aplicaNão se aplicaCeral DISNão se aplica</v>
      </c>
      <c r="S128" s="8">
        <f t="shared" si="3"/>
        <v>9.81</v>
      </c>
    </row>
    <row r="129" spans="1:19" ht="11.25" customHeight="1" x14ac:dyDescent="0.25">
      <c r="A129" s="31">
        <v>127</v>
      </c>
      <c r="B129" s="31" t="s">
        <v>581</v>
      </c>
      <c r="C129" s="31" t="s">
        <v>42</v>
      </c>
      <c r="D129" s="31" t="s">
        <v>1295</v>
      </c>
      <c r="E129" s="31" t="s">
        <v>25</v>
      </c>
      <c r="F129" s="31" t="s">
        <v>25</v>
      </c>
      <c r="G129" s="31" t="s">
        <v>25</v>
      </c>
      <c r="H129" s="31" t="s">
        <v>1340</v>
      </c>
      <c r="I129" s="31" t="s">
        <v>37</v>
      </c>
      <c r="J129" s="31" t="s">
        <v>725</v>
      </c>
      <c r="K129" s="31" t="s">
        <v>726</v>
      </c>
      <c r="L129" s="31" t="s">
        <v>76</v>
      </c>
      <c r="M129" s="31">
        <v>2021</v>
      </c>
      <c r="N129" s="31">
        <v>0</v>
      </c>
      <c r="O129" s="31">
        <v>21.92</v>
      </c>
      <c r="P129" s="31">
        <v>0</v>
      </c>
      <c r="R129" s="8" t="str">
        <f t="shared" si="2"/>
        <v>TUSDA3aDistribuiçãoNão se aplicaNão se aplicaNão se aplicaCeral DISPonta</v>
      </c>
      <c r="S129" s="8">
        <f t="shared" si="3"/>
        <v>21.92</v>
      </c>
    </row>
    <row r="130" spans="1:19" ht="11.25" customHeight="1" x14ac:dyDescent="0.25">
      <c r="A130" s="31">
        <v>123</v>
      </c>
      <c r="B130" s="31" t="s">
        <v>581</v>
      </c>
      <c r="C130" s="31" t="s">
        <v>42</v>
      </c>
      <c r="D130" s="31" t="s">
        <v>1295</v>
      </c>
      <c r="E130" s="31" t="s">
        <v>25</v>
      </c>
      <c r="F130" s="31" t="s">
        <v>25</v>
      </c>
      <c r="G130" s="31" t="s">
        <v>25</v>
      </c>
      <c r="H130" s="31" t="s">
        <v>1296</v>
      </c>
      <c r="I130" s="31" t="s">
        <v>35</v>
      </c>
      <c r="J130" s="31" t="s">
        <v>725</v>
      </c>
      <c r="K130" s="31" t="s">
        <v>726</v>
      </c>
      <c r="L130" s="31" t="s">
        <v>76</v>
      </c>
      <c r="M130" s="31">
        <v>2021</v>
      </c>
      <c r="N130" s="31">
        <v>0</v>
      </c>
      <c r="O130" s="31">
        <v>12.85</v>
      </c>
      <c r="P130" s="31">
        <v>0</v>
      </c>
      <c r="R130" s="8" t="str">
        <f t="shared" ref="R130:R193" si="4">B130&amp;C130&amp;D130&amp;E130&amp;F130&amp;G130&amp;H130&amp;I130</f>
        <v>TUSDA3aDistribuiçãoNão se aplicaNão se aplicaNão se aplicaCocelFora ponta</v>
      </c>
      <c r="S130" s="8">
        <f t="shared" ref="S130:S193" si="5">O130</f>
        <v>12.85</v>
      </c>
    </row>
    <row r="131" spans="1:19" ht="11.25" customHeight="1" x14ac:dyDescent="0.25">
      <c r="A131" s="31">
        <v>125</v>
      </c>
      <c r="B131" s="31" t="s">
        <v>581</v>
      </c>
      <c r="C131" s="31" t="s">
        <v>42</v>
      </c>
      <c r="D131" s="31" t="s">
        <v>1295</v>
      </c>
      <c r="E131" s="31" t="s">
        <v>25</v>
      </c>
      <c r="F131" s="31" t="s">
        <v>25</v>
      </c>
      <c r="G131" s="31" t="s">
        <v>25</v>
      </c>
      <c r="H131" s="31" t="s">
        <v>1296</v>
      </c>
      <c r="I131" s="31" t="s">
        <v>25</v>
      </c>
      <c r="J131" s="31" t="s">
        <v>727</v>
      </c>
      <c r="K131" s="31" t="s">
        <v>726</v>
      </c>
      <c r="L131" s="31" t="s">
        <v>71</v>
      </c>
      <c r="M131" s="31">
        <v>2021</v>
      </c>
      <c r="N131" s="31">
        <v>0</v>
      </c>
      <c r="O131" s="31">
        <v>9.81</v>
      </c>
      <c r="P131" s="31">
        <v>0</v>
      </c>
      <c r="R131" s="8" t="str">
        <f t="shared" si="4"/>
        <v>TUSDA3aDistribuiçãoNão se aplicaNão se aplicaNão se aplicaCocelNão se aplica</v>
      </c>
      <c r="S131" s="8">
        <f t="shared" si="5"/>
        <v>9.81</v>
      </c>
    </row>
    <row r="132" spans="1:19" ht="11.25" customHeight="1" x14ac:dyDescent="0.25">
      <c r="A132" s="31">
        <v>121</v>
      </c>
      <c r="B132" s="31" t="s">
        <v>581</v>
      </c>
      <c r="C132" s="31" t="s">
        <v>42</v>
      </c>
      <c r="D132" s="31" t="s">
        <v>1295</v>
      </c>
      <c r="E132" s="31" t="s">
        <v>25</v>
      </c>
      <c r="F132" s="31" t="s">
        <v>25</v>
      </c>
      <c r="G132" s="31" t="s">
        <v>25</v>
      </c>
      <c r="H132" s="31" t="s">
        <v>1296</v>
      </c>
      <c r="I132" s="31" t="s">
        <v>37</v>
      </c>
      <c r="J132" s="31" t="s">
        <v>725</v>
      </c>
      <c r="K132" s="31" t="s">
        <v>726</v>
      </c>
      <c r="L132" s="31" t="s">
        <v>76</v>
      </c>
      <c r="M132" s="31">
        <v>2021</v>
      </c>
      <c r="N132" s="31">
        <v>0</v>
      </c>
      <c r="O132" s="31">
        <v>21.92</v>
      </c>
      <c r="P132" s="31">
        <v>0</v>
      </c>
      <c r="R132" s="8" t="str">
        <f t="shared" si="4"/>
        <v>TUSDA3aDistribuiçãoNão se aplicaNão se aplicaNão se aplicaCocelPonta</v>
      </c>
      <c r="S132" s="8">
        <f t="shared" si="5"/>
        <v>21.92</v>
      </c>
    </row>
    <row r="133" spans="1:19" ht="11.25" customHeight="1" x14ac:dyDescent="0.25">
      <c r="A133" s="31">
        <v>141</v>
      </c>
      <c r="B133" s="31" t="s">
        <v>581</v>
      </c>
      <c r="C133" s="31" t="s">
        <v>42</v>
      </c>
      <c r="D133" s="31" t="s">
        <v>1295</v>
      </c>
      <c r="E133" s="31" t="s">
        <v>25</v>
      </c>
      <c r="F133" s="31" t="s">
        <v>25</v>
      </c>
      <c r="G133" s="31" t="s">
        <v>25</v>
      </c>
      <c r="H133" s="31" t="s">
        <v>1330</v>
      </c>
      <c r="I133" s="31" t="s">
        <v>35</v>
      </c>
      <c r="J133" s="31" t="s">
        <v>725</v>
      </c>
      <c r="K133" s="31" t="s">
        <v>726</v>
      </c>
      <c r="L133" s="31" t="s">
        <v>76</v>
      </c>
      <c r="M133" s="31">
        <v>2021</v>
      </c>
      <c r="N133" s="31">
        <v>0</v>
      </c>
      <c r="O133" s="31">
        <v>12.85</v>
      </c>
      <c r="P133" s="31">
        <v>0</v>
      </c>
      <c r="R133" s="8" t="str">
        <f t="shared" si="4"/>
        <v>TUSDA3aDistribuiçãoNão se aplicaNão se aplicaNão se aplicaCPFL Santa CruzFora ponta</v>
      </c>
      <c r="S133" s="8">
        <f t="shared" si="5"/>
        <v>12.85</v>
      </c>
    </row>
    <row r="134" spans="1:19" ht="11.25" customHeight="1" x14ac:dyDescent="0.25">
      <c r="A134" s="31">
        <v>143</v>
      </c>
      <c r="B134" s="31" t="s">
        <v>581</v>
      </c>
      <c r="C134" s="31" t="s">
        <v>42</v>
      </c>
      <c r="D134" s="31" t="s">
        <v>1295</v>
      </c>
      <c r="E134" s="31" t="s">
        <v>25</v>
      </c>
      <c r="F134" s="31" t="s">
        <v>25</v>
      </c>
      <c r="G134" s="31" t="s">
        <v>25</v>
      </c>
      <c r="H134" s="31" t="s">
        <v>1330</v>
      </c>
      <c r="I134" s="31" t="s">
        <v>25</v>
      </c>
      <c r="J134" s="31" t="s">
        <v>727</v>
      </c>
      <c r="K134" s="31" t="s">
        <v>726</v>
      </c>
      <c r="L134" s="31" t="s">
        <v>71</v>
      </c>
      <c r="M134" s="31">
        <v>2021</v>
      </c>
      <c r="N134" s="31">
        <v>0</v>
      </c>
      <c r="O134" s="31">
        <v>9.81</v>
      </c>
      <c r="P134" s="31">
        <v>0</v>
      </c>
      <c r="R134" s="8" t="str">
        <f t="shared" si="4"/>
        <v>TUSDA3aDistribuiçãoNão se aplicaNão se aplicaNão se aplicaCPFL Santa CruzNão se aplica</v>
      </c>
      <c r="S134" s="8">
        <f t="shared" si="5"/>
        <v>9.81</v>
      </c>
    </row>
    <row r="135" spans="1:19" ht="11.25" customHeight="1" x14ac:dyDescent="0.25">
      <c r="A135" s="31">
        <v>139</v>
      </c>
      <c r="B135" s="31" t="s">
        <v>581</v>
      </c>
      <c r="C135" s="31" t="s">
        <v>42</v>
      </c>
      <c r="D135" s="31" t="s">
        <v>1295</v>
      </c>
      <c r="E135" s="31" t="s">
        <v>25</v>
      </c>
      <c r="F135" s="31" t="s">
        <v>25</v>
      </c>
      <c r="G135" s="31" t="s">
        <v>25</v>
      </c>
      <c r="H135" s="31" t="s">
        <v>1330</v>
      </c>
      <c r="I135" s="31" t="s">
        <v>37</v>
      </c>
      <c r="J135" s="31" t="s">
        <v>725</v>
      </c>
      <c r="K135" s="31" t="s">
        <v>726</v>
      </c>
      <c r="L135" s="31" t="s">
        <v>76</v>
      </c>
      <c r="M135" s="31">
        <v>2021</v>
      </c>
      <c r="N135" s="31">
        <v>0</v>
      </c>
      <c r="O135" s="31">
        <v>21.92</v>
      </c>
      <c r="P135" s="31">
        <v>0</v>
      </c>
      <c r="R135" s="8" t="str">
        <f t="shared" si="4"/>
        <v>TUSDA3aDistribuiçãoNão se aplicaNão se aplicaNão se aplicaCPFL Santa CruzPonta</v>
      </c>
      <c r="S135" s="8">
        <f t="shared" si="5"/>
        <v>21.92</v>
      </c>
    </row>
    <row r="136" spans="1:19" ht="11.25" customHeight="1" x14ac:dyDescent="0.25">
      <c r="A136" s="31">
        <v>147</v>
      </c>
      <c r="B136" s="31" t="s">
        <v>581</v>
      </c>
      <c r="C136" s="31" t="s">
        <v>42</v>
      </c>
      <c r="D136" s="31" t="s">
        <v>1295</v>
      </c>
      <c r="E136" s="31" t="s">
        <v>25</v>
      </c>
      <c r="F136" s="31" t="s">
        <v>25</v>
      </c>
      <c r="G136" s="31" t="s">
        <v>25</v>
      </c>
      <c r="H136" s="31" t="s">
        <v>1297</v>
      </c>
      <c r="I136" s="31" t="s">
        <v>35</v>
      </c>
      <c r="J136" s="31" t="s">
        <v>725</v>
      </c>
      <c r="K136" s="31" t="s">
        <v>726</v>
      </c>
      <c r="L136" s="31" t="s">
        <v>76</v>
      </c>
      <c r="M136" s="31">
        <v>2021</v>
      </c>
      <c r="N136" s="31">
        <v>0</v>
      </c>
      <c r="O136" s="31">
        <v>12.85</v>
      </c>
      <c r="P136" s="31">
        <v>0</v>
      </c>
      <c r="R136" s="8" t="str">
        <f t="shared" si="4"/>
        <v>TUSDA3aDistribuiçãoNão se aplicaNão se aplicaNão se aplicaESSFora ponta</v>
      </c>
      <c r="S136" s="8">
        <f t="shared" si="5"/>
        <v>12.85</v>
      </c>
    </row>
    <row r="137" spans="1:19" ht="11.25" customHeight="1" x14ac:dyDescent="0.25">
      <c r="A137" s="31">
        <v>149</v>
      </c>
      <c r="B137" s="31" t="s">
        <v>581</v>
      </c>
      <c r="C137" s="31" t="s">
        <v>42</v>
      </c>
      <c r="D137" s="31" t="s">
        <v>1295</v>
      </c>
      <c r="E137" s="31" t="s">
        <v>25</v>
      </c>
      <c r="F137" s="31" t="s">
        <v>25</v>
      </c>
      <c r="G137" s="31" t="s">
        <v>25</v>
      </c>
      <c r="H137" s="31" t="s">
        <v>1297</v>
      </c>
      <c r="I137" s="31" t="s">
        <v>25</v>
      </c>
      <c r="J137" s="31" t="s">
        <v>727</v>
      </c>
      <c r="K137" s="31" t="s">
        <v>726</v>
      </c>
      <c r="L137" s="31" t="s">
        <v>71</v>
      </c>
      <c r="M137" s="31">
        <v>2021</v>
      </c>
      <c r="N137" s="31">
        <v>0</v>
      </c>
      <c r="O137" s="31">
        <v>9.81</v>
      </c>
      <c r="P137" s="31">
        <v>0</v>
      </c>
      <c r="R137" s="8" t="str">
        <f t="shared" si="4"/>
        <v>TUSDA3aDistribuiçãoNão se aplicaNão se aplicaNão se aplicaESSNão se aplica</v>
      </c>
      <c r="S137" s="8">
        <f t="shared" si="5"/>
        <v>9.81</v>
      </c>
    </row>
    <row r="138" spans="1:19" ht="11.25" customHeight="1" x14ac:dyDescent="0.25">
      <c r="A138" s="31">
        <v>145</v>
      </c>
      <c r="B138" s="31" t="s">
        <v>581</v>
      </c>
      <c r="C138" s="31" t="s">
        <v>42</v>
      </c>
      <c r="D138" s="31" t="s">
        <v>1295</v>
      </c>
      <c r="E138" s="31" t="s">
        <v>25</v>
      </c>
      <c r="F138" s="31" t="s">
        <v>25</v>
      </c>
      <c r="G138" s="31" t="s">
        <v>25</v>
      </c>
      <c r="H138" s="31" t="s">
        <v>1297</v>
      </c>
      <c r="I138" s="31" t="s">
        <v>37</v>
      </c>
      <c r="J138" s="31" t="s">
        <v>725</v>
      </c>
      <c r="K138" s="31" t="s">
        <v>726</v>
      </c>
      <c r="L138" s="31" t="s">
        <v>76</v>
      </c>
      <c r="M138" s="31">
        <v>2021</v>
      </c>
      <c r="N138" s="31">
        <v>0</v>
      </c>
      <c r="O138" s="31">
        <v>21.92</v>
      </c>
      <c r="P138" s="31">
        <v>0</v>
      </c>
      <c r="R138" s="8" t="str">
        <f t="shared" si="4"/>
        <v>TUSDA3aDistribuiçãoNão se aplicaNão se aplicaNão se aplicaESSPonta</v>
      </c>
      <c r="S138" s="8">
        <f t="shared" si="5"/>
        <v>21.92</v>
      </c>
    </row>
    <row r="139" spans="1:19" ht="11.25" customHeight="1" x14ac:dyDescent="0.25">
      <c r="A139" s="31">
        <v>157</v>
      </c>
      <c r="B139" s="31" t="s">
        <v>581</v>
      </c>
      <c r="C139" s="31" t="s">
        <v>42</v>
      </c>
      <c r="D139" s="31" t="s">
        <v>80</v>
      </c>
      <c r="E139" s="31" t="s">
        <v>25</v>
      </c>
      <c r="F139" s="31" t="s">
        <v>25</v>
      </c>
      <c r="G139" s="31" t="s">
        <v>25</v>
      </c>
      <c r="H139" s="31" t="s">
        <v>25</v>
      </c>
      <c r="I139" s="31" t="s">
        <v>25</v>
      </c>
      <c r="J139" s="31" t="s">
        <v>725</v>
      </c>
      <c r="K139" s="31" t="s">
        <v>726</v>
      </c>
      <c r="L139" s="31" t="s">
        <v>76</v>
      </c>
      <c r="M139" s="31">
        <v>2021</v>
      </c>
      <c r="N139" s="31">
        <v>0</v>
      </c>
      <c r="O139" s="31">
        <v>6.06</v>
      </c>
      <c r="P139" s="31">
        <v>0</v>
      </c>
      <c r="R139" s="8" t="str">
        <f t="shared" si="4"/>
        <v>TUSDA3aGeraçãoNão se aplicaNão se aplicaNão se aplicaNão se aplicaNão se aplica</v>
      </c>
      <c r="S139" s="8">
        <f t="shared" si="5"/>
        <v>6.06</v>
      </c>
    </row>
    <row r="140" spans="1:19" ht="11.25" customHeight="1" x14ac:dyDescent="0.25">
      <c r="A140" s="31">
        <v>164</v>
      </c>
      <c r="B140" s="31" t="s">
        <v>581</v>
      </c>
      <c r="C140" s="31" t="s">
        <v>42</v>
      </c>
      <c r="D140" s="31" t="s">
        <v>34</v>
      </c>
      <c r="E140" s="31" t="s">
        <v>25</v>
      </c>
      <c r="F140" s="31" t="s">
        <v>25</v>
      </c>
      <c r="G140" s="31" t="s">
        <v>79</v>
      </c>
      <c r="H140" s="31" t="s">
        <v>25</v>
      </c>
      <c r="I140" s="31" t="s">
        <v>35</v>
      </c>
      <c r="J140" s="31" t="s">
        <v>727</v>
      </c>
      <c r="K140" s="31" t="s">
        <v>726</v>
      </c>
      <c r="L140" s="31" t="s">
        <v>71</v>
      </c>
      <c r="M140" s="31">
        <v>2021</v>
      </c>
      <c r="N140" s="31">
        <v>0</v>
      </c>
      <c r="O140" s="31">
        <v>16.87</v>
      </c>
      <c r="P140" s="31">
        <v>0</v>
      </c>
      <c r="R140" s="8" t="str">
        <f t="shared" si="4"/>
        <v>TUSDA3aVerdeNão se aplicaNão se aplicaAPENão se aplicaFora ponta</v>
      </c>
      <c r="S140" s="8">
        <f t="shared" si="5"/>
        <v>16.87</v>
      </c>
    </row>
    <row r="141" spans="1:19" ht="11.25" customHeight="1" x14ac:dyDescent="0.25">
      <c r="A141" s="31">
        <v>163</v>
      </c>
      <c r="B141" s="31" t="s">
        <v>581</v>
      </c>
      <c r="C141" s="31" t="s">
        <v>42</v>
      </c>
      <c r="D141" s="31" t="s">
        <v>34</v>
      </c>
      <c r="E141" s="31" t="s">
        <v>25</v>
      </c>
      <c r="F141" s="31" t="s">
        <v>25</v>
      </c>
      <c r="G141" s="31" t="s">
        <v>79</v>
      </c>
      <c r="H141" s="31" t="s">
        <v>25</v>
      </c>
      <c r="I141" s="31" t="s">
        <v>37</v>
      </c>
      <c r="J141" s="31" t="s">
        <v>727</v>
      </c>
      <c r="K141" s="31" t="s">
        <v>726</v>
      </c>
      <c r="L141" s="31" t="s">
        <v>71</v>
      </c>
      <c r="M141" s="31">
        <v>2021</v>
      </c>
      <c r="N141" s="31">
        <v>0</v>
      </c>
      <c r="O141" s="31">
        <v>893.5</v>
      </c>
      <c r="P141" s="31">
        <v>0</v>
      </c>
      <c r="R141" s="8" t="str">
        <f t="shared" si="4"/>
        <v>TUSDA3aVerdeNão se aplicaNão se aplicaAPENão se aplicaPonta</v>
      </c>
      <c r="S141" s="8">
        <f t="shared" si="5"/>
        <v>893.5</v>
      </c>
    </row>
    <row r="142" spans="1:19" ht="11.25" customHeight="1" x14ac:dyDescent="0.25">
      <c r="A142" s="31">
        <v>162</v>
      </c>
      <c r="B142" s="31" t="s">
        <v>581</v>
      </c>
      <c r="C142" s="31" t="s">
        <v>42</v>
      </c>
      <c r="D142" s="31" t="s">
        <v>34</v>
      </c>
      <c r="E142" s="31" t="s">
        <v>25</v>
      </c>
      <c r="F142" s="31" t="s">
        <v>25</v>
      </c>
      <c r="G142" s="31" t="s">
        <v>25</v>
      </c>
      <c r="H142" s="31" t="s">
        <v>25</v>
      </c>
      <c r="I142" s="31" t="s">
        <v>35</v>
      </c>
      <c r="J142" s="31" t="s">
        <v>727</v>
      </c>
      <c r="K142" s="31" t="s">
        <v>726</v>
      </c>
      <c r="L142" s="31" t="s">
        <v>71</v>
      </c>
      <c r="M142" s="31">
        <v>2021</v>
      </c>
      <c r="N142" s="31">
        <v>0</v>
      </c>
      <c r="O142" s="31">
        <v>82.6</v>
      </c>
      <c r="P142" s="31">
        <v>53.417357581446403</v>
      </c>
      <c r="R142" s="8" t="str">
        <f t="shared" si="4"/>
        <v>TUSDA3aVerdeNão se aplicaNão se aplicaNão se aplicaNão se aplicaFora ponta</v>
      </c>
      <c r="S142" s="8">
        <f t="shared" si="5"/>
        <v>82.6</v>
      </c>
    </row>
    <row r="143" spans="1:19" ht="11.25" customHeight="1" x14ac:dyDescent="0.25">
      <c r="A143" s="31">
        <v>159</v>
      </c>
      <c r="B143" s="31" t="s">
        <v>581</v>
      </c>
      <c r="C143" s="31" t="s">
        <v>42</v>
      </c>
      <c r="D143" s="31" t="s">
        <v>34</v>
      </c>
      <c r="E143" s="31" t="s">
        <v>25</v>
      </c>
      <c r="F143" s="31" t="s">
        <v>25</v>
      </c>
      <c r="G143" s="31" t="s">
        <v>25</v>
      </c>
      <c r="H143" s="31" t="s">
        <v>25</v>
      </c>
      <c r="I143" s="31" t="s">
        <v>25</v>
      </c>
      <c r="J143" s="31" t="s">
        <v>725</v>
      </c>
      <c r="K143" s="31" t="s">
        <v>726</v>
      </c>
      <c r="L143" s="31" t="s">
        <v>76</v>
      </c>
      <c r="M143" s="31">
        <v>2021</v>
      </c>
      <c r="N143" s="31">
        <v>0</v>
      </c>
      <c r="O143" s="31">
        <v>17.07</v>
      </c>
      <c r="P143" s="31">
        <v>0</v>
      </c>
      <c r="R143" s="8" t="str">
        <f t="shared" si="4"/>
        <v>TUSDA3aVerdeNão se aplicaNão se aplicaNão se aplicaNão se aplicaNão se aplica</v>
      </c>
      <c r="S143" s="8">
        <f t="shared" si="5"/>
        <v>17.07</v>
      </c>
    </row>
    <row r="144" spans="1:19" ht="11.25" customHeight="1" x14ac:dyDescent="0.25">
      <c r="A144" s="31">
        <v>161</v>
      </c>
      <c r="B144" s="31" t="s">
        <v>581</v>
      </c>
      <c r="C144" s="31" t="s">
        <v>42</v>
      </c>
      <c r="D144" s="31" t="s">
        <v>34</v>
      </c>
      <c r="E144" s="31" t="s">
        <v>25</v>
      </c>
      <c r="F144" s="31" t="s">
        <v>25</v>
      </c>
      <c r="G144" s="31" t="s">
        <v>25</v>
      </c>
      <c r="H144" s="31" t="s">
        <v>25</v>
      </c>
      <c r="I144" s="31" t="s">
        <v>37</v>
      </c>
      <c r="J144" s="31" t="s">
        <v>727</v>
      </c>
      <c r="K144" s="31" t="s">
        <v>726</v>
      </c>
      <c r="L144" s="31" t="s">
        <v>71</v>
      </c>
      <c r="M144" s="31">
        <v>2021</v>
      </c>
      <c r="N144" s="31">
        <v>0</v>
      </c>
      <c r="O144" s="31">
        <v>959.22</v>
      </c>
      <c r="P144" s="31">
        <v>53.417357581446403</v>
      </c>
      <c r="R144" s="8" t="str">
        <f t="shared" si="4"/>
        <v>TUSDA3aVerdeNão se aplicaNão se aplicaNão se aplicaNão se aplicaPonta</v>
      </c>
      <c r="S144" s="8">
        <f t="shared" si="5"/>
        <v>959.22</v>
      </c>
    </row>
    <row r="145" spans="1:19" ht="11.25" customHeight="1" x14ac:dyDescent="0.25">
      <c r="A145" s="31">
        <v>170</v>
      </c>
      <c r="B145" s="31" t="s">
        <v>581</v>
      </c>
      <c r="C145" s="31" t="s">
        <v>33</v>
      </c>
      <c r="D145" s="31" t="s">
        <v>41</v>
      </c>
      <c r="E145" s="31" t="s">
        <v>25</v>
      </c>
      <c r="F145" s="31" t="s">
        <v>25</v>
      </c>
      <c r="G145" s="31" t="s">
        <v>79</v>
      </c>
      <c r="H145" s="31" t="s">
        <v>25</v>
      </c>
      <c r="I145" s="31" t="s">
        <v>25</v>
      </c>
      <c r="J145" s="31" t="s">
        <v>727</v>
      </c>
      <c r="K145" s="31" t="s">
        <v>726</v>
      </c>
      <c r="L145" s="31" t="s">
        <v>71</v>
      </c>
      <c r="M145" s="31">
        <v>2021</v>
      </c>
      <c r="N145" s="31">
        <v>0</v>
      </c>
      <c r="O145" s="31">
        <v>16.87</v>
      </c>
      <c r="P145" s="31">
        <v>0</v>
      </c>
      <c r="R145" s="8" t="str">
        <f t="shared" si="4"/>
        <v>TUSDA4AzulNão se aplicaNão se aplicaAPENão se aplicaNão se aplica</v>
      </c>
      <c r="S145" s="8">
        <f t="shared" si="5"/>
        <v>16.87</v>
      </c>
    </row>
    <row r="146" spans="1:19" ht="11.25" customHeight="1" x14ac:dyDescent="0.25">
      <c r="A146" s="31">
        <v>168</v>
      </c>
      <c r="B146" s="31" t="s">
        <v>581</v>
      </c>
      <c r="C146" s="31" t="s">
        <v>33</v>
      </c>
      <c r="D146" s="31" t="s">
        <v>41</v>
      </c>
      <c r="E146" s="31" t="s">
        <v>25</v>
      </c>
      <c r="F146" s="31" t="s">
        <v>25</v>
      </c>
      <c r="G146" s="31" t="s">
        <v>25</v>
      </c>
      <c r="H146" s="31" t="s">
        <v>25</v>
      </c>
      <c r="I146" s="31" t="s">
        <v>35</v>
      </c>
      <c r="J146" s="31" t="s">
        <v>725</v>
      </c>
      <c r="K146" s="31" t="s">
        <v>726</v>
      </c>
      <c r="L146" s="31" t="s">
        <v>76</v>
      </c>
      <c r="M146" s="31">
        <v>2021</v>
      </c>
      <c r="N146" s="31">
        <v>0</v>
      </c>
      <c r="O146" s="31">
        <v>17.07</v>
      </c>
      <c r="P146" s="31">
        <v>0</v>
      </c>
      <c r="R146" s="8" t="str">
        <f t="shared" si="4"/>
        <v>TUSDA4AzulNão se aplicaNão se aplicaNão se aplicaNão se aplicaFora ponta</v>
      </c>
      <c r="S146" s="8">
        <f t="shared" si="5"/>
        <v>17.07</v>
      </c>
    </row>
    <row r="147" spans="1:19" ht="11.25" customHeight="1" x14ac:dyDescent="0.25">
      <c r="A147" s="31">
        <v>169</v>
      </c>
      <c r="B147" s="31" t="s">
        <v>581</v>
      </c>
      <c r="C147" s="31" t="s">
        <v>33</v>
      </c>
      <c r="D147" s="31" t="s">
        <v>41</v>
      </c>
      <c r="E147" s="31" t="s">
        <v>25</v>
      </c>
      <c r="F147" s="31" t="s">
        <v>25</v>
      </c>
      <c r="G147" s="31" t="s">
        <v>25</v>
      </c>
      <c r="H147" s="31" t="s">
        <v>25</v>
      </c>
      <c r="I147" s="31" t="s">
        <v>25</v>
      </c>
      <c r="J147" s="31" t="s">
        <v>727</v>
      </c>
      <c r="K147" s="31" t="s">
        <v>726</v>
      </c>
      <c r="L147" s="31" t="s">
        <v>71</v>
      </c>
      <c r="M147" s="31">
        <v>2021</v>
      </c>
      <c r="N147" s="31">
        <v>0</v>
      </c>
      <c r="O147" s="31">
        <v>82.6</v>
      </c>
      <c r="P147" s="31">
        <v>53.417357581446403</v>
      </c>
      <c r="R147" s="8" t="str">
        <f t="shared" si="4"/>
        <v>TUSDA4AzulNão se aplicaNão se aplicaNão se aplicaNão se aplicaNão se aplica</v>
      </c>
      <c r="S147" s="8">
        <f t="shared" si="5"/>
        <v>82.6</v>
      </c>
    </row>
    <row r="148" spans="1:19" ht="11.25" customHeight="1" x14ac:dyDescent="0.25">
      <c r="A148" s="31">
        <v>167</v>
      </c>
      <c r="B148" s="31" t="s">
        <v>581</v>
      </c>
      <c r="C148" s="31" t="s">
        <v>33</v>
      </c>
      <c r="D148" s="31" t="s">
        <v>41</v>
      </c>
      <c r="E148" s="31" t="s">
        <v>25</v>
      </c>
      <c r="F148" s="31" t="s">
        <v>25</v>
      </c>
      <c r="G148" s="31" t="s">
        <v>25</v>
      </c>
      <c r="H148" s="31" t="s">
        <v>25</v>
      </c>
      <c r="I148" s="31" t="s">
        <v>37</v>
      </c>
      <c r="J148" s="31" t="s">
        <v>725</v>
      </c>
      <c r="K148" s="31" t="s">
        <v>726</v>
      </c>
      <c r="L148" s="31" t="s">
        <v>76</v>
      </c>
      <c r="M148" s="31">
        <v>2021</v>
      </c>
      <c r="N148" s="31">
        <v>0</v>
      </c>
      <c r="O148" s="31">
        <v>36.08</v>
      </c>
      <c r="P148" s="31">
        <v>0</v>
      </c>
      <c r="R148" s="8" t="str">
        <f t="shared" si="4"/>
        <v>TUSDA4AzulNão se aplicaNão se aplicaNão se aplicaNão se aplicaPonta</v>
      </c>
      <c r="S148" s="8">
        <f t="shared" si="5"/>
        <v>36.08</v>
      </c>
    </row>
    <row r="149" spans="1:19" ht="11.25" customHeight="1" x14ac:dyDescent="0.25">
      <c r="A149" s="31">
        <v>192</v>
      </c>
      <c r="B149" s="31" t="s">
        <v>581</v>
      </c>
      <c r="C149" s="31" t="s">
        <v>33</v>
      </c>
      <c r="D149" s="31" t="s">
        <v>23</v>
      </c>
      <c r="E149" s="31" t="s">
        <v>25</v>
      </c>
      <c r="F149" s="31" t="s">
        <v>25</v>
      </c>
      <c r="G149" s="31" t="s">
        <v>25</v>
      </c>
      <c r="H149" s="31" t="s">
        <v>25</v>
      </c>
      <c r="I149" s="31" t="s">
        <v>25</v>
      </c>
      <c r="J149" s="31" t="s">
        <v>725</v>
      </c>
      <c r="K149" s="31" t="s">
        <v>726</v>
      </c>
      <c r="L149" s="31" t="s">
        <v>76</v>
      </c>
      <c r="M149" s="31">
        <v>2021</v>
      </c>
      <c r="N149" s="31">
        <v>0</v>
      </c>
      <c r="O149" s="31">
        <v>43.17</v>
      </c>
      <c r="P149" s="31">
        <v>0</v>
      </c>
      <c r="R149" s="8" t="str">
        <f t="shared" si="4"/>
        <v>TUSDA4ConvencionalNão se aplicaNão se aplicaNão se aplicaNão se aplicaNão se aplica</v>
      </c>
      <c r="S149" s="8">
        <f t="shared" si="5"/>
        <v>43.17</v>
      </c>
    </row>
    <row r="150" spans="1:19" ht="11.25" customHeight="1" x14ac:dyDescent="0.25">
      <c r="A150" s="31">
        <v>193</v>
      </c>
      <c r="B150" s="31" t="s">
        <v>581</v>
      </c>
      <c r="C150" s="31" t="s">
        <v>33</v>
      </c>
      <c r="D150" s="31" t="s">
        <v>23</v>
      </c>
      <c r="E150" s="31" t="s">
        <v>25</v>
      </c>
      <c r="F150" s="31" t="s">
        <v>25</v>
      </c>
      <c r="G150" s="31" t="s">
        <v>25</v>
      </c>
      <c r="H150" s="31" t="s">
        <v>25</v>
      </c>
      <c r="I150" s="31" t="s">
        <v>25</v>
      </c>
      <c r="J150" s="31" t="s">
        <v>727</v>
      </c>
      <c r="K150" s="31" t="s">
        <v>726</v>
      </c>
      <c r="L150" s="31" t="s">
        <v>71</v>
      </c>
      <c r="M150" s="31">
        <v>2021</v>
      </c>
      <c r="N150" s="31">
        <v>0</v>
      </c>
      <c r="O150" s="31">
        <v>82.6</v>
      </c>
      <c r="P150" s="31">
        <v>53.417357581446403</v>
      </c>
      <c r="R150" s="8" t="str">
        <f t="shared" si="4"/>
        <v>TUSDA4ConvencionalNão se aplicaNão se aplicaNão se aplicaNão se aplicaNão se aplica</v>
      </c>
      <c r="S150" s="8">
        <f t="shared" si="5"/>
        <v>82.6</v>
      </c>
    </row>
    <row r="151" spans="1:19" ht="11.25" customHeight="1" x14ac:dyDescent="0.25">
      <c r="A151" s="31">
        <v>181</v>
      </c>
      <c r="B151" s="31" t="s">
        <v>581</v>
      </c>
      <c r="C151" s="31" t="s">
        <v>33</v>
      </c>
      <c r="D151" s="31" t="s">
        <v>1295</v>
      </c>
      <c r="E151" s="31" t="s">
        <v>25</v>
      </c>
      <c r="F151" s="31" t="s">
        <v>25</v>
      </c>
      <c r="G151" s="31" t="s">
        <v>25</v>
      </c>
      <c r="H151" s="31" t="s">
        <v>1341</v>
      </c>
      <c r="I151" s="31" t="s">
        <v>35</v>
      </c>
      <c r="J151" s="31" t="s">
        <v>725</v>
      </c>
      <c r="K151" s="31" t="s">
        <v>726</v>
      </c>
      <c r="L151" s="31" t="s">
        <v>76</v>
      </c>
      <c r="M151" s="31">
        <v>2021</v>
      </c>
      <c r="N151" s="31">
        <v>0</v>
      </c>
      <c r="O151" s="31">
        <v>12.85</v>
      </c>
      <c r="P151" s="31">
        <v>0</v>
      </c>
      <c r="R151" s="8" t="str">
        <f t="shared" si="4"/>
        <v>TUSDA4DistribuiçãoNão se aplicaNão se aplicaNão se aplicaCastro - DISFora ponta</v>
      </c>
      <c r="S151" s="8">
        <f t="shared" si="5"/>
        <v>12.85</v>
      </c>
    </row>
    <row r="152" spans="1:19" ht="11.25" customHeight="1" x14ac:dyDescent="0.25">
      <c r="A152" s="31">
        <v>182</v>
      </c>
      <c r="B152" s="31" t="s">
        <v>581</v>
      </c>
      <c r="C152" s="31" t="s">
        <v>33</v>
      </c>
      <c r="D152" s="31" t="s">
        <v>1295</v>
      </c>
      <c r="E152" s="31" t="s">
        <v>25</v>
      </c>
      <c r="F152" s="31" t="s">
        <v>25</v>
      </c>
      <c r="G152" s="31" t="s">
        <v>25</v>
      </c>
      <c r="H152" s="31" t="s">
        <v>1341</v>
      </c>
      <c r="I152" s="31" t="s">
        <v>25</v>
      </c>
      <c r="J152" s="31" t="s">
        <v>727</v>
      </c>
      <c r="K152" s="31" t="s">
        <v>726</v>
      </c>
      <c r="L152" s="31" t="s">
        <v>71</v>
      </c>
      <c r="M152" s="31">
        <v>2021</v>
      </c>
      <c r="N152" s="31">
        <v>0</v>
      </c>
      <c r="O152" s="31">
        <v>9.81</v>
      </c>
      <c r="P152" s="31">
        <v>0</v>
      </c>
      <c r="R152" s="8" t="str">
        <f t="shared" si="4"/>
        <v>TUSDA4DistribuiçãoNão se aplicaNão se aplicaNão se aplicaCastro - DISNão se aplica</v>
      </c>
      <c r="S152" s="8">
        <f t="shared" si="5"/>
        <v>9.81</v>
      </c>
    </row>
    <row r="153" spans="1:19" ht="11.25" customHeight="1" x14ac:dyDescent="0.25">
      <c r="A153" s="31">
        <v>180</v>
      </c>
      <c r="B153" s="31" t="s">
        <v>581</v>
      </c>
      <c r="C153" s="31" t="s">
        <v>33</v>
      </c>
      <c r="D153" s="31" t="s">
        <v>1295</v>
      </c>
      <c r="E153" s="31" t="s">
        <v>25</v>
      </c>
      <c r="F153" s="31" t="s">
        <v>25</v>
      </c>
      <c r="G153" s="31" t="s">
        <v>25</v>
      </c>
      <c r="H153" s="31" t="s">
        <v>1341</v>
      </c>
      <c r="I153" s="31" t="s">
        <v>37</v>
      </c>
      <c r="J153" s="31" t="s">
        <v>725</v>
      </c>
      <c r="K153" s="31" t="s">
        <v>726</v>
      </c>
      <c r="L153" s="31" t="s">
        <v>76</v>
      </c>
      <c r="M153" s="31">
        <v>2021</v>
      </c>
      <c r="N153" s="31">
        <v>0</v>
      </c>
      <c r="O153" s="31">
        <v>21.92</v>
      </c>
      <c r="P153" s="31">
        <v>0</v>
      </c>
      <c r="R153" s="8" t="str">
        <f t="shared" si="4"/>
        <v>TUSDA4DistribuiçãoNão se aplicaNão se aplicaNão se aplicaCastro - DISPonta</v>
      </c>
      <c r="S153" s="8">
        <f t="shared" si="5"/>
        <v>21.92</v>
      </c>
    </row>
    <row r="154" spans="1:19" ht="11.25" customHeight="1" x14ac:dyDescent="0.25">
      <c r="A154" s="31">
        <v>178</v>
      </c>
      <c r="B154" s="31" t="s">
        <v>581</v>
      </c>
      <c r="C154" s="31" t="s">
        <v>33</v>
      </c>
      <c r="D154" s="31" t="s">
        <v>1295</v>
      </c>
      <c r="E154" s="31" t="s">
        <v>25</v>
      </c>
      <c r="F154" s="31" t="s">
        <v>25</v>
      </c>
      <c r="G154" s="31" t="s">
        <v>25</v>
      </c>
      <c r="H154" s="31" t="s">
        <v>1340</v>
      </c>
      <c r="I154" s="31" t="s">
        <v>35</v>
      </c>
      <c r="J154" s="31" t="s">
        <v>725</v>
      </c>
      <c r="K154" s="31" t="s">
        <v>726</v>
      </c>
      <c r="L154" s="31" t="s">
        <v>76</v>
      </c>
      <c r="M154" s="31">
        <v>2021</v>
      </c>
      <c r="N154" s="31">
        <v>0</v>
      </c>
      <c r="O154" s="31">
        <v>12.85</v>
      </c>
      <c r="P154" s="31">
        <v>0</v>
      </c>
      <c r="R154" s="8" t="str">
        <f t="shared" si="4"/>
        <v>TUSDA4DistribuiçãoNão se aplicaNão se aplicaNão se aplicaCeral DISFora ponta</v>
      </c>
      <c r="S154" s="8">
        <f t="shared" si="5"/>
        <v>12.85</v>
      </c>
    </row>
    <row r="155" spans="1:19" ht="11.25" customHeight="1" x14ac:dyDescent="0.25">
      <c r="A155" s="31">
        <v>179</v>
      </c>
      <c r="B155" s="31" t="s">
        <v>581</v>
      </c>
      <c r="C155" s="31" t="s">
        <v>33</v>
      </c>
      <c r="D155" s="31" t="s">
        <v>1295</v>
      </c>
      <c r="E155" s="31" t="s">
        <v>25</v>
      </c>
      <c r="F155" s="31" t="s">
        <v>25</v>
      </c>
      <c r="G155" s="31" t="s">
        <v>25</v>
      </c>
      <c r="H155" s="31" t="s">
        <v>1340</v>
      </c>
      <c r="I155" s="31" t="s">
        <v>25</v>
      </c>
      <c r="J155" s="31" t="s">
        <v>727</v>
      </c>
      <c r="K155" s="31" t="s">
        <v>726</v>
      </c>
      <c r="L155" s="31" t="s">
        <v>71</v>
      </c>
      <c r="M155" s="31">
        <v>2021</v>
      </c>
      <c r="N155" s="31">
        <v>0</v>
      </c>
      <c r="O155" s="31">
        <v>9.81</v>
      </c>
      <c r="P155" s="31">
        <v>0</v>
      </c>
      <c r="R155" s="8" t="str">
        <f t="shared" si="4"/>
        <v>TUSDA4DistribuiçãoNão se aplicaNão se aplicaNão se aplicaCeral DISNão se aplica</v>
      </c>
      <c r="S155" s="8">
        <f t="shared" si="5"/>
        <v>9.81</v>
      </c>
    </row>
    <row r="156" spans="1:19" ht="11.25" customHeight="1" x14ac:dyDescent="0.25">
      <c r="A156" s="31">
        <v>177</v>
      </c>
      <c r="B156" s="31" t="s">
        <v>581</v>
      </c>
      <c r="C156" s="31" t="s">
        <v>33</v>
      </c>
      <c r="D156" s="31" t="s">
        <v>1295</v>
      </c>
      <c r="E156" s="31" t="s">
        <v>25</v>
      </c>
      <c r="F156" s="31" t="s">
        <v>25</v>
      </c>
      <c r="G156" s="31" t="s">
        <v>25</v>
      </c>
      <c r="H156" s="31" t="s">
        <v>1340</v>
      </c>
      <c r="I156" s="31" t="s">
        <v>37</v>
      </c>
      <c r="J156" s="31" t="s">
        <v>725</v>
      </c>
      <c r="K156" s="31" t="s">
        <v>726</v>
      </c>
      <c r="L156" s="31" t="s">
        <v>76</v>
      </c>
      <c r="M156" s="31">
        <v>2021</v>
      </c>
      <c r="N156" s="31">
        <v>0</v>
      </c>
      <c r="O156" s="31">
        <v>21.92</v>
      </c>
      <c r="P156" s="31">
        <v>0</v>
      </c>
      <c r="R156" s="8" t="str">
        <f t="shared" si="4"/>
        <v>TUSDA4DistribuiçãoNão se aplicaNão se aplicaNão se aplicaCeral DISPonta</v>
      </c>
      <c r="S156" s="8">
        <f t="shared" si="5"/>
        <v>21.92</v>
      </c>
    </row>
    <row r="157" spans="1:19" ht="11.25" customHeight="1" x14ac:dyDescent="0.25">
      <c r="A157" s="31">
        <v>172</v>
      </c>
      <c r="B157" s="31" t="s">
        <v>581</v>
      </c>
      <c r="C157" s="31" t="s">
        <v>33</v>
      </c>
      <c r="D157" s="31" t="s">
        <v>1295</v>
      </c>
      <c r="E157" s="31" t="s">
        <v>25</v>
      </c>
      <c r="F157" s="31" t="s">
        <v>25</v>
      </c>
      <c r="G157" s="31" t="s">
        <v>25</v>
      </c>
      <c r="H157" s="31" t="s">
        <v>1296</v>
      </c>
      <c r="I157" s="31" t="s">
        <v>35</v>
      </c>
      <c r="J157" s="31" t="s">
        <v>725</v>
      </c>
      <c r="K157" s="31" t="s">
        <v>726</v>
      </c>
      <c r="L157" s="31" t="s">
        <v>76</v>
      </c>
      <c r="M157" s="31">
        <v>2021</v>
      </c>
      <c r="N157" s="31">
        <v>0</v>
      </c>
      <c r="O157" s="31">
        <v>12.85</v>
      </c>
      <c r="P157" s="31">
        <v>0</v>
      </c>
      <c r="R157" s="8" t="str">
        <f t="shared" si="4"/>
        <v>TUSDA4DistribuiçãoNão se aplicaNão se aplicaNão se aplicaCocelFora ponta</v>
      </c>
      <c r="S157" s="8">
        <f t="shared" si="5"/>
        <v>12.85</v>
      </c>
    </row>
    <row r="158" spans="1:19" ht="11.25" customHeight="1" x14ac:dyDescent="0.25">
      <c r="A158" s="31">
        <v>173</v>
      </c>
      <c r="B158" s="31" t="s">
        <v>581</v>
      </c>
      <c r="C158" s="31" t="s">
        <v>33</v>
      </c>
      <c r="D158" s="31" t="s">
        <v>1295</v>
      </c>
      <c r="E158" s="31" t="s">
        <v>25</v>
      </c>
      <c r="F158" s="31" t="s">
        <v>25</v>
      </c>
      <c r="G158" s="31" t="s">
        <v>25</v>
      </c>
      <c r="H158" s="31" t="s">
        <v>1296</v>
      </c>
      <c r="I158" s="31" t="s">
        <v>25</v>
      </c>
      <c r="J158" s="31" t="s">
        <v>727</v>
      </c>
      <c r="K158" s="31" t="s">
        <v>726</v>
      </c>
      <c r="L158" s="31" t="s">
        <v>71</v>
      </c>
      <c r="M158" s="31">
        <v>2021</v>
      </c>
      <c r="N158" s="31">
        <v>0</v>
      </c>
      <c r="O158" s="31">
        <v>9.81</v>
      </c>
      <c r="P158" s="31">
        <v>0</v>
      </c>
      <c r="R158" s="8" t="str">
        <f t="shared" si="4"/>
        <v>TUSDA4DistribuiçãoNão se aplicaNão se aplicaNão se aplicaCocelNão se aplica</v>
      </c>
      <c r="S158" s="8">
        <f t="shared" si="5"/>
        <v>9.81</v>
      </c>
    </row>
    <row r="159" spans="1:19" ht="11.25" customHeight="1" x14ac:dyDescent="0.25">
      <c r="A159" s="31">
        <v>171</v>
      </c>
      <c r="B159" s="31" t="s">
        <v>581</v>
      </c>
      <c r="C159" s="31" t="s">
        <v>33</v>
      </c>
      <c r="D159" s="31" t="s">
        <v>1295</v>
      </c>
      <c r="E159" s="31" t="s">
        <v>25</v>
      </c>
      <c r="F159" s="31" t="s">
        <v>25</v>
      </c>
      <c r="G159" s="31" t="s">
        <v>25</v>
      </c>
      <c r="H159" s="31" t="s">
        <v>1296</v>
      </c>
      <c r="I159" s="31" t="s">
        <v>37</v>
      </c>
      <c r="J159" s="31" t="s">
        <v>725</v>
      </c>
      <c r="K159" s="31" t="s">
        <v>726</v>
      </c>
      <c r="L159" s="31" t="s">
        <v>76</v>
      </c>
      <c r="M159" s="31">
        <v>2021</v>
      </c>
      <c r="N159" s="31">
        <v>0</v>
      </c>
      <c r="O159" s="31">
        <v>21.92</v>
      </c>
      <c r="P159" s="31">
        <v>0</v>
      </c>
      <c r="R159" s="8" t="str">
        <f t="shared" si="4"/>
        <v>TUSDA4DistribuiçãoNão se aplicaNão se aplicaNão se aplicaCocelPonta</v>
      </c>
      <c r="S159" s="8">
        <f t="shared" si="5"/>
        <v>21.92</v>
      </c>
    </row>
    <row r="160" spans="1:19" ht="11.25" customHeight="1" x14ac:dyDescent="0.25">
      <c r="A160" s="31">
        <v>184</v>
      </c>
      <c r="B160" s="31" t="s">
        <v>581</v>
      </c>
      <c r="C160" s="31" t="s">
        <v>33</v>
      </c>
      <c r="D160" s="31" t="s">
        <v>1295</v>
      </c>
      <c r="E160" s="31" t="s">
        <v>25</v>
      </c>
      <c r="F160" s="31" t="s">
        <v>25</v>
      </c>
      <c r="G160" s="31" t="s">
        <v>25</v>
      </c>
      <c r="H160" s="31" t="s">
        <v>1297</v>
      </c>
      <c r="I160" s="31" t="s">
        <v>35</v>
      </c>
      <c r="J160" s="31" t="s">
        <v>725</v>
      </c>
      <c r="K160" s="31" t="s">
        <v>726</v>
      </c>
      <c r="L160" s="31" t="s">
        <v>76</v>
      </c>
      <c r="M160" s="31">
        <v>2021</v>
      </c>
      <c r="N160" s="31">
        <v>0</v>
      </c>
      <c r="O160" s="31">
        <v>12.85</v>
      </c>
      <c r="P160" s="31">
        <v>0</v>
      </c>
      <c r="R160" s="8" t="str">
        <f t="shared" si="4"/>
        <v>TUSDA4DistribuiçãoNão se aplicaNão se aplicaNão se aplicaESSFora ponta</v>
      </c>
      <c r="S160" s="8">
        <f t="shared" si="5"/>
        <v>12.85</v>
      </c>
    </row>
    <row r="161" spans="1:19" ht="11.25" customHeight="1" x14ac:dyDescent="0.25">
      <c r="A161" s="31">
        <v>185</v>
      </c>
      <c r="B161" s="31" t="s">
        <v>581</v>
      </c>
      <c r="C161" s="31" t="s">
        <v>33</v>
      </c>
      <c r="D161" s="31" t="s">
        <v>1295</v>
      </c>
      <c r="E161" s="31" t="s">
        <v>25</v>
      </c>
      <c r="F161" s="31" t="s">
        <v>25</v>
      </c>
      <c r="G161" s="31" t="s">
        <v>25</v>
      </c>
      <c r="H161" s="31" t="s">
        <v>1297</v>
      </c>
      <c r="I161" s="31" t="s">
        <v>25</v>
      </c>
      <c r="J161" s="31" t="s">
        <v>727</v>
      </c>
      <c r="K161" s="31" t="s">
        <v>726</v>
      </c>
      <c r="L161" s="31" t="s">
        <v>71</v>
      </c>
      <c r="M161" s="31">
        <v>2021</v>
      </c>
      <c r="N161" s="31">
        <v>0</v>
      </c>
      <c r="O161" s="31">
        <v>9.81</v>
      </c>
      <c r="P161" s="31">
        <v>0</v>
      </c>
      <c r="R161" s="8" t="str">
        <f t="shared" si="4"/>
        <v>TUSDA4DistribuiçãoNão se aplicaNão se aplicaNão se aplicaESSNão se aplica</v>
      </c>
      <c r="S161" s="8">
        <f t="shared" si="5"/>
        <v>9.81</v>
      </c>
    </row>
    <row r="162" spans="1:19" ht="11.25" customHeight="1" x14ac:dyDescent="0.25">
      <c r="A162" s="31">
        <v>183</v>
      </c>
      <c r="B162" s="31" t="s">
        <v>581</v>
      </c>
      <c r="C162" s="31" t="s">
        <v>33</v>
      </c>
      <c r="D162" s="31" t="s">
        <v>1295</v>
      </c>
      <c r="E162" s="31" t="s">
        <v>25</v>
      </c>
      <c r="F162" s="31" t="s">
        <v>25</v>
      </c>
      <c r="G162" s="31" t="s">
        <v>25</v>
      </c>
      <c r="H162" s="31" t="s">
        <v>1297</v>
      </c>
      <c r="I162" s="31" t="s">
        <v>37</v>
      </c>
      <c r="J162" s="31" t="s">
        <v>725</v>
      </c>
      <c r="K162" s="31" t="s">
        <v>726</v>
      </c>
      <c r="L162" s="31" t="s">
        <v>76</v>
      </c>
      <c r="M162" s="31">
        <v>2021</v>
      </c>
      <c r="N162" s="31">
        <v>0</v>
      </c>
      <c r="O162" s="31">
        <v>21.92</v>
      </c>
      <c r="P162" s="31">
        <v>0</v>
      </c>
      <c r="R162" s="8" t="str">
        <f t="shared" si="4"/>
        <v>TUSDA4DistribuiçãoNão se aplicaNão se aplicaNão se aplicaESSPonta</v>
      </c>
      <c r="S162" s="8">
        <f t="shared" si="5"/>
        <v>21.92</v>
      </c>
    </row>
    <row r="163" spans="1:19" ht="11.25" customHeight="1" x14ac:dyDescent="0.25">
      <c r="A163" s="31">
        <v>175</v>
      </c>
      <c r="B163" s="31" t="s">
        <v>581</v>
      </c>
      <c r="C163" s="31" t="s">
        <v>33</v>
      </c>
      <c r="D163" s="31" t="s">
        <v>1295</v>
      </c>
      <c r="E163" s="31" t="s">
        <v>25</v>
      </c>
      <c r="F163" s="31" t="s">
        <v>25</v>
      </c>
      <c r="G163" s="31" t="s">
        <v>25</v>
      </c>
      <c r="H163" s="31" t="s">
        <v>1332</v>
      </c>
      <c r="I163" s="31" t="s">
        <v>35</v>
      </c>
      <c r="J163" s="31" t="s">
        <v>725</v>
      </c>
      <c r="K163" s="31" t="s">
        <v>726</v>
      </c>
      <c r="L163" s="31" t="s">
        <v>76</v>
      </c>
      <c r="M163" s="31">
        <v>2021</v>
      </c>
      <c r="N163" s="31">
        <v>0</v>
      </c>
      <c r="O163" s="31">
        <v>12.85</v>
      </c>
      <c r="P163" s="31">
        <v>0</v>
      </c>
      <c r="R163" s="8" t="str">
        <f t="shared" si="4"/>
        <v>TUSDA4DistribuiçãoNão se aplicaNão se aplicaNão se aplicaForcelFora ponta</v>
      </c>
      <c r="S163" s="8">
        <f t="shared" si="5"/>
        <v>12.85</v>
      </c>
    </row>
    <row r="164" spans="1:19" ht="11.25" customHeight="1" x14ac:dyDescent="0.25">
      <c r="A164" s="31">
        <v>176</v>
      </c>
      <c r="B164" s="31" t="s">
        <v>581</v>
      </c>
      <c r="C164" s="31" t="s">
        <v>33</v>
      </c>
      <c r="D164" s="31" t="s">
        <v>1295</v>
      </c>
      <c r="E164" s="31" t="s">
        <v>25</v>
      </c>
      <c r="F164" s="31" t="s">
        <v>25</v>
      </c>
      <c r="G164" s="31" t="s">
        <v>25</v>
      </c>
      <c r="H164" s="31" t="s">
        <v>1332</v>
      </c>
      <c r="I164" s="31" t="s">
        <v>25</v>
      </c>
      <c r="J164" s="31" t="s">
        <v>727</v>
      </c>
      <c r="K164" s="31" t="s">
        <v>726</v>
      </c>
      <c r="L164" s="31" t="s">
        <v>71</v>
      </c>
      <c r="M164" s="31">
        <v>2021</v>
      </c>
      <c r="N164" s="31">
        <v>0</v>
      </c>
      <c r="O164" s="31">
        <v>9.81</v>
      </c>
      <c r="P164" s="31">
        <v>0</v>
      </c>
      <c r="R164" s="8" t="str">
        <f t="shared" si="4"/>
        <v>TUSDA4DistribuiçãoNão se aplicaNão se aplicaNão se aplicaForcelNão se aplica</v>
      </c>
      <c r="S164" s="8">
        <f t="shared" si="5"/>
        <v>9.81</v>
      </c>
    </row>
    <row r="165" spans="1:19" ht="11.25" customHeight="1" x14ac:dyDescent="0.25">
      <c r="A165" s="31">
        <v>174</v>
      </c>
      <c r="B165" s="31" t="s">
        <v>581</v>
      </c>
      <c r="C165" s="31" t="s">
        <v>33</v>
      </c>
      <c r="D165" s="31" t="s">
        <v>1295</v>
      </c>
      <c r="E165" s="31" t="s">
        <v>25</v>
      </c>
      <c r="F165" s="31" t="s">
        <v>25</v>
      </c>
      <c r="G165" s="31" t="s">
        <v>25</v>
      </c>
      <c r="H165" s="31" t="s">
        <v>1332</v>
      </c>
      <c r="I165" s="31" t="s">
        <v>37</v>
      </c>
      <c r="J165" s="31" t="s">
        <v>725</v>
      </c>
      <c r="K165" s="31" t="s">
        <v>726</v>
      </c>
      <c r="L165" s="31" t="s">
        <v>76</v>
      </c>
      <c r="M165" s="31">
        <v>2021</v>
      </c>
      <c r="N165" s="31">
        <v>0</v>
      </c>
      <c r="O165" s="31">
        <v>21.92</v>
      </c>
      <c r="P165" s="31">
        <v>0</v>
      </c>
      <c r="R165" s="8" t="str">
        <f t="shared" si="4"/>
        <v>TUSDA4DistribuiçãoNão se aplicaNão se aplicaNão se aplicaForcelPonta</v>
      </c>
      <c r="S165" s="8">
        <f t="shared" si="5"/>
        <v>21.92</v>
      </c>
    </row>
    <row r="166" spans="1:19" ht="11.25" customHeight="1" x14ac:dyDescent="0.25">
      <c r="A166" s="31">
        <v>186</v>
      </c>
      <c r="B166" s="31" t="s">
        <v>581</v>
      </c>
      <c r="C166" s="31" t="s">
        <v>33</v>
      </c>
      <c r="D166" s="31" t="s">
        <v>80</v>
      </c>
      <c r="E166" s="31" t="s">
        <v>25</v>
      </c>
      <c r="F166" s="31" t="s">
        <v>25</v>
      </c>
      <c r="G166" s="31" t="s">
        <v>25</v>
      </c>
      <c r="H166" s="31" t="s">
        <v>25</v>
      </c>
      <c r="I166" s="31" t="s">
        <v>25</v>
      </c>
      <c r="J166" s="31" t="s">
        <v>725</v>
      </c>
      <c r="K166" s="31" t="s">
        <v>726</v>
      </c>
      <c r="L166" s="31" t="s">
        <v>76</v>
      </c>
      <c r="M166" s="31">
        <v>2021</v>
      </c>
      <c r="N166" s="31">
        <v>0</v>
      </c>
      <c r="O166" s="31">
        <v>6.06</v>
      </c>
      <c r="P166" s="31">
        <v>0</v>
      </c>
      <c r="R166" s="8" t="str">
        <f t="shared" si="4"/>
        <v>TUSDA4GeraçãoNão se aplicaNão se aplicaNão se aplicaNão se aplicaNão se aplica</v>
      </c>
      <c r="S166" s="8">
        <f t="shared" si="5"/>
        <v>6.06</v>
      </c>
    </row>
    <row r="167" spans="1:19" ht="11.25" customHeight="1" x14ac:dyDescent="0.25">
      <c r="A167" s="31">
        <v>191</v>
      </c>
      <c r="B167" s="31" t="s">
        <v>581</v>
      </c>
      <c r="C167" s="31" t="s">
        <v>33</v>
      </c>
      <c r="D167" s="31" t="s">
        <v>34</v>
      </c>
      <c r="E167" s="31" t="s">
        <v>25</v>
      </c>
      <c r="F167" s="31" t="s">
        <v>25</v>
      </c>
      <c r="G167" s="31" t="s">
        <v>79</v>
      </c>
      <c r="H167" s="31" t="s">
        <v>25</v>
      </c>
      <c r="I167" s="31" t="s">
        <v>35</v>
      </c>
      <c r="J167" s="31" t="s">
        <v>727</v>
      </c>
      <c r="K167" s="31" t="s">
        <v>726</v>
      </c>
      <c r="L167" s="31" t="s">
        <v>71</v>
      </c>
      <c r="M167" s="31">
        <v>2021</v>
      </c>
      <c r="N167" s="31">
        <v>0</v>
      </c>
      <c r="O167" s="31">
        <v>16.87</v>
      </c>
      <c r="P167" s="31">
        <v>0</v>
      </c>
      <c r="R167" s="8" t="str">
        <f t="shared" si="4"/>
        <v>TUSDA4VerdeNão se aplicaNão se aplicaAPENão se aplicaFora ponta</v>
      </c>
      <c r="S167" s="8">
        <f t="shared" si="5"/>
        <v>16.87</v>
      </c>
    </row>
    <row r="168" spans="1:19" ht="11.25" customHeight="1" x14ac:dyDescent="0.25">
      <c r="A168" s="31">
        <v>190</v>
      </c>
      <c r="B168" s="31" t="s">
        <v>581</v>
      </c>
      <c r="C168" s="31" t="s">
        <v>33</v>
      </c>
      <c r="D168" s="31" t="s">
        <v>34</v>
      </c>
      <c r="E168" s="31" t="s">
        <v>25</v>
      </c>
      <c r="F168" s="31" t="s">
        <v>25</v>
      </c>
      <c r="G168" s="31" t="s">
        <v>79</v>
      </c>
      <c r="H168" s="31" t="s">
        <v>25</v>
      </c>
      <c r="I168" s="31" t="s">
        <v>37</v>
      </c>
      <c r="J168" s="31" t="s">
        <v>727</v>
      </c>
      <c r="K168" s="31" t="s">
        <v>726</v>
      </c>
      <c r="L168" s="31" t="s">
        <v>71</v>
      </c>
      <c r="M168" s="31">
        <v>2021</v>
      </c>
      <c r="N168" s="31">
        <v>0</v>
      </c>
      <c r="O168" s="31">
        <v>893.5</v>
      </c>
      <c r="P168" s="31">
        <v>0</v>
      </c>
      <c r="R168" s="8" t="str">
        <f t="shared" si="4"/>
        <v>TUSDA4VerdeNão se aplicaNão se aplicaAPENão se aplicaPonta</v>
      </c>
      <c r="S168" s="8">
        <f t="shared" si="5"/>
        <v>893.5</v>
      </c>
    </row>
    <row r="169" spans="1:19" ht="11.25" customHeight="1" x14ac:dyDescent="0.25">
      <c r="A169" s="31">
        <v>189</v>
      </c>
      <c r="B169" s="31" t="s">
        <v>581</v>
      </c>
      <c r="C169" s="31" t="s">
        <v>33</v>
      </c>
      <c r="D169" s="31" t="s">
        <v>34</v>
      </c>
      <c r="E169" s="31" t="s">
        <v>25</v>
      </c>
      <c r="F169" s="31" t="s">
        <v>25</v>
      </c>
      <c r="G169" s="31" t="s">
        <v>25</v>
      </c>
      <c r="H169" s="31" t="s">
        <v>25</v>
      </c>
      <c r="I169" s="31" t="s">
        <v>35</v>
      </c>
      <c r="J169" s="31" t="s">
        <v>727</v>
      </c>
      <c r="K169" s="31" t="s">
        <v>726</v>
      </c>
      <c r="L169" s="31" t="s">
        <v>71</v>
      </c>
      <c r="M169" s="31">
        <v>2021</v>
      </c>
      <c r="N169" s="31">
        <v>0</v>
      </c>
      <c r="O169" s="31">
        <v>82.6</v>
      </c>
      <c r="P169" s="31">
        <v>53.417357581446403</v>
      </c>
      <c r="R169" s="8" t="str">
        <f t="shared" si="4"/>
        <v>TUSDA4VerdeNão se aplicaNão se aplicaNão se aplicaNão se aplicaFora ponta</v>
      </c>
      <c r="S169" s="8">
        <f t="shared" si="5"/>
        <v>82.6</v>
      </c>
    </row>
    <row r="170" spans="1:19" ht="11.25" customHeight="1" x14ac:dyDescent="0.25">
      <c r="A170" s="31">
        <v>187</v>
      </c>
      <c r="B170" s="31" t="s">
        <v>581</v>
      </c>
      <c r="C170" s="31" t="s">
        <v>33</v>
      </c>
      <c r="D170" s="31" t="s">
        <v>34</v>
      </c>
      <c r="E170" s="31" t="s">
        <v>25</v>
      </c>
      <c r="F170" s="31" t="s">
        <v>25</v>
      </c>
      <c r="G170" s="31" t="s">
        <v>25</v>
      </c>
      <c r="H170" s="31" t="s">
        <v>25</v>
      </c>
      <c r="I170" s="31" t="s">
        <v>25</v>
      </c>
      <c r="J170" s="31" t="s">
        <v>725</v>
      </c>
      <c r="K170" s="31" t="s">
        <v>726</v>
      </c>
      <c r="L170" s="31" t="s">
        <v>76</v>
      </c>
      <c r="M170" s="31">
        <v>2021</v>
      </c>
      <c r="N170" s="31">
        <v>0</v>
      </c>
      <c r="O170" s="31">
        <v>17.07</v>
      </c>
      <c r="P170" s="31">
        <v>0</v>
      </c>
      <c r="R170" s="8" t="str">
        <f t="shared" si="4"/>
        <v>TUSDA4VerdeNão se aplicaNão se aplicaNão se aplicaNão se aplicaNão se aplica</v>
      </c>
      <c r="S170" s="8">
        <f t="shared" si="5"/>
        <v>17.07</v>
      </c>
    </row>
    <row r="171" spans="1:19" ht="11.25" customHeight="1" x14ac:dyDescent="0.25">
      <c r="A171" s="31">
        <v>188</v>
      </c>
      <c r="B171" s="31" t="s">
        <v>581</v>
      </c>
      <c r="C171" s="31" t="s">
        <v>33</v>
      </c>
      <c r="D171" s="31" t="s">
        <v>34</v>
      </c>
      <c r="E171" s="31" t="s">
        <v>25</v>
      </c>
      <c r="F171" s="31" t="s">
        <v>25</v>
      </c>
      <c r="G171" s="31" t="s">
        <v>25</v>
      </c>
      <c r="H171" s="31" t="s">
        <v>25</v>
      </c>
      <c r="I171" s="31" t="s">
        <v>37</v>
      </c>
      <c r="J171" s="31" t="s">
        <v>727</v>
      </c>
      <c r="K171" s="31" t="s">
        <v>726</v>
      </c>
      <c r="L171" s="31" t="s">
        <v>71</v>
      </c>
      <c r="M171" s="31">
        <v>2021</v>
      </c>
      <c r="N171" s="31">
        <v>0</v>
      </c>
      <c r="O171" s="31">
        <v>959.22</v>
      </c>
      <c r="P171" s="31">
        <v>53.417357581446403</v>
      </c>
      <c r="R171" s="8" t="str">
        <f t="shared" si="4"/>
        <v>TUSDA4VerdeNão se aplicaNão se aplicaNão se aplicaNão se aplicaPonta</v>
      </c>
      <c r="S171" s="8">
        <f t="shared" si="5"/>
        <v>959.22</v>
      </c>
    </row>
    <row r="172" spans="1:19" ht="11.25" customHeight="1" x14ac:dyDescent="0.25">
      <c r="A172" s="31">
        <v>197</v>
      </c>
      <c r="B172" s="31" t="s">
        <v>581</v>
      </c>
      <c r="C172" s="31" t="s">
        <v>716</v>
      </c>
      <c r="D172" s="31" t="s">
        <v>41</v>
      </c>
      <c r="E172" s="31" t="s">
        <v>25</v>
      </c>
      <c r="F172" s="31" t="s">
        <v>25</v>
      </c>
      <c r="G172" s="31" t="s">
        <v>79</v>
      </c>
      <c r="H172" s="31" t="s">
        <v>25</v>
      </c>
      <c r="I172" s="31" t="s">
        <v>25</v>
      </c>
      <c r="J172" s="31" t="s">
        <v>727</v>
      </c>
      <c r="K172" s="31" t="s">
        <v>726</v>
      </c>
      <c r="L172" s="31" t="s">
        <v>71</v>
      </c>
      <c r="M172" s="31">
        <v>2021</v>
      </c>
      <c r="N172" s="31">
        <v>0</v>
      </c>
      <c r="O172" s="31">
        <v>36.380000000000003</v>
      </c>
      <c r="P172" s="31">
        <v>0</v>
      </c>
      <c r="R172" s="8" t="str">
        <f t="shared" si="4"/>
        <v>TUSDASAzulNão se aplicaNão se aplicaAPENão se aplicaNão se aplica</v>
      </c>
      <c r="S172" s="8">
        <f t="shared" si="5"/>
        <v>36.380000000000003</v>
      </c>
    </row>
    <row r="173" spans="1:19" ht="11.25" customHeight="1" x14ac:dyDescent="0.25">
      <c r="A173" s="31">
        <v>195</v>
      </c>
      <c r="B173" s="31" t="s">
        <v>581</v>
      </c>
      <c r="C173" s="31" t="s">
        <v>716</v>
      </c>
      <c r="D173" s="31" t="s">
        <v>41</v>
      </c>
      <c r="E173" s="31" t="s">
        <v>25</v>
      </c>
      <c r="F173" s="31" t="s">
        <v>25</v>
      </c>
      <c r="G173" s="31" t="s">
        <v>25</v>
      </c>
      <c r="H173" s="31" t="s">
        <v>25</v>
      </c>
      <c r="I173" s="31" t="s">
        <v>35</v>
      </c>
      <c r="J173" s="31" t="s">
        <v>725</v>
      </c>
      <c r="K173" s="31" t="s">
        <v>726</v>
      </c>
      <c r="L173" s="31" t="s">
        <v>76</v>
      </c>
      <c r="M173" s="31">
        <v>2021</v>
      </c>
      <c r="N173" s="31">
        <v>0</v>
      </c>
      <c r="O173" s="31">
        <v>12.94</v>
      </c>
      <c r="P173" s="31">
        <v>0</v>
      </c>
      <c r="R173" s="8" t="str">
        <f t="shared" si="4"/>
        <v>TUSDASAzulNão se aplicaNão se aplicaNão se aplicaNão se aplicaFora ponta</v>
      </c>
      <c r="S173" s="8">
        <f t="shared" si="5"/>
        <v>12.94</v>
      </c>
    </row>
    <row r="174" spans="1:19" ht="11.25" customHeight="1" x14ac:dyDescent="0.25">
      <c r="A174" s="31">
        <v>196</v>
      </c>
      <c r="B174" s="31" t="s">
        <v>581</v>
      </c>
      <c r="C174" s="31" t="s">
        <v>716</v>
      </c>
      <c r="D174" s="31" t="s">
        <v>41</v>
      </c>
      <c r="E174" s="31" t="s">
        <v>25</v>
      </c>
      <c r="F174" s="31" t="s">
        <v>25</v>
      </c>
      <c r="G174" s="31" t="s">
        <v>25</v>
      </c>
      <c r="H174" s="31" t="s">
        <v>25</v>
      </c>
      <c r="I174" s="31" t="s">
        <v>25</v>
      </c>
      <c r="J174" s="31" t="s">
        <v>727</v>
      </c>
      <c r="K174" s="31" t="s">
        <v>726</v>
      </c>
      <c r="L174" s="31" t="s">
        <v>71</v>
      </c>
      <c r="M174" s="31">
        <v>2021</v>
      </c>
      <c r="N174" s="31">
        <v>0</v>
      </c>
      <c r="O174" s="31">
        <v>110.49</v>
      </c>
      <c r="P174" s="31">
        <v>61.399261587869397</v>
      </c>
      <c r="R174" s="8" t="str">
        <f t="shared" si="4"/>
        <v>TUSDASAzulNão se aplicaNão se aplicaNão se aplicaNão se aplicaNão se aplica</v>
      </c>
      <c r="S174" s="8">
        <f t="shared" si="5"/>
        <v>110.49</v>
      </c>
    </row>
    <row r="175" spans="1:19" ht="11.25" customHeight="1" x14ac:dyDescent="0.25">
      <c r="A175" s="31">
        <v>194</v>
      </c>
      <c r="B175" s="31" t="s">
        <v>581</v>
      </c>
      <c r="C175" s="31" t="s">
        <v>716</v>
      </c>
      <c r="D175" s="31" t="s">
        <v>41</v>
      </c>
      <c r="E175" s="31" t="s">
        <v>25</v>
      </c>
      <c r="F175" s="31" t="s">
        <v>25</v>
      </c>
      <c r="G175" s="31" t="s">
        <v>25</v>
      </c>
      <c r="H175" s="31" t="s">
        <v>25</v>
      </c>
      <c r="I175" s="31" t="s">
        <v>37</v>
      </c>
      <c r="J175" s="31" t="s">
        <v>725</v>
      </c>
      <c r="K175" s="31" t="s">
        <v>726</v>
      </c>
      <c r="L175" s="31" t="s">
        <v>76</v>
      </c>
      <c r="M175" s="31">
        <v>2021</v>
      </c>
      <c r="N175" s="31">
        <v>0</v>
      </c>
      <c r="O175" s="31">
        <v>57.52</v>
      </c>
      <c r="P175" s="31">
        <v>0</v>
      </c>
      <c r="R175" s="8" t="str">
        <f t="shared" si="4"/>
        <v>TUSDASAzulNão se aplicaNão se aplicaNão se aplicaNão se aplicaPonta</v>
      </c>
      <c r="S175" s="8">
        <f t="shared" si="5"/>
        <v>57.52</v>
      </c>
    </row>
    <row r="176" spans="1:19" ht="11.25" customHeight="1" x14ac:dyDescent="0.25">
      <c r="A176" s="31">
        <v>203</v>
      </c>
      <c r="B176" s="31" t="s">
        <v>581</v>
      </c>
      <c r="C176" s="31" t="s">
        <v>716</v>
      </c>
      <c r="D176" s="31" t="s">
        <v>23</v>
      </c>
      <c r="E176" s="31" t="s">
        <v>25</v>
      </c>
      <c r="F176" s="31" t="s">
        <v>25</v>
      </c>
      <c r="G176" s="31" t="s">
        <v>25</v>
      </c>
      <c r="H176" s="31" t="s">
        <v>25</v>
      </c>
      <c r="I176" s="31" t="s">
        <v>25</v>
      </c>
      <c r="J176" s="31" t="s">
        <v>725</v>
      </c>
      <c r="K176" s="31" t="s">
        <v>726</v>
      </c>
      <c r="L176" s="31" t="s">
        <v>76</v>
      </c>
      <c r="M176" s="31">
        <v>2021</v>
      </c>
      <c r="N176" s="31">
        <v>0</v>
      </c>
      <c r="O176" s="31">
        <v>54.52</v>
      </c>
      <c r="P176" s="31">
        <v>0</v>
      </c>
      <c r="R176" s="8" t="str">
        <f t="shared" si="4"/>
        <v>TUSDASConvencionalNão se aplicaNão se aplicaNão se aplicaNão se aplicaNão se aplica</v>
      </c>
      <c r="S176" s="8">
        <f t="shared" si="5"/>
        <v>54.52</v>
      </c>
    </row>
    <row r="177" spans="1:19" ht="11.25" customHeight="1" x14ac:dyDescent="0.25">
      <c r="A177" s="31">
        <v>204</v>
      </c>
      <c r="B177" s="31" t="s">
        <v>581</v>
      </c>
      <c r="C177" s="31" t="s">
        <v>716</v>
      </c>
      <c r="D177" s="31" t="s">
        <v>23</v>
      </c>
      <c r="E177" s="31" t="s">
        <v>25</v>
      </c>
      <c r="F177" s="31" t="s">
        <v>25</v>
      </c>
      <c r="G177" s="31" t="s">
        <v>25</v>
      </c>
      <c r="H177" s="31" t="s">
        <v>25</v>
      </c>
      <c r="I177" s="31" t="s">
        <v>25</v>
      </c>
      <c r="J177" s="31" t="s">
        <v>727</v>
      </c>
      <c r="K177" s="31" t="s">
        <v>726</v>
      </c>
      <c r="L177" s="31" t="s">
        <v>71</v>
      </c>
      <c r="M177" s="31">
        <v>2021</v>
      </c>
      <c r="N177" s="31">
        <v>0</v>
      </c>
      <c r="O177" s="31">
        <v>110.49</v>
      </c>
      <c r="P177" s="31">
        <v>61.399261587869397</v>
      </c>
      <c r="R177" s="8" t="str">
        <f t="shared" si="4"/>
        <v>TUSDASConvencionalNão se aplicaNão se aplicaNão se aplicaNão se aplicaNão se aplica</v>
      </c>
      <c r="S177" s="8">
        <f t="shared" si="5"/>
        <v>110.49</v>
      </c>
    </row>
    <row r="178" spans="1:19" ht="11.25" customHeight="1" x14ac:dyDescent="0.25">
      <c r="A178" s="31">
        <v>202</v>
      </c>
      <c r="B178" s="31" t="s">
        <v>581</v>
      </c>
      <c r="C178" s="31" t="s">
        <v>716</v>
      </c>
      <c r="D178" s="31" t="s">
        <v>34</v>
      </c>
      <c r="E178" s="31" t="s">
        <v>25</v>
      </c>
      <c r="F178" s="31" t="s">
        <v>25</v>
      </c>
      <c r="G178" s="31" t="s">
        <v>79</v>
      </c>
      <c r="H178" s="31" t="s">
        <v>25</v>
      </c>
      <c r="I178" s="31" t="s">
        <v>35</v>
      </c>
      <c r="J178" s="31" t="s">
        <v>727</v>
      </c>
      <c r="K178" s="31" t="s">
        <v>726</v>
      </c>
      <c r="L178" s="31" t="s">
        <v>71</v>
      </c>
      <c r="M178" s="31">
        <v>2021</v>
      </c>
      <c r="N178" s="31">
        <v>0</v>
      </c>
      <c r="O178" s="31">
        <v>36.380000000000003</v>
      </c>
      <c r="P178" s="31">
        <v>0</v>
      </c>
      <c r="R178" s="8" t="str">
        <f t="shared" si="4"/>
        <v>TUSDASVerdeNão se aplicaNão se aplicaAPENão se aplicaFora ponta</v>
      </c>
      <c r="S178" s="8">
        <f t="shared" si="5"/>
        <v>36.380000000000003</v>
      </c>
    </row>
    <row r="179" spans="1:19" ht="11.25" customHeight="1" x14ac:dyDescent="0.25">
      <c r="A179" s="31">
        <v>201</v>
      </c>
      <c r="B179" s="31" t="s">
        <v>581</v>
      </c>
      <c r="C179" s="31" t="s">
        <v>716</v>
      </c>
      <c r="D179" s="31" t="s">
        <v>34</v>
      </c>
      <c r="E179" s="31" t="s">
        <v>25</v>
      </c>
      <c r="F179" s="31" t="s">
        <v>25</v>
      </c>
      <c r="G179" s="31" t="s">
        <v>79</v>
      </c>
      <c r="H179" s="31" t="s">
        <v>25</v>
      </c>
      <c r="I179" s="31" t="s">
        <v>37</v>
      </c>
      <c r="J179" s="31" t="s">
        <v>727</v>
      </c>
      <c r="K179" s="31" t="s">
        <v>726</v>
      </c>
      <c r="L179" s="31" t="s">
        <v>71</v>
      </c>
      <c r="M179" s="31">
        <v>2021</v>
      </c>
      <c r="N179" s="31">
        <v>0</v>
      </c>
      <c r="O179" s="31">
        <v>1434.4</v>
      </c>
      <c r="P179" s="31">
        <v>0</v>
      </c>
      <c r="R179" s="8" t="str">
        <f t="shared" si="4"/>
        <v>TUSDASVerdeNão se aplicaNão se aplicaAPENão se aplicaPonta</v>
      </c>
      <c r="S179" s="8">
        <f t="shared" si="5"/>
        <v>1434.4</v>
      </c>
    </row>
    <row r="180" spans="1:19" ht="11.25" customHeight="1" x14ac:dyDescent="0.25">
      <c r="A180" s="31">
        <v>200</v>
      </c>
      <c r="B180" s="31" t="s">
        <v>581</v>
      </c>
      <c r="C180" s="31" t="s">
        <v>716</v>
      </c>
      <c r="D180" s="31" t="s">
        <v>34</v>
      </c>
      <c r="E180" s="31" t="s">
        <v>25</v>
      </c>
      <c r="F180" s="31" t="s">
        <v>25</v>
      </c>
      <c r="G180" s="31" t="s">
        <v>25</v>
      </c>
      <c r="H180" s="31" t="s">
        <v>25</v>
      </c>
      <c r="I180" s="31" t="s">
        <v>35</v>
      </c>
      <c r="J180" s="31" t="s">
        <v>727</v>
      </c>
      <c r="K180" s="31" t="s">
        <v>726</v>
      </c>
      <c r="L180" s="31" t="s">
        <v>71</v>
      </c>
      <c r="M180" s="31">
        <v>2021</v>
      </c>
      <c r="N180" s="31">
        <v>0</v>
      </c>
      <c r="O180" s="31">
        <v>110.49</v>
      </c>
      <c r="P180" s="31">
        <v>61.399261587869397</v>
      </c>
      <c r="R180" s="8" t="str">
        <f t="shared" si="4"/>
        <v>TUSDASVerdeNão se aplicaNão se aplicaNão se aplicaNão se aplicaFora ponta</v>
      </c>
      <c r="S180" s="8">
        <f t="shared" si="5"/>
        <v>110.49</v>
      </c>
    </row>
    <row r="181" spans="1:19" ht="11.25" customHeight="1" x14ac:dyDescent="0.25">
      <c r="A181" s="31">
        <v>198</v>
      </c>
      <c r="B181" s="31" t="s">
        <v>581</v>
      </c>
      <c r="C181" s="31" t="s">
        <v>716</v>
      </c>
      <c r="D181" s="31" t="s">
        <v>34</v>
      </c>
      <c r="E181" s="31" t="s">
        <v>25</v>
      </c>
      <c r="F181" s="31" t="s">
        <v>25</v>
      </c>
      <c r="G181" s="31" t="s">
        <v>25</v>
      </c>
      <c r="H181" s="31" t="s">
        <v>25</v>
      </c>
      <c r="I181" s="31" t="s">
        <v>25</v>
      </c>
      <c r="J181" s="31" t="s">
        <v>725</v>
      </c>
      <c r="K181" s="31" t="s">
        <v>726</v>
      </c>
      <c r="L181" s="31" t="s">
        <v>76</v>
      </c>
      <c r="M181" s="31">
        <v>2021</v>
      </c>
      <c r="N181" s="31">
        <v>0</v>
      </c>
      <c r="O181" s="31">
        <v>12.94</v>
      </c>
      <c r="P181" s="31">
        <v>0</v>
      </c>
      <c r="R181" s="8" t="str">
        <f t="shared" si="4"/>
        <v>TUSDASVerdeNão se aplicaNão se aplicaNão se aplicaNão se aplicaNão se aplica</v>
      </c>
      <c r="S181" s="8">
        <f t="shared" si="5"/>
        <v>12.94</v>
      </c>
    </row>
    <row r="182" spans="1:19" ht="11.25" customHeight="1" x14ac:dyDescent="0.25">
      <c r="A182" s="31">
        <v>199</v>
      </c>
      <c r="B182" s="31" t="s">
        <v>581</v>
      </c>
      <c r="C182" s="31" t="s">
        <v>716</v>
      </c>
      <c r="D182" s="31" t="s">
        <v>34</v>
      </c>
      <c r="E182" s="31" t="s">
        <v>25</v>
      </c>
      <c r="F182" s="31" t="s">
        <v>25</v>
      </c>
      <c r="G182" s="31" t="s">
        <v>25</v>
      </c>
      <c r="H182" s="31" t="s">
        <v>25</v>
      </c>
      <c r="I182" s="31" t="s">
        <v>37</v>
      </c>
      <c r="J182" s="31" t="s">
        <v>727</v>
      </c>
      <c r="K182" s="31" t="s">
        <v>726</v>
      </c>
      <c r="L182" s="31" t="s">
        <v>71</v>
      </c>
      <c r="M182" s="31">
        <v>2021</v>
      </c>
      <c r="N182" s="31">
        <v>0</v>
      </c>
      <c r="O182" s="31">
        <v>1508.52</v>
      </c>
      <c r="P182" s="31">
        <v>61.399261587869397</v>
      </c>
      <c r="R182" s="8" t="str">
        <f t="shared" si="4"/>
        <v>TUSDASVerdeNão se aplicaNão se aplicaNão se aplicaNão se aplicaPonta</v>
      </c>
      <c r="S182" s="8">
        <f t="shared" si="5"/>
        <v>1508.52</v>
      </c>
    </row>
    <row r="183" spans="1:19" ht="11.25" customHeight="1" x14ac:dyDescent="0.25">
      <c r="A183" s="31">
        <v>205</v>
      </c>
      <c r="B183" s="31" t="s">
        <v>581</v>
      </c>
      <c r="C183" s="31" t="s">
        <v>81</v>
      </c>
      <c r="D183" s="31" t="s">
        <v>80</v>
      </c>
      <c r="E183" s="31" t="s">
        <v>25</v>
      </c>
      <c r="F183" s="31" t="s">
        <v>25</v>
      </c>
      <c r="G183" s="31" t="s">
        <v>82</v>
      </c>
      <c r="H183" s="31" t="s">
        <v>25</v>
      </c>
      <c r="I183" s="31" t="s">
        <v>25</v>
      </c>
      <c r="J183" s="31" t="s">
        <v>725</v>
      </c>
      <c r="K183" s="31" t="s">
        <v>726</v>
      </c>
      <c r="L183" s="31" t="s">
        <v>76</v>
      </c>
      <c r="M183" s="31">
        <v>2021</v>
      </c>
      <c r="N183" s="31">
        <v>0</v>
      </c>
      <c r="O183" s="31">
        <v>2.35</v>
      </c>
      <c r="P183" s="31">
        <v>0</v>
      </c>
      <c r="R183" s="8" t="str">
        <f t="shared" si="4"/>
        <v>TUSDBGeraçãoNão se aplicaNão se aplicaTIPO 01Não se aplicaNão se aplica</v>
      </c>
      <c r="S183" s="8">
        <f t="shared" si="5"/>
        <v>2.35</v>
      </c>
    </row>
    <row r="184" spans="1:19" ht="11.25" customHeight="1" x14ac:dyDescent="0.25">
      <c r="A184" s="31">
        <v>206</v>
      </c>
      <c r="B184" s="31" t="s">
        <v>581</v>
      </c>
      <c r="C184" s="31" t="s">
        <v>81</v>
      </c>
      <c r="D184" s="31" t="s">
        <v>80</v>
      </c>
      <c r="E184" s="31" t="s">
        <v>25</v>
      </c>
      <c r="F184" s="31" t="s">
        <v>25</v>
      </c>
      <c r="G184" s="31" t="s">
        <v>83</v>
      </c>
      <c r="H184" s="31" t="s">
        <v>25</v>
      </c>
      <c r="I184" s="31" t="s">
        <v>25</v>
      </c>
      <c r="J184" s="31" t="s">
        <v>725</v>
      </c>
      <c r="K184" s="31" t="s">
        <v>726</v>
      </c>
      <c r="L184" s="31" t="s">
        <v>76</v>
      </c>
      <c r="M184" s="31">
        <v>2021</v>
      </c>
      <c r="N184" s="31">
        <v>0</v>
      </c>
      <c r="O184" s="31">
        <v>7.42</v>
      </c>
      <c r="P184" s="31">
        <v>0</v>
      </c>
      <c r="R184" s="8" t="str">
        <f t="shared" si="4"/>
        <v>TUSDBGeraçãoNão se aplicaNão se aplicaTIPO 02Não se aplicaNão se aplica</v>
      </c>
      <c r="S184" s="8">
        <f t="shared" si="5"/>
        <v>7.42</v>
      </c>
    </row>
    <row r="185" spans="1:19" ht="11.25" customHeight="1" x14ac:dyDescent="0.25">
      <c r="A185" s="31">
        <v>209</v>
      </c>
      <c r="B185" s="31" t="s">
        <v>581</v>
      </c>
      <c r="C185" s="31" t="s">
        <v>22</v>
      </c>
      <c r="D185" s="31" t="s">
        <v>36</v>
      </c>
      <c r="E185" s="31" t="s">
        <v>24</v>
      </c>
      <c r="F185" s="31" t="s">
        <v>24</v>
      </c>
      <c r="G185" s="31" t="s">
        <v>25</v>
      </c>
      <c r="H185" s="31" t="s">
        <v>25</v>
      </c>
      <c r="I185" s="31" t="s">
        <v>35</v>
      </c>
      <c r="J185" s="31" t="s">
        <v>727</v>
      </c>
      <c r="K185" s="31" t="s">
        <v>726</v>
      </c>
      <c r="L185" s="31" t="s">
        <v>71</v>
      </c>
      <c r="M185" s="31">
        <v>2021</v>
      </c>
      <c r="N185" s="31">
        <v>0</v>
      </c>
      <c r="O185" s="31">
        <v>198.56</v>
      </c>
      <c r="P185" s="31">
        <v>61.399261587869397</v>
      </c>
      <c r="R185" s="8" t="str">
        <f t="shared" si="4"/>
        <v>TUSDB1BrancaResidencialResidencialNão se aplicaNão se aplicaFora ponta</v>
      </c>
      <c r="S185" s="8">
        <f t="shared" si="5"/>
        <v>198.56</v>
      </c>
    </row>
    <row r="186" spans="1:19" ht="11.25" customHeight="1" x14ac:dyDescent="0.25">
      <c r="A186" s="31">
        <v>208</v>
      </c>
      <c r="B186" s="31" t="s">
        <v>581</v>
      </c>
      <c r="C186" s="31" t="s">
        <v>22</v>
      </c>
      <c r="D186" s="31" t="s">
        <v>36</v>
      </c>
      <c r="E186" s="31" t="s">
        <v>24</v>
      </c>
      <c r="F186" s="31" t="s">
        <v>24</v>
      </c>
      <c r="G186" s="31" t="s">
        <v>25</v>
      </c>
      <c r="H186" s="31" t="s">
        <v>25</v>
      </c>
      <c r="I186" s="31" t="s">
        <v>38</v>
      </c>
      <c r="J186" s="31" t="s">
        <v>727</v>
      </c>
      <c r="K186" s="31" t="s">
        <v>726</v>
      </c>
      <c r="L186" s="31" t="s">
        <v>71</v>
      </c>
      <c r="M186" s="31">
        <v>2021</v>
      </c>
      <c r="N186" s="31">
        <v>0</v>
      </c>
      <c r="O186" s="31">
        <v>380.18</v>
      </c>
      <c r="P186" s="31">
        <v>61.399261587869397</v>
      </c>
      <c r="R186" s="8" t="str">
        <f t="shared" si="4"/>
        <v>TUSDB1BrancaResidencialResidencialNão se aplicaNão se aplicaIntermediário</v>
      </c>
      <c r="S186" s="8">
        <f t="shared" si="5"/>
        <v>380.18</v>
      </c>
    </row>
    <row r="187" spans="1:19" ht="11.25" customHeight="1" x14ac:dyDescent="0.25">
      <c r="A187" s="31">
        <v>207</v>
      </c>
      <c r="B187" s="31" t="s">
        <v>581</v>
      </c>
      <c r="C187" s="31" t="s">
        <v>22</v>
      </c>
      <c r="D187" s="31" t="s">
        <v>36</v>
      </c>
      <c r="E187" s="31" t="s">
        <v>24</v>
      </c>
      <c r="F187" s="31" t="s">
        <v>24</v>
      </c>
      <c r="G187" s="31" t="s">
        <v>25</v>
      </c>
      <c r="H187" s="31" t="s">
        <v>25</v>
      </c>
      <c r="I187" s="31" t="s">
        <v>37</v>
      </c>
      <c r="J187" s="31" t="s">
        <v>727</v>
      </c>
      <c r="K187" s="31" t="s">
        <v>726</v>
      </c>
      <c r="L187" s="31" t="s">
        <v>71</v>
      </c>
      <c r="M187" s="31">
        <v>2021</v>
      </c>
      <c r="N187" s="31">
        <v>0</v>
      </c>
      <c r="O187" s="31">
        <v>561.79999999999995</v>
      </c>
      <c r="P187" s="31">
        <v>61.399261587869397</v>
      </c>
      <c r="R187" s="8" t="str">
        <f t="shared" si="4"/>
        <v>TUSDB1BrancaResidencialResidencialNão se aplicaNão se aplicaPonta</v>
      </c>
      <c r="S187" s="8">
        <f t="shared" si="5"/>
        <v>561.79999999999995</v>
      </c>
    </row>
    <row r="188" spans="1:19" ht="11.25" customHeight="1" x14ac:dyDescent="0.25">
      <c r="A188" s="31">
        <v>210</v>
      </c>
      <c r="B188" s="31" t="s">
        <v>581</v>
      </c>
      <c r="C188" s="31" t="s">
        <v>22</v>
      </c>
      <c r="D188" s="31" t="s">
        <v>23</v>
      </c>
      <c r="E188" s="31" t="s">
        <v>24</v>
      </c>
      <c r="F188" s="31" t="s">
        <v>24</v>
      </c>
      <c r="G188" s="31" t="s">
        <v>25</v>
      </c>
      <c r="H188" s="31" t="s">
        <v>25</v>
      </c>
      <c r="I188" s="31" t="s">
        <v>25</v>
      </c>
      <c r="J188" s="31" t="s">
        <v>727</v>
      </c>
      <c r="K188" s="31" t="s">
        <v>726</v>
      </c>
      <c r="L188" s="31" t="s">
        <v>71</v>
      </c>
      <c r="M188" s="31">
        <v>2021</v>
      </c>
      <c r="N188" s="31">
        <v>0</v>
      </c>
      <c r="O188" s="31">
        <v>269.91000000000003</v>
      </c>
      <c r="P188" s="31">
        <v>61.399261587869397</v>
      </c>
      <c r="R188" s="8" t="str">
        <f t="shared" si="4"/>
        <v>TUSDB1ConvencionalResidencialResidencialNão se aplicaNão se aplicaNão se aplica</v>
      </c>
      <c r="S188" s="8">
        <f t="shared" si="5"/>
        <v>269.91000000000003</v>
      </c>
    </row>
    <row r="189" spans="1:19" ht="11.25" customHeight="1" x14ac:dyDescent="0.25">
      <c r="A189" s="31">
        <v>211</v>
      </c>
      <c r="B189" s="31" t="s">
        <v>581</v>
      </c>
      <c r="C189" s="31" t="s">
        <v>22</v>
      </c>
      <c r="D189" s="31" t="s">
        <v>23</v>
      </c>
      <c r="E189" s="31" t="s">
        <v>24</v>
      </c>
      <c r="F189" s="31" t="s">
        <v>29</v>
      </c>
      <c r="G189" s="31" t="s">
        <v>25</v>
      </c>
      <c r="H189" s="31" t="s">
        <v>25</v>
      </c>
      <c r="I189" s="31" t="s">
        <v>25</v>
      </c>
      <c r="J189" s="31" t="s">
        <v>727</v>
      </c>
      <c r="K189" s="31" t="s">
        <v>726</v>
      </c>
      <c r="L189" s="31" t="s">
        <v>71</v>
      </c>
      <c r="M189" s="31">
        <v>2021</v>
      </c>
      <c r="N189" s="31">
        <v>0</v>
      </c>
      <c r="O189" s="31">
        <v>68.53</v>
      </c>
      <c r="P189" s="31">
        <v>0</v>
      </c>
      <c r="R189" s="8" t="str">
        <f t="shared" si="4"/>
        <v>TUSDB1ConvencionalResidencialResidencial baixa renda – faixa 01Não se aplicaNão se aplicaNão se aplica</v>
      </c>
      <c r="S189" s="8">
        <f t="shared" si="5"/>
        <v>68.53</v>
      </c>
    </row>
    <row r="190" spans="1:19" ht="11.25" customHeight="1" x14ac:dyDescent="0.25">
      <c r="A190" s="31">
        <v>212</v>
      </c>
      <c r="B190" s="31" t="s">
        <v>581</v>
      </c>
      <c r="C190" s="31" t="s">
        <v>22</v>
      </c>
      <c r="D190" s="31" t="s">
        <v>23</v>
      </c>
      <c r="E190" s="31" t="s">
        <v>24</v>
      </c>
      <c r="F190" s="31" t="s">
        <v>30</v>
      </c>
      <c r="G190" s="31" t="s">
        <v>25</v>
      </c>
      <c r="H190" s="31" t="s">
        <v>25</v>
      </c>
      <c r="I190" s="31" t="s">
        <v>25</v>
      </c>
      <c r="J190" s="31" t="s">
        <v>727</v>
      </c>
      <c r="K190" s="31" t="s">
        <v>726</v>
      </c>
      <c r="L190" s="31" t="s">
        <v>71</v>
      </c>
      <c r="M190" s="31">
        <v>2021</v>
      </c>
      <c r="N190" s="31">
        <v>0</v>
      </c>
      <c r="O190" s="31">
        <v>117.48</v>
      </c>
      <c r="P190" s="31">
        <v>0</v>
      </c>
      <c r="R190" s="8" t="str">
        <f t="shared" si="4"/>
        <v>TUSDB1ConvencionalResidencialResidencial baixa renda – faixa 02Não se aplicaNão se aplicaNão se aplica</v>
      </c>
      <c r="S190" s="8">
        <f t="shared" si="5"/>
        <v>117.48</v>
      </c>
    </row>
    <row r="191" spans="1:19" ht="11.25" customHeight="1" x14ac:dyDescent="0.25">
      <c r="A191" s="31">
        <v>213</v>
      </c>
      <c r="B191" s="31" t="s">
        <v>581</v>
      </c>
      <c r="C191" s="31" t="s">
        <v>22</v>
      </c>
      <c r="D191" s="31" t="s">
        <v>23</v>
      </c>
      <c r="E191" s="31" t="s">
        <v>24</v>
      </c>
      <c r="F191" s="31" t="s">
        <v>31</v>
      </c>
      <c r="G191" s="31" t="s">
        <v>25</v>
      </c>
      <c r="H191" s="31" t="s">
        <v>25</v>
      </c>
      <c r="I191" s="31" t="s">
        <v>25</v>
      </c>
      <c r="J191" s="31" t="s">
        <v>727</v>
      </c>
      <c r="K191" s="31" t="s">
        <v>726</v>
      </c>
      <c r="L191" s="31" t="s">
        <v>71</v>
      </c>
      <c r="M191" s="31">
        <v>2021</v>
      </c>
      <c r="N191" s="31">
        <v>0</v>
      </c>
      <c r="O191" s="31">
        <v>176.22</v>
      </c>
      <c r="P191" s="31">
        <v>0</v>
      </c>
      <c r="R191" s="8" t="str">
        <f t="shared" si="4"/>
        <v>TUSDB1ConvencionalResidencialResidencial baixa renda – faixa 03Não se aplicaNão se aplicaNão se aplica</v>
      </c>
      <c r="S191" s="8">
        <f t="shared" si="5"/>
        <v>176.22</v>
      </c>
    </row>
    <row r="192" spans="1:19" ht="11.25" customHeight="1" x14ac:dyDescent="0.25">
      <c r="A192" s="31">
        <v>214</v>
      </c>
      <c r="B192" s="31" t="s">
        <v>581</v>
      </c>
      <c r="C192" s="31" t="s">
        <v>22</v>
      </c>
      <c r="D192" s="31" t="s">
        <v>23</v>
      </c>
      <c r="E192" s="31" t="s">
        <v>24</v>
      </c>
      <c r="F192" s="31" t="s">
        <v>32</v>
      </c>
      <c r="G192" s="31" t="s">
        <v>25</v>
      </c>
      <c r="H192" s="31" t="s">
        <v>25</v>
      </c>
      <c r="I192" s="31" t="s">
        <v>25</v>
      </c>
      <c r="J192" s="31" t="s">
        <v>727</v>
      </c>
      <c r="K192" s="31" t="s">
        <v>726</v>
      </c>
      <c r="L192" s="31" t="s">
        <v>71</v>
      </c>
      <c r="M192" s="31">
        <v>2021</v>
      </c>
      <c r="N192" s="31">
        <v>0</v>
      </c>
      <c r="O192" s="31">
        <v>195.8</v>
      </c>
      <c r="P192" s="31">
        <v>0</v>
      </c>
      <c r="R192" s="8" t="str">
        <f t="shared" si="4"/>
        <v>TUSDB1ConvencionalResidencialResidencial baixa renda – faixa 04Não se aplicaNão se aplicaNão se aplica</v>
      </c>
      <c r="S192" s="8">
        <f t="shared" si="5"/>
        <v>195.8</v>
      </c>
    </row>
    <row r="193" spans="1:19" ht="11.25" customHeight="1" x14ac:dyDescent="0.25">
      <c r="A193" s="31">
        <v>215</v>
      </c>
      <c r="B193" s="31" t="s">
        <v>581</v>
      </c>
      <c r="C193" s="31" t="s">
        <v>22</v>
      </c>
      <c r="D193" s="31" t="s">
        <v>86</v>
      </c>
      <c r="E193" s="31" t="s">
        <v>24</v>
      </c>
      <c r="F193" s="31" t="s">
        <v>24</v>
      </c>
      <c r="G193" s="31" t="s">
        <v>25</v>
      </c>
      <c r="H193" s="31" t="s">
        <v>25</v>
      </c>
      <c r="I193" s="31" t="s">
        <v>25</v>
      </c>
      <c r="J193" s="31" t="s">
        <v>727</v>
      </c>
      <c r="K193" s="31" t="s">
        <v>726</v>
      </c>
      <c r="L193" s="31" t="s">
        <v>71</v>
      </c>
      <c r="M193" s="31">
        <v>2021</v>
      </c>
      <c r="N193" s="31">
        <v>0</v>
      </c>
      <c r="O193" s="31">
        <v>269.91000000000003</v>
      </c>
      <c r="P193" s="31">
        <v>61.399261587869397</v>
      </c>
      <c r="R193" s="8" t="str">
        <f t="shared" si="4"/>
        <v>TUSDB1Convencional pré-pagamentoResidencialResidencialNão se aplicaNão se aplicaNão se aplica</v>
      </c>
      <c r="S193" s="8">
        <f t="shared" si="5"/>
        <v>269.91000000000003</v>
      </c>
    </row>
    <row r="194" spans="1:19" ht="11.25" customHeight="1" x14ac:dyDescent="0.25">
      <c r="A194" s="31">
        <v>216</v>
      </c>
      <c r="B194" s="31" t="s">
        <v>581</v>
      </c>
      <c r="C194" s="31" t="s">
        <v>22</v>
      </c>
      <c r="D194" s="31" t="s">
        <v>86</v>
      </c>
      <c r="E194" s="31" t="s">
        <v>24</v>
      </c>
      <c r="F194" s="31" t="s">
        <v>29</v>
      </c>
      <c r="G194" s="31" t="s">
        <v>25</v>
      </c>
      <c r="H194" s="31" t="s">
        <v>25</v>
      </c>
      <c r="I194" s="31" t="s">
        <v>25</v>
      </c>
      <c r="J194" s="31" t="s">
        <v>727</v>
      </c>
      <c r="K194" s="31" t="s">
        <v>726</v>
      </c>
      <c r="L194" s="31" t="s">
        <v>71</v>
      </c>
      <c r="M194" s="31">
        <v>2021</v>
      </c>
      <c r="N194" s="31">
        <v>0</v>
      </c>
      <c r="O194" s="31">
        <v>68.53</v>
      </c>
      <c r="P194" s="31">
        <v>0</v>
      </c>
      <c r="R194" s="8" t="str">
        <f t="shared" ref="R194:R219" si="6">B194&amp;C194&amp;D194&amp;E194&amp;F194&amp;G194&amp;H194&amp;I194</f>
        <v>TUSDB1Convencional pré-pagamentoResidencialResidencial baixa renda – faixa 01Não se aplicaNão se aplicaNão se aplica</v>
      </c>
      <c r="S194" s="8">
        <f t="shared" ref="S194:S219" si="7">O194</f>
        <v>68.53</v>
      </c>
    </row>
    <row r="195" spans="1:19" ht="11.25" customHeight="1" x14ac:dyDescent="0.25">
      <c r="A195" s="31">
        <v>217</v>
      </c>
      <c r="B195" s="31" t="s">
        <v>581</v>
      </c>
      <c r="C195" s="31" t="s">
        <v>22</v>
      </c>
      <c r="D195" s="31" t="s">
        <v>86</v>
      </c>
      <c r="E195" s="31" t="s">
        <v>24</v>
      </c>
      <c r="F195" s="31" t="s">
        <v>30</v>
      </c>
      <c r="G195" s="31" t="s">
        <v>25</v>
      </c>
      <c r="H195" s="31" t="s">
        <v>25</v>
      </c>
      <c r="I195" s="31" t="s">
        <v>25</v>
      </c>
      <c r="J195" s="31" t="s">
        <v>727</v>
      </c>
      <c r="K195" s="31" t="s">
        <v>726</v>
      </c>
      <c r="L195" s="31" t="s">
        <v>71</v>
      </c>
      <c r="M195" s="31">
        <v>2021</v>
      </c>
      <c r="N195" s="31">
        <v>0</v>
      </c>
      <c r="O195" s="31">
        <v>117.48</v>
      </c>
      <c r="P195" s="31">
        <v>0</v>
      </c>
      <c r="R195" s="8" t="str">
        <f t="shared" si="6"/>
        <v>TUSDB1Convencional pré-pagamentoResidencialResidencial baixa renda – faixa 02Não se aplicaNão se aplicaNão se aplica</v>
      </c>
      <c r="S195" s="8">
        <f t="shared" si="7"/>
        <v>117.48</v>
      </c>
    </row>
    <row r="196" spans="1:19" ht="11.25" customHeight="1" x14ac:dyDescent="0.25">
      <c r="A196" s="31">
        <v>218</v>
      </c>
      <c r="B196" s="31" t="s">
        <v>581</v>
      </c>
      <c r="C196" s="31" t="s">
        <v>22</v>
      </c>
      <c r="D196" s="31" t="s">
        <v>86</v>
      </c>
      <c r="E196" s="31" t="s">
        <v>24</v>
      </c>
      <c r="F196" s="31" t="s">
        <v>31</v>
      </c>
      <c r="G196" s="31" t="s">
        <v>25</v>
      </c>
      <c r="H196" s="31" t="s">
        <v>25</v>
      </c>
      <c r="I196" s="31" t="s">
        <v>25</v>
      </c>
      <c r="J196" s="31" t="s">
        <v>727</v>
      </c>
      <c r="K196" s="31" t="s">
        <v>726</v>
      </c>
      <c r="L196" s="31" t="s">
        <v>71</v>
      </c>
      <c r="M196" s="31">
        <v>2021</v>
      </c>
      <c r="N196" s="31">
        <v>0</v>
      </c>
      <c r="O196" s="31">
        <v>176.22</v>
      </c>
      <c r="P196" s="31">
        <v>0</v>
      </c>
      <c r="R196" s="8" t="str">
        <f t="shared" si="6"/>
        <v>TUSDB1Convencional pré-pagamentoResidencialResidencial baixa renda – faixa 03Não se aplicaNão se aplicaNão se aplica</v>
      </c>
      <c r="S196" s="8">
        <f t="shared" si="7"/>
        <v>176.22</v>
      </c>
    </row>
    <row r="197" spans="1:19" ht="11.25" customHeight="1" x14ac:dyDescent="0.25">
      <c r="A197" s="31">
        <v>2</v>
      </c>
      <c r="B197" s="31" t="s">
        <v>581</v>
      </c>
      <c r="C197" s="31" t="s">
        <v>22</v>
      </c>
      <c r="D197" s="31" t="s">
        <v>86</v>
      </c>
      <c r="E197" s="31" t="s">
        <v>24</v>
      </c>
      <c r="F197" s="31" t="s">
        <v>32</v>
      </c>
      <c r="G197" s="31" t="s">
        <v>25</v>
      </c>
      <c r="H197" s="31" t="s">
        <v>25</v>
      </c>
      <c r="I197" s="31" t="s">
        <v>25</v>
      </c>
      <c r="J197" s="31" t="s">
        <v>727</v>
      </c>
      <c r="K197" s="31" t="s">
        <v>726</v>
      </c>
      <c r="L197" s="31" t="s">
        <v>71</v>
      </c>
      <c r="M197" s="31">
        <v>2021</v>
      </c>
      <c r="N197" s="31">
        <v>0</v>
      </c>
      <c r="O197" s="31">
        <v>195.8</v>
      </c>
      <c r="P197" s="31">
        <v>0</v>
      </c>
      <c r="R197" s="8" t="str">
        <f t="shared" si="6"/>
        <v>TUSDB1Convencional pré-pagamentoResidencialResidencial baixa renda – faixa 04Não se aplicaNão se aplicaNão se aplica</v>
      </c>
      <c r="S197" s="8">
        <f t="shared" si="7"/>
        <v>195.8</v>
      </c>
    </row>
    <row r="198" spans="1:19" ht="11.25" customHeight="1" x14ac:dyDescent="0.25">
      <c r="A198" s="31">
        <v>16</v>
      </c>
      <c r="B198" s="31" t="s">
        <v>581</v>
      </c>
      <c r="C198" s="31" t="s">
        <v>44</v>
      </c>
      <c r="D198" s="31" t="s">
        <v>36</v>
      </c>
      <c r="E198" s="31" t="s">
        <v>45</v>
      </c>
      <c r="F198" s="31" t="s">
        <v>87</v>
      </c>
      <c r="G198" s="31" t="s">
        <v>25</v>
      </c>
      <c r="H198" s="31" t="s">
        <v>25</v>
      </c>
      <c r="I198" s="31" t="s">
        <v>35</v>
      </c>
      <c r="J198" s="31" t="s">
        <v>727</v>
      </c>
      <c r="K198" s="31" t="s">
        <v>726</v>
      </c>
      <c r="L198" s="31" t="s">
        <v>71</v>
      </c>
      <c r="M198" s="31">
        <v>2021</v>
      </c>
      <c r="N198" s="31">
        <v>0</v>
      </c>
      <c r="O198" s="31">
        <v>173.83</v>
      </c>
      <c r="P198" s="31">
        <v>52.465669026834398</v>
      </c>
      <c r="R198" s="8" t="str">
        <f t="shared" si="6"/>
        <v>TUSDB2BrancaRuralCooperativa de eletrificação ruralNão se aplicaNão se aplicaFora ponta</v>
      </c>
      <c r="S198" s="8">
        <f t="shared" si="7"/>
        <v>173.83</v>
      </c>
    </row>
    <row r="199" spans="1:19" ht="11.25" customHeight="1" x14ac:dyDescent="0.25">
      <c r="A199" s="31">
        <v>14</v>
      </c>
      <c r="B199" s="31" t="s">
        <v>581</v>
      </c>
      <c r="C199" s="31" t="s">
        <v>44</v>
      </c>
      <c r="D199" s="31" t="s">
        <v>36</v>
      </c>
      <c r="E199" s="31" t="s">
        <v>45</v>
      </c>
      <c r="F199" s="31" t="s">
        <v>87</v>
      </c>
      <c r="G199" s="31" t="s">
        <v>25</v>
      </c>
      <c r="H199" s="31" t="s">
        <v>25</v>
      </c>
      <c r="I199" s="31" t="s">
        <v>38</v>
      </c>
      <c r="J199" s="31" t="s">
        <v>727</v>
      </c>
      <c r="K199" s="31" t="s">
        <v>726</v>
      </c>
      <c r="L199" s="31" t="s">
        <v>71</v>
      </c>
      <c r="M199" s="31">
        <v>2021</v>
      </c>
      <c r="N199" s="31">
        <v>0</v>
      </c>
      <c r="O199" s="31">
        <v>337.34</v>
      </c>
      <c r="P199" s="31">
        <v>52.465669026834398</v>
      </c>
      <c r="R199" s="8" t="str">
        <f t="shared" si="6"/>
        <v>TUSDB2BrancaRuralCooperativa de eletrificação ruralNão se aplicaNão se aplicaIntermediário</v>
      </c>
      <c r="S199" s="8">
        <f t="shared" si="7"/>
        <v>337.34</v>
      </c>
    </row>
    <row r="200" spans="1:19" ht="11.25" customHeight="1" x14ac:dyDescent="0.25">
      <c r="A200" s="31">
        <v>12</v>
      </c>
      <c r="B200" s="31" t="s">
        <v>581</v>
      </c>
      <c r="C200" s="31" t="s">
        <v>44</v>
      </c>
      <c r="D200" s="31" t="s">
        <v>36</v>
      </c>
      <c r="E200" s="31" t="s">
        <v>45</v>
      </c>
      <c r="F200" s="31" t="s">
        <v>87</v>
      </c>
      <c r="G200" s="31" t="s">
        <v>25</v>
      </c>
      <c r="H200" s="31" t="s">
        <v>25</v>
      </c>
      <c r="I200" s="31" t="s">
        <v>37</v>
      </c>
      <c r="J200" s="31" t="s">
        <v>727</v>
      </c>
      <c r="K200" s="31" t="s">
        <v>726</v>
      </c>
      <c r="L200" s="31" t="s">
        <v>71</v>
      </c>
      <c r="M200" s="31">
        <v>2021</v>
      </c>
      <c r="N200" s="31">
        <v>0</v>
      </c>
      <c r="O200" s="31">
        <v>500.85</v>
      </c>
      <c r="P200" s="31">
        <v>52.465669026834398</v>
      </c>
      <c r="R200" s="8" t="str">
        <f t="shared" si="6"/>
        <v>TUSDB2BrancaRuralCooperativa de eletrificação ruralNão se aplicaNão se aplicaPonta</v>
      </c>
      <c r="S200" s="8">
        <f t="shared" si="7"/>
        <v>500.85</v>
      </c>
    </row>
    <row r="201" spans="1:19" ht="11.25" customHeight="1" x14ac:dyDescent="0.25">
      <c r="A201" s="31">
        <v>8</v>
      </c>
      <c r="B201" s="31" t="s">
        <v>581</v>
      </c>
      <c r="C201" s="31" t="s">
        <v>44</v>
      </c>
      <c r="D201" s="31" t="s">
        <v>36</v>
      </c>
      <c r="E201" s="31" t="s">
        <v>45</v>
      </c>
      <c r="F201" s="31" t="s">
        <v>25</v>
      </c>
      <c r="G201" s="31" t="s">
        <v>25</v>
      </c>
      <c r="H201" s="31" t="s">
        <v>25</v>
      </c>
      <c r="I201" s="31" t="s">
        <v>35</v>
      </c>
      <c r="J201" s="31" t="s">
        <v>727</v>
      </c>
      <c r="K201" s="31" t="s">
        <v>726</v>
      </c>
      <c r="L201" s="31" t="s">
        <v>71</v>
      </c>
      <c r="M201" s="31">
        <v>2021</v>
      </c>
      <c r="N201" s="31">
        <v>0</v>
      </c>
      <c r="O201" s="31">
        <v>179.01</v>
      </c>
      <c r="P201" s="31">
        <v>54.031350197325096</v>
      </c>
      <c r="R201" s="8" t="str">
        <f t="shared" si="6"/>
        <v>TUSDB2BrancaRuralNão se aplicaNão se aplicaNão se aplicaFora ponta</v>
      </c>
      <c r="S201" s="8">
        <f t="shared" si="7"/>
        <v>179.01</v>
      </c>
    </row>
    <row r="202" spans="1:19" ht="11.25" customHeight="1" x14ac:dyDescent="0.25">
      <c r="A202" s="31">
        <v>6</v>
      </c>
      <c r="B202" s="31" t="s">
        <v>581</v>
      </c>
      <c r="C202" s="31" t="s">
        <v>44</v>
      </c>
      <c r="D202" s="31" t="s">
        <v>36</v>
      </c>
      <c r="E202" s="31" t="s">
        <v>45</v>
      </c>
      <c r="F202" s="31" t="s">
        <v>25</v>
      </c>
      <c r="G202" s="31" t="s">
        <v>25</v>
      </c>
      <c r="H202" s="31" t="s">
        <v>25</v>
      </c>
      <c r="I202" s="31" t="s">
        <v>38</v>
      </c>
      <c r="J202" s="31" t="s">
        <v>727</v>
      </c>
      <c r="K202" s="31" t="s">
        <v>726</v>
      </c>
      <c r="L202" s="31" t="s">
        <v>71</v>
      </c>
      <c r="M202" s="31">
        <v>2021</v>
      </c>
      <c r="N202" s="31">
        <v>0</v>
      </c>
      <c r="O202" s="31">
        <v>347.4</v>
      </c>
      <c r="P202" s="31">
        <v>54.031350197325096</v>
      </c>
      <c r="R202" s="8" t="str">
        <f t="shared" si="6"/>
        <v>TUSDB2BrancaRuralNão se aplicaNão se aplicaNão se aplicaIntermediário</v>
      </c>
      <c r="S202" s="8">
        <f t="shared" si="7"/>
        <v>347.4</v>
      </c>
    </row>
    <row r="203" spans="1:19" ht="11.25" customHeight="1" x14ac:dyDescent="0.25">
      <c r="A203" s="31">
        <v>4</v>
      </c>
      <c r="B203" s="31" t="s">
        <v>581</v>
      </c>
      <c r="C203" s="31" t="s">
        <v>44</v>
      </c>
      <c r="D203" s="31" t="s">
        <v>36</v>
      </c>
      <c r="E203" s="31" t="s">
        <v>45</v>
      </c>
      <c r="F203" s="31" t="s">
        <v>25</v>
      </c>
      <c r="G203" s="31" t="s">
        <v>25</v>
      </c>
      <c r="H203" s="31" t="s">
        <v>25</v>
      </c>
      <c r="I203" s="31" t="s">
        <v>37</v>
      </c>
      <c r="J203" s="31" t="s">
        <v>727</v>
      </c>
      <c r="K203" s="31" t="s">
        <v>726</v>
      </c>
      <c r="L203" s="31" t="s">
        <v>71</v>
      </c>
      <c r="M203" s="31">
        <v>2021</v>
      </c>
      <c r="N203" s="31">
        <v>0</v>
      </c>
      <c r="O203" s="31">
        <v>515.79</v>
      </c>
      <c r="P203" s="31">
        <v>54.031350197325096</v>
      </c>
      <c r="R203" s="8" t="str">
        <f t="shared" si="6"/>
        <v>TUSDB2BrancaRuralNão se aplicaNão se aplicaNão se aplicaPonta</v>
      </c>
      <c r="S203" s="8">
        <f t="shared" si="7"/>
        <v>515.79</v>
      </c>
    </row>
    <row r="204" spans="1:19" ht="11.25" customHeight="1" x14ac:dyDescent="0.25">
      <c r="A204" s="31">
        <v>24</v>
      </c>
      <c r="B204" s="31" t="s">
        <v>581</v>
      </c>
      <c r="C204" s="31" t="s">
        <v>44</v>
      </c>
      <c r="D204" s="31" t="s">
        <v>36</v>
      </c>
      <c r="E204" s="31" t="s">
        <v>45</v>
      </c>
      <c r="F204" s="31" t="s">
        <v>88</v>
      </c>
      <c r="G204" s="31" t="s">
        <v>25</v>
      </c>
      <c r="H204" s="31" t="s">
        <v>25</v>
      </c>
      <c r="I204" s="31" t="s">
        <v>35</v>
      </c>
      <c r="J204" s="31" t="s">
        <v>727</v>
      </c>
      <c r="K204" s="31" t="s">
        <v>726</v>
      </c>
      <c r="L204" s="31" t="s">
        <v>71</v>
      </c>
      <c r="M204" s="31">
        <v>2021</v>
      </c>
      <c r="N204" s="31">
        <v>0</v>
      </c>
      <c r="O204" s="31">
        <v>170.88</v>
      </c>
      <c r="P204" s="31">
        <v>51.575379733810301</v>
      </c>
      <c r="R204" s="8" t="str">
        <f t="shared" si="6"/>
        <v>TUSDB2BrancaRuralServiço público de irrigação ruralNão se aplicaNão se aplicaFora ponta</v>
      </c>
      <c r="S204" s="8">
        <f t="shared" si="7"/>
        <v>170.88</v>
      </c>
    </row>
    <row r="205" spans="1:19" ht="11.25" customHeight="1" x14ac:dyDescent="0.25">
      <c r="A205" s="31">
        <v>22</v>
      </c>
      <c r="B205" s="31" t="s">
        <v>581</v>
      </c>
      <c r="C205" s="31" t="s">
        <v>44</v>
      </c>
      <c r="D205" s="31" t="s">
        <v>36</v>
      </c>
      <c r="E205" s="31" t="s">
        <v>45</v>
      </c>
      <c r="F205" s="31" t="s">
        <v>88</v>
      </c>
      <c r="G205" s="31" t="s">
        <v>25</v>
      </c>
      <c r="H205" s="31" t="s">
        <v>25</v>
      </c>
      <c r="I205" s="31" t="s">
        <v>38</v>
      </c>
      <c r="J205" s="31" t="s">
        <v>727</v>
      </c>
      <c r="K205" s="31" t="s">
        <v>726</v>
      </c>
      <c r="L205" s="31" t="s">
        <v>71</v>
      </c>
      <c r="M205" s="31">
        <v>2021</v>
      </c>
      <c r="N205" s="31">
        <v>0</v>
      </c>
      <c r="O205" s="31">
        <v>331.61</v>
      </c>
      <c r="P205" s="31">
        <v>51.575379733810301</v>
      </c>
      <c r="R205" s="8" t="str">
        <f t="shared" si="6"/>
        <v>TUSDB2BrancaRuralServiço público de irrigação ruralNão se aplicaNão se aplicaIntermediário</v>
      </c>
      <c r="S205" s="8">
        <f t="shared" si="7"/>
        <v>331.61</v>
      </c>
    </row>
    <row r="206" spans="1:19" ht="11.25" customHeight="1" x14ac:dyDescent="0.25">
      <c r="A206" s="31">
        <v>20</v>
      </c>
      <c r="B206" s="31" t="s">
        <v>581</v>
      </c>
      <c r="C206" s="31" t="s">
        <v>44</v>
      </c>
      <c r="D206" s="31" t="s">
        <v>36</v>
      </c>
      <c r="E206" s="31" t="s">
        <v>45</v>
      </c>
      <c r="F206" s="31" t="s">
        <v>88</v>
      </c>
      <c r="G206" s="31" t="s">
        <v>25</v>
      </c>
      <c r="H206" s="31" t="s">
        <v>25</v>
      </c>
      <c r="I206" s="31" t="s">
        <v>37</v>
      </c>
      <c r="J206" s="31" t="s">
        <v>727</v>
      </c>
      <c r="K206" s="31" t="s">
        <v>726</v>
      </c>
      <c r="L206" s="31" t="s">
        <v>71</v>
      </c>
      <c r="M206" s="31">
        <v>2021</v>
      </c>
      <c r="N206" s="31">
        <v>0</v>
      </c>
      <c r="O206" s="31">
        <v>492.35</v>
      </c>
      <c r="P206" s="31">
        <v>51.575379733810301</v>
      </c>
      <c r="R206" s="8" t="str">
        <f t="shared" si="6"/>
        <v>TUSDB2BrancaRuralServiço público de irrigação ruralNão se aplicaNão se aplicaPonta</v>
      </c>
      <c r="S206" s="8">
        <f t="shared" si="7"/>
        <v>492.35</v>
      </c>
    </row>
    <row r="207" spans="1:19" ht="11.25" customHeight="1" x14ac:dyDescent="0.25">
      <c r="A207" s="31">
        <v>18</v>
      </c>
      <c r="B207" s="31" t="s">
        <v>581</v>
      </c>
      <c r="C207" s="31" t="s">
        <v>44</v>
      </c>
      <c r="D207" s="31" t="s">
        <v>23</v>
      </c>
      <c r="E207" s="31" t="s">
        <v>45</v>
      </c>
      <c r="F207" s="31" t="s">
        <v>87</v>
      </c>
      <c r="G207" s="31" t="s">
        <v>25</v>
      </c>
      <c r="H207" s="31" t="s">
        <v>25</v>
      </c>
      <c r="I207" s="31" t="s">
        <v>25</v>
      </c>
      <c r="J207" s="31" t="s">
        <v>727</v>
      </c>
      <c r="K207" s="31" t="s">
        <v>726</v>
      </c>
      <c r="L207" s="31" t="s">
        <v>71</v>
      </c>
      <c r="M207" s="31">
        <v>2021</v>
      </c>
      <c r="N207" s="31">
        <v>0</v>
      </c>
      <c r="O207" s="31">
        <v>230.64</v>
      </c>
      <c r="P207" s="31">
        <v>52.465669026834398</v>
      </c>
      <c r="R207" s="8" t="str">
        <f t="shared" si="6"/>
        <v>TUSDB2ConvencionalRuralCooperativa de eletrificação ruralNão se aplicaNão se aplicaNão se aplica</v>
      </c>
      <c r="S207" s="8">
        <f t="shared" si="7"/>
        <v>230.64</v>
      </c>
    </row>
    <row r="208" spans="1:19" ht="11.25" customHeight="1" x14ac:dyDescent="0.25">
      <c r="A208" s="31">
        <v>10</v>
      </c>
      <c r="B208" s="31" t="s">
        <v>581</v>
      </c>
      <c r="C208" s="31" t="s">
        <v>44</v>
      </c>
      <c r="D208" s="31" t="s">
        <v>23</v>
      </c>
      <c r="E208" s="31" t="s">
        <v>45</v>
      </c>
      <c r="F208" s="31" t="s">
        <v>25</v>
      </c>
      <c r="G208" s="31" t="s">
        <v>25</v>
      </c>
      <c r="H208" s="31" t="s">
        <v>25</v>
      </c>
      <c r="I208" s="31" t="s">
        <v>25</v>
      </c>
      <c r="J208" s="31" t="s">
        <v>727</v>
      </c>
      <c r="K208" s="31" t="s">
        <v>726</v>
      </c>
      <c r="L208" s="31" t="s">
        <v>71</v>
      </c>
      <c r="M208" s="31">
        <v>2021</v>
      </c>
      <c r="N208" s="31">
        <v>0</v>
      </c>
      <c r="O208" s="31">
        <v>237.52</v>
      </c>
      <c r="P208" s="31">
        <v>54.031350197325096</v>
      </c>
      <c r="R208" s="8" t="str">
        <f t="shared" si="6"/>
        <v>TUSDB2ConvencionalRuralNão se aplicaNão se aplicaNão se aplicaNão se aplica</v>
      </c>
      <c r="S208" s="8">
        <f t="shared" si="7"/>
        <v>237.52</v>
      </c>
    </row>
    <row r="209" spans="1:19" ht="11.25" customHeight="1" x14ac:dyDescent="0.25">
      <c r="A209" s="31">
        <v>26</v>
      </c>
      <c r="B209" s="31" t="s">
        <v>581</v>
      </c>
      <c r="C209" s="31" t="s">
        <v>44</v>
      </c>
      <c r="D209" s="31" t="s">
        <v>23</v>
      </c>
      <c r="E209" s="31" t="s">
        <v>45</v>
      </c>
      <c r="F209" s="31" t="s">
        <v>88</v>
      </c>
      <c r="G209" s="31" t="s">
        <v>25</v>
      </c>
      <c r="H209" s="31" t="s">
        <v>25</v>
      </c>
      <c r="I209" s="31" t="s">
        <v>25</v>
      </c>
      <c r="J209" s="31" t="s">
        <v>727</v>
      </c>
      <c r="K209" s="31" t="s">
        <v>726</v>
      </c>
      <c r="L209" s="31" t="s">
        <v>71</v>
      </c>
      <c r="M209" s="31">
        <v>2021</v>
      </c>
      <c r="N209" s="31">
        <v>0</v>
      </c>
      <c r="O209" s="31">
        <v>226.72</v>
      </c>
      <c r="P209" s="31">
        <v>51.575379733810301</v>
      </c>
      <c r="R209" s="8" t="str">
        <f t="shared" si="6"/>
        <v>TUSDB2ConvencionalRuralServiço público de irrigação ruralNão se aplicaNão se aplicaNão se aplica</v>
      </c>
      <c r="S209" s="8">
        <f t="shared" si="7"/>
        <v>226.72</v>
      </c>
    </row>
    <row r="210" spans="1:19" ht="11.25" customHeight="1" x14ac:dyDescent="0.25">
      <c r="A210" s="31">
        <v>30</v>
      </c>
      <c r="B210" s="31" t="s">
        <v>581</v>
      </c>
      <c r="C210" s="31" t="s">
        <v>44</v>
      </c>
      <c r="D210" s="31" t="s">
        <v>86</v>
      </c>
      <c r="E210" s="31" t="s">
        <v>45</v>
      </c>
      <c r="F210" s="31" t="s">
        <v>87</v>
      </c>
      <c r="G210" s="31" t="s">
        <v>25</v>
      </c>
      <c r="H210" s="31" t="s">
        <v>25</v>
      </c>
      <c r="I210" s="31" t="s">
        <v>25</v>
      </c>
      <c r="J210" s="31" t="s">
        <v>727</v>
      </c>
      <c r="K210" s="31" t="s">
        <v>726</v>
      </c>
      <c r="L210" s="31" t="s">
        <v>71</v>
      </c>
      <c r="M210" s="31">
        <v>2021</v>
      </c>
      <c r="N210" s="31">
        <v>0</v>
      </c>
      <c r="O210" s="31">
        <v>230.64</v>
      </c>
      <c r="P210" s="31">
        <v>52.465669026834398</v>
      </c>
      <c r="R210" s="8" t="str">
        <f t="shared" si="6"/>
        <v>TUSDB2Convencional pré-pagamentoRuralCooperativa de eletrificação ruralNão se aplicaNão se aplicaNão se aplica</v>
      </c>
      <c r="S210" s="8">
        <f t="shared" si="7"/>
        <v>230.64</v>
      </c>
    </row>
    <row r="211" spans="1:19" ht="11.25" customHeight="1" x14ac:dyDescent="0.25">
      <c r="A211" s="31">
        <v>28</v>
      </c>
      <c r="B211" s="31" t="s">
        <v>581</v>
      </c>
      <c r="C211" s="31" t="s">
        <v>44</v>
      </c>
      <c r="D211" s="31" t="s">
        <v>86</v>
      </c>
      <c r="E211" s="31" t="s">
        <v>45</v>
      </c>
      <c r="F211" s="31" t="s">
        <v>25</v>
      </c>
      <c r="G211" s="31" t="s">
        <v>25</v>
      </c>
      <c r="H211" s="31" t="s">
        <v>25</v>
      </c>
      <c r="I211" s="31" t="s">
        <v>25</v>
      </c>
      <c r="J211" s="31" t="s">
        <v>727</v>
      </c>
      <c r="K211" s="31" t="s">
        <v>726</v>
      </c>
      <c r="L211" s="31" t="s">
        <v>71</v>
      </c>
      <c r="M211" s="31">
        <v>2021</v>
      </c>
      <c r="N211" s="31">
        <v>0</v>
      </c>
      <c r="O211" s="31">
        <v>237.52</v>
      </c>
      <c r="P211" s="31">
        <v>54.031350197325096</v>
      </c>
      <c r="R211" s="8" t="str">
        <f t="shared" si="6"/>
        <v>TUSDB2Convencional pré-pagamentoRuralNão se aplicaNão se aplicaNão se aplicaNão se aplica</v>
      </c>
      <c r="S211" s="8">
        <f t="shared" si="7"/>
        <v>237.52</v>
      </c>
    </row>
    <row r="212" spans="1:19" ht="11.25" customHeight="1" x14ac:dyDescent="0.25">
      <c r="A212" s="31">
        <v>32</v>
      </c>
      <c r="B212" s="31" t="s">
        <v>581</v>
      </c>
      <c r="C212" s="31" t="s">
        <v>44</v>
      </c>
      <c r="D212" s="31" t="s">
        <v>86</v>
      </c>
      <c r="E212" s="31" t="s">
        <v>45</v>
      </c>
      <c r="F212" s="31" t="s">
        <v>88</v>
      </c>
      <c r="G212" s="31" t="s">
        <v>25</v>
      </c>
      <c r="H212" s="31" t="s">
        <v>25</v>
      </c>
      <c r="I212" s="31" t="s">
        <v>25</v>
      </c>
      <c r="J212" s="31" t="s">
        <v>727</v>
      </c>
      <c r="K212" s="31" t="s">
        <v>726</v>
      </c>
      <c r="L212" s="31" t="s">
        <v>71</v>
      </c>
      <c r="M212" s="31">
        <v>2021</v>
      </c>
      <c r="N212" s="31">
        <v>0</v>
      </c>
      <c r="O212" s="31">
        <v>226.72</v>
      </c>
      <c r="P212" s="31">
        <v>51.575379733810301</v>
      </c>
      <c r="R212" s="8" t="str">
        <f t="shared" si="6"/>
        <v>TUSDB2Convencional pré-pagamentoRuralServiço público de irrigação ruralNão se aplicaNão se aplicaNão se aplica</v>
      </c>
      <c r="S212" s="8">
        <f t="shared" si="7"/>
        <v>226.72</v>
      </c>
    </row>
    <row r="213" spans="1:19" ht="11.25" customHeight="1" x14ac:dyDescent="0.25">
      <c r="A213" s="31">
        <v>38</v>
      </c>
      <c r="B213" s="31" t="s">
        <v>581</v>
      </c>
      <c r="C213" s="31" t="s">
        <v>39</v>
      </c>
      <c r="D213" s="31" t="s">
        <v>36</v>
      </c>
      <c r="E213" s="31" t="s">
        <v>25</v>
      </c>
      <c r="F213" s="31" t="s">
        <v>25</v>
      </c>
      <c r="G213" s="31" t="s">
        <v>25</v>
      </c>
      <c r="H213" s="31" t="s">
        <v>25</v>
      </c>
      <c r="I213" s="31" t="s">
        <v>35</v>
      </c>
      <c r="J213" s="31" t="s">
        <v>727</v>
      </c>
      <c r="K213" s="31" t="s">
        <v>726</v>
      </c>
      <c r="L213" s="31" t="s">
        <v>71</v>
      </c>
      <c r="M213" s="31">
        <v>2021</v>
      </c>
      <c r="N213" s="31">
        <v>0</v>
      </c>
      <c r="O213" s="31">
        <v>214.77</v>
      </c>
      <c r="P213" s="31">
        <v>61.399261587869397</v>
      </c>
      <c r="R213" s="8" t="str">
        <f t="shared" si="6"/>
        <v>TUSDB3BrancaNão se aplicaNão se aplicaNão se aplicaNão se aplicaFora ponta</v>
      </c>
      <c r="S213" s="8">
        <f t="shared" si="7"/>
        <v>214.77</v>
      </c>
    </row>
    <row r="214" spans="1:19" ht="11.25" customHeight="1" x14ac:dyDescent="0.25">
      <c r="A214" s="31">
        <v>36</v>
      </c>
      <c r="B214" s="31" t="s">
        <v>581</v>
      </c>
      <c r="C214" s="31" t="s">
        <v>39</v>
      </c>
      <c r="D214" s="31" t="s">
        <v>36</v>
      </c>
      <c r="E214" s="31" t="s">
        <v>25</v>
      </c>
      <c r="F214" s="31" t="s">
        <v>25</v>
      </c>
      <c r="G214" s="31" t="s">
        <v>25</v>
      </c>
      <c r="H214" s="31" t="s">
        <v>25</v>
      </c>
      <c r="I214" s="31" t="s">
        <v>38</v>
      </c>
      <c r="J214" s="31" t="s">
        <v>727</v>
      </c>
      <c r="K214" s="31" t="s">
        <v>726</v>
      </c>
      <c r="L214" s="31" t="s">
        <v>71</v>
      </c>
      <c r="M214" s="31">
        <v>2021</v>
      </c>
      <c r="N214" s="31">
        <v>0</v>
      </c>
      <c r="O214" s="31">
        <v>428.83</v>
      </c>
      <c r="P214" s="31">
        <v>61.399261587869397</v>
      </c>
      <c r="R214" s="8" t="str">
        <f t="shared" si="6"/>
        <v>TUSDB3BrancaNão se aplicaNão se aplicaNão se aplicaNão se aplicaIntermediário</v>
      </c>
      <c r="S214" s="8">
        <f t="shared" si="7"/>
        <v>428.83</v>
      </c>
    </row>
    <row r="215" spans="1:19" ht="11.25" customHeight="1" x14ac:dyDescent="0.25">
      <c r="A215" s="31">
        <v>34</v>
      </c>
      <c r="B215" s="31" t="s">
        <v>581</v>
      </c>
      <c r="C215" s="31" t="s">
        <v>39</v>
      </c>
      <c r="D215" s="31" t="s">
        <v>36</v>
      </c>
      <c r="E215" s="31" t="s">
        <v>25</v>
      </c>
      <c r="F215" s="31" t="s">
        <v>25</v>
      </c>
      <c r="G215" s="31" t="s">
        <v>25</v>
      </c>
      <c r="H215" s="31" t="s">
        <v>25</v>
      </c>
      <c r="I215" s="31" t="s">
        <v>37</v>
      </c>
      <c r="J215" s="31" t="s">
        <v>727</v>
      </c>
      <c r="K215" s="31" t="s">
        <v>726</v>
      </c>
      <c r="L215" s="31" t="s">
        <v>71</v>
      </c>
      <c r="M215" s="31">
        <v>2021</v>
      </c>
      <c r="N215" s="31">
        <v>0</v>
      </c>
      <c r="O215" s="31">
        <v>642.88</v>
      </c>
      <c r="P215" s="31">
        <v>61.399261587869397</v>
      </c>
      <c r="R215" s="8" t="str">
        <f t="shared" si="6"/>
        <v>TUSDB3BrancaNão se aplicaNão se aplicaNão se aplicaNão se aplicaPonta</v>
      </c>
      <c r="S215" s="8">
        <f t="shared" si="7"/>
        <v>642.88</v>
      </c>
    </row>
    <row r="216" spans="1:19" ht="11.25" customHeight="1" x14ac:dyDescent="0.25">
      <c r="A216" s="31">
        <v>40</v>
      </c>
      <c r="B216" s="31" t="s">
        <v>581</v>
      </c>
      <c r="C216" s="31" t="s">
        <v>39</v>
      </c>
      <c r="D216" s="31" t="s">
        <v>23</v>
      </c>
      <c r="E216" s="31" t="s">
        <v>25</v>
      </c>
      <c r="F216" s="31" t="s">
        <v>25</v>
      </c>
      <c r="G216" s="31" t="s">
        <v>25</v>
      </c>
      <c r="H216" s="31" t="s">
        <v>25</v>
      </c>
      <c r="I216" s="31" t="s">
        <v>25</v>
      </c>
      <c r="J216" s="31" t="s">
        <v>727</v>
      </c>
      <c r="K216" s="31" t="s">
        <v>726</v>
      </c>
      <c r="L216" s="31" t="s">
        <v>71</v>
      </c>
      <c r="M216" s="31">
        <v>2021</v>
      </c>
      <c r="N216" s="31">
        <v>0</v>
      </c>
      <c r="O216" s="31">
        <v>269.91000000000003</v>
      </c>
      <c r="P216" s="31">
        <v>61.399261587869397</v>
      </c>
      <c r="R216" s="8" t="str">
        <f t="shared" si="6"/>
        <v>TUSDB3ConvencionalNão se aplicaNão se aplicaNão se aplicaNão se aplicaNão se aplica</v>
      </c>
      <c r="S216" s="8">
        <f t="shared" si="7"/>
        <v>269.91000000000003</v>
      </c>
    </row>
    <row r="217" spans="1:19" ht="11.25" customHeight="1" x14ac:dyDescent="0.25">
      <c r="A217" s="31">
        <v>42</v>
      </c>
      <c r="B217" s="31" t="s">
        <v>581</v>
      </c>
      <c r="C217" s="31" t="s">
        <v>39</v>
      </c>
      <c r="D217" s="31" t="s">
        <v>86</v>
      </c>
      <c r="E217" s="31" t="s">
        <v>25</v>
      </c>
      <c r="F217" s="31" t="s">
        <v>25</v>
      </c>
      <c r="G217" s="31" t="s">
        <v>25</v>
      </c>
      <c r="H217" s="31" t="s">
        <v>25</v>
      </c>
      <c r="I217" s="31" t="s">
        <v>25</v>
      </c>
      <c r="J217" s="31" t="s">
        <v>727</v>
      </c>
      <c r="K217" s="31" t="s">
        <v>726</v>
      </c>
      <c r="L217" s="31" t="s">
        <v>71</v>
      </c>
      <c r="M217" s="31">
        <v>2021</v>
      </c>
      <c r="N217" s="31">
        <v>0</v>
      </c>
      <c r="O217" s="31">
        <v>269.91000000000003</v>
      </c>
      <c r="P217" s="31">
        <v>61.399261587869397</v>
      </c>
      <c r="R217" s="8" t="str">
        <f t="shared" si="6"/>
        <v>TUSDB3Convencional pré-pagamentoNão se aplicaNão se aplicaNão se aplicaNão se aplicaNão se aplica</v>
      </c>
      <c r="S217" s="8">
        <f t="shared" si="7"/>
        <v>269.91000000000003</v>
      </c>
    </row>
    <row r="218" spans="1:19" ht="11.25" customHeight="1" x14ac:dyDescent="0.25">
      <c r="A218" s="31">
        <v>44</v>
      </c>
      <c r="B218" s="31" t="s">
        <v>581</v>
      </c>
      <c r="C218" s="31" t="s">
        <v>47</v>
      </c>
      <c r="D218" s="31" t="s">
        <v>23</v>
      </c>
      <c r="E218" s="31" t="s">
        <v>48</v>
      </c>
      <c r="F218" s="31" t="s">
        <v>49</v>
      </c>
      <c r="G218" s="31" t="s">
        <v>25</v>
      </c>
      <c r="H218" s="31" t="s">
        <v>25</v>
      </c>
      <c r="I218" s="31" t="s">
        <v>25</v>
      </c>
      <c r="J218" s="31" t="s">
        <v>727</v>
      </c>
      <c r="K218" s="31" t="s">
        <v>726</v>
      </c>
      <c r="L218" s="31" t="s">
        <v>71</v>
      </c>
      <c r="M218" s="31">
        <v>2021</v>
      </c>
      <c r="N218" s="31">
        <v>0</v>
      </c>
      <c r="O218" s="31">
        <v>148.44999999999999</v>
      </c>
      <c r="P218" s="31">
        <v>33.769593873328198</v>
      </c>
      <c r="R218" s="8" t="str">
        <f t="shared" si="6"/>
        <v>TUSDB4ConvencionalIluminação públicaIluminação pública – B4aNão se aplicaNão se aplicaNão se aplica</v>
      </c>
      <c r="S218" s="8">
        <f t="shared" si="7"/>
        <v>148.44999999999999</v>
      </c>
    </row>
    <row r="219" spans="1:19" ht="11.25" customHeight="1" x14ac:dyDescent="0.25">
      <c r="A219" s="31">
        <v>46</v>
      </c>
      <c r="B219" s="31" t="s">
        <v>581</v>
      </c>
      <c r="C219" s="31" t="s">
        <v>47</v>
      </c>
      <c r="D219" s="31" t="s">
        <v>23</v>
      </c>
      <c r="E219" s="31" t="s">
        <v>48</v>
      </c>
      <c r="F219" s="31" t="s">
        <v>89</v>
      </c>
      <c r="G219" s="31" t="s">
        <v>25</v>
      </c>
      <c r="H219" s="31" t="s">
        <v>25</v>
      </c>
      <c r="I219" s="31" t="s">
        <v>25</v>
      </c>
      <c r="J219" s="31" t="s">
        <v>727</v>
      </c>
      <c r="K219" s="31" t="s">
        <v>726</v>
      </c>
      <c r="L219" s="31" t="s">
        <v>71</v>
      </c>
      <c r="M219" s="31">
        <v>2021</v>
      </c>
      <c r="N219" s="31">
        <v>0</v>
      </c>
      <c r="O219" s="31">
        <v>161.94999999999999</v>
      </c>
      <c r="P219" s="31">
        <v>36.839556952721701</v>
      </c>
      <c r="R219" s="8" t="str">
        <f t="shared" si="6"/>
        <v>TUSDB4ConvencionalIluminação públicaIluminação pública – B4bNão se aplicaNão se aplicaNão se aplica</v>
      </c>
      <c r="S219" s="8">
        <f t="shared" si="7"/>
        <v>161.94999999999999</v>
      </c>
    </row>
  </sheetData>
  <autoFilter ref="A1:AX219" xr:uid="{E41F80A2-C542-41E5-A980-BE146E43E72A}">
    <sortState xmlns:xlrd2="http://schemas.microsoft.com/office/spreadsheetml/2017/richdata2" ref="A2:AX219">
      <sortCondition ref="C1"/>
    </sortState>
  </autoFilter>
  <sortState xmlns:xlrd2="http://schemas.microsoft.com/office/spreadsheetml/2017/richdata2" ref="A2:P219">
    <sortCondition ref="B2:B219"/>
    <sortCondition ref="C2:C219"/>
    <sortCondition ref="D2:D219"/>
    <sortCondition ref="E2:E219"/>
    <sortCondition ref="F2:F219"/>
    <sortCondition ref="G2:G219"/>
    <sortCondition ref="H2:H219"/>
    <sortCondition ref="I2:I21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3456A-16BF-4E1F-AF8F-2D3AA4692E77}">
  <dimension ref="A1:AY103"/>
  <sheetViews>
    <sheetView showGridLines="0" workbookViewId="0">
      <selection activeCell="O36" sqref="O36"/>
    </sheetView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7" width="10.42578125" style="8" customWidth="1"/>
    <col min="18" max="18" width="9.140625" style="8"/>
    <col min="19" max="19" width="92.42578125" style="8" bestFit="1" customWidth="1"/>
    <col min="20" max="16384" width="9.140625" style="8"/>
  </cols>
  <sheetData>
    <row r="1" spans="1:51" ht="11.25" customHeight="1" x14ac:dyDescent="0.25">
      <c r="A1" s="30" t="s">
        <v>728</v>
      </c>
      <c r="B1" s="30" t="s">
        <v>719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720</v>
      </c>
      <c r="K1" s="30" t="s">
        <v>721</v>
      </c>
      <c r="L1" s="30" t="s">
        <v>722</v>
      </c>
      <c r="M1" s="30" t="s">
        <v>723</v>
      </c>
      <c r="N1" s="30" t="s">
        <v>724</v>
      </c>
      <c r="O1" s="30" t="s">
        <v>601</v>
      </c>
      <c r="P1" s="30" t="s">
        <v>587</v>
      </c>
      <c r="Q1" s="7" t="s">
        <v>1346</v>
      </c>
      <c r="R1" s="7" t="s">
        <v>1343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ht="11.25" customHeight="1" x14ac:dyDescent="0.25">
      <c r="A2" s="31">
        <v>1</v>
      </c>
      <c r="B2" s="31" t="s">
        <v>581</v>
      </c>
      <c r="C2" s="31" t="s">
        <v>42</v>
      </c>
      <c r="D2" s="31" t="s">
        <v>41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37</v>
      </c>
      <c r="J2" s="31" t="s">
        <v>725</v>
      </c>
      <c r="K2" s="31" t="s">
        <v>726</v>
      </c>
      <c r="L2" s="31" t="s">
        <v>76</v>
      </c>
      <c r="M2" s="31">
        <v>2021</v>
      </c>
      <c r="N2" s="31">
        <v>0</v>
      </c>
      <c r="O2" s="31">
        <f>IF(R2=0,Q2,T2)</f>
        <v>31.72</v>
      </c>
      <c r="P2" s="31">
        <v>0</v>
      </c>
      <c r="Q2" s="8">
        <v>31.72</v>
      </c>
      <c r="R2" s="8">
        <v>0</v>
      </c>
      <c r="S2" s="8" t="str">
        <f>B2&amp;C2&amp;D2&amp;E2&amp;F2&amp;G2&amp;H2&amp;I2</f>
        <v>TUSDA3aAzulNão se aplicaNão se aplicaNão se aplicaNão se aplicaPonta</v>
      </c>
      <c r="T2" s="8">
        <f>VLOOKUP(S2,'TAR FIN COPEL'!$R$2:$S$219,2,0)</f>
        <v>36.08</v>
      </c>
    </row>
    <row r="3" spans="1:51" ht="11.25" customHeight="1" x14ac:dyDescent="0.25">
      <c r="A3" s="31">
        <v>2</v>
      </c>
      <c r="B3" s="31" t="s">
        <v>581</v>
      </c>
      <c r="C3" s="31" t="s">
        <v>42</v>
      </c>
      <c r="D3" s="31" t="s">
        <v>41</v>
      </c>
      <c r="E3" s="31" t="s">
        <v>25</v>
      </c>
      <c r="F3" s="31" t="s">
        <v>25</v>
      </c>
      <c r="G3" s="31" t="s">
        <v>25</v>
      </c>
      <c r="H3" s="31" t="s">
        <v>25</v>
      </c>
      <c r="I3" s="31" t="s">
        <v>35</v>
      </c>
      <c r="J3" s="31" t="s">
        <v>725</v>
      </c>
      <c r="K3" s="31" t="s">
        <v>726</v>
      </c>
      <c r="L3" s="31" t="s">
        <v>76</v>
      </c>
      <c r="M3" s="31">
        <v>2021</v>
      </c>
      <c r="N3" s="31">
        <v>0</v>
      </c>
      <c r="O3" s="31">
        <f t="shared" ref="O3:O66" si="0">IF(R3=0,Q3,T3)</f>
        <v>12.42</v>
      </c>
      <c r="P3" s="31">
        <v>0</v>
      </c>
      <c r="Q3" s="8">
        <v>12.42</v>
      </c>
      <c r="R3" s="8">
        <v>0</v>
      </c>
      <c r="S3" s="8" t="str">
        <f t="shared" ref="S3:S66" si="1">B3&amp;C3&amp;D3&amp;E3&amp;F3&amp;G3&amp;H3&amp;I3</f>
        <v>TUSDA3aAzulNão se aplicaNão se aplicaNão se aplicaNão se aplicaFora ponta</v>
      </c>
      <c r="T3" s="8">
        <f>VLOOKUP(S3,'TAR FIN COPEL'!$R$2:$S$219,2,0)</f>
        <v>17.07</v>
      </c>
    </row>
    <row r="4" spans="1:51" ht="11.25" customHeight="1" x14ac:dyDescent="0.25">
      <c r="A4" s="31">
        <v>3</v>
      </c>
      <c r="B4" s="31" t="s">
        <v>581</v>
      </c>
      <c r="C4" s="31" t="s">
        <v>42</v>
      </c>
      <c r="D4" s="31" t="s">
        <v>41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25</v>
      </c>
      <c r="J4" s="31" t="s">
        <v>727</v>
      </c>
      <c r="K4" s="31" t="s">
        <v>726</v>
      </c>
      <c r="L4" s="31" t="s">
        <v>71</v>
      </c>
      <c r="M4" s="31">
        <v>2021</v>
      </c>
      <c r="N4" s="31">
        <v>0</v>
      </c>
      <c r="O4" s="31">
        <f t="shared" si="0"/>
        <v>69.37</v>
      </c>
      <c r="P4" s="31">
        <v>49.919330194466298</v>
      </c>
      <c r="Q4" s="8">
        <v>69.37</v>
      </c>
      <c r="R4" s="8">
        <v>0</v>
      </c>
      <c r="S4" s="8" t="str">
        <f t="shared" si="1"/>
        <v>TUSDA3aAzulNão se aplicaNão se aplicaNão se aplicaNão se aplicaNão se aplica</v>
      </c>
      <c r="T4" s="8">
        <f>VLOOKUP(S4,'TAR FIN COPEL'!$R$2:$S$219,2,0)</f>
        <v>82.6</v>
      </c>
    </row>
    <row r="5" spans="1:51" ht="11.25" customHeight="1" x14ac:dyDescent="0.25">
      <c r="A5" s="31">
        <v>4</v>
      </c>
      <c r="B5" s="31" t="s">
        <v>581</v>
      </c>
      <c r="C5" s="31" t="s">
        <v>42</v>
      </c>
      <c r="D5" s="31" t="s">
        <v>41</v>
      </c>
      <c r="E5" s="31" t="s">
        <v>25</v>
      </c>
      <c r="F5" s="31" t="s">
        <v>25</v>
      </c>
      <c r="G5" s="31" t="s">
        <v>79</v>
      </c>
      <c r="H5" s="31" t="s">
        <v>25</v>
      </c>
      <c r="I5" s="31" t="s">
        <v>25</v>
      </c>
      <c r="J5" s="31" t="s">
        <v>727</v>
      </c>
      <c r="K5" s="31" t="s">
        <v>726</v>
      </c>
      <c r="L5" s="31" t="s">
        <v>71</v>
      </c>
      <c r="M5" s="31">
        <v>2021</v>
      </c>
      <c r="N5" s="31">
        <v>0</v>
      </c>
      <c r="O5" s="31">
        <f t="shared" si="0"/>
        <v>7.59</v>
      </c>
      <c r="P5" s="31">
        <v>0</v>
      </c>
      <c r="Q5" s="8">
        <v>7.59</v>
      </c>
      <c r="R5" s="8">
        <v>0</v>
      </c>
      <c r="S5" s="8" t="str">
        <f t="shared" si="1"/>
        <v>TUSDA3aAzulNão se aplicaNão se aplicaAPENão se aplicaNão se aplica</v>
      </c>
      <c r="T5" s="8">
        <f>VLOOKUP(S5,'TAR FIN COPEL'!$R$2:$S$219,2,0)</f>
        <v>16.87</v>
      </c>
    </row>
    <row r="6" spans="1:51" ht="11.25" customHeight="1" x14ac:dyDescent="0.25">
      <c r="A6" s="31">
        <v>5</v>
      </c>
      <c r="B6" s="31" t="s">
        <v>581</v>
      </c>
      <c r="C6" s="31" t="s">
        <v>42</v>
      </c>
      <c r="D6" s="31" t="s">
        <v>80</v>
      </c>
      <c r="E6" s="31" t="s">
        <v>25</v>
      </c>
      <c r="F6" s="31" t="s">
        <v>25</v>
      </c>
      <c r="G6" s="31" t="s">
        <v>25</v>
      </c>
      <c r="H6" s="31" t="s">
        <v>25</v>
      </c>
      <c r="I6" s="31" t="s">
        <v>25</v>
      </c>
      <c r="J6" s="31" t="s">
        <v>725</v>
      </c>
      <c r="K6" s="31" t="s">
        <v>726</v>
      </c>
      <c r="L6" s="31" t="s">
        <v>76</v>
      </c>
      <c r="M6" s="31">
        <v>2021</v>
      </c>
      <c r="N6" s="31">
        <v>0</v>
      </c>
      <c r="O6" s="31">
        <f t="shared" si="0"/>
        <v>5.47</v>
      </c>
      <c r="P6" s="31">
        <v>0</v>
      </c>
      <c r="Q6" s="8">
        <v>5.47</v>
      </c>
      <c r="R6" s="8">
        <v>0</v>
      </c>
      <c r="S6" s="8" t="str">
        <f t="shared" si="1"/>
        <v>TUSDA3aGeraçãoNão se aplicaNão se aplicaNão se aplicaNão se aplicaNão se aplica</v>
      </c>
      <c r="T6" s="8">
        <f>VLOOKUP(S6,'TAR FIN COPEL'!$R$2:$S$219,2,0)</f>
        <v>6.06</v>
      </c>
    </row>
    <row r="7" spans="1:51" ht="11.25" customHeight="1" x14ac:dyDescent="0.25">
      <c r="A7" s="31">
        <v>6</v>
      </c>
      <c r="B7" s="31" t="s">
        <v>581</v>
      </c>
      <c r="C7" s="31" t="s">
        <v>42</v>
      </c>
      <c r="D7" s="31" t="s">
        <v>34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25</v>
      </c>
      <c r="J7" s="31" t="s">
        <v>725</v>
      </c>
      <c r="K7" s="31" t="s">
        <v>726</v>
      </c>
      <c r="L7" s="31" t="s">
        <v>76</v>
      </c>
      <c r="M7" s="31">
        <v>2021</v>
      </c>
      <c r="N7" s="31">
        <v>0</v>
      </c>
      <c r="O7" s="31">
        <f t="shared" si="0"/>
        <v>12.42</v>
      </c>
      <c r="P7" s="31">
        <v>0</v>
      </c>
      <c r="Q7" s="8">
        <v>12.42</v>
      </c>
      <c r="R7" s="8">
        <v>0</v>
      </c>
      <c r="S7" s="8" t="str">
        <f t="shared" si="1"/>
        <v>TUSDA3aVerdeNão se aplicaNão se aplicaNão se aplicaNão se aplicaNão se aplica</v>
      </c>
      <c r="T7" s="8">
        <f>VLOOKUP(S7,'TAR FIN COPEL'!$R$2:$S$219,2,0)</f>
        <v>17.07</v>
      </c>
    </row>
    <row r="8" spans="1:51" ht="11.25" customHeight="1" x14ac:dyDescent="0.25">
      <c r="A8" s="31">
        <v>7</v>
      </c>
      <c r="B8" s="31" t="s">
        <v>581</v>
      </c>
      <c r="C8" s="31" t="s">
        <v>42</v>
      </c>
      <c r="D8" s="31" t="s">
        <v>34</v>
      </c>
      <c r="E8" s="31" t="s">
        <v>25</v>
      </c>
      <c r="F8" s="31" t="s">
        <v>25</v>
      </c>
      <c r="G8" s="31" t="s">
        <v>25</v>
      </c>
      <c r="H8" s="31" t="s">
        <v>25</v>
      </c>
      <c r="I8" s="31" t="s">
        <v>37</v>
      </c>
      <c r="J8" s="31" t="s">
        <v>727</v>
      </c>
      <c r="K8" s="31" t="s">
        <v>726</v>
      </c>
      <c r="L8" s="31" t="s">
        <v>71</v>
      </c>
      <c r="M8" s="31">
        <v>2021</v>
      </c>
      <c r="N8" s="31">
        <v>0</v>
      </c>
      <c r="O8" s="31">
        <f t="shared" si="0"/>
        <v>842.31</v>
      </c>
      <c r="P8" s="31">
        <v>49.919330194466298</v>
      </c>
      <c r="Q8" s="8">
        <v>842.31</v>
      </c>
      <c r="R8" s="8">
        <v>0</v>
      </c>
      <c r="S8" s="8" t="str">
        <f t="shared" si="1"/>
        <v>TUSDA3aVerdeNão se aplicaNão se aplicaNão se aplicaNão se aplicaPonta</v>
      </c>
      <c r="T8" s="8">
        <f>VLOOKUP(S8,'TAR FIN COPEL'!$R$2:$S$219,2,0)</f>
        <v>959.22</v>
      </c>
    </row>
    <row r="9" spans="1:51" ht="11.25" customHeight="1" x14ac:dyDescent="0.25">
      <c r="A9" s="31">
        <v>8</v>
      </c>
      <c r="B9" s="31" t="s">
        <v>581</v>
      </c>
      <c r="C9" s="31" t="s">
        <v>42</v>
      </c>
      <c r="D9" s="31" t="s">
        <v>34</v>
      </c>
      <c r="E9" s="31" t="s">
        <v>25</v>
      </c>
      <c r="F9" s="31" t="s">
        <v>25</v>
      </c>
      <c r="G9" s="31" t="s">
        <v>25</v>
      </c>
      <c r="H9" s="31" t="s">
        <v>25</v>
      </c>
      <c r="I9" s="31" t="s">
        <v>35</v>
      </c>
      <c r="J9" s="31" t="s">
        <v>727</v>
      </c>
      <c r="K9" s="31" t="s">
        <v>726</v>
      </c>
      <c r="L9" s="31" t="s">
        <v>71</v>
      </c>
      <c r="M9" s="31">
        <v>2021</v>
      </c>
      <c r="N9" s="31">
        <v>0</v>
      </c>
      <c r="O9" s="31">
        <f t="shared" si="0"/>
        <v>69.37</v>
      </c>
      <c r="P9" s="31">
        <v>49.919330194466298</v>
      </c>
      <c r="Q9" s="8">
        <v>69.37</v>
      </c>
      <c r="R9" s="8">
        <v>0</v>
      </c>
      <c r="S9" s="8" t="str">
        <f t="shared" si="1"/>
        <v>TUSDA3aVerdeNão se aplicaNão se aplicaNão se aplicaNão se aplicaFora ponta</v>
      </c>
      <c r="T9" s="8">
        <f>VLOOKUP(S9,'TAR FIN COPEL'!$R$2:$S$219,2,0)</f>
        <v>82.6</v>
      </c>
    </row>
    <row r="10" spans="1:51" ht="11.25" customHeight="1" x14ac:dyDescent="0.25">
      <c r="A10" s="31">
        <v>9</v>
      </c>
      <c r="B10" s="31" t="s">
        <v>581</v>
      </c>
      <c r="C10" s="31" t="s">
        <v>42</v>
      </c>
      <c r="D10" s="31" t="s">
        <v>34</v>
      </c>
      <c r="E10" s="31" t="s">
        <v>25</v>
      </c>
      <c r="F10" s="31" t="s">
        <v>25</v>
      </c>
      <c r="G10" s="31" t="s">
        <v>79</v>
      </c>
      <c r="H10" s="31" t="s">
        <v>25</v>
      </c>
      <c r="I10" s="31" t="s">
        <v>37</v>
      </c>
      <c r="J10" s="31" t="s">
        <v>727</v>
      </c>
      <c r="K10" s="31" t="s">
        <v>726</v>
      </c>
      <c r="L10" s="31" t="s">
        <v>71</v>
      </c>
      <c r="M10" s="31">
        <v>2021</v>
      </c>
      <c r="N10" s="31">
        <v>0</v>
      </c>
      <c r="O10" s="31">
        <f t="shared" si="0"/>
        <v>780.54</v>
      </c>
      <c r="P10" s="31">
        <v>0</v>
      </c>
      <c r="Q10" s="8">
        <v>780.54</v>
      </c>
      <c r="R10" s="8">
        <v>0</v>
      </c>
      <c r="S10" s="8" t="str">
        <f t="shared" si="1"/>
        <v>TUSDA3aVerdeNão se aplicaNão se aplicaAPENão se aplicaPonta</v>
      </c>
      <c r="T10" s="8">
        <f>VLOOKUP(S10,'TAR FIN COPEL'!$R$2:$S$219,2,0)</f>
        <v>893.5</v>
      </c>
    </row>
    <row r="11" spans="1:51" ht="11.25" customHeight="1" x14ac:dyDescent="0.25">
      <c r="A11" s="31">
        <v>10</v>
      </c>
      <c r="B11" s="31" t="s">
        <v>581</v>
      </c>
      <c r="C11" s="31" t="s">
        <v>42</v>
      </c>
      <c r="D11" s="31" t="s">
        <v>34</v>
      </c>
      <c r="E11" s="31" t="s">
        <v>25</v>
      </c>
      <c r="F11" s="31" t="s">
        <v>25</v>
      </c>
      <c r="G11" s="31" t="s">
        <v>79</v>
      </c>
      <c r="H11" s="31" t="s">
        <v>25</v>
      </c>
      <c r="I11" s="31" t="s">
        <v>35</v>
      </c>
      <c r="J11" s="31" t="s">
        <v>727</v>
      </c>
      <c r="K11" s="31" t="s">
        <v>726</v>
      </c>
      <c r="L11" s="31" t="s">
        <v>71</v>
      </c>
      <c r="M11" s="31">
        <v>2021</v>
      </c>
      <c r="N11" s="31">
        <v>0</v>
      </c>
      <c r="O11" s="31">
        <f t="shared" si="0"/>
        <v>7.59</v>
      </c>
      <c r="P11" s="31">
        <v>0</v>
      </c>
      <c r="Q11" s="8">
        <v>7.59</v>
      </c>
      <c r="R11" s="8">
        <v>0</v>
      </c>
      <c r="S11" s="8" t="str">
        <f t="shared" si="1"/>
        <v>TUSDA3aVerdeNão se aplicaNão se aplicaAPENão se aplicaFora ponta</v>
      </c>
      <c r="T11" s="8">
        <f>VLOOKUP(S11,'TAR FIN COPEL'!$R$2:$S$219,2,0)</f>
        <v>16.87</v>
      </c>
    </row>
    <row r="12" spans="1:51" ht="11.25" customHeight="1" x14ac:dyDescent="0.25">
      <c r="A12" s="31">
        <v>11</v>
      </c>
      <c r="B12" s="31" t="s">
        <v>581</v>
      </c>
      <c r="C12" s="31" t="s">
        <v>42</v>
      </c>
      <c r="D12" s="31" t="s">
        <v>23</v>
      </c>
      <c r="E12" s="31" t="s">
        <v>25</v>
      </c>
      <c r="F12" s="31" t="s">
        <v>25</v>
      </c>
      <c r="G12" s="31" t="s">
        <v>25</v>
      </c>
      <c r="H12" s="31" t="s">
        <v>25</v>
      </c>
      <c r="I12" s="31" t="s">
        <v>25</v>
      </c>
      <c r="J12" s="31" t="s">
        <v>725</v>
      </c>
      <c r="K12" s="31" t="s">
        <v>726</v>
      </c>
      <c r="L12" s="31" t="s">
        <v>76</v>
      </c>
      <c r="M12" s="31">
        <v>2021</v>
      </c>
      <c r="N12" s="31">
        <v>0</v>
      </c>
      <c r="O12" s="31">
        <f t="shared" si="0"/>
        <v>35.270000000000003</v>
      </c>
      <c r="P12" s="31">
        <v>0</v>
      </c>
      <c r="Q12" s="8">
        <v>35.270000000000003</v>
      </c>
      <c r="R12" s="8">
        <v>0</v>
      </c>
      <c r="S12" s="8" t="str">
        <f t="shared" si="1"/>
        <v>TUSDA3aConvencionalNão se aplicaNão se aplicaNão se aplicaNão se aplicaNão se aplica</v>
      </c>
      <c r="T12" s="8">
        <f>VLOOKUP(S12,'TAR FIN COPEL'!$R$2:$S$219,2,0)</f>
        <v>43.17</v>
      </c>
    </row>
    <row r="13" spans="1:51" ht="11.25" customHeight="1" x14ac:dyDescent="0.25">
      <c r="A13" s="31">
        <v>12</v>
      </c>
      <c r="B13" s="31" t="s">
        <v>581</v>
      </c>
      <c r="C13" s="31" t="s">
        <v>42</v>
      </c>
      <c r="D13" s="31" t="s">
        <v>23</v>
      </c>
      <c r="E13" s="31" t="s">
        <v>25</v>
      </c>
      <c r="F13" s="31" t="s">
        <v>25</v>
      </c>
      <c r="G13" s="31" t="s">
        <v>25</v>
      </c>
      <c r="H13" s="31" t="s">
        <v>25</v>
      </c>
      <c r="I13" s="31" t="s">
        <v>25</v>
      </c>
      <c r="J13" s="31" t="s">
        <v>727</v>
      </c>
      <c r="K13" s="31" t="s">
        <v>726</v>
      </c>
      <c r="L13" s="31" t="s">
        <v>71</v>
      </c>
      <c r="M13" s="31">
        <v>2021</v>
      </c>
      <c r="N13" s="31">
        <v>0</v>
      </c>
      <c r="O13" s="31">
        <f t="shared" si="0"/>
        <v>69.37</v>
      </c>
      <c r="P13" s="31">
        <v>49.919330194466298</v>
      </c>
      <c r="Q13" s="8">
        <v>69.37</v>
      </c>
      <c r="R13" s="8">
        <v>0</v>
      </c>
      <c r="S13" s="8" t="str">
        <f t="shared" si="1"/>
        <v>TUSDA3aConvencionalNão se aplicaNão se aplicaNão se aplicaNão se aplicaNão se aplica</v>
      </c>
      <c r="T13" s="8">
        <f>VLOOKUP(S13,'TAR FIN COPEL'!$R$2:$S$219,2,0)</f>
        <v>43.17</v>
      </c>
    </row>
    <row r="14" spans="1:51" ht="11.25" customHeight="1" x14ac:dyDescent="0.25">
      <c r="A14" s="31">
        <v>13</v>
      </c>
      <c r="B14" s="31" t="s">
        <v>581</v>
      </c>
      <c r="C14" s="31" t="s">
        <v>33</v>
      </c>
      <c r="D14" s="31" t="s">
        <v>41</v>
      </c>
      <c r="E14" s="31" t="s">
        <v>25</v>
      </c>
      <c r="F14" s="31" t="s">
        <v>25</v>
      </c>
      <c r="G14" s="31" t="s">
        <v>25</v>
      </c>
      <c r="H14" s="31" t="s">
        <v>25</v>
      </c>
      <c r="I14" s="31" t="s">
        <v>37</v>
      </c>
      <c r="J14" s="31" t="s">
        <v>725</v>
      </c>
      <c r="K14" s="31" t="s">
        <v>726</v>
      </c>
      <c r="L14" s="31" t="s">
        <v>76</v>
      </c>
      <c r="M14" s="31">
        <v>2021</v>
      </c>
      <c r="N14" s="31">
        <v>0</v>
      </c>
      <c r="O14" s="31">
        <f>IF(R14=0,Q14,T14)</f>
        <v>31.72</v>
      </c>
      <c r="P14" s="31">
        <v>0</v>
      </c>
      <c r="Q14" s="8">
        <v>31.72</v>
      </c>
      <c r="R14" s="8">
        <v>0</v>
      </c>
      <c r="S14" s="8" t="str">
        <f t="shared" si="1"/>
        <v>TUSDA4AzulNão se aplicaNão se aplicaNão se aplicaNão se aplicaPonta</v>
      </c>
      <c r="T14" s="8">
        <f>VLOOKUP(S14,'TAR FIN COPEL'!$R$2:$S$219,2,0)</f>
        <v>36.08</v>
      </c>
    </row>
    <row r="15" spans="1:51" ht="11.25" customHeight="1" x14ac:dyDescent="0.25">
      <c r="A15" s="31">
        <v>14</v>
      </c>
      <c r="B15" s="31" t="s">
        <v>581</v>
      </c>
      <c r="C15" s="31" t="s">
        <v>33</v>
      </c>
      <c r="D15" s="31" t="s">
        <v>41</v>
      </c>
      <c r="E15" s="31" t="s">
        <v>25</v>
      </c>
      <c r="F15" s="31" t="s">
        <v>25</v>
      </c>
      <c r="G15" s="31" t="s">
        <v>25</v>
      </c>
      <c r="H15" s="31" t="s">
        <v>25</v>
      </c>
      <c r="I15" s="31" t="s">
        <v>35</v>
      </c>
      <c r="J15" s="31" t="s">
        <v>725</v>
      </c>
      <c r="K15" s="31" t="s">
        <v>726</v>
      </c>
      <c r="L15" s="31" t="s">
        <v>76</v>
      </c>
      <c r="M15" s="31">
        <v>2021</v>
      </c>
      <c r="N15" s="31">
        <v>0</v>
      </c>
      <c r="O15" s="31">
        <f t="shared" si="0"/>
        <v>12.42</v>
      </c>
      <c r="P15" s="31">
        <v>0</v>
      </c>
      <c r="Q15" s="8">
        <v>12.42</v>
      </c>
      <c r="R15" s="8">
        <v>0</v>
      </c>
      <c r="S15" s="8" t="str">
        <f t="shared" si="1"/>
        <v>TUSDA4AzulNão se aplicaNão se aplicaNão se aplicaNão se aplicaFora ponta</v>
      </c>
      <c r="T15" s="8">
        <f>VLOOKUP(S15,'TAR FIN COPEL'!$R$2:$S$219,2,0)</f>
        <v>17.07</v>
      </c>
    </row>
    <row r="16" spans="1:51" ht="11.25" customHeight="1" x14ac:dyDescent="0.25">
      <c r="A16" s="31">
        <v>15</v>
      </c>
      <c r="B16" s="31" t="s">
        <v>581</v>
      </c>
      <c r="C16" s="31" t="s">
        <v>33</v>
      </c>
      <c r="D16" s="31" t="s">
        <v>41</v>
      </c>
      <c r="E16" s="31" t="s">
        <v>25</v>
      </c>
      <c r="F16" s="31" t="s">
        <v>25</v>
      </c>
      <c r="G16" s="31" t="s">
        <v>25</v>
      </c>
      <c r="H16" s="31" t="s">
        <v>25</v>
      </c>
      <c r="I16" s="31" t="s">
        <v>25</v>
      </c>
      <c r="J16" s="31" t="s">
        <v>727</v>
      </c>
      <c r="K16" s="31" t="s">
        <v>726</v>
      </c>
      <c r="L16" s="31" t="s">
        <v>71</v>
      </c>
      <c r="M16" s="31">
        <v>2021</v>
      </c>
      <c r="N16" s="31">
        <v>0</v>
      </c>
      <c r="O16" s="31">
        <f t="shared" si="0"/>
        <v>69.37</v>
      </c>
      <c r="P16" s="31">
        <v>49.919330194466298</v>
      </c>
      <c r="Q16" s="8">
        <v>69.37</v>
      </c>
      <c r="R16" s="8">
        <v>0</v>
      </c>
      <c r="S16" s="8" t="str">
        <f t="shared" si="1"/>
        <v>TUSDA4AzulNão se aplicaNão se aplicaNão se aplicaNão se aplicaNão se aplica</v>
      </c>
      <c r="T16" s="8">
        <f>VLOOKUP(S16,'TAR FIN COPEL'!$R$2:$S$219,2,0)</f>
        <v>82.6</v>
      </c>
    </row>
    <row r="17" spans="1:20" ht="11.25" customHeight="1" x14ac:dyDescent="0.25">
      <c r="A17" s="31">
        <v>16</v>
      </c>
      <c r="B17" s="31" t="s">
        <v>581</v>
      </c>
      <c r="C17" s="31" t="s">
        <v>33</v>
      </c>
      <c r="D17" s="31" t="s">
        <v>41</v>
      </c>
      <c r="E17" s="31" t="s">
        <v>25</v>
      </c>
      <c r="F17" s="31" t="s">
        <v>25</v>
      </c>
      <c r="G17" s="31" t="s">
        <v>79</v>
      </c>
      <c r="H17" s="31" t="s">
        <v>25</v>
      </c>
      <c r="I17" s="31" t="s">
        <v>25</v>
      </c>
      <c r="J17" s="31" t="s">
        <v>727</v>
      </c>
      <c r="K17" s="31" t="s">
        <v>726</v>
      </c>
      <c r="L17" s="31" t="s">
        <v>71</v>
      </c>
      <c r="M17" s="31">
        <v>2021</v>
      </c>
      <c r="N17" s="31">
        <v>0</v>
      </c>
      <c r="O17" s="31">
        <f t="shared" si="0"/>
        <v>7.59</v>
      </c>
      <c r="P17" s="31">
        <v>0</v>
      </c>
      <c r="Q17" s="8">
        <v>7.59</v>
      </c>
      <c r="R17" s="8">
        <v>0</v>
      </c>
      <c r="S17" s="8" t="str">
        <f t="shared" si="1"/>
        <v>TUSDA4AzulNão se aplicaNão se aplicaAPENão se aplicaNão se aplica</v>
      </c>
      <c r="T17" s="8">
        <f>VLOOKUP(S17,'TAR FIN COPEL'!$R$2:$S$219,2,0)</f>
        <v>16.87</v>
      </c>
    </row>
    <row r="18" spans="1:20" ht="11.25" customHeight="1" x14ac:dyDescent="0.25">
      <c r="A18" s="31">
        <v>17</v>
      </c>
      <c r="B18" s="31" t="s">
        <v>581</v>
      </c>
      <c r="C18" s="31" t="s">
        <v>33</v>
      </c>
      <c r="D18" s="31" t="s">
        <v>80</v>
      </c>
      <c r="E18" s="31" t="s">
        <v>25</v>
      </c>
      <c r="F18" s="31" t="s">
        <v>25</v>
      </c>
      <c r="G18" s="31" t="s">
        <v>25</v>
      </c>
      <c r="H18" s="31" t="s">
        <v>25</v>
      </c>
      <c r="I18" s="31" t="s">
        <v>25</v>
      </c>
      <c r="J18" s="31" t="s">
        <v>725</v>
      </c>
      <c r="K18" s="31" t="s">
        <v>726</v>
      </c>
      <c r="L18" s="31" t="s">
        <v>76</v>
      </c>
      <c r="M18" s="31">
        <v>2021</v>
      </c>
      <c r="N18" s="31">
        <v>0</v>
      </c>
      <c r="O18" s="31">
        <f t="shared" si="0"/>
        <v>5.47</v>
      </c>
      <c r="P18" s="31">
        <v>0</v>
      </c>
      <c r="Q18" s="8">
        <v>5.47</v>
      </c>
      <c r="R18" s="8">
        <v>0</v>
      </c>
      <c r="S18" s="8" t="str">
        <f t="shared" si="1"/>
        <v>TUSDA4GeraçãoNão se aplicaNão se aplicaNão se aplicaNão se aplicaNão se aplica</v>
      </c>
      <c r="T18" s="8">
        <f>VLOOKUP(S18,'TAR FIN COPEL'!$R$2:$S$219,2,0)</f>
        <v>6.06</v>
      </c>
    </row>
    <row r="19" spans="1:20" ht="11.25" customHeight="1" x14ac:dyDescent="0.25">
      <c r="A19" s="31">
        <v>18</v>
      </c>
      <c r="B19" s="31" t="s">
        <v>581</v>
      </c>
      <c r="C19" s="31" t="s">
        <v>33</v>
      </c>
      <c r="D19" s="31" t="s">
        <v>34</v>
      </c>
      <c r="E19" s="31" t="s">
        <v>25</v>
      </c>
      <c r="F19" s="31" t="s">
        <v>25</v>
      </c>
      <c r="G19" s="31" t="s">
        <v>25</v>
      </c>
      <c r="H19" s="31" t="s">
        <v>25</v>
      </c>
      <c r="I19" s="31" t="s">
        <v>25</v>
      </c>
      <c r="J19" s="31" t="s">
        <v>725</v>
      </c>
      <c r="K19" s="31" t="s">
        <v>726</v>
      </c>
      <c r="L19" s="31" t="s">
        <v>76</v>
      </c>
      <c r="M19" s="31">
        <v>2021</v>
      </c>
      <c r="N19" s="31">
        <v>0</v>
      </c>
      <c r="O19" s="31">
        <f t="shared" si="0"/>
        <v>12.42</v>
      </c>
      <c r="P19" s="31">
        <v>0</v>
      </c>
      <c r="Q19" s="8">
        <v>12.42</v>
      </c>
      <c r="R19" s="8">
        <v>0</v>
      </c>
      <c r="S19" s="8" t="str">
        <f t="shared" si="1"/>
        <v>TUSDA4VerdeNão se aplicaNão se aplicaNão se aplicaNão se aplicaNão se aplica</v>
      </c>
      <c r="T19" s="8">
        <f>VLOOKUP(S19,'TAR FIN COPEL'!$R$2:$S$219,2,0)</f>
        <v>17.07</v>
      </c>
    </row>
    <row r="20" spans="1:20" ht="11.25" customHeight="1" x14ac:dyDescent="0.25">
      <c r="A20" s="31">
        <v>19</v>
      </c>
      <c r="B20" s="31" t="s">
        <v>581</v>
      </c>
      <c r="C20" s="31" t="s">
        <v>33</v>
      </c>
      <c r="D20" s="31" t="s">
        <v>34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37</v>
      </c>
      <c r="J20" s="31" t="s">
        <v>727</v>
      </c>
      <c r="K20" s="31" t="s">
        <v>726</v>
      </c>
      <c r="L20" s="31" t="s">
        <v>71</v>
      </c>
      <c r="M20" s="31">
        <v>2021</v>
      </c>
      <c r="N20" s="31">
        <v>0</v>
      </c>
      <c r="O20" s="31">
        <f t="shared" si="0"/>
        <v>842.31</v>
      </c>
      <c r="P20" s="31">
        <v>49.919330194466298</v>
      </c>
      <c r="Q20" s="8">
        <v>842.31</v>
      </c>
      <c r="R20" s="8">
        <v>0</v>
      </c>
      <c r="S20" s="8" t="str">
        <f t="shared" si="1"/>
        <v>TUSDA4VerdeNão se aplicaNão se aplicaNão se aplicaNão se aplicaPonta</v>
      </c>
      <c r="T20" s="8">
        <f>VLOOKUP(S20,'TAR FIN COPEL'!$R$2:$S$219,2,0)</f>
        <v>959.22</v>
      </c>
    </row>
    <row r="21" spans="1:20" ht="11.25" customHeight="1" x14ac:dyDescent="0.25">
      <c r="A21" s="31">
        <v>20</v>
      </c>
      <c r="B21" s="31" t="s">
        <v>581</v>
      </c>
      <c r="C21" s="31" t="s">
        <v>33</v>
      </c>
      <c r="D21" s="31" t="s">
        <v>34</v>
      </c>
      <c r="E21" s="31" t="s">
        <v>25</v>
      </c>
      <c r="F21" s="31" t="s">
        <v>25</v>
      </c>
      <c r="G21" s="31" t="s">
        <v>25</v>
      </c>
      <c r="H21" s="31" t="s">
        <v>25</v>
      </c>
      <c r="I21" s="31" t="s">
        <v>35</v>
      </c>
      <c r="J21" s="31" t="s">
        <v>727</v>
      </c>
      <c r="K21" s="31" t="s">
        <v>726</v>
      </c>
      <c r="L21" s="31" t="s">
        <v>71</v>
      </c>
      <c r="M21" s="31">
        <v>2021</v>
      </c>
      <c r="N21" s="31">
        <v>0</v>
      </c>
      <c r="O21" s="31">
        <f t="shared" si="0"/>
        <v>69.37</v>
      </c>
      <c r="P21" s="31">
        <v>49.919330194466298</v>
      </c>
      <c r="Q21" s="8">
        <v>69.37</v>
      </c>
      <c r="R21" s="8">
        <v>0</v>
      </c>
      <c r="S21" s="8" t="str">
        <f t="shared" si="1"/>
        <v>TUSDA4VerdeNão se aplicaNão se aplicaNão se aplicaNão se aplicaFora ponta</v>
      </c>
      <c r="T21" s="8">
        <f>VLOOKUP(S21,'TAR FIN COPEL'!$R$2:$S$219,2,0)</f>
        <v>82.6</v>
      </c>
    </row>
    <row r="22" spans="1:20" ht="11.25" customHeight="1" x14ac:dyDescent="0.25">
      <c r="A22" s="31">
        <v>21</v>
      </c>
      <c r="B22" s="31" t="s">
        <v>581</v>
      </c>
      <c r="C22" s="31" t="s">
        <v>33</v>
      </c>
      <c r="D22" s="31" t="s">
        <v>34</v>
      </c>
      <c r="E22" s="31" t="s">
        <v>25</v>
      </c>
      <c r="F22" s="31" t="s">
        <v>25</v>
      </c>
      <c r="G22" s="31" t="s">
        <v>79</v>
      </c>
      <c r="H22" s="31" t="s">
        <v>25</v>
      </c>
      <c r="I22" s="31" t="s">
        <v>37</v>
      </c>
      <c r="J22" s="31" t="s">
        <v>727</v>
      </c>
      <c r="K22" s="31" t="s">
        <v>726</v>
      </c>
      <c r="L22" s="31" t="s">
        <v>71</v>
      </c>
      <c r="M22" s="31">
        <v>2021</v>
      </c>
      <c r="N22" s="31">
        <v>0</v>
      </c>
      <c r="O22" s="31">
        <f t="shared" si="0"/>
        <v>780.54</v>
      </c>
      <c r="P22" s="31">
        <v>0</v>
      </c>
      <c r="Q22" s="8">
        <v>780.54</v>
      </c>
      <c r="R22" s="8">
        <v>0</v>
      </c>
      <c r="S22" s="8" t="str">
        <f t="shared" si="1"/>
        <v>TUSDA4VerdeNão se aplicaNão se aplicaAPENão se aplicaPonta</v>
      </c>
      <c r="T22" s="8">
        <f>VLOOKUP(S22,'TAR FIN COPEL'!$R$2:$S$219,2,0)</f>
        <v>893.5</v>
      </c>
    </row>
    <row r="23" spans="1:20" ht="11.25" customHeight="1" x14ac:dyDescent="0.25">
      <c r="A23" s="31">
        <v>22</v>
      </c>
      <c r="B23" s="31" t="s">
        <v>581</v>
      </c>
      <c r="C23" s="31" t="s">
        <v>33</v>
      </c>
      <c r="D23" s="31" t="s">
        <v>34</v>
      </c>
      <c r="E23" s="31" t="s">
        <v>25</v>
      </c>
      <c r="F23" s="31" t="s">
        <v>25</v>
      </c>
      <c r="G23" s="31" t="s">
        <v>79</v>
      </c>
      <c r="H23" s="31" t="s">
        <v>25</v>
      </c>
      <c r="I23" s="31" t="s">
        <v>35</v>
      </c>
      <c r="J23" s="31" t="s">
        <v>727</v>
      </c>
      <c r="K23" s="31" t="s">
        <v>726</v>
      </c>
      <c r="L23" s="31" t="s">
        <v>71</v>
      </c>
      <c r="M23" s="31">
        <v>2021</v>
      </c>
      <c r="N23" s="31">
        <v>0</v>
      </c>
      <c r="O23" s="31">
        <f t="shared" si="0"/>
        <v>7.59</v>
      </c>
      <c r="P23" s="31">
        <v>0</v>
      </c>
      <c r="Q23" s="8">
        <v>7.59</v>
      </c>
      <c r="R23" s="8">
        <v>0</v>
      </c>
      <c r="S23" s="8" t="str">
        <f t="shared" si="1"/>
        <v>TUSDA4VerdeNão se aplicaNão se aplicaAPENão se aplicaFora ponta</v>
      </c>
      <c r="T23" s="8">
        <f>VLOOKUP(S23,'TAR FIN COPEL'!$R$2:$S$219,2,0)</f>
        <v>16.87</v>
      </c>
    </row>
    <row r="24" spans="1:20" ht="11.25" customHeight="1" x14ac:dyDescent="0.25">
      <c r="A24" s="31">
        <v>23</v>
      </c>
      <c r="B24" s="31" t="s">
        <v>581</v>
      </c>
      <c r="C24" s="31" t="s">
        <v>33</v>
      </c>
      <c r="D24" s="31" t="s">
        <v>23</v>
      </c>
      <c r="E24" s="31" t="s">
        <v>25</v>
      </c>
      <c r="F24" s="31" t="s">
        <v>25</v>
      </c>
      <c r="G24" s="31" t="s">
        <v>25</v>
      </c>
      <c r="H24" s="31" t="s">
        <v>25</v>
      </c>
      <c r="I24" s="31" t="s">
        <v>25</v>
      </c>
      <c r="J24" s="31" t="s">
        <v>725</v>
      </c>
      <c r="K24" s="31" t="s">
        <v>726</v>
      </c>
      <c r="L24" s="31" t="s">
        <v>76</v>
      </c>
      <c r="M24" s="31">
        <v>2021</v>
      </c>
      <c r="N24" s="31">
        <v>0</v>
      </c>
      <c r="O24" s="31">
        <f t="shared" si="0"/>
        <v>35.270000000000003</v>
      </c>
      <c r="P24" s="31">
        <v>0</v>
      </c>
      <c r="Q24" s="8">
        <v>35.270000000000003</v>
      </c>
      <c r="R24" s="8">
        <v>0</v>
      </c>
      <c r="S24" s="8" t="str">
        <f t="shared" si="1"/>
        <v>TUSDA4ConvencionalNão se aplicaNão se aplicaNão se aplicaNão se aplicaNão se aplica</v>
      </c>
      <c r="T24" s="8">
        <f>VLOOKUP(S24,'TAR FIN COPEL'!$R$2:$S$219,2,0)</f>
        <v>43.17</v>
      </c>
    </row>
    <row r="25" spans="1:20" ht="11.25" customHeight="1" x14ac:dyDescent="0.25">
      <c r="A25" s="31">
        <v>24</v>
      </c>
      <c r="B25" s="31" t="s">
        <v>581</v>
      </c>
      <c r="C25" s="31" t="s">
        <v>33</v>
      </c>
      <c r="D25" s="31" t="s">
        <v>23</v>
      </c>
      <c r="E25" s="31" t="s">
        <v>25</v>
      </c>
      <c r="F25" s="31" t="s">
        <v>25</v>
      </c>
      <c r="G25" s="31" t="s">
        <v>25</v>
      </c>
      <c r="H25" s="31" t="s">
        <v>25</v>
      </c>
      <c r="I25" s="31" t="s">
        <v>25</v>
      </c>
      <c r="J25" s="31" t="s">
        <v>727</v>
      </c>
      <c r="K25" s="31" t="s">
        <v>726</v>
      </c>
      <c r="L25" s="31" t="s">
        <v>71</v>
      </c>
      <c r="M25" s="31">
        <v>2021</v>
      </c>
      <c r="N25" s="31">
        <v>0</v>
      </c>
      <c r="O25" s="31">
        <f t="shared" si="0"/>
        <v>69.37</v>
      </c>
      <c r="P25" s="31">
        <v>49.919330194466298</v>
      </c>
      <c r="Q25" s="8">
        <v>69.37</v>
      </c>
      <c r="R25" s="8">
        <v>0</v>
      </c>
      <c r="S25" s="8" t="str">
        <f t="shared" si="1"/>
        <v>TUSDA4ConvencionalNão se aplicaNão se aplicaNão se aplicaNão se aplicaNão se aplica</v>
      </c>
      <c r="T25" s="8">
        <f>VLOOKUP(S25,'TAR FIN COPEL'!$R$2:$S$219,2,0)</f>
        <v>43.17</v>
      </c>
    </row>
    <row r="26" spans="1:20" ht="11.25" customHeight="1" x14ac:dyDescent="0.25">
      <c r="A26" s="31">
        <v>25</v>
      </c>
      <c r="B26" s="31" t="s">
        <v>581</v>
      </c>
      <c r="C26" s="31" t="s">
        <v>81</v>
      </c>
      <c r="D26" s="31" t="s">
        <v>80</v>
      </c>
      <c r="E26" s="31" t="s">
        <v>25</v>
      </c>
      <c r="F26" s="31" t="s">
        <v>25</v>
      </c>
      <c r="G26" s="31" t="s">
        <v>82</v>
      </c>
      <c r="H26" s="31" t="s">
        <v>25</v>
      </c>
      <c r="I26" s="31" t="s">
        <v>25</v>
      </c>
      <c r="J26" s="31" t="s">
        <v>725</v>
      </c>
      <c r="K26" s="31" t="s">
        <v>726</v>
      </c>
      <c r="L26" s="31" t="s">
        <v>76</v>
      </c>
      <c r="M26" s="31">
        <v>2021</v>
      </c>
      <c r="N26" s="31">
        <v>0</v>
      </c>
      <c r="O26" s="31">
        <f t="shared" si="0"/>
        <v>3.04</v>
      </c>
      <c r="P26" s="31">
        <v>0</v>
      </c>
      <c r="Q26" s="8">
        <v>3.04</v>
      </c>
      <c r="R26" s="8">
        <v>0</v>
      </c>
      <c r="S26" s="8" t="str">
        <f t="shared" si="1"/>
        <v>TUSDBGeraçãoNão se aplicaNão se aplicaTIPO 01Não se aplicaNão se aplica</v>
      </c>
      <c r="T26" s="8">
        <f>VLOOKUP(S26,'TAR FIN COPEL'!$R$2:$S$219,2,0)</f>
        <v>2.35</v>
      </c>
    </row>
    <row r="27" spans="1:20" ht="11.25" customHeight="1" x14ac:dyDescent="0.25">
      <c r="A27" s="31">
        <v>26</v>
      </c>
      <c r="B27" s="31" t="s">
        <v>581</v>
      </c>
      <c r="C27" s="31" t="s">
        <v>81</v>
      </c>
      <c r="D27" s="31" t="s">
        <v>80</v>
      </c>
      <c r="E27" s="31" t="s">
        <v>25</v>
      </c>
      <c r="F27" s="31" t="s">
        <v>25</v>
      </c>
      <c r="G27" s="31" t="s">
        <v>83</v>
      </c>
      <c r="H27" s="31" t="s">
        <v>25</v>
      </c>
      <c r="I27" s="31" t="s">
        <v>25</v>
      </c>
      <c r="J27" s="31" t="s">
        <v>725</v>
      </c>
      <c r="K27" s="31" t="s">
        <v>726</v>
      </c>
      <c r="L27" s="31" t="s">
        <v>76</v>
      </c>
      <c r="M27" s="31">
        <v>2021</v>
      </c>
      <c r="N27" s="31">
        <v>0</v>
      </c>
      <c r="O27" s="31">
        <f t="shared" si="0"/>
        <v>9.93</v>
      </c>
      <c r="P27" s="31">
        <v>0</v>
      </c>
      <c r="Q27" s="8">
        <v>9.93</v>
      </c>
      <c r="R27" s="8">
        <v>0</v>
      </c>
      <c r="S27" s="8" t="str">
        <f t="shared" si="1"/>
        <v>TUSDBGeraçãoNão se aplicaNão se aplicaTIPO 02Não se aplicaNão se aplica</v>
      </c>
      <c r="T27" s="8">
        <f>VLOOKUP(S27,'TAR FIN COPEL'!$R$2:$S$219,2,0)</f>
        <v>7.42</v>
      </c>
    </row>
    <row r="28" spans="1:20" ht="11.25" customHeight="1" x14ac:dyDescent="0.25">
      <c r="A28" s="31">
        <v>27</v>
      </c>
      <c r="B28" s="31" t="s">
        <v>581</v>
      </c>
      <c r="C28" s="31" t="s">
        <v>22</v>
      </c>
      <c r="D28" s="31" t="s">
        <v>36</v>
      </c>
      <c r="E28" s="31" t="s">
        <v>24</v>
      </c>
      <c r="F28" s="31" t="s">
        <v>24</v>
      </c>
      <c r="G28" s="31" t="s">
        <v>25</v>
      </c>
      <c r="H28" s="31" t="s">
        <v>25</v>
      </c>
      <c r="I28" s="31" t="s">
        <v>37</v>
      </c>
      <c r="J28" s="31" t="s">
        <v>727</v>
      </c>
      <c r="K28" s="31" t="s">
        <v>726</v>
      </c>
      <c r="L28" s="31" t="s">
        <v>71</v>
      </c>
      <c r="M28" s="31">
        <v>2021</v>
      </c>
      <c r="N28" s="31">
        <v>0</v>
      </c>
      <c r="O28" s="31">
        <f t="shared" si="0"/>
        <v>561.79999999999995</v>
      </c>
      <c r="P28" s="31">
        <v>57.378540453409599</v>
      </c>
      <c r="Q28" s="8">
        <v>1257.26</v>
      </c>
      <c r="R28" s="8">
        <v>1</v>
      </c>
      <c r="S28" s="8" t="str">
        <f t="shared" si="1"/>
        <v>TUSDB1BrancaResidencialResidencialNão se aplicaNão se aplicaPonta</v>
      </c>
      <c r="T28" s="8">
        <f>VLOOKUP(S28,'TAR FIN COPEL'!$R$2:$S$219,2,0)</f>
        <v>561.79999999999995</v>
      </c>
    </row>
    <row r="29" spans="1:20" ht="11.25" customHeight="1" x14ac:dyDescent="0.25">
      <c r="A29" s="31">
        <v>28</v>
      </c>
      <c r="B29" s="31" t="s">
        <v>581</v>
      </c>
      <c r="C29" s="31" t="s">
        <v>22</v>
      </c>
      <c r="D29" s="31" t="s">
        <v>36</v>
      </c>
      <c r="E29" s="31" t="s">
        <v>24</v>
      </c>
      <c r="F29" s="31" t="s">
        <v>24</v>
      </c>
      <c r="G29" s="31" t="s">
        <v>25</v>
      </c>
      <c r="H29" s="31" t="s">
        <v>25</v>
      </c>
      <c r="I29" s="31" t="s">
        <v>38</v>
      </c>
      <c r="J29" s="31" t="s">
        <v>727</v>
      </c>
      <c r="K29" s="31" t="s">
        <v>726</v>
      </c>
      <c r="L29" s="31" t="s">
        <v>71</v>
      </c>
      <c r="M29" s="31">
        <v>2021</v>
      </c>
      <c r="N29" s="31">
        <v>0</v>
      </c>
      <c r="O29" s="31">
        <f t="shared" si="0"/>
        <v>380.18</v>
      </c>
      <c r="P29" s="31">
        <v>57.378540453409599</v>
      </c>
      <c r="Q29" s="8">
        <v>384.22</v>
      </c>
      <c r="R29" s="8">
        <v>1</v>
      </c>
      <c r="S29" s="8" t="str">
        <f t="shared" si="1"/>
        <v>TUSDB1BrancaResidencialResidencialNão se aplicaNão se aplicaIntermediário</v>
      </c>
      <c r="T29" s="8">
        <f>VLOOKUP(S29,'TAR FIN COPEL'!$R$2:$S$219,2,0)</f>
        <v>380.18</v>
      </c>
    </row>
    <row r="30" spans="1:20" ht="11.25" customHeight="1" x14ac:dyDescent="0.25">
      <c r="A30" s="31">
        <v>29</v>
      </c>
      <c r="B30" s="31" t="s">
        <v>581</v>
      </c>
      <c r="C30" s="31" t="s">
        <v>22</v>
      </c>
      <c r="D30" s="31" t="s">
        <v>36</v>
      </c>
      <c r="E30" s="31" t="s">
        <v>24</v>
      </c>
      <c r="F30" s="31" t="s">
        <v>24</v>
      </c>
      <c r="G30" s="31" t="s">
        <v>25</v>
      </c>
      <c r="H30" s="31" t="s">
        <v>25</v>
      </c>
      <c r="I30" s="31" t="s">
        <v>35</v>
      </c>
      <c r="J30" s="31" t="s">
        <v>727</v>
      </c>
      <c r="K30" s="31" t="s">
        <v>726</v>
      </c>
      <c r="L30" s="31" t="s">
        <v>71</v>
      </c>
      <c r="M30" s="31">
        <v>2021</v>
      </c>
      <c r="N30" s="31">
        <v>0</v>
      </c>
      <c r="O30" s="31">
        <f t="shared" si="0"/>
        <v>198.56</v>
      </c>
      <c r="P30" s="31">
        <v>57.378540453409599</v>
      </c>
      <c r="Q30" s="8">
        <v>151.41</v>
      </c>
      <c r="R30" s="8">
        <v>1</v>
      </c>
      <c r="S30" s="8" t="str">
        <f t="shared" si="1"/>
        <v>TUSDB1BrancaResidencialResidencialNão se aplicaNão se aplicaFora ponta</v>
      </c>
      <c r="T30" s="8">
        <f>VLOOKUP(S30,'TAR FIN COPEL'!$R$2:$S$219,2,0)</f>
        <v>198.56</v>
      </c>
    </row>
    <row r="31" spans="1:20" ht="11.25" customHeight="1" x14ac:dyDescent="0.25">
      <c r="A31" s="31">
        <v>30</v>
      </c>
      <c r="B31" s="31" t="s">
        <v>581</v>
      </c>
      <c r="C31" s="31" t="s">
        <v>22</v>
      </c>
      <c r="D31" s="31" t="s">
        <v>23</v>
      </c>
      <c r="E31" s="31" t="s">
        <v>24</v>
      </c>
      <c r="F31" s="31" t="s">
        <v>24</v>
      </c>
      <c r="G31" s="31" t="s">
        <v>25</v>
      </c>
      <c r="H31" s="31" t="s">
        <v>25</v>
      </c>
      <c r="I31" s="31" t="s">
        <v>25</v>
      </c>
      <c r="J31" s="31" t="s">
        <v>727</v>
      </c>
      <c r="K31" s="31" t="s">
        <v>726</v>
      </c>
      <c r="L31" s="31" t="s">
        <v>71</v>
      </c>
      <c r="M31" s="31">
        <v>2021</v>
      </c>
      <c r="N31" s="31">
        <v>0</v>
      </c>
      <c r="O31" s="31">
        <f t="shared" si="0"/>
        <v>269.91000000000003</v>
      </c>
      <c r="P31" s="31">
        <v>57.378540453409599</v>
      </c>
      <c r="Q31" s="8">
        <v>308.77</v>
      </c>
      <c r="R31" s="8">
        <v>1</v>
      </c>
      <c r="S31" s="8" t="str">
        <f t="shared" si="1"/>
        <v>TUSDB1ConvencionalResidencialResidencialNão se aplicaNão se aplicaNão se aplica</v>
      </c>
      <c r="T31" s="8">
        <f>VLOOKUP(S31,'TAR FIN COPEL'!$R$2:$S$219,2,0)</f>
        <v>269.91000000000003</v>
      </c>
    </row>
    <row r="32" spans="1:20" ht="11.25" customHeight="1" x14ac:dyDescent="0.25">
      <c r="A32" s="31">
        <v>31</v>
      </c>
      <c r="B32" s="31" t="s">
        <v>581</v>
      </c>
      <c r="C32" s="31" t="s">
        <v>22</v>
      </c>
      <c r="D32" s="31" t="s">
        <v>23</v>
      </c>
      <c r="E32" s="31" t="s">
        <v>24</v>
      </c>
      <c r="F32" s="31" t="s">
        <v>29</v>
      </c>
      <c r="G32" s="31" t="s">
        <v>25</v>
      </c>
      <c r="H32" s="31" t="s">
        <v>25</v>
      </c>
      <c r="I32" s="31" t="s">
        <v>25</v>
      </c>
      <c r="J32" s="31" t="s">
        <v>727</v>
      </c>
      <c r="K32" s="31" t="s">
        <v>726</v>
      </c>
      <c r="L32" s="31" t="s">
        <v>71</v>
      </c>
      <c r="M32" s="31">
        <v>2021</v>
      </c>
      <c r="N32" s="31">
        <v>0</v>
      </c>
      <c r="O32" s="31">
        <f t="shared" si="0"/>
        <v>68.53</v>
      </c>
      <c r="P32" s="31">
        <v>0</v>
      </c>
      <c r="Q32" s="8">
        <v>83.69</v>
      </c>
      <c r="R32" s="8">
        <v>1</v>
      </c>
      <c r="S32" s="8" t="str">
        <f t="shared" si="1"/>
        <v>TUSDB1ConvencionalResidencialResidencial baixa renda – faixa 01Não se aplicaNão se aplicaNão se aplica</v>
      </c>
      <c r="T32" s="8">
        <f>VLOOKUP(S32,'TAR FIN COPEL'!$R$2:$S$219,2,0)</f>
        <v>68.53</v>
      </c>
    </row>
    <row r="33" spans="1:20" ht="11.25" customHeight="1" x14ac:dyDescent="0.25">
      <c r="A33" s="31">
        <v>32</v>
      </c>
      <c r="B33" s="31" t="s">
        <v>581</v>
      </c>
      <c r="C33" s="31" t="s">
        <v>22</v>
      </c>
      <c r="D33" s="31" t="s">
        <v>23</v>
      </c>
      <c r="E33" s="31" t="s">
        <v>24</v>
      </c>
      <c r="F33" s="31" t="s">
        <v>30</v>
      </c>
      <c r="G33" s="31" t="s">
        <v>25</v>
      </c>
      <c r="H33" s="31" t="s">
        <v>25</v>
      </c>
      <c r="I33" s="31" t="s">
        <v>25</v>
      </c>
      <c r="J33" s="31" t="s">
        <v>727</v>
      </c>
      <c r="K33" s="31" t="s">
        <v>726</v>
      </c>
      <c r="L33" s="31" t="s">
        <v>71</v>
      </c>
      <c r="M33" s="31">
        <v>2021</v>
      </c>
      <c r="N33" s="31">
        <v>0</v>
      </c>
      <c r="O33" s="31">
        <f t="shared" si="0"/>
        <v>117.48</v>
      </c>
      <c r="P33" s="31">
        <v>0</v>
      </c>
      <c r="Q33" s="8">
        <v>143.46</v>
      </c>
      <c r="R33" s="8">
        <v>1</v>
      </c>
      <c r="S33" s="8" t="str">
        <f t="shared" si="1"/>
        <v>TUSDB1ConvencionalResidencialResidencial baixa renda – faixa 02Não se aplicaNão se aplicaNão se aplica</v>
      </c>
      <c r="T33" s="8">
        <f>VLOOKUP(S33,'TAR FIN COPEL'!$R$2:$S$219,2,0)</f>
        <v>117.48</v>
      </c>
    </row>
    <row r="34" spans="1:20" ht="11.25" customHeight="1" x14ac:dyDescent="0.25">
      <c r="A34" s="31">
        <v>33</v>
      </c>
      <c r="B34" s="31" t="s">
        <v>581</v>
      </c>
      <c r="C34" s="31" t="s">
        <v>22</v>
      </c>
      <c r="D34" s="31" t="s">
        <v>23</v>
      </c>
      <c r="E34" s="31" t="s">
        <v>24</v>
      </c>
      <c r="F34" s="31" t="s">
        <v>31</v>
      </c>
      <c r="G34" s="31" t="s">
        <v>25</v>
      </c>
      <c r="H34" s="31" t="s">
        <v>25</v>
      </c>
      <c r="I34" s="31" t="s">
        <v>25</v>
      </c>
      <c r="J34" s="31" t="s">
        <v>727</v>
      </c>
      <c r="K34" s="31" t="s">
        <v>726</v>
      </c>
      <c r="L34" s="31" t="s">
        <v>71</v>
      </c>
      <c r="M34" s="31">
        <v>2021</v>
      </c>
      <c r="N34" s="31">
        <v>0</v>
      </c>
      <c r="O34" s="31">
        <f t="shared" si="0"/>
        <v>176.22</v>
      </c>
      <c r="P34" s="31">
        <v>0</v>
      </c>
      <c r="Q34" s="8">
        <v>215.19</v>
      </c>
      <c r="R34" s="8">
        <v>1</v>
      </c>
      <c r="S34" s="8" t="str">
        <f t="shared" si="1"/>
        <v>TUSDB1ConvencionalResidencialResidencial baixa renda – faixa 03Não se aplicaNão se aplicaNão se aplica</v>
      </c>
      <c r="T34" s="8">
        <f>VLOOKUP(S34,'TAR FIN COPEL'!$R$2:$S$219,2,0)</f>
        <v>176.22</v>
      </c>
    </row>
    <row r="35" spans="1:20" ht="11.25" customHeight="1" x14ac:dyDescent="0.25">
      <c r="A35" s="31">
        <v>34</v>
      </c>
      <c r="B35" s="31" t="s">
        <v>581</v>
      </c>
      <c r="C35" s="31" t="s">
        <v>22</v>
      </c>
      <c r="D35" s="31" t="s">
        <v>23</v>
      </c>
      <c r="E35" s="31" t="s">
        <v>24</v>
      </c>
      <c r="F35" s="31" t="s">
        <v>32</v>
      </c>
      <c r="G35" s="31" t="s">
        <v>25</v>
      </c>
      <c r="H35" s="31" t="s">
        <v>25</v>
      </c>
      <c r="I35" s="31" t="s">
        <v>25</v>
      </c>
      <c r="J35" s="31" t="s">
        <v>727</v>
      </c>
      <c r="K35" s="31" t="s">
        <v>726</v>
      </c>
      <c r="L35" s="31" t="s">
        <v>71</v>
      </c>
      <c r="M35" s="31">
        <v>2021</v>
      </c>
      <c r="N35" s="31">
        <v>0</v>
      </c>
      <c r="O35" s="31">
        <f t="shared" si="0"/>
        <v>195.8</v>
      </c>
      <c r="P35" s="31">
        <v>0</v>
      </c>
      <c r="Q35" s="8">
        <v>239.1</v>
      </c>
      <c r="R35" s="8">
        <v>1</v>
      </c>
      <c r="S35" s="8" t="str">
        <f t="shared" si="1"/>
        <v>TUSDB1ConvencionalResidencialResidencial baixa renda – faixa 04Não se aplicaNão se aplicaNão se aplica</v>
      </c>
      <c r="T35" s="8">
        <f>VLOOKUP(S35,'TAR FIN COPEL'!$R$2:$S$219,2,0)</f>
        <v>195.8</v>
      </c>
    </row>
    <row r="36" spans="1:20" ht="11.25" customHeight="1" x14ac:dyDescent="0.25">
      <c r="A36" s="31">
        <v>35</v>
      </c>
      <c r="B36" s="31" t="s">
        <v>581</v>
      </c>
      <c r="C36" s="31" t="s">
        <v>22</v>
      </c>
      <c r="D36" s="31" t="s">
        <v>86</v>
      </c>
      <c r="E36" s="31" t="s">
        <v>24</v>
      </c>
      <c r="F36" s="31" t="s">
        <v>24</v>
      </c>
      <c r="G36" s="31" t="s">
        <v>25</v>
      </c>
      <c r="H36" s="31" t="s">
        <v>25</v>
      </c>
      <c r="I36" s="31" t="s">
        <v>25</v>
      </c>
      <c r="J36" s="31" t="s">
        <v>727</v>
      </c>
      <c r="K36" s="31" t="s">
        <v>726</v>
      </c>
      <c r="L36" s="31" t="s">
        <v>71</v>
      </c>
      <c r="M36" s="31">
        <v>2021</v>
      </c>
      <c r="N36" s="31">
        <v>0</v>
      </c>
      <c r="O36" s="31">
        <f t="shared" si="0"/>
        <v>269.91000000000003</v>
      </c>
      <c r="P36" s="31">
        <v>57.378540453409599</v>
      </c>
      <c r="Q36" s="8">
        <v>308.77</v>
      </c>
      <c r="R36" s="8">
        <v>1</v>
      </c>
      <c r="S36" s="8" t="str">
        <f t="shared" si="1"/>
        <v>TUSDB1Convencional pré-pagamentoResidencialResidencialNão se aplicaNão se aplicaNão se aplica</v>
      </c>
      <c r="T36" s="8">
        <f>VLOOKUP(S36,'TAR FIN COPEL'!$R$2:$S$219,2,0)</f>
        <v>269.91000000000003</v>
      </c>
    </row>
    <row r="37" spans="1:20" ht="11.25" customHeight="1" x14ac:dyDescent="0.25">
      <c r="A37" s="31">
        <v>36</v>
      </c>
      <c r="B37" s="31" t="s">
        <v>581</v>
      </c>
      <c r="C37" s="31" t="s">
        <v>22</v>
      </c>
      <c r="D37" s="31" t="s">
        <v>86</v>
      </c>
      <c r="E37" s="31" t="s">
        <v>24</v>
      </c>
      <c r="F37" s="31" t="s">
        <v>29</v>
      </c>
      <c r="G37" s="31" t="s">
        <v>25</v>
      </c>
      <c r="H37" s="31" t="s">
        <v>25</v>
      </c>
      <c r="I37" s="31" t="s">
        <v>25</v>
      </c>
      <c r="J37" s="31" t="s">
        <v>727</v>
      </c>
      <c r="K37" s="31" t="s">
        <v>726</v>
      </c>
      <c r="L37" s="31" t="s">
        <v>71</v>
      </c>
      <c r="M37" s="31">
        <v>2021</v>
      </c>
      <c r="N37" s="31">
        <v>0</v>
      </c>
      <c r="O37" s="31">
        <f t="shared" si="0"/>
        <v>68.53</v>
      </c>
      <c r="P37" s="31">
        <v>0</v>
      </c>
      <c r="Q37" s="8">
        <v>83.69</v>
      </c>
      <c r="R37" s="8">
        <v>1</v>
      </c>
      <c r="S37" s="8" t="str">
        <f t="shared" si="1"/>
        <v>TUSDB1Convencional pré-pagamentoResidencialResidencial baixa renda – faixa 01Não se aplicaNão se aplicaNão se aplica</v>
      </c>
      <c r="T37" s="8">
        <f>VLOOKUP(S37,'TAR FIN COPEL'!$R$2:$S$219,2,0)</f>
        <v>68.53</v>
      </c>
    </row>
    <row r="38" spans="1:20" ht="11.25" customHeight="1" x14ac:dyDescent="0.25">
      <c r="A38" s="31">
        <v>37</v>
      </c>
      <c r="B38" s="31" t="s">
        <v>581</v>
      </c>
      <c r="C38" s="31" t="s">
        <v>22</v>
      </c>
      <c r="D38" s="31" t="s">
        <v>86</v>
      </c>
      <c r="E38" s="31" t="s">
        <v>24</v>
      </c>
      <c r="F38" s="31" t="s">
        <v>30</v>
      </c>
      <c r="G38" s="31" t="s">
        <v>25</v>
      </c>
      <c r="H38" s="31" t="s">
        <v>25</v>
      </c>
      <c r="I38" s="31" t="s">
        <v>25</v>
      </c>
      <c r="J38" s="31" t="s">
        <v>727</v>
      </c>
      <c r="K38" s="31" t="s">
        <v>726</v>
      </c>
      <c r="L38" s="31" t="s">
        <v>71</v>
      </c>
      <c r="M38" s="31">
        <v>2021</v>
      </c>
      <c r="N38" s="31">
        <v>0</v>
      </c>
      <c r="O38" s="31">
        <f t="shared" si="0"/>
        <v>117.48</v>
      </c>
      <c r="P38" s="31">
        <v>0</v>
      </c>
      <c r="Q38" s="8">
        <v>143.46</v>
      </c>
      <c r="R38" s="8">
        <v>1</v>
      </c>
      <c r="S38" s="8" t="str">
        <f t="shared" si="1"/>
        <v>TUSDB1Convencional pré-pagamentoResidencialResidencial baixa renda – faixa 02Não se aplicaNão se aplicaNão se aplica</v>
      </c>
      <c r="T38" s="8">
        <f>VLOOKUP(S38,'TAR FIN COPEL'!$R$2:$S$219,2,0)</f>
        <v>117.48</v>
      </c>
    </row>
    <row r="39" spans="1:20" ht="11.25" customHeight="1" x14ac:dyDescent="0.25">
      <c r="A39" s="31">
        <v>38</v>
      </c>
      <c r="B39" s="31" t="s">
        <v>581</v>
      </c>
      <c r="C39" s="31" t="s">
        <v>22</v>
      </c>
      <c r="D39" s="31" t="s">
        <v>86</v>
      </c>
      <c r="E39" s="31" t="s">
        <v>24</v>
      </c>
      <c r="F39" s="31" t="s">
        <v>31</v>
      </c>
      <c r="G39" s="31" t="s">
        <v>25</v>
      </c>
      <c r="H39" s="31" t="s">
        <v>25</v>
      </c>
      <c r="I39" s="31" t="s">
        <v>25</v>
      </c>
      <c r="J39" s="31" t="s">
        <v>727</v>
      </c>
      <c r="K39" s="31" t="s">
        <v>726</v>
      </c>
      <c r="L39" s="31" t="s">
        <v>71</v>
      </c>
      <c r="M39" s="31">
        <v>2021</v>
      </c>
      <c r="N39" s="31">
        <v>0</v>
      </c>
      <c r="O39" s="31">
        <f t="shared" si="0"/>
        <v>176.22</v>
      </c>
      <c r="P39" s="31">
        <v>0</v>
      </c>
      <c r="Q39" s="8">
        <v>215.19</v>
      </c>
      <c r="R39" s="8">
        <v>1</v>
      </c>
      <c r="S39" s="8" t="str">
        <f t="shared" si="1"/>
        <v>TUSDB1Convencional pré-pagamentoResidencialResidencial baixa renda – faixa 03Não se aplicaNão se aplicaNão se aplica</v>
      </c>
      <c r="T39" s="8">
        <f>VLOOKUP(S39,'TAR FIN COPEL'!$R$2:$S$219,2,0)</f>
        <v>176.22</v>
      </c>
    </row>
    <row r="40" spans="1:20" ht="11.25" customHeight="1" x14ac:dyDescent="0.25">
      <c r="A40" s="31">
        <v>39</v>
      </c>
      <c r="B40" s="31" t="s">
        <v>581</v>
      </c>
      <c r="C40" s="31" t="s">
        <v>22</v>
      </c>
      <c r="D40" s="31" t="s">
        <v>86</v>
      </c>
      <c r="E40" s="31" t="s">
        <v>24</v>
      </c>
      <c r="F40" s="31" t="s">
        <v>32</v>
      </c>
      <c r="G40" s="31" t="s">
        <v>25</v>
      </c>
      <c r="H40" s="31" t="s">
        <v>25</v>
      </c>
      <c r="I40" s="31" t="s">
        <v>25</v>
      </c>
      <c r="J40" s="31" t="s">
        <v>727</v>
      </c>
      <c r="K40" s="31" t="s">
        <v>726</v>
      </c>
      <c r="L40" s="31" t="s">
        <v>71</v>
      </c>
      <c r="M40" s="31">
        <v>2021</v>
      </c>
      <c r="N40" s="31">
        <v>0</v>
      </c>
      <c r="O40" s="31">
        <f t="shared" si="0"/>
        <v>195.8</v>
      </c>
      <c r="P40" s="31">
        <v>0</v>
      </c>
      <c r="Q40" s="8">
        <v>239.1</v>
      </c>
      <c r="R40" s="8">
        <v>1</v>
      </c>
      <c r="S40" s="8" t="str">
        <f t="shared" si="1"/>
        <v>TUSDB1Convencional pré-pagamentoResidencialResidencial baixa renda – faixa 04Não se aplicaNão se aplicaNão se aplica</v>
      </c>
      <c r="T40" s="8">
        <f>VLOOKUP(S40,'TAR FIN COPEL'!$R$2:$S$219,2,0)</f>
        <v>195.8</v>
      </c>
    </row>
    <row r="41" spans="1:20" ht="11.25" customHeight="1" x14ac:dyDescent="0.25">
      <c r="A41" s="31">
        <v>40</v>
      </c>
      <c r="B41" s="31" t="s">
        <v>581</v>
      </c>
      <c r="C41" s="31" t="s">
        <v>44</v>
      </c>
      <c r="D41" s="31" t="s">
        <v>36</v>
      </c>
      <c r="E41" s="31" t="s">
        <v>45</v>
      </c>
      <c r="F41" s="31" t="s">
        <v>25</v>
      </c>
      <c r="G41" s="31" t="s">
        <v>25</v>
      </c>
      <c r="H41" s="31" t="s">
        <v>25</v>
      </c>
      <c r="I41" s="31" t="s">
        <v>37</v>
      </c>
      <c r="J41" s="31" t="s">
        <v>727</v>
      </c>
      <c r="K41" s="31" t="s">
        <v>726</v>
      </c>
      <c r="L41" s="31" t="s">
        <v>71</v>
      </c>
      <c r="M41" s="31">
        <v>2021</v>
      </c>
      <c r="N41" s="31">
        <v>0</v>
      </c>
      <c r="O41" s="31">
        <f t="shared" si="0"/>
        <v>515.79</v>
      </c>
      <c r="P41" s="31">
        <v>50.493115599000397</v>
      </c>
      <c r="Q41" s="8">
        <v>1106.3900000000001</v>
      </c>
      <c r="R41" s="8">
        <v>1</v>
      </c>
      <c r="S41" s="8" t="str">
        <f t="shared" si="1"/>
        <v>TUSDB2BrancaRuralNão se aplicaNão se aplicaNão se aplicaPonta</v>
      </c>
      <c r="T41" s="8">
        <f>VLOOKUP(S41,'TAR FIN COPEL'!$R$2:$S$219,2,0)</f>
        <v>515.79</v>
      </c>
    </row>
    <row r="42" spans="1:20" ht="11.25" customHeight="1" x14ac:dyDescent="0.25">
      <c r="A42" s="31">
        <v>41</v>
      </c>
      <c r="B42" s="31" t="s">
        <v>581</v>
      </c>
      <c r="C42" s="31" t="s">
        <v>44</v>
      </c>
      <c r="D42" s="31" t="s">
        <v>36</v>
      </c>
      <c r="E42" s="31" t="s">
        <v>45</v>
      </c>
      <c r="F42" s="31" t="s">
        <v>25</v>
      </c>
      <c r="G42" s="31" t="s">
        <v>25</v>
      </c>
      <c r="H42" s="31" t="s">
        <v>25</v>
      </c>
      <c r="I42" s="31" t="s">
        <v>38</v>
      </c>
      <c r="J42" s="31" t="s">
        <v>727</v>
      </c>
      <c r="K42" s="31" t="s">
        <v>726</v>
      </c>
      <c r="L42" s="31" t="s">
        <v>71</v>
      </c>
      <c r="M42" s="31">
        <v>2021</v>
      </c>
      <c r="N42" s="31">
        <v>0</v>
      </c>
      <c r="O42" s="31">
        <f t="shared" si="0"/>
        <v>347.4</v>
      </c>
      <c r="P42" s="31">
        <v>50.493115599000397</v>
      </c>
      <c r="Q42" s="8">
        <v>389.33</v>
      </c>
      <c r="R42" s="8">
        <v>1</v>
      </c>
      <c r="S42" s="8" t="str">
        <f t="shared" si="1"/>
        <v>TUSDB2BrancaRuralNão se aplicaNão se aplicaNão se aplicaIntermediário</v>
      </c>
      <c r="T42" s="8">
        <f>VLOOKUP(S42,'TAR FIN COPEL'!$R$2:$S$219,2,0)</f>
        <v>347.4</v>
      </c>
    </row>
    <row r="43" spans="1:20" ht="11.25" customHeight="1" x14ac:dyDescent="0.25">
      <c r="A43" s="31">
        <v>42</v>
      </c>
      <c r="B43" s="31" t="s">
        <v>581</v>
      </c>
      <c r="C43" s="31" t="s">
        <v>44</v>
      </c>
      <c r="D43" s="31" t="s">
        <v>36</v>
      </c>
      <c r="E43" s="31" t="s">
        <v>45</v>
      </c>
      <c r="F43" s="31" t="s">
        <v>25</v>
      </c>
      <c r="G43" s="31" t="s">
        <v>25</v>
      </c>
      <c r="H43" s="31" t="s">
        <v>25</v>
      </c>
      <c r="I43" s="31" t="s">
        <v>35</v>
      </c>
      <c r="J43" s="31" t="s">
        <v>727</v>
      </c>
      <c r="K43" s="31" t="s">
        <v>726</v>
      </c>
      <c r="L43" s="31" t="s">
        <v>71</v>
      </c>
      <c r="M43" s="31">
        <v>2021</v>
      </c>
      <c r="N43" s="31">
        <v>0</v>
      </c>
      <c r="O43" s="31">
        <f t="shared" si="0"/>
        <v>179.01</v>
      </c>
      <c r="P43" s="31">
        <v>50.493115599000397</v>
      </c>
      <c r="Q43" s="8">
        <v>184.46</v>
      </c>
      <c r="R43" s="8">
        <v>1</v>
      </c>
      <c r="S43" s="8" t="str">
        <f t="shared" si="1"/>
        <v>TUSDB2BrancaRuralNão se aplicaNão se aplicaNão se aplicaFora ponta</v>
      </c>
      <c r="T43" s="8">
        <f>VLOOKUP(S43,'TAR FIN COPEL'!$R$2:$S$219,2,0)</f>
        <v>179.01</v>
      </c>
    </row>
    <row r="44" spans="1:20" ht="11.25" customHeight="1" x14ac:dyDescent="0.25">
      <c r="A44" s="31">
        <v>43</v>
      </c>
      <c r="B44" s="31" t="s">
        <v>581</v>
      </c>
      <c r="C44" s="31" t="s">
        <v>44</v>
      </c>
      <c r="D44" s="31" t="s">
        <v>23</v>
      </c>
      <c r="E44" s="31" t="s">
        <v>45</v>
      </c>
      <c r="F44" s="31" t="s">
        <v>25</v>
      </c>
      <c r="G44" s="31" t="s">
        <v>25</v>
      </c>
      <c r="H44" s="31" t="s">
        <v>25</v>
      </c>
      <c r="I44" s="31" t="s">
        <v>25</v>
      </c>
      <c r="J44" s="31" t="s">
        <v>727</v>
      </c>
      <c r="K44" s="31" t="s">
        <v>726</v>
      </c>
      <c r="L44" s="31" t="s">
        <v>71</v>
      </c>
      <c r="M44" s="31">
        <v>2021</v>
      </c>
      <c r="N44" s="31">
        <v>0</v>
      </c>
      <c r="O44" s="31">
        <f t="shared" si="0"/>
        <v>237.52</v>
      </c>
      <c r="P44" s="31">
        <v>50.493115599000397</v>
      </c>
      <c r="Q44" s="8">
        <v>271.72000000000003</v>
      </c>
      <c r="R44" s="8">
        <v>1</v>
      </c>
      <c r="S44" s="8" t="str">
        <f t="shared" si="1"/>
        <v>TUSDB2ConvencionalRuralNão se aplicaNão se aplicaNão se aplicaNão se aplica</v>
      </c>
      <c r="T44" s="8">
        <f>VLOOKUP(S44,'TAR FIN COPEL'!$R$2:$S$219,2,0)</f>
        <v>237.52</v>
      </c>
    </row>
    <row r="45" spans="1:20" ht="11.25" customHeight="1" x14ac:dyDescent="0.25">
      <c r="A45" s="31">
        <v>44</v>
      </c>
      <c r="B45" s="31" t="s">
        <v>581</v>
      </c>
      <c r="C45" s="31" t="s">
        <v>44</v>
      </c>
      <c r="D45" s="31" t="s">
        <v>36</v>
      </c>
      <c r="E45" s="31" t="s">
        <v>45</v>
      </c>
      <c r="F45" s="31" t="s">
        <v>87</v>
      </c>
      <c r="G45" s="31" t="s">
        <v>25</v>
      </c>
      <c r="H45" s="31" t="s">
        <v>25</v>
      </c>
      <c r="I45" s="31" t="s">
        <v>37</v>
      </c>
      <c r="J45" s="31" t="s">
        <v>727</v>
      </c>
      <c r="K45" s="31" t="s">
        <v>726</v>
      </c>
      <c r="L45" s="31" t="s">
        <v>71</v>
      </c>
      <c r="M45" s="31">
        <v>2021</v>
      </c>
      <c r="N45" s="31">
        <v>0</v>
      </c>
      <c r="O45" s="31">
        <f t="shared" si="0"/>
        <v>500.85</v>
      </c>
      <c r="P45" s="31">
        <v>50.493115599000397</v>
      </c>
      <c r="Q45" s="8">
        <v>1106.3900000000001</v>
      </c>
      <c r="R45" s="8">
        <v>1</v>
      </c>
      <c r="S45" s="8" t="str">
        <f t="shared" si="1"/>
        <v>TUSDB2BrancaRuralCooperativa de eletrificação ruralNão se aplicaNão se aplicaPonta</v>
      </c>
      <c r="T45" s="8">
        <f>VLOOKUP(S45,'TAR FIN COPEL'!$R$2:$S$219,2,0)</f>
        <v>500.85</v>
      </c>
    </row>
    <row r="46" spans="1:20" ht="11.25" customHeight="1" x14ac:dyDescent="0.25">
      <c r="A46" s="31">
        <v>45</v>
      </c>
      <c r="B46" s="31" t="s">
        <v>581</v>
      </c>
      <c r="C46" s="31" t="s">
        <v>44</v>
      </c>
      <c r="D46" s="31" t="s">
        <v>36</v>
      </c>
      <c r="E46" s="31" t="s">
        <v>45</v>
      </c>
      <c r="F46" s="31" t="s">
        <v>87</v>
      </c>
      <c r="G46" s="31" t="s">
        <v>25</v>
      </c>
      <c r="H46" s="31" t="s">
        <v>25</v>
      </c>
      <c r="I46" s="31" t="s">
        <v>38</v>
      </c>
      <c r="J46" s="31" t="s">
        <v>727</v>
      </c>
      <c r="K46" s="31" t="s">
        <v>726</v>
      </c>
      <c r="L46" s="31" t="s">
        <v>71</v>
      </c>
      <c r="M46" s="31">
        <v>2021</v>
      </c>
      <c r="N46" s="31">
        <v>0</v>
      </c>
      <c r="O46" s="31">
        <f t="shared" si="0"/>
        <v>337.34</v>
      </c>
      <c r="P46" s="31">
        <v>50.493115599000397</v>
      </c>
      <c r="Q46" s="8">
        <v>389.33</v>
      </c>
      <c r="R46" s="8">
        <v>1</v>
      </c>
      <c r="S46" s="8" t="str">
        <f t="shared" si="1"/>
        <v>TUSDB2BrancaRuralCooperativa de eletrificação ruralNão se aplicaNão se aplicaIntermediário</v>
      </c>
      <c r="T46" s="8">
        <f>VLOOKUP(S46,'TAR FIN COPEL'!$R$2:$S$219,2,0)</f>
        <v>337.34</v>
      </c>
    </row>
    <row r="47" spans="1:20" ht="11.25" customHeight="1" x14ac:dyDescent="0.25">
      <c r="A47" s="31">
        <v>46</v>
      </c>
      <c r="B47" s="31" t="s">
        <v>581</v>
      </c>
      <c r="C47" s="31" t="s">
        <v>44</v>
      </c>
      <c r="D47" s="31" t="s">
        <v>36</v>
      </c>
      <c r="E47" s="31" t="s">
        <v>45</v>
      </c>
      <c r="F47" s="31" t="s">
        <v>87</v>
      </c>
      <c r="G47" s="31" t="s">
        <v>25</v>
      </c>
      <c r="H47" s="31" t="s">
        <v>25</v>
      </c>
      <c r="I47" s="31" t="s">
        <v>35</v>
      </c>
      <c r="J47" s="31" t="s">
        <v>727</v>
      </c>
      <c r="K47" s="31" t="s">
        <v>726</v>
      </c>
      <c r="L47" s="31" t="s">
        <v>71</v>
      </c>
      <c r="M47" s="31">
        <v>2021</v>
      </c>
      <c r="N47" s="31">
        <v>0</v>
      </c>
      <c r="O47" s="31">
        <f t="shared" si="0"/>
        <v>173.83</v>
      </c>
      <c r="P47" s="31">
        <v>50.493115599000397</v>
      </c>
      <c r="Q47" s="8">
        <v>184.46</v>
      </c>
      <c r="R47" s="8">
        <v>1</v>
      </c>
      <c r="S47" s="8" t="str">
        <f t="shared" si="1"/>
        <v>TUSDB2BrancaRuralCooperativa de eletrificação ruralNão se aplicaNão se aplicaFora ponta</v>
      </c>
      <c r="T47" s="8">
        <f>VLOOKUP(S47,'TAR FIN COPEL'!$R$2:$S$219,2,0)</f>
        <v>173.83</v>
      </c>
    </row>
    <row r="48" spans="1:20" ht="11.25" customHeight="1" x14ac:dyDescent="0.25">
      <c r="A48" s="31">
        <v>47</v>
      </c>
      <c r="B48" s="31" t="s">
        <v>581</v>
      </c>
      <c r="C48" s="31" t="s">
        <v>44</v>
      </c>
      <c r="D48" s="31" t="s">
        <v>23</v>
      </c>
      <c r="E48" s="31" t="s">
        <v>45</v>
      </c>
      <c r="F48" s="31" t="s">
        <v>87</v>
      </c>
      <c r="G48" s="31" t="s">
        <v>25</v>
      </c>
      <c r="H48" s="31" t="s">
        <v>25</v>
      </c>
      <c r="I48" s="31" t="s">
        <v>25</v>
      </c>
      <c r="J48" s="31" t="s">
        <v>727</v>
      </c>
      <c r="K48" s="31" t="s">
        <v>726</v>
      </c>
      <c r="L48" s="31" t="s">
        <v>71</v>
      </c>
      <c r="M48" s="31">
        <v>2021</v>
      </c>
      <c r="N48" s="31">
        <v>0</v>
      </c>
      <c r="O48" s="31">
        <f t="shared" si="0"/>
        <v>230.64</v>
      </c>
      <c r="P48" s="31">
        <v>50.493115599000397</v>
      </c>
      <c r="Q48" s="8">
        <v>271.72000000000003</v>
      </c>
      <c r="R48" s="8">
        <v>1</v>
      </c>
      <c r="S48" s="8" t="str">
        <f t="shared" si="1"/>
        <v>TUSDB2ConvencionalRuralCooperativa de eletrificação ruralNão se aplicaNão se aplicaNão se aplica</v>
      </c>
      <c r="T48" s="8">
        <f>VLOOKUP(S48,'TAR FIN COPEL'!$R$2:$S$219,2,0)</f>
        <v>230.64</v>
      </c>
    </row>
    <row r="49" spans="1:20" ht="11.25" customHeight="1" x14ac:dyDescent="0.25">
      <c r="A49" s="31">
        <v>48</v>
      </c>
      <c r="B49" s="31" t="s">
        <v>581</v>
      </c>
      <c r="C49" s="31" t="s">
        <v>44</v>
      </c>
      <c r="D49" s="31" t="s">
        <v>36</v>
      </c>
      <c r="E49" s="31" t="s">
        <v>45</v>
      </c>
      <c r="F49" s="31" t="s">
        <v>88</v>
      </c>
      <c r="G49" s="31" t="s">
        <v>25</v>
      </c>
      <c r="H49" s="31" t="s">
        <v>25</v>
      </c>
      <c r="I49" s="31" t="s">
        <v>37</v>
      </c>
      <c r="J49" s="31" t="s">
        <v>727</v>
      </c>
      <c r="K49" s="31" t="s">
        <v>726</v>
      </c>
      <c r="L49" s="31" t="s">
        <v>71</v>
      </c>
      <c r="M49" s="31">
        <v>2021</v>
      </c>
      <c r="N49" s="31">
        <v>0</v>
      </c>
      <c r="O49" s="31">
        <f t="shared" si="0"/>
        <v>492.35</v>
      </c>
      <c r="P49" s="31">
        <v>48.197973980863999</v>
      </c>
      <c r="Q49" s="8">
        <v>1056.0999999999999</v>
      </c>
      <c r="R49" s="8">
        <v>1</v>
      </c>
      <c r="S49" s="8" t="str">
        <f t="shared" si="1"/>
        <v>TUSDB2BrancaRuralServiço público de irrigação ruralNão se aplicaNão se aplicaPonta</v>
      </c>
      <c r="T49" s="8">
        <f>VLOOKUP(S49,'TAR FIN COPEL'!$R$2:$S$219,2,0)</f>
        <v>492.35</v>
      </c>
    </row>
    <row r="50" spans="1:20" ht="11.25" customHeight="1" x14ac:dyDescent="0.25">
      <c r="A50" s="31">
        <v>49</v>
      </c>
      <c r="B50" s="31" t="s">
        <v>581</v>
      </c>
      <c r="C50" s="31" t="s">
        <v>44</v>
      </c>
      <c r="D50" s="31" t="s">
        <v>36</v>
      </c>
      <c r="E50" s="31" t="s">
        <v>45</v>
      </c>
      <c r="F50" s="31" t="s">
        <v>88</v>
      </c>
      <c r="G50" s="31" t="s">
        <v>25</v>
      </c>
      <c r="H50" s="31" t="s">
        <v>25</v>
      </c>
      <c r="I50" s="31" t="s">
        <v>38</v>
      </c>
      <c r="J50" s="31" t="s">
        <v>727</v>
      </c>
      <c r="K50" s="31" t="s">
        <v>726</v>
      </c>
      <c r="L50" s="31" t="s">
        <v>71</v>
      </c>
      <c r="M50" s="31">
        <v>2021</v>
      </c>
      <c r="N50" s="31">
        <v>0</v>
      </c>
      <c r="O50" s="31">
        <f t="shared" si="0"/>
        <v>331.61</v>
      </c>
      <c r="P50" s="31">
        <v>48.197973980863999</v>
      </c>
      <c r="Q50" s="8">
        <v>371.63</v>
      </c>
      <c r="R50" s="8">
        <v>1</v>
      </c>
      <c r="S50" s="8" t="str">
        <f t="shared" si="1"/>
        <v>TUSDB2BrancaRuralServiço público de irrigação ruralNão se aplicaNão se aplicaIntermediário</v>
      </c>
      <c r="T50" s="8">
        <f>VLOOKUP(S50,'TAR FIN COPEL'!$R$2:$S$219,2,0)</f>
        <v>331.61</v>
      </c>
    </row>
    <row r="51" spans="1:20" ht="11.25" customHeight="1" x14ac:dyDescent="0.25">
      <c r="A51" s="31">
        <v>50</v>
      </c>
      <c r="B51" s="31" t="s">
        <v>581</v>
      </c>
      <c r="C51" s="31" t="s">
        <v>44</v>
      </c>
      <c r="D51" s="31" t="s">
        <v>36</v>
      </c>
      <c r="E51" s="31" t="s">
        <v>45</v>
      </c>
      <c r="F51" s="31" t="s">
        <v>88</v>
      </c>
      <c r="G51" s="31" t="s">
        <v>25</v>
      </c>
      <c r="H51" s="31" t="s">
        <v>25</v>
      </c>
      <c r="I51" s="31" t="s">
        <v>35</v>
      </c>
      <c r="J51" s="31" t="s">
        <v>727</v>
      </c>
      <c r="K51" s="31" t="s">
        <v>726</v>
      </c>
      <c r="L51" s="31" t="s">
        <v>71</v>
      </c>
      <c r="M51" s="31">
        <v>2021</v>
      </c>
      <c r="N51" s="31">
        <v>0</v>
      </c>
      <c r="O51" s="31">
        <f t="shared" si="0"/>
        <v>170.88</v>
      </c>
      <c r="P51" s="31">
        <v>48.197973980863999</v>
      </c>
      <c r="Q51" s="8">
        <v>176.07</v>
      </c>
      <c r="R51" s="8">
        <v>1</v>
      </c>
      <c r="S51" s="8" t="str">
        <f t="shared" si="1"/>
        <v>TUSDB2BrancaRuralServiço público de irrigação ruralNão se aplicaNão se aplicaFora ponta</v>
      </c>
      <c r="T51" s="8">
        <f>VLOOKUP(S51,'TAR FIN COPEL'!$R$2:$S$219,2,0)</f>
        <v>170.88</v>
      </c>
    </row>
    <row r="52" spans="1:20" ht="11.25" customHeight="1" x14ac:dyDescent="0.25">
      <c r="A52" s="31">
        <v>51</v>
      </c>
      <c r="B52" s="31" t="s">
        <v>581</v>
      </c>
      <c r="C52" s="31" t="s">
        <v>44</v>
      </c>
      <c r="D52" s="31" t="s">
        <v>23</v>
      </c>
      <c r="E52" s="31" t="s">
        <v>45</v>
      </c>
      <c r="F52" s="31" t="s">
        <v>88</v>
      </c>
      <c r="G52" s="31" t="s">
        <v>25</v>
      </c>
      <c r="H52" s="31" t="s">
        <v>25</v>
      </c>
      <c r="I52" s="31" t="s">
        <v>25</v>
      </c>
      <c r="J52" s="31" t="s">
        <v>727</v>
      </c>
      <c r="K52" s="31" t="s">
        <v>726</v>
      </c>
      <c r="L52" s="31" t="s">
        <v>71</v>
      </c>
      <c r="M52" s="31">
        <v>2021</v>
      </c>
      <c r="N52" s="31">
        <v>0</v>
      </c>
      <c r="O52" s="31">
        <f t="shared" si="0"/>
        <v>226.72</v>
      </c>
      <c r="P52" s="31">
        <v>48.197973980863999</v>
      </c>
      <c r="Q52" s="8">
        <v>259.37</v>
      </c>
      <c r="R52" s="8">
        <v>1</v>
      </c>
      <c r="S52" s="8" t="str">
        <f t="shared" si="1"/>
        <v>TUSDB2ConvencionalRuralServiço público de irrigação ruralNão se aplicaNão se aplicaNão se aplica</v>
      </c>
      <c r="T52" s="8">
        <f>VLOOKUP(S52,'TAR FIN COPEL'!$R$2:$S$219,2,0)</f>
        <v>226.72</v>
      </c>
    </row>
    <row r="53" spans="1:20" ht="11.25" customHeight="1" x14ac:dyDescent="0.25">
      <c r="A53" s="31">
        <v>52</v>
      </c>
      <c r="B53" s="31" t="s">
        <v>581</v>
      </c>
      <c r="C53" s="31" t="s">
        <v>44</v>
      </c>
      <c r="D53" s="31" t="s">
        <v>86</v>
      </c>
      <c r="E53" s="31" t="s">
        <v>45</v>
      </c>
      <c r="F53" s="31" t="s">
        <v>25</v>
      </c>
      <c r="G53" s="31" t="s">
        <v>25</v>
      </c>
      <c r="H53" s="31" t="s">
        <v>25</v>
      </c>
      <c r="I53" s="31" t="s">
        <v>25</v>
      </c>
      <c r="J53" s="31" t="s">
        <v>727</v>
      </c>
      <c r="K53" s="31" t="s">
        <v>726</v>
      </c>
      <c r="L53" s="31" t="s">
        <v>71</v>
      </c>
      <c r="M53" s="31">
        <v>2021</v>
      </c>
      <c r="N53" s="31">
        <v>0</v>
      </c>
      <c r="O53" s="31">
        <f t="shared" si="0"/>
        <v>237.52</v>
      </c>
      <c r="P53" s="31">
        <v>50.493115599000397</v>
      </c>
      <c r="Q53" s="8">
        <v>271.72000000000003</v>
      </c>
      <c r="R53" s="8">
        <v>1</v>
      </c>
      <c r="S53" s="8" t="str">
        <f t="shared" si="1"/>
        <v>TUSDB2Convencional pré-pagamentoRuralNão se aplicaNão se aplicaNão se aplicaNão se aplica</v>
      </c>
      <c r="T53" s="8">
        <f>VLOOKUP(S53,'TAR FIN COPEL'!$R$2:$S$219,2,0)</f>
        <v>237.52</v>
      </c>
    </row>
    <row r="54" spans="1:20" ht="11.25" customHeight="1" x14ac:dyDescent="0.25">
      <c r="A54" s="31">
        <v>53</v>
      </c>
      <c r="B54" s="31" t="s">
        <v>581</v>
      </c>
      <c r="C54" s="31" t="s">
        <v>44</v>
      </c>
      <c r="D54" s="31" t="s">
        <v>86</v>
      </c>
      <c r="E54" s="31" t="s">
        <v>45</v>
      </c>
      <c r="F54" s="31" t="s">
        <v>87</v>
      </c>
      <c r="G54" s="31" t="s">
        <v>25</v>
      </c>
      <c r="H54" s="31" t="s">
        <v>25</v>
      </c>
      <c r="I54" s="31" t="s">
        <v>25</v>
      </c>
      <c r="J54" s="31" t="s">
        <v>727</v>
      </c>
      <c r="K54" s="31" t="s">
        <v>726</v>
      </c>
      <c r="L54" s="31" t="s">
        <v>71</v>
      </c>
      <c r="M54" s="31">
        <v>2021</v>
      </c>
      <c r="N54" s="31">
        <v>0</v>
      </c>
      <c r="O54" s="31">
        <f t="shared" si="0"/>
        <v>230.64</v>
      </c>
      <c r="P54" s="31">
        <v>50.493115599000397</v>
      </c>
      <c r="Q54" s="8">
        <v>271.72000000000003</v>
      </c>
      <c r="R54" s="8">
        <v>1</v>
      </c>
      <c r="S54" s="8" t="str">
        <f t="shared" si="1"/>
        <v>TUSDB2Convencional pré-pagamentoRuralCooperativa de eletrificação ruralNão se aplicaNão se aplicaNão se aplica</v>
      </c>
      <c r="T54" s="8">
        <f>VLOOKUP(S54,'TAR FIN COPEL'!$R$2:$S$219,2,0)</f>
        <v>230.64</v>
      </c>
    </row>
    <row r="55" spans="1:20" ht="11.25" customHeight="1" x14ac:dyDescent="0.25">
      <c r="A55" s="31">
        <v>54</v>
      </c>
      <c r="B55" s="31" t="s">
        <v>581</v>
      </c>
      <c r="C55" s="31" t="s">
        <v>44</v>
      </c>
      <c r="D55" s="31" t="s">
        <v>86</v>
      </c>
      <c r="E55" s="31" t="s">
        <v>45</v>
      </c>
      <c r="F55" s="31" t="s">
        <v>88</v>
      </c>
      <c r="G55" s="31" t="s">
        <v>25</v>
      </c>
      <c r="H55" s="31" t="s">
        <v>25</v>
      </c>
      <c r="I55" s="31" t="s">
        <v>25</v>
      </c>
      <c r="J55" s="31" t="s">
        <v>727</v>
      </c>
      <c r="K55" s="31" t="s">
        <v>726</v>
      </c>
      <c r="L55" s="31" t="s">
        <v>71</v>
      </c>
      <c r="M55" s="31">
        <v>2021</v>
      </c>
      <c r="N55" s="31">
        <v>0</v>
      </c>
      <c r="O55" s="31">
        <f t="shared" si="0"/>
        <v>226.72</v>
      </c>
      <c r="P55" s="31">
        <v>48.197973980863999</v>
      </c>
      <c r="Q55" s="8">
        <v>259.37</v>
      </c>
      <c r="R55" s="8">
        <v>1</v>
      </c>
      <c r="S55" s="8" t="str">
        <f t="shared" si="1"/>
        <v>TUSDB2Convencional pré-pagamentoRuralServiço público de irrigação ruralNão se aplicaNão se aplicaNão se aplica</v>
      </c>
      <c r="T55" s="8">
        <f>VLOOKUP(S55,'TAR FIN COPEL'!$R$2:$S$219,2,0)</f>
        <v>226.72</v>
      </c>
    </row>
    <row r="56" spans="1:20" ht="11.25" customHeight="1" x14ac:dyDescent="0.25">
      <c r="A56" s="31">
        <v>55</v>
      </c>
      <c r="B56" s="31" t="s">
        <v>581</v>
      </c>
      <c r="C56" s="31" t="s">
        <v>39</v>
      </c>
      <c r="D56" s="31" t="s">
        <v>36</v>
      </c>
      <c r="E56" s="31" t="s">
        <v>25</v>
      </c>
      <c r="F56" s="31" t="s">
        <v>25</v>
      </c>
      <c r="G56" s="31" t="s">
        <v>25</v>
      </c>
      <c r="H56" s="31" t="s">
        <v>25</v>
      </c>
      <c r="I56" s="31" t="s">
        <v>37</v>
      </c>
      <c r="J56" s="31" t="s">
        <v>727</v>
      </c>
      <c r="K56" s="31" t="s">
        <v>726</v>
      </c>
      <c r="L56" s="31" t="s">
        <v>71</v>
      </c>
      <c r="M56" s="31">
        <v>2021</v>
      </c>
      <c r="N56" s="31">
        <v>0</v>
      </c>
      <c r="O56" s="31">
        <f t="shared" si="0"/>
        <v>642.88</v>
      </c>
      <c r="P56" s="31">
        <v>57.378540453409599</v>
      </c>
      <c r="Q56" s="8">
        <v>847.68</v>
      </c>
      <c r="R56" s="8">
        <v>1</v>
      </c>
      <c r="S56" s="8" t="str">
        <f t="shared" si="1"/>
        <v>TUSDB3BrancaNão se aplicaNão se aplicaNão se aplicaNão se aplicaPonta</v>
      </c>
      <c r="T56" s="8">
        <f>VLOOKUP(S56,'TAR FIN COPEL'!$R$2:$S$219,2,0)</f>
        <v>642.88</v>
      </c>
    </row>
    <row r="57" spans="1:20" ht="11.25" customHeight="1" x14ac:dyDescent="0.25">
      <c r="A57" s="31">
        <v>56</v>
      </c>
      <c r="B57" s="31" t="s">
        <v>581</v>
      </c>
      <c r="C57" s="31" t="s">
        <v>39</v>
      </c>
      <c r="D57" s="31" t="s">
        <v>36</v>
      </c>
      <c r="E57" s="31" t="s">
        <v>25</v>
      </c>
      <c r="F57" s="31" t="s">
        <v>25</v>
      </c>
      <c r="G57" s="31" t="s">
        <v>25</v>
      </c>
      <c r="H57" s="31" t="s">
        <v>25</v>
      </c>
      <c r="I57" s="31" t="s">
        <v>38</v>
      </c>
      <c r="J57" s="31" t="s">
        <v>727</v>
      </c>
      <c r="K57" s="31" t="s">
        <v>726</v>
      </c>
      <c r="L57" s="31" t="s">
        <v>71</v>
      </c>
      <c r="M57" s="31">
        <v>2021</v>
      </c>
      <c r="N57" s="31">
        <v>0</v>
      </c>
      <c r="O57" s="31">
        <f t="shared" si="0"/>
        <v>428.83</v>
      </c>
      <c r="P57" s="31">
        <v>57.378540453409599</v>
      </c>
      <c r="Q57" s="8">
        <v>244.1</v>
      </c>
      <c r="R57" s="8">
        <v>1</v>
      </c>
      <c r="S57" s="8" t="str">
        <f t="shared" si="1"/>
        <v>TUSDB3BrancaNão se aplicaNão se aplicaNão se aplicaNão se aplicaIntermediário</v>
      </c>
      <c r="T57" s="8">
        <f>VLOOKUP(S57,'TAR FIN COPEL'!$R$2:$S$219,2,0)</f>
        <v>428.83</v>
      </c>
    </row>
    <row r="58" spans="1:20" ht="11.25" customHeight="1" x14ac:dyDescent="0.25">
      <c r="A58" s="31">
        <v>57</v>
      </c>
      <c r="B58" s="31" t="s">
        <v>581</v>
      </c>
      <c r="C58" s="31" t="s">
        <v>39</v>
      </c>
      <c r="D58" s="31" t="s">
        <v>36</v>
      </c>
      <c r="E58" s="31" t="s">
        <v>25</v>
      </c>
      <c r="F58" s="31" t="s">
        <v>25</v>
      </c>
      <c r="G58" s="31" t="s">
        <v>25</v>
      </c>
      <c r="H58" s="31" t="s">
        <v>25</v>
      </c>
      <c r="I58" s="31" t="s">
        <v>35</v>
      </c>
      <c r="J58" s="31" t="s">
        <v>727</v>
      </c>
      <c r="K58" s="31" t="s">
        <v>726</v>
      </c>
      <c r="L58" s="31" t="s">
        <v>71</v>
      </c>
      <c r="M58" s="31">
        <v>2021</v>
      </c>
      <c r="N58" s="31">
        <v>0</v>
      </c>
      <c r="O58" s="31">
        <f t="shared" si="0"/>
        <v>214.77</v>
      </c>
      <c r="P58" s="31">
        <v>57.378540453409599</v>
      </c>
      <c r="Q58" s="8">
        <v>244.1</v>
      </c>
      <c r="R58" s="8">
        <v>1</v>
      </c>
      <c r="S58" s="8" t="str">
        <f t="shared" si="1"/>
        <v>TUSDB3BrancaNão se aplicaNão se aplicaNão se aplicaNão se aplicaFora ponta</v>
      </c>
      <c r="T58" s="8">
        <f>VLOOKUP(S58,'TAR FIN COPEL'!$R$2:$S$219,2,0)</f>
        <v>214.77</v>
      </c>
    </row>
    <row r="59" spans="1:20" ht="11.25" customHeight="1" x14ac:dyDescent="0.25">
      <c r="A59" s="31">
        <v>58</v>
      </c>
      <c r="B59" s="31" t="s">
        <v>581</v>
      </c>
      <c r="C59" s="31" t="s">
        <v>39</v>
      </c>
      <c r="D59" s="31" t="s">
        <v>23</v>
      </c>
      <c r="E59" s="31" t="s">
        <v>25</v>
      </c>
      <c r="F59" s="31" t="s">
        <v>25</v>
      </c>
      <c r="G59" s="31" t="s">
        <v>25</v>
      </c>
      <c r="H59" s="31" t="s">
        <v>25</v>
      </c>
      <c r="I59" s="31" t="s">
        <v>25</v>
      </c>
      <c r="J59" s="31" t="s">
        <v>727</v>
      </c>
      <c r="K59" s="31" t="s">
        <v>726</v>
      </c>
      <c r="L59" s="31" t="s">
        <v>71</v>
      </c>
      <c r="M59" s="31">
        <v>2021</v>
      </c>
      <c r="N59" s="31">
        <v>0</v>
      </c>
      <c r="O59" s="31">
        <f t="shared" si="0"/>
        <v>269.91000000000003</v>
      </c>
      <c r="P59" s="31">
        <v>57.378540453409599</v>
      </c>
      <c r="Q59" s="8">
        <v>308.77</v>
      </c>
      <c r="R59" s="8">
        <v>1</v>
      </c>
      <c r="S59" s="8" t="str">
        <f t="shared" si="1"/>
        <v>TUSDB3ConvencionalNão se aplicaNão se aplicaNão se aplicaNão se aplicaNão se aplica</v>
      </c>
      <c r="T59" s="8">
        <f>VLOOKUP(S59,'TAR FIN COPEL'!$R$2:$S$219,2,0)</f>
        <v>269.91000000000003</v>
      </c>
    </row>
    <row r="60" spans="1:20" ht="11.25" customHeight="1" x14ac:dyDescent="0.25">
      <c r="A60" s="31">
        <v>59</v>
      </c>
      <c r="B60" s="31" t="s">
        <v>581</v>
      </c>
      <c r="C60" s="31" t="s">
        <v>39</v>
      </c>
      <c r="D60" s="31" t="s">
        <v>86</v>
      </c>
      <c r="E60" s="31" t="s">
        <v>25</v>
      </c>
      <c r="F60" s="31" t="s">
        <v>25</v>
      </c>
      <c r="G60" s="31" t="s">
        <v>25</v>
      </c>
      <c r="H60" s="31" t="s">
        <v>25</v>
      </c>
      <c r="I60" s="31" t="s">
        <v>25</v>
      </c>
      <c r="J60" s="31" t="s">
        <v>727</v>
      </c>
      <c r="K60" s="31" t="s">
        <v>726</v>
      </c>
      <c r="L60" s="31" t="s">
        <v>71</v>
      </c>
      <c r="M60" s="31">
        <v>2021</v>
      </c>
      <c r="N60" s="31">
        <v>0</v>
      </c>
      <c r="O60" s="31">
        <f t="shared" si="0"/>
        <v>269.91000000000003</v>
      </c>
      <c r="P60" s="31">
        <v>57.378540453409599</v>
      </c>
      <c r="Q60" s="8">
        <v>308.77</v>
      </c>
      <c r="R60" s="8">
        <v>1</v>
      </c>
      <c r="S60" s="8" t="str">
        <f t="shared" si="1"/>
        <v>TUSDB3Convencional pré-pagamentoNão se aplicaNão se aplicaNão se aplicaNão se aplicaNão se aplica</v>
      </c>
      <c r="T60" s="8">
        <f>VLOOKUP(S60,'TAR FIN COPEL'!$R$2:$S$219,2,0)</f>
        <v>269.91000000000003</v>
      </c>
    </row>
    <row r="61" spans="1:20" ht="11.25" customHeight="1" x14ac:dyDescent="0.25">
      <c r="A61" s="31">
        <v>60</v>
      </c>
      <c r="B61" s="31" t="s">
        <v>581</v>
      </c>
      <c r="C61" s="31" t="s">
        <v>47</v>
      </c>
      <c r="D61" s="31" t="s">
        <v>23</v>
      </c>
      <c r="E61" s="31" t="s">
        <v>48</v>
      </c>
      <c r="F61" s="31" t="s">
        <v>49</v>
      </c>
      <c r="G61" s="31" t="s">
        <v>25</v>
      </c>
      <c r="H61" s="31" t="s">
        <v>25</v>
      </c>
      <c r="I61" s="31" t="s">
        <v>25</v>
      </c>
      <c r="J61" s="31" t="s">
        <v>727</v>
      </c>
      <c r="K61" s="31" t="s">
        <v>726</v>
      </c>
      <c r="L61" s="31" t="s">
        <v>71</v>
      </c>
      <c r="M61" s="31">
        <v>2021</v>
      </c>
      <c r="N61" s="31">
        <v>0</v>
      </c>
      <c r="O61" s="31">
        <f t="shared" si="0"/>
        <v>148.44999999999999</v>
      </c>
      <c r="P61" s="31">
        <v>31.558197249375301</v>
      </c>
      <c r="Q61" s="8">
        <v>169.82</v>
      </c>
      <c r="R61" s="8">
        <v>1</v>
      </c>
      <c r="S61" s="8" t="str">
        <f t="shared" si="1"/>
        <v>TUSDB4ConvencionalIluminação públicaIluminação pública – B4aNão se aplicaNão se aplicaNão se aplica</v>
      </c>
      <c r="T61" s="8">
        <f>VLOOKUP(S61,'TAR FIN COPEL'!$R$2:$S$219,2,0)</f>
        <v>148.44999999999999</v>
      </c>
    </row>
    <row r="62" spans="1:20" ht="11.25" customHeight="1" x14ac:dyDescent="0.25">
      <c r="A62" s="31">
        <v>61</v>
      </c>
      <c r="B62" s="31" t="s">
        <v>581</v>
      </c>
      <c r="C62" s="31" t="s">
        <v>47</v>
      </c>
      <c r="D62" s="31" t="s">
        <v>23</v>
      </c>
      <c r="E62" s="31" t="s">
        <v>48</v>
      </c>
      <c r="F62" s="31" t="s">
        <v>89</v>
      </c>
      <c r="G62" s="31" t="s">
        <v>25</v>
      </c>
      <c r="H62" s="31" t="s">
        <v>25</v>
      </c>
      <c r="I62" s="31" t="s">
        <v>25</v>
      </c>
      <c r="J62" s="31" t="s">
        <v>727</v>
      </c>
      <c r="K62" s="31" t="s">
        <v>726</v>
      </c>
      <c r="L62" s="31" t="s">
        <v>71</v>
      </c>
      <c r="M62" s="31">
        <v>2021</v>
      </c>
      <c r="N62" s="31">
        <v>0</v>
      </c>
      <c r="O62" s="31">
        <f t="shared" si="0"/>
        <v>161.94999999999999</v>
      </c>
      <c r="P62" s="31">
        <v>34.427124272045702</v>
      </c>
      <c r="Q62" s="8">
        <v>185.26</v>
      </c>
      <c r="R62" s="8">
        <v>1</v>
      </c>
      <c r="S62" s="8" t="str">
        <f t="shared" si="1"/>
        <v>TUSDB4ConvencionalIluminação públicaIluminação pública – B4bNão se aplicaNão se aplicaNão se aplica</v>
      </c>
      <c r="T62" s="8">
        <f>VLOOKUP(S62,'TAR FIN COPEL'!$R$2:$S$219,2,0)</f>
        <v>161.94999999999999</v>
      </c>
    </row>
    <row r="63" spans="1:20" ht="11.25" customHeight="1" x14ac:dyDescent="0.25">
      <c r="A63" s="31">
        <v>62</v>
      </c>
      <c r="B63" s="31" t="s">
        <v>609</v>
      </c>
      <c r="C63" s="31" t="s">
        <v>42</v>
      </c>
      <c r="D63" s="31" t="s">
        <v>70</v>
      </c>
      <c r="E63" s="31" t="s">
        <v>25</v>
      </c>
      <c r="F63" s="31" t="s">
        <v>25</v>
      </c>
      <c r="G63" s="31" t="s">
        <v>25</v>
      </c>
      <c r="H63" s="31" t="s">
        <v>25</v>
      </c>
      <c r="I63" s="31" t="s">
        <v>37</v>
      </c>
      <c r="J63" s="31" t="s">
        <v>727</v>
      </c>
      <c r="K63" s="31" t="s">
        <v>726</v>
      </c>
      <c r="L63" s="31" t="s">
        <v>71</v>
      </c>
      <c r="M63" s="31">
        <v>2021</v>
      </c>
      <c r="N63" s="31">
        <v>0</v>
      </c>
      <c r="O63" s="31">
        <f t="shared" si="0"/>
        <v>454.9</v>
      </c>
      <c r="P63" s="31"/>
      <c r="Q63" s="8">
        <v>454.9</v>
      </c>
      <c r="R63" s="126">
        <v>0</v>
      </c>
      <c r="S63" s="8" t="str">
        <f t="shared" si="1"/>
        <v>TEA3aEnergia horáriaNão se aplicaNão se aplicaNão se aplicaNão se aplicaPonta</v>
      </c>
      <c r="T63" s="8">
        <f>VLOOKUP(S63,'TAR FIN COPEL'!$R$2:$S$219,2,0)</f>
        <v>437.87</v>
      </c>
    </row>
    <row r="64" spans="1:20" ht="11.25" customHeight="1" x14ac:dyDescent="0.25">
      <c r="A64" s="31">
        <v>63</v>
      </c>
      <c r="B64" s="31" t="s">
        <v>609</v>
      </c>
      <c r="C64" s="31" t="s">
        <v>42</v>
      </c>
      <c r="D64" s="31" t="s">
        <v>70</v>
      </c>
      <c r="E64" s="31" t="s">
        <v>25</v>
      </c>
      <c r="F64" s="31" t="s">
        <v>25</v>
      </c>
      <c r="G64" s="31" t="s">
        <v>25</v>
      </c>
      <c r="H64" s="31" t="s">
        <v>25</v>
      </c>
      <c r="I64" s="31" t="s">
        <v>35</v>
      </c>
      <c r="J64" s="31" t="s">
        <v>727</v>
      </c>
      <c r="K64" s="31" t="s">
        <v>726</v>
      </c>
      <c r="L64" s="31" t="s">
        <v>71</v>
      </c>
      <c r="M64" s="31">
        <v>2021</v>
      </c>
      <c r="N64" s="31">
        <v>0</v>
      </c>
      <c r="O64" s="31">
        <f t="shared" si="0"/>
        <v>284.36</v>
      </c>
      <c r="P64" s="31"/>
      <c r="Q64" s="8">
        <v>284.36</v>
      </c>
      <c r="R64" s="126">
        <v>0</v>
      </c>
      <c r="S64" s="8" t="str">
        <f t="shared" si="1"/>
        <v>TEA3aEnergia horáriaNão se aplicaNão se aplicaNão se aplicaNão se aplicaFora ponta</v>
      </c>
      <c r="T64" s="8">
        <f>VLOOKUP(S64,'TAR FIN COPEL'!$R$2:$S$219,2,0)</f>
        <v>275.36</v>
      </c>
    </row>
    <row r="65" spans="1:20" ht="11.25" customHeight="1" x14ac:dyDescent="0.25">
      <c r="A65" s="31">
        <v>64</v>
      </c>
      <c r="B65" s="31" t="s">
        <v>609</v>
      </c>
      <c r="C65" s="31" t="s">
        <v>42</v>
      </c>
      <c r="D65" s="31" t="s">
        <v>74</v>
      </c>
      <c r="E65" s="31" t="s">
        <v>25</v>
      </c>
      <c r="F65" s="31" t="s">
        <v>25</v>
      </c>
      <c r="G65" s="31" t="s">
        <v>25</v>
      </c>
      <c r="H65" s="31" t="s">
        <v>25</v>
      </c>
      <c r="I65" s="31" t="s">
        <v>25</v>
      </c>
      <c r="J65" s="31" t="s">
        <v>727</v>
      </c>
      <c r="K65" s="31" t="s">
        <v>726</v>
      </c>
      <c r="L65" s="31" t="s">
        <v>71</v>
      </c>
      <c r="M65" s="31">
        <v>2021</v>
      </c>
      <c r="N65" s="31">
        <v>0</v>
      </c>
      <c r="O65" s="31">
        <f t="shared" si="0"/>
        <v>298.58</v>
      </c>
      <c r="P65" s="31"/>
      <c r="Q65" s="8">
        <v>298.58</v>
      </c>
      <c r="R65" s="126">
        <v>0</v>
      </c>
      <c r="S65" s="8" t="str">
        <f t="shared" si="1"/>
        <v>TEA3aEnergia convencionalNão se aplicaNão se aplicaNão se aplicaNão se aplicaNão se aplica</v>
      </c>
      <c r="T65" s="8">
        <f>VLOOKUP(S65,'TAR FIN COPEL'!$R$2:$S$219,2,0)</f>
        <v>288.89999999999998</v>
      </c>
    </row>
    <row r="66" spans="1:20" ht="11.25" customHeight="1" x14ac:dyDescent="0.25">
      <c r="A66" s="31">
        <v>65</v>
      </c>
      <c r="B66" s="31" t="s">
        <v>609</v>
      </c>
      <c r="C66" s="31" t="s">
        <v>33</v>
      </c>
      <c r="D66" s="31" t="s">
        <v>70</v>
      </c>
      <c r="E66" s="31" t="s">
        <v>25</v>
      </c>
      <c r="F66" s="31" t="s">
        <v>25</v>
      </c>
      <c r="G66" s="31" t="s">
        <v>25</v>
      </c>
      <c r="H66" s="31" t="s">
        <v>25</v>
      </c>
      <c r="I66" s="31" t="s">
        <v>37</v>
      </c>
      <c r="J66" s="31" t="s">
        <v>727</v>
      </c>
      <c r="K66" s="31" t="s">
        <v>726</v>
      </c>
      <c r="L66" s="31" t="s">
        <v>71</v>
      </c>
      <c r="M66" s="31">
        <v>2021</v>
      </c>
      <c r="N66" s="31">
        <v>0</v>
      </c>
      <c r="O66" s="31">
        <f t="shared" si="0"/>
        <v>454.9</v>
      </c>
      <c r="P66" s="31"/>
      <c r="Q66" s="8">
        <v>454.9</v>
      </c>
      <c r="R66" s="126">
        <v>0</v>
      </c>
      <c r="S66" s="8" t="str">
        <f t="shared" si="1"/>
        <v>TEA4Energia horáriaNão se aplicaNão se aplicaNão se aplicaNão se aplicaPonta</v>
      </c>
      <c r="T66" s="8">
        <f>VLOOKUP(S66,'TAR FIN COPEL'!$R$2:$S$219,2,0)</f>
        <v>437.87</v>
      </c>
    </row>
    <row r="67" spans="1:20" ht="11.25" customHeight="1" x14ac:dyDescent="0.25">
      <c r="A67" s="31">
        <v>66</v>
      </c>
      <c r="B67" s="31" t="s">
        <v>609</v>
      </c>
      <c r="C67" s="31" t="s">
        <v>33</v>
      </c>
      <c r="D67" s="31" t="s">
        <v>70</v>
      </c>
      <c r="E67" s="31" t="s">
        <v>25</v>
      </c>
      <c r="F67" s="31" t="s">
        <v>25</v>
      </c>
      <c r="G67" s="31" t="s">
        <v>25</v>
      </c>
      <c r="H67" s="31" t="s">
        <v>25</v>
      </c>
      <c r="I67" s="31" t="s">
        <v>35</v>
      </c>
      <c r="J67" s="31" t="s">
        <v>727</v>
      </c>
      <c r="K67" s="31" t="s">
        <v>726</v>
      </c>
      <c r="L67" s="31" t="s">
        <v>71</v>
      </c>
      <c r="M67" s="31">
        <v>2021</v>
      </c>
      <c r="N67" s="31">
        <v>0</v>
      </c>
      <c r="O67" s="31">
        <f t="shared" ref="O67:O103" si="2">IF(R67=0,Q67,T67)</f>
        <v>284.36</v>
      </c>
      <c r="P67" s="31"/>
      <c r="Q67" s="8">
        <v>284.36</v>
      </c>
      <c r="R67" s="126">
        <v>0</v>
      </c>
      <c r="S67" s="8" t="str">
        <f t="shared" ref="S67:S103" si="3">B67&amp;C67&amp;D67&amp;E67&amp;F67&amp;G67&amp;H67&amp;I67</f>
        <v>TEA4Energia horáriaNão se aplicaNão se aplicaNão se aplicaNão se aplicaFora ponta</v>
      </c>
      <c r="T67" s="8">
        <f>VLOOKUP(S67,'TAR FIN COPEL'!$R$2:$S$219,2,0)</f>
        <v>275.36</v>
      </c>
    </row>
    <row r="68" spans="1:20" ht="11.25" customHeight="1" x14ac:dyDescent="0.25">
      <c r="A68" s="31">
        <v>67</v>
      </c>
      <c r="B68" s="31" t="s">
        <v>609</v>
      </c>
      <c r="C68" s="31" t="s">
        <v>33</v>
      </c>
      <c r="D68" s="31" t="s">
        <v>74</v>
      </c>
      <c r="E68" s="31" t="s">
        <v>25</v>
      </c>
      <c r="F68" s="31" t="s">
        <v>25</v>
      </c>
      <c r="G68" s="31" t="s">
        <v>25</v>
      </c>
      <c r="H68" s="31" t="s">
        <v>25</v>
      </c>
      <c r="I68" s="31" t="s">
        <v>25</v>
      </c>
      <c r="J68" s="31" t="s">
        <v>727</v>
      </c>
      <c r="K68" s="31" t="s">
        <v>726</v>
      </c>
      <c r="L68" s="31" t="s">
        <v>71</v>
      </c>
      <c r="M68" s="31">
        <v>2021</v>
      </c>
      <c r="N68" s="31">
        <v>0</v>
      </c>
      <c r="O68" s="31">
        <f t="shared" si="2"/>
        <v>298.58</v>
      </c>
      <c r="P68" s="31"/>
      <c r="Q68" s="8">
        <v>298.58</v>
      </c>
      <c r="R68" s="126">
        <v>0</v>
      </c>
      <c r="S68" s="8" t="str">
        <f t="shared" si="3"/>
        <v>TEA4Energia convencionalNão se aplicaNão se aplicaNão se aplicaNão se aplicaNão se aplica</v>
      </c>
      <c r="T68" s="8">
        <f>VLOOKUP(S68,'TAR FIN COPEL'!$R$2:$S$219,2,0)</f>
        <v>288.89999999999998</v>
      </c>
    </row>
    <row r="69" spans="1:20" ht="11.25" customHeight="1" x14ac:dyDescent="0.25">
      <c r="A69" s="31">
        <v>68</v>
      </c>
      <c r="B69" s="31" t="s">
        <v>609</v>
      </c>
      <c r="C69" s="31" t="s">
        <v>22</v>
      </c>
      <c r="D69" s="31" t="s">
        <v>70</v>
      </c>
      <c r="E69" s="31" t="s">
        <v>24</v>
      </c>
      <c r="F69" s="31" t="s">
        <v>24</v>
      </c>
      <c r="G69" s="31" t="s">
        <v>25</v>
      </c>
      <c r="H69" s="31" t="s">
        <v>25</v>
      </c>
      <c r="I69" s="31" t="s">
        <v>37</v>
      </c>
      <c r="J69" s="31" t="s">
        <v>727</v>
      </c>
      <c r="K69" s="31" t="s">
        <v>726</v>
      </c>
      <c r="L69" s="31" t="s">
        <v>71</v>
      </c>
      <c r="M69" s="31">
        <v>2021</v>
      </c>
      <c r="N69" s="31">
        <v>0</v>
      </c>
      <c r="O69" s="31">
        <f t="shared" si="2"/>
        <v>437.87</v>
      </c>
      <c r="P69" s="31"/>
      <c r="Q69" s="8">
        <v>454.9</v>
      </c>
      <c r="R69" s="8">
        <v>1</v>
      </c>
      <c r="S69" s="8" t="str">
        <f t="shared" si="3"/>
        <v>TEB1Energia horáriaResidencialResidencialNão se aplicaNão se aplicaPonta</v>
      </c>
      <c r="T69" s="8">
        <f>VLOOKUP(S69,'TAR FIN COPEL'!$R$2:$S$219,2,0)</f>
        <v>437.87</v>
      </c>
    </row>
    <row r="70" spans="1:20" ht="11.25" customHeight="1" x14ac:dyDescent="0.25">
      <c r="A70" s="31">
        <v>69</v>
      </c>
      <c r="B70" s="31" t="s">
        <v>609</v>
      </c>
      <c r="C70" s="31" t="s">
        <v>22</v>
      </c>
      <c r="D70" s="31" t="s">
        <v>70</v>
      </c>
      <c r="E70" s="31" t="s">
        <v>24</v>
      </c>
      <c r="F70" s="31" t="s">
        <v>24</v>
      </c>
      <c r="G70" s="31" t="s">
        <v>25</v>
      </c>
      <c r="H70" s="31" t="s">
        <v>25</v>
      </c>
      <c r="I70" s="31" t="s">
        <v>38</v>
      </c>
      <c r="J70" s="31" t="s">
        <v>727</v>
      </c>
      <c r="K70" s="31" t="s">
        <v>726</v>
      </c>
      <c r="L70" s="31" t="s">
        <v>71</v>
      </c>
      <c r="M70" s="31">
        <v>2021</v>
      </c>
      <c r="N70" s="31">
        <v>0</v>
      </c>
      <c r="O70" s="31">
        <f t="shared" si="2"/>
        <v>275.36</v>
      </c>
      <c r="P70" s="31"/>
      <c r="Q70" s="8">
        <v>284.36</v>
      </c>
      <c r="R70" s="8">
        <v>1</v>
      </c>
      <c r="S70" s="8" t="str">
        <f t="shared" si="3"/>
        <v>TEB1Energia horáriaResidencialResidencialNão se aplicaNão se aplicaIntermediário</v>
      </c>
      <c r="T70" s="8">
        <f>VLOOKUP(S70,'TAR FIN COPEL'!$R$2:$S$219,2,0)</f>
        <v>275.36</v>
      </c>
    </row>
    <row r="71" spans="1:20" ht="11.25" customHeight="1" x14ac:dyDescent="0.25">
      <c r="A71" s="31">
        <v>70</v>
      </c>
      <c r="B71" s="31" t="s">
        <v>609</v>
      </c>
      <c r="C71" s="31" t="s">
        <v>22</v>
      </c>
      <c r="D71" s="31" t="s">
        <v>70</v>
      </c>
      <c r="E71" s="31" t="s">
        <v>24</v>
      </c>
      <c r="F71" s="31" t="s">
        <v>24</v>
      </c>
      <c r="G71" s="31" t="s">
        <v>25</v>
      </c>
      <c r="H71" s="31" t="s">
        <v>25</v>
      </c>
      <c r="I71" s="31" t="s">
        <v>35</v>
      </c>
      <c r="J71" s="31" t="s">
        <v>727</v>
      </c>
      <c r="K71" s="31" t="s">
        <v>726</v>
      </c>
      <c r="L71" s="31" t="s">
        <v>71</v>
      </c>
      <c r="M71" s="31">
        <v>2021</v>
      </c>
      <c r="N71" s="31">
        <v>0</v>
      </c>
      <c r="O71" s="31">
        <f t="shared" si="2"/>
        <v>275.36</v>
      </c>
      <c r="P71" s="31"/>
      <c r="Q71" s="8">
        <v>284.36</v>
      </c>
      <c r="R71" s="8">
        <v>1</v>
      </c>
      <c r="S71" s="8" t="str">
        <f t="shared" si="3"/>
        <v>TEB1Energia horáriaResidencialResidencialNão se aplicaNão se aplicaFora ponta</v>
      </c>
      <c r="T71" s="8">
        <f>VLOOKUP(S71,'TAR FIN COPEL'!$R$2:$S$219,2,0)</f>
        <v>275.36</v>
      </c>
    </row>
    <row r="72" spans="1:20" ht="11.25" customHeight="1" x14ac:dyDescent="0.25">
      <c r="A72" s="31">
        <v>71</v>
      </c>
      <c r="B72" s="31" t="s">
        <v>609</v>
      </c>
      <c r="C72" s="31" t="s">
        <v>22</v>
      </c>
      <c r="D72" s="31" t="s">
        <v>74</v>
      </c>
      <c r="E72" s="31" t="s">
        <v>24</v>
      </c>
      <c r="F72" s="31" t="s">
        <v>24</v>
      </c>
      <c r="G72" s="31" t="s">
        <v>25</v>
      </c>
      <c r="H72" s="31" t="s">
        <v>25</v>
      </c>
      <c r="I72" s="31" t="s">
        <v>25</v>
      </c>
      <c r="J72" s="31" t="s">
        <v>727</v>
      </c>
      <c r="K72" s="31" t="s">
        <v>726</v>
      </c>
      <c r="L72" s="31" t="s">
        <v>71</v>
      </c>
      <c r="M72" s="31">
        <v>2021</v>
      </c>
      <c r="N72" s="31">
        <v>0</v>
      </c>
      <c r="O72" s="31">
        <f t="shared" si="2"/>
        <v>288.89999999999998</v>
      </c>
      <c r="P72" s="31"/>
      <c r="Q72" s="8">
        <v>298.58</v>
      </c>
      <c r="R72" s="8">
        <v>1</v>
      </c>
      <c r="S72" s="8" t="str">
        <f t="shared" si="3"/>
        <v>TEB1Energia convencionalResidencialResidencialNão se aplicaNão se aplicaNão se aplica</v>
      </c>
      <c r="T72" s="8">
        <f>VLOOKUP(S72,'TAR FIN COPEL'!$R$2:$S$219,2,0)</f>
        <v>288.89999999999998</v>
      </c>
    </row>
    <row r="73" spans="1:20" ht="11.25" customHeight="1" x14ac:dyDescent="0.25">
      <c r="A73" s="31">
        <v>72</v>
      </c>
      <c r="B73" s="31" t="s">
        <v>609</v>
      </c>
      <c r="C73" s="31" t="s">
        <v>22</v>
      </c>
      <c r="D73" s="31" t="s">
        <v>74</v>
      </c>
      <c r="E73" s="31" t="s">
        <v>24</v>
      </c>
      <c r="F73" s="31" t="s">
        <v>29</v>
      </c>
      <c r="G73" s="31" t="s">
        <v>25</v>
      </c>
      <c r="H73" s="31" t="s">
        <v>25</v>
      </c>
      <c r="I73" s="31" t="s">
        <v>25</v>
      </c>
      <c r="J73" s="31" t="s">
        <v>727</v>
      </c>
      <c r="K73" s="31" t="s">
        <v>726</v>
      </c>
      <c r="L73" s="31" t="s">
        <v>71</v>
      </c>
      <c r="M73" s="31">
        <v>2021</v>
      </c>
      <c r="N73" s="31">
        <v>0</v>
      </c>
      <c r="O73" s="31">
        <f t="shared" si="2"/>
        <v>101.12</v>
      </c>
      <c r="P73" s="31"/>
      <c r="Q73" s="8">
        <v>104.5</v>
      </c>
      <c r="R73" s="8">
        <v>1</v>
      </c>
      <c r="S73" s="8" t="str">
        <f t="shared" si="3"/>
        <v>TEB1Energia convencionalResidencialResidencial baixa renda – faixa 01Não se aplicaNão se aplicaNão se aplica</v>
      </c>
      <c r="T73" s="8">
        <f>VLOOKUP(S73,'TAR FIN COPEL'!$R$2:$S$219,2,0)</f>
        <v>101.12</v>
      </c>
    </row>
    <row r="74" spans="1:20" ht="11.25" customHeight="1" x14ac:dyDescent="0.25">
      <c r="A74" s="31">
        <v>73</v>
      </c>
      <c r="B74" s="31" t="s">
        <v>609</v>
      </c>
      <c r="C74" s="31" t="s">
        <v>22</v>
      </c>
      <c r="D74" s="31" t="s">
        <v>74</v>
      </c>
      <c r="E74" s="31" t="s">
        <v>24</v>
      </c>
      <c r="F74" s="31" t="s">
        <v>30</v>
      </c>
      <c r="G74" s="31" t="s">
        <v>25</v>
      </c>
      <c r="H74" s="31" t="s">
        <v>25</v>
      </c>
      <c r="I74" s="31" t="s">
        <v>25</v>
      </c>
      <c r="J74" s="31" t="s">
        <v>727</v>
      </c>
      <c r="K74" s="31" t="s">
        <v>726</v>
      </c>
      <c r="L74" s="31" t="s">
        <v>71</v>
      </c>
      <c r="M74" s="31">
        <v>2021</v>
      </c>
      <c r="N74" s="31">
        <v>0</v>
      </c>
      <c r="O74" s="31">
        <f t="shared" si="2"/>
        <v>173.34</v>
      </c>
      <c r="P74" s="31"/>
      <c r="Q74" s="8">
        <v>179.15</v>
      </c>
      <c r="R74" s="8">
        <v>1</v>
      </c>
      <c r="S74" s="8" t="str">
        <f t="shared" si="3"/>
        <v>TEB1Energia convencionalResidencialResidencial baixa renda – faixa 02Não se aplicaNão se aplicaNão se aplica</v>
      </c>
      <c r="T74" s="8">
        <f>VLOOKUP(S74,'TAR FIN COPEL'!$R$2:$S$219,2,0)</f>
        <v>173.34</v>
      </c>
    </row>
    <row r="75" spans="1:20" ht="11.25" customHeight="1" x14ac:dyDescent="0.25">
      <c r="A75" s="31">
        <v>74</v>
      </c>
      <c r="B75" s="31" t="s">
        <v>609</v>
      </c>
      <c r="C75" s="31" t="s">
        <v>22</v>
      </c>
      <c r="D75" s="31" t="s">
        <v>74</v>
      </c>
      <c r="E75" s="31" t="s">
        <v>24</v>
      </c>
      <c r="F75" s="31" t="s">
        <v>31</v>
      </c>
      <c r="G75" s="31" t="s">
        <v>25</v>
      </c>
      <c r="H75" s="31" t="s">
        <v>25</v>
      </c>
      <c r="I75" s="31" t="s">
        <v>25</v>
      </c>
      <c r="J75" s="31" t="s">
        <v>727</v>
      </c>
      <c r="K75" s="31" t="s">
        <v>726</v>
      </c>
      <c r="L75" s="31" t="s">
        <v>71</v>
      </c>
      <c r="M75" s="31">
        <v>2021</v>
      </c>
      <c r="N75" s="31">
        <v>0</v>
      </c>
      <c r="O75" s="31">
        <f t="shared" si="2"/>
        <v>260.01</v>
      </c>
      <c r="P75" s="31"/>
      <c r="Q75" s="8">
        <v>268.72000000000003</v>
      </c>
      <c r="R75" s="8">
        <v>1</v>
      </c>
      <c r="S75" s="8" t="str">
        <f t="shared" si="3"/>
        <v>TEB1Energia convencionalResidencialResidencial baixa renda – faixa 03Não se aplicaNão se aplicaNão se aplica</v>
      </c>
      <c r="T75" s="8">
        <f>VLOOKUP(S75,'TAR FIN COPEL'!$R$2:$S$219,2,0)</f>
        <v>260.01</v>
      </c>
    </row>
    <row r="76" spans="1:20" ht="11.25" customHeight="1" x14ac:dyDescent="0.25">
      <c r="A76" s="31">
        <v>75</v>
      </c>
      <c r="B76" s="31" t="s">
        <v>609</v>
      </c>
      <c r="C76" s="31" t="s">
        <v>22</v>
      </c>
      <c r="D76" s="31" t="s">
        <v>74</v>
      </c>
      <c r="E76" s="31" t="s">
        <v>24</v>
      </c>
      <c r="F76" s="31" t="s">
        <v>32</v>
      </c>
      <c r="G76" s="31" t="s">
        <v>25</v>
      </c>
      <c r="H76" s="31" t="s">
        <v>25</v>
      </c>
      <c r="I76" s="31" t="s">
        <v>25</v>
      </c>
      <c r="J76" s="31" t="s">
        <v>727</v>
      </c>
      <c r="K76" s="31" t="s">
        <v>726</v>
      </c>
      <c r="L76" s="31" t="s">
        <v>71</v>
      </c>
      <c r="M76" s="31">
        <v>2021</v>
      </c>
      <c r="N76" s="31">
        <v>0</v>
      </c>
      <c r="O76" s="31">
        <f t="shared" si="2"/>
        <v>288.89999999999998</v>
      </c>
      <c r="P76" s="31"/>
      <c r="Q76" s="8">
        <v>298.58</v>
      </c>
      <c r="R76" s="8">
        <v>1</v>
      </c>
      <c r="S76" s="8" t="str">
        <f t="shared" si="3"/>
        <v>TEB1Energia convencionalResidencialResidencial baixa renda – faixa 04Não se aplicaNão se aplicaNão se aplica</v>
      </c>
      <c r="T76" s="8">
        <f>VLOOKUP(S76,'TAR FIN COPEL'!$R$2:$S$219,2,0)</f>
        <v>288.89999999999998</v>
      </c>
    </row>
    <row r="77" spans="1:20" ht="11.25" customHeight="1" x14ac:dyDescent="0.25">
      <c r="A77" s="31">
        <v>76</v>
      </c>
      <c r="B77" s="31" t="s">
        <v>609</v>
      </c>
      <c r="C77" s="31" t="s">
        <v>22</v>
      </c>
      <c r="D77" s="31" t="s">
        <v>85</v>
      </c>
      <c r="E77" s="31" t="s">
        <v>24</v>
      </c>
      <c r="F77" s="31" t="s">
        <v>24</v>
      </c>
      <c r="G77" s="31" t="s">
        <v>25</v>
      </c>
      <c r="H77" s="31" t="s">
        <v>25</v>
      </c>
      <c r="I77" s="31" t="s">
        <v>25</v>
      </c>
      <c r="J77" s="31" t="s">
        <v>727</v>
      </c>
      <c r="K77" s="31" t="s">
        <v>726</v>
      </c>
      <c r="L77" s="31" t="s">
        <v>71</v>
      </c>
      <c r="M77" s="31">
        <v>2021</v>
      </c>
      <c r="N77" s="31">
        <v>0</v>
      </c>
      <c r="O77" s="31">
        <f t="shared" si="2"/>
        <v>288.89999999999998</v>
      </c>
      <c r="P77" s="31"/>
      <c r="Q77" s="8">
        <v>298.58</v>
      </c>
      <c r="R77" s="8">
        <v>1</v>
      </c>
      <c r="S77" s="8" t="str">
        <f t="shared" si="3"/>
        <v>TEB1Energia convencional pré-pagamentoResidencialResidencialNão se aplicaNão se aplicaNão se aplica</v>
      </c>
      <c r="T77" s="8">
        <f>VLOOKUP(S77,'TAR FIN COPEL'!$R$2:$S$219,2,0)</f>
        <v>288.89999999999998</v>
      </c>
    </row>
    <row r="78" spans="1:20" ht="11.25" customHeight="1" x14ac:dyDescent="0.25">
      <c r="A78" s="31">
        <v>77</v>
      </c>
      <c r="B78" s="31" t="s">
        <v>609</v>
      </c>
      <c r="C78" s="31" t="s">
        <v>22</v>
      </c>
      <c r="D78" s="31" t="s">
        <v>85</v>
      </c>
      <c r="E78" s="31" t="s">
        <v>24</v>
      </c>
      <c r="F78" s="31" t="s">
        <v>29</v>
      </c>
      <c r="G78" s="31" t="s">
        <v>25</v>
      </c>
      <c r="H78" s="31" t="s">
        <v>25</v>
      </c>
      <c r="I78" s="31" t="s">
        <v>25</v>
      </c>
      <c r="J78" s="31" t="s">
        <v>727</v>
      </c>
      <c r="K78" s="31" t="s">
        <v>726</v>
      </c>
      <c r="L78" s="31" t="s">
        <v>71</v>
      </c>
      <c r="M78" s="31">
        <v>2021</v>
      </c>
      <c r="N78" s="31">
        <v>0</v>
      </c>
      <c r="O78" s="31">
        <f t="shared" si="2"/>
        <v>101.12</v>
      </c>
      <c r="P78" s="31"/>
      <c r="Q78" s="8">
        <v>104.5</v>
      </c>
      <c r="R78" s="8">
        <v>1</v>
      </c>
      <c r="S78" s="8" t="str">
        <f t="shared" si="3"/>
        <v>TEB1Energia convencional pré-pagamentoResidencialResidencial baixa renda – faixa 01Não se aplicaNão se aplicaNão se aplica</v>
      </c>
      <c r="T78" s="8">
        <f>VLOOKUP(S78,'TAR FIN COPEL'!$R$2:$S$219,2,0)</f>
        <v>101.12</v>
      </c>
    </row>
    <row r="79" spans="1:20" ht="11.25" customHeight="1" x14ac:dyDescent="0.25">
      <c r="A79" s="31">
        <v>78</v>
      </c>
      <c r="B79" s="31" t="s">
        <v>609</v>
      </c>
      <c r="C79" s="31" t="s">
        <v>22</v>
      </c>
      <c r="D79" s="31" t="s">
        <v>85</v>
      </c>
      <c r="E79" s="31" t="s">
        <v>24</v>
      </c>
      <c r="F79" s="31" t="s">
        <v>30</v>
      </c>
      <c r="G79" s="31" t="s">
        <v>25</v>
      </c>
      <c r="H79" s="31" t="s">
        <v>25</v>
      </c>
      <c r="I79" s="31" t="s">
        <v>25</v>
      </c>
      <c r="J79" s="31" t="s">
        <v>727</v>
      </c>
      <c r="K79" s="31" t="s">
        <v>726</v>
      </c>
      <c r="L79" s="31" t="s">
        <v>71</v>
      </c>
      <c r="M79" s="31">
        <v>2021</v>
      </c>
      <c r="N79" s="31">
        <v>0</v>
      </c>
      <c r="O79" s="31">
        <f t="shared" si="2"/>
        <v>173.34</v>
      </c>
      <c r="P79" s="31"/>
      <c r="Q79" s="8">
        <v>179.15</v>
      </c>
      <c r="R79" s="8">
        <v>1</v>
      </c>
      <c r="S79" s="8" t="str">
        <f t="shared" si="3"/>
        <v>TEB1Energia convencional pré-pagamentoResidencialResidencial baixa renda – faixa 02Não se aplicaNão se aplicaNão se aplica</v>
      </c>
      <c r="T79" s="8">
        <f>VLOOKUP(S79,'TAR FIN COPEL'!$R$2:$S$219,2,0)</f>
        <v>173.34</v>
      </c>
    </row>
    <row r="80" spans="1:20" ht="11.25" customHeight="1" x14ac:dyDescent="0.25">
      <c r="A80" s="31">
        <v>79</v>
      </c>
      <c r="B80" s="31" t="s">
        <v>609</v>
      </c>
      <c r="C80" s="31" t="s">
        <v>22</v>
      </c>
      <c r="D80" s="31" t="s">
        <v>85</v>
      </c>
      <c r="E80" s="31" t="s">
        <v>24</v>
      </c>
      <c r="F80" s="31" t="s">
        <v>31</v>
      </c>
      <c r="G80" s="31" t="s">
        <v>25</v>
      </c>
      <c r="H80" s="31" t="s">
        <v>25</v>
      </c>
      <c r="I80" s="31" t="s">
        <v>25</v>
      </c>
      <c r="J80" s="31" t="s">
        <v>727</v>
      </c>
      <c r="K80" s="31" t="s">
        <v>726</v>
      </c>
      <c r="L80" s="31" t="s">
        <v>71</v>
      </c>
      <c r="M80" s="31">
        <v>2021</v>
      </c>
      <c r="N80" s="31">
        <v>0</v>
      </c>
      <c r="O80" s="31">
        <f t="shared" si="2"/>
        <v>260.01</v>
      </c>
      <c r="P80" s="31"/>
      <c r="Q80" s="8">
        <v>268.72000000000003</v>
      </c>
      <c r="R80" s="8">
        <v>1</v>
      </c>
      <c r="S80" s="8" t="str">
        <f t="shared" si="3"/>
        <v>TEB1Energia convencional pré-pagamentoResidencialResidencial baixa renda – faixa 03Não se aplicaNão se aplicaNão se aplica</v>
      </c>
      <c r="T80" s="8">
        <f>VLOOKUP(S80,'TAR FIN COPEL'!$R$2:$S$219,2,0)</f>
        <v>260.01</v>
      </c>
    </row>
    <row r="81" spans="1:20" ht="11.25" customHeight="1" x14ac:dyDescent="0.25">
      <c r="A81" s="31">
        <v>80</v>
      </c>
      <c r="B81" s="31" t="s">
        <v>609</v>
      </c>
      <c r="C81" s="31" t="s">
        <v>22</v>
      </c>
      <c r="D81" s="31" t="s">
        <v>85</v>
      </c>
      <c r="E81" s="31" t="s">
        <v>24</v>
      </c>
      <c r="F81" s="31" t="s">
        <v>32</v>
      </c>
      <c r="G81" s="31" t="s">
        <v>25</v>
      </c>
      <c r="H81" s="31" t="s">
        <v>25</v>
      </c>
      <c r="I81" s="31" t="s">
        <v>25</v>
      </c>
      <c r="J81" s="31" t="s">
        <v>727</v>
      </c>
      <c r="K81" s="31" t="s">
        <v>726</v>
      </c>
      <c r="L81" s="31" t="s">
        <v>71</v>
      </c>
      <c r="M81" s="31">
        <v>2021</v>
      </c>
      <c r="N81" s="31">
        <v>0</v>
      </c>
      <c r="O81" s="31">
        <f t="shared" si="2"/>
        <v>288.89999999999998</v>
      </c>
      <c r="P81" s="31"/>
      <c r="Q81" s="8">
        <v>298.58</v>
      </c>
      <c r="R81" s="8">
        <v>1</v>
      </c>
      <c r="S81" s="8" t="str">
        <f t="shared" si="3"/>
        <v>TEB1Energia convencional pré-pagamentoResidencialResidencial baixa renda – faixa 04Não se aplicaNão se aplicaNão se aplica</v>
      </c>
      <c r="T81" s="8">
        <f>VLOOKUP(S81,'TAR FIN COPEL'!$R$2:$S$219,2,0)</f>
        <v>288.89999999999998</v>
      </c>
    </row>
    <row r="82" spans="1:20" ht="11.25" customHeight="1" x14ac:dyDescent="0.25">
      <c r="A82" s="31">
        <v>81</v>
      </c>
      <c r="B82" s="31" t="s">
        <v>609</v>
      </c>
      <c r="C82" s="31" t="s">
        <v>44</v>
      </c>
      <c r="D82" s="31" t="s">
        <v>70</v>
      </c>
      <c r="E82" s="31" t="s">
        <v>45</v>
      </c>
      <c r="F82" s="31" t="s">
        <v>25</v>
      </c>
      <c r="G82" s="31" t="s">
        <v>25</v>
      </c>
      <c r="H82" s="31" t="s">
        <v>25</v>
      </c>
      <c r="I82" s="31" t="s">
        <v>37</v>
      </c>
      <c r="J82" s="31" t="s">
        <v>727</v>
      </c>
      <c r="K82" s="31" t="s">
        <v>726</v>
      </c>
      <c r="L82" s="31" t="s">
        <v>71</v>
      </c>
      <c r="M82" s="31">
        <v>2021</v>
      </c>
      <c r="N82" s="31">
        <v>0</v>
      </c>
      <c r="O82" s="31">
        <f t="shared" si="2"/>
        <v>385.33</v>
      </c>
      <c r="P82" s="31"/>
      <c r="Q82" s="8">
        <v>400.31</v>
      </c>
      <c r="R82" s="8">
        <v>1</v>
      </c>
      <c r="S82" s="8" t="str">
        <f t="shared" si="3"/>
        <v>TEB2Energia horáriaRuralNão se aplicaNão se aplicaNão se aplicaPonta</v>
      </c>
      <c r="T82" s="8">
        <f>VLOOKUP(S82,'TAR FIN COPEL'!$R$2:$S$219,2,0)</f>
        <v>385.33</v>
      </c>
    </row>
    <row r="83" spans="1:20" ht="11.25" customHeight="1" x14ac:dyDescent="0.25">
      <c r="A83" s="31">
        <v>82</v>
      </c>
      <c r="B83" s="31" t="s">
        <v>609</v>
      </c>
      <c r="C83" s="31" t="s">
        <v>44</v>
      </c>
      <c r="D83" s="31" t="s">
        <v>70</v>
      </c>
      <c r="E83" s="31" t="s">
        <v>45</v>
      </c>
      <c r="F83" s="31" t="s">
        <v>25</v>
      </c>
      <c r="G83" s="31" t="s">
        <v>25</v>
      </c>
      <c r="H83" s="31" t="s">
        <v>25</v>
      </c>
      <c r="I83" s="31" t="s">
        <v>38</v>
      </c>
      <c r="J83" s="31" t="s">
        <v>727</v>
      </c>
      <c r="K83" s="31" t="s">
        <v>726</v>
      </c>
      <c r="L83" s="31" t="s">
        <v>71</v>
      </c>
      <c r="M83" s="31">
        <v>2021</v>
      </c>
      <c r="N83" s="31">
        <v>0</v>
      </c>
      <c r="O83" s="31">
        <f t="shared" si="2"/>
        <v>242.31</v>
      </c>
      <c r="P83" s="31"/>
      <c r="Q83" s="8">
        <v>250.24</v>
      </c>
      <c r="R83" s="8">
        <v>1</v>
      </c>
      <c r="S83" s="8" t="str">
        <f t="shared" si="3"/>
        <v>TEB2Energia horáriaRuralNão se aplicaNão se aplicaNão se aplicaIntermediário</v>
      </c>
      <c r="T83" s="8">
        <f>VLOOKUP(S83,'TAR FIN COPEL'!$R$2:$S$219,2,0)</f>
        <v>242.31</v>
      </c>
    </row>
    <row r="84" spans="1:20" ht="11.25" customHeight="1" x14ac:dyDescent="0.25">
      <c r="A84" s="31">
        <v>83</v>
      </c>
      <c r="B84" s="31" t="s">
        <v>609</v>
      </c>
      <c r="C84" s="31" t="s">
        <v>44</v>
      </c>
      <c r="D84" s="31" t="s">
        <v>70</v>
      </c>
      <c r="E84" s="31" t="s">
        <v>45</v>
      </c>
      <c r="F84" s="31" t="s">
        <v>25</v>
      </c>
      <c r="G84" s="31" t="s">
        <v>25</v>
      </c>
      <c r="H84" s="31" t="s">
        <v>25</v>
      </c>
      <c r="I84" s="31" t="s">
        <v>35</v>
      </c>
      <c r="J84" s="31" t="s">
        <v>727</v>
      </c>
      <c r="K84" s="31" t="s">
        <v>726</v>
      </c>
      <c r="L84" s="31" t="s">
        <v>71</v>
      </c>
      <c r="M84" s="31">
        <v>2021</v>
      </c>
      <c r="N84" s="31">
        <v>0</v>
      </c>
      <c r="O84" s="31">
        <f t="shared" si="2"/>
        <v>242.31</v>
      </c>
      <c r="P84" s="31"/>
      <c r="Q84" s="8">
        <v>250.24</v>
      </c>
      <c r="R84" s="8">
        <v>1</v>
      </c>
      <c r="S84" s="8" t="str">
        <f t="shared" si="3"/>
        <v>TEB2Energia horáriaRuralNão se aplicaNão se aplicaNão se aplicaFora ponta</v>
      </c>
      <c r="T84" s="8">
        <f>VLOOKUP(S84,'TAR FIN COPEL'!$R$2:$S$219,2,0)</f>
        <v>242.31</v>
      </c>
    </row>
    <row r="85" spans="1:20" ht="11.25" customHeight="1" x14ac:dyDescent="0.25">
      <c r="A85" s="31">
        <v>84</v>
      </c>
      <c r="B85" s="31" t="s">
        <v>609</v>
      </c>
      <c r="C85" s="31" t="s">
        <v>44</v>
      </c>
      <c r="D85" s="31" t="s">
        <v>74</v>
      </c>
      <c r="E85" s="31" t="s">
        <v>45</v>
      </c>
      <c r="F85" s="31" t="s">
        <v>25</v>
      </c>
      <c r="G85" s="31" t="s">
        <v>25</v>
      </c>
      <c r="H85" s="31" t="s">
        <v>25</v>
      </c>
      <c r="I85" s="31" t="s">
        <v>25</v>
      </c>
      <c r="J85" s="31" t="s">
        <v>727</v>
      </c>
      <c r="K85" s="31" t="s">
        <v>726</v>
      </c>
      <c r="L85" s="31" t="s">
        <v>71</v>
      </c>
      <c r="M85" s="31">
        <v>2021</v>
      </c>
      <c r="N85" s="31">
        <v>0</v>
      </c>
      <c r="O85" s="31">
        <f t="shared" si="2"/>
        <v>254.23</v>
      </c>
      <c r="P85" s="31"/>
      <c r="Q85" s="8">
        <v>262.75</v>
      </c>
      <c r="R85" s="8">
        <v>1</v>
      </c>
      <c r="S85" s="8" t="str">
        <f t="shared" si="3"/>
        <v>TEB2Energia convencionalRuralNão se aplicaNão se aplicaNão se aplicaNão se aplica</v>
      </c>
      <c r="T85" s="8">
        <f>VLOOKUP(S85,'TAR FIN COPEL'!$R$2:$S$219,2,0)</f>
        <v>254.23</v>
      </c>
    </row>
    <row r="86" spans="1:20" ht="11.25" customHeight="1" x14ac:dyDescent="0.25">
      <c r="A86" s="31">
        <v>85</v>
      </c>
      <c r="B86" s="31" t="s">
        <v>609</v>
      </c>
      <c r="C86" s="31" t="s">
        <v>44</v>
      </c>
      <c r="D86" s="31" t="s">
        <v>70</v>
      </c>
      <c r="E86" s="31" t="s">
        <v>45</v>
      </c>
      <c r="F86" s="31" t="s">
        <v>87</v>
      </c>
      <c r="G86" s="31" t="s">
        <v>25</v>
      </c>
      <c r="H86" s="31" t="s">
        <v>25</v>
      </c>
      <c r="I86" s="31" t="s">
        <v>37</v>
      </c>
      <c r="J86" s="31" t="s">
        <v>727</v>
      </c>
      <c r="K86" s="31" t="s">
        <v>726</v>
      </c>
      <c r="L86" s="31" t="s">
        <v>71</v>
      </c>
      <c r="M86" s="31">
        <v>2021</v>
      </c>
      <c r="N86" s="31">
        <v>0</v>
      </c>
      <c r="O86" s="31">
        <f t="shared" si="2"/>
        <v>374.16</v>
      </c>
      <c r="P86" s="31"/>
      <c r="Q86" s="8">
        <v>400.31</v>
      </c>
      <c r="R86" s="8">
        <v>1</v>
      </c>
      <c r="S86" s="8" t="str">
        <f t="shared" si="3"/>
        <v>TEB2Energia horáriaRuralCooperativa de eletrificação ruralNão se aplicaNão se aplicaPonta</v>
      </c>
      <c r="T86" s="8">
        <f>VLOOKUP(S86,'TAR FIN COPEL'!$R$2:$S$219,2,0)</f>
        <v>374.16</v>
      </c>
    </row>
    <row r="87" spans="1:20" ht="11.25" customHeight="1" x14ac:dyDescent="0.25">
      <c r="A87" s="31">
        <v>86</v>
      </c>
      <c r="B87" s="31" t="s">
        <v>609</v>
      </c>
      <c r="C87" s="31" t="s">
        <v>44</v>
      </c>
      <c r="D87" s="31" t="s">
        <v>70</v>
      </c>
      <c r="E87" s="31" t="s">
        <v>45</v>
      </c>
      <c r="F87" s="31" t="s">
        <v>87</v>
      </c>
      <c r="G87" s="31" t="s">
        <v>25</v>
      </c>
      <c r="H87" s="31" t="s">
        <v>25</v>
      </c>
      <c r="I87" s="31" t="s">
        <v>38</v>
      </c>
      <c r="J87" s="31" t="s">
        <v>727</v>
      </c>
      <c r="K87" s="31" t="s">
        <v>726</v>
      </c>
      <c r="L87" s="31" t="s">
        <v>71</v>
      </c>
      <c r="M87" s="31">
        <v>2021</v>
      </c>
      <c r="N87" s="31">
        <v>0</v>
      </c>
      <c r="O87" s="31">
        <f t="shared" si="2"/>
        <v>235.29</v>
      </c>
      <c r="P87" s="31"/>
      <c r="Q87" s="8">
        <v>250.24</v>
      </c>
      <c r="R87" s="8">
        <v>1</v>
      </c>
      <c r="S87" s="8" t="str">
        <f t="shared" si="3"/>
        <v>TEB2Energia horáriaRuralCooperativa de eletrificação ruralNão se aplicaNão se aplicaIntermediário</v>
      </c>
      <c r="T87" s="8">
        <f>VLOOKUP(S87,'TAR FIN COPEL'!$R$2:$S$219,2,0)</f>
        <v>235.29</v>
      </c>
    </row>
    <row r="88" spans="1:20" ht="11.25" customHeight="1" x14ac:dyDescent="0.25">
      <c r="A88" s="31">
        <v>87</v>
      </c>
      <c r="B88" s="31" t="s">
        <v>609</v>
      </c>
      <c r="C88" s="31" t="s">
        <v>44</v>
      </c>
      <c r="D88" s="31" t="s">
        <v>70</v>
      </c>
      <c r="E88" s="31" t="s">
        <v>45</v>
      </c>
      <c r="F88" s="31" t="s">
        <v>87</v>
      </c>
      <c r="G88" s="31" t="s">
        <v>25</v>
      </c>
      <c r="H88" s="31" t="s">
        <v>25</v>
      </c>
      <c r="I88" s="31" t="s">
        <v>35</v>
      </c>
      <c r="J88" s="31" t="s">
        <v>727</v>
      </c>
      <c r="K88" s="31" t="s">
        <v>726</v>
      </c>
      <c r="L88" s="31" t="s">
        <v>71</v>
      </c>
      <c r="M88" s="31">
        <v>2021</v>
      </c>
      <c r="N88" s="31">
        <v>0</v>
      </c>
      <c r="O88" s="31">
        <f t="shared" si="2"/>
        <v>235.29</v>
      </c>
      <c r="P88" s="31"/>
      <c r="Q88" s="8">
        <v>250.24</v>
      </c>
      <c r="R88" s="8">
        <v>1</v>
      </c>
      <c r="S88" s="8" t="str">
        <f t="shared" si="3"/>
        <v>TEB2Energia horáriaRuralCooperativa de eletrificação ruralNão se aplicaNão se aplicaFora ponta</v>
      </c>
      <c r="T88" s="8">
        <f>VLOOKUP(S88,'TAR FIN COPEL'!$R$2:$S$219,2,0)</f>
        <v>235.29</v>
      </c>
    </row>
    <row r="89" spans="1:20" ht="11.25" customHeight="1" x14ac:dyDescent="0.25">
      <c r="A89" s="31">
        <v>88</v>
      </c>
      <c r="B89" s="31" t="s">
        <v>609</v>
      </c>
      <c r="C89" s="31" t="s">
        <v>44</v>
      </c>
      <c r="D89" s="31" t="s">
        <v>74</v>
      </c>
      <c r="E89" s="31" t="s">
        <v>45</v>
      </c>
      <c r="F89" s="31" t="s">
        <v>87</v>
      </c>
      <c r="G89" s="31" t="s">
        <v>25</v>
      </c>
      <c r="H89" s="31" t="s">
        <v>25</v>
      </c>
      <c r="I89" s="31" t="s">
        <v>25</v>
      </c>
      <c r="J89" s="31" t="s">
        <v>727</v>
      </c>
      <c r="K89" s="31" t="s">
        <v>726</v>
      </c>
      <c r="L89" s="31" t="s">
        <v>71</v>
      </c>
      <c r="M89" s="31">
        <v>2021</v>
      </c>
      <c r="N89" s="31">
        <v>0</v>
      </c>
      <c r="O89" s="31">
        <f t="shared" si="2"/>
        <v>246.87</v>
      </c>
      <c r="P89" s="31"/>
      <c r="Q89" s="8">
        <v>262.75</v>
      </c>
      <c r="R89" s="8">
        <v>1</v>
      </c>
      <c r="S89" s="8" t="str">
        <f t="shared" si="3"/>
        <v>TEB2Energia convencionalRuralCooperativa de eletrificação ruralNão se aplicaNão se aplicaNão se aplica</v>
      </c>
      <c r="T89" s="8">
        <f>VLOOKUP(S89,'TAR FIN COPEL'!$R$2:$S$219,2,0)</f>
        <v>246.87</v>
      </c>
    </row>
    <row r="90" spans="1:20" ht="11.25" customHeight="1" x14ac:dyDescent="0.25">
      <c r="A90" s="31">
        <v>89</v>
      </c>
      <c r="B90" s="31" t="s">
        <v>609</v>
      </c>
      <c r="C90" s="31" t="s">
        <v>44</v>
      </c>
      <c r="D90" s="31" t="s">
        <v>70</v>
      </c>
      <c r="E90" s="31" t="s">
        <v>45</v>
      </c>
      <c r="F90" s="31" t="s">
        <v>88</v>
      </c>
      <c r="G90" s="31" t="s">
        <v>25</v>
      </c>
      <c r="H90" s="31" t="s">
        <v>25</v>
      </c>
      <c r="I90" s="31" t="s">
        <v>37</v>
      </c>
      <c r="J90" s="31" t="s">
        <v>727</v>
      </c>
      <c r="K90" s="31" t="s">
        <v>726</v>
      </c>
      <c r="L90" s="31" t="s">
        <v>71</v>
      </c>
      <c r="M90" s="31">
        <v>2021</v>
      </c>
      <c r="N90" s="31">
        <v>0</v>
      </c>
      <c r="O90" s="31">
        <f t="shared" si="2"/>
        <v>367.81</v>
      </c>
      <c r="P90" s="31"/>
      <c r="Q90" s="8">
        <v>382.12</v>
      </c>
      <c r="R90" s="8">
        <v>1</v>
      </c>
      <c r="S90" s="8" t="str">
        <f t="shared" si="3"/>
        <v>TEB2Energia horáriaRuralServiço público de irrigação ruralNão se aplicaNão se aplicaPonta</v>
      </c>
      <c r="T90" s="8">
        <f>VLOOKUP(S90,'TAR FIN COPEL'!$R$2:$S$219,2,0)</f>
        <v>367.81</v>
      </c>
    </row>
    <row r="91" spans="1:20" ht="11.25" customHeight="1" x14ac:dyDescent="0.25">
      <c r="A91" s="31">
        <v>90</v>
      </c>
      <c r="B91" s="31" t="s">
        <v>609</v>
      </c>
      <c r="C91" s="31" t="s">
        <v>44</v>
      </c>
      <c r="D91" s="31" t="s">
        <v>70</v>
      </c>
      <c r="E91" s="31" t="s">
        <v>45</v>
      </c>
      <c r="F91" s="31" t="s">
        <v>88</v>
      </c>
      <c r="G91" s="31" t="s">
        <v>25</v>
      </c>
      <c r="H91" s="31" t="s">
        <v>25</v>
      </c>
      <c r="I91" s="31" t="s">
        <v>38</v>
      </c>
      <c r="J91" s="31" t="s">
        <v>727</v>
      </c>
      <c r="K91" s="31" t="s">
        <v>726</v>
      </c>
      <c r="L91" s="31" t="s">
        <v>71</v>
      </c>
      <c r="M91" s="31">
        <v>2021</v>
      </c>
      <c r="N91" s="31">
        <v>0</v>
      </c>
      <c r="O91" s="31">
        <f t="shared" si="2"/>
        <v>231.3</v>
      </c>
      <c r="P91" s="31"/>
      <c r="Q91" s="8">
        <v>238.87</v>
      </c>
      <c r="R91" s="8">
        <v>1</v>
      </c>
      <c r="S91" s="8" t="str">
        <f t="shared" si="3"/>
        <v>TEB2Energia horáriaRuralServiço público de irrigação ruralNão se aplicaNão se aplicaIntermediário</v>
      </c>
      <c r="T91" s="8">
        <f>VLOOKUP(S91,'TAR FIN COPEL'!$R$2:$S$219,2,0)</f>
        <v>231.3</v>
      </c>
    </row>
    <row r="92" spans="1:20" ht="11.25" customHeight="1" x14ac:dyDescent="0.25">
      <c r="A92" s="31">
        <v>91</v>
      </c>
      <c r="B92" s="31" t="s">
        <v>609</v>
      </c>
      <c r="C92" s="31" t="s">
        <v>44</v>
      </c>
      <c r="D92" s="31" t="s">
        <v>70</v>
      </c>
      <c r="E92" s="31" t="s">
        <v>45</v>
      </c>
      <c r="F92" s="31" t="s">
        <v>88</v>
      </c>
      <c r="G92" s="31" t="s">
        <v>25</v>
      </c>
      <c r="H92" s="31" t="s">
        <v>25</v>
      </c>
      <c r="I92" s="31" t="s">
        <v>35</v>
      </c>
      <c r="J92" s="31" t="s">
        <v>727</v>
      </c>
      <c r="K92" s="31" t="s">
        <v>726</v>
      </c>
      <c r="L92" s="31" t="s">
        <v>71</v>
      </c>
      <c r="M92" s="31">
        <v>2021</v>
      </c>
      <c r="N92" s="31">
        <v>0</v>
      </c>
      <c r="O92" s="31">
        <f t="shared" si="2"/>
        <v>231.3</v>
      </c>
      <c r="P92" s="31"/>
      <c r="Q92" s="8">
        <v>238.87</v>
      </c>
      <c r="R92" s="8">
        <v>1</v>
      </c>
      <c r="S92" s="8" t="str">
        <f t="shared" si="3"/>
        <v>TEB2Energia horáriaRuralServiço público de irrigação ruralNão se aplicaNão se aplicaFora ponta</v>
      </c>
      <c r="T92" s="8">
        <f>VLOOKUP(S92,'TAR FIN COPEL'!$R$2:$S$219,2,0)</f>
        <v>231.3</v>
      </c>
    </row>
    <row r="93" spans="1:20" ht="11.25" customHeight="1" x14ac:dyDescent="0.25">
      <c r="A93" s="31">
        <v>92</v>
      </c>
      <c r="B93" s="31" t="s">
        <v>609</v>
      </c>
      <c r="C93" s="31" t="s">
        <v>44</v>
      </c>
      <c r="D93" s="31" t="s">
        <v>74</v>
      </c>
      <c r="E93" s="31" t="s">
        <v>45</v>
      </c>
      <c r="F93" s="31" t="s">
        <v>88</v>
      </c>
      <c r="G93" s="31" t="s">
        <v>25</v>
      </c>
      <c r="H93" s="31" t="s">
        <v>25</v>
      </c>
      <c r="I93" s="31" t="s">
        <v>25</v>
      </c>
      <c r="J93" s="31" t="s">
        <v>727</v>
      </c>
      <c r="K93" s="31" t="s">
        <v>726</v>
      </c>
      <c r="L93" s="31" t="s">
        <v>71</v>
      </c>
      <c r="M93" s="31">
        <v>2021</v>
      </c>
      <c r="N93" s="31">
        <v>0</v>
      </c>
      <c r="O93" s="31">
        <f t="shared" si="2"/>
        <v>242.68</v>
      </c>
      <c r="P93" s="31"/>
      <c r="Q93" s="8">
        <v>250.8</v>
      </c>
      <c r="R93" s="8">
        <v>1</v>
      </c>
      <c r="S93" s="8" t="str">
        <f t="shared" si="3"/>
        <v>TEB2Energia convencionalRuralServiço público de irrigação ruralNão se aplicaNão se aplicaNão se aplica</v>
      </c>
      <c r="T93" s="8">
        <f>VLOOKUP(S93,'TAR FIN COPEL'!$R$2:$S$219,2,0)</f>
        <v>242.68</v>
      </c>
    </row>
    <row r="94" spans="1:20" ht="11.25" customHeight="1" x14ac:dyDescent="0.25">
      <c r="A94" s="31">
        <v>93</v>
      </c>
      <c r="B94" s="31" t="s">
        <v>609</v>
      </c>
      <c r="C94" s="31" t="s">
        <v>44</v>
      </c>
      <c r="D94" s="31" t="s">
        <v>85</v>
      </c>
      <c r="E94" s="31" t="s">
        <v>45</v>
      </c>
      <c r="F94" s="31" t="s">
        <v>25</v>
      </c>
      <c r="G94" s="31" t="s">
        <v>25</v>
      </c>
      <c r="H94" s="31" t="s">
        <v>25</v>
      </c>
      <c r="I94" s="31" t="s">
        <v>25</v>
      </c>
      <c r="J94" s="31" t="s">
        <v>727</v>
      </c>
      <c r="K94" s="31" t="s">
        <v>726</v>
      </c>
      <c r="L94" s="31" t="s">
        <v>71</v>
      </c>
      <c r="M94" s="31">
        <v>2021</v>
      </c>
      <c r="N94" s="31">
        <v>0</v>
      </c>
      <c r="O94" s="31">
        <f t="shared" si="2"/>
        <v>254.23</v>
      </c>
      <c r="P94" s="31"/>
      <c r="Q94" s="8">
        <v>262.75</v>
      </c>
      <c r="R94" s="8">
        <v>1</v>
      </c>
      <c r="S94" s="8" t="str">
        <f t="shared" si="3"/>
        <v>TEB2Energia convencional pré-pagamentoRuralNão se aplicaNão se aplicaNão se aplicaNão se aplica</v>
      </c>
      <c r="T94" s="8">
        <f>VLOOKUP(S94,'TAR FIN COPEL'!$R$2:$S$219,2,0)</f>
        <v>254.23</v>
      </c>
    </row>
    <row r="95" spans="1:20" ht="11.25" customHeight="1" x14ac:dyDescent="0.25">
      <c r="A95" s="31">
        <v>94</v>
      </c>
      <c r="B95" s="31" t="s">
        <v>609</v>
      </c>
      <c r="C95" s="31" t="s">
        <v>44</v>
      </c>
      <c r="D95" s="31" t="s">
        <v>85</v>
      </c>
      <c r="E95" s="31" t="s">
        <v>45</v>
      </c>
      <c r="F95" s="31" t="s">
        <v>87</v>
      </c>
      <c r="G95" s="31" t="s">
        <v>25</v>
      </c>
      <c r="H95" s="31" t="s">
        <v>25</v>
      </c>
      <c r="I95" s="31" t="s">
        <v>25</v>
      </c>
      <c r="J95" s="31" t="s">
        <v>727</v>
      </c>
      <c r="K95" s="31" t="s">
        <v>726</v>
      </c>
      <c r="L95" s="31" t="s">
        <v>71</v>
      </c>
      <c r="M95" s="31">
        <v>2021</v>
      </c>
      <c r="N95" s="31">
        <v>0</v>
      </c>
      <c r="O95" s="31">
        <f t="shared" si="2"/>
        <v>246.87</v>
      </c>
      <c r="P95" s="31"/>
      <c r="Q95" s="8">
        <v>262.75</v>
      </c>
      <c r="R95" s="8">
        <v>1</v>
      </c>
      <c r="S95" s="8" t="str">
        <f t="shared" si="3"/>
        <v>TEB2Energia convencional pré-pagamentoRuralCooperativa de eletrificação ruralNão se aplicaNão se aplicaNão se aplica</v>
      </c>
      <c r="T95" s="8">
        <f>VLOOKUP(S95,'TAR FIN COPEL'!$R$2:$S$219,2,0)</f>
        <v>246.87</v>
      </c>
    </row>
    <row r="96" spans="1:20" ht="11.25" customHeight="1" x14ac:dyDescent="0.25">
      <c r="A96" s="31">
        <v>95</v>
      </c>
      <c r="B96" s="31" t="s">
        <v>609</v>
      </c>
      <c r="C96" s="31" t="s">
        <v>44</v>
      </c>
      <c r="D96" s="31" t="s">
        <v>85</v>
      </c>
      <c r="E96" s="31" t="s">
        <v>45</v>
      </c>
      <c r="F96" s="31" t="s">
        <v>88</v>
      </c>
      <c r="G96" s="31" t="s">
        <v>25</v>
      </c>
      <c r="H96" s="31" t="s">
        <v>25</v>
      </c>
      <c r="I96" s="31" t="s">
        <v>25</v>
      </c>
      <c r="J96" s="31" t="s">
        <v>727</v>
      </c>
      <c r="K96" s="31" t="s">
        <v>726</v>
      </c>
      <c r="L96" s="31" t="s">
        <v>71</v>
      </c>
      <c r="M96" s="31">
        <v>2021</v>
      </c>
      <c r="N96" s="31">
        <v>0</v>
      </c>
      <c r="O96" s="31">
        <f t="shared" si="2"/>
        <v>242.68</v>
      </c>
      <c r="P96" s="31"/>
      <c r="Q96" s="8">
        <v>250.8</v>
      </c>
      <c r="R96" s="8">
        <v>1</v>
      </c>
      <c r="S96" s="8" t="str">
        <f t="shared" si="3"/>
        <v>TEB2Energia convencional pré-pagamentoRuralServiço público de irrigação ruralNão se aplicaNão se aplicaNão se aplica</v>
      </c>
      <c r="T96" s="8">
        <f>VLOOKUP(S96,'TAR FIN COPEL'!$R$2:$S$219,2,0)</f>
        <v>242.68</v>
      </c>
    </row>
    <row r="97" spans="1:20" ht="11.25" customHeight="1" x14ac:dyDescent="0.25">
      <c r="A97" s="31">
        <v>96</v>
      </c>
      <c r="B97" s="31" t="s">
        <v>609</v>
      </c>
      <c r="C97" s="31" t="s">
        <v>39</v>
      </c>
      <c r="D97" s="31" t="s">
        <v>70</v>
      </c>
      <c r="E97" s="31" t="s">
        <v>25</v>
      </c>
      <c r="F97" s="31" t="s">
        <v>25</v>
      </c>
      <c r="G97" s="31" t="s">
        <v>25</v>
      </c>
      <c r="H97" s="31" t="s">
        <v>25</v>
      </c>
      <c r="I97" s="31" t="s">
        <v>37</v>
      </c>
      <c r="J97" s="31" t="s">
        <v>727</v>
      </c>
      <c r="K97" s="31" t="s">
        <v>726</v>
      </c>
      <c r="L97" s="31" t="s">
        <v>71</v>
      </c>
      <c r="M97" s="31">
        <v>2021</v>
      </c>
      <c r="N97" s="31">
        <v>0</v>
      </c>
      <c r="O97" s="31">
        <f t="shared" si="2"/>
        <v>437.87</v>
      </c>
      <c r="P97" s="31"/>
      <c r="Q97" s="8">
        <v>454.9</v>
      </c>
      <c r="R97" s="8">
        <v>1</v>
      </c>
      <c r="S97" s="8" t="str">
        <f t="shared" si="3"/>
        <v>TEB3Energia horáriaNão se aplicaNão se aplicaNão se aplicaNão se aplicaPonta</v>
      </c>
      <c r="T97" s="8">
        <f>VLOOKUP(S97,'TAR FIN COPEL'!$R$2:$S$219,2,0)</f>
        <v>437.87</v>
      </c>
    </row>
    <row r="98" spans="1:20" ht="11.25" customHeight="1" x14ac:dyDescent="0.25">
      <c r="A98" s="31">
        <v>97</v>
      </c>
      <c r="B98" s="31" t="s">
        <v>609</v>
      </c>
      <c r="C98" s="31" t="s">
        <v>39</v>
      </c>
      <c r="D98" s="31" t="s">
        <v>70</v>
      </c>
      <c r="E98" s="31" t="s">
        <v>25</v>
      </c>
      <c r="F98" s="31" t="s">
        <v>25</v>
      </c>
      <c r="G98" s="31" t="s">
        <v>25</v>
      </c>
      <c r="H98" s="31" t="s">
        <v>25</v>
      </c>
      <c r="I98" s="31" t="s">
        <v>38</v>
      </c>
      <c r="J98" s="31" t="s">
        <v>727</v>
      </c>
      <c r="K98" s="31" t="s">
        <v>726</v>
      </c>
      <c r="L98" s="31" t="s">
        <v>71</v>
      </c>
      <c r="M98" s="31">
        <v>2021</v>
      </c>
      <c r="N98" s="31">
        <v>0</v>
      </c>
      <c r="O98" s="31">
        <f t="shared" si="2"/>
        <v>275.36</v>
      </c>
      <c r="P98" s="31"/>
      <c r="Q98" s="8">
        <v>284.36</v>
      </c>
      <c r="R98" s="8">
        <v>1</v>
      </c>
      <c r="S98" s="8" t="str">
        <f t="shared" si="3"/>
        <v>TEB3Energia horáriaNão se aplicaNão se aplicaNão se aplicaNão se aplicaIntermediário</v>
      </c>
      <c r="T98" s="8">
        <f>VLOOKUP(S98,'TAR FIN COPEL'!$R$2:$S$219,2,0)</f>
        <v>275.36</v>
      </c>
    </row>
    <row r="99" spans="1:20" ht="11.25" customHeight="1" x14ac:dyDescent="0.25">
      <c r="A99" s="31">
        <v>98</v>
      </c>
      <c r="B99" s="31" t="s">
        <v>609</v>
      </c>
      <c r="C99" s="31" t="s">
        <v>39</v>
      </c>
      <c r="D99" s="31" t="s">
        <v>70</v>
      </c>
      <c r="E99" s="31" t="s">
        <v>25</v>
      </c>
      <c r="F99" s="31" t="s">
        <v>25</v>
      </c>
      <c r="G99" s="31" t="s">
        <v>25</v>
      </c>
      <c r="H99" s="31" t="s">
        <v>25</v>
      </c>
      <c r="I99" s="31" t="s">
        <v>35</v>
      </c>
      <c r="J99" s="31" t="s">
        <v>727</v>
      </c>
      <c r="K99" s="31" t="s">
        <v>726</v>
      </c>
      <c r="L99" s="31" t="s">
        <v>71</v>
      </c>
      <c r="M99" s="31">
        <v>2021</v>
      </c>
      <c r="N99" s="31">
        <v>0</v>
      </c>
      <c r="O99" s="31">
        <f t="shared" si="2"/>
        <v>275.36</v>
      </c>
      <c r="P99" s="31"/>
      <c r="Q99" s="8">
        <v>284.36</v>
      </c>
      <c r="R99" s="8">
        <v>1</v>
      </c>
      <c r="S99" s="8" t="str">
        <f t="shared" si="3"/>
        <v>TEB3Energia horáriaNão se aplicaNão se aplicaNão se aplicaNão se aplicaFora ponta</v>
      </c>
      <c r="T99" s="8">
        <f>VLOOKUP(S99,'TAR FIN COPEL'!$R$2:$S$219,2,0)</f>
        <v>275.36</v>
      </c>
    </row>
    <row r="100" spans="1:20" ht="11.25" customHeight="1" x14ac:dyDescent="0.25">
      <c r="A100" s="31">
        <v>99</v>
      </c>
      <c r="B100" s="31" t="s">
        <v>609</v>
      </c>
      <c r="C100" s="31" t="s">
        <v>39</v>
      </c>
      <c r="D100" s="31" t="s">
        <v>74</v>
      </c>
      <c r="E100" s="31" t="s">
        <v>25</v>
      </c>
      <c r="F100" s="31" t="s">
        <v>25</v>
      </c>
      <c r="G100" s="31" t="s">
        <v>25</v>
      </c>
      <c r="H100" s="31" t="s">
        <v>25</v>
      </c>
      <c r="I100" s="31" t="s">
        <v>25</v>
      </c>
      <c r="J100" s="31" t="s">
        <v>727</v>
      </c>
      <c r="K100" s="31" t="s">
        <v>726</v>
      </c>
      <c r="L100" s="31" t="s">
        <v>71</v>
      </c>
      <c r="M100" s="31">
        <v>2021</v>
      </c>
      <c r="N100" s="31">
        <v>0</v>
      </c>
      <c r="O100" s="31">
        <f t="shared" si="2"/>
        <v>288.89999999999998</v>
      </c>
      <c r="P100" s="31"/>
      <c r="Q100" s="8">
        <v>298.58</v>
      </c>
      <c r="R100" s="8">
        <v>1</v>
      </c>
      <c r="S100" s="8" t="str">
        <f t="shared" si="3"/>
        <v>TEB3Energia convencionalNão se aplicaNão se aplicaNão se aplicaNão se aplicaNão se aplica</v>
      </c>
      <c r="T100" s="8">
        <f>VLOOKUP(S100,'TAR FIN COPEL'!$R$2:$S$219,2,0)</f>
        <v>288.89999999999998</v>
      </c>
    </row>
    <row r="101" spans="1:20" ht="11.25" customHeight="1" x14ac:dyDescent="0.25">
      <c r="A101" s="31">
        <v>100</v>
      </c>
      <c r="B101" s="31" t="s">
        <v>609</v>
      </c>
      <c r="C101" s="31" t="s">
        <v>39</v>
      </c>
      <c r="D101" s="31" t="s">
        <v>85</v>
      </c>
      <c r="E101" s="31" t="s">
        <v>25</v>
      </c>
      <c r="F101" s="31" t="s">
        <v>25</v>
      </c>
      <c r="G101" s="31" t="s">
        <v>25</v>
      </c>
      <c r="H101" s="31" t="s">
        <v>25</v>
      </c>
      <c r="I101" s="31" t="s">
        <v>25</v>
      </c>
      <c r="J101" s="31" t="s">
        <v>727</v>
      </c>
      <c r="K101" s="31" t="s">
        <v>726</v>
      </c>
      <c r="L101" s="31" t="s">
        <v>71</v>
      </c>
      <c r="M101" s="31">
        <v>2021</v>
      </c>
      <c r="N101" s="31">
        <v>0</v>
      </c>
      <c r="O101" s="31">
        <f t="shared" si="2"/>
        <v>288.89999999999998</v>
      </c>
      <c r="P101" s="31"/>
      <c r="Q101" s="8">
        <v>298.58</v>
      </c>
      <c r="R101" s="8">
        <v>1</v>
      </c>
      <c r="S101" s="8" t="str">
        <f t="shared" si="3"/>
        <v>TEB3Energia convencional pré-pagamentoNão se aplicaNão se aplicaNão se aplicaNão se aplicaNão se aplica</v>
      </c>
      <c r="T101" s="8">
        <f>VLOOKUP(S101,'TAR FIN COPEL'!$R$2:$S$219,2,0)</f>
        <v>288.89999999999998</v>
      </c>
    </row>
    <row r="102" spans="1:20" ht="11.25" customHeight="1" x14ac:dyDescent="0.25">
      <c r="A102" s="31">
        <v>101</v>
      </c>
      <c r="B102" s="31" t="s">
        <v>609</v>
      </c>
      <c r="C102" s="31" t="s">
        <v>47</v>
      </c>
      <c r="D102" s="31" t="s">
        <v>74</v>
      </c>
      <c r="E102" s="31" t="s">
        <v>48</v>
      </c>
      <c r="F102" s="31" t="s">
        <v>49</v>
      </c>
      <c r="G102" s="31" t="s">
        <v>25</v>
      </c>
      <c r="H102" s="31" t="s">
        <v>25</v>
      </c>
      <c r="I102" s="31" t="s">
        <v>25</v>
      </c>
      <c r="J102" s="31" t="s">
        <v>727</v>
      </c>
      <c r="K102" s="31" t="s">
        <v>726</v>
      </c>
      <c r="L102" s="31" t="s">
        <v>71</v>
      </c>
      <c r="M102" s="31">
        <v>2021</v>
      </c>
      <c r="N102" s="31">
        <v>0</v>
      </c>
      <c r="O102" s="31">
        <f t="shared" si="2"/>
        <v>158.9</v>
      </c>
      <c r="P102" s="31"/>
      <c r="Q102" s="8">
        <v>164.22</v>
      </c>
      <c r="R102" s="8">
        <v>1</v>
      </c>
      <c r="S102" s="8" t="str">
        <f t="shared" si="3"/>
        <v>TEB4Energia convencionalIluminação públicaIluminação pública – B4aNão se aplicaNão se aplicaNão se aplica</v>
      </c>
      <c r="T102" s="8">
        <f>VLOOKUP(S102,'TAR FIN COPEL'!$R$2:$S$219,2,0)</f>
        <v>158.9</v>
      </c>
    </row>
    <row r="103" spans="1:20" ht="11.25" customHeight="1" x14ac:dyDescent="0.25">
      <c r="A103" s="31">
        <v>102</v>
      </c>
      <c r="B103" s="31" t="s">
        <v>609</v>
      </c>
      <c r="C103" s="31" t="s">
        <v>47</v>
      </c>
      <c r="D103" s="31" t="s">
        <v>74</v>
      </c>
      <c r="E103" s="31" t="s">
        <v>48</v>
      </c>
      <c r="F103" s="31" t="s">
        <v>89</v>
      </c>
      <c r="G103" s="31" t="s">
        <v>25</v>
      </c>
      <c r="H103" s="31" t="s">
        <v>25</v>
      </c>
      <c r="I103" s="31" t="s">
        <v>25</v>
      </c>
      <c r="J103" s="31" t="s">
        <v>727</v>
      </c>
      <c r="K103" s="31" t="s">
        <v>726</v>
      </c>
      <c r="L103" s="31" t="s">
        <v>71</v>
      </c>
      <c r="M103" s="31">
        <v>2021</v>
      </c>
      <c r="N103" s="31">
        <v>0</v>
      </c>
      <c r="O103" s="31">
        <f t="shared" si="2"/>
        <v>173.34</v>
      </c>
      <c r="P103" s="31"/>
      <c r="Q103" s="8">
        <v>179.15</v>
      </c>
      <c r="R103" s="8">
        <v>1</v>
      </c>
      <c r="S103" s="8" t="str">
        <f t="shared" si="3"/>
        <v>TEB4Energia convencionalIluminação públicaIluminação pública – B4bNão se aplicaNão se aplicaNão se aplica</v>
      </c>
      <c r="T103" s="8">
        <f>VLOOKUP(S103,'TAR FIN COPEL'!$R$2:$S$219,2,0)</f>
        <v>173.34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E1C96-2E7C-44B3-9B14-9E730F82D393}">
  <dimension ref="A1:AD59"/>
  <sheetViews>
    <sheetView showGridLines="0" topLeftCell="F1" workbookViewId="0">
      <selection activeCell="U14" sqref="U1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61</v>
      </c>
      <c r="B1" s="10" t="s">
        <v>62</v>
      </c>
      <c r="C1" s="10" t="s">
        <v>63</v>
      </c>
      <c r="D1" s="10" t="s">
        <v>64</v>
      </c>
      <c r="E1" s="10" t="s">
        <v>65</v>
      </c>
      <c r="F1" s="10" t="s">
        <v>66</v>
      </c>
      <c r="G1" s="10" t="s">
        <v>67</v>
      </c>
      <c r="H1" s="10" t="s">
        <v>68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69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31" t="s">
        <v>42</v>
      </c>
      <c r="B2" s="131" t="s">
        <v>41</v>
      </c>
      <c r="C2" s="131" t="s">
        <v>25</v>
      </c>
      <c r="D2" s="131" t="s">
        <v>25</v>
      </c>
      <c r="E2" s="131" t="s">
        <v>25</v>
      </c>
      <c r="F2" s="131" t="s">
        <v>25</v>
      </c>
      <c r="G2" s="12" t="s">
        <v>77</v>
      </c>
      <c r="H2" s="12" t="s">
        <v>76</v>
      </c>
      <c r="I2" s="12">
        <f>SUMIF(Mercado_Receita!$S$2:$S$987,"44348A3aAzulNão se aplicaNão se aplicaNão se aplicaNão se aplicaPonta",Mercado_Receita!$J$2:$J$987)+SUMIF(Mercado_Receita!$S$2:$S$987,"44348A3aAzulNão se aplicaNão se aplicaAPENão se aplicaPonta",Mercado_Receita!$J$2:$J$987)</f>
        <v>0</v>
      </c>
      <c r="J2" s="12">
        <f>SUMIF(Mercado_Receita!$S$2:$S$987,"44378A3aAzulNão se aplicaNão se aplicaNão se aplicaNão se aplicaPonta",Mercado_Receita!$J$2:$J$987)+SUMIF(Mercado_Receita!$S$2:$S$987,"44378A3aAzulNão se aplicaNão se aplicaAPENão se aplicaPonta",Mercado_Receita!$J$2:$J$987)</f>
        <v>0</v>
      </c>
      <c r="K2" s="12">
        <f>SUMIF(Mercado_Receita!$S$2:$S$987,"44409A3aAzulNão se aplicaNão se aplicaNão se aplicaNão se aplicaPonta",Mercado_Receita!$J$2:$J$987)+SUMIF(Mercado_Receita!$S$2:$S$987,"44409A3aAzulNão se aplicaNão se aplicaAPENão se aplicaPonta",Mercado_Receita!$J$2:$J$987)</f>
        <v>0</v>
      </c>
      <c r="L2" s="12">
        <f>SUMIF(Mercado_Receita!$S$2:$S$987,"44440A3aAzulNão se aplicaNão se aplicaNão se aplicaNão se aplicaPonta",Mercado_Receita!$J$2:$J$987)+SUMIF(Mercado_Receita!$S$2:$S$987,"44440A3aAzulNão se aplicaNão se aplicaAPENão se aplicaPonta",Mercado_Receita!$J$2:$J$987)</f>
        <v>0</v>
      </c>
      <c r="M2" s="12">
        <f>SUMIF(Mercado_Receita!$S$2:$S$987,"44470A3aAzulNão se aplicaNão se aplicaNão se aplicaNão se aplicaPonta",Mercado_Receita!$J$2:$J$987)+SUMIF(Mercado_Receita!$S$2:$S$987,"44470A3aAzulNão se aplicaNão se aplicaAPENão se aplicaPonta",Mercado_Receita!$J$2:$J$987)</f>
        <v>0</v>
      </c>
      <c r="N2" s="12">
        <f>SUMIF(Mercado_Receita!$S$2:$S$987,"44501A3aAzulNão se aplicaNão se aplicaNão se aplicaNão se aplicaPonta",Mercado_Receita!$J$2:$J$987)+SUMIF(Mercado_Receita!$S$2:$S$987,"44501A3aAzulNão se aplicaNão se aplicaAPENão se aplicaPonta",Mercado_Receita!$J$2:$J$987)</f>
        <v>0</v>
      </c>
      <c r="O2" s="12">
        <f>SUMIF(Mercado_Receita!$S$2:$S$987,"44531A3aAzulNão se aplicaNão se aplicaNão se aplicaNão se aplicaPonta",Mercado_Receita!$J$2:$J$987)+SUMIF(Mercado_Receita!$S$2:$S$987,"44531A3aAzulNão se aplicaNão se aplicaAPENão se aplicaPonta",Mercado_Receita!$J$2:$J$987)</f>
        <v>0</v>
      </c>
      <c r="P2" s="12">
        <f>SUMIF(Mercado_Receita!$S$2:$S$987,"44562A3aAzulNão se aplicaNão se aplicaNão se aplicaNão se aplicaPonta",Mercado_Receita!$J$2:$J$987)+SUMIF(Mercado_Receita!$S$2:$S$987,"44562A3aAzulNão se aplicaNão se aplicaAPENão se aplicaPonta",Mercado_Receita!$J$2:$J$987)</f>
        <v>0</v>
      </c>
      <c r="Q2" s="12">
        <f>SUMIF(Mercado_Receita!$S$2:$S$987,"44593A3aAzulNão se aplicaNão se aplicaNão se aplicaNão se aplicaPonta",Mercado_Receita!$J$2:$J$987)+SUMIF(Mercado_Receita!$S$2:$S$987,"44593A3aAzulNão se aplicaNão se aplicaAPENão se aplicaPonta",Mercado_Receita!$J$2:$J$987)</f>
        <v>0</v>
      </c>
      <c r="R2" s="12">
        <f>SUMIF(Mercado_Receita!$S$2:$S$987,"44621A3aAzulNão se aplicaNão se aplicaNão se aplicaNão se aplicaPonta",Mercado_Receita!$J$2:$J$987)+SUMIF(Mercado_Receita!$S$2:$S$987,"44621A3aAzulNão se aplicaNão se aplicaAPENão se aplicaPonta",Mercado_Receita!$J$2:$J$987)</f>
        <v>0</v>
      </c>
      <c r="S2" s="12">
        <f>SUMIF(Mercado_Receita!$S$2:$S$987,"44652A3aAzulNão se aplicaNão se aplicaNão se aplicaNão se aplicaPonta",Mercado_Receita!$J$2:$J$987)+SUMIF(Mercado_Receita!$S$2:$S$987,"44652A3aAzulNão se aplicaNão se aplicaAPENão se aplicaPonta",Mercado_Receita!$J$2:$J$987)</f>
        <v>0</v>
      </c>
      <c r="T2" s="12">
        <f>SUMIF(Mercado_Receita!$S$2:$S$987,"44682A3aAzulNão se aplicaNão se aplicaNão se aplicaNão se aplicaPonta",Mercado_Receita!$J$2:$J$987)+SUMIF(Mercado_Receita!$S$2:$S$987,"44682A3aAzulNão se aplicaNão se aplicaAPENão se aplicaPonta",Mercado_Receita!$J$2:$J$987)</f>
        <v>0</v>
      </c>
      <c r="U2" s="12">
        <f t="shared" ref="U2:U33" si="0">SUM(I2:T2)</f>
        <v>0</v>
      </c>
      <c r="V2" s="12"/>
      <c r="W2" s="12"/>
    </row>
    <row r="3" spans="1:30" ht="11.25" customHeight="1" x14ac:dyDescent="0.25">
      <c r="A3" s="132"/>
      <c r="B3" s="132"/>
      <c r="C3" s="132"/>
      <c r="D3" s="132"/>
      <c r="E3" s="132"/>
      <c r="F3" s="132"/>
      <c r="G3" s="12" t="s">
        <v>78</v>
      </c>
      <c r="H3" s="12" t="s">
        <v>76</v>
      </c>
      <c r="I3" s="12">
        <f>SUMIF(Mercado_Receita!$S$2:$S$987,"44348A3aAzulNão se aplicaNão se aplicaNão se aplicaNão se aplicaFora ponta",Mercado_Receita!$J$2:$J$987)+SUMIF(Mercado_Receita!$S$2:$S$987,"44348A3aAzulNão se aplicaNão se aplicaAPENão se aplicaFora ponta",Mercado_Receita!$J$2:$J$987)</f>
        <v>0</v>
      </c>
      <c r="J3" s="12">
        <f>SUMIF(Mercado_Receita!$S$2:$S$987,"44378A3aAzulNão se aplicaNão se aplicaNão se aplicaNão se aplicaFora ponta",Mercado_Receita!$J$2:$J$987)+SUMIF(Mercado_Receita!$S$2:$S$987,"44378A3aAzulNão se aplicaNão se aplicaAPENão se aplicaFora ponta",Mercado_Receita!$J$2:$J$987)</f>
        <v>0</v>
      </c>
      <c r="K3" s="12">
        <f>SUMIF(Mercado_Receita!$S$2:$S$987,"44409A3aAzulNão se aplicaNão se aplicaNão se aplicaNão se aplicaFora ponta",Mercado_Receita!$J$2:$J$987)+SUMIF(Mercado_Receita!$S$2:$S$987,"44409A3aAzulNão se aplicaNão se aplicaAPENão se aplicaFora ponta",Mercado_Receita!$J$2:$J$987)</f>
        <v>0</v>
      </c>
      <c r="L3" s="12">
        <f>SUMIF(Mercado_Receita!$S$2:$S$987,"44440A3aAzulNão se aplicaNão se aplicaNão se aplicaNão se aplicaFora ponta",Mercado_Receita!$J$2:$J$987)+SUMIF(Mercado_Receita!$S$2:$S$987,"44440A3aAzulNão se aplicaNão se aplicaAPENão se aplicaFora ponta",Mercado_Receita!$J$2:$J$987)</f>
        <v>0</v>
      </c>
      <c r="M3" s="12">
        <f>SUMIF(Mercado_Receita!$S$2:$S$987,"44470A3aAzulNão se aplicaNão se aplicaNão se aplicaNão se aplicaFora ponta",Mercado_Receita!$J$2:$J$987)+SUMIF(Mercado_Receita!$S$2:$S$987,"44470A3aAzulNão se aplicaNão se aplicaAPENão se aplicaFora ponta",Mercado_Receita!$J$2:$J$987)</f>
        <v>0</v>
      </c>
      <c r="N3" s="12">
        <f>SUMIF(Mercado_Receita!$S$2:$S$987,"44501A3aAzulNão se aplicaNão se aplicaNão se aplicaNão se aplicaFora ponta",Mercado_Receita!$J$2:$J$987)+SUMIF(Mercado_Receita!$S$2:$S$987,"44501A3aAzulNão se aplicaNão se aplicaAPENão se aplicaFora ponta",Mercado_Receita!$J$2:$J$987)</f>
        <v>0</v>
      </c>
      <c r="O3" s="12">
        <f>SUMIF(Mercado_Receita!$S$2:$S$987,"44531A3aAzulNão se aplicaNão se aplicaNão se aplicaNão se aplicaFora ponta",Mercado_Receita!$J$2:$J$987)+SUMIF(Mercado_Receita!$S$2:$S$987,"44531A3aAzulNão se aplicaNão se aplicaAPENão se aplicaFora ponta",Mercado_Receita!$J$2:$J$987)</f>
        <v>0</v>
      </c>
      <c r="P3" s="12">
        <f>SUMIF(Mercado_Receita!$S$2:$S$987,"44562A3aAzulNão se aplicaNão se aplicaNão se aplicaNão se aplicaFora ponta",Mercado_Receita!$J$2:$J$987)+SUMIF(Mercado_Receita!$S$2:$S$987,"44562A3aAzulNão se aplicaNão se aplicaAPENão se aplicaFora ponta",Mercado_Receita!$J$2:$J$987)</f>
        <v>0</v>
      </c>
      <c r="Q3" s="12">
        <f>SUMIF(Mercado_Receita!$S$2:$S$987,"44593A3aAzulNão se aplicaNão se aplicaNão se aplicaNão se aplicaFora ponta",Mercado_Receita!$J$2:$J$987)+SUMIF(Mercado_Receita!$S$2:$S$987,"44593A3aAzulNão se aplicaNão se aplicaAPENão se aplicaFora ponta",Mercado_Receita!$J$2:$J$987)</f>
        <v>0</v>
      </c>
      <c r="R3" s="12">
        <f>SUMIF(Mercado_Receita!$S$2:$S$987,"44621A3aAzulNão se aplicaNão se aplicaNão se aplicaNão se aplicaFora ponta",Mercado_Receita!$J$2:$J$987)+SUMIF(Mercado_Receita!$S$2:$S$987,"44621A3aAzulNão se aplicaNão se aplicaAPENão se aplicaFora ponta",Mercado_Receita!$J$2:$J$987)</f>
        <v>0</v>
      </c>
      <c r="S3" s="12">
        <f>SUMIF(Mercado_Receita!$S$2:$S$987,"44652A3aAzulNão se aplicaNão se aplicaNão se aplicaNão se aplicaFora ponta",Mercado_Receita!$J$2:$J$987)+SUMIF(Mercado_Receita!$S$2:$S$987,"44652A3aAzulNão se aplicaNão se aplicaAPENão se aplicaFora ponta",Mercado_Receita!$J$2:$J$987)</f>
        <v>0</v>
      </c>
      <c r="T3" s="12">
        <f>SUMIF(Mercado_Receita!$S$2:$S$987,"44682A3aAzulNão se aplicaNão se aplicaNão se aplicaNão se aplicaFora ponta",Mercado_Receita!$J$2:$J$987)+SUMIF(Mercado_Receita!$S$2:$S$987,"44682A3aAzulNão se aplicaNão se aplicaAPENão se aplicaFora ponta",Mercado_Receita!$J$2:$J$987)</f>
        <v>0</v>
      </c>
      <c r="U3" s="12">
        <f t="shared" si="0"/>
        <v>0</v>
      </c>
      <c r="V3" s="12"/>
      <c r="W3" s="12"/>
    </row>
    <row r="4" spans="1:30" ht="11.25" customHeight="1" x14ac:dyDescent="0.25">
      <c r="A4" s="132"/>
      <c r="B4" s="132"/>
      <c r="C4" s="132"/>
      <c r="D4" s="132"/>
      <c r="E4" s="132"/>
      <c r="F4" s="132"/>
      <c r="G4" s="12" t="s">
        <v>75</v>
      </c>
      <c r="H4" s="12" t="s">
        <v>71</v>
      </c>
      <c r="I4" s="12">
        <f>SUMIF(Mercado_Receita!$S$2:$S$987,"44348A3aAzulNão se aplicaNão se aplicaNão se aplicaNão se aplicaPonta",Mercado_Receita!$L$2:$L$987)+SUMIF(Mercado_Receita!$S$2:$S$987,"44348A3aAzulNão se aplicaNão se aplicaNão se aplicaNão se aplicaFora ponta",Mercado_Receita!$L$2:$L$987)+SUMIF(Mercado_Receita!$S$2:$S$987,"44348A3aAzulNão se aplicaNão se aplicaNão se aplicaNão se aplicaIntermediário",Mercado_Receita!$L$2:$L$987)+SUMIF(Mercado_Receita!$S$2:$S$987,"44348A3aAzulNão se aplicaNão se aplicaNão se aplicaNão se aplicaNão se aplica",Mercado_Receita!$L$2:$L$987)</f>
        <v>0</v>
      </c>
      <c r="J4" s="12">
        <f>SUMIF(Mercado_Receita!$S$2:$S$987,"44378A3aAzulNão se aplicaNão se aplicaNão se aplicaNão se aplicaPonta",Mercado_Receita!$L$2:$L$987)+SUMIF(Mercado_Receita!$S$2:$S$987,"44378A3aAzulNão se aplicaNão se aplicaNão se aplicaNão se aplicaFora ponta",Mercado_Receita!$L$2:$L$987)+SUMIF(Mercado_Receita!$S$2:$S$987,"44378A3aAzulNão se aplicaNão se aplicaNão se aplicaNão se aplicaIntermediário",Mercado_Receita!$L$2:$L$987)+SUMIF(Mercado_Receita!$S$2:$S$987,"44378A3aAzulNão se aplicaNão se aplicaNão se aplicaNão se aplicaNão se aplica",Mercado_Receita!$L$2:$L$987)</f>
        <v>0</v>
      </c>
      <c r="K4" s="12">
        <f>SUMIF(Mercado_Receita!$S$2:$S$987,"44409A3aAzulNão se aplicaNão se aplicaNão se aplicaNão se aplicaPonta",Mercado_Receita!$L$2:$L$987)+SUMIF(Mercado_Receita!$S$2:$S$987,"44409A3aAzulNão se aplicaNão se aplicaNão se aplicaNão se aplicaFora ponta",Mercado_Receita!$L$2:$L$987)+SUMIF(Mercado_Receita!$S$2:$S$987,"44409A3aAzulNão se aplicaNão se aplicaNão se aplicaNão se aplicaIntermediário",Mercado_Receita!$L$2:$L$987)+SUMIF(Mercado_Receita!$S$2:$S$987,"44409A3aAzulNão se aplicaNão se aplicaNão se aplicaNão se aplicaNão se aplica",Mercado_Receita!$L$2:$L$987)</f>
        <v>0</v>
      </c>
      <c r="L4" s="12">
        <f>SUMIF(Mercado_Receita!$S$2:$S$987,"44440A3aAzulNão se aplicaNão se aplicaNão se aplicaNão se aplicaPonta",Mercado_Receita!$L$2:$L$987)+SUMIF(Mercado_Receita!$S$2:$S$987,"44440A3aAzulNão se aplicaNão se aplicaNão se aplicaNão se aplicaFora ponta",Mercado_Receita!$L$2:$L$987)+SUMIF(Mercado_Receita!$S$2:$S$987,"44440A3aAzulNão se aplicaNão se aplicaNão se aplicaNão se aplicaIntermediário",Mercado_Receita!$L$2:$L$987)+SUMIF(Mercado_Receita!$S$2:$S$987,"44440A3aAzulNão se aplicaNão se aplicaNão se aplicaNão se aplicaNão se aplica",Mercado_Receita!$L$2:$L$987)</f>
        <v>0</v>
      </c>
      <c r="M4" s="12">
        <f>SUMIF(Mercado_Receita!$S$2:$S$987,"44470A3aAzulNão se aplicaNão se aplicaNão se aplicaNão se aplicaPonta",Mercado_Receita!$L$2:$L$987)+SUMIF(Mercado_Receita!$S$2:$S$987,"44470A3aAzulNão se aplicaNão se aplicaNão se aplicaNão se aplicaFora ponta",Mercado_Receita!$L$2:$L$987)+SUMIF(Mercado_Receita!$S$2:$S$987,"44470A3aAzulNão se aplicaNão se aplicaNão se aplicaNão se aplicaIntermediário",Mercado_Receita!$L$2:$L$987)+SUMIF(Mercado_Receita!$S$2:$S$987,"44470A3aAzulNão se aplicaNão se aplicaNão se aplicaNão se aplicaNão se aplica",Mercado_Receita!$L$2:$L$987)</f>
        <v>0</v>
      </c>
      <c r="N4" s="12">
        <f>SUMIF(Mercado_Receita!$S$2:$S$987,"44501A3aAzulNão se aplicaNão se aplicaNão se aplicaNão se aplicaPonta",Mercado_Receita!$L$2:$L$987)+SUMIF(Mercado_Receita!$S$2:$S$987,"44501A3aAzulNão se aplicaNão se aplicaNão se aplicaNão se aplicaFora ponta",Mercado_Receita!$L$2:$L$987)+SUMIF(Mercado_Receita!$S$2:$S$987,"44501A3aAzulNão se aplicaNão se aplicaNão se aplicaNão se aplicaIntermediário",Mercado_Receita!$L$2:$L$987)+SUMIF(Mercado_Receita!$S$2:$S$987,"44501A3aAzulNão se aplicaNão se aplicaNão se aplicaNão se aplicaNão se aplica",Mercado_Receita!$L$2:$L$987)</f>
        <v>0</v>
      </c>
      <c r="O4" s="12">
        <f>SUMIF(Mercado_Receita!$S$2:$S$987,"44531A3aAzulNão se aplicaNão se aplicaNão se aplicaNão se aplicaPonta",Mercado_Receita!$L$2:$L$987)+SUMIF(Mercado_Receita!$S$2:$S$987,"44531A3aAzulNão se aplicaNão se aplicaNão se aplicaNão se aplicaFora ponta",Mercado_Receita!$L$2:$L$987)+SUMIF(Mercado_Receita!$S$2:$S$987,"44531A3aAzulNão se aplicaNão se aplicaNão se aplicaNão se aplicaIntermediário",Mercado_Receita!$L$2:$L$987)+SUMIF(Mercado_Receita!$S$2:$S$987,"44531A3aAzulNão se aplicaNão se aplicaNão se aplicaNão se aplicaNão se aplica",Mercado_Receita!$L$2:$L$987)</f>
        <v>0</v>
      </c>
      <c r="P4" s="12">
        <f>SUMIF(Mercado_Receita!$S$2:$S$987,"44562A3aAzulNão se aplicaNão se aplicaNão se aplicaNão se aplicaPonta",Mercado_Receita!$L$2:$L$987)+SUMIF(Mercado_Receita!$S$2:$S$987,"44562A3aAzulNão se aplicaNão se aplicaNão se aplicaNão se aplicaFora ponta",Mercado_Receita!$L$2:$L$987)+SUMIF(Mercado_Receita!$S$2:$S$987,"44562A3aAzulNão se aplicaNão se aplicaNão se aplicaNão se aplicaIntermediário",Mercado_Receita!$L$2:$L$987)+SUMIF(Mercado_Receita!$S$2:$S$987,"44562A3aAzulNão se aplicaNão se aplicaNão se aplicaNão se aplicaNão se aplica",Mercado_Receita!$L$2:$L$987)</f>
        <v>0</v>
      </c>
      <c r="Q4" s="12">
        <f>SUMIF(Mercado_Receita!$S$2:$S$987,"44593A3aAzulNão se aplicaNão se aplicaNão se aplicaNão se aplicaPonta",Mercado_Receita!$L$2:$L$987)+SUMIF(Mercado_Receita!$S$2:$S$987,"44593A3aAzulNão se aplicaNão se aplicaNão se aplicaNão se aplicaFora ponta",Mercado_Receita!$L$2:$L$987)+SUMIF(Mercado_Receita!$S$2:$S$987,"44593A3aAzulNão se aplicaNão se aplicaNão se aplicaNão se aplicaIntermediário",Mercado_Receita!$L$2:$L$987)+SUMIF(Mercado_Receita!$S$2:$S$987,"44593A3aAzulNão se aplicaNão se aplicaNão se aplicaNão se aplicaNão se aplica",Mercado_Receita!$L$2:$L$987)</f>
        <v>0</v>
      </c>
      <c r="R4" s="12">
        <f>SUMIF(Mercado_Receita!$S$2:$S$987,"44621A3aAzulNão se aplicaNão se aplicaNão se aplicaNão se aplicaPonta",Mercado_Receita!$L$2:$L$987)+SUMIF(Mercado_Receita!$S$2:$S$987,"44621A3aAzulNão se aplicaNão se aplicaNão se aplicaNão se aplicaFora ponta",Mercado_Receita!$L$2:$L$987)+SUMIF(Mercado_Receita!$S$2:$S$987,"44621A3aAzulNão se aplicaNão se aplicaNão se aplicaNão se aplicaIntermediário",Mercado_Receita!$L$2:$L$987)+SUMIF(Mercado_Receita!$S$2:$S$987,"44621A3aAzulNão se aplicaNão se aplicaNão se aplicaNão se aplicaNão se aplica",Mercado_Receita!$L$2:$L$987)</f>
        <v>0</v>
      </c>
      <c r="S4" s="12">
        <f>SUMIF(Mercado_Receita!$S$2:$S$987,"44652A3aAzulNão se aplicaNão se aplicaNão se aplicaNão se aplicaPonta",Mercado_Receita!$L$2:$L$987)+SUMIF(Mercado_Receita!$S$2:$S$987,"44652A3aAzulNão se aplicaNão se aplicaNão se aplicaNão se aplicaFora ponta",Mercado_Receita!$L$2:$L$987)+SUMIF(Mercado_Receita!$S$2:$S$987,"44652A3aAzulNão se aplicaNão se aplicaNão se aplicaNão se aplicaIntermediário",Mercado_Receita!$L$2:$L$987)+SUMIF(Mercado_Receita!$S$2:$S$987,"44652A3aAzulNão se aplicaNão se aplicaNão se aplicaNão se aplicaNão se aplica",Mercado_Receita!$L$2:$L$987)</f>
        <v>0</v>
      </c>
      <c r="T4" s="12">
        <f>SUMIF(Mercado_Receita!$S$2:$S$987,"44682A3aAzulNão se aplicaNão se aplicaNão se aplicaNão se aplicaPonta",Mercado_Receita!$L$2:$L$987)+SUMIF(Mercado_Receita!$S$2:$S$987,"44682A3aAzulNão se aplicaNão se aplicaNão se aplicaNão se aplicaFora ponta",Mercado_Receita!$L$2:$L$987)+SUMIF(Mercado_Receita!$S$2:$S$987,"44682A3aAzulNão se aplicaNão se aplicaNão se aplicaNão se aplicaIntermediário",Mercado_Receita!$L$2:$L$987)+SUMIF(Mercado_Receita!$S$2:$S$987,"44682A3aAzulNão se aplicaNão se aplicaNão se aplicaNão se aplicaNão se aplica",Mercado_Receita!$L$2:$L$987)</f>
        <v>0</v>
      </c>
      <c r="U4" s="12">
        <f t="shared" si="0"/>
        <v>0</v>
      </c>
      <c r="V4" s="12"/>
      <c r="W4" s="12"/>
    </row>
    <row r="5" spans="1:30" ht="11.25" customHeight="1" x14ac:dyDescent="0.25">
      <c r="A5" s="132"/>
      <c r="B5" s="132"/>
      <c r="C5" s="132"/>
      <c r="D5" s="132"/>
      <c r="E5" s="13" t="s">
        <v>79</v>
      </c>
      <c r="F5" s="13" t="s">
        <v>25</v>
      </c>
      <c r="G5" s="12" t="s">
        <v>75</v>
      </c>
      <c r="H5" s="12" t="s">
        <v>71</v>
      </c>
      <c r="I5" s="12">
        <f>SUMIF(Mercado_Receita!$S$2:$S$987,"44348A3aAzulNão se aplicaNão se aplicaAPENão se aplicaPonta",Mercado_Receita!$L$2:$L$987)+SUMIF(Mercado_Receita!$S$2:$S$987,"44348A3aAzulNão se aplicaNão se aplicaAPENão se aplicaFora ponta",Mercado_Receita!$L$2:$L$987)+SUMIF(Mercado_Receita!$S$2:$S$987,"44348A3aAzulNão se aplicaNão se aplicaAPENão se aplicaIntermediário",Mercado_Receita!$L$2:$L$987)+SUMIF(Mercado_Receita!$S$2:$S$987,"44348A3aAzulNão se aplicaNão se aplicaAPENão se aplicaNão se aplica",Mercado_Receita!$L$2:$L$987)</f>
        <v>0</v>
      </c>
      <c r="J5" s="12">
        <f>SUMIF(Mercado_Receita!$S$2:$S$987,"44378A3aAzulNão se aplicaNão se aplicaAPENão se aplicaPonta",Mercado_Receita!$L$2:$L$987)+SUMIF(Mercado_Receita!$S$2:$S$987,"44378A3aAzulNão se aplicaNão se aplicaAPENão se aplicaFora ponta",Mercado_Receita!$L$2:$L$987)+SUMIF(Mercado_Receita!$S$2:$S$987,"44378A3aAzulNão se aplicaNão se aplicaAPENão se aplicaIntermediário",Mercado_Receita!$L$2:$L$987)+SUMIF(Mercado_Receita!$S$2:$S$987,"44378A3aAzulNão se aplicaNão se aplicaAPENão se aplicaNão se aplica",Mercado_Receita!$L$2:$L$987)</f>
        <v>0</v>
      </c>
      <c r="K5" s="12">
        <f>SUMIF(Mercado_Receita!$S$2:$S$987,"44409A3aAzulNão se aplicaNão se aplicaAPENão se aplicaPonta",Mercado_Receita!$L$2:$L$987)+SUMIF(Mercado_Receita!$S$2:$S$987,"44409A3aAzulNão se aplicaNão se aplicaAPENão se aplicaFora ponta",Mercado_Receita!$L$2:$L$987)+SUMIF(Mercado_Receita!$S$2:$S$987,"44409A3aAzulNão se aplicaNão se aplicaAPENão se aplicaIntermediário",Mercado_Receita!$L$2:$L$987)+SUMIF(Mercado_Receita!$S$2:$S$987,"44409A3aAzulNão se aplicaNão se aplicaAPENão se aplicaNão se aplica",Mercado_Receita!$L$2:$L$987)</f>
        <v>0</v>
      </c>
      <c r="L5" s="12">
        <f>SUMIF(Mercado_Receita!$S$2:$S$987,"44440A3aAzulNão se aplicaNão se aplicaAPENão se aplicaPonta",Mercado_Receita!$L$2:$L$987)+SUMIF(Mercado_Receita!$S$2:$S$987,"44440A3aAzulNão se aplicaNão se aplicaAPENão se aplicaFora ponta",Mercado_Receita!$L$2:$L$987)+SUMIF(Mercado_Receita!$S$2:$S$987,"44440A3aAzulNão se aplicaNão se aplicaAPENão se aplicaIntermediário",Mercado_Receita!$L$2:$L$987)+SUMIF(Mercado_Receita!$S$2:$S$987,"44440A3aAzulNão se aplicaNão se aplicaAPENão se aplicaNão se aplica",Mercado_Receita!$L$2:$L$987)</f>
        <v>0</v>
      </c>
      <c r="M5" s="12">
        <f>SUMIF(Mercado_Receita!$S$2:$S$987,"44470A3aAzulNão se aplicaNão se aplicaAPENão se aplicaPonta",Mercado_Receita!$L$2:$L$987)+SUMIF(Mercado_Receita!$S$2:$S$987,"44470A3aAzulNão se aplicaNão se aplicaAPENão se aplicaFora ponta",Mercado_Receita!$L$2:$L$987)+SUMIF(Mercado_Receita!$S$2:$S$987,"44470A3aAzulNão se aplicaNão se aplicaAPENão se aplicaIntermediário",Mercado_Receita!$L$2:$L$987)+SUMIF(Mercado_Receita!$S$2:$S$987,"44470A3aAzulNão se aplicaNão se aplicaAPENão se aplicaNão se aplica",Mercado_Receita!$L$2:$L$987)</f>
        <v>0</v>
      </c>
      <c r="N5" s="12">
        <f>SUMIF(Mercado_Receita!$S$2:$S$987,"44501A3aAzulNão se aplicaNão se aplicaAPENão se aplicaPonta",Mercado_Receita!$L$2:$L$987)+SUMIF(Mercado_Receita!$S$2:$S$987,"44501A3aAzulNão se aplicaNão se aplicaAPENão se aplicaFora ponta",Mercado_Receita!$L$2:$L$987)+SUMIF(Mercado_Receita!$S$2:$S$987,"44501A3aAzulNão se aplicaNão se aplicaAPENão se aplicaIntermediário",Mercado_Receita!$L$2:$L$987)+SUMIF(Mercado_Receita!$S$2:$S$987,"44501A3aAzulNão se aplicaNão se aplicaAPENão se aplicaNão se aplica",Mercado_Receita!$L$2:$L$987)</f>
        <v>0</v>
      </c>
      <c r="O5" s="12">
        <f>SUMIF(Mercado_Receita!$S$2:$S$987,"44531A3aAzulNão se aplicaNão se aplicaAPENão se aplicaPonta",Mercado_Receita!$L$2:$L$987)+SUMIF(Mercado_Receita!$S$2:$S$987,"44531A3aAzulNão se aplicaNão se aplicaAPENão se aplicaFora ponta",Mercado_Receita!$L$2:$L$987)+SUMIF(Mercado_Receita!$S$2:$S$987,"44531A3aAzulNão se aplicaNão se aplicaAPENão se aplicaIntermediário",Mercado_Receita!$L$2:$L$987)+SUMIF(Mercado_Receita!$S$2:$S$987,"44531A3aAzulNão se aplicaNão se aplicaAPENão se aplicaNão se aplica",Mercado_Receita!$L$2:$L$987)</f>
        <v>0</v>
      </c>
      <c r="P5" s="12">
        <f>SUMIF(Mercado_Receita!$S$2:$S$987,"44562A3aAzulNão se aplicaNão se aplicaAPENão se aplicaPonta",Mercado_Receita!$L$2:$L$987)+SUMIF(Mercado_Receita!$S$2:$S$987,"44562A3aAzulNão se aplicaNão se aplicaAPENão se aplicaFora ponta",Mercado_Receita!$L$2:$L$987)+SUMIF(Mercado_Receita!$S$2:$S$987,"44562A3aAzulNão se aplicaNão se aplicaAPENão se aplicaIntermediário",Mercado_Receita!$L$2:$L$987)+SUMIF(Mercado_Receita!$S$2:$S$987,"44562A3aAzulNão se aplicaNão se aplicaAPENão se aplicaNão se aplica",Mercado_Receita!$L$2:$L$987)</f>
        <v>0</v>
      </c>
      <c r="Q5" s="12">
        <f>SUMIF(Mercado_Receita!$S$2:$S$987,"44593A3aAzulNão se aplicaNão se aplicaAPENão se aplicaPonta",Mercado_Receita!$L$2:$L$987)+SUMIF(Mercado_Receita!$S$2:$S$987,"44593A3aAzulNão se aplicaNão se aplicaAPENão se aplicaFora ponta",Mercado_Receita!$L$2:$L$987)+SUMIF(Mercado_Receita!$S$2:$S$987,"44593A3aAzulNão se aplicaNão se aplicaAPENão se aplicaIntermediário",Mercado_Receita!$L$2:$L$987)+SUMIF(Mercado_Receita!$S$2:$S$987,"44593A3aAzulNão se aplicaNão se aplicaAPENão se aplicaNão se aplica",Mercado_Receita!$L$2:$L$987)</f>
        <v>0</v>
      </c>
      <c r="R5" s="12">
        <f>SUMIF(Mercado_Receita!$S$2:$S$987,"44621A3aAzulNão se aplicaNão se aplicaAPENão se aplicaPonta",Mercado_Receita!$L$2:$L$987)+SUMIF(Mercado_Receita!$S$2:$S$987,"44621A3aAzulNão se aplicaNão se aplicaAPENão se aplicaFora ponta",Mercado_Receita!$L$2:$L$987)+SUMIF(Mercado_Receita!$S$2:$S$987,"44621A3aAzulNão se aplicaNão se aplicaAPENão se aplicaIntermediário",Mercado_Receita!$L$2:$L$987)+SUMIF(Mercado_Receita!$S$2:$S$987,"44621A3aAzulNão se aplicaNão se aplicaAPENão se aplicaNão se aplica",Mercado_Receita!$L$2:$L$987)</f>
        <v>0</v>
      </c>
      <c r="S5" s="12">
        <f>SUMIF(Mercado_Receita!$S$2:$S$987,"44652A3aAzulNão se aplicaNão se aplicaAPENão se aplicaPonta",Mercado_Receita!$L$2:$L$987)+SUMIF(Mercado_Receita!$S$2:$S$987,"44652A3aAzulNão se aplicaNão se aplicaAPENão se aplicaFora ponta",Mercado_Receita!$L$2:$L$987)+SUMIF(Mercado_Receita!$S$2:$S$987,"44652A3aAzulNão se aplicaNão se aplicaAPENão se aplicaIntermediário",Mercado_Receita!$L$2:$L$987)+SUMIF(Mercado_Receita!$S$2:$S$987,"44652A3aAzulNão se aplicaNão se aplicaAPENão se aplicaNão se aplica",Mercado_Receita!$L$2:$L$987)</f>
        <v>0</v>
      </c>
      <c r="T5" s="12">
        <f>SUMIF(Mercado_Receita!$S$2:$S$987,"44682A3aAzulNão se aplicaNão se aplicaAPENão se aplicaPonta",Mercado_Receita!$L$2:$L$987)+SUMIF(Mercado_Receita!$S$2:$S$987,"44682A3aAzulNão se aplicaNão se aplicaAPENão se aplicaFora ponta",Mercado_Receita!$L$2:$L$987)+SUMIF(Mercado_Receita!$S$2:$S$987,"44682A3aAzulNão se aplicaNão se aplicaAPENão se aplicaIntermediário",Mercado_Receita!$L$2:$L$987)+SUMIF(Mercado_Receita!$S$2:$S$987,"44682A3aAzulNão se aplicaNão se aplicaAPENão se aplicaNão se aplica",Mercado_Receita!$L$2:$L$987)</f>
        <v>0</v>
      </c>
      <c r="U5" s="12">
        <f t="shared" si="0"/>
        <v>0</v>
      </c>
      <c r="V5" s="12"/>
      <c r="W5" s="12"/>
    </row>
    <row r="6" spans="1:30" ht="11.25" customHeight="1" x14ac:dyDescent="0.25">
      <c r="A6" s="132"/>
      <c r="B6" s="13" t="s">
        <v>80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76</v>
      </c>
      <c r="I6" s="12">
        <f>SUMIF(Mercado_Receita!$S$2:$S$987,"44348A3aGeraçãoNão se aplicaNão se aplicaNão se aplicaNão se aplicaNão se aplica",Mercado_Receita!$J$2:$J$987)+SUMIF(Mercado_Receita!$S$2:$S$987,"44348A3aGeraçãoNão se aplicaNão se aplicaAPENão se aplicaNão se aplica",Mercado_Receita!$J$2:$J$987)</f>
        <v>0</v>
      </c>
      <c r="J6" s="12">
        <f>SUMIF(Mercado_Receita!$S$2:$S$987,"44378A3aGeraçãoNão se aplicaNão se aplicaNão se aplicaNão se aplicaNão se aplica",Mercado_Receita!$J$2:$J$987)+SUMIF(Mercado_Receita!$S$2:$S$987,"44378A3aGeraçãoNão se aplicaNão se aplicaAPENão se aplicaNão se aplica",Mercado_Receita!$J$2:$J$987)</f>
        <v>0</v>
      </c>
      <c r="K6" s="12">
        <f>SUMIF(Mercado_Receita!$S$2:$S$987,"44409A3aGeraçãoNão se aplicaNão se aplicaNão se aplicaNão se aplicaNão se aplica",Mercado_Receita!$J$2:$J$987)+SUMIF(Mercado_Receita!$S$2:$S$987,"44409A3aGeraçãoNão se aplicaNão se aplicaAPENão se aplicaNão se aplica",Mercado_Receita!$J$2:$J$987)</f>
        <v>0</v>
      </c>
      <c r="L6" s="12">
        <f>SUMIF(Mercado_Receita!$S$2:$S$987,"44440A3aGeraçãoNão se aplicaNão se aplicaNão se aplicaNão se aplicaNão se aplica",Mercado_Receita!$J$2:$J$987)+SUMIF(Mercado_Receita!$S$2:$S$987,"44440A3aGeraçãoNão se aplicaNão se aplicaAPENão se aplicaNão se aplica",Mercado_Receita!$J$2:$J$987)</f>
        <v>0</v>
      </c>
      <c r="M6" s="12">
        <f>SUMIF(Mercado_Receita!$S$2:$S$987,"44470A3aGeraçãoNão se aplicaNão se aplicaNão se aplicaNão se aplicaNão se aplica",Mercado_Receita!$J$2:$J$987)+SUMIF(Mercado_Receita!$S$2:$S$987,"44470A3aGeraçãoNão se aplicaNão se aplicaAPENão se aplicaNão se aplica",Mercado_Receita!$J$2:$J$987)</f>
        <v>0</v>
      </c>
      <c r="N6" s="12">
        <f>SUMIF(Mercado_Receita!$S$2:$S$987,"44501A3aGeraçãoNão se aplicaNão se aplicaNão se aplicaNão se aplicaNão se aplica",Mercado_Receita!$J$2:$J$987)+SUMIF(Mercado_Receita!$S$2:$S$987,"44501A3aGeraçãoNão se aplicaNão se aplicaAPENão se aplicaNão se aplica",Mercado_Receita!$J$2:$J$987)</f>
        <v>0</v>
      </c>
      <c r="O6" s="12">
        <f>SUMIF(Mercado_Receita!$S$2:$S$987,"44531A3aGeraçãoNão se aplicaNão se aplicaNão se aplicaNão se aplicaNão se aplica",Mercado_Receita!$J$2:$J$987)+SUMIF(Mercado_Receita!$S$2:$S$987,"44531A3aGeraçãoNão se aplicaNão se aplicaAPENão se aplicaNão se aplica",Mercado_Receita!$J$2:$J$987)</f>
        <v>0</v>
      </c>
      <c r="P6" s="12">
        <f>SUMIF(Mercado_Receita!$S$2:$S$987,"44562A3aGeraçãoNão se aplicaNão se aplicaNão se aplicaNão se aplicaNão se aplica",Mercado_Receita!$J$2:$J$987)+SUMIF(Mercado_Receita!$S$2:$S$987,"44562A3aGeraçãoNão se aplicaNão se aplicaAPENão se aplicaNão se aplica",Mercado_Receita!$J$2:$J$987)</f>
        <v>0</v>
      </c>
      <c r="Q6" s="12">
        <f>SUMIF(Mercado_Receita!$S$2:$S$987,"44593A3aGeraçãoNão se aplicaNão se aplicaNão se aplicaNão se aplicaNão se aplica",Mercado_Receita!$J$2:$J$987)+SUMIF(Mercado_Receita!$S$2:$S$987,"44593A3aGeraçãoNão se aplicaNão se aplicaAPENão se aplicaNão se aplica",Mercado_Receita!$J$2:$J$987)</f>
        <v>0</v>
      </c>
      <c r="R6" s="12">
        <f>SUMIF(Mercado_Receita!$S$2:$S$987,"44621A3aGeraçãoNão se aplicaNão se aplicaNão se aplicaNão se aplicaNão se aplica",Mercado_Receita!$J$2:$J$987)+SUMIF(Mercado_Receita!$S$2:$S$987,"44621A3aGeraçãoNão se aplicaNão se aplicaAPENão se aplicaNão se aplica",Mercado_Receita!$J$2:$J$987)</f>
        <v>0</v>
      </c>
      <c r="S6" s="12">
        <f>SUMIF(Mercado_Receita!$S$2:$S$987,"44652A3aGeraçãoNão se aplicaNão se aplicaNão se aplicaNão se aplicaNão se aplica",Mercado_Receita!$J$2:$J$987)+SUMIF(Mercado_Receita!$S$2:$S$987,"44652A3aGeraçãoNão se aplicaNão se aplicaAPENão se aplicaNão se aplica",Mercado_Receita!$J$2:$J$987)</f>
        <v>0</v>
      </c>
      <c r="T6" s="12">
        <f>SUMIF(Mercado_Receita!$S$2:$S$987,"44682A3aGeraçãoNão se aplicaNão se aplicaNão se aplicaNão se aplicaNão se aplica",Mercado_Receita!$J$2:$J$987)+SUMIF(Mercado_Receita!$S$2:$S$987,"44682A3aGeraçãoNão se aplicaNão se aplicaAPENão se aplicaNão se aplica",Mercado_Receita!$J$2:$J$987)</f>
        <v>0</v>
      </c>
      <c r="U6" s="12">
        <f t="shared" si="0"/>
        <v>0</v>
      </c>
      <c r="V6" s="12"/>
      <c r="W6" s="12"/>
    </row>
    <row r="7" spans="1:30" ht="11.25" customHeight="1" x14ac:dyDescent="0.25">
      <c r="A7" s="132"/>
      <c r="B7" s="131" t="s">
        <v>34</v>
      </c>
      <c r="C7" s="131" t="s">
        <v>25</v>
      </c>
      <c r="D7" s="131" t="s">
        <v>25</v>
      </c>
      <c r="E7" s="131" t="s">
        <v>25</v>
      </c>
      <c r="F7" s="131" t="s">
        <v>25</v>
      </c>
      <c r="G7" s="12" t="s">
        <v>9</v>
      </c>
      <c r="H7" s="12" t="s">
        <v>76</v>
      </c>
      <c r="I7" s="12">
        <f>SUMIF(Mercado_Receita!$S$2:$S$987,"44348A3aVerdeNão se aplicaNão se aplicaNão se aplicaNão se aplicaNão se aplica",Mercado_Receita!$J$2:$J$987)+SUMIF(Mercado_Receita!$S$2:$S$987,"44348A3aVerdeNão se aplicaNão se aplicaAPENão se aplicaNão se aplica",Mercado_Receita!$J$2:$J$987)</f>
        <v>3815</v>
      </c>
      <c r="J7" s="12">
        <f>SUMIF(Mercado_Receita!$S$2:$S$987,"44378A3aVerdeNão se aplicaNão se aplicaNão se aplicaNão se aplicaNão se aplica",Mercado_Receita!$J$2:$J$987)+SUMIF(Mercado_Receita!$S$2:$S$987,"44378A3aVerdeNão se aplicaNão se aplicaAPENão se aplicaNão se aplica",Mercado_Receita!$J$2:$J$987)</f>
        <v>3877</v>
      </c>
      <c r="K7" s="12">
        <f>SUMIF(Mercado_Receita!$S$2:$S$987,"44409A3aVerdeNão se aplicaNão se aplicaNão se aplicaNão se aplicaNão se aplica",Mercado_Receita!$J$2:$J$987)+SUMIF(Mercado_Receita!$S$2:$S$987,"44409A3aVerdeNão se aplicaNão se aplicaAPENão se aplicaNão se aplica",Mercado_Receita!$J$2:$J$987)</f>
        <v>3829</v>
      </c>
      <c r="L7" s="12">
        <f>SUMIF(Mercado_Receita!$S$2:$S$987,"44440A3aVerdeNão se aplicaNão se aplicaNão se aplicaNão se aplicaNão se aplica",Mercado_Receita!$J$2:$J$987)+SUMIF(Mercado_Receita!$S$2:$S$987,"44440A3aVerdeNão se aplicaNão se aplicaAPENão se aplicaNão se aplica",Mercado_Receita!$J$2:$J$987)</f>
        <v>3734</v>
      </c>
      <c r="M7" s="12">
        <f>SUMIF(Mercado_Receita!$S$2:$S$987,"44470A3aVerdeNão se aplicaNão se aplicaNão se aplicaNão se aplicaNão se aplica",Mercado_Receita!$J$2:$J$987)+SUMIF(Mercado_Receita!$S$2:$S$987,"44470A3aVerdeNão se aplicaNão se aplicaAPENão se aplicaNão se aplica",Mercado_Receita!$J$2:$J$987)</f>
        <v>3614</v>
      </c>
      <c r="N7" s="12">
        <f>SUMIF(Mercado_Receita!$S$2:$S$987,"44501A3aVerdeNão se aplicaNão se aplicaNão se aplicaNão se aplicaNão se aplica",Mercado_Receita!$J$2:$J$987)+SUMIF(Mercado_Receita!$S$2:$S$987,"44501A3aVerdeNão se aplicaNão se aplicaAPENão se aplicaNão se aplica",Mercado_Receita!$J$2:$J$987)</f>
        <v>3586</v>
      </c>
      <c r="O7" s="12">
        <f>SUMIF(Mercado_Receita!$S$2:$S$987,"44531A3aVerdeNão se aplicaNão se aplicaNão se aplicaNão se aplicaNão se aplica",Mercado_Receita!$J$2:$J$987)+SUMIF(Mercado_Receita!$S$2:$S$987,"44531A3aVerdeNão se aplicaNão se aplicaAPENão se aplicaNão se aplica",Mercado_Receita!$J$2:$J$987)</f>
        <v>4416</v>
      </c>
      <c r="P7" s="12">
        <f>SUMIF(Mercado_Receita!$S$2:$S$987,"44562A3aVerdeNão se aplicaNão se aplicaNão se aplicaNão se aplicaNão se aplica",Mercado_Receita!$J$2:$J$987)+SUMIF(Mercado_Receita!$S$2:$S$987,"44562A3aVerdeNão se aplicaNão se aplicaAPENão se aplicaNão se aplica",Mercado_Receita!$J$2:$J$987)</f>
        <v>4413</v>
      </c>
      <c r="Q7" s="12">
        <f>SUMIF(Mercado_Receita!$S$2:$S$987,"44593A3aVerdeNão se aplicaNão se aplicaNão se aplicaNão se aplicaNão se aplica",Mercado_Receita!$J$2:$J$987)+SUMIF(Mercado_Receita!$S$2:$S$987,"44593A3aVerdeNão se aplicaNão se aplicaAPENão se aplicaNão se aplica",Mercado_Receita!$J$2:$J$987)</f>
        <v>4454</v>
      </c>
      <c r="R7" s="12">
        <f>SUMIF(Mercado_Receita!$S$2:$S$987,"44621A3aVerdeNão se aplicaNão se aplicaNão se aplicaNão se aplicaNão se aplica",Mercado_Receita!$J$2:$J$987)+SUMIF(Mercado_Receita!$S$2:$S$987,"44621A3aVerdeNão se aplicaNão se aplicaAPENão se aplicaNão se aplica",Mercado_Receita!$J$2:$J$987)</f>
        <v>4475</v>
      </c>
      <c r="S7" s="12">
        <f>SUMIF(Mercado_Receita!$S$2:$S$987,"44652A3aVerdeNão se aplicaNão se aplicaNão se aplicaNão se aplicaNão se aplica",Mercado_Receita!$J$2:$J$987)+SUMIF(Mercado_Receita!$S$2:$S$987,"44652A3aVerdeNão se aplicaNão se aplicaAPENão se aplicaNão se aplica",Mercado_Receita!$J$2:$J$987)</f>
        <v>4507</v>
      </c>
      <c r="T7" s="12">
        <f>SUMIF(Mercado_Receita!$S$2:$S$987,"44682A3aVerdeNão se aplicaNão se aplicaNão se aplicaNão se aplicaNão se aplica",Mercado_Receita!$J$2:$J$987)+SUMIF(Mercado_Receita!$S$2:$S$987,"44682A3aVerdeNão se aplicaNão se aplicaAPENão se aplicaNão se aplica",Mercado_Receita!$J$2:$J$987)</f>
        <v>6060</v>
      </c>
      <c r="U7" s="12">
        <f t="shared" si="0"/>
        <v>50780</v>
      </c>
      <c r="V7" s="12"/>
      <c r="W7" s="12"/>
    </row>
    <row r="8" spans="1:30" ht="11.25" customHeight="1" x14ac:dyDescent="0.25">
      <c r="A8" s="132"/>
      <c r="B8" s="132"/>
      <c r="C8" s="132"/>
      <c r="D8" s="132"/>
      <c r="E8" s="132"/>
      <c r="F8" s="132"/>
      <c r="G8" s="12" t="s">
        <v>72</v>
      </c>
      <c r="H8" s="12" t="s">
        <v>71</v>
      </c>
      <c r="I8" s="12">
        <f>SUMIF(Mercado_Receita!$S$2:$S$987,"44348A3aVerdeNão se aplicaNão se aplicaNão se aplicaNão se aplicaPonta",Mercado_Receita!$L$2:$L$987)</f>
        <v>63.741</v>
      </c>
      <c r="J8" s="12">
        <f>SUMIF(Mercado_Receita!$S$2:$S$987,"44378A3aVerdeNão se aplicaNão se aplicaNão se aplicaNão se aplicaPonta",Mercado_Receita!$L$2:$L$987)</f>
        <v>62.043999999999997</v>
      </c>
      <c r="K8" s="12">
        <f>SUMIF(Mercado_Receita!$S$2:$S$987,"44409A3aVerdeNão se aplicaNão se aplicaNão se aplicaNão se aplicaPonta",Mercado_Receita!$L$2:$L$987)</f>
        <v>31.350999999999999</v>
      </c>
      <c r="L8" s="12">
        <f>SUMIF(Mercado_Receita!$S$2:$S$987,"44440A3aVerdeNão se aplicaNão se aplicaNão se aplicaNão se aplicaPonta",Mercado_Receita!$L$2:$L$987)</f>
        <v>29.321999999999999</v>
      </c>
      <c r="M8" s="12">
        <f>SUMIF(Mercado_Receita!$S$2:$S$987,"44470A3aVerdeNão se aplicaNão se aplicaNão se aplicaNão se aplicaPonta",Mercado_Receita!$L$2:$L$987)</f>
        <v>58.638000000000005</v>
      </c>
      <c r="N8" s="12">
        <f>SUMIF(Mercado_Receita!$S$2:$S$987,"44501A3aVerdeNão se aplicaNão se aplicaNão se aplicaNão se aplicaPonta",Mercado_Receita!$L$2:$L$987)</f>
        <v>53.043000000000006</v>
      </c>
      <c r="O8" s="12">
        <f>SUMIF(Mercado_Receita!$S$2:$S$987,"44531A3aVerdeNão se aplicaNão se aplicaNão se aplicaNão se aplicaPonta",Mercado_Receita!$L$2:$L$987)</f>
        <v>51.211999999999996</v>
      </c>
      <c r="P8" s="12">
        <f>SUMIF(Mercado_Receita!$S$2:$S$987,"44562A3aVerdeNão se aplicaNão se aplicaNão se aplicaNão se aplicaPonta",Mercado_Receita!$L$2:$L$987)</f>
        <v>51.241</v>
      </c>
      <c r="Q8" s="12">
        <f>SUMIF(Mercado_Receita!$S$2:$S$987,"44593A3aVerdeNão se aplicaNão se aplicaNão se aplicaNão se aplicaPonta",Mercado_Receita!$L$2:$L$987)</f>
        <v>49.003</v>
      </c>
      <c r="R8" s="12">
        <f>SUMIF(Mercado_Receita!$S$2:$S$987,"44621A3aVerdeNão se aplicaNão se aplicaNão se aplicaNão se aplicaPonta",Mercado_Receita!$L$2:$L$987)</f>
        <v>57.298999999999992</v>
      </c>
      <c r="S8" s="12">
        <f>SUMIF(Mercado_Receita!$S$2:$S$987,"44652A3aVerdeNão se aplicaNão se aplicaNão se aplicaNão se aplicaPonta",Mercado_Receita!$L$2:$L$987)</f>
        <v>62.152000000000001</v>
      </c>
      <c r="T8" s="12">
        <f>SUMIF(Mercado_Receita!$S$2:$S$987,"44682A3aVerdeNão se aplicaNão se aplicaNão se aplicaNão se aplicaPonta",Mercado_Receita!$L$2:$L$987)</f>
        <v>109.44200000000001</v>
      </c>
      <c r="U8" s="12">
        <f t="shared" si="0"/>
        <v>678.48799999999994</v>
      </c>
      <c r="V8" s="12"/>
      <c r="W8" s="12"/>
    </row>
    <row r="9" spans="1:30" ht="11.25" customHeight="1" x14ac:dyDescent="0.25">
      <c r="A9" s="132"/>
      <c r="B9" s="132"/>
      <c r="C9" s="132"/>
      <c r="D9" s="132"/>
      <c r="E9" s="132"/>
      <c r="F9" s="132"/>
      <c r="G9" s="12" t="s">
        <v>73</v>
      </c>
      <c r="H9" s="12" t="s">
        <v>71</v>
      </c>
      <c r="I9" s="12">
        <f>SUMIF(Mercado_Receita!$S$2:$S$987,"44348A3aVerdeNão se aplicaNão se aplicaNão se aplicaNão se aplicaFora ponta",Mercado_Receita!$L$2:$L$987)</f>
        <v>696.21600000000001</v>
      </c>
      <c r="J9" s="12">
        <f>SUMIF(Mercado_Receita!$S$2:$S$987,"44378A3aVerdeNão se aplicaNão se aplicaNão se aplicaNão se aplicaFora ponta",Mercado_Receita!$L$2:$L$987)</f>
        <v>739.22199999999998</v>
      </c>
      <c r="K9" s="12">
        <f>SUMIF(Mercado_Receita!$S$2:$S$987,"44409A3aVerdeNão se aplicaNão se aplicaNão se aplicaNão se aplicaFora ponta",Mercado_Receita!$L$2:$L$987)</f>
        <v>677.57500000000005</v>
      </c>
      <c r="L9" s="12">
        <f>SUMIF(Mercado_Receita!$S$2:$S$987,"44440A3aVerdeNão se aplicaNão se aplicaNão se aplicaNão se aplicaFora ponta",Mercado_Receita!$L$2:$L$987)</f>
        <v>674.48</v>
      </c>
      <c r="M9" s="12">
        <f>SUMIF(Mercado_Receita!$S$2:$S$987,"44470A3aVerdeNão se aplicaNão se aplicaNão se aplicaNão se aplicaFora ponta",Mercado_Receita!$L$2:$L$987)</f>
        <v>702.04199999999992</v>
      </c>
      <c r="N9" s="12">
        <f>SUMIF(Mercado_Receita!$S$2:$S$987,"44501A3aVerdeNão se aplicaNão se aplicaNão se aplicaNão se aplicaFora ponta",Mercado_Receita!$L$2:$L$987)</f>
        <v>634.41399999999999</v>
      </c>
      <c r="O9" s="12">
        <f>SUMIF(Mercado_Receita!$S$2:$S$987,"44531A3aVerdeNão se aplicaNão se aplicaNão se aplicaNão se aplicaFora ponta",Mercado_Receita!$L$2:$L$987)</f>
        <v>593.01099999999997</v>
      </c>
      <c r="P9" s="12">
        <f>SUMIF(Mercado_Receita!$S$2:$S$987,"44562A3aVerdeNão se aplicaNão se aplicaNão se aplicaNão se aplicaFora ponta",Mercado_Receita!$L$2:$L$987)</f>
        <v>612.72</v>
      </c>
      <c r="Q9" s="12">
        <f>SUMIF(Mercado_Receita!$S$2:$S$987,"44593A3aVerdeNão se aplicaNão se aplicaNão se aplicaNão se aplicaFora ponta",Mercado_Receita!$L$2:$L$987)</f>
        <v>606.59699999999998</v>
      </c>
      <c r="R9" s="12">
        <f>SUMIF(Mercado_Receita!$S$2:$S$987,"44621A3aVerdeNão se aplicaNão se aplicaNão se aplicaNão se aplicaFora ponta",Mercado_Receita!$L$2:$L$987)</f>
        <v>656.07199999999989</v>
      </c>
      <c r="S9" s="12">
        <f>SUMIF(Mercado_Receita!$S$2:$S$987,"44652A3aVerdeNão se aplicaNão se aplicaNão se aplicaNão se aplicaFora ponta",Mercado_Receita!$L$2:$L$987)</f>
        <v>677.69100000000003</v>
      </c>
      <c r="T9" s="12">
        <f>SUMIF(Mercado_Receita!$S$2:$S$987,"44682A3aVerdeNão se aplicaNão se aplicaNão se aplicaNão se aplicaFora ponta",Mercado_Receita!$L$2:$L$987)</f>
        <v>1251.692</v>
      </c>
      <c r="U9" s="12">
        <f t="shared" si="0"/>
        <v>8521.732</v>
      </c>
      <c r="V9" s="12"/>
      <c r="W9" s="12"/>
    </row>
    <row r="10" spans="1:30" ht="11.25" customHeight="1" x14ac:dyDescent="0.25">
      <c r="A10" s="132"/>
      <c r="B10" s="132"/>
      <c r="C10" s="132"/>
      <c r="D10" s="132"/>
      <c r="E10" s="131" t="s">
        <v>79</v>
      </c>
      <c r="F10" s="131" t="s">
        <v>25</v>
      </c>
      <c r="G10" s="12" t="s">
        <v>72</v>
      </c>
      <c r="H10" s="12" t="s">
        <v>71</v>
      </c>
      <c r="I10" s="12">
        <f>SUMIF(Mercado_Receita!$S$2:$S$987,"44348A3aVerdeNão se aplicaNão se aplicaAPENão se aplicaPonta",Mercado_Receita!$L$2:$L$987)</f>
        <v>0</v>
      </c>
      <c r="J10" s="12">
        <f>SUMIF(Mercado_Receita!$S$2:$S$987,"44378A3aVerdeNão se aplicaNão se aplicaAPENão se aplicaPonta",Mercado_Receita!$L$2:$L$987)</f>
        <v>0</v>
      </c>
      <c r="K10" s="12">
        <f>SUMIF(Mercado_Receita!$S$2:$S$987,"44409A3aVerdeNão se aplicaNão se aplicaAPENão se aplicaPonta",Mercado_Receita!$L$2:$L$987)</f>
        <v>0</v>
      </c>
      <c r="L10" s="12">
        <f>SUMIF(Mercado_Receita!$S$2:$S$987,"44440A3aVerdeNão se aplicaNão se aplicaAPENão se aplicaPonta",Mercado_Receita!$L$2:$L$987)</f>
        <v>0</v>
      </c>
      <c r="M10" s="12">
        <f>SUMIF(Mercado_Receita!$S$2:$S$987,"44470A3aVerdeNão se aplicaNão se aplicaAPENão se aplicaPonta",Mercado_Receita!$L$2:$L$987)</f>
        <v>0</v>
      </c>
      <c r="N10" s="12">
        <f>SUMIF(Mercado_Receita!$S$2:$S$987,"44501A3aVerdeNão se aplicaNão se aplicaAPENão se aplicaPonta",Mercado_Receita!$L$2:$L$987)</f>
        <v>0</v>
      </c>
      <c r="O10" s="12">
        <f>SUMIF(Mercado_Receita!$S$2:$S$987,"44531A3aVerdeNão se aplicaNão se aplicaAPENão se aplicaPonta",Mercado_Receita!$L$2:$L$987)</f>
        <v>0</v>
      </c>
      <c r="P10" s="12">
        <f>SUMIF(Mercado_Receita!$S$2:$S$987,"44562A3aVerdeNão se aplicaNão se aplicaAPENão se aplicaPonta",Mercado_Receita!$L$2:$L$987)</f>
        <v>0</v>
      </c>
      <c r="Q10" s="12">
        <f>SUMIF(Mercado_Receita!$S$2:$S$987,"44593A3aVerdeNão se aplicaNão se aplicaAPENão se aplicaPonta",Mercado_Receita!$L$2:$L$987)</f>
        <v>0</v>
      </c>
      <c r="R10" s="12">
        <f>SUMIF(Mercado_Receita!$S$2:$S$987,"44621A3aVerdeNão se aplicaNão se aplicaAPENão se aplicaPonta",Mercado_Receita!$L$2:$L$987)</f>
        <v>0</v>
      </c>
      <c r="S10" s="12">
        <f>SUMIF(Mercado_Receita!$S$2:$S$987,"44652A3aVerdeNão se aplicaNão se aplicaAPENão se aplicaPonta",Mercado_Receita!$L$2:$L$987)</f>
        <v>0</v>
      </c>
      <c r="T10" s="12">
        <f>SUMIF(Mercado_Receita!$S$2:$S$987,"44682A3aVerdeNão se aplicaNão se aplicaAPENão se aplicaPonta",Mercado_Receita!$L$2:$L$987)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32"/>
      <c r="B11" s="132"/>
      <c r="C11" s="132"/>
      <c r="D11" s="132"/>
      <c r="E11" s="132"/>
      <c r="F11" s="132"/>
      <c r="G11" s="12" t="s">
        <v>73</v>
      </c>
      <c r="H11" s="12" t="s">
        <v>71</v>
      </c>
      <c r="I11" s="12">
        <f>SUMIF(Mercado_Receita!$S$2:$S$987,"44348A3aVerdeNão se aplicaNão se aplicaAPENão se aplicaFora ponta",Mercado_Receita!$L$2:$L$987)</f>
        <v>0</v>
      </c>
      <c r="J11" s="12">
        <f>SUMIF(Mercado_Receita!$S$2:$S$987,"44378A3aVerdeNão se aplicaNão se aplicaAPENão se aplicaFora ponta",Mercado_Receita!$L$2:$L$987)</f>
        <v>0</v>
      </c>
      <c r="K11" s="12">
        <f>SUMIF(Mercado_Receita!$S$2:$S$987,"44409A3aVerdeNão se aplicaNão se aplicaAPENão se aplicaFora ponta",Mercado_Receita!$L$2:$L$987)</f>
        <v>0</v>
      </c>
      <c r="L11" s="12">
        <f>SUMIF(Mercado_Receita!$S$2:$S$987,"44440A3aVerdeNão se aplicaNão se aplicaAPENão se aplicaFora ponta",Mercado_Receita!$L$2:$L$987)</f>
        <v>0</v>
      </c>
      <c r="M11" s="12">
        <f>SUMIF(Mercado_Receita!$S$2:$S$987,"44470A3aVerdeNão se aplicaNão se aplicaAPENão se aplicaFora ponta",Mercado_Receita!$L$2:$L$987)</f>
        <v>0</v>
      </c>
      <c r="N11" s="12">
        <f>SUMIF(Mercado_Receita!$S$2:$S$987,"44501A3aVerdeNão se aplicaNão se aplicaAPENão se aplicaFora ponta",Mercado_Receita!$L$2:$L$987)</f>
        <v>0</v>
      </c>
      <c r="O11" s="12">
        <f>SUMIF(Mercado_Receita!$S$2:$S$987,"44531A3aVerdeNão se aplicaNão se aplicaAPENão se aplicaFora ponta",Mercado_Receita!$L$2:$L$987)</f>
        <v>0</v>
      </c>
      <c r="P11" s="12">
        <f>SUMIF(Mercado_Receita!$S$2:$S$987,"44562A3aVerdeNão se aplicaNão se aplicaAPENão se aplicaFora ponta",Mercado_Receita!$L$2:$L$987)</f>
        <v>0</v>
      </c>
      <c r="Q11" s="12">
        <f>SUMIF(Mercado_Receita!$S$2:$S$987,"44593A3aVerdeNão se aplicaNão se aplicaAPENão se aplicaFora ponta",Mercado_Receita!$L$2:$L$987)</f>
        <v>0</v>
      </c>
      <c r="R11" s="12">
        <f>SUMIF(Mercado_Receita!$S$2:$S$987,"44621A3aVerdeNão se aplicaNão se aplicaAPENão se aplicaFora ponta",Mercado_Receita!$L$2:$L$987)</f>
        <v>0</v>
      </c>
      <c r="S11" s="12">
        <f>SUMIF(Mercado_Receita!$S$2:$S$987,"44652A3aVerdeNão se aplicaNão se aplicaAPENão se aplicaFora ponta",Mercado_Receita!$L$2:$L$987)</f>
        <v>0</v>
      </c>
      <c r="T11" s="12">
        <f>SUMIF(Mercado_Receita!$S$2:$S$987,"44682A3aVerdeNão se aplicaNão se aplicaAPENão se aplicaFora ponta",Mercado_Receita!$L$2:$L$987)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31" t="s">
        <v>33</v>
      </c>
      <c r="B12" s="131" t="s">
        <v>41</v>
      </c>
      <c r="C12" s="131" t="s">
        <v>25</v>
      </c>
      <c r="D12" s="131" t="s">
        <v>25</v>
      </c>
      <c r="E12" s="131" t="s">
        <v>25</v>
      </c>
      <c r="F12" s="131" t="s">
        <v>25</v>
      </c>
      <c r="G12" s="12" t="s">
        <v>77</v>
      </c>
      <c r="H12" s="12" t="s">
        <v>76</v>
      </c>
      <c r="I12" s="12">
        <f>SUMIF(Mercado_Receita!$S$2:$S$987,"44348A4AzulNão se aplicaNão se aplicaNão se aplicaNão se aplicaPonta",Mercado_Receita!$J$2:$J$987)+SUMIF(Mercado_Receita!$S$2:$S$987,"44348A4AzulNão se aplicaNão se aplicaAPENão se aplicaPonta",Mercado_Receita!$J$2:$J$987)</f>
        <v>14216</v>
      </c>
      <c r="J12" s="12">
        <f>SUMIF(Mercado_Receita!$S$2:$S$987,"44378A4AzulNão se aplicaNão se aplicaNão se aplicaNão se aplicaPonta",Mercado_Receita!$J$2:$J$987)+SUMIF(Mercado_Receita!$S$2:$S$987,"44378A4AzulNão se aplicaNão se aplicaAPENão se aplicaPonta",Mercado_Receita!$J$2:$J$987)</f>
        <v>14383</v>
      </c>
      <c r="K12" s="12">
        <f>SUMIF(Mercado_Receita!$S$2:$S$987,"44409A4AzulNão se aplicaNão se aplicaNão se aplicaNão se aplicaPonta",Mercado_Receita!$J$2:$J$987)+SUMIF(Mercado_Receita!$S$2:$S$987,"44409A4AzulNão se aplicaNão se aplicaAPENão se aplicaPonta",Mercado_Receita!$J$2:$J$987)</f>
        <v>14243</v>
      </c>
      <c r="L12" s="12">
        <f>SUMIF(Mercado_Receita!$S$2:$S$987,"44440A4AzulNão se aplicaNão se aplicaNão se aplicaNão se aplicaPonta",Mercado_Receita!$J$2:$J$987)+SUMIF(Mercado_Receita!$S$2:$S$987,"44440A4AzulNão se aplicaNão se aplicaAPENão se aplicaPonta",Mercado_Receita!$J$2:$J$987)</f>
        <v>14765</v>
      </c>
      <c r="M12" s="12">
        <f>SUMIF(Mercado_Receita!$S$2:$S$987,"44470A4AzulNão se aplicaNão se aplicaNão se aplicaNão se aplicaPonta",Mercado_Receita!$J$2:$J$987)+SUMIF(Mercado_Receita!$S$2:$S$987,"44470A4AzulNão se aplicaNão se aplicaAPENão se aplicaPonta",Mercado_Receita!$J$2:$J$987)</f>
        <v>14808</v>
      </c>
      <c r="N12" s="12">
        <f>SUMIF(Mercado_Receita!$S$2:$S$987,"44501A4AzulNão se aplicaNão se aplicaNão se aplicaNão se aplicaPonta",Mercado_Receita!$J$2:$J$987)+SUMIF(Mercado_Receita!$S$2:$S$987,"44501A4AzulNão se aplicaNão se aplicaAPENão se aplicaPonta",Mercado_Receita!$J$2:$J$987)</f>
        <v>14914</v>
      </c>
      <c r="O12" s="12">
        <f>SUMIF(Mercado_Receita!$S$2:$S$987,"44531A4AzulNão se aplicaNão se aplicaNão se aplicaNão se aplicaPonta",Mercado_Receita!$J$2:$J$987)+SUMIF(Mercado_Receita!$S$2:$S$987,"44531A4AzulNão se aplicaNão se aplicaAPENão se aplicaPonta",Mercado_Receita!$J$2:$J$987)</f>
        <v>14921</v>
      </c>
      <c r="P12" s="12">
        <f>SUMIF(Mercado_Receita!$S$2:$S$987,"44562A4AzulNão se aplicaNão se aplicaNão se aplicaNão se aplicaPonta",Mercado_Receita!$J$2:$J$987)+SUMIF(Mercado_Receita!$S$2:$S$987,"44562A4AzulNão se aplicaNão se aplicaAPENão se aplicaPonta",Mercado_Receita!$J$2:$J$987)</f>
        <v>14878</v>
      </c>
      <c r="Q12" s="12">
        <f>SUMIF(Mercado_Receita!$S$2:$S$987,"44593A4AzulNão se aplicaNão se aplicaNão se aplicaNão se aplicaPonta",Mercado_Receita!$J$2:$J$987)+SUMIF(Mercado_Receita!$S$2:$S$987,"44593A4AzulNão se aplicaNão se aplicaAPENão se aplicaPonta",Mercado_Receita!$J$2:$J$987)</f>
        <v>14535</v>
      </c>
      <c r="R12" s="12">
        <f>SUMIF(Mercado_Receita!$S$2:$S$987,"44621A4AzulNão se aplicaNão se aplicaNão se aplicaNão se aplicaPonta",Mercado_Receita!$J$2:$J$987)+SUMIF(Mercado_Receita!$S$2:$S$987,"44621A4AzulNão se aplicaNão se aplicaAPENão se aplicaPonta",Mercado_Receita!$J$2:$J$987)</f>
        <v>15021</v>
      </c>
      <c r="S12" s="12">
        <f>SUMIF(Mercado_Receita!$S$2:$S$987,"44652A4AzulNão se aplicaNão se aplicaNão se aplicaNão se aplicaPonta",Mercado_Receita!$J$2:$J$987)+SUMIF(Mercado_Receita!$S$2:$S$987,"44652A4AzulNão se aplicaNão se aplicaAPENão se aplicaPonta",Mercado_Receita!$J$2:$J$987)</f>
        <v>15211</v>
      </c>
      <c r="T12" s="12">
        <f>SUMIF(Mercado_Receita!$S$2:$S$987,"44682A4AzulNão se aplicaNão se aplicaNão se aplicaNão se aplicaPonta",Mercado_Receita!$J$2:$J$987)+SUMIF(Mercado_Receita!$S$2:$S$987,"44682A4AzulNão se aplicaNão se aplicaAPENão se aplicaPonta",Mercado_Receita!$J$2:$J$987)</f>
        <v>14730</v>
      </c>
      <c r="U12" s="12">
        <f t="shared" si="0"/>
        <v>176625</v>
      </c>
      <c r="V12" s="12"/>
      <c r="W12" s="12"/>
    </row>
    <row r="13" spans="1:30" ht="11.25" customHeight="1" x14ac:dyDescent="0.25">
      <c r="A13" s="132"/>
      <c r="B13" s="132"/>
      <c r="C13" s="132"/>
      <c r="D13" s="132"/>
      <c r="E13" s="132"/>
      <c r="F13" s="132"/>
      <c r="G13" s="12" t="s">
        <v>78</v>
      </c>
      <c r="H13" s="12" t="s">
        <v>76</v>
      </c>
      <c r="I13" s="12">
        <f>SUMIF(Mercado_Receita!$S$2:$S$987,"44348A4AzulNão se aplicaNão se aplicaNão se aplicaNão se aplicaFora ponta",Mercado_Receita!$J$2:$J$987)+SUMIF(Mercado_Receita!$S$2:$S$987,"44348A4AzulNão se aplicaNão se aplicaAPENão se aplicaFora ponta",Mercado_Receita!$J$2:$J$987)</f>
        <v>15375</v>
      </c>
      <c r="J13" s="12">
        <f>SUMIF(Mercado_Receita!$S$2:$S$987,"44378A4AzulNão se aplicaNão se aplicaNão se aplicaNão se aplicaFora ponta",Mercado_Receita!$J$2:$J$987)+SUMIF(Mercado_Receita!$S$2:$S$987,"44378A4AzulNão se aplicaNão se aplicaAPENão se aplicaFora ponta",Mercado_Receita!$J$2:$J$987)</f>
        <v>15298</v>
      </c>
      <c r="K13" s="12">
        <f>SUMIF(Mercado_Receita!$S$2:$S$987,"44409A4AzulNão se aplicaNão se aplicaNão se aplicaNão se aplicaFora ponta",Mercado_Receita!$J$2:$J$987)+SUMIF(Mercado_Receita!$S$2:$S$987,"44409A4AzulNão se aplicaNão se aplicaAPENão se aplicaFora ponta",Mercado_Receita!$J$2:$J$987)</f>
        <v>15300</v>
      </c>
      <c r="L13" s="12">
        <f>SUMIF(Mercado_Receita!$S$2:$S$987,"44440A4AzulNão se aplicaNão se aplicaNão se aplicaNão se aplicaFora ponta",Mercado_Receita!$J$2:$J$987)+SUMIF(Mercado_Receita!$S$2:$S$987,"44440A4AzulNão se aplicaNão se aplicaAPENão se aplicaFora ponta",Mercado_Receita!$J$2:$J$987)</f>
        <v>15792</v>
      </c>
      <c r="M13" s="12">
        <f>SUMIF(Mercado_Receita!$S$2:$S$987,"44470A4AzulNão se aplicaNão se aplicaNão se aplicaNão se aplicaFora ponta",Mercado_Receita!$J$2:$J$987)+SUMIF(Mercado_Receita!$S$2:$S$987,"44470A4AzulNão se aplicaNão se aplicaAPENão se aplicaFora ponta",Mercado_Receita!$J$2:$J$987)</f>
        <v>15882</v>
      </c>
      <c r="N13" s="12">
        <f>SUMIF(Mercado_Receita!$S$2:$S$987,"44501A4AzulNão se aplicaNão se aplicaNão se aplicaNão se aplicaFora ponta",Mercado_Receita!$J$2:$J$987)+SUMIF(Mercado_Receita!$S$2:$S$987,"44501A4AzulNão se aplicaNão se aplicaAPENão se aplicaFora ponta",Mercado_Receita!$J$2:$J$987)</f>
        <v>15855</v>
      </c>
      <c r="O13" s="12">
        <f>SUMIF(Mercado_Receita!$S$2:$S$987,"44531A4AzulNão se aplicaNão se aplicaNão se aplicaNão se aplicaFora ponta",Mercado_Receita!$J$2:$J$987)+SUMIF(Mercado_Receita!$S$2:$S$987,"44531A4AzulNão se aplicaNão se aplicaAPENão se aplicaFora ponta",Mercado_Receita!$J$2:$J$987)</f>
        <v>16007</v>
      </c>
      <c r="P13" s="12">
        <f>SUMIF(Mercado_Receita!$S$2:$S$987,"44562A4AzulNão se aplicaNão se aplicaNão se aplicaNão se aplicaFora ponta",Mercado_Receita!$J$2:$J$987)+SUMIF(Mercado_Receita!$S$2:$S$987,"44562A4AzulNão se aplicaNão se aplicaAPENão se aplicaFora ponta",Mercado_Receita!$J$2:$J$987)</f>
        <v>15749</v>
      </c>
      <c r="Q13" s="12">
        <f>SUMIF(Mercado_Receita!$S$2:$S$987,"44593A4AzulNão se aplicaNão se aplicaNão se aplicaNão se aplicaFora ponta",Mercado_Receita!$J$2:$J$987)+SUMIF(Mercado_Receita!$S$2:$S$987,"44593A4AzulNão se aplicaNão se aplicaAPENão se aplicaFora ponta",Mercado_Receita!$J$2:$J$987)</f>
        <v>15251</v>
      </c>
      <c r="R13" s="12">
        <f>SUMIF(Mercado_Receita!$S$2:$S$987,"44621A4AzulNão se aplicaNão se aplicaNão se aplicaNão se aplicaFora ponta",Mercado_Receita!$J$2:$J$987)+SUMIF(Mercado_Receita!$S$2:$S$987,"44621A4AzulNão se aplicaNão se aplicaAPENão se aplicaFora ponta",Mercado_Receita!$J$2:$J$987)</f>
        <v>15760</v>
      </c>
      <c r="S13" s="12">
        <f>SUMIF(Mercado_Receita!$S$2:$S$987,"44652A4AzulNão se aplicaNão se aplicaNão se aplicaNão se aplicaFora ponta",Mercado_Receita!$J$2:$J$987)+SUMIF(Mercado_Receita!$S$2:$S$987,"44652A4AzulNão se aplicaNão se aplicaAPENão se aplicaFora ponta",Mercado_Receita!$J$2:$J$987)</f>
        <v>15979</v>
      </c>
      <c r="T13" s="12">
        <f>SUMIF(Mercado_Receita!$S$2:$S$987,"44682A4AzulNão se aplicaNão se aplicaNão se aplicaNão se aplicaFora ponta",Mercado_Receita!$J$2:$J$987)+SUMIF(Mercado_Receita!$S$2:$S$987,"44682A4AzulNão se aplicaNão se aplicaAPENão se aplicaFora ponta",Mercado_Receita!$J$2:$J$987)</f>
        <v>15597</v>
      </c>
      <c r="U13" s="12">
        <f t="shared" si="0"/>
        <v>187845</v>
      </c>
      <c r="V13" s="12"/>
      <c r="W13" s="12"/>
    </row>
    <row r="14" spans="1:30" ht="11.25" customHeight="1" x14ac:dyDescent="0.25">
      <c r="A14" s="132"/>
      <c r="B14" s="132"/>
      <c r="C14" s="132"/>
      <c r="D14" s="132"/>
      <c r="E14" s="132"/>
      <c r="F14" s="132"/>
      <c r="G14" s="12" t="s">
        <v>75</v>
      </c>
      <c r="H14" s="12" t="s">
        <v>71</v>
      </c>
      <c r="I14" s="12">
        <f>SUMIF(Mercado_Receita!$S$2:$S$987,"44348A4AzulNão se aplicaNão se aplicaNão se aplicaNão se aplicaPonta",Mercado_Receita!$L$2:$L$987)+SUMIF(Mercado_Receita!$S$2:$S$987,"44348A4AzulNão se aplicaNão se aplicaNão se aplicaNão se aplicaFora ponta",Mercado_Receita!$L$2:$L$987)+SUMIF(Mercado_Receita!$S$2:$S$987,"44348A4AzulNão se aplicaNão se aplicaNão se aplicaNão se aplicaIntermediário",Mercado_Receita!$L$2:$L$987)+SUMIF(Mercado_Receita!$S$2:$S$987,"44348A4AzulNão se aplicaNão se aplicaNão se aplicaNão se aplicaNão se aplica",Mercado_Receita!$L$2:$L$987)</f>
        <v>8608.26</v>
      </c>
      <c r="J14" s="12">
        <f>SUMIF(Mercado_Receita!$S$2:$S$987,"44378A4AzulNão se aplicaNão se aplicaNão se aplicaNão se aplicaPonta",Mercado_Receita!$L$2:$L$987)+SUMIF(Mercado_Receita!$S$2:$S$987,"44378A4AzulNão se aplicaNão se aplicaNão se aplicaNão se aplicaFora ponta",Mercado_Receita!$L$2:$L$987)+SUMIF(Mercado_Receita!$S$2:$S$987,"44378A4AzulNão se aplicaNão se aplicaNão se aplicaNão se aplicaIntermediário",Mercado_Receita!$L$2:$L$987)+SUMIF(Mercado_Receita!$S$2:$S$987,"44378A4AzulNão se aplicaNão se aplicaNão se aplicaNão se aplicaNão se aplica",Mercado_Receita!$L$2:$L$987)</f>
        <v>8258.1520000000019</v>
      </c>
      <c r="K14" s="12">
        <f>SUMIF(Mercado_Receita!$S$2:$S$987,"44409A4AzulNão se aplicaNão se aplicaNão se aplicaNão se aplicaPonta",Mercado_Receita!$L$2:$L$987)+SUMIF(Mercado_Receita!$S$2:$S$987,"44409A4AzulNão se aplicaNão se aplicaNão se aplicaNão se aplicaFora ponta",Mercado_Receita!$L$2:$L$987)+SUMIF(Mercado_Receita!$S$2:$S$987,"44409A4AzulNão se aplicaNão se aplicaNão se aplicaNão se aplicaIntermediário",Mercado_Receita!$L$2:$L$987)+SUMIF(Mercado_Receita!$S$2:$S$987,"44409A4AzulNão se aplicaNão se aplicaNão se aplicaNão se aplicaNão se aplica",Mercado_Receita!$L$2:$L$987)</f>
        <v>8298.8419999999987</v>
      </c>
      <c r="L14" s="12">
        <f>SUMIF(Mercado_Receita!$S$2:$S$987,"44440A4AzulNão se aplicaNão se aplicaNão se aplicaNão se aplicaPonta",Mercado_Receita!$L$2:$L$987)+SUMIF(Mercado_Receita!$S$2:$S$987,"44440A4AzulNão se aplicaNão se aplicaNão se aplicaNão se aplicaFora ponta",Mercado_Receita!$L$2:$L$987)+SUMIF(Mercado_Receita!$S$2:$S$987,"44440A4AzulNão se aplicaNão se aplicaNão se aplicaNão se aplicaIntermediário",Mercado_Receita!$L$2:$L$987)+SUMIF(Mercado_Receita!$S$2:$S$987,"44440A4AzulNão se aplicaNão se aplicaNão se aplicaNão se aplicaNão se aplica",Mercado_Receita!$L$2:$L$987)</f>
        <v>8905.4470000000001</v>
      </c>
      <c r="M14" s="12">
        <f>SUMIF(Mercado_Receita!$S$2:$S$987,"44470A4AzulNão se aplicaNão se aplicaNão se aplicaNão se aplicaPonta",Mercado_Receita!$L$2:$L$987)+SUMIF(Mercado_Receita!$S$2:$S$987,"44470A4AzulNão se aplicaNão se aplicaNão se aplicaNão se aplicaFora ponta",Mercado_Receita!$L$2:$L$987)+SUMIF(Mercado_Receita!$S$2:$S$987,"44470A4AzulNão se aplicaNão se aplicaNão se aplicaNão se aplicaIntermediário",Mercado_Receita!$L$2:$L$987)+SUMIF(Mercado_Receita!$S$2:$S$987,"44470A4AzulNão se aplicaNão se aplicaNão se aplicaNão se aplicaNão se aplica",Mercado_Receita!$L$2:$L$987)</f>
        <v>8875.1749999999993</v>
      </c>
      <c r="N14" s="12">
        <f>SUMIF(Mercado_Receita!$S$2:$S$987,"44501A4AzulNão se aplicaNão se aplicaNão se aplicaNão se aplicaPonta",Mercado_Receita!$L$2:$L$987)+SUMIF(Mercado_Receita!$S$2:$S$987,"44501A4AzulNão se aplicaNão se aplicaNão se aplicaNão se aplicaFora ponta",Mercado_Receita!$L$2:$L$987)+SUMIF(Mercado_Receita!$S$2:$S$987,"44501A4AzulNão se aplicaNão se aplicaNão se aplicaNão se aplicaIntermediário",Mercado_Receita!$L$2:$L$987)+SUMIF(Mercado_Receita!$S$2:$S$987,"44501A4AzulNão se aplicaNão se aplicaNão se aplicaNão se aplicaNão se aplica",Mercado_Receita!$L$2:$L$987)</f>
        <v>9130.9980000000014</v>
      </c>
      <c r="O14" s="12">
        <f>SUMIF(Mercado_Receita!$S$2:$S$987,"44531A4AzulNão se aplicaNão se aplicaNão se aplicaNão se aplicaPonta",Mercado_Receita!$L$2:$L$987)+SUMIF(Mercado_Receita!$S$2:$S$987,"44531A4AzulNão se aplicaNão se aplicaNão se aplicaNão se aplicaFora ponta",Mercado_Receita!$L$2:$L$987)+SUMIF(Mercado_Receita!$S$2:$S$987,"44531A4AzulNão se aplicaNão se aplicaNão se aplicaNão se aplicaIntermediário",Mercado_Receita!$L$2:$L$987)+SUMIF(Mercado_Receita!$S$2:$S$987,"44531A4AzulNão se aplicaNão se aplicaNão se aplicaNão se aplicaNão se aplica",Mercado_Receita!$L$2:$L$987)</f>
        <v>8706.6929999999993</v>
      </c>
      <c r="P14" s="12">
        <f>SUMIF(Mercado_Receita!$S$2:$S$987,"44562A4AzulNão se aplicaNão se aplicaNão se aplicaNão se aplicaPonta",Mercado_Receita!$L$2:$L$987)+SUMIF(Mercado_Receita!$S$2:$S$987,"44562A4AzulNão se aplicaNão se aplicaNão se aplicaNão se aplicaFora ponta",Mercado_Receita!$L$2:$L$987)+SUMIF(Mercado_Receita!$S$2:$S$987,"44562A4AzulNão se aplicaNão se aplicaNão se aplicaNão se aplicaIntermediário",Mercado_Receita!$L$2:$L$987)+SUMIF(Mercado_Receita!$S$2:$S$987,"44562A4AzulNão se aplicaNão se aplicaNão se aplicaNão se aplicaNão se aplica",Mercado_Receita!$L$2:$L$987)</f>
        <v>8544.6750000000011</v>
      </c>
      <c r="Q14" s="12">
        <f>SUMIF(Mercado_Receita!$S$2:$S$987,"44593A4AzulNão se aplicaNão se aplicaNão se aplicaNão se aplicaPonta",Mercado_Receita!$L$2:$L$987)+SUMIF(Mercado_Receita!$S$2:$S$987,"44593A4AzulNão se aplicaNão se aplicaNão se aplicaNão se aplicaFora ponta",Mercado_Receita!$L$2:$L$987)+SUMIF(Mercado_Receita!$S$2:$S$987,"44593A4AzulNão se aplicaNão se aplicaNão se aplicaNão se aplicaIntermediário",Mercado_Receita!$L$2:$L$987)+SUMIF(Mercado_Receita!$S$2:$S$987,"44593A4AzulNão se aplicaNão se aplicaNão se aplicaNão se aplicaNão se aplica",Mercado_Receita!$L$2:$L$987)</f>
        <v>8644.7780000000002</v>
      </c>
      <c r="R14" s="12">
        <f>SUMIF(Mercado_Receita!$S$2:$S$987,"44621A4AzulNão se aplicaNão se aplicaNão se aplicaNão se aplicaPonta",Mercado_Receita!$L$2:$L$987)+SUMIF(Mercado_Receita!$S$2:$S$987,"44621A4AzulNão se aplicaNão se aplicaNão se aplicaNão se aplicaFora ponta",Mercado_Receita!$L$2:$L$987)+SUMIF(Mercado_Receita!$S$2:$S$987,"44621A4AzulNão se aplicaNão se aplicaNão se aplicaNão se aplicaIntermediário",Mercado_Receita!$L$2:$L$987)+SUMIF(Mercado_Receita!$S$2:$S$987,"44621A4AzulNão se aplicaNão se aplicaNão se aplicaNão se aplicaNão se aplica",Mercado_Receita!$L$2:$L$987)</f>
        <v>8004.13</v>
      </c>
      <c r="S14" s="12">
        <f>SUMIF(Mercado_Receita!$S$2:$S$987,"44652A4AzulNão se aplicaNão se aplicaNão se aplicaNão se aplicaPonta",Mercado_Receita!$L$2:$L$987)+SUMIF(Mercado_Receita!$S$2:$S$987,"44652A4AzulNão se aplicaNão se aplicaNão se aplicaNão se aplicaFora ponta",Mercado_Receita!$L$2:$L$987)+SUMIF(Mercado_Receita!$S$2:$S$987,"44652A4AzulNão se aplicaNão se aplicaNão se aplicaNão se aplicaIntermediário",Mercado_Receita!$L$2:$L$987)+SUMIF(Mercado_Receita!$S$2:$S$987,"44652A4AzulNão se aplicaNão se aplicaNão se aplicaNão se aplicaNão se aplica",Mercado_Receita!$L$2:$L$987)</f>
        <v>8766.1039999999975</v>
      </c>
      <c r="T14" s="12">
        <f>SUMIF(Mercado_Receita!$S$2:$S$987,"44682A4AzulNão se aplicaNão se aplicaNão se aplicaNão se aplicaPonta",Mercado_Receita!$L$2:$L$987)+SUMIF(Mercado_Receita!$S$2:$S$987,"44682A4AzulNão se aplicaNão se aplicaNão se aplicaNão se aplicaFora ponta",Mercado_Receita!$L$2:$L$987)+SUMIF(Mercado_Receita!$S$2:$S$987,"44682A4AzulNão se aplicaNão se aplicaNão se aplicaNão se aplicaIntermediário",Mercado_Receita!$L$2:$L$987)+SUMIF(Mercado_Receita!$S$2:$S$987,"44682A4AzulNão se aplicaNão se aplicaNão se aplicaNão se aplicaNão se aplica",Mercado_Receita!$L$2:$L$987)</f>
        <v>8008.6639999999998</v>
      </c>
      <c r="U14" s="12">
        <f t="shared" si="0"/>
        <v>102751.91800000001</v>
      </c>
      <c r="V14" s="12"/>
      <c r="W14" s="12"/>
    </row>
    <row r="15" spans="1:30" ht="11.25" customHeight="1" x14ac:dyDescent="0.25">
      <c r="A15" s="132"/>
      <c r="B15" s="132"/>
      <c r="C15" s="132"/>
      <c r="D15" s="132"/>
      <c r="E15" s="13" t="s">
        <v>79</v>
      </c>
      <c r="F15" s="13" t="s">
        <v>25</v>
      </c>
      <c r="G15" s="12" t="s">
        <v>75</v>
      </c>
      <c r="H15" s="12" t="s">
        <v>71</v>
      </c>
      <c r="I15" s="12">
        <f>SUMIF(Mercado_Receita!$S$2:$S$987,"44348A4AzulNão se aplicaNão se aplicaAPENão se aplicaPonta",Mercado_Receita!$L$2:$L$987)+SUMIF(Mercado_Receita!$S$2:$S$987,"44348A4AzulNão se aplicaNão se aplicaAPENão se aplicaFora ponta",Mercado_Receita!$L$2:$L$987)+SUMIF(Mercado_Receita!$S$2:$S$987,"44348A4AzulNão se aplicaNão se aplicaAPENão se aplicaIntermediário",Mercado_Receita!$L$2:$L$987)+SUMIF(Mercado_Receita!$S$2:$S$987,"44348A4AzulNão se aplicaNão se aplicaAPENão se aplicaNão se aplica",Mercado_Receita!$L$2:$L$987)</f>
        <v>0</v>
      </c>
      <c r="J15" s="12">
        <f>SUMIF(Mercado_Receita!$S$2:$S$987,"44378A4AzulNão se aplicaNão se aplicaAPENão se aplicaPonta",Mercado_Receita!$L$2:$L$987)+SUMIF(Mercado_Receita!$S$2:$S$987,"44378A4AzulNão se aplicaNão se aplicaAPENão se aplicaFora ponta",Mercado_Receita!$L$2:$L$987)+SUMIF(Mercado_Receita!$S$2:$S$987,"44378A4AzulNão se aplicaNão se aplicaAPENão se aplicaIntermediário",Mercado_Receita!$L$2:$L$987)+SUMIF(Mercado_Receita!$S$2:$S$987,"44378A4AzulNão se aplicaNão se aplicaAPENão se aplicaNão se aplica",Mercado_Receita!$L$2:$L$987)</f>
        <v>0</v>
      </c>
      <c r="K15" s="12">
        <f>SUMIF(Mercado_Receita!$S$2:$S$987,"44409A4AzulNão se aplicaNão se aplicaAPENão se aplicaPonta",Mercado_Receita!$L$2:$L$987)+SUMIF(Mercado_Receita!$S$2:$S$987,"44409A4AzulNão se aplicaNão se aplicaAPENão se aplicaFora ponta",Mercado_Receita!$L$2:$L$987)+SUMIF(Mercado_Receita!$S$2:$S$987,"44409A4AzulNão se aplicaNão se aplicaAPENão se aplicaIntermediário",Mercado_Receita!$L$2:$L$987)+SUMIF(Mercado_Receita!$S$2:$S$987,"44409A4AzulNão se aplicaNão se aplicaAPENão se aplicaNão se aplica",Mercado_Receita!$L$2:$L$987)</f>
        <v>0</v>
      </c>
      <c r="L15" s="12">
        <f>SUMIF(Mercado_Receita!$S$2:$S$987,"44440A4AzulNão se aplicaNão se aplicaAPENão se aplicaPonta",Mercado_Receita!$L$2:$L$987)+SUMIF(Mercado_Receita!$S$2:$S$987,"44440A4AzulNão se aplicaNão se aplicaAPENão se aplicaFora ponta",Mercado_Receita!$L$2:$L$987)+SUMIF(Mercado_Receita!$S$2:$S$987,"44440A4AzulNão se aplicaNão se aplicaAPENão se aplicaIntermediário",Mercado_Receita!$L$2:$L$987)+SUMIF(Mercado_Receita!$S$2:$S$987,"44440A4AzulNão se aplicaNão se aplicaAPENão se aplicaNão se aplica",Mercado_Receita!$L$2:$L$987)</f>
        <v>0</v>
      </c>
      <c r="M15" s="12">
        <f>SUMIF(Mercado_Receita!$S$2:$S$987,"44470A4AzulNão se aplicaNão se aplicaAPENão se aplicaPonta",Mercado_Receita!$L$2:$L$987)+SUMIF(Mercado_Receita!$S$2:$S$987,"44470A4AzulNão se aplicaNão se aplicaAPENão se aplicaFora ponta",Mercado_Receita!$L$2:$L$987)+SUMIF(Mercado_Receita!$S$2:$S$987,"44470A4AzulNão se aplicaNão se aplicaAPENão se aplicaIntermediário",Mercado_Receita!$L$2:$L$987)+SUMIF(Mercado_Receita!$S$2:$S$987,"44470A4AzulNão se aplicaNão se aplicaAPENão se aplicaNão se aplica",Mercado_Receita!$L$2:$L$987)</f>
        <v>0</v>
      </c>
      <c r="N15" s="12">
        <f>SUMIF(Mercado_Receita!$S$2:$S$987,"44501A4AzulNão se aplicaNão se aplicaAPENão se aplicaPonta",Mercado_Receita!$L$2:$L$987)+SUMIF(Mercado_Receita!$S$2:$S$987,"44501A4AzulNão se aplicaNão se aplicaAPENão se aplicaFora ponta",Mercado_Receita!$L$2:$L$987)+SUMIF(Mercado_Receita!$S$2:$S$987,"44501A4AzulNão se aplicaNão se aplicaAPENão se aplicaIntermediário",Mercado_Receita!$L$2:$L$987)+SUMIF(Mercado_Receita!$S$2:$S$987,"44501A4AzulNão se aplicaNão se aplicaAPENão se aplicaNão se aplica",Mercado_Receita!$L$2:$L$987)</f>
        <v>0</v>
      </c>
      <c r="O15" s="12">
        <f>SUMIF(Mercado_Receita!$S$2:$S$987,"44531A4AzulNão se aplicaNão se aplicaAPENão se aplicaPonta",Mercado_Receita!$L$2:$L$987)+SUMIF(Mercado_Receita!$S$2:$S$987,"44531A4AzulNão se aplicaNão se aplicaAPENão se aplicaFora ponta",Mercado_Receita!$L$2:$L$987)+SUMIF(Mercado_Receita!$S$2:$S$987,"44531A4AzulNão se aplicaNão se aplicaAPENão se aplicaIntermediário",Mercado_Receita!$L$2:$L$987)+SUMIF(Mercado_Receita!$S$2:$S$987,"44531A4AzulNão se aplicaNão se aplicaAPENão se aplicaNão se aplica",Mercado_Receita!$L$2:$L$987)</f>
        <v>0</v>
      </c>
      <c r="P15" s="12">
        <f>SUMIF(Mercado_Receita!$S$2:$S$987,"44562A4AzulNão se aplicaNão se aplicaAPENão se aplicaPonta",Mercado_Receita!$L$2:$L$987)+SUMIF(Mercado_Receita!$S$2:$S$987,"44562A4AzulNão se aplicaNão se aplicaAPENão se aplicaFora ponta",Mercado_Receita!$L$2:$L$987)+SUMIF(Mercado_Receita!$S$2:$S$987,"44562A4AzulNão se aplicaNão se aplicaAPENão se aplicaIntermediário",Mercado_Receita!$L$2:$L$987)+SUMIF(Mercado_Receita!$S$2:$S$987,"44562A4AzulNão se aplicaNão se aplicaAPENão se aplicaNão se aplica",Mercado_Receita!$L$2:$L$987)</f>
        <v>0</v>
      </c>
      <c r="Q15" s="12">
        <f>SUMIF(Mercado_Receita!$S$2:$S$987,"44593A4AzulNão se aplicaNão se aplicaAPENão se aplicaPonta",Mercado_Receita!$L$2:$L$987)+SUMIF(Mercado_Receita!$S$2:$S$987,"44593A4AzulNão se aplicaNão se aplicaAPENão se aplicaFora ponta",Mercado_Receita!$L$2:$L$987)+SUMIF(Mercado_Receita!$S$2:$S$987,"44593A4AzulNão se aplicaNão se aplicaAPENão se aplicaIntermediário",Mercado_Receita!$L$2:$L$987)+SUMIF(Mercado_Receita!$S$2:$S$987,"44593A4AzulNão se aplicaNão se aplicaAPENão se aplicaNão se aplica",Mercado_Receita!$L$2:$L$987)</f>
        <v>0</v>
      </c>
      <c r="R15" s="12">
        <f>SUMIF(Mercado_Receita!$S$2:$S$987,"44621A4AzulNão se aplicaNão se aplicaAPENão se aplicaPonta",Mercado_Receita!$L$2:$L$987)+SUMIF(Mercado_Receita!$S$2:$S$987,"44621A4AzulNão se aplicaNão se aplicaAPENão se aplicaFora ponta",Mercado_Receita!$L$2:$L$987)+SUMIF(Mercado_Receita!$S$2:$S$987,"44621A4AzulNão se aplicaNão se aplicaAPENão se aplicaIntermediário",Mercado_Receita!$L$2:$L$987)+SUMIF(Mercado_Receita!$S$2:$S$987,"44621A4AzulNão se aplicaNão se aplicaAPENão se aplicaNão se aplica",Mercado_Receita!$L$2:$L$987)</f>
        <v>0</v>
      </c>
      <c r="S15" s="12">
        <f>SUMIF(Mercado_Receita!$S$2:$S$987,"44652A4AzulNão se aplicaNão se aplicaAPENão se aplicaPonta",Mercado_Receita!$L$2:$L$987)+SUMIF(Mercado_Receita!$S$2:$S$987,"44652A4AzulNão se aplicaNão se aplicaAPENão se aplicaFora ponta",Mercado_Receita!$L$2:$L$987)+SUMIF(Mercado_Receita!$S$2:$S$987,"44652A4AzulNão se aplicaNão se aplicaAPENão se aplicaIntermediário",Mercado_Receita!$L$2:$L$987)+SUMIF(Mercado_Receita!$S$2:$S$987,"44652A4AzulNão se aplicaNão se aplicaAPENão se aplicaNão se aplica",Mercado_Receita!$L$2:$L$987)</f>
        <v>0</v>
      </c>
      <c r="T15" s="12">
        <f>SUMIF(Mercado_Receita!$S$2:$S$987,"44682A4AzulNão se aplicaNão se aplicaAPENão se aplicaPonta",Mercado_Receita!$L$2:$L$987)+SUMIF(Mercado_Receita!$S$2:$S$987,"44682A4AzulNão se aplicaNão se aplicaAPENão se aplicaFora ponta",Mercado_Receita!$L$2:$L$987)+SUMIF(Mercado_Receita!$S$2:$S$987,"44682A4AzulNão se aplicaNão se aplicaAPENão se aplicaIntermediário",Mercado_Receita!$L$2:$L$987)+SUMIF(Mercado_Receita!$S$2:$S$987,"44682A4AzulNão se aplicaNão se aplicaAPENão se aplicaNão se aplica",Mercado_Receita!$L$2:$L$987)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32"/>
      <c r="B16" s="13" t="s">
        <v>80</v>
      </c>
      <c r="C16" s="13" t="s">
        <v>25</v>
      </c>
      <c r="D16" s="13" t="s">
        <v>25</v>
      </c>
      <c r="E16" s="13" t="s">
        <v>25</v>
      </c>
      <c r="F16" s="13" t="s">
        <v>25</v>
      </c>
      <c r="G16" s="12" t="s">
        <v>9</v>
      </c>
      <c r="H16" s="12" t="s">
        <v>76</v>
      </c>
      <c r="I16" s="12">
        <f>SUMIF(Mercado_Receita!$S$2:$S$987,"44348A4GeraçãoNão se aplicaNão se aplicaNão se aplicaNão se aplicaNão se aplica",Mercado_Receita!$J$2:$J$987)+SUMIF(Mercado_Receita!$S$2:$S$987,"44348A4GeraçãoNão se aplicaNão se aplicaAPENão se aplicaNão se aplica",Mercado_Receita!$J$2:$J$987)</f>
        <v>0</v>
      </c>
      <c r="J16" s="12">
        <f>SUMIF(Mercado_Receita!$S$2:$S$987,"44378A4GeraçãoNão se aplicaNão se aplicaNão se aplicaNão se aplicaNão se aplica",Mercado_Receita!$J$2:$J$987)+SUMIF(Mercado_Receita!$S$2:$S$987,"44378A4GeraçãoNão se aplicaNão se aplicaAPENão se aplicaNão se aplica",Mercado_Receita!$J$2:$J$987)</f>
        <v>0</v>
      </c>
      <c r="K16" s="12">
        <f>SUMIF(Mercado_Receita!$S$2:$S$987,"44409A4GeraçãoNão se aplicaNão se aplicaNão se aplicaNão se aplicaNão se aplica",Mercado_Receita!$J$2:$J$987)+SUMIF(Mercado_Receita!$S$2:$S$987,"44409A4GeraçãoNão se aplicaNão se aplicaAPENão se aplicaNão se aplica",Mercado_Receita!$J$2:$J$987)</f>
        <v>0</v>
      </c>
      <c r="L16" s="12">
        <f>SUMIF(Mercado_Receita!$S$2:$S$987,"44440A4GeraçãoNão se aplicaNão se aplicaNão se aplicaNão se aplicaNão se aplica",Mercado_Receita!$J$2:$J$987)+SUMIF(Mercado_Receita!$S$2:$S$987,"44440A4GeraçãoNão se aplicaNão se aplicaAPENão se aplicaNão se aplica",Mercado_Receita!$J$2:$J$987)</f>
        <v>0</v>
      </c>
      <c r="M16" s="12">
        <f>SUMIF(Mercado_Receita!$S$2:$S$987,"44470A4GeraçãoNão se aplicaNão se aplicaNão se aplicaNão se aplicaNão se aplica",Mercado_Receita!$J$2:$J$987)+SUMIF(Mercado_Receita!$S$2:$S$987,"44470A4GeraçãoNão se aplicaNão se aplicaAPENão se aplicaNão se aplica",Mercado_Receita!$J$2:$J$987)</f>
        <v>0</v>
      </c>
      <c r="N16" s="12">
        <f>SUMIF(Mercado_Receita!$S$2:$S$987,"44501A4GeraçãoNão se aplicaNão se aplicaNão se aplicaNão se aplicaNão se aplica",Mercado_Receita!$J$2:$J$987)+SUMIF(Mercado_Receita!$S$2:$S$987,"44501A4GeraçãoNão se aplicaNão se aplicaAPENão se aplicaNão se aplica",Mercado_Receita!$J$2:$J$987)</f>
        <v>0</v>
      </c>
      <c r="O16" s="12">
        <f>SUMIF(Mercado_Receita!$S$2:$S$987,"44531A4GeraçãoNão se aplicaNão se aplicaNão se aplicaNão se aplicaNão se aplica",Mercado_Receita!$J$2:$J$987)+SUMIF(Mercado_Receita!$S$2:$S$987,"44531A4GeraçãoNão se aplicaNão se aplicaAPENão se aplicaNão se aplica",Mercado_Receita!$J$2:$J$987)</f>
        <v>0</v>
      </c>
      <c r="P16" s="12">
        <f>SUMIF(Mercado_Receita!$S$2:$S$987,"44562A4GeraçãoNão se aplicaNão se aplicaNão se aplicaNão se aplicaNão se aplica",Mercado_Receita!$J$2:$J$987)+SUMIF(Mercado_Receita!$S$2:$S$987,"44562A4GeraçãoNão se aplicaNão se aplicaAPENão se aplicaNão se aplica",Mercado_Receita!$J$2:$J$987)</f>
        <v>0</v>
      </c>
      <c r="Q16" s="12">
        <f>SUMIF(Mercado_Receita!$S$2:$S$987,"44593A4GeraçãoNão se aplicaNão se aplicaNão se aplicaNão se aplicaNão se aplica",Mercado_Receita!$J$2:$J$987)+SUMIF(Mercado_Receita!$S$2:$S$987,"44593A4GeraçãoNão se aplicaNão se aplicaAPENão se aplicaNão se aplica",Mercado_Receita!$J$2:$J$987)</f>
        <v>0</v>
      </c>
      <c r="R16" s="12">
        <f>SUMIF(Mercado_Receita!$S$2:$S$987,"44621A4GeraçãoNão se aplicaNão se aplicaNão se aplicaNão se aplicaNão se aplica",Mercado_Receita!$J$2:$J$987)+SUMIF(Mercado_Receita!$S$2:$S$987,"44621A4GeraçãoNão se aplicaNão se aplicaAPENão se aplicaNão se aplica",Mercado_Receita!$J$2:$J$987)</f>
        <v>0</v>
      </c>
      <c r="S16" s="12">
        <f>SUMIF(Mercado_Receita!$S$2:$S$987,"44652A4GeraçãoNão se aplicaNão se aplicaNão se aplicaNão se aplicaNão se aplica",Mercado_Receita!$J$2:$J$987)+SUMIF(Mercado_Receita!$S$2:$S$987,"44652A4GeraçãoNão se aplicaNão se aplicaAPENão se aplicaNão se aplica",Mercado_Receita!$J$2:$J$987)</f>
        <v>0</v>
      </c>
      <c r="T16" s="12">
        <f>SUMIF(Mercado_Receita!$S$2:$S$987,"44682A4GeraçãoNão se aplicaNão se aplicaNão se aplicaNão se aplicaNão se aplica",Mercado_Receita!$J$2:$J$987)+SUMIF(Mercado_Receita!$S$2:$S$987,"44682A4GeraçãoNão se aplicaNão se aplicaAPENão se aplicaNão se aplica",Mercado_Receita!$J$2:$J$987)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32"/>
      <c r="B17" s="131" t="s">
        <v>34</v>
      </c>
      <c r="C17" s="131" t="s">
        <v>25</v>
      </c>
      <c r="D17" s="131" t="s">
        <v>25</v>
      </c>
      <c r="E17" s="131" t="s">
        <v>25</v>
      </c>
      <c r="F17" s="131" t="s">
        <v>25</v>
      </c>
      <c r="G17" s="12" t="s">
        <v>9</v>
      </c>
      <c r="H17" s="12" t="s">
        <v>76</v>
      </c>
      <c r="I17" s="12">
        <f>SUMIF(Mercado_Receita!$S$2:$S$987,"44348A4VerdeNão se aplicaNão se aplicaNão se aplicaNão se aplicaNão se aplica",Mercado_Receita!$J$2:$J$987)+SUMIF(Mercado_Receita!$S$2:$S$987,"44348A4VerdeNão se aplicaNão se aplicaAPENão se aplicaNão se aplica",Mercado_Receita!$J$2:$J$987)</f>
        <v>33812</v>
      </c>
      <c r="J17" s="12">
        <f>SUMIF(Mercado_Receita!$S$2:$S$987,"44378A4VerdeNão se aplicaNão se aplicaNão se aplicaNão se aplicaNão se aplica",Mercado_Receita!$J$2:$J$987)+SUMIF(Mercado_Receita!$S$2:$S$987,"44378A4VerdeNão se aplicaNão se aplicaAPENão se aplicaNão se aplica",Mercado_Receita!$J$2:$J$987)</f>
        <v>33823</v>
      </c>
      <c r="K17" s="12">
        <f>SUMIF(Mercado_Receita!$S$2:$S$987,"44409A4VerdeNão se aplicaNão se aplicaNão se aplicaNão se aplicaNão se aplica",Mercado_Receita!$J$2:$J$987)+SUMIF(Mercado_Receita!$S$2:$S$987,"44409A4VerdeNão se aplicaNão se aplicaAPENão se aplicaNão se aplica",Mercado_Receita!$J$2:$J$987)</f>
        <v>33819</v>
      </c>
      <c r="L17" s="12">
        <f>SUMIF(Mercado_Receita!$S$2:$S$987,"44440A4VerdeNão se aplicaNão se aplicaNão se aplicaNão se aplicaNão se aplica",Mercado_Receita!$J$2:$J$987)+SUMIF(Mercado_Receita!$S$2:$S$987,"44440A4VerdeNão se aplicaNão se aplicaAPENão se aplicaNão se aplica",Mercado_Receita!$J$2:$J$987)</f>
        <v>32592</v>
      </c>
      <c r="M17" s="12">
        <f>SUMIF(Mercado_Receita!$S$2:$S$987,"44470A4VerdeNão se aplicaNão se aplicaNão se aplicaNão se aplicaNão se aplica",Mercado_Receita!$J$2:$J$987)+SUMIF(Mercado_Receita!$S$2:$S$987,"44470A4VerdeNão se aplicaNão se aplicaAPENão se aplicaNão se aplica",Mercado_Receita!$J$2:$J$987)</f>
        <v>33997</v>
      </c>
      <c r="N17" s="12">
        <f>SUMIF(Mercado_Receita!$S$2:$S$987,"44501A4VerdeNão se aplicaNão se aplicaNão se aplicaNão se aplicaNão se aplica",Mercado_Receita!$J$2:$J$987)+SUMIF(Mercado_Receita!$S$2:$S$987,"44501A4VerdeNão se aplicaNão se aplicaAPENão se aplicaNão se aplica",Mercado_Receita!$J$2:$J$987)</f>
        <v>34382</v>
      </c>
      <c r="O17" s="12">
        <f>SUMIF(Mercado_Receita!$S$2:$S$987,"44531A4VerdeNão se aplicaNão se aplicaNão se aplicaNão se aplicaNão se aplica",Mercado_Receita!$J$2:$J$987)+SUMIF(Mercado_Receita!$S$2:$S$987,"44531A4VerdeNão se aplicaNão se aplicaAPENão se aplicaNão se aplica",Mercado_Receita!$J$2:$J$987)</f>
        <v>34575</v>
      </c>
      <c r="P17" s="12">
        <f>SUMIF(Mercado_Receita!$S$2:$S$987,"44562A4VerdeNão se aplicaNão se aplicaNão se aplicaNão se aplicaNão se aplica",Mercado_Receita!$J$2:$J$987)+SUMIF(Mercado_Receita!$S$2:$S$987,"44562A4VerdeNão se aplicaNão se aplicaAPENão se aplicaNão se aplica",Mercado_Receita!$J$2:$J$987)</f>
        <v>34671</v>
      </c>
      <c r="Q17" s="12">
        <f>SUMIF(Mercado_Receita!$S$2:$S$987,"44593A4VerdeNão se aplicaNão se aplicaNão se aplicaNão se aplicaNão se aplica",Mercado_Receita!$J$2:$J$987)+SUMIF(Mercado_Receita!$S$2:$S$987,"44593A4VerdeNão se aplicaNão se aplicaAPENão se aplicaNão se aplica",Mercado_Receita!$J$2:$J$987)</f>
        <v>34660</v>
      </c>
      <c r="R17" s="12">
        <f>SUMIF(Mercado_Receita!$S$2:$S$987,"44621A4VerdeNão se aplicaNão se aplicaNão se aplicaNão se aplicaNão se aplica",Mercado_Receita!$J$2:$J$987)+SUMIF(Mercado_Receita!$S$2:$S$987,"44621A4VerdeNão se aplicaNão se aplicaAPENão se aplicaNão se aplica",Mercado_Receita!$J$2:$J$987)</f>
        <v>34432</v>
      </c>
      <c r="S17" s="12">
        <f>SUMIF(Mercado_Receita!$S$2:$S$987,"44652A4VerdeNão se aplicaNão se aplicaNão se aplicaNão se aplicaNão se aplica",Mercado_Receita!$J$2:$J$987)+SUMIF(Mercado_Receita!$S$2:$S$987,"44652A4VerdeNão se aplicaNão se aplicaAPENão se aplicaNão se aplica",Mercado_Receita!$J$2:$J$987)</f>
        <v>34822</v>
      </c>
      <c r="T17" s="12">
        <f>SUMIF(Mercado_Receita!$S$2:$S$987,"44682A4VerdeNão se aplicaNão se aplicaNão se aplicaNão se aplicaNão se aplica",Mercado_Receita!$J$2:$J$987)+SUMIF(Mercado_Receita!$S$2:$S$987,"44682A4VerdeNão se aplicaNão se aplicaAPENão se aplicaNão se aplica",Mercado_Receita!$J$2:$J$987)</f>
        <v>32957</v>
      </c>
      <c r="U17" s="12">
        <f t="shared" si="0"/>
        <v>408542</v>
      </c>
      <c r="V17" s="12"/>
      <c r="W17" s="12"/>
    </row>
    <row r="18" spans="1:23" ht="11.25" customHeight="1" x14ac:dyDescent="0.25">
      <c r="A18" s="132"/>
      <c r="B18" s="132"/>
      <c r="C18" s="132"/>
      <c r="D18" s="132"/>
      <c r="E18" s="132"/>
      <c r="F18" s="132"/>
      <c r="G18" s="12" t="s">
        <v>72</v>
      </c>
      <c r="H18" s="12" t="s">
        <v>71</v>
      </c>
      <c r="I18" s="12">
        <f>SUMIF(Mercado_Receita!$S$2:$S$987,"44348A4VerdeNão se aplicaNão se aplicaNão se aplicaNão se aplicaPonta",Mercado_Receita!$L$2:$L$987)</f>
        <v>554.97</v>
      </c>
      <c r="J18" s="12">
        <f>SUMIF(Mercado_Receita!$S$2:$S$987,"44378A4VerdeNão se aplicaNão se aplicaNão se aplicaNão se aplicaPonta",Mercado_Receita!$L$2:$L$987)</f>
        <v>554.36399999999992</v>
      </c>
      <c r="K18" s="12">
        <f>SUMIF(Mercado_Receita!$S$2:$S$987,"44409A4VerdeNão se aplicaNão se aplicaNão se aplicaNão se aplicaPonta",Mercado_Receita!$L$2:$L$987)</f>
        <v>572.274</v>
      </c>
      <c r="L18" s="12">
        <f>SUMIF(Mercado_Receita!$S$2:$S$987,"44440A4VerdeNão se aplicaNão se aplicaNão se aplicaNão se aplicaPonta",Mercado_Receita!$L$2:$L$987)</f>
        <v>607.99199999999996</v>
      </c>
      <c r="M18" s="12">
        <f>SUMIF(Mercado_Receita!$S$2:$S$987,"44470A4VerdeNão se aplicaNão se aplicaNão se aplicaNão se aplicaPonta",Mercado_Receita!$L$2:$L$987)</f>
        <v>641.27800000000002</v>
      </c>
      <c r="N18" s="12">
        <f>SUMIF(Mercado_Receita!$S$2:$S$987,"44501A4VerdeNão se aplicaNão se aplicaNão se aplicaNão se aplicaPonta",Mercado_Receita!$L$2:$L$987)</f>
        <v>638.39800000000014</v>
      </c>
      <c r="O18" s="12">
        <f>SUMIF(Mercado_Receita!$S$2:$S$987,"44531A4VerdeNão se aplicaNão se aplicaNão se aplicaNão se aplicaPonta",Mercado_Receita!$L$2:$L$987)</f>
        <v>698.13699999999994</v>
      </c>
      <c r="P18" s="12">
        <f>SUMIF(Mercado_Receita!$S$2:$S$987,"44562A4VerdeNão se aplicaNão se aplicaNão se aplicaNão se aplicaPonta",Mercado_Receita!$L$2:$L$987)</f>
        <v>615.26900000000001</v>
      </c>
      <c r="Q18" s="12">
        <f>SUMIF(Mercado_Receita!$S$2:$S$987,"44593A4VerdeNão se aplicaNão se aplicaNão se aplicaNão se aplicaPonta",Mercado_Receita!$L$2:$L$987)</f>
        <v>594.83899999999994</v>
      </c>
      <c r="R18" s="12">
        <f>SUMIF(Mercado_Receita!$S$2:$S$987,"44621A4VerdeNão se aplicaNão se aplicaNão se aplicaNão se aplicaPonta",Mercado_Receita!$L$2:$L$987)</f>
        <v>626.86099999999988</v>
      </c>
      <c r="S18" s="12">
        <f>SUMIF(Mercado_Receita!$S$2:$S$987,"44652A4VerdeNão se aplicaNão se aplicaNão se aplicaNão se aplicaPonta",Mercado_Receita!$L$2:$L$987)</f>
        <v>675.58600000000013</v>
      </c>
      <c r="T18" s="12">
        <f>SUMIF(Mercado_Receita!$S$2:$S$987,"44682A4VerdeNão se aplicaNão se aplicaNão se aplicaNão se aplicaPonta",Mercado_Receita!$L$2:$L$987)</f>
        <v>578.49699999999984</v>
      </c>
      <c r="U18" s="12">
        <f t="shared" si="0"/>
        <v>7358.4650000000001</v>
      </c>
      <c r="V18" s="12"/>
      <c r="W18" s="12"/>
    </row>
    <row r="19" spans="1:23" ht="11.25" customHeight="1" x14ac:dyDescent="0.25">
      <c r="A19" s="132"/>
      <c r="B19" s="132"/>
      <c r="C19" s="132"/>
      <c r="D19" s="132"/>
      <c r="E19" s="132"/>
      <c r="F19" s="132"/>
      <c r="G19" s="12" t="s">
        <v>73</v>
      </c>
      <c r="H19" s="12" t="s">
        <v>71</v>
      </c>
      <c r="I19" s="12">
        <f>SUMIF(Mercado_Receita!$S$2:$S$987,"44348A4VerdeNão se aplicaNão se aplicaNão se aplicaNão se aplicaFora ponta",Mercado_Receita!$L$2:$L$987)</f>
        <v>7650.5990000000002</v>
      </c>
      <c r="J19" s="12">
        <f>SUMIF(Mercado_Receita!$S$2:$S$987,"44378A4VerdeNão se aplicaNão se aplicaNão se aplicaNão se aplicaFora ponta",Mercado_Receita!$L$2:$L$987)</f>
        <v>7694.1169999999984</v>
      </c>
      <c r="K19" s="12">
        <f>SUMIF(Mercado_Receita!$S$2:$S$987,"44409A4VerdeNão se aplicaNão se aplicaNão se aplicaNão se aplicaFora ponta",Mercado_Receita!$L$2:$L$987)</f>
        <v>7704.0889999999999</v>
      </c>
      <c r="L19" s="12">
        <f>SUMIF(Mercado_Receita!$S$2:$S$987,"44440A4VerdeNão se aplicaNão se aplicaNão se aplicaNão se aplicaFora ponta",Mercado_Receita!$L$2:$L$987)</f>
        <v>7308.8910000000014</v>
      </c>
      <c r="M19" s="12">
        <f>SUMIF(Mercado_Receita!$S$2:$S$987,"44470A4VerdeNão se aplicaNão se aplicaNão se aplicaNão se aplicaFora ponta",Mercado_Receita!$L$2:$L$987)</f>
        <v>7715.6330000000007</v>
      </c>
      <c r="N19" s="12">
        <f>SUMIF(Mercado_Receita!$S$2:$S$987,"44501A4VerdeNão se aplicaNão se aplicaNão se aplicaNão se aplicaFora ponta",Mercado_Receita!$L$2:$L$987)</f>
        <v>7633.1130000000012</v>
      </c>
      <c r="O19" s="12">
        <f>SUMIF(Mercado_Receita!$S$2:$S$987,"44531A4VerdeNão se aplicaNão se aplicaNão se aplicaNão se aplicaFora ponta",Mercado_Receita!$L$2:$L$987)</f>
        <v>7794.2340000000004</v>
      </c>
      <c r="P19" s="12">
        <f>SUMIF(Mercado_Receita!$S$2:$S$987,"44562A4VerdeNão se aplicaNão se aplicaNão se aplicaNão se aplicaFora ponta",Mercado_Receita!$L$2:$L$987)</f>
        <v>7139.9730000000009</v>
      </c>
      <c r="Q19" s="12">
        <f>SUMIF(Mercado_Receita!$S$2:$S$987,"44593A4VerdeNão se aplicaNão se aplicaNão se aplicaNão se aplicaFora ponta",Mercado_Receita!$L$2:$L$987)</f>
        <v>7305.0880000000006</v>
      </c>
      <c r="R19" s="12">
        <f>SUMIF(Mercado_Receita!$S$2:$S$987,"44621A4VerdeNão se aplicaNão se aplicaNão se aplicaNão se aplicaFora ponta",Mercado_Receita!$L$2:$L$987)</f>
        <v>7570.4420000000009</v>
      </c>
      <c r="S19" s="12">
        <f>SUMIF(Mercado_Receita!$S$2:$S$987,"44652A4VerdeNão se aplicaNão se aplicaNão se aplicaNão se aplicaFora ponta",Mercado_Receita!$L$2:$L$987)</f>
        <v>8097.7709999999997</v>
      </c>
      <c r="T19" s="12">
        <f>SUMIF(Mercado_Receita!$S$2:$S$987,"44682A4VerdeNão se aplicaNão se aplicaNão se aplicaNão se aplicaFora ponta",Mercado_Receita!$L$2:$L$987)</f>
        <v>7068.0070000000005</v>
      </c>
      <c r="U19" s="12">
        <f t="shared" si="0"/>
        <v>90681.956999999995</v>
      </c>
      <c r="V19" s="12"/>
      <c r="W19" s="12"/>
    </row>
    <row r="20" spans="1:23" ht="11.25" customHeight="1" x14ac:dyDescent="0.25">
      <c r="A20" s="132"/>
      <c r="B20" s="132"/>
      <c r="C20" s="132"/>
      <c r="D20" s="132"/>
      <c r="E20" s="131" t="s">
        <v>79</v>
      </c>
      <c r="F20" s="131" t="s">
        <v>25</v>
      </c>
      <c r="G20" s="12" t="s">
        <v>72</v>
      </c>
      <c r="H20" s="12" t="s">
        <v>71</v>
      </c>
      <c r="I20" s="12">
        <f>SUMIF(Mercado_Receita!$S$2:$S$987,"44348A4VerdeNão se aplicaNão se aplicaAPENão se aplicaPonta",Mercado_Receita!$L$2:$L$987)</f>
        <v>0</v>
      </c>
      <c r="J20" s="12">
        <f>SUMIF(Mercado_Receita!$S$2:$S$987,"44378A4VerdeNão se aplicaNão se aplicaAPENão se aplicaPonta",Mercado_Receita!$L$2:$L$987)</f>
        <v>0</v>
      </c>
      <c r="K20" s="12">
        <f>SUMIF(Mercado_Receita!$S$2:$S$987,"44409A4VerdeNão se aplicaNão se aplicaAPENão se aplicaPonta",Mercado_Receita!$L$2:$L$987)</f>
        <v>0</v>
      </c>
      <c r="L20" s="12">
        <f>SUMIF(Mercado_Receita!$S$2:$S$987,"44440A4VerdeNão se aplicaNão se aplicaAPENão se aplicaPonta",Mercado_Receita!$L$2:$L$987)</f>
        <v>0</v>
      </c>
      <c r="M20" s="12">
        <f>SUMIF(Mercado_Receita!$S$2:$S$987,"44470A4VerdeNão se aplicaNão se aplicaAPENão se aplicaPonta",Mercado_Receita!$L$2:$L$987)</f>
        <v>0</v>
      </c>
      <c r="N20" s="12">
        <f>SUMIF(Mercado_Receita!$S$2:$S$987,"44501A4VerdeNão se aplicaNão se aplicaAPENão se aplicaPonta",Mercado_Receita!$L$2:$L$987)</f>
        <v>0</v>
      </c>
      <c r="O20" s="12">
        <f>SUMIF(Mercado_Receita!$S$2:$S$987,"44531A4VerdeNão se aplicaNão se aplicaAPENão se aplicaPonta",Mercado_Receita!$L$2:$L$987)</f>
        <v>0</v>
      </c>
      <c r="P20" s="12">
        <f>SUMIF(Mercado_Receita!$S$2:$S$987,"44562A4VerdeNão se aplicaNão se aplicaAPENão se aplicaPonta",Mercado_Receita!$L$2:$L$987)</f>
        <v>0</v>
      </c>
      <c r="Q20" s="12">
        <f>SUMIF(Mercado_Receita!$S$2:$S$987,"44593A4VerdeNão se aplicaNão se aplicaAPENão se aplicaPonta",Mercado_Receita!$L$2:$L$987)</f>
        <v>0</v>
      </c>
      <c r="R20" s="12">
        <f>SUMIF(Mercado_Receita!$S$2:$S$987,"44621A4VerdeNão se aplicaNão se aplicaAPENão se aplicaPonta",Mercado_Receita!$L$2:$L$987)</f>
        <v>0</v>
      </c>
      <c r="S20" s="12">
        <f>SUMIF(Mercado_Receita!$S$2:$S$987,"44652A4VerdeNão se aplicaNão se aplicaAPENão se aplicaPonta",Mercado_Receita!$L$2:$L$987)</f>
        <v>0</v>
      </c>
      <c r="T20" s="12">
        <f>SUMIF(Mercado_Receita!$S$2:$S$987,"44682A4VerdeNão se aplicaNão se aplicaAPENão se aplicaPonta",Mercado_Receita!$L$2:$L$987)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32"/>
      <c r="B21" s="132"/>
      <c r="C21" s="132"/>
      <c r="D21" s="132"/>
      <c r="E21" s="132"/>
      <c r="F21" s="132"/>
      <c r="G21" s="12" t="s">
        <v>73</v>
      </c>
      <c r="H21" s="12" t="s">
        <v>71</v>
      </c>
      <c r="I21" s="12">
        <f>SUMIF(Mercado_Receita!$S$2:$S$987,"44348A4VerdeNão se aplicaNão se aplicaAPENão se aplicaFora ponta",Mercado_Receita!$L$2:$L$987)</f>
        <v>0</v>
      </c>
      <c r="J21" s="12">
        <f>SUMIF(Mercado_Receita!$S$2:$S$987,"44378A4VerdeNão se aplicaNão se aplicaAPENão se aplicaFora ponta",Mercado_Receita!$L$2:$L$987)</f>
        <v>0</v>
      </c>
      <c r="K21" s="12">
        <f>SUMIF(Mercado_Receita!$S$2:$S$987,"44409A4VerdeNão se aplicaNão se aplicaAPENão se aplicaFora ponta",Mercado_Receita!$L$2:$L$987)</f>
        <v>0</v>
      </c>
      <c r="L21" s="12">
        <f>SUMIF(Mercado_Receita!$S$2:$S$987,"44440A4VerdeNão se aplicaNão se aplicaAPENão se aplicaFora ponta",Mercado_Receita!$L$2:$L$987)</f>
        <v>0</v>
      </c>
      <c r="M21" s="12">
        <f>SUMIF(Mercado_Receita!$S$2:$S$987,"44470A4VerdeNão se aplicaNão se aplicaAPENão se aplicaFora ponta",Mercado_Receita!$L$2:$L$987)</f>
        <v>0</v>
      </c>
      <c r="N21" s="12">
        <f>SUMIF(Mercado_Receita!$S$2:$S$987,"44501A4VerdeNão se aplicaNão se aplicaAPENão se aplicaFora ponta",Mercado_Receita!$L$2:$L$987)</f>
        <v>0</v>
      </c>
      <c r="O21" s="12">
        <f>SUMIF(Mercado_Receita!$S$2:$S$987,"44531A4VerdeNão se aplicaNão se aplicaAPENão se aplicaFora ponta",Mercado_Receita!$L$2:$L$987)</f>
        <v>0</v>
      </c>
      <c r="P21" s="12">
        <f>SUMIF(Mercado_Receita!$S$2:$S$987,"44562A4VerdeNão se aplicaNão se aplicaAPENão se aplicaFora ponta",Mercado_Receita!$L$2:$L$987)</f>
        <v>0</v>
      </c>
      <c r="Q21" s="12">
        <f>SUMIF(Mercado_Receita!$S$2:$S$987,"44593A4VerdeNão se aplicaNão se aplicaAPENão se aplicaFora ponta",Mercado_Receita!$L$2:$L$987)</f>
        <v>0</v>
      </c>
      <c r="R21" s="12">
        <f>SUMIF(Mercado_Receita!$S$2:$S$987,"44621A4VerdeNão se aplicaNão se aplicaAPENão se aplicaFora ponta",Mercado_Receita!$L$2:$L$987)</f>
        <v>0</v>
      </c>
      <c r="S21" s="12">
        <f>SUMIF(Mercado_Receita!$S$2:$S$987,"44652A4VerdeNão se aplicaNão se aplicaAPENão se aplicaFora ponta",Mercado_Receita!$L$2:$L$987)</f>
        <v>0</v>
      </c>
      <c r="T21" s="12">
        <f>SUMIF(Mercado_Receita!$S$2:$S$987,"44682A4VerdeNão se aplicaNão se aplicaAPENão se aplicaFora ponta",Mercado_Receita!$L$2:$L$987)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131" t="s">
        <v>81</v>
      </c>
      <c r="B22" s="131" t="s">
        <v>80</v>
      </c>
      <c r="C22" s="131" t="s">
        <v>25</v>
      </c>
      <c r="D22" s="131" t="s">
        <v>25</v>
      </c>
      <c r="E22" s="13" t="s">
        <v>82</v>
      </c>
      <c r="F22" s="13" t="s">
        <v>25</v>
      </c>
      <c r="G22" s="12" t="s">
        <v>9</v>
      </c>
      <c r="H22" s="12" t="s">
        <v>76</v>
      </c>
      <c r="I22" s="12">
        <f>SUMIF(Mercado_Receita!$S$2:$S$987,"44348BGeraçãoNão se aplicaNão se aplicaTIPO 01Não se aplicaNão se aplica",Mercado_Receita!$J$2:$J$987)+SUMIF(Mercado_Receita!$S$2:$S$987,"44348BGeraçãoNão se aplicaNão se aplicaAPENão se aplicaNão se aplica",Mercado_Receita!$J$2:$J$987)</f>
        <v>0</v>
      </c>
      <c r="J22" s="12">
        <f>SUMIF(Mercado_Receita!$S$2:$S$987,"44378BGeraçãoNão se aplicaNão se aplicaTIPO 01Não se aplicaNão se aplica",Mercado_Receita!$J$2:$J$987)+SUMIF(Mercado_Receita!$S$2:$S$987,"44378BGeraçãoNão se aplicaNão se aplicaAPENão se aplicaNão se aplica",Mercado_Receita!$J$2:$J$987)</f>
        <v>0</v>
      </c>
      <c r="K22" s="12">
        <f>SUMIF(Mercado_Receita!$S$2:$S$987,"44409BGeraçãoNão se aplicaNão se aplicaTIPO 01Não se aplicaNão se aplica",Mercado_Receita!$J$2:$J$987)+SUMIF(Mercado_Receita!$S$2:$S$987,"44409BGeraçãoNão se aplicaNão se aplicaAPENão se aplicaNão se aplica",Mercado_Receita!$J$2:$J$987)</f>
        <v>0</v>
      </c>
      <c r="L22" s="12">
        <f>SUMIF(Mercado_Receita!$S$2:$S$987,"44440BGeraçãoNão se aplicaNão se aplicaTIPO 01Não se aplicaNão se aplica",Mercado_Receita!$J$2:$J$987)+SUMIF(Mercado_Receita!$S$2:$S$987,"44440BGeraçãoNão se aplicaNão se aplicaAPENão se aplicaNão se aplica",Mercado_Receita!$J$2:$J$987)</f>
        <v>0</v>
      </c>
      <c r="M22" s="12">
        <f>SUMIF(Mercado_Receita!$S$2:$S$987,"44470BGeraçãoNão se aplicaNão se aplicaTIPO 01Não se aplicaNão se aplica",Mercado_Receita!$J$2:$J$987)+SUMIF(Mercado_Receita!$S$2:$S$987,"44470BGeraçãoNão se aplicaNão se aplicaAPENão se aplicaNão se aplica",Mercado_Receita!$J$2:$J$987)</f>
        <v>0</v>
      </c>
      <c r="N22" s="12">
        <f>SUMIF(Mercado_Receita!$S$2:$S$987,"44501BGeraçãoNão se aplicaNão se aplicaTIPO 01Não se aplicaNão se aplica",Mercado_Receita!$J$2:$J$987)+SUMIF(Mercado_Receita!$S$2:$S$987,"44501BGeraçãoNão se aplicaNão se aplicaAPENão se aplicaNão se aplica",Mercado_Receita!$J$2:$J$987)</f>
        <v>0</v>
      </c>
      <c r="O22" s="12">
        <f>SUMIF(Mercado_Receita!$S$2:$S$987,"44531BGeraçãoNão se aplicaNão se aplicaTIPO 01Não se aplicaNão se aplica",Mercado_Receita!$J$2:$J$987)+SUMIF(Mercado_Receita!$S$2:$S$987,"44531BGeraçãoNão se aplicaNão se aplicaAPENão se aplicaNão se aplica",Mercado_Receita!$J$2:$J$987)</f>
        <v>0</v>
      </c>
      <c r="P22" s="12">
        <f>SUMIF(Mercado_Receita!$S$2:$S$987,"44562BGeraçãoNão se aplicaNão se aplicaTIPO 01Não se aplicaNão se aplica",Mercado_Receita!$J$2:$J$987)+SUMIF(Mercado_Receita!$S$2:$S$987,"44562BGeraçãoNão se aplicaNão se aplicaAPENão se aplicaNão se aplica",Mercado_Receita!$J$2:$J$987)</f>
        <v>0</v>
      </c>
      <c r="Q22" s="12">
        <f>SUMIF(Mercado_Receita!$S$2:$S$987,"44593BGeraçãoNão se aplicaNão se aplicaTIPO 01Não se aplicaNão se aplica",Mercado_Receita!$J$2:$J$987)+SUMIF(Mercado_Receita!$S$2:$S$987,"44593BGeraçãoNão se aplicaNão se aplicaAPENão se aplicaNão se aplica",Mercado_Receita!$J$2:$J$987)</f>
        <v>0</v>
      </c>
      <c r="R22" s="12">
        <f>SUMIF(Mercado_Receita!$S$2:$S$987,"44621BGeraçãoNão se aplicaNão se aplicaTIPO 01Não se aplicaNão se aplica",Mercado_Receita!$J$2:$J$987)+SUMIF(Mercado_Receita!$S$2:$S$987,"44621BGeraçãoNão se aplicaNão se aplicaAPENão se aplicaNão se aplica",Mercado_Receita!$J$2:$J$987)</f>
        <v>0</v>
      </c>
      <c r="S22" s="12">
        <f>SUMIF(Mercado_Receita!$S$2:$S$987,"44652BGeraçãoNão se aplicaNão se aplicaTIPO 01Não se aplicaNão se aplica",Mercado_Receita!$J$2:$J$987)+SUMIF(Mercado_Receita!$S$2:$S$987,"44652BGeraçãoNão se aplicaNão se aplicaAPENão se aplicaNão se aplica",Mercado_Receita!$J$2:$J$987)</f>
        <v>0</v>
      </c>
      <c r="T22" s="12">
        <f>SUMIF(Mercado_Receita!$S$2:$S$987,"44682BGeraçãoNão se aplicaNão se aplicaTIPO 01Não se aplicaNão se aplica",Mercado_Receita!$J$2:$J$987)+SUMIF(Mercado_Receita!$S$2:$S$987,"44682BGeraçãoNão se aplicaNão se aplicaAPENão se aplicaNão se aplica",Mercado_Receita!$J$2:$J$987)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32"/>
      <c r="B23" s="132"/>
      <c r="C23" s="132"/>
      <c r="D23" s="132"/>
      <c r="E23" s="13" t="s">
        <v>83</v>
      </c>
      <c r="F23" s="13" t="s">
        <v>25</v>
      </c>
      <c r="G23" s="12" t="s">
        <v>9</v>
      </c>
      <c r="H23" s="12" t="s">
        <v>76</v>
      </c>
      <c r="I23" s="12">
        <f>SUMIF(Mercado_Receita!$S$2:$S$987,"44348BGeraçãoNão se aplicaNão se aplicaTIPO 02Não se aplicaNão se aplica",Mercado_Receita!$J$2:$J$987)+SUMIF(Mercado_Receita!$S$2:$S$987,"44348BGeraçãoNão se aplicaNão se aplicaAPENão se aplicaNão se aplica",Mercado_Receita!$J$2:$J$987)</f>
        <v>0</v>
      </c>
      <c r="J23" s="12">
        <f>SUMIF(Mercado_Receita!$S$2:$S$987,"44378BGeraçãoNão se aplicaNão se aplicaTIPO 02Não se aplicaNão se aplica",Mercado_Receita!$J$2:$J$987)+SUMIF(Mercado_Receita!$S$2:$S$987,"44378BGeraçãoNão se aplicaNão se aplicaAPENão se aplicaNão se aplica",Mercado_Receita!$J$2:$J$987)</f>
        <v>0</v>
      </c>
      <c r="K23" s="12">
        <f>SUMIF(Mercado_Receita!$S$2:$S$987,"44409BGeraçãoNão se aplicaNão se aplicaTIPO 02Não se aplicaNão se aplica",Mercado_Receita!$J$2:$J$987)+SUMIF(Mercado_Receita!$S$2:$S$987,"44409BGeraçãoNão se aplicaNão se aplicaAPENão se aplicaNão se aplica",Mercado_Receita!$J$2:$J$987)</f>
        <v>0</v>
      </c>
      <c r="L23" s="12">
        <f>SUMIF(Mercado_Receita!$S$2:$S$987,"44440BGeraçãoNão se aplicaNão se aplicaTIPO 02Não se aplicaNão se aplica",Mercado_Receita!$J$2:$J$987)+SUMIF(Mercado_Receita!$S$2:$S$987,"44440BGeraçãoNão se aplicaNão se aplicaAPENão se aplicaNão se aplica",Mercado_Receita!$J$2:$J$987)</f>
        <v>0</v>
      </c>
      <c r="M23" s="12">
        <f>SUMIF(Mercado_Receita!$S$2:$S$987,"44470BGeraçãoNão se aplicaNão se aplicaTIPO 02Não se aplicaNão se aplica",Mercado_Receita!$J$2:$J$987)+SUMIF(Mercado_Receita!$S$2:$S$987,"44470BGeraçãoNão se aplicaNão se aplicaAPENão se aplicaNão se aplica",Mercado_Receita!$J$2:$J$987)</f>
        <v>0</v>
      </c>
      <c r="N23" s="12">
        <f>SUMIF(Mercado_Receita!$S$2:$S$987,"44501BGeraçãoNão se aplicaNão se aplicaTIPO 02Não se aplicaNão se aplica",Mercado_Receita!$J$2:$J$987)+SUMIF(Mercado_Receita!$S$2:$S$987,"44501BGeraçãoNão se aplicaNão se aplicaAPENão se aplicaNão se aplica",Mercado_Receita!$J$2:$J$987)</f>
        <v>0</v>
      </c>
      <c r="O23" s="12">
        <f>SUMIF(Mercado_Receita!$S$2:$S$987,"44531BGeraçãoNão se aplicaNão se aplicaTIPO 02Não se aplicaNão se aplica",Mercado_Receita!$J$2:$J$987)+SUMIF(Mercado_Receita!$S$2:$S$987,"44531BGeraçãoNão se aplicaNão se aplicaAPENão se aplicaNão se aplica",Mercado_Receita!$J$2:$J$987)</f>
        <v>0</v>
      </c>
      <c r="P23" s="12">
        <f>SUMIF(Mercado_Receita!$S$2:$S$987,"44562BGeraçãoNão se aplicaNão se aplicaTIPO 02Não se aplicaNão se aplica",Mercado_Receita!$J$2:$J$987)+SUMIF(Mercado_Receita!$S$2:$S$987,"44562BGeraçãoNão se aplicaNão se aplicaAPENão se aplicaNão se aplica",Mercado_Receita!$J$2:$J$987)</f>
        <v>0</v>
      </c>
      <c r="Q23" s="12">
        <f>SUMIF(Mercado_Receita!$S$2:$S$987,"44593BGeraçãoNão se aplicaNão se aplicaTIPO 02Não se aplicaNão se aplica",Mercado_Receita!$J$2:$J$987)+SUMIF(Mercado_Receita!$S$2:$S$987,"44593BGeraçãoNão se aplicaNão se aplicaAPENão se aplicaNão se aplica",Mercado_Receita!$J$2:$J$987)</f>
        <v>0</v>
      </c>
      <c r="R23" s="12">
        <f>SUMIF(Mercado_Receita!$S$2:$S$987,"44621BGeraçãoNão se aplicaNão se aplicaTIPO 02Não se aplicaNão se aplica",Mercado_Receita!$J$2:$J$987)+SUMIF(Mercado_Receita!$S$2:$S$987,"44621BGeraçãoNão se aplicaNão se aplicaAPENão se aplicaNão se aplica",Mercado_Receita!$J$2:$J$987)</f>
        <v>0</v>
      </c>
      <c r="S23" s="12">
        <f>SUMIF(Mercado_Receita!$S$2:$S$987,"44652BGeraçãoNão se aplicaNão se aplicaTIPO 02Não se aplicaNão se aplica",Mercado_Receita!$J$2:$J$987)+SUMIF(Mercado_Receita!$S$2:$S$987,"44652BGeraçãoNão se aplicaNão se aplicaAPENão se aplicaNão se aplica",Mercado_Receita!$J$2:$J$987)</f>
        <v>0</v>
      </c>
      <c r="T23" s="12">
        <f>SUMIF(Mercado_Receita!$S$2:$S$987,"44682BGeraçãoNão se aplicaNão se aplicaTIPO 02Não se aplicaNão se aplica",Mercado_Receita!$J$2:$J$987)+SUMIF(Mercado_Receita!$S$2:$S$987,"44682BGeraçãoNão se aplicaNão se aplicaAPENão se aplicaNão se aplica",Mercado_Receita!$J$2:$J$987)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31" t="s">
        <v>22</v>
      </c>
      <c r="B24" s="131" t="s">
        <v>36</v>
      </c>
      <c r="C24" s="131" t="s">
        <v>24</v>
      </c>
      <c r="D24" s="131" t="s">
        <v>24</v>
      </c>
      <c r="E24" s="131" t="s">
        <v>25</v>
      </c>
      <c r="F24" s="131" t="s">
        <v>25</v>
      </c>
      <c r="G24" s="12" t="s">
        <v>72</v>
      </c>
      <c r="H24" s="12" t="s">
        <v>71</v>
      </c>
      <c r="I24" s="12">
        <f>SUMIF(Mercado_Receita!$S$2:$S$987,"44348B1BrancaResidencialResidencialNão se aplicaNão se aplicaPonta",Mercado_Receita!$L$2:$L$987)</f>
        <v>0.192</v>
      </c>
      <c r="J24" s="12">
        <f>SUMIF(Mercado_Receita!$S$2:$S$987,"44378B1BrancaResidencialResidencialNão se aplicaNão se aplicaPonta",Mercado_Receita!$L$2:$L$987)</f>
        <v>0.16400000000000001</v>
      </c>
      <c r="K24" s="12">
        <f>SUMIF(Mercado_Receita!$S$2:$S$987,"44409B1BrancaResidencialResidencialNão se aplicaNão se aplicaPonta",Mercado_Receita!$L$2:$L$987)</f>
        <v>0.153</v>
      </c>
      <c r="L24" s="12">
        <f>SUMIF(Mercado_Receita!$S$2:$S$987,"44440B1BrancaResidencialResidencialNão se aplicaNão se aplicaPonta",Mercado_Receita!$L$2:$L$987)</f>
        <v>0.16200000000000001</v>
      </c>
      <c r="M24" s="12">
        <f>SUMIF(Mercado_Receita!$S$2:$S$987,"44470B1BrancaResidencialResidencialNão se aplicaNão se aplicaPonta",Mercado_Receita!$L$2:$L$987)</f>
        <v>0.33600000000000002</v>
      </c>
      <c r="N24" s="12">
        <f>SUMIF(Mercado_Receita!$S$2:$S$987,"44501B1BrancaResidencialResidencialNão se aplicaNão se aplicaPonta",Mercado_Receita!$L$2:$L$987)</f>
        <v>0.188</v>
      </c>
      <c r="O24" s="12">
        <f>SUMIF(Mercado_Receita!$S$2:$S$987,"44531B1BrancaResidencialResidencialNão se aplicaNão se aplicaPonta",Mercado_Receita!$L$2:$L$987)</f>
        <v>0.17199999999999999</v>
      </c>
      <c r="P24" s="12">
        <f>SUMIF(Mercado_Receita!$S$2:$S$987,"44562B1BrancaResidencialResidencialNão se aplicaNão se aplicaPonta",Mercado_Receita!$L$2:$L$987)</f>
        <v>0.17699999999999999</v>
      </c>
      <c r="Q24" s="12">
        <f>SUMIF(Mercado_Receita!$S$2:$S$987,"44593B1BrancaResidencialResidencialNão se aplicaNão se aplicaPonta",Mercado_Receita!$L$2:$L$987)</f>
        <v>0.188</v>
      </c>
      <c r="R24" s="12">
        <f>SUMIF(Mercado_Receita!$S$2:$S$987,"44621B1BrancaResidencialResidencialNão se aplicaNão se aplicaPonta",Mercado_Receita!$L$2:$L$987)</f>
        <v>0.17899999999999999</v>
      </c>
      <c r="S24" s="12">
        <f>SUMIF(Mercado_Receita!$S$2:$S$987,"44652B1BrancaResidencialResidencialNão se aplicaNão se aplicaPonta",Mercado_Receita!$L$2:$L$987)</f>
        <v>0.16700000000000001</v>
      </c>
      <c r="T24" s="12">
        <f>SUMIF(Mercado_Receita!$S$2:$S$987,"44682B1BrancaResidencialResidencialNão se aplicaNão se aplicaPonta",Mercado_Receita!$L$2:$L$987)</f>
        <v>0.14099999999999999</v>
      </c>
      <c r="U24" s="12">
        <f t="shared" si="0"/>
        <v>2.2189999999999999</v>
      </c>
      <c r="V24" s="12"/>
      <c r="W24" s="12"/>
    </row>
    <row r="25" spans="1:23" ht="11.25" customHeight="1" x14ac:dyDescent="0.25">
      <c r="A25" s="132"/>
      <c r="B25" s="132"/>
      <c r="C25" s="132"/>
      <c r="D25" s="132"/>
      <c r="E25" s="132"/>
      <c r="F25" s="132"/>
      <c r="G25" s="12" t="s">
        <v>84</v>
      </c>
      <c r="H25" s="12" t="s">
        <v>71</v>
      </c>
      <c r="I25" s="12">
        <f>SUMIF(Mercado_Receita!$S$2:$S$987,"44348B1BrancaResidencialResidencialNão se aplicaNão se aplicaIntermediário",Mercado_Receita!$L$2:$L$987)</f>
        <v>0.155</v>
      </c>
      <c r="J25" s="12">
        <f>SUMIF(Mercado_Receita!$S$2:$S$987,"44378B1BrancaResidencialResidencialNão se aplicaNão se aplicaIntermediário",Mercado_Receita!$L$2:$L$987)</f>
        <v>0.17699999999999999</v>
      </c>
      <c r="K25" s="12">
        <f>SUMIF(Mercado_Receita!$S$2:$S$987,"44409B1BrancaResidencialResidencialNão se aplicaNão se aplicaIntermediário",Mercado_Receita!$L$2:$L$987)</f>
        <v>0.14000000000000001</v>
      </c>
      <c r="L25" s="12">
        <f>SUMIF(Mercado_Receita!$S$2:$S$987,"44440B1BrancaResidencialResidencialNão se aplicaNão se aplicaIntermediário",Mercado_Receita!$L$2:$L$987)</f>
        <v>0.13500000000000001</v>
      </c>
      <c r="M25" s="12">
        <f>SUMIF(Mercado_Receita!$S$2:$S$987,"44470B1BrancaResidencialResidencialNão se aplicaNão se aplicaIntermediário",Mercado_Receita!$L$2:$L$987)</f>
        <v>0.13600000000000001</v>
      </c>
      <c r="N25" s="12">
        <f>SUMIF(Mercado_Receita!$S$2:$S$987,"44501B1BrancaResidencialResidencialNão se aplicaNão se aplicaIntermediário",Mercado_Receita!$L$2:$L$987)</f>
        <v>1.1850000000000001</v>
      </c>
      <c r="O25" s="12">
        <f>SUMIF(Mercado_Receita!$S$2:$S$987,"44531B1BrancaResidencialResidencialNão se aplicaNão se aplicaIntermediário",Mercado_Receita!$L$2:$L$987)</f>
        <v>0.124</v>
      </c>
      <c r="P25" s="12">
        <f>SUMIF(Mercado_Receita!$S$2:$S$987,"44562B1BrancaResidencialResidencialNão se aplicaNão se aplicaIntermediário",Mercado_Receita!$L$2:$L$987)</f>
        <v>0.13200000000000001</v>
      </c>
      <c r="Q25" s="12">
        <f>SUMIF(Mercado_Receita!$S$2:$S$987,"44593B1BrancaResidencialResidencialNão se aplicaNão se aplicaIntermediário",Mercado_Receita!$L$2:$L$987)</f>
        <v>0.13600000000000001</v>
      </c>
      <c r="R25" s="12">
        <f>SUMIF(Mercado_Receita!$S$2:$S$987,"44621B1BrancaResidencialResidencialNão se aplicaNão se aplicaIntermediário",Mercado_Receita!$L$2:$L$987)</f>
        <v>0.11600000000000001</v>
      </c>
      <c r="S25" s="12">
        <f>SUMIF(Mercado_Receita!$S$2:$S$987,"44652B1BrancaResidencialResidencialNão se aplicaNão se aplicaIntermediário",Mercado_Receita!$L$2:$L$987)</f>
        <v>0.125</v>
      </c>
      <c r="T25" s="12">
        <f>SUMIF(Mercado_Receita!$S$2:$S$987,"44682B1BrancaResidencialResidencialNão se aplicaNão se aplicaIntermediário",Mercado_Receita!$L$2:$L$987)</f>
        <v>0.115</v>
      </c>
      <c r="U25" s="12">
        <f t="shared" si="0"/>
        <v>2.6760000000000006</v>
      </c>
      <c r="V25" s="12"/>
      <c r="W25" s="12"/>
    </row>
    <row r="26" spans="1:23" ht="11.25" customHeight="1" x14ac:dyDescent="0.25">
      <c r="A26" s="132"/>
      <c r="B26" s="132"/>
      <c r="C26" s="132"/>
      <c r="D26" s="132"/>
      <c r="E26" s="132"/>
      <c r="F26" s="132"/>
      <c r="G26" s="12" t="s">
        <v>73</v>
      </c>
      <c r="H26" s="12" t="s">
        <v>71</v>
      </c>
      <c r="I26" s="12">
        <f>SUMIF(Mercado_Receita!$S$2:$S$987,"44348B1BrancaResidencialResidencialNão se aplicaNão se aplicaFora ponta",Mercado_Receita!$L$2:$L$987)</f>
        <v>2.1080000000000001</v>
      </c>
      <c r="J26" s="12">
        <f>SUMIF(Mercado_Receita!$S$2:$S$987,"44378B1BrancaResidencialResidencialNão se aplicaNão se aplicaFora ponta",Mercado_Receita!$L$2:$L$987)</f>
        <v>2.0760000000000001</v>
      </c>
      <c r="K26" s="12">
        <f>SUMIF(Mercado_Receita!$S$2:$S$987,"44409B1BrancaResidencialResidencialNão se aplicaNão se aplicaFora ponta",Mercado_Receita!$L$2:$L$987)</f>
        <v>1.903</v>
      </c>
      <c r="L26" s="12">
        <f>SUMIF(Mercado_Receita!$S$2:$S$987,"44440B1BrancaResidencialResidencialNão se aplicaNão se aplicaFora ponta",Mercado_Receita!$L$2:$L$987)</f>
        <v>1.9359999999999999</v>
      </c>
      <c r="M26" s="12">
        <f>SUMIF(Mercado_Receita!$S$2:$S$987,"44470B1BrancaResidencialResidencialNão se aplicaNão se aplicaFora ponta",Mercado_Receita!$L$2:$L$987)</f>
        <v>1.9530000000000001</v>
      </c>
      <c r="N26" s="12">
        <f>SUMIF(Mercado_Receita!$S$2:$S$987,"44501B1BrancaResidencialResidencialNão se aplicaNão se aplicaFora ponta",Mercado_Receita!$L$2:$L$987)</f>
        <v>2.177</v>
      </c>
      <c r="O26" s="12">
        <f>SUMIF(Mercado_Receita!$S$2:$S$987,"44531B1BrancaResidencialResidencialNão se aplicaNão se aplicaFora ponta",Mercado_Receita!$L$2:$L$987)</f>
        <v>2.2120000000000002</v>
      </c>
      <c r="P26" s="12">
        <f>SUMIF(Mercado_Receita!$S$2:$S$987,"44562B1BrancaResidencialResidencialNão se aplicaNão se aplicaFora ponta",Mercado_Receita!$L$2:$L$987)</f>
        <v>1.9159999999999999</v>
      </c>
      <c r="Q26" s="12">
        <f>SUMIF(Mercado_Receita!$S$2:$S$987,"44593B1BrancaResidencialResidencialNão se aplicaNão se aplicaFora ponta",Mercado_Receita!$L$2:$L$987)</f>
        <v>2.0550000000000002</v>
      </c>
      <c r="R26" s="12">
        <f>SUMIF(Mercado_Receita!$S$2:$S$987,"44621B1BrancaResidencialResidencialNão se aplicaNão se aplicaFora ponta",Mercado_Receita!$L$2:$L$987)</f>
        <v>1.95</v>
      </c>
      <c r="S26" s="12">
        <f>SUMIF(Mercado_Receita!$S$2:$S$987,"44652B1BrancaResidencialResidencialNão se aplicaNão se aplicaFora ponta",Mercado_Receita!$L$2:$L$987)</f>
        <v>1.927</v>
      </c>
      <c r="T26" s="12">
        <f>SUMIF(Mercado_Receita!$S$2:$S$987,"44682B1BrancaResidencialResidencialNão se aplicaNão se aplicaFora ponta",Mercado_Receita!$L$2:$L$987)</f>
        <v>1.7849999999999999</v>
      </c>
      <c r="U26" s="12">
        <f t="shared" si="0"/>
        <v>23.997999999999998</v>
      </c>
      <c r="V26" s="12"/>
      <c r="W26" s="12"/>
    </row>
    <row r="27" spans="1:23" ht="11.25" customHeight="1" x14ac:dyDescent="0.25">
      <c r="A27" s="132"/>
      <c r="B27" s="131" t="s">
        <v>23</v>
      </c>
      <c r="C27" s="131" t="s">
        <v>24</v>
      </c>
      <c r="D27" s="13" t="s">
        <v>24</v>
      </c>
      <c r="E27" s="13" t="s">
        <v>25</v>
      </c>
      <c r="F27" s="13" t="s">
        <v>25</v>
      </c>
      <c r="G27" s="12" t="s">
        <v>75</v>
      </c>
      <c r="H27" s="12" t="s">
        <v>71</v>
      </c>
      <c r="I27" s="12">
        <f>SUMIF(Mercado_Receita!$S$2:$S$987,"44348B1ConvencionalResidencialResidencialNão se aplicaNão se aplicaPonta",Mercado_Receita!$L$2:$L$987)+SUMIF(Mercado_Receita!$S$2:$S$987,"44348B1ConvencionalResidencialResidencialNão se aplicaNão se aplicaFora ponta",Mercado_Receita!$L$2:$L$987)+SUMIF(Mercado_Receita!$S$2:$S$987,"44348B1ConvencionalResidencialResidencialNão se aplicaNão se aplicaIntermediário",Mercado_Receita!$L$2:$L$987)+SUMIF(Mercado_Receita!$S$2:$S$987,"44348B1ConvencionalResidencialResidencialNão se aplicaNão se aplicaNão se aplica",Mercado_Receita!$L$2:$L$987)</f>
        <v>7060.9970000000003</v>
      </c>
      <c r="J27" s="12">
        <f>SUMIF(Mercado_Receita!$S$2:$S$987,"44378B1ConvencionalResidencialResidencialNão se aplicaNão se aplicaPonta",Mercado_Receita!$L$2:$L$987)+SUMIF(Mercado_Receita!$S$2:$S$987,"44378B1ConvencionalResidencialResidencialNão se aplicaNão se aplicaFora ponta",Mercado_Receita!$L$2:$L$987)+SUMIF(Mercado_Receita!$S$2:$S$987,"44378B1ConvencionalResidencialResidencialNão se aplicaNão se aplicaIntermediário",Mercado_Receita!$L$2:$L$987)+SUMIF(Mercado_Receita!$S$2:$S$987,"44378B1ConvencionalResidencialResidencialNão se aplicaNão se aplicaNão se aplica",Mercado_Receita!$L$2:$L$987)</f>
        <v>7262.7340000000004</v>
      </c>
      <c r="K27" s="12">
        <f>SUMIF(Mercado_Receita!$S$2:$S$987,"44409B1ConvencionalResidencialResidencialNão se aplicaNão se aplicaPonta",Mercado_Receita!$L$2:$L$987)+SUMIF(Mercado_Receita!$S$2:$S$987,"44409B1ConvencionalResidencialResidencialNão se aplicaNão se aplicaFora ponta",Mercado_Receita!$L$2:$L$987)+SUMIF(Mercado_Receita!$S$2:$S$987,"44409B1ConvencionalResidencialResidencialNão se aplicaNão se aplicaIntermediário",Mercado_Receita!$L$2:$L$987)+SUMIF(Mercado_Receita!$S$2:$S$987,"44409B1ConvencionalResidencialResidencialNão se aplicaNão se aplicaNão se aplica",Mercado_Receita!$L$2:$L$987)</f>
        <v>7272.6239999999998</v>
      </c>
      <c r="L27" s="12">
        <f>SUMIF(Mercado_Receita!$S$2:$S$987,"44440B1ConvencionalResidencialResidencialNão se aplicaNão se aplicaPonta",Mercado_Receita!$L$2:$L$987)+SUMIF(Mercado_Receita!$S$2:$S$987,"44440B1ConvencionalResidencialResidencialNão se aplicaNão se aplicaFora ponta",Mercado_Receita!$L$2:$L$987)+SUMIF(Mercado_Receita!$S$2:$S$987,"44440B1ConvencionalResidencialResidencialNão se aplicaNão se aplicaIntermediário",Mercado_Receita!$L$2:$L$987)+SUMIF(Mercado_Receita!$S$2:$S$987,"44440B1ConvencionalResidencialResidencialNão se aplicaNão se aplicaNão se aplica",Mercado_Receita!$L$2:$L$987)</f>
        <v>6945.7349999999997</v>
      </c>
      <c r="M27" s="12">
        <f>SUMIF(Mercado_Receita!$S$2:$S$987,"44470B1ConvencionalResidencialResidencialNão se aplicaNão se aplicaPonta",Mercado_Receita!$L$2:$L$987)+SUMIF(Mercado_Receita!$S$2:$S$987,"44470B1ConvencionalResidencialResidencialNão se aplicaNão se aplicaFora ponta",Mercado_Receita!$L$2:$L$987)+SUMIF(Mercado_Receita!$S$2:$S$987,"44470B1ConvencionalResidencialResidencialNão se aplicaNão se aplicaIntermediário",Mercado_Receita!$L$2:$L$987)+SUMIF(Mercado_Receita!$S$2:$S$987,"44470B1ConvencionalResidencialResidencialNão se aplicaNão se aplicaNão se aplica",Mercado_Receita!$L$2:$L$987)</f>
        <v>6956.3390000000009</v>
      </c>
      <c r="N27" s="12">
        <f>SUMIF(Mercado_Receita!$S$2:$S$987,"44501B1ConvencionalResidencialResidencialNão se aplicaNão se aplicaPonta",Mercado_Receita!$L$2:$L$987)+SUMIF(Mercado_Receita!$S$2:$S$987,"44501B1ConvencionalResidencialResidencialNão se aplicaNão se aplicaFora ponta",Mercado_Receita!$L$2:$L$987)+SUMIF(Mercado_Receita!$S$2:$S$987,"44501B1ConvencionalResidencialResidencialNão se aplicaNão se aplicaIntermediário",Mercado_Receita!$L$2:$L$987)+SUMIF(Mercado_Receita!$S$2:$S$987,"44501B1ConvencionalResidencialResidencialNão se aplicaNão se aplicaNão se aplica",Mercado_Receita!$L$2:$L$987)</f>
        <v>6891.6810000000005</v>
      </c>
      <c r="O27" s="12">
        <f>SUMIF(Mercado_Receita!$S$2:$S$987,"44531B1ConvencionalResidencialResidencialNão se aplicaNão se aplicaPonta",Mercado_Receita!$L$2:$L$987)+SUMIF(Mercado_Receita!$S$2:$S$987,"44531B1ConvencionalResidencialResidencialNão se aplicaNão se aplicaFora ponta",Mercado_Receita!$L$2:$L$987)+SUMIF(Mercado_Receita!$S$2:$S$987,"44531B1ConvencionalResidencialResidencialNão se aplicaNão se aplicaIntermediário",Mercado_Receita!$L$2:$L$987)+SUMIF(Mercado_Receita!$S$2:$S$987,"44531B1ConvencionalResidencialResidencialNão se aplicaNão se aplicaNão se aplica",Mercado_Receita!$L$2:$L$987)</f>
        <v>6869.2219999999998</v>
      </c>
      <c r="P27" s="12">
        <f>SUMIF(Mercado_Receita!$S$2:$S$987,"44562B1ConvencionalResidencialResidencialNão se aplicaNão se aplicaPonta",Mercado_Receita!$L$2:$L$987)+SUMIF(Mercado_Receita!$S$2:$S$987,"44562B1ConvencionalResidencialResidencialNão se aplicaNão se aplicaFora ponta",Mercado_Receita!$L$2:$L$987)+SUMIF(Mercado_Receita!$S$2:$S$987,"44562B1ConvencionalResidencialResidencialNão se aplicaNão se aplicaIntermediário",Mercado_Receita!$L$2:$L$987)+SUMIF(Mercado_Receita!$S$2:$S$987,"44562B1ConvencionalResidencialResidencialNão se aplicaNão se aplicaNão se aplica",Mercado_Receita!$L$2:$L$987)</f>
        <v>6950.9009999999998</v>
      </c>
      <c r="Q27" s="12">
        <f>SUMIF(Mercado_Receita!$S$2:$S$987,"44593B1ConvencionalResidencialResidencialNão se aplicaNão se aplicaPonta",Mercado_Receita!$L$2:$L$987)+SUMIF(Mercado_Receita!$S$2:$S$987,"44593B1ConvencionalResidencialResidencialNão se aplicaNão se aplicaFora ponta",Mercado_Receita!$L$2:$L$987)+SUMIF(Mercado_Receita!$S$2:$S$987,"44593B1ConvencionalResidencialResidencialNão se aplicaNão se aplicaIntermediário",Mercado_Receita!$L$2:$L$987)+SUMIF(Mercado_Receita!$S$2:$S$987,"44593B1ConvencionalResidencialResidencialNão se aplicaNão se aplicaNão se aplica",Mercado_Receita!$L$2:$L$987)</f>
        <v>7281.8410000000003</v>
      </c>
      <c r="R27" s="12">
        <f>SUMIF(Mercado_Receita!$S$2:$S$987,"44621B1ConvencionalResidencialResidencialNão se aplicaNão se aplicaPonta",Mercado_Receita!$L$2:$L$987)+SUMIF(Mercado_Receita!$S$2:$S$987,"44621B1ConvencionalResidencialResidencialNão se aplicaNão se aplicaFora ponta",Mercado_Receita!$L$2:$L$987)+SUMIF(Mercado_Receita!$S$2:$S$987,"44621B1ConvencionalResidencialResidencialNão se aplicaNão se aplicaIntermediário",Mercado_Receita!$L$2:$L$987)+SUMIF(Mercado_Receita!$S$2:$S$987,"44621B1ConvencionalResidencialResidencialNão se aplicaNão se aplicaNão se aplica",Mercado_Receita!$L$2:$L$987)</f>
        <v>7040.7219999999998</v>
      </c>
      <c r="S27" s="12">
        <f>SUMIF(Mercado_Receita!$S$2:$S$987,"44652B1ConvencionalResidencialResidencialNão se aplicaNão se aplicaPonta",Mercado_Receita!$L$2:$L$987)+SUMIF(Mercado_Receita!$S$2:$S$987,"44652B1ConvencionalResidencialResidencialNão se aplicaNão se aplicaFora ponta",Mercado_Receita!$L$2:$L$987)+SUMIF(Mercado_Receita!$S$2:$S$987,"44652B1ConvencionalResidencialResidencialNão se aplicaNão se aplicaIntermediário",Mercado_Receita!$L$2:$L$987)+SUMIF(Mercado_Receita!$S$2:$S$987,"44652B1ConvencionalResidencialResidencialNão se aplicaNão se aplicaNão se aplica",Mercado_Receita!$L$2:$L$987)</f>
        <v>6827.5770000000002</v>
      </c>
      <c r="T27" s="12">
        <f>SUMIF(Mercado_Receita!$S$2:$S$987,"44682B1ConvencionalResidencialResidencialNão se aplicaNão se aplicaPonta",Mercado_Receita!$L$2:$L$987)+SUMIF(Mercado_Receita!$S$2:$S$987,"44682B1ConvencionalResidencialResidencialNão se aplicaNão se aplicaFora ponta",Mercado_Receita!$L$2:$L$987)+SUMIF(Mercado_Receita!$S$2:$S$987,"44682B1ConvencionalResidencialResidencialNão se aplicaNão se aplicaIntermediário",Mercado_Receita!$L$2:$L$987)+SUMIF(Mercado_Receita!$S$2:$S$987,"44682B1ConvencionalResidencialResidencialNão se aplicaNão se aplicaNão se aplica",Mercado_Receita!$L$2:$L$987)</f>
        <v>6911.9539999999997</v>
      </c>
      <c r="U27" s="12">
        <f t="shared" si="0"/>
        <v>84272.327000000005</v>
      </c>
      <c r="V27" s="12"/>
      <c r="W27" s="12"/>
    </row>
    <row r="28" spans="1:23" ht="11.25" customHeight="1" x14ac:dyDescent="0.25">
      <c r="A28" s="132"/>
      <c r="B28" s="132"/>
      <c r="C28" s="132"/>
      <c r="D28" s="13" t="s">
        <v>29</v>
      </c>
      <c r="E28" s="13" t="s">
        <v>25</v>
      </c>
      <c r="F28" s="13" t="s">
        <v>25</v>
      </c>
      <c r="G28" s="12" t="s">
        <v>75</v>
      </c>
      <c r="H28" s="12" t="s">
        <v>71</v>
      </c>
      <c r="I28" s="12">
        <f>SUMIF(Mercado_Receita!$S$2:$S$987,"44348B1ConvencionalResidencialResidencial baixa renda – faixa 01Não se aplicaNão se aplicaPonta",Mercado_Receita!$L$2:$L$987)+SUMIF(Mercado_Receita!$S$2:$S$987,"44348B1ConvencionalResidencialResidencial baixa renda – faixa 01Não se aplicaNão se aplicaFora ponta",Mercado_Receita!$L$2:$L$987)+SUMIF(Mercado_Receita!$S$2:$S$987,"44348B1ConvencionalResidencialResidencial baixa renda – faixa 01Não se aplicaNão se aplicaIntermediário",Mercado_Receita!$L$2:$L$987)+SUMIF(Mercado_Receita!$S$2:$S$987,"44348B1ConvencionalResidencialResidencial baixa renda – faixa 01Não se aplicaNão se aplicaNão se aplica",Mercado_Receita!$L$2:$L$987)</f>
        <v>139.75299999999999</v>
      </c>
      <c r="J28" s="12">
        <f>SUMIF(Mercado_Receita!$S$2:$S$987,"44378B1ConvencionalResidencialResidencial baixa renda – faixa 01Não se aplicaNão se aplicaPonta",Mercado_Receita!$L$2:$L$987)+SUMIF(Mercado_Receita!$S$2:$S$987,"44378B1ConvencionalResidencialResidencial baixa renda – faixa 01Não se aplicaNão se aplicaFora ponta",Mercado_Receita!$L$2:$L$987)+SUMIF(Mercado_Receita!$S$2:$S$987,"44378B1ConvencionalResidencialResidencial baixa renda – faixa 01Não se aplicaNão se aplicaIntermediário",Mercado_Receita!$L$2:$L$987)+SUMIF(Mercado_Receita!$S$2:$S$987,"44378B1ConvencionalResidencialResidencial baixa renda – faixa 01Não se aplicaNão se aplicaNão se aplica",Mercado_Receita!$L$2:$L$987)</f>
        <v>141.46</v>
      </c>
      <c r="K28" s="12">
        <f>SUMIF(Mercado_Receita!$S$2:$S$987,"44409B1ConvencionalResidencialResidencial baixa renda – faixa 01Não se aplicaNão se aplicaPonta",Mercado_Receita!$L$2:$L$987)+SUMIF(Mercado_Receita!$S$2:$S$987,"44409B1ConvencionalResidencialResidencial baixa renda – faixa 01Não se aplicaNão se aplicaFora ponta",Mercado_Receita!$L$2:$L$987)+SUMIF(Mercado_Receita!$S$2:$S$987,"44409B1ConvencionalResidencialResidencial baixa renda – faixa 01Não se aplicaNão se aplicaIntermediário",Mercado_Receita!$L$2:$L$987)+SUMIF(Mercado_Receita!$S$2:$S$987,"44409B1ConvencionalResidencialResidencial baixa renda – faixa 01Não se aplicaNão se aplicaNão se aplica",Mercado_Receita!$L$2:$L$987)</f>
        <v>143.18799999999999</v>
      </c>
      <c r="L28" s="12">
        <f>SUMIF(Mercado_Receita!$S$2:$S$987,"44440B1ConvencionalResidencialResidencial baixa renda – faixa 01Não se aplicaNão se aplicaPonta",Mercado_Receita!$L$2:$L$987)+SUMIF(Mercado_Receita!$S$2:$S$987,"44440B1ConvencionalResidencialResidencial baixa renda – faixa 01Não se aplicaNão se aplicaFora ponta",Mercado_Receita!$L$2:$L$987)+SUMIF(Mercado_Receita!$S$2:$S$987,"44440B1ConvencionalResidencialResidencial baixa renda – faixa 01Não se aplicaNão se aplicaIntermediário",Mercado_Receita!$L$2:$L$987)+SUMIF(Mercado_Receita!$S$2:$S$987,"44440B1ConvencionalResidencialResidencial baixa renda – faixa 01Não se aplicaNão se aplicaNão se aplica",Mercado_Receita!$L$2:$L$987)</f>
        <v>144.38200000000001</v>
      </c>
      <c r="M28" s="12">
        <f>SUMIF(Mercado_Receita!$S$2:$S$987,"44470B1ConvencionalResidencialResidencial baixa renda – faixa 01Não se aplicaNão se aplicaPonta",Mercado_Receita!$L$2:$L$987)+SUMIF(Mercado_Receita!$S$2:$S$987,"44470B1ConvencionalResidencialResidencial baixa renda – faixa 01Não se aplicaNão se aplicaFora ponta",Mercado_Receita!$L$2:$L$987)+SUMIF(Mercado_Receita!$S$2:$S$987,"44470B1ConvencionalResidencialResidencial baixa renda – faixa 01Não se aplicaNão se aplicaIntermediário",Mercado_Receita!$L$2:$L$987)+SUMIF(Mercado_Receita!$S$2:$S$987,"44470B1ConvencionalResidencialResidencial baixa renda – faixa 01Não se aplicaNão se aplicaNão se aplica",Mercado_Receita!$L$2:$L$987)</f>
        <v>143.66900000000001</v>
      </c>
      <c r="N28" s="12">
        <f>SUMIF(Mercado_Receita!$S$2:$S$987,"44501B1ConvencionalResidencialResidencial baixa renda – faixa 01Não se aplicaNão se aplicaPonta",Mercado_Receita!$L$2:$L$987)+SUMIF(Mercado_Receita!$S$2:$S$987,"44501B1ConvencionalResidencialResidencial baixa renda – faixa 01Não se aplicaNão se aplicaFora ponta",Mercado_Receita!$L$2:$L$987)+SUMIF(Mercado_Receita!$S$2:$S$987,"44501B1ConvencionalResidencialResidencial baixa renda – faixa 01Não se aplicaNão se aplicaIntermediário",Mercado_Receita!$L$2:$L$987)+SUMIF(Mercado_Receita!$S$2:$S$987,"44501B1ConvencionalResidencialResidencial baixa renda – faixa 01Não se aplicaNão se aplicaNão se aplica",Mercado_Receita!$L$2:$L$987)</f>
        <v>140.34</v>
      </c>
      <c r="O28" s="12">
        <f>SUMIF(Mercado_Receita!$S$2:$S$987,"44531B1ConvencionalResidencialResidencial baixa renda – faixa 01Não se aplicaNão se aplicaPonta",Mercado_Receita!$L$2:$L$987)+SUMIF(Mercado_Receita!$S$2:$S$987,"44531B1ConvencionalResidencialResidencial baixa renda – faixa 01Não se aplicaNão se aplicaFora ponta",Mercado_Receita!$L$2:$L$987)+SUMIF(Mercado_Receita!$S$2:$S$987,"44531B1ConvencionalResidencialResidencial baixa renda – faixa 01Não se aplicaNão se aplicaIntermediário",Mercado_Receita!$L$2:$L$987)+SUMIF(Mercado_Receita!$S$2:$S$987,"44531B1ConvencionalResidencialResidencial baixa renda – faixa 01Não se aplicaNão se aplicaNão se aplica",Mercado_Receita!$L$2:$L$987)</f>
        <v>136.69900000000001</v>
      </c>
      <c r="P28" s="12">
        <f>SUMIF(Mercado_Receita!$S$2:$S$987,"44562B1ConvencionalResidencialResidencial baixa renda – faixa 01Não se aplicaNão se aplicaPonta",Mercado_Receita!$L$2:$L$987)+SUMIF(Mercado_Receita!$S$2:$S$987,"44562B1ConvencionalResidencialResidencial baixa renda – faixa 01Não se aplicaNão se aplicaFora ponta",Mercado_Receita!$L$2:$L$987)+SUMIF(Mercado_Receita!$S$2:$S$987,"44562B1ConvencionalResidencialResidencial baixa renda – faixa 01Não se aplicaNão se aplicaIntermediário",Mercado_Receita!$L$2:$L$987)+SUMIF(Mercado_Receita!$S$2:$S$987,"44562B1ConvencionalResidencialResidencial baixa renda – faixa 01Não se aplicaNão se aplicaNão se aplica",Mercado_Receita!$L$2:$L$987)</f>
        <v>137.904</v>
      </c>
      <c r="Q28" s="12">
        <f>SUMIF(Mercado_Receita!$S$2:$S$987,"44593B1ConvencionalResidencialResidencial baixa renda – faixa 01Não se aplicaNão se aplicaPonta",Mercado_Receita!$L$2:$L$987)+SUMIF(Mercado_Receita!$S$2:$S$987,"44593B1ConvencionalResidencialResidencial baixa renda – faixa 01Não se aplicaNão se aplicaFora ponta",Mercado_Receita!$L$2:$L$987)+SUMIF(Mercado_Receita!$S$2:$S$987,"44593B1ConvencionalResidencialResidencial baixa renda – faixa 01Não se aplicaNão se aplicaIntermediário",Mercado_Receita!$L$2:$L$987)+SUMIF(Mercado_Receita!$S$2:$S$987,"44593B1ConvencionalResidencialResidencial baixa renda – faixa 01Não se aplicaNão se aplicaNão se aplica",Mercado_Receita!$L$2:$L$987)</f>
        <v>142.95599999999999</v>
      </c>
      <c r="R28" s="12">
        <f>SUMIF(Mercado_Receita!$S$2:$S$987,"44621B1ConvencionalResidencialResidencial baixa renda – faixa 01Não se aplicaNão se aplicaPonta",Mercado_Receita!$L$2:$L$987)+SUMIF(Mercado_Receita!$S$2:$S$987,"44621B1ConvencionalResidencialResidencial baixa renda – faixa 01Não se aplicaNão se aplicaFora ponta",Mercado_Receita!$L$2:$L$987)+SUMIF(Mercado_Receita!$S$2:$S$987,"44621B1ConvencionalResidencialResidencial baixa renda – faixa 01Não se aplicaNão se aplicaIntermediário",Mercado_Receita!$L$2:$L$987)+SUMIF(Mercado_Receita!$S$2:$S$987,"44621B1ConvencionalResidencialResidencial baixa renda – faixa 01Não se aplicaNão se aplicaNão se aplica",Mercado_Receita!$L$2:$L$987)</f>
        <v>153.839</v>
      </c>
      <c r="S28" s="12">
        <f>SUMIF(Mercado_Receita!$S$2:$S$987,"44652B1ConvencionalResidencialResidencial baixa renda – faixa 01Não se aplicaNão se aplicaPonta",Mercado_Receita!$L$2:$L$987)+SUMIF(Mercado_Receita!$S$2:$S$987,"44652B1ConvencionalResidencialResidencial baixa renda – faixa 01Não se aplicaNão se aplicaFora ponta",Mercado_Receita!$L$2:$L$987)+SUMIF(Mercado_Receita!$S$2:$S$987,"44652B1ConvencionalResidencialResidencial baixa renda – faixa 01Não se aplicaNão se aplicaIntermediário",Mercado_Receita!$L$2:$L$987)+SUMIF(Mercado_Receita!$S$2:$S$987,"44652B1ConvencionalResidencialResidencial baixa renda – faixa 01Não se aplicaNão se aplicaNão se aplica",Mercado_Receita!$L$2:$L$987)</f>
        <v>154.833</v>
      </c>
      <c r="T28" s="12">
        <f>SUMIF(Mercado_Receita!$S$2:$S$987,"44682B1ConvencionalResidencialResidencial baixa renda – faixa 01Não se aplicaNão se aplicaPonta",Mercado_Receita!$L$2:$L$987)+SUMIF(Mercado_Receita!$S$2:$S$987,"44682B1ConvencionalResidencialResidencial baixa renda – faixa 01Não se aplicaNão se aplicaFora ponta",Mercado_Receita!$L$2:$L$987)+SUMIF(Mercado_Receita!$S$2:$S$987,"44682B1ConvencionalResidencialResidencial baixa renda – faixa 01Não se aplicaNão se aplicaIntermediário",Mercado_Receita!$L$2:$L$987)+SUMIF(Mercado_Receita!$S$2:$S$987,"44682B1ConvencionalResidencialResidencial baixa renda – faixa 01Não se aplicaNão se aplicaNão se aplica",Mercado_Receita!$L$2:$L$987)</f>
        <v>156.327</v>
      </c>
      <c r="U28" s="12">
        <f t="shared" si="0"/>
        <v>1735.35</v>
      </c>
      <c r="V28" s="12"/>
      <c r="W28" s="12"/>
    </row>
    <row r="29" spans="1:23" ht="11.25" customHeight="1" x14ac:dyDescent="0.25">
      <c r="A29" s="132"/>
      <c r="B29" s="132"/>
      <c r="C29" s="132"/>
      <c r="D29" s="13" t="s">
        <v>30</v>
      </c>
      <c r="E29" s="13" t="s">
        <v>25</v>
      </c>
      <c r="F29" s="13" t="s">
        <v>25</v>
      </c>
      <c r="G29" s="12" t="s">
        <v>75</v>
      </c>
      <c r="H29" s="12" t="s">
        <v>71</v>
      </c>
      <c r="I29" s="12">
        <f>SUMIF(Mercado_Receita!$S$2:$S$987,"44348B1ConvencionalResidencialResidencial baixa renda – faixa 02Não se aplicaNão se aplicaPonta",Mercado_Receita!$L$2:$L$987)+SUMIF(Mercado_Receita!$S$2:$S$987,"44348B1ConvencionalResidencialResidencial baixa renda – faixa 02Não se aplicaNão se aplicaFora ponta",Mercado_Receita!$L$2:$L$987)+SUMIF(Mercado_Receita!$S$2:$S$987,"44348B1ConvencionalResidencialResidencial baixa renda – faixa 02Não se aplicaNão se aplicaIntermediário",Mercado_Receita!$L$2:$L$987)+SUMIF(Mercado_Receita!$S$2:$S$987,"44348B1ConvencionalResidencialResidencial baixa renda – faixa 02Não se aplicaNão se aplicaNão se aplica",Mercado_Receita!$L$2:$L$987)</f>
        <v>261.73699999999997</v>
      </c>
      <c r="J29" s="12">
        <f>SUMIF(Mercado_Receita!$S$2:$S$987,"44378B1ConvencionalResidencialResidencial baixa renda – faixa 02Não se aplicaNão se aplicaPonta",Mercado_Receita!$L$2:$L$987)+SUMIF(Mercado_Receita!$S$2:$S$987,"44378B1ConvencionalResidencialResidencial baixa renda – faixa 02Não se aplicaNão se aplicaFora ponta",Mercado_Receita!$L$2:$L$987)+SUMIF(Mercado_Receita!$S$2:$S$987,"44378B1ConvencionalResidencialResidencial baixa renda – faixa 02Não se aplicaNão se aplicaIntermediário",Mercado_Receita!$L$2:$L$987)+SUMIF(Mercado_Receita!$S$2:$S$987,"44378B1ConvencionalResidencialResidencial baixa renda – faixa 02Não se aplicaNão se aplicaNão se aplica",Mercado_Receita!$L$2:$L$987)</f>
        <v>261.61199999999997</v>
      </c>
      <c r="K29" s="12">
        <f>SUMIF(Mercado_Receita!$S$2:$S$987,"44409B1ConvencionalResidencialResidencial baixa renda – faixa 02Não se aplicaNão se aplicaPonta",Mercado_Receita!$L$2:$L$987)+SUMIF(Mercado_Receita!$S$2:$S$987,"44409B1ConvencionalResidencialResidencial baixa renda – faixa 02Não se aplicaNão se aplicaFora ponta",Mercado_Receita!$L$2:$L$987)+SUMIF(Mercado_Receita!$S$2:$S$987,"44409B1ConvencionalResidencialResidencial baixa renda – faixa 02Não se aplicaNão se aplicaIntermediário",Mercado_Receita!$L$2:$L$987)+SUMIF(Mercado_Receita!$S$2:$S$987,"44409B1ConvencionalResidencialResidencial baixa renda – faixa 02Não se aplicaNão se aplicaNão se aplica",Mercado_Receita!$L$2:$L$987)</f>
        <v>265.61799999999999</v>
      </c>
      <c r="L29" s="12">
        <f>SUMIF(Mercado_Receita!$S$2:$S$987,"44440B1ConvencionalResidencialResidencial baixa renda – faixa 02Não se aplicaNão se aplicaPonta",Mercado_Receita!$L$2:$L$987)+SUMIF(Mercado_Receita!$S$2:$S$987,"44440B1ConvencionalResidencialResidencial baixa renda – faixa 02Não se aplicaNão se aplicaFora ponta",Mercado_Receita!$L$2:$L$987)+SUMIF(Mercado_Receita!$S$2:$S$987,"44440B1ConvencionalResidencialResidencial baixa renda – faixa 02Não se aplicaNão se aplicaIntermediário",Mercado_Receita!$L$2:$L$987)+SUMIF(Mercado_Receita!$S$2:$S$987,"44440B1ConvencionalResidencialResidencial baixa renda – faixa 02Não se aplicaNão se aplicaNão se aplica",Mercado_Receita!$L$2:$L$987)</f>
        <v>273.23200000000003</v>
      </c>
      <c r="M29" s="12">
        <f>SUMIF(Mercado_Receita!$S$2:$S$987,"44470B1ConvencionalResidencialResidencial baixa renda – faixa 02Não se aplicaNão se aplicaPonta",Mercado_Receita!$L$2:$L$987)+SUMIF(Mercado_Receita!$S$2:$S$987,"44470B1ConvencionalResidencialResidencial baixa renda – faixa 02Não se aplicaNão se aplicaFora ponta",Mercado_Receita!$L$2:$L$987)+SUMIF(Mercado_Receita!$S$2:$S$987,"44470B1ConvencionalResidencialResidencial baixa renda – faixa 02Não se aplicaNão se aplicaIntermediário",Mercado_Receita!$L$2:$L$987)+SUMIF(Mercado_Receita!$S$2:$S$987,"44470B1ConvencionalResidencialResidencial baixa renda – faixa 02Não se aplicaNão se aplicaNão se aplica",Mercado_Receita!$L$2:$L$987)</f>
        <v>273.745</v>
      </c>
      <c r="N29" s="12">
        <f>SUMIF(Mercado_Receita!$S$2:$S$987,"44501B1ConvencionalResidencialResidencial baixa renda – faixa 02Não se aplicaNão se aplicaPonta",Mercado_Receita!$L$2:$L$987)+SUMIF(Mercado_Receita!$S$2:$S$987,"44501B1ConvencionalResidencialResidencial baixa renda – faixa 02Não se aplicaNão se aplicaFora ponta",Mercado_Receita!$L$2:$L$987)+SUMIF(Mercado_Receita!$S$2:$S$987,"44501B1ConvencionalResidencialResidencial baixa renda – faixa 02Não se aplicaNão se aplicaIntermediário",Mercado_Receita!$L$2:$L$987)+SUMIF(Mercado_Receita!$S$2:$S$987,"44501B1ConvencionalResidencialResidencial baixa renda – faixa 02Não se aplicaNão se aplicaNão se aplica",Mercado_Receita!$L$2:$L$987)</f>
        <v>265.572</v>
      </c>
      <c r="O29" s="12">
        <f>SUMIF(Mercado_Receita!$S$2:$S$987,"44531B1ConvencionalResidencialResidencial baixa renda – faixa 02Não se aplicaNão se aplicaPonta",Mercado_Receita!$L$2:$L$987)+SUMIF(Mercado_Receita!$S$2:$S$987,"44531B1ConvencionalResidencialResidencial baixa renda – faixa 02Não se aplicaNão se aplicaFora ponta",Mercado_Receita!$L$2:$L$987)+SUMIF(Mercado_Receita!$S$2:$S$987,"44531B1ConvencionalResidencialResidencial baixa renda – faixa 02Não se aplicaNão se aplicaIntermediário",Mercado_Receita!$L$2:$L$987)+SUMIF(Mercado_Receita!$S$2:$S$987,"44531B1ConvencionalResidencialResidencial baixa renda – faixa 02Não se aplicaNão se aplicaNão se aplica",Mercado_Receita!$L$2:$L$987)</f>
        <v>263.65700000000004</v>
      </c>
      <c r="P29" s="12">
        <f>SUMIF(Mercado_Receita!$S$2:$S$987,"44562B1ConvencionalResidencialResidencial baixa renda – faixa 02Não se aplicaNão se aplicaPonta",Mercado_Receita!$L$2:$L$987)+SUMIF(Mercado_Receita!$S$2:$S$987,"44562B1ConvencionalResidencialResidencial baixa renda – faixa 02Não se aplicaNão se aplicaFora ponta",Mercado_Receita!$L$2:$L$987)+SUMIF(Mercado_Receita!$S$2:$S$987,"44562B1ConvencionalResidencialResidencial baixa renda – faixa 02Não se aplicaNão se aplicaIntermediário",Mercado_Receita!$L$2:$L$987)+SUMIF(Mercado_Receita!$S$2:$S$987,"44562B1ConvencionalResidencialResidencial baixa renda – faixa 02Não se aplicaNão se aplicaNão se aplica",Mercado_Receita!$L$2:$L$987)</f>
        <v>267.66400000000004</v>
      </c>
      <c r="Q29" s="12">
        <f>SUMIF(Mercado_Receita!$S$2:$S$987,"44593B1ConvencionalResidencialResidencial baixa renda – faixa 02Não se aplicaNão se aplicaPonta",Mercado_Receita!$L$2:$L$987)+SUMIF(Mercado_Receita!$S$2:$S$987,"44593B1ConvencionalResidencialResidencial baixa renda – faixa 02Não se aplicaNão se aplicaFora ponta",Mercado_Receita!$L$2:$L$987)+SUMIF(Mercado_Receita!$S$2:$S$987,"44593B1ConvencionalResidencialResidencial baixa renda – faixa 02Não se aplicaNão se aplicaIntermediário",Mercado_Receita!$L$2:$L$987)+SUMIF(Mercado_Receita!$S$2:$S$987,"44593B1ConvencionalResidencialResidencial baixa renda – faixa 02Não se aplicaNão se aplicaNão se aplica",Mercado_Receita!$L$2:$L$987)</f>
        <v>283.09500000000003</v>
      </c>
      <c r="R29" s="12">
        <f>SUMIF(Mercado_Receita!$S$2:$S$987,"44621B1ConvencionalResidencialResidencial baixa renda – faixa 02Não se aplicaNão se aplicaPonta",Mercado_Receita!$L$2:$L$987)+SUMIF(Mercado_Receita!$S$2:$S$987,"44621B1ConvencionalResidencialResidencial baixa renda – faixa 02Não se aplicaNão se aplicaFora ponta",Mercado_Receita!$L$2:$L$987)+SUMIF(Mercado_Receita!$S$2:$S$987,"44621B1ConvencionalResidencialResidencial baixa renda – faixa 02Não se aplicaNão se aplicaIntermediário",Mercado_Receita!$L$2:$L$987)+SUMIF(Mercado_Receita!$S$2:$S$987,"44621B1ConvencionalResidencialResidencial baixa renda – faixa 02Não se aplicaNão se aplicaNão se aplica",Mercado_Receita!$L$2:$L$987)</f>
        <v>299.08600000000001</v>
      </c>
      <c r="S29" s="12">
        <f>SUMIF(Mercado_Receita!$S$2:$S$987,"44652B1ConvencionalResidencialResidencial baixa renda – faixa 02Não se aplicaNão se aplicaPonta",Mercado_Receita!$L$2:$L$987)+SUMIF(Mercado_Receita!$S$2:$S$987,"44652B1ConvencionalResidencialResidencial baixa renda – faixa 02Não se aplicaNão se aplicaFora ponta",Mercado_Receita!$L$2:$L$987)+SUMIF(Mercado_Receita!$S$2:$S$987,"44652B1ConvencionalResidencialResidencial baixa renda – faixa 02Não se aplicaNão se aplicaIntermediário",Mercado_Receita!$L$2:$L$987)+SUMIF(Mercado_Receita!$S$2:$S$987,"44652B1ConvencionalResidencialResidencial baixa renda – faixa 02Não se aplicaNão se aplicaNão se aplica",Mercado_Receita!$L$2:$L$987)</f>
        <v>295.02300000000002</v>
      </c>
      <c r="T29" s="12">
        <f>SUMIF(Mercado_Receita!$S$2:$S$987,"44682B1ConvencionalResidencialResidencial baixa renda – faixa 02Não se aplicaNão se aplicaPonta",Mercado_Receita!$L$2:$L$987)+SUMIF(Mercado_Receita!$S$2:$S$987,"44682B1ConvencionalResidencialResidencial baixa renda – faixa 02Não se aplicaNão se aplicaFora ponta",Mercado_Receita!$L$2:$L$987)+SUMIF(Mercado_Receita!$S$2:$S$987,"44682B1ConvencionalResidencialResidencial baixa renda – faixa 02Não se aplicaNão se aplicaIntermediário",Mercado_Receita!$L$2:$L$987)+SUMIF(Mercado_Receita!$S$2:$S$987,"44682B1ConvencionalResidencialResidencial baixa renda – faixa 02Não se aplicaNão se aplicaNão se aplica",Mercado_Receita!$L$2:$L$987)</f>
        <v>296.67599999999999</v>
      </c>
      <c r="U29" s="12">
        <f t="shared" si="0"/>
        <v>3306.717000000001</v>
      </c>
      <c r="V29" s="12"/>
      <c r="W29" s="12"/>
    </row>
    <row r="30" spans="1:23" ht="11.25" customHeight="1" x14ac:dyDescent="0.25">
      <c r="A30" s="132"/>
      <c r="B30" s="132"/>
      <c r="C30" s="132"/>
      <c r="D30" s="13" t="s">
        <v>31</v>
      </c>
      <c r="E30" s="13" t="s">
        <v>25</v>
      </c>
      <c r="F30" s="13" t="s">
        <v>25</v>
      </c>
      <c r="G30" s="12" t="s">
        <v>75</v>
      </c>
      <c r="H30" s="12" t="s">
        <v>71</v>
      </c>
      <c r="I30" s="12">
        <f>SUMIF(Mercado_Receita!$S$2:$S$987,"44348B1ConvencionalResidencialResidencial baixa renda – faixa 03Não se aplicaNão se aplicaPonta",Mercado_Receita!$L$2:$L$987)+SUMIF(Mercado_Receita!$S$2:$S$987,"44348B1ConvencionalResidencialResidencial baixa renda – faixa 03Não se aplicaNão se aplicaFora ponta",Mercado_Receita!$L$2:$L$987)+SUMIF(Mercado_Receita!$S$2:$S$987,"44348B1ConvencionalResidencialResidencial baixa renda – faixa 03Não se aplicaNão se aplicaIntermediário",Mercado_Receita!$L$2:$L$987)+SUMIF(Mercado_Receita!$S$2:$S$987,"44348B1ConvencionalResidencialResidencial baixa renda – faixa 03Não se aplicaNão se aplicaNão se aplica",Mercado_Receita!$L$2:$L$987)</f>
        <v>165.02200000000002</v>
      </c>
      <c r="J30" s="12">
        <f>SUMIF(Mercado_Receita!$S$2:$S$987,"44378B1ConvencionalResidencialResidencial baixa renda – faixa 03Não se aplicaNão se aplicaPonta",Mercado_Receita!$L$2:$L$987)+SUMIF(Mercado_Receita!$S$2:$S$987,"44378B1ConvencionalResidencialResidencial baixa renda – faixa 03Não se aplicaNão se aplicaFora ponta",Mercado_Receita!$L$2:$L$987)+SUMIF(Mercado_Receita!$S$2:$S$987,"44378B1ConvencionalResidencialResidencial baixa renda – faixa 03Não se aplicaNão se aplicaIntermediário",Mercado_Receita!$L$2:$L$987)+SUMIF(Mercado_Receita!$S$2:$S$987,"44378B1ConvencionalResidencialResidencial baixa renda – faixa 03Não se aplicaNão se aplicaNão se aplica",Mercado_Receita!$L$2:$L$987)</f>
        <v>164.24199999999999</v>
      </c>
      <c r="K30" s="12">
        <f>SUMIF(Mercado_Receita!$S$2:$S$987,"44409B1ConvencionalResidencialResidencial baixa renda – faixa 03Não se aplicaNão se aplicaPonta",Mercado_Receita!$L$2:$L$987)+SUMIF(Mercado_Receita!$S$2:$S$987,"44409B1ConvencionalResidencialResidencial baixa renda – faixa 03Não se aplicaNão se aplicaFora ponta",Mercado_Receita!$L$2:$L$987)+SUMIF(Mercado_Receita!$S$2:$S$987,"44409B1ConvencionalResidencialResidencial baixa renda – faixa 03Não se aplicaNão se aplicaIntermediário",Mercado_Receita!$L$2:$L$987)+SUMIF(Mercado_Receita!$S$2:$S$987,"44409B1ConvencionalResidencialResidencial baixa renda – faixa 03Não se aplicaNão se aplicaNão se aplica",Mercado_Receita!$L$2:$L$987)</f>
        <v>171.87699999999998</v>
      </c>
      <c r="L30" s="12">
        <f>SUMIF(Mercado_Receita!$S$2:$S$987,"44440B1ConvencionalResidencialResidencial baixa renda – faixa 03Não se aplicaNão se aplicaPonta",Mercado_Receita!$L$2:$L$987)+SUMIF(Mercado_Receita!$S$2:$S$987,"44440B1ConvencionalResidencialResidencial baixa renda – faixa 03Não se aplicaNão se aplicaFora ponta",Mercado_Receita!$L$2:$L$987)+SUMIF(Mercado_Receita!$S$2:$S$987,"44440B1ConvencionalResidencialResidencial baixa renda – faixa 03Não se aplicaNão se aplicaIntermediário",Mercado_Receita!$L$2:$L$987)+SUMIF(Mercado_Receita!$S$2:$S$987,"44440B1ConvencionalResidencialResidencial baixa renda – faixa 03Não se aplicaNão se aplicaNão se aplica",Mercado_Receita!$L$2:$L$987)</f>
        <v>172.04</v>
      </c>
      <c r="M30" s="12">
        <f>SUMIF(Mercado_Receita!$S$2:$S$987,"44470B1ConvencionalResidencialResidencial baixa renda – faixa 03Não se aplicaNão se aplicaPonta",Mercado_Receita!$L$2:$L$987)+SUMIF(Mercado_Receita!$S$2:$S$987,"44470B1ConvencionalResidencialResidencial baixa renda – faixa 03Não se aplicaNão se aplicaFora ponta",Mercado_Receita!$L$2:$L$987)+SUMIF(Mercado_Receita!$S$2:$S$987,"44470B1ConvencionalResidencialResidencial baixa renda – faixa 03Não se aplicaNão se aplicaIntermediário",Mercado_Receita!$L$2:$L$987)+SUMIF(Mercado_Receita!$S$2:$S$987,"44470B1ConvencionalResidencialResidencial baixa renda – faixa 03Não se aplicaNão se aplicaNão se aplica",Mercado_Receita!$L$2:$L$987)</f>
        <v>172.946</v>
      </c>
      <c r="N30" s="12">
        <f>SUMIF(Mercado_Receita!$S$2:$S$987,"44501B1ConvencionalResidencialResidencial baixa renda – faixa 03Não se aplicaNão se aplicaPonta",Mercado_Receita!$L$2:$L$987)+SUMIF(Mercado_Receita!$S$2:$S$987,"44501B1ConvencionalResidencialResidencial baixa renda – faixa 03Não se aplicaNão se aplicaFora ponta",Mercado_Receita!$L$2:$L$987)+SUMIF(Mercado_Receita!$S$2:$S$987,"44501B1ConvencionalResidencialResidencial baixa renda – faixa 03Não se aplicaNão se aplicaIntermediário",Mercado_Receita!$L$2:$L$987)+SUMIF(Mercado_Receita!$S$2:$S$987,"44501B1ConvencionalResidencialResidencial baixa renda – faixa 03Não se aplicaNão se aplicaNão se aplica",Mercado_Receita!$L$2:$L$987)</f>
        <v>163.81299999999999</v>
      </c>
      <c r="O30" s="12">
        <f>SUMIF(Mercado_Receita!$S$2:$S$987,"44531B1ConvencionalResidencialResidencial baixa renda – faixa 03Não se aplicaNão se aplicaPonta",Mercado_Receita!$L$2:$L$987)+SUMIF(Mercado_Receita!$S$2:$S$987,"44531B1ConvencionalResidencialResidencial baixa renda – faixa 03Não se aplicaNão se aplicaFora ponta",Mercado_Receita!$L$2:$L$987)+SUMIF(Mercado_Receita!$S$2:$S$987,"44531B1ConvencionalResidencialResidencial baixa renda – faixa 03Não se aplicaNão se aplicaIntermediário",Mercado_Receita!$L$2:$L$987)+SUMIF(Mercado_Receita!$S$2:$S$987,"44531B1ConvencionalResidencialResidencial baixa renda – faixa 03Não se aplicaNão se aplicaNão se aplica",Mercado_Receita!$L$2:$L$987)</f>
        <v>157.15100000000001</v>
      </c>
      <c r="P30" s="12">
        <f>SUMIF(Mercado_Receita!$S$2:$S$987,"44562B1ConvencionalResidencialResidencial baixa renda – faixa 03Não se aplicaNão se aplicaPonta",Mercado_Receita!$L$2:$L$987)+SUMIF(Mercado_Receita!$S$2:$S$987,"44562B1ConvencionalResidencialResidencial baixa renda – faixa 03Não se aplicaNão se aplicaFora ponta",Mercado_Receita!$L$2:$L$987)+SUMIF(Mercado_Receita!$S$2:$S$987,"44562B1ConvencionalResidencialResidencial baixa renda – faixa 03Não se aplicaNão se aplicaIntermediário",Mercado_Receita!$L$2:$L$987)+SUMIF(Mercado_Receita!$S$2:$S$987,"44562B1ConvencionalResidencialResidencial baixa renda – faixa 03Não se aplicaNão se aplicaNão se aplica",Mercado_Receita!$L$2:$L$987)</f>
        <v>164.28</v>
      </c>
      <c r="Q30" s="12">
        <f>SUMIF(Mercado_Receita!$S$2:$S$987,"44593B1ConvencionalResidencialResidencial baixa renda – faixa 03Não se aplicaNão se aplicaPonta",Mercado_Receita!$L$2:$L$987)+SUMIF(Mercado_Receita!$S$2:$S$987,"44593B1ConvencionalResidencialResidencial baixa renda – faixa 03Não se aplicaNão se aplicaFora ponta",Mercado_Receita!$L$2:$L$987)+SUMIF(Mercado_Receita!$S$2:$S$987,"44593B1ConvencionalResidencialResidencial baixa renda – faixa 03Não se aplicaNão se aplicaIntermediário",Mercado_Receita!$L$2:$L$987)+SUMIF(Mercado_Receita!$S$2:$S$987,"44593B1ConvencionalResidencialResidencial baixa renda – faixa 03Não se aplicaNão se aplicaNão se aplica",Mercado_Receita!$L$2:$L$987)</f>
        <v>191.77099999999999</v>
      </c>
      <c r="R30" s="12">
        <f>SUMIF(Mercado_Receita!$S$2:$S$987,"44621B1ConvencionalResidencialResidencial baixa renda – faixa 03Não se aplicaNão se aplicaPonta",Mercado_Receita!$L$2:$L$987)+SUMIF(Mercado_Receita!$S$2:$S$987,"44621B1ConvencionalResidencialResidencial baixa renda – faixa 03Não se aplicaNão se aplicaFora ponta",Mercado_Receita!$L$2:$L$987)+SUMIF(Mercado_Receita!$S$2:$S$987,"44621B1ConvencionalResidencialResidencial baixa renda – faixa 03Não se aplicaNão se aplicaIntermediário",Mercado_Receita!$L$2:$L$987)+SUMIF(Mercado_Receita!$S$2:$S$987,"44621B1ConvencionalResidencialResidencial baixa renda – faixa 03Não se aplicaNão se aplicaNão se aplica",Mercado_Receita!$L$2:$L$987)</f>
        <v>193.261</v>
      </c>
      <c r="S30" s="12">
        <f>SUMIF(Mercado_Receita!$S$2:$S$987,"44652B1ConvencionalResidencialResidencial baixa renda – faixa 03Não se aplicaNão se aplicaPonta",Mercado_Receita!$L$2:$L$987)+SUMIF(Mercado_Receita!$S$2:$S$987,"44652B1ConvencionalResidencialResidencial baixa renda – faixa 03Não se aplicaNão se aplicaFora ponta",Mercado_Receita!$L$2:$L$987)+SUMIF(Mercado_Receita!$S$2:$S$987,"44652B1ConvencionalResidencialResidencial baixa renda – faixa 03Não se aplicaNão se aplicaIntermediário",Mercado_Receita!$L$2:$L$987)+SUMIF(Mercado_Receita!$S$2:$S$987,"44652B1ConvencionalResidencialResidencial baixa renda – faixa 03Não se aplicaNão se aplicaNão se aplica",Mercado_Receita!$L$2:$L$987)</f>
        <v>183.00200000000001</v>
      </c>
      <c r="T30" s="12">
        <f>SUMIF(Mercado_Receita!$S$2:$S$987,"44682B1ConvencionalResidencialResidencial baixa renda – faixa 03Não se aplicaNão se aplicaPonta",Mercado_Receita!$L$2:$L$987)+SUMIF(Mercado_Receita!$S$2:$S$987,"44682B1ConvencionalResidencialResidencial baixa renda – faixa 03Não se aplicaNão se aplicaFora ponta",Mercado_Receita!$L$2:$L$987)+SUMIF(Mercado_Receita!$S$2:$S$987,"44682B1ConvencionalResidencialResidencial baixa renda – faixa 03Não se aplicaNão se aplicaIntermediário",Mercado_Receita!$L$2:$L$987)+SUMIF(Mercado_Receita!$S$2:$S$987,"44682B1ConvencionalResidencialResidencial baixa renda – faixa 03Não se aplicaNão se aplicaNão se aplica",Mercado_Receita!$L$2:$L$987)</f>
        <v>185.41199999999998</v>
      </c>
      <c r="U30" s="12">
        <f t="shared" si="0"/>
        <v>2084.8169999999996</v>
      </c>
      <c r="V30" s="12"/>
      <c r="W30" s="12"/>
    </row>
    <row r="31" spans="1:23" ht="11.25" customHeight="1" x14ac:dyDescent="0.25">
      <c r="A31" s="132"/>
      <c r="B31" s="132"/>
      <c r="C31" s="132"/>
      <c r="D31" s="13" t="s">
        <v>32</v>
      </c>
      <c r="E31" s="13" t="s">
        <v>25</v>
      </c>
      <c r="F31" s="13" t="s">
        <v>25</v>
      </c>
      <c r="G31" s="12" t="s">
        <v>75</v>
      </c>
      <c r="H31" s="12" t="s">
        <v>71</v>
      </c>
      <c r="I31" s="12">
        <f>SUMIF(Mercado_Receita!$S$2:$S$987,"44348B1ConvencionalResidencialResidencial baixa renda – faixa 04Não se aplicaNão se aplicaPonta",Mercado_Receita!$L$2:$L$987)+SUMIF(Mercado_Receita!$S$2:$S$987,"44348B1ConvencionalResidencialResidencial baixa renda – faixa 04Não se aplicaNão se aplicaFora ponta",Mercado_Receita!$L$2:$L$987)+SUMIF(Mercado_Receita!$S$2:$S$987,"44348B1ConvencionalResidencialResidencial baixa renda – faixa 04Não se aplicaNão se aplicaIntermediário",Mercado_Receita!$L$2:$L$987)+SUMIF(Mercado_Receita!$S$2:$S$987,"44348B1ConvencionalResidencialResidencial baixa renda – faixa 04Não se aplicaNão se aplicaNão se aplica",Mercado_Receita!$L$2:$L$987)</f>
        <v>32.346000000000004</v>
      </c>
      <c r="J31" s="12">
        <f>SUMIF(Mercado_Receita!$S$2:$S$987,"44378B1ConvencionalResidencialResidencial baixa renda – faixa 04Não se aplicaNão se aplicaPonta",Mercado_Receita!$L$2:$L$987)+SUMIF(Mercado_Receita!$S$2:$S$987,"44378B1ConvencionalResidencialResidencial baixa renda – faixa 04Não se aplicaNão se aplicaFora ponta",Mercado_Receita!$L$2:$L$987)+SUMIF(Mercado_Receita!$S$2:$S$987,"44378B1ConvencionalResidencialResidencial baixa renda – faixa 04Não se aplicaNão se aplicaIntermediário",Mercado_Receita!$L$2:$L$987)+SUMIF(Mercado_Receita!$S$2:$S$987,"44378B1ConvencionalResidencialResidencial baixa renda – faixa 04Não se aplicaNão se aplicaNão se aplica",Mercado_Receita!$L$2:$L$987)</f>
        <v>36.893000000000001</v>
      </c>
      <c r="K31" s="12">
        <f>SUMIF(Mercado_Receita!$S$2:$S$987,"44409B1ConvencionalResidencialResidencial baixa renda – faixa 04Não se aplicaNão se aplicaPonta",Mercado_Receita!$L$2:$L$987)+SUMIF(Mercado_Receita!$S$2:$S$987,"44409B1ConvencionalResidencialResidencial baixa renda – faixa 04Não se aplicaNão se aplicaFora ponta",Mercado_Receita!$L$2:$L$987)+SUMIF(Mercado_Receita!$S$2:$S$987,"44409B1ConvencionalResidencialResidencial baixa renda – faixa 04Não se aplicaNão se aplicaIntermediário",Mercado_Receita!$L$2:$L$987)+SUMIF(Mercado_Receita!$S$2:$S$987,"44409B1ConvencionalResidencialResidencial baixa renda – faixa 04Não se aplicaNão se aplicaNão se aplica",Mercado_Receita!$L$2:$L$987)</f>
        <v>37.478000000000002</v>
      </c>
      <c r="L31" s="12">
        <f>SUMIF(Mercado_Receita!$S$2:$S$987,"44440B1ConvencionalResidencialResidencial baixa renda – faixa 04Não se aplicaNão se aplicaPonta",Mercado_Receita!$L$2:$L$987)+SUMIF(Mercado_Receita!$S$2:$S$987,"44440B1ConvencionalResidencialResidencial baixa renda – faixa 04Não se aplicaNão se aplicaFora ponta",Mercado_Receita!$L$2:$L$987)+SUMIF(Mercado_Receita!$S$2:$S$987,"44440B1ConvencionalResidencialResidencial baixa renda – faixa 04Não se aplicaNão se aplicaIntermediário",Mercado_Receita!$L$2:$L$987)+SUMIF(Mercado_Receita!$S$2:$S$987,"44440B1ConvencionalResidencialResidencial baixa renda – faixa 04Não se aplicaNão se aplicaNão se aplica",Mercado_Receita!$L$2:$L$987)</f>
        <v>30.604000000000003</v>
      </c>
      <c r="M31" s="12">
        <f>SUMIF(Mercado_Receita!$S$2:$S$987,"44470B1ConvencionalResidencialResidencial baixa renda – faixa 04Não se aplicaNão se aplicaPonta",Mercado_Receita!$L$2:$L$987)+SUMIF(Mercado_Receita!$S$2:$S$987,"44470B1ConvencionalResidencialResidencial baixa renda – faixa 04Não se aplicaNão se aplicaFora ponta",Mercado_Receita!$L$2:$L$987)+SUMIF(Mercado_Receita!$S$2:$S$987,"44470B1ConvencionalResidencialResidencial baixa renda – faixa 04Não se aplicaNão se aplicaIntermediário",Mercado_Receita!$L$2:$L$987)+SUMIF(Mercado_Receita!$S$2:$S$987,"44470B1ConvencionalResidencialResidencial baixa renda – faixa 04Não se aplicaNão se aplicaNão se aplica",Mercado_Receita!$L$2:$L$987)</f>
        <v>31.17</v>
      </c>
      <c r="N31" s="12">
        <f>SUMIF(Mercado_Receita!$S$2:$S$987,"44501B1ConvencionalResidencialResidencial baixa renda – faixa 04Não se aplicaNão se aplicaPonta",Mercado_Receita!$L$2:$L$987)+SUMIF(Mercado_Receita!$S$2:$S$987,"44501B1ConvencionalResidencialResidencial baixa renda – faixa 04Não se aplicaNão se aplicaFora ponta",Mercado_Receita!$L$2:$L$987)+SUMIF(Mercado_Receita!$S$2:$S$987,"44501B1ConvencionalResidencialResidencial baixa renda – faixa 04Não se aplicaNão se aplicaIntermediário",Mercado_Receita!$L$2:$L$987)+SUMIF(Mercado_Receita!$S$2:$S$987,"44501B1ConvencionalResidencialResidencial baixa renda – faixa 04Não se aplicaNão se aplicaNão se aplica",Mercado_Receita!$L$2:$L$987)</f>
        <v>30.134999999999998</v>
      </c>
      <c r="O31" s="12">
        <f>SUMIF(Mercado_Receita!$S$2:$S$987,"44531B1ConvencionalResidencialResidencial baixa renda – faixa 04Não se aplicaNão se aplicaPonta",Mercado_Receita!$L$2:$L$987)+SUMIF(Mercado_Receita!$S$2:$S$987,"44531B1ConvencionalResidencialResidencial baixa renda – faixa 04Não se aplicaNão se aplicaFora ponta",Mercado_Receita!$L$2:$L$987)+SUMIF(Mercado_Receita!$S$2:$S$987,"44531B1ConvencionalResidencialResidencial baixa renda – faixa 04Não se aplicaNão se aplicaIntermediário",Mercado_Receita!$L$2:$L$987)+SUMIF(Mercado_Receita!$S$2:$S$987,"44531B1ConvencionalResidencialResidencial baixa renda – faixa 04Não se aplicaNão se aplicaNão se aplica",Mercado_Receita!$L$2:$L$987)</f>
        <v>25.983999999999998</v>
      </c>
      <c r="P31" s="12">
        <f>SUMIF(Mercado_Receita!$S$2:$S$987,"44562B1ConvencionalResidencialResidencial baixa renda – faixa 04Não se aplicaNão se aplicaPonta",Mercado_Receita!$L$2:$L$987)+SUMIF(Mercado_Receita!$S$2:$S$987,"44562B1ConvencionalResidencialResidencial baixa renda – faixa 04Não se aplicaNão se aplicaFora ponta",Mercado_Receita!$L$2:$L$987)+SUMIF(Mercado_Receita!$S$2:$S$987,"44562B1ConvencionalResidencialResidencial baixa renda – faixa 04Não se aplicaNão se aplicaIntermediário",Mercado_Receita!$L$2:$L$987)+SUMIF(Mercado_Receita!$S$2:$S$987,"44562B1ConvencionalResidencialResidencial baixa renda – faixa 04Não se aplicaNão se aplicaNão se aplica",Mercado_Receita!$L$2:$L$987)</f>
        <v>29.946999999999999</v>
      </c>
      <c r="Q31" s="12">
        <f>SUMIF(Mercado_Receita!$S$2:$S$987,"44593B1ConvencionalResidencialResidencial baixa renda – faixa 04Não se aplicaNão se aplicaPonta",Mercado_Receita!$L$2:$L$987)+SUMIF(Mercado_Receita!$S$2:$S$987,"44593B1ConvencionalResidencialResidencial baixa renda – faixa 04Não se aplicaNão se aplicaFora ponta",Mercado_Receita!$L$2:$L$987)+SUMIF(Mercado_Receita!$S$2:$S$987,"44593B1ConvencionalResidencialResidencial baixa renda – faixa 04Não se aplicaNão se aplicaIntermediário",Mercado_Receita!$L$2:$L$987)+SUMIF(Mercado_Receita!$S$2:$S$987,"44593B1ConvencionalResidencialResidencial baixa renda – faixa 04Não se aplicaNão se aplicaNão se aplica",Mercado_Receita!$L$2:$L$987)</f>
        <v>41.759</v>
      </c>
      <c r="R31" s="12">
        <f>SUMIF(Mercado_Receita!$S$2:$S$987,"44621B1ConvencionalResidencialResidencial baixa renda – faixa 04Não se aplicaNão se aplicaPonta",Mercado_Receita!$L$2:$L$987)+SUMIF(Mercado_Receita!$S$2:$S$987,"44621B1ConvencionalResidencialResidencial baixa renda – faixa 04Não se aplicaNão se aplicaFora ponta",Mercado_Receita!$L$2:$L$987)+SUMIF(Mercado_Receita!$S$2:$S$987,"44621B1ConvencionalResidencialResidencial baixa renda – faixa 04Não se aplicaNão se aplicaIntermediário",Mercado_Receita!$L$2:$L$987)+SUMIF(Mercado_Receita!$S$2:$S$987,"44621B1ConvencionalResidencialResidencial baixa renda – faixa 04Não se aplicaNão se aplicaNão se aplica",Mercado_Receita!$L$2:$L$987)</f>
        <v>43.734999999999999</v>
      </c>
      <c r="S31" s="12">
        <f>SUMIF(Mercado_Receita!$S$2:$S$987,"44652B1ConvencionalResidencialResidencial baixa renda – faixa 04Não se aplicaNão se aplicaPonta",Mercado_Receita!$L$2:$L$987)+SUMIF(Mercado_Receita!$S$2:$S$987,"44652B1ConvencionalResidencialResidencial baixa renda – faixa 04Não se aplicaNão se aplicaFora ponta",Mercado_Receita!$L$2:$L$987)+SUMIF(Mercado_Receita!$S$2:$S$987,"44652B1ConvencionalResidencialResidencial baixa renda – faixa 04Não se aplicaNão se aplicaIntermediário",Mercado_Receita!$L$2:$L$987)+SUMIF(Mercado_Receita!$S$2:$S$987,"44652B1ConvencionalResidencialResidencial baixa renda – faixa 04Não se aplicaNão se aplicaNão se aplica",Mercado_Receita!$L$2:$L$987)</f>
        <v>34.807000000000002</v>
      </c>
      <c r="T31" s="12">
        <f>SUMIF(Mercado_Receita!$S$2:$S$987,"44682B1ConvencionalResidencialResidencial baixa renda – faixa 04Não se aplicaNão se aplicaPonta",Mercado_Receita!$L$2:$L$987)+SUMIF(Mercado_Receita!$S$2:$S$987,"44682B1ConvencionalResidencialResidencial baixa renda – faixa 04Não se aplicaNão se aplicaFora ponta",Mercado_Receita!$L$2:$L$987)+SUMIF(Mercado_Receita!$S$2:$S$987,"44682B1ConvencionalResidencialResidencial baixa renda – faixa 04Não se aplicaNão se aplicaIntermediário",Mercado_Receita!$L$2:$L$987)+SUMIF(Mercado_Receita!$S$2:$S$987,"44682B1ConvencionalResidencialResidencial baixa renda – faixa 04Não se aplicaNão se aplicaNão se aplica",Mercado_Receita!$L$2:$L$987)</f>
        <v>37.356000000000002</v>
      </c>
      <c r="U31" s="12">
        <f t="shared" si="0"/>
        <v>412.21400000000006</v>
      </c>
      <c r="V31" s="12"/>
      <c r="W31" s="12"/>
    </row>
    <row r="32" spans="1:23" ht="11.25" customHeight="1" x14ac:dyDescent="0.25">
      <c r="A32" s="132"/>
      <c r="B32" s="131" t="s">
        <v>86</v>
      </c>
      <c r="C32" s="131" t="s">
        <v>24</v>
      </c>
      <c r="D32" s="13" t="s">
        <v>24</v>
      </c>
      <c r="E32" s="13" t="s">
        <v>25</v>
      </c>
      <c r="F32" s="13" t="s">
        <v>25</v>
      </c>
      <c r="G32" s="12" t="s">
        <v>75</v>
      </c>
      <c r="H32" s="12" t="s">
        <v>71</v>
      </c>
      <c r="I32" s="12">
        <f>SUMIF(Mercado_Receita!$S$2:$S$987,"44348B1Convencional pré-pagamentoResidencialResidencialNão se aplicaNão se aplicaPonta",Mercado_Receita!$L$2:$L$987)+SUMIF(Mercado_Receita!$S$2:$S$987,"44348B1Convencional pré-pagamentoResidencialResidencialNão se aplicaNão se aplicaFora ponta",Mercado_Receita!$L$2:$L$987)+SUMIF(Mercado_Receita!$S$2:$S$987,"44348B1Convencional pré-pagamentoResidencialResidencialNão se aplicaNão se aplicaIntermediário",Mercado_Receita!$L$2:$L$987)+SUMIF(Mercado_Receita!$S$2:$S$987,"44348B1Convencional pré-pagamentoResidencialResidencialNão se aplicaNão se aplicaNão se aplica",Mercado_Receita!$L$2:$L$987)</f>
        <v>0</v>
      </c>
      <c r="J32" s="12">
        <f>SUMIF(Mercado_Receita!$S$2:$S$987,"44378B1Convencional pré-pagamentoResidencialResidencialNão se aplicaNão se aplicaPonta",Mercado_Receita!$L$2:$L$987)+SUMIF(Mercado_Receita!$S$2:$S$987,"44378B1Convencional pré-pagamentoResidencialResidencialNão se aplicaNão se aplicaFora ponta",Mercado_Receita!$L$2:$L$987)+SUMIF(Mercado_Receita!$S$2:$S$987,"44378B1Convencional pré-pagamentoResidencialResidencialNão se aplicaNão se aplicaIntermediário",Mercado_Receita!$L$2:$L$987)+SUMIF(Mercado_Receita!$S$2:$S$987,"44378B1Convencional pré-pagamentoResidencialResidencialNão se aplicaNão se aplicaNão se aplica",Mercado_Receita!$L$2:$L$987)</f>
        <v>0</v>
      </c>
      <c r="K32" s="12">
        <f>SUMIF(Mercado_Receita!$S$2:$S$987,"44409B1Convencional pré-pagamentoResidencialResidencialNão se aplicaNão se aplicaPonta",Mercado_Receita!$L$2:$L$987)+SUMIF(Mercado_Receita!$S$2:$S$987,"44409B1Convencional pré-pagamentoResidencialResidencialNão se aplicaNão se aplicaFora ponta",Mercado_Receita!$L$2:$L$987)+SUMIF(Mercado_Receita!$S$2:$S$987,"44409B1Convencional pré-pagamentoResidencialResidencialNão se aplicaNão se aplicaIntermediário",Mercado_Receita!$L$2:$L$987)+SUMIF(Mercado_Receita!$S$2:$S$987,"44409B1Convencional pré-pagamentoResidencialResidencialNão se aplicaNão se aplicaNão se aplica",Mercado_Receita!$L$2:$L$987)</f>
        <v>0</v>
      </c>
      <c r="L32" s="12">
        <f>SUMIF(Mercado_Receita!$S$2:$S$987,"44440B1Convencional pré-pagamentoResidencialResidencialNão se aplicaNão se aplicaPonta",Mercado_Receita!$L$2:$L$987)+SUMIF(Mercado_Receita!$S$2:$S$987,"44440B1Convencional pré-pagamentoResidencialResidencialNão se aplicaNão se aplicaFora ponta",Mercado_Receita!$L$2:$L$987)+SUMIF(Mercado_Receita!$S$2:$S$987,"44440B1Convencional pré-pagamentoResidencialResidencialNão se aplicaNão se aplicaIntermediário",Mercado_Receita!$L$2:$L$987)+SUMIF(Mercado_Receita!$S$2:$S$987,"44440B1Convencional pré-pagamentoResidencialResidencialNão se aplicaNão se aplicaNão se aplica",Mercado_Receita!$L$2:$L$987)</f>
        <v>0</v>
      </c>
      <c r="M32" s="12">
        <f>SUMIF(Mercado_Receita!$S$2:$S$987,"44470B1Convencional pré-pagamentoResidencialResidencialNão se aplicaNão se aplicaPonta",Mercado_Receita!$L$2:$L$987)+SUMIF(Mercado_Receita!$S$2:$S$987,"44470B1Convencional pré-pagamentoResidencialResidencialNão se aplicaNão se aplicaFora ponta",Mercado_Receita!$L$2:$L$987)+SUMIF(Mercado_Receita!$S$2:$S$987,"44470B1Convencional pré-pagamentoResidencialResidencialNão se aplicaNão se aplicaIntermediário",Mercado_Receita!$L$2:$L$987)+SUMIF(Mercado_Receita!$S$2:$S$987,"44470B1Convencional pré-pagamentoResidencialResidencialNão se aplicaNão se aplicaNão se aplica",Mercado_Receita!$L$2:$L$987)</f>
        <v>0</v>
      </c>
      <c r="N32" s="12">
        <f>SUMIF(Mercado_Receita!$S$2:$S$987,"44501B1Convencional pré-pagamentoResidencialResidencialNão se aplicaNão se aplicaPonta",Mercado_Receita!$L$2:$L$987)+SUMIF(Mercado_Receita!$S$2:$S$987,"44501B1Convencional pré-pagamentoResidencialResidencialNão se aplicaNão se aplicaFora ponta",Mercado_Receita!$L$2:$L$987)+SUMIF(Mercado_Receita!$S$2:$S$987,"44501B1Convencional pré-pagamentoResidencialResidencialNão se aplicaNão se aplicaIntermediário",Mercado_Receita!$L$2:$L$987)+SUMIF(Mercado_Receita!$S$2:$S$987,"44501B1Convencional pré-pagamentoResidencialResidencialNão se aplicaNão se aplicaNão se aplica",Mercado_Receita!$L$2:$L$987)</f>
        <v>0</v>
      </c>
      <c r="O32" s="12">
        <f>SUMIF(Mercado_Receita!$S$2:$S$987,"44531B1Convencional pré-pagamentoResidencialResidencialNão se aplicaNão se aplicaPonta",Mercado_Receita!$L$2:$L$987)+SUMIF(Mercado_Receita!$S$2:$S$987,"44531B1Convencional pré-pagamentoResidencialResidencialNão se aplicaNão se aplicaFora ponta",Mercado_Receita!$L$2:$L$987)+SUMIF(Mercado_Receita!$S$2:$S$987,"44531B1Convencional pré-pagamentoResidencialResidencialNão se aplicaNão se aplicaIntermediário",Mercado_Receita!$L$2:$L$987)+SUMIF(Mercado_Receita!$S$2:$S$987,"44531B1Convencional pré-pagamentoResidencialResidencialNão se aplicaNão se aplicaNão se aplica",Mercado_Receita!$L$2:$L$987)</f>
        <v>0</v>
      </c>
      <c r="P32" s="12">
        <f>SUMIF(Mercado_Receita!$S$2:$S$987,"44562B1Convencional pré-pagamentoResidencialResidencialNão se aplicaNão se aplicaPonta",Mercado_Receita!$L$2:$L$987)+SUMIF(Mercado_Receita!$S$2:$S$987,"44562B1Convencional pré-pagamentoResidencialResidencialNão se aplicaNão se aplicaFora ponta",Mercado_Receita!$L$2:$L$987)+SUMIF(Mercado_Receita!$S$2:$S$987,"44562B1Convencional pré-pagamentoResidencialResidencialNão se aplicaNão se aplicaIntermediário",Mercado_Receita!$L$2:$L$987)+SUMIF(Mercado_Receita!$S$2:$S$987,"44562B1Convencional pré-pagamentoResidencialResidencialNão se aplicaNão se aplicaNão se aplica",Mercado_Receita!$L$2:$L$987)</f>
        <v>0</v>
      </c>
      <c r="Q32" s="12">
        <f>SUMIF(Mercado_Receita!$S$2:$S$987,"44593B1Convencional pré-pagamentoResidencialResidencialNão se aplicaNão se aplicaPonta",Mercado_Receita!$L$2:$L$987)+SUMIF(Mercado_Receita!$S$2:$S$987,"44593B1Convencional pré-pagamentoResidencialResidencialNão se aplicaNão se aplicaFora ponta",Mercado_Receita!$L$2:$L$987)+SUMIF(Mercado_Receita!$S$2:$S$987,"44593B1Convencional pré-pagamentoResidencialResidencialNão se aplicaNão se aplicaIntermediário",Mercado_Receita!$L$2:$L$987)+SUMIF(Mercado_Receita!$S$2:$S$987,"44593B1Convencional pré-pagamentoResidencialResidencialNão se aplicaNão se aplicaNão se aplica",Mercado_Receita!$L$2:$L$987)</f>
        <v>0</v>
      </c>
      <c r="R32" s="12">
        <f>SUMIF(Mercado_Receita!$S$2:$S$987,"44621B1Convencional pré-pagamentoResidencialResidencialNão se aplicaNão se aplicaPonta",Mercado_Receita!$L$2:$L$987)+SUMIF(Mercado_Receita!$S$2:$S$987,"44621B1Convencional pré-pagamentoResidencialResidencialNão se aplicaNão se aplicaFora ponta",Mercado_Receita!$L$2:$L$987)+SUMIF(Mercado_Receita!$S$2:$S$987,"44621B1Convencional pré-pagamentoResidencialResidencialNão se aplicaNão se aplicaIntermediário",Mercado_Receita!$L$2:$L$987)+SUMIF(Mercado_Receita!$S$2:$S$987,"44621B1Convencional pré-pagamentoResidencialResidencialNão se aplicaNão se aplicaNão se aplica",Mercado_Receita!$L$2:$L$987)</f>
        <v>0</v>
      </c>
      <c r="S32" s="12">
        <f>SUMIF(Mercado_Receita!$S$2:$S$987,"44652B1Convencional pré-pagamentoResidencialResidencialNão se aplicaNão se aplicaPonta",Mercado_Receita!$L$2:$L$987)+SUMIF(Mercado_Receita!$S$2:$S$987,"44652B1Convencional pré-pagamentoResidencialResidencialNão se aplicaNão se aplicaFora ponta",Mercado_Receita!$L$2:$L$987)+SUMIF(Mercado_Receita!$S$2:$S$987,"44652B1Convencional pré-pagamentoResidencialResidencialNão se aplicaNão se aplicaIntermediário",Mercado_Receita!$L$2:$L$987)+SUMIF(Mercado_Receita!$S$2:$S$987,"44652B1Convencional pré-pagamentoResidencialResidencialNão se aplicaNão se aplicaNão se aplica",Mercado_Receita!$L$2:$L$987)</f>
        <v>0</v>
      </c>
      <c r="T32" s="12">
        <f>SUMIF(Mercado_Receita!$S$2:$S$987,"44682B1Convencional pré-pagamentoResidencialResidencialNão se aplicaNão se aplicaPonta",Mercado_Receita!$L$2:$L$987)+SUMIF(Mercado_Receita!$S$2:$S$987,"44682B1Convencional pré-pagamentoResidencialResidencialNão se aplicaNão se aplicaFora ponta",Mercado_Receita!$L$2:$L$987)+SUMIF(Mercado_Receita!$S$2:$S$987,"44682B1Convencional pré-pagamentoResidencialResidencialNão se aplicaNão se aplicaIntermediário",Mercado_Receita!$L$2:$L$987)+SUMIF(Mercado_Receita!$S$2:$S$987,"44682B1Convencional pré-pagamentoResidencialResidencialNão se aplicaNão se aplicaNão se aplica",Mercado_Receita!$L$2:$L$987)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32"/>
      <c r="B33" s="132"/>
      <c r="C33" s="132"/>
      <c r="D33" s="13" t="s">
        <v>29</v>
      </c>
      <c r="E33" s="13" t="s">
        <v>25</v>
      </c>
      <c r="F33" s="13" t="s">
        <v>25</v>
      </c>
      <c r="G33" s="12" t="s">
        <v>75</v>
      </c>
      <c r="H33" s="12" t="s">
        <v>71</v>
      </c>
      <c r="I33" s="12">
        <f>SUMIF(Mercado_Receita!$S$2:$S$987,"44348B1Convencional pré-pagamentoResidencialResidencial baixa renda – faixa 01Não se aplicaNão se aplicaPonta",Mercado_Receita!$L$2:$L$987)+SUMIF(Mercado_Receita!$S$2:$S$987,"44348B1Convencional pré-pagamentoResidencialResidencial baixa renda – faixa 01Não se aplicaNão se aplicaFora ponta",Mercado_Receita!$L$2:$L$987)+SUMIF(Mercado_Receita!$S$2:$S$987,"44348B1Convencional pré-pagamentoResidencialResidencial baixa renda – faixa 01Não se aplicaNão se aplicaIntermediário",Mercado_Receita!$L$2:$L$987)+SUMIF(Mercado_Receita!$S$2:$S$987,"44348B1Convencional pré-pagamentoResidencialResidencial baixa renda – faixa 01Não se aplicaNão se aplicaNão se aplica",Mercado_Receita!$L$2:$L$987)</f>
        <v>0</v>
      </c>
      <c r="J33" s="12">
        <f>SUMIF(Mercado_Receita!$S$2:$S$987,"44378B1Convencional pré-pagamentoResidencialResidencial baixa renda – faixa 01Não se aplicaNão se aplicaPonta",Mercado_Receita!$L$2:$L$987)+SUMIF(Mercado_Receita!$S$2:$S$987,"44378B1Convencional pré-pagamentoResidencialResidencial baixa renda – faixa 01Não se aplicaNão se aplicaFora ponta",Mercado_Receita!$L$2:$L$987)+SUMIF(Mercado_Receita!$S$2:$S$987,"44378B1Convencional pré-pagamentoResidencialResidencial baixa renda – faixa 01Não se aplicaNão se aplicaIntermediário",Mercado_Receita!$L$2:$L$987)+SUMIF(Mercado_Receita!$S$2:$S$987,"44378B1Convencional pré-pagamentoResidencialResidencial baixa renda – faixa 01Não se aplicaNão se aplicaNão se aplica",Mercado_Receita!$L$2:$L$987)</f>
        <v>0</v>
      </c>
      <c r="K33" s="12">
        <f>SUMIF(Mercado_Receita!$S$2:$S$987,"44409B1Convencional pré-pagamentoResidencialResidencial baixa renda – faixa 01Não se aplicaNão se aplicaPonta",Mercado_Receita!$L$2:$L$987)+SUMIF(Mercado_Receita!$S$2:$S$987,"44409B1Convencional pré-pagamentoResidencialResidencial baixa renda – faixa 01Não se aplicaNão se aplicaFora ponta",Mercado_Receita!$L$2:$L$987)+SUMIF(Mercado_Receita!$S$2:$S$987,"44409B1Convencional pré-pagamentoResidencialResidencial baixa renda – faixa 01Não se aplicaNão se aplicaIntermediário",Mercado_Receita!$L$2:$L$987)+SUMIF(Mercado_Receita!$S$2:$S$987,"44409B1Convencional pré-pagamentoResidencialResidencial baixa renda – faixa 01Não se aplicaNão se aplicaNão se aplica",Mercado_Receita!$L$2:$L$987)</f>
        <v>0</v>
      </c>
      <c r="L33" s="12">
        <f>SUMIF(Mercado_Receita!$S$2:$S$987,"44440B1Convencional pré-pagamentoResidencialResidencial baixa renda – faixa 01Não se aplicaNão se aplicaPonta",Mercado_Receita!$L$2:$L$987)+SUMIF(Mercado_Receita!$S$2:$S$987,"44440B1Convencional pré-pagamentoResidencialResidencial baixa renda – faixa 01Não se aplicaNão se aplicaFora ponta",Mercado_Receita!$L$2:$L$987)+SUMIF(Mercado_Receita!$S$2:$S$987,"44440B1Convencional pré-pagamentoResidencialResidencial baixa renda – faixa 01Não se aplicaNão se aplicaIntermediário",Mercado_Receita!$L$2:$L$987)+SUMIF(Mercado_Receita!$S$2:$S$987,"44440B1Convencional pré-pagamentoResidencialResidencial baixa renda – faixa 01Não se aplicaNão se aplicaNão se aplica",Mercado_Receita!$L$2:$L$987)</f>
        <v>0</v>
      </c>
      <c r="M33" s="12">
        <f>SUMIF(Mercado_Receita!$S$2:$S$987,"44470B1Convencional pré-pagamentoResidencialResidencial baixa renda – faixa 01Não se aplicaNão se aplicaPonta",Mercado_Receita!$L$2:$L$987)+SUMIF(Mercado_Receita!$S$2:$S$987,"44470B1Convencional pré-pagamentoResidencialResidencial baixa renda – faixa 01Não se aplicaNão se aplicaFora ponta",Mercado_Receita!$L$2:$L$987)+SUMIF(Mercado_Receita!$S$2:$S$987,"44470B1Convencional pré-pagamentoResidencialResidencial baixa renda – faixa 01Não se aplicaNão se aplicaIntermediário",Mercado_Receita!$L$2:$L$987)+SUMIF(Mercado_Receita!$S$2:$S$987,"44470B1Convencional pré-pagamentoResidencialResidencial baixa renda – faixa 01Não se aplicaNão se aplicaNão se aplica",Mercado_Receita!$L$2:$L$987)</f>
        <v>0</v>
      </c>
      <c r="N33" s="12">
        <f>SUMIF(Mercado_Receita!$S$2:$S$987,"44501B1Convencional pré-pagamentoResidencialResidencial baixa renda – faixa 01Não se aplicaNão se aplicaPonta",Mercado_Receita!$L$2:$L$987)+SUMIF(Mercado_Receita!$S$2:$S$987,"44501B1Convencional pré-pagamentoResidencialResidencial baixa renda – faixa 01Não se aplicaNão se aplicaFora ponta",Mercado_Receita!$L$2:$L$987)+SUMIF(Mercado_Receita!$S$2:$S$987,"44501B1Convencional pré-pagamentoResidencialResidencial baixa renda – faixa 01Não se aplicaNão se aplicaIntermediário",Mercado_Receita!$L$2:$L$987)+SUMIF(Mercado_Receita!$S$2:$S$987,"44501B1Convencional pré-pagamentoResidencialResidencial baixa renda – faixa 01Não se aplicaNão se aplicaNão se aplica",Mercado_Receita!$L$2:$L$987)</f>
        <v>0</v>
      </c>
      <c r="O33" s="12">
        <f>SUMIF(Mercado_Receita!$S$2:$S$987,"44531B1Convencional pré-pagamentoResidencialResidencial baixa renda – faixa 01Não se aplicaNão se aplicaPonta",Mercado_Receita!$L$2:$L$987)+SUMIF(Mercado_Receita!$S$2:$S$987,"44531B1Convencional pré-pagamentoResidencialResidencial baixa renda – faixa 01Não se aplicaNão se aplicaFora ponta",Mercado_Receita!$L$2:$L$987)+SUMIF(Mercado_Receita!$S$2:$S$987,"44531B1Convencional pré-pagamentoResidencialResidencial baixa renda – faixa 01Não se aplicaNão se aplicaIntermediário",Mercado_Receita!$L$2:$L$987)+SUMIF(Mercado_Receita!$S$2:$S$987,"44531B1Convencional pré-pagamentoResidencialResidencial baixa renda – faixa 01Não se aplicaNão se aplicaNão se aplica",Mercado_Receita!$L$2:$L$987)</f>
        <v>0</v>
      </c>
      <c r="P33" s="12">
        <f>SUMIF(Mercado_Receita!$S$2:$S$987,"44562B1Convencional pré-pagamentoResidencialResidencial baixa renda – faixa 01Não se aplicaNão se aplicaPonta",Mercado_Receita!$L$2:$L$987)+SUMIF(Mercado_Receita!$S$2:$S$987,"44562B1Convencional pré-pagamentoResidencialResidencial baixa renda – faixa 01Não se aplicaNão se aplicaFora ponta",Mercado_Receita!$L$2:$L$987)+SUMIF(Mercado_Receita!$S$2:$S$987,"44562B1Convencional pré-pagamentoResidencialResidencial baixa renda – faixa 01Não se aplicaNão se aplicaIntermediário",Mercado_Receita!$L$2:$L$987)+SUMIF(Mercado_Receita!$S$2:$S$987,"44562B1Convencional pré-pagamentoResidencialResidencial baixa renda – faixa 01Não se aplicaNão se aplicaNão se aplica",Mercado_Receita!$L$2:$L$987)</f>
        <v>0</v>
      </c>
      <c r="Q33" s="12">
        <f>SUMIF(Mercado_Receita!$S$2:$S$987,"44593B1Convencional pré-pagamentoResidencialResidencial baixa renda – faixa 01Não se aplicaNão se aplicaPonta",Mercado_Receita!$L$2:$L$987)+SUMIF(Mercado_Receita!$S$2:$S$987,"44593B1Convencional pré-pagamentoResidencialResidencial baixa renda – faixa 01Não se aplicaNão se aplicaFora ponta",Mercado_Receita!$L$2:$L$987)+SUMIF(Mercado_Receita!$S$2:$S$987,"44593B1Convencional pré-pagamentoResidencialResidencial baixa renda – faixa 01Não se aplicaNão se aplicaIntermediário",Mercado_Receita!$L$2:$L$987)+SUMIF(Mercado_Receita!$S$2:$S$987,"44593B1Convencional pré-pagamentoResidencialResidencial baixa renda – faixa 01Não se aplicaNão se aplicaNão se aplica",Mercado_Receita!$L$2:$L$987)</f>
        <v>0</v>
      </c>
      <c r="R33" s="12">
        <f>SUMIF(Mercado_Receita!$S$2:$S$987,"44621B1Convencional pré-pagamentoResidencialResidencial baixa renda – faixa 01Não se aplicaNão se aplicaPonta",Mercado_Receita!$L$2:$L$987)+SUMIF(Mercado_Receita!$S$2:$S$987,"44621B1Convencional pré-pagamentoResidencialResidencial baixa renda – faixa 01Não se aplicaNão se aplicaFora ponta",Mercado_Receita!$L$2:$L$987)+SUMIF(Mercado_Receita!$S$2:$S$987,"44621B1Convencional pré-pagamentoResidencialResidencial baixa renda – faixa 01Não se aplicaNão se aplicaIntermediário",Mercado_Receita!$L$2:$L$987)+SUMIF(Mercado_Receita!$S$2:$S$987,"44621B1Convencional pré-pagamentoResidencialResidencial baixa renda – faixa 01Não se aplicaNão se aplicaNão se aplica",Mercado_Receita!$L$2:$L$987)</f>
        <v>0</v>
      </c>
      <c r="S33" s="12">
        <f>SUMIF(Mercado_Receita!$S$2:$S$987,"44652B1Convencional pré-pagamentoResidencialResidencial baixa renda – faixa 01Não se aplicaNão se aplicaPonta",Mercado_Receita!$L$2:$L$987)+SUMIF(Mercado_Receita!$S$2:$S$987,"44652B1Convencional pré-pagamentoResidencialResidencial baixa renda – faixa 01Não se aplicaNão se aplicaFora ponta",Mercado_Receita!$L$2:$L$987)+SUMIF(Mercado_Receita!$S$2:$S$987,"44652B1Convencional pré-pagamentoResidencialResidencial baixa renda – faixa 01Não se aplicaNão se aplicaIntermediário",Mercado_Receita!$L$2:$L$987)+SUMIF(Mercado_Receita!$S$2:$S$987,"44652B1Convencional pré-pagamentoResidencialResidencial baixa renda – faixa 01Não se aplicaNão se aplicaNão se aplica",Mercado_Receita!$L$2:$L$987)</f>
        <v>0</v>
      </c>
      <c r="T33" s="12">
        <f>SUMIF(Mercado_Receita!$S$2:$S$987,"44682B1Convencional pré-pagamentoResidencialResidencial baixa renda – faixa 01Não se aplicaNão se aplicaPonta",Mercado_Receita!$L$2:$L$987)+SUMIF(Mercado_Receita!$S$2:$S$987,"44682B1Convencional pré-pagamentoResidencialResidencial baixa renda – faixa 01Não se aplicaNão se aplicaFora ponta",Mercado_Receita!$L$2:$L$987)+SUMIF(Mercado_Receita!$S$2:$S$987,"44682B1Convencional pré-pagamentoResidencialResidencial baixa renda – faixa 01Não se aplicaNão se aplicaIntermediário",Mercado_Receita!$L$2:$L$987)+SUMIF(Mercado_Receita!$S$2:$S$987,"44682B1Convencional pré-pagamentoResidencialResidencial baixa renda – faixa 01Não se aplicaNão se aplicaNão se aplica",Mercado_Receita!$L$2:$L$987)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32"/>
      <c r="B34" s="132"/>
      <c r="C34" s="132"/>
      <c r="D34" s="13" t="s">
        <v>30</v>
      </c>
      <c r="E34" s="13" t="s">
        <v>25</v>
      </c>
      <c r="F34" s="13" t="s">
        <v>25</v>
      </c>
      <c r="G34" s="12" t="s">
        <v>75</v>
      </c>
      <c r="H34" s="12" t="s">
        <v>71</v>
      </c>
      <c r="I34" s="12">
        <f>SUMIF(Mercado_Receita!$S$2:$S$987,"44348B1Convencional pré-pagamentoResidencialResidencial baixa renda – faixa 02Não se aplicaNão se aplicaPonta",Mercado_Receita!$L$2:$L$987)+SUMIF(Mercado_Receita!$S$2:$S$987,"44348B1Convencional pré-pagamentoResidencialResidencial baixa renda – faixa 02Não se aplicaNão se aplicaFora ponta",Mercado_Receita!$L$2:$L$987)+SUMIF(Mercado_Receita!$S$2:$S$987,"44348B1Convencional pré-pagamentoResidencialResidencial baixa renda – faixa 02Não se aplicaNão se aplicaIntermediário",Mercado_Receita!$L$2:$L$987)+SUMIF(Mercado_Receita!$S$2:$S$987,"44348B1Convencional pré-pagamentoResidencialResidencial baixa renda – faixa 02Não se aplicaNão se aplicaNão se aplica",Mercado_Receita!$L$2:$L$987)</f>
        <v>0</v>
      </c>
      <c r="J34" s="12">
        <f>SUMIF(Mercado_Receita!$S$2:$S$987,"44378B1Convencional pré-pagamentoResidencialResidencial baixa renda – faixa 02Não se aplicaNão se aplicaPonta",Mercado_Receita!$L$2:$L$987)+SUMIF(Mercado_Receita!$S$2:$S$987,"44378B1Convencional pré-pagamentoResidencialResidencial baixa renda – faixa 02Não se aplicaNão se aplicaFora ponta",Mercado_Receita!$L$2:$L$987)+SUMIF(Mercado_Receita!$S$2:$S$987,"44378B1Convencional pré-pagamentoResidencialResidencial baixa renda – faixa 02Não se aplicaNão se aplicaIntermediário",Mercado_Receita!$L$2:$L$987)+SUMIF(Mercado_Receita!$S$2:$S$987,"44378B1Convencional pré-pagamentoResidencialResidencial baixa renda – faixa 02Não se aplicaNão se aplicaNão se aplica",Mercado_Receita!$L$2:$L$987)</f>
        <v>0</v>
      </c>
      <c r="K34" s="12">
        <f>SUMIF(Mercado_Receita!$S$2:$S$987,"44409B1Convencional pré-pagamentoResidencialResidencial baixa renda – faixa 02Não se aplicaNão se aplicaPonta",Mercado_Receita!$L$2:$L$987)+SUMIF(Mercado_Receita!$S$2:$S$987,"44409B1Convencional pré-pagamentoResidencialResidencial baixa renda – faixa 02Não se aplicaNão se aplicaFora ponta",Mercado_Receita!$L$2:$L$987)+SUMIF(Mercado_Receita!$S$2:$S$987,"44409B1Convencional pré-pagamentoResidencialResidencial baixa renda – faixa 02Não se aplicaNão se aplicaIntermediário",Mercado_Receita!$L$2:$L$987)+SUMIF(Mercado_Receita!$S$2:$S$987,"44409B1Convencional pré-pagamentoResidencialResidencial baixa renda – faixa 02Não se aplicaNão se aplicaNão se aplica",Mercado_Receita!$L$2:$L$987)</f>
        <v>0</v>
      </c>
      <c r="L34" s="12">
        <f>SUMIF(Mercado_Receita!$S$2:$S$987,"44440B1Convencional pré-pagamentoResidencialResidencial baixa renda – faixa 02Não se aplicaNão se aplicaPonta",Mercado_Receita!$L$2:$L$987)+SUMIF(Mercado_Receita!$S$2:$S$987,"44440B1Convencional pré-pagamentoResidencialResidencial baixa renda – faixa 02Não se aplicaNão se aplicaFora ponta",Mercado_Receita!$L$2:$L$987)+SUMIF(Mercado_Receita!$S$2:$S$987,"44440B1Convencional pré-pagamentoResidencialResidencial baixa renda – faixa 02Não se aplicaNão se aplicaIntermediário",Mercado_Receita!$L$2:$L$987)+SUMIF(Mercado_Receita!$S$2:$S$987,"44440B1Convencional pré-pagamentoResidencialResidencial baixa renda – faixa 02Não se aplicaNão se aplicaNão se aplica",Mercado_Receita!$L$2:$L$987)</f>
        <v>0</v>
      </c>
      <c r="M34" s="12">
        <f>SUMIF(Mercado_Receita!$S$2:$S$987,"44470B1Convencional pré-pagamentoResidencialResidencial baixa renda – faixa 02Não se aplicaNão se aplicaPonta",Mercado_Receita!$L$2:$L$987)+SUMIF(Mercado_Receita!$S$2:$S$987,"44470B1Convencional pré-pagamentoResidencialResidencial baixa renda – faixa 02Não se aplicaNão se aplicaFora ponta",Mercado_Receita!$L$2:$L$987)+SUMIF(Mercado_Receita!$S$2:$S$987,"44470B1Convencional pré-pagamentoResidencialResidencial baixa renda – faixa 02Não se aplicaNão se aplicaIntermediário",Mercado_Receita!$L$2:$L$987)+SUMIF(Mercado_Receita!$S$2:$S$987,"44470B1Convencional pré-pagamentoResidencialResidencial baixa renda – faixa 02Não se aplicaNão se aplicaNão se aplica",Mercado_Receita!$L$2:$L$987)</f>
        <v>0</v>
      </c>
      <c r="N34" s="12">
        <f>SUMIF(Mercado_Receita!$S$2:$S$987,"44501B1Convencional pré-pagamentoResidencialResidencial baixa renda – faixa 02Não se aplicaNão se aplicaPonta",Mercado_Receita!$L$2:$L$987)+SUMIF(Mercado_Receita!$S$2:$S$987,"44501B1Convencional pré-pagamentoResidencialResidencial baixa renda – faixa 02Não se aplicaNão se aplicaFora ponta",Mercado_Receita!$L$2:$L$987)+SUMIF(Mercado_Receita!$S$2:$S$987,"44501B1Convencional pré-pagamentoResidencialResidencial baixa renda – faixa 02Não se aplicaNão se aplicaIntermediário",Mercado_Receita!$L$2:$L$987)+SUMIF(Mercado_Receita!$S$2:$S$987,"44501B1Convencional pré-pagamentoResidencialResidencial baixa renda – faixa 02Não se aplicaNão se aplicaNão se aplica",Mercado_Receita!$L$2:$L$987)</f>
        <v>0</v>
      </c>
      <c r="O34" s="12">
        <f>SUMIF(Mercado_Receita!$S$2:$S$987,"44531B1Convencional pré-pagamentoResidencialResidencial baixa renda – faixa 02Não se aplicaNão se aplicaPonta",Mercado_Receita!$L$2:$L$987)+SUMIF(Mercado_Receita!$S$2:$S$987,"44531B1Convencional pré-pagamentoResidencialResidencial baixa renda – faixa 02Não se aplicaNão se aplicaFora ponta",Mercado_Receita!$L$2:$L$987)+SUMIF(Mercado_Receita!$S$2:$S$987,"44531B1Convencional pré-pagamentoResidencialResidencial baixa renda – faixa 02Não se aplicaNão se aplicaIntermediário",Mercado_Receita!$L$2:$L$987)+SUMIF(Mercado_Receita!$S$2:$S$987,"44531B1Convencional pré-pagamentoResidencialResidencial baixa renda – faixa 02Não se aplicaNão se aplicaNão se aplica",Mercado_Receita!$L$2:$L$987)</f>
        <v>0</v>
      </c>
      <c r="P34" s="12">
        <f>SUMIF(Mercado_Receita!$S$2:$S$987,"44562B1Convencional pré-pagamentoResidencialResidencial baixa renda – faixa 02Não se aplicaNão se aplicaPonta",Mercado_Receita!$L$2:$L$987)+SUMIF(Mercado_Receita!$S$2:$S$987,"44562B1Convencional pré-pagamentoResidencialResidencial baixa renda – faixa 02Não se aplicaNão se aplicaFora ponta",Mercado_Receita!$L$2:$L$987)+SUMIF(Mercado_Receita!$S$2:$S$987,"44562B1Convencional pré-pagamentoResidencialResidencial baixa renda – faixa 02Não se aplicaNão se aplicaIntermediário",Mercado_Receita!$L$2:$L$987)+SUMIF(Mercado_Receita!$S$2:$S$987,"44562B1Convencional pré-pagamentoResidencialResidencial baixa renda – faixa 02Não se aplicaNão se aplicaNão se aplica",Mercado_Receita!$L$2:$L$987)</f>
        <v>0</v>
      </c>
      <c r="Q34" s="12">
        <f>SUMIF(Mercado_Receita!$S$2:$S$987,"44593B1Convencional pré-pagamentoResidencialResidencial baixa renda – faixa 02Não se aplicaNão se aplicaPonta",Mercado_Receita!$L$2:$L$987)+SUMIF(Mercado_Receita!$S$2:$S$987,"44593B1Convencional pré-pagamentoResidencialResidencial baixa renda – faixa 02Não se aplicaNão se aplicaFora ponta",Mercado_Receita!$L$2:$L$987)+SUMIF(Mercado_Receita!$S$2:$S$987,"44593B1Convencional pré-pagamentoResidencialResidencial baixa renda – faixa 02Não se aplicaNão se aplicaIntermediário",Mercado_Receita!$L$2:$L$987)+SUMIF(Mercado_Receita!$S$2:$S$987,"44593B1Convencional pré-pagamentoResidencialResidencial baixa renda – faixa 02Não se aplicaNão se aplicaNão se aplica",Mercado_Receita!$L$2:$L$987)</f>
        <v>0</v>
      </c>
      <c r="R34" s="12">
        <f>SUMIF(Mercado_Receita!$S$2:$S$987,"44621B1Convencional pré-pagamentoResidencialResidencial baixa renda – faixa 02Não se aplicaNão se aplicaPonta",Mercado_Receita!$L$2:$L$987)+SUMIF(Mercado_Receita!$S$2:$S$987,"44621B1Convencional pré-pagamentoResidencialResidencial baixa renda – faixa 02Não se aplicaNão se aplicaFora ponta",Mercado_Receita!$L$2:$L$987)+SUMIF(Mercado_Receita!$S$2:$S$987,"44621B1Convencional pré-pagamentoResidencialResidencial baixa renda – faixa 02Não se aplicaNão se aplicaIntermediário",Mercado_Receita!$L$2:$L$987)+SUMIF(Mercado_Receita!$S$2:$S$987,"44621B1Convencional pré-pagamentoResidencialResidencial baixa renda – faixa 02Não se aplicaNão se aplicaNão se aplica",Mercado_Receita!$L$2:$L$987)</f>
        <v>0</v>
      </c>
      <c r="S34" s="12">
        <f>SUMIF(Mercado_Receita!$S$2:$S$987,"44652B1Convencional pré-pagamentoResidencialResidencial baixa renda – faixa 02Não se aplicaNão se aplicaPonta",Mercado_Receita!$L$2:$L$987)+SUMIF(Mercado_Receita!$S$2:$S$987,"44652B1Convencional pré-pagamentoResidencialResidencial baixa renda – faixa 02Não se aplicaNão se aplicaFora ponta",Mercado_Receita!$L$2:$L$987)+SUMIF(Mercado_Receita!$S$2:$S$987,"44652B1Convencional pré-pagamentoResidencialResidencial baixa renda – faixa 02Não se aplicaNão se aplicaIntermediário",Mercado_Receita!$L$2:$L$987)+SUMIF(Mercado_Receita!$S$2:$S$987,"44652B1Convencional pré-pagamentoResidencialResidencial baixa renda – faixa 02Não se aplicaNão se aplicaNão se aplica",Mercado_Receita!$L$2:$L$987)</f>
        <v>0</v>
      </c>
      <c r="T34" s="12">
        <f>SUMIF(Mercado_Receita!$S$2:$S$987,"44682B1Convencional pré-pagamentoResidencialResidencial baixa renda – faixa 02Não se aplicaNão se aplicaPonta",Mercado_Receita!$L$2:$L$987)+SUMIF(Mercado_Receita!$S$2:$S$987,"44682B1Convencional pré-pagamentoResidencialResidencial baixa renda – faixa 02Não se aplicaNão se aplicaFora ponta",Mercado_Receita!$L$2:$L$987)+SUMIF(Mercado_Receita!$S$2:$S$987,"44682B1Convencional pré-pagamentoResidencialResidencial baixa renda – faixa 02Não se aplicaNão se aplicaIntermediário",Mercado_Receita!$L$2:$L$987)+SUMIF(Mercado_Receita!$S$2:$S$987,"44682B1Convencional pré-pagamentoResidencialResidencial baixa renda – faixa 02Não se aplicaNão se aplicaNão se aplica",Mercado_Receita!$L$2:$L$987)</f>
        <v>0</v>
      </c>
      <c r="U34" s="12">
        <f t="shared" ref="U34:U58" si="1">SUM(I34:T34)</f>
        <v>0</v>
      </c>
      <c r="V34" s="12"/>
      <c r="W34" s="12"/>
    </row>
    <row r="35" spans="1:23" ht="11.25" customHeight="1" x14ac:dyDescent="0.25">
      <c r="A35" s="132"/>
      <c r="B35" s="132"/>
      <c r="C35" s="132"/>
      <c r="D35" s="13" t="s">
        <v>31</v>
      </c>
      <c r="E35" s="13" t="s">
        <v>25</v>
      </c>
      <c r="F35" s="13" t="s">
        <v>25</v>
      </c>
      <c r="G35" s="12" t="s">
        <v>75</v>
      </c>
      <c r="H35" s="12" t="s">
        <v>71</v>
      </c>
      <c r="I35" s="12">
        <f>SUMIF(Mercado_Receita!$S$2:$S$987,"44348B1Convencional pré-pagamentoResidencialResidencial baixa renda – faixa 03Não se aplicaNão se aplicaPonta",Mercado_Receita!$L$2:$L$987)+SUMIF(Mercado_Receita!$S$2:$S$987,"44348B1Convencional pré-pagamentoResidencialResidencial baixa renda – faixa 03Não se aplicaNão se aplicaFora ponta",Mercado_Receita!$L$2:$L$987)+SUMIF(Mercado_Receita!$S$2:$S$987,"44348B1Convencional pré-pagamentoResidencialResidencial baixa renda – faixa 03Não se aplicaNão se aplicaIntermediário",Mercado_Receita!$L$2:$L$987)+SUMIF(Mercado_Receita!$S$2:$S$987,"44348B1Convencional pré-pagamentoResidencialResidencial baixa renda – faixa 03Não se aplicaNão se aplicaNão se aplica",Mercado_Receita!$L$2:$L$987)</f>
        <v>0</v>
      </c>
      <c r="J35" s="12">
        <f>SUMIF(Mercado_Receita!$S$2:$S$987,"44378B1Convencional pré-pagamentoResidencialResidencial baixa renda – faixa 03Não se aplicaNão se aplicaPonta",Mercado_Receita!$L$2:$L$987)+SUMIF(Mercado_Receita!$S$2:$S$987,"44378B1Convencional pré-pagamentoResidencialResidencial baixa renda – faixa 03Não se aplicaNão se aplicaFora ponta",Mercado_Receita!$L$2:$L$987)+SUMIF(Mercado_Receita!$S$2:$S$987,"44378B1Convencional pré-pagamentoResidencialResidencial baixa renda – faixa 03Não se aplicaNão se aplicaIntermediário",Mercado_Receita!$L$2:$L$987)+SUMIF(Mercado_Receita!$S$2:$S$987,"44378B1Convencional pré-pagamentoResidencialResidencial baixa renda – faixa 03Não se aplicaNão se aplicaNão se aplica",Mercado_Receita!$L$2:$L$987)</f>
        <v>0</v>
      </c>
      <c r="K35" s="12">
        <f>SUMIF(Mercado_Receita!$S$2:$S$987,"44409B1Convencional pré-pagamentoResidencialResidencial baixa renda – faixa 03Não se aplicaNão se aplicaPonta",Mercado_Receita!$L$2:$L$987)+SUMIF(Mercado_Receita!$S$2:$S$987,"44409B1Convencional pré-pagamentoResidencialResidencial baixa renda – faixa 03Não se aplicaNão se aplicaFora ponta",Mercado_Receita!$L$2:$L$987)+SUMIF(Mercado_Receita!$S$2:$S$987,"44409B1Convencional pré-pagamentoResidencialResidencial baixa renda – faixa 03Não se aplicaNão se aplicaIntermediário",Mercado_Receita!$L$2:$L$987)+SUMIF(Mercado_Receita!$S$2:$S$987,"44409B1Convencional pré-pagamentoResidencialResidencial baixa renda – faixa 03Não se aplicaNão se aplicaNão se aplica",Mercado_Receita!$L$2:$L$987)</f>
        <v>0</v>
      </c>
      <c r="L35" s="12">
        <f>SUMIF(Mercado_Receita!$S$2:$S$987,"44440B1Convencional pré-pagamentoResidencialResidencial baixa renda – faixa 03Não se aplicaNão se aplicaPonta",Mercado_Receita!$L$2:$L$987)+SUMIF(Mercado_Receita!$S$2:$S$987,"44440B1Convencional pré-pagamentoResidencialResidencial baixa renda – faixa 03Não se aplicaNão se aplicaFora ponta",Mercado_Receita!$L$2:$L$987)+SUMIF(Mercado_Receita!$S$2:$S$987,"44440B1Convencional pré-pagamentoResidencialResidencial baixa renda – faixa 03Não se aplicaNão se aplicaIntermediário",Mercado_Receita!$L$2:$L$987)+SUMIF(Mercado_Receita!$S$2:$S$987,"44440B1Convencional pré-pagamentoResidencialResidencial baixa renda – faixa 03Não se aplicaNão se aplicaNão se aplica",Mercado_Receita!$L$2:$L$987)</f>
        <v>0</v>
      </c>
      <c r="M35" s="12">
        <f>SUMIF(Mercado_Receita!$S$2:$S$987,"44470B1Convencional pré-pagamentoResidencialResidencial baixa renda – faixa 03Não se aplicaNão se aplicaPonta",Mercado_Receita!$L$2:$L$987)+SUMIF(Mercado_Receita!$S$2:$S$987,"44470B1Convencional pré-pagamentoResidencialResidencial baixa renda – faixa 03Não se aplicaNão se aplicaFora ponta",Mercado_Receita!$L$2:$L$987)+SUMIF(Mercado_Receita!$S$2:$S$987,"44470B1Convencional pré-pagamentoResidencialResidencial baixa renda – faixa 03Não se aplicaNão se aplicaIntermediário",Mercado_Receita!$L$2:$L$987)+SUMIF(Mercado_Receita!$S$2:$S$987,"44470B1Convencional pré-pagamentoResidencialResidencial baixa renda – faixa 03Não se aplicaNão se aplicaNão se aplica",Mercado_Receita!$L$2:$L$987)</f>
        <v>0</v>
      </c>
      <c r="N35" s="12">
        <f>SUMIF(Mercado_Receita!$S$2:$S$987,"44501B1Convencional pré-pagamentoResidencialResidencial baixa renda – faixa 03Não se aplicaNão se aplicaPonta",Mercado_Receita!$L$2:$L$987)+SUMIF(Mercado_Receita!$S$2:$S$987,"44501B1Convencional pré-pagamentoResidencialResidencial baixa renda – faixa 03Não se aplicaNão se aplicaFora ponta",Mercado_Receita!$L$2:$L$987)+SUMIF(Mercado_Receita!$S$2:$S$987,"44501B1Convencional pré-pagamentoResidencialResidencial baixa renda – faixa 03Não se aplicaNão se aplicaIntermediário",Mercado_Receita!$L$2:$L$987)+SUMIF(Mercado_Receita!$S$2:$S$987,"44501B1Convencional pré-pagamentoResidencialResidencial baixa renda – faixa 03Não se aplicaNão se aplicaNão se aplica",Mercado_Receita!$L$2:$L$987)</f>
        <v>0</v>
      </c>
      <c r="O35" s="12">
        <f>SUMIF(Mercado_Receita!$S$2:$S$987,"44531B1Convencional pré-pagamentoResidencialResidencial baixa renda – faixa 03Não se aplicaNão se aplicaPonta",Mercado_Receita!$L$2:$L$987)+SUMIF(Mercado_Receita!$S$2:$S$987,"44531B1Convencional pré-pagamentoResidencialResidencial baixa renda – faixa 03Não se aplicaNão se aplicaFora ponta",Mercado_Receita!$L$2:$L$987)+SUMIF(Mercado_Receita!$S$2:$S$987,"44531B1Convencional pré-pagamentoResidencialResidencial baixa renda – faixa 03Não se aplicaNão se aplicaIntermediário",Mercado_Receita!$L$2:$L$987)+SUMIF(Mercado_Receita!$S$2:$S$987,"44531B1Convencional pré-pagamentoResidencialResidencial baixa renda – faixa 03Não se aplicaNão se aplicaNão se aplica",Mercado_Receita!$L$2:$L$987)</f>
        <v>0</v>
      </c>
      <c r="P35" s="12">
        <f>SUMIF(Mercado_Receita!$S$2:$S$987,"44562B1Convencional pré-pagamentoResidencialResidencial baixa renda – faixa 03Não se aplicaNão se aplicaPonta",Mercado_Receita!$L$2:$L$987)+SUMIF(Mercado_Receita!$S$2:$S$987,"44562B1Convencional pré-pagamentoResidencialResidencial baixa renda – faixa 03Não se aplicaNão se aplicaFora ponta",Mercado_Receita!$L$2:$L$987)+SUMIF(Mercado_Receita!$S$2:$S$987,"44562B1Convencional pré-pagamentoResidencialResidencial baixa renda – faixa 03Não se aplicaNão se aplicaIntermediário",Mercado_Receita!$L$2:$L$987)+SUMIF(Mercado_Receita!$S$2:$S$987,"44562B1Convencional pré-pagamentoResidencialResidencial baixa renda – faixa 03Não se aplicaNão se aplicaNão se aplica",Mercado_Receita!$L$2:$L$987)</f>
        <v>0</v>
      </c>
      <c r="Q35" s="12">
        <f>SUMIF(Mercado_Receita!$S$2:$S$987,"44593B1Convencional pré-pagamentoResidencialResidencial baixa renda – faixa 03Não se aplicaNão se aplicaPonta",Mercado_Receita!$L$2:$L$987)+SUMIF(Mercado_Receita!$S$2:$S$987,"44593B1Convencional pré-pagamentoResidencialResidencial baixa renda – faixa 03Não se aplicaNão se aplicaFora ponta",Mercado_Receita!$L$2:$L$987)+SUMIF(Mercado_Receita!$S$2:$S$987,"44593B1Convencional pré-pagamentoResidencialResidencial baixa renda – faixa 03Não se aplicaNão se aplicaIntermediário",Mercado_Receita!$L$2:$L$987)+SUMIF(Mercado_Receita!$S$2:$S$987,"44593B1Convencional pré-pagamentoResidencialResidencial baixa renda – faixa 03Não se aplicaNão se aplicaNão se aplica",Mercado_Receita!$L$2:$L$987)</f>
        <v>0</v>
      </c>
      <c r="R35" s="12">
        <f>SUMIF(Mercado_Receita!$S$2:$S$987,"44621B1Convencional pré-pagamentoResidencialResidencial baixa renda – faixa 03Não se aplicaNão se aplicaPonta",Mercado_Receita!$L$2:$L$987)+SUMIF(Mercado_Receita!$S$2:$S$987,"44621B1Convencional pré-pagamentoResidencialResidencial baixa renda – faixa 03Não se aplicaNão se aplicaFora ponta",Mercado_Receita!$L$2:$L$987)+SUMIF(Mercado_Receita!$S$2:$S$987,"44621B1Convencional pré-pagamentoResidencialResidencial baixa renda – faixa 03Não se aplicaNão se aplicaIntermediário",Mercado_Receita!$L$2:$L$987)+SUMIF(Mercado_Receita!$S$2:$S$987,"44621B1Convencional pré-pagamentoResidencialResidencial baixa renda – faixa 03Não se aplicaNão se aplicaNão se aplica",Mercado_Receita!$L$2:$L$987)</f>
        <v>0</v>
      </c>
      <c r="S35" s="12">
        <f>SUMIF(Mercado_Receita!$S$2:$S$987,"44652B1Convencional pré-pagamentoResidencialResidencial baixa renda – faixa 03Não se aplicaNão se aplicaPonta",Mercado_Receita!$L$2:$L$987)+SUMIF(Mercado_Receita!$S$2:$S$987,"44652B1Convencional pré-pagamentoResidencialResidencial baixa renda – faixa 03Não se aplicaNão se aplicaFora ponta",Mercado_Receita!$L$2:$L$987)+SUMIF(Mercado_Receita!$S$2:$S$987,"44652B1Convencional pré-pagamentoResidencialResidencial baixa renda – faixa 03Não se aplicaNão se aplicaIntermediário",Mercado_Receita!$L$2:$L$987)+SUMIF(Mercado_Receita!$S$2:$S$987,"44652B1Convencional pré-pagamentoResidencialResidencial baixa renda – faixa 03Não se aplicaNão se aplicaNão se aplica",Mercado_Receita!$L$2:$L$987)</f>
        <v>0</v>
      </c>
      <c r="T35" s="12">
        <f>SUMIF(Mercado_Receita!$S$2:$S$987,"44682B1Convencional pré-pagamentoResidencialResidencial baixa renda – faixa 03Não se aplicaNão se aplicaPonta",Mercado_Receita!$L$2:$L$987)+SUMIF(Mercado_Receita!$S$2:$S$987,"44682B1Convencional pré-pagamentoResidencialResidencial baixa renda – faixa 03Não se aplicaNão se aplicaFora ponta",Mercado_Receita!$L$2:$L$987)+SUMIF(Mercado_Receita!$S$2:$S$987,"44682B1Convencional pré-pagamentoResidencialResidencial baixa renda – faixa 03Não se aplicaNão se aplicaIntermediário",Mercado_Receita!$L$2:$L$987)+SUMIF(Mercado_Receita!$S$2:$S$987,"44682B1Convencional pré-pagamentoResidencialResidencial baixa renda – faixa 03Não se aplicaNão se aplicaNão se aplica",Mercado_Receita!$L$2:$L$987)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132"/>
      <c r="B36" s="132"/>
      <c r="C36" s="132"/>
      <c r="D36" s="13" t="s">
        <v>32</v>
      </c>
      <c r="E36" s="13" t="s">
        <v>25</v>
      </c>
      <c r="F36" s="13" t="s">
        <v>25</v>
      </c>
      <c r="G36" s="12" t="s">
        <v>75</v>
      </c>
      <c r="H36" s="12" t="s">
        <v>71</v>
      </c>
      <c r="I36" s="12">
        <f>SUMIF(Mercado_Receita!$S$2:$S$987,"44348B1Convencional pré-pagamentoResidencialResidencial baixa renda – faixa 04Não se aplicaNão se aplicaPonta",Mercado_Receita!$L$2:$L$987)+SUMIF(Mercado_Receita!$S$2:$S$987,"44348B1Convencional pré-pagamentoResidencialResidencial baixa renda – faixa 04Não se aplicaNão se aplicaFora ponta",Mercado_Receita!$L$2:$L$987)+SUMIF(Mercado_Receita!$S$2:$S$987,"44348B1Convencional pré-pagamentoResidencialResidencial baixa renda – faixa 04Não se aplicaNão se aplicaIntermediário",Mercado_Receita!$L$2:$L$987)+SUMIF(Mercado_Receita!$S$2:$S$987,"44348B1Convencional pré-pagamentoResidencialResidencial baixa renda – faixa 04Não se aplicaNão se aplicaNão se aplica",Mercado_Receita!$L$2:$L$987)</f>
        <v>0</v>
      </c>
      <c r="J36" s="12">
        <f>SUMIF(Mercado_Receita!$S$2:$S$987,"44378B1Convencional pré-pagamentoResidencialResidencial baixa renda – faixa 04Não se aplicaNão se aplicaPonta",Mercado_Receita!$L$2:$L$987)+SUMIF(Mercado_Receita!$S$2:$S$987,"44378B1Convencional pré-pagamentoResidencialResidencial baixa renda – faixa 04Não se aplicaNão se aplicaFora ponta",Mercado_Receita!$L$2:$L$987)+SUMIF(Mercado_Receita!$S$2:$S$987,"44378B1Convencional pré-pagamentoResidencialResidencial baixa renda – faixa 04Não se aplicaNão se aplicaIntermediário",Mercado_Receita!$L$2:$L$987)+SUMIF(Mercado_Receita!$S$2:$S$987,"44378B1Convencional pré-pagamentoResidencialResidencial baixa renda – faixa 04Não se aplicaNão se aplicaNão se aplica",Mercado_Receita!$L$2:$L$987)</f>
        <v>0</v>
      </c>
      <c r="K36" s="12">
        <f>SUMIF(Mercado_Receita!$S$2:$S$987,"44409B1Convencional pré-pagamentoResidencialResidencial baixa renda – faixa 04Não se aplicaNão se aplicaPonta",Mercado_Receita!$L$2:$L$987)+SUMIF(Mercado_Receita!$S$2:$S$987,"44409B1Convencional pré-pagamentoResidencialResidencial baixa renda – faixa 04Não se aplicaNão se aplicaFora ponta",Mercado_Receita!$L$2:$L$987)+SUMIF(Mercado_Receita!$S$2:$S$987,"44409B1Convencional pré-pagamentoResidencialResidencial baixa renda – faixa 04Não se aplicaNão se aplicaIntermediário",Mercado_Receita!$L$2:$L$987)+SUMIF(Mercado_Receita!$S$2:$S$987,"44409B1Convencional pré-pagamentoResidencialResidencial baixa renda – faixa 04Não se aplicaNão se aplicaNão se aplica",Mercado_Receita!$L$2:$L$987)</f>
        <v>0</v>
      </c>
      <c r="L36" s="12">
        <f>SUMIF(Mercado_Receita!$S$2:$S$987,"44440B1Convencional pré-pagamentoResidencialResidencial baixa renda – faixa 04Não se aplicaNão se aplicaPonta",Mercado_Receita!$L$2:$L$987)+SUMIF(Mercado_Receita!$S$2:$S$987,"44440B1Convencional pré-pagamentoResidencialResidencial baixa renda – faixa 04Não se aplicaNão se aplicaFora ponta",Mercado_Receita!$L$2:$L$987)+SUMIF(Mercado_Receita!$S$2:$S$987,"44440B1Convencional pré-pagamentoResidencialResidencial baixa renda – faixa 04Não se aplicaNão se aplicaIntermediário",Mercado_Receita!$L$2:$L$987)+SUMIF(Mercado_Receita!$S$2:$S$987,"44440B1Convencional pré-pagamentoResidencialResidencial baixa renda – faixa 04Não se aplicaNão se aplicaNão se aplica",Mercado_Receita!$L$2:$L$987)</f>
        <v>0</v>
      </c>
      <c r="M36" s="12">
        <f>SUMIF(Mercado_Receita!$S$2:$S$987,"44470B1Convencional pré-pagamentoResidencialResidencial baixa renda – faixa 04Não se aplicaNão se aplicaPonta",Mercado_Receita!$L$2:$L$987)+SUMIF(Mercado_Receita!$S$2:$S$987,"44470B1Convencional pré-pagamentoResidencialResidencial baixa renda – faixa 04Não se aplicaNão se aplicaFora ponta",Mercado_Receita!$L$2:$L$987)+SUMIF(Mercado_Receita!$S$2:$S$987,"44470B1Convencional pré-pagamentoResidencialResidencial baixa renda – faixa 04Não se aplicaNão se aplicaIntermediário",Mercado_Receita!$L$2:$L$987)+SUMIF(Mercado_Receita!$S$2:$S$987,"44470B1Convencional pré-pagamentoResidencialResidencial baixa renda – faixa 04Não se aplicaNão se aplicaNão se aplica",Mercado_Receita!$L$2:$L$987)</f>
        <v>0</v>
      </c>
      <c r="N36" s="12">
        <f>SUMIF(Mercado_Receita!$S$2:$S$987,"44501B1Convencional pré-pagamentoResidencialResidencial baixa renda – faixa 04Não se aplicaNão se aplicaPonta",Mercado_Receita!$L$2:$L$987)+SUMIF(Mercado_Receita!$S$2:$S$987,"44501B1Convencional pré-pagamentoResidencialResidencial baixa renda – faixa 04Não se aplicaNão se aplicaFora ponta",Mercado_Receita!$L$2:$L$987)+SUMIF(Mercado_Receita!$S$2:$S$987,"44501B1Convencional pré-pagamentoResidencialResidencial baixa renda – faixa 04Não se aplicaNão se aplicaIntermediário",Mercado_Receita!$L$2:$L$987)+SUMIF(Mercado_Receita!$S$2:$S$987,"44501B1Convencional pré-pagamentoResidencialResidencial baixa renda – faixa 04Não se aplicaNão se aplicaNão se aplica",Mercado_Receita!$L$2:$L$987)</f>
        <v>0</v>
      </c>
      <c r="O36" s="12">
        <f>SUMIF(Mercado_Receita!$S$2:$S$987,"44531B1Convencional pré-pagamentoResidencialResidencial baixa renda – faixa 04Não se aplicaNão se aplicaPonta",Mercado_Receita!$L$2:$L$987)+SUMIF(Mercado_Receita!$S$2:$S$987,"44531B1Convencional pré-pagamentoResidencialResidencial baixa renda – faixa 04Não se aplicaNão se aplicaFora ponta",Mercado_Receita!$L$2:$L$987)+SUMIF(Mercado_Receita!$S$2:$S$987,"44531B1Convencional pré-pagamentoResidencialResidencial baixa renda – faixa 04Não se aplicaNão se aplicaIntermediário",Mercado_Receita!$L$2:$L$987)+SUMIF(Mercado_Receita!$S$2:$S$987,"44531B1Convencional pré-pagamentoResidencialResidencial baixa renda – faixa 04Não se aplicaNão se aplicaNão se aplica",Mercado_Receita!$L$2:$L$987)</f>
        <v>0</v>
      </c>
      <c r="P36" s="12">
        <f>SUMIF(Mercado_Receita!$S$2:$S$987,"44562B1Convencional pré-pagamentoResidencialResidencial baixa renda – faixa 04Não se aplicaNão se aplicaPonta",Mercado_Receita!$L$2:$L$987)+SUMIF(Mercado_Receita!$S$2:$S$987,"44562B1Convencional pré-pagamentoResidencialResidencial baixa renda – faixa 04Não se aplicaNão se aplicaFora ponta",Mercado_Receita!$L$2:$L$987)+SUMIF(Mercado_Receita!$S$2:$S$987,"44562B1Convencional pré-pagamentoResidencialResidencial baixa renda – faixa 04Não se aplicaNão se aplicaIntermediário",Mercado_Receita!$L$2:$L$987)+SUMIF(Mercado_Receita!$S$2:$S$987,"44562B1Convencional pré-pagamentoResidencialResidencial baixa renda – faixa 04Não se aplicaNão se aplicaNão se aplica",Mercado_Receita!$L$2:$L$987)</f>
        <v>0</v>
      </c>
      <c r="Q36" s="12">
        <f>SUMIF(Mercado_Receita!$S$2:$S$987,"44593B1Convencional pré-pagamentoResidencialResidencial baixa renda – faixa 04Não se aplicaNão se aplicaPonta",Mercado_Receita!$L$2:$L$987)+SUMIF(Mercado_Receita!$S$2:$S$987,"44593B1Convencional pré-pagamentoResidencialResidencial baixa renda – faixa 04Não se aplicaNão se aplicaFora ponta",Mercado_Receita!$L$2:$L$987)+SUMIF(Mercado_Receita!$S$2:$S$987,"44593B1Convencional pré-pagamentoResidencialResidencial baixa renda – faixa 04Não se aplicaNão se aplicaIntermediário",Mercado_Receita!$L$2:$L$987)+SUMIF(Mercado_Receita!$S$2:$S$987,"44593B1Convencional pré-pagamentoResidencialResidencial baixa renda – faixa 04Não se aplicaNão se aplicaNão se aplica",Mercado_Receita!$L$2:$L$987)</f>
        <v>0</v>
      </c>
      <c r="R36" s="12">
        <f>SUMIF(Mercado_Receita!$S$2:$S$987,"44621B1Convencional pré-pagamentoResidencialResidencial baixa renda – faixa 04Não se aplicaNão se aplicaPonta",Mercado_Receita!$L$2:$L$987)+SUMIF(Mercado_Receita!$S$2:$S$987,"44621B1Convencional pré-pagamentoResidencialResidencial baixa renda – faixa 04Não se aplicaNão se aplicaFora ponta",Mercado_Receita!$L$2:$L$987)+SUMIF(Mercado_Receita!$S$2:$S$987,"44621B1Convencional pré-pagamentoResidencialResidencial baixa renda – faixa 04Não se aplicaNão se aplicaIntermediário",Mercado_Receita!$L$2:$L$987)+SUMIF(Mercado_Receita!$S$2:$S$987,"44621B1Convencional pré-pagamentoResidencialResidencial baixa renda – faixa 04Não se aplicaNão se aplicaNão se aplica",Mercado_Receita!$L$2:$L$987)</f>
        <v>0</v>
      </c>
      <c r="S36" s="12">
        <f>SUMIF(Mercado_Receita!$S$2:$S$987,"44652B1Convencional pré-pagamentoResidencialResidencial baixa renda – faixa 04Não se aplicaNão se aplicaPonta",Mercado_Receita!$L$2:$L$987)+SUMIF(Mercado_Receita!$S$2:$S$987,"44652B1Convencional pré-pagamentoResidencialResidencial baixa renda – faixa 04Não se aplicaNão se aplicaFora ponta",Mercado_Receita!$L$2:$L$987)+SUMIF(Mercado_Receita!$S$2:$S$987,"44652B1Convencional pré-pagamentoResidencialResidencial baixa renda – faixa 04Não se aplicaNão se aplicaIntermediário",Mercado_Receita!$L$2:$L$987)+SUMIF(Mercado_Receita!$S$2:$S$987,"44652B1Convencional pré-pagamentoResidencialResidencial baixa renda – faixa 04Não se aplicaNão se aplicaNão se aplica",Mercado_Receita!$L$2:$L$987)</f>
        <v>0</v>
      </c>
      <c r="T36" s="12">
        <f>SUMIF(Mercado_Receita!$S$2:$S$987,"44682B1Convencional pré-pagamentoResidencialResidencial baixa renda – faixa 04Não se aplicaNão se aplicaPonta",Mercado_Receita!$L$2:$L$987)+SUMIF(Mercado_Receita!$S$2:$S$987,"44682B1Convencional pré-pagamentoResidencialResidencial baixa renda – faixa 04Não se aplicaNão se aplicaFora ponta",Mercado_Receita!$L$2:$L$987)+SUMIF(Mercado_Receita!$S$2:$S$987,"44682B1Convencional pré-pagamentoResidencialResidencial baixa renda – faixa 04Não se aplicaNão se aplicaIntermediário",Mercado_Receita!$L$2:$L$987)+SUMIF(Mercado_Receita!$S$2:$S$987,"44682B1Convencional pré-pagamentoResidencialResidencial baixa renda – faixa 04Não se aplicaNão se aplicaNão se aplica",Mercado_Receita!$L$2:$L$987)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131" t="s">
        <v>44</v>
      </c>
      <c r="B37" s="131" t="s">
        <v>36</v>
      </c>
      <c r="C37" s="131" t="s">
        <v>45</v>
      </c>
      <c r="D37" s="131" t="s">
        <v>25</v>
      </c>
      <c r="E37" s="131" t="s">
        <v>25</v>
      </c>
      <c r="F37" s="131" t="s">
        <v>25</v>
      </c>
      <c r="G37" s="12" t="s">
        <v>72</v>
      </c>
      <c r="H37" s="12" t="s">
        <v>71</v>
      </c>
      <c r="I37" s="12">
        <f>SUMIF(Mercado_Receita!$S$2:$S$987,"44348B2BrancaRuralNão se aplicaNão se aplicaNão se aplicaPonta",Mercado_Receita!$L$2:$L$987)</f>
        <v>0</v>
      </c>
      <c r="J37" s="12">
        <f>SUMIF(Mercado_Receita!$S$2:$S$987,"44378B2BrancaRuralNão se aplicaNão se aplicaNão se aplicaPonta",Mercado_Receita!$L$2:$L$987)</f>
        <v>0</v>
      </c>
      <c r="K37" s="12">
        <f>SUMIF(Mercado_Receita!$S$2:$S$987,"44409B2BrancaRuralNão se aplicaNão se aplicaNão se aplicaPonta",Mercado_Receita!$L$2:$L$987)</f>
        <v>0</v>
      </c>
      <c r="L37" s="12">
        <f>SUMIF(Mercado_Receita!$S$2:$S$987,"44440B2BrancaRuralNão se aplicaNão se aplicaNão se aplicaPonta",Mercado_Receita!$L$2:$L$987)</f>
        <v>0</v>
      </c>
      <c r="M37" s="12">
        <f>SUMIF(Mercado_Receita!$S$2:$S$987,"44470B2BrancaRuralNão se aplicaNão se aplicaNão se aplicaPonta",Mercado_Receita!$L$2:$L$987)</f>
        <v>0</v>
      </c>
      <c r="N37" s="12">
        <f>SUMIF(Mercado_Receita!$S$2:$S$987,"44501B2BrancaRuralNão se aplicaNão se aplicaNão se aplicaPonta",Mercado_Receita!$L$2:$L$987)</f>
        <v>0</v>
      </c>
      <c r="O37" s="12">
        <f>SUMIF(Mercado_Receita!$S$2:$S$987,"44531B2BrancaRuralNão se aplicaNão se aplicaNão se aplicaPonta",Mercado_Receita!$L$2:$L$987)</f>
        <v>0</v>
      </c>
      <c r="P37" s="12">
        <f>SUMIF(Mercado_Receita!$S$2:$S$987,"44562B2BrancaRuralNão se aplicaNão se aplicaNão se aplicaPonta",Mercado_Receita!$L$2:$L$987)</f>
        <v>0</v>
      </c>
      <c r="Q37" s="12">
        <f>SUMIF(Mercado_Receita!$S$2:$S$987,"44593B2BrancaRuralNão se aplicaNão se aplicaNão se aplicaPonta",Mercado_Receita!$L$2:$L$987)</f>
        <v>0</v>
      </c>
      <c r="R37" s="12">
        <f>SUMIF(Mercado_Receita!$S$2:$S$987,"44621B2BrancaRuralNão se aplicaNão se aplicaNão se aplicaPonta",Mercado_Receita!$L$2:$L$987)</f>
        <v>0</v>
      </c>
      <c r="S37" s="12">
        <f>SUMIF(Mercado_Receita!$S$2:$S$987,"44652B2BrancaRuralNão se aplicaNão se aplicaNão se aplicaPonta",Mercado_Receita!$L$2:$L$987)</f>
        <v>0</v>
      </c>
      <c r="T37" s="12">
        <f>SUMIF(Mercado_Receita!$S$2:$S$987,"44682B2BrancaRuralNão se aplicaNão se aplicaNão se aplicaPonta",Mercado_Receita!$L$2:$L$987)</f>
        <v>0</v>
      </c>
      <c r="U37" s="12">
        <f t="shared" si="1"/>
        <v>0</v>
      </c>
      <c r="V37" s="12"/>
      <c r="W37" s="12"/>
    </row>
    <row r="38" spans="1:23" ht="11.25" customHeight="1" x14ac:dyDescent="0.25">
      <c r="A38" s="132"/>
      <c r="B38" s="132"/>
      <c r="C38" s="132"/>
      <c r="D38" s="132"/>
      <c r="E38" s="132"/>
      <c r="F38" s="132"/>
      <c r="G38" s="12" t="s">
        <v>84</v>
      </c>
      <c r="H38" s="12" t="s">
        <v>71</v>
      </c>
      <c r="I38" s="12">
        <f>SUMIF(Mercado_Receita!$S$2:$S$987,"44348B2BrancaRuralNão se aplicaNão se aplicaNão se aplicaIntermediário",Mercado_Receita!$L$2:$L$987)</f>
        <v>0</v>
      </c>
      <c r="J38" s="12">
        <f>SUMIF(Mercado_Receita!$S$2:$S$987,"44378B2BrancaRuralNão se aplicaNão se aplicaNão se aplicaIntermediário",Mercado_Receita!$L$2:$L$987)</f>
        <v>0</v>
      </c>
      <c r="K38" s="12">
        <f>SUMIF(Mercado_Receita!$S$2:$S$987,"44409B2BrancaRuralNão se aplicaNão se aplicaNão se aplicaIntermediário",Mercado_Receita!$L$2:$L$987)</f>
        <v>0</v>
      </c>
      <c r="L38" s="12">
        <f>SUMIF(Mercado_Receita!$S$2:$S$987,"44440B2BrancaRuralNão se aplicaNão se aplicaNão se aplicaIntermediário",Mercado_Receita!$L$2:$L$987)</f>
        <v>0</v>
      </c>
      <c r="M38" s="12">
        <f>SUMIF(Mercado_Receita!$S$2:$S$987,"44470B2BrancaRuralNão se aplicaNão se aplicaNão se aplicaIntermediário",Mercado_Receita!$L$2:$L$987)</f>
        <v>0</v>
      </c>
      <c r="N38" s="12">
        <f>SUMIF(Mercado_Receita!$S$2:$S$987,"44501B2BrancaRuralNão se aplicaNão se aplicaNão se aplicaIntermediário",Mercado_Receita!$L$2:$L$987)</f>
        <v>0</v>
      </c>
      <c r="O38" s="12">
        <f>SUMIF(Mercado_Receita!$S$2:$S$987,"44531B2BrancaRuralNão se aplicaNão se aplicaNão se aplicaIntermediário",Mercado_Receita!$L$2:$L$987)</f>
        <v>0</v>
      </c>
      <c r="P38" s="12">
        <f>SUMIF(Mercado_Receita!$S$2:$S$987,"44562B2BrancaRuralNão se aplicaNão se aplicaNão se aplicaIntermediário",Mercado_Receita!$L$2:$L$987)</f>
        <v>0</v>
      </c>
      <c r="Q38" s="12">
        <f>SUMIF(Mercado_Receita!$S$2:$S$987,"44593B2BrancaRuralNão se aplicaNão se aplicaNão se aplicaIntermediário",Mercado_Receita!$L$2:$L$987)</f>
        <v>0</v>
      </c>
      <c r="R38" s="12">
        <f>SUMIF(Mercado_Receita!$S$2:$S$987,"44621B2BrancaRuralNão se aplicaNão se aplicaNão se aplicaIntermediário",Mercado_Receita!$L$2:$L$987)</f>
        <v>0</v>
      </c>
      <c r="S38" s="12">
        <f>SUMIF(Mercado_Receita!$S$2:$S$987,"44652B2BrancaRuralNão se aplicaNão se aplicaNão se aplicaIntermediário",Mercado_Receita!$L$2:$L$987)</f>
        <v>0</v>
      </c>
      <c r="T38" s="12">
        <f>SUMIF(Mercado_Receita!$S$2:$S$987,"44682B2BrancaRuralNão se aplicaNão se aplicaNão se aplicaIntermediário",Mercado_Receita!$L$2:$L$987)</f>
        <v>0</v>
      </c>
      <c r="U38" s="12">
        <f t="shared" si="1"/>
        <v>0</v>
      </c>
      <c r="V38" s="12"/>
      <c r="W38" s="12"/>
    </row>
    <row r="39" spans="1:23" ht="11.25" customHeight="1" x14ac:dyDescent="0.25">
      <c r="A39" s="132"/>
      <c r="B39" s="132"/>
      <c r="C39" s="132"/>
      <c r="D39" s="132"/>
      <c r="E39" s="132"/>
      <c r="F39" s="132"/>
      <c r="G39" s="12" t="s">
        <v>73</v>
      </c>
      <c r="H39" s="12" t="s">
        <v>71</v>
      </c>
      <c r="I39" s="12">
        <f>SUMIF(Mercado_Receita!$S$2:$S$987,"44348B2BrancaRuralNão se aplicaNão se aplicaNão se aplicaFora ponta",Mercado_Receita!$L$2:$L$987)</f>
        <v>0</v>
      </c>
      <c r="J39" s="12">
        <f>SUMIF(Mercado_Receita!$S$2:$S$987,"44378B2BrancaRuralNão se aplicaNão se aplicaNão se aplicaFora ponta",Mercado_Receita!$L$2:$L$987)</f>
        <v>0</v>
      </c>
      <c r="K39" s="12">
        <f>SUMIF(Mercado_Receita!$S$2:$S$987,"44409B2BrancaRuralNão se aplicaNão se aplicaNão se aplicaFora ponta",Mercado_Receita!$L$2:$L$987)</f>
        <v>0</v>
      </c>
      <c r="L39" s="12">
        <f>SUMIF(Mercado_Receita!$S$2:$S$987,"44440B2BrancaRuralNão se aplicaNão se aplicaNão se aplicaFora ponta",Mercado_Receita!$L$2:$L$987)</f>
        <v>0</v>
      </c>
      <c r="M39" s="12">
        <f>SUMIF(Mercado_Receita!$S$2:$S$987,"44470B2BrancaRuralNão se aplicaNão se aplicaNão se aplicaFora ponta",Mercado_Receita!$L$2:$L$987)</f>
        <v>0</v>
      </c>
      <c r="N39" s="12">
        <f>SUMIF(Mercado_Receita!$S$2:$S$987,"44501B2BrancaRuralNão se aplicaNão se aplicaNão se aplicaFora ponta",Mercado_Receita!$L$2:$L$987)</f>
        <v>0</v>
      </c>
      <c r="O39" s="12">
        <f>SUMIF(Mercado_Receita!$S$2:$S$987,"44531B2BrancaRuralNão se aplicaNão se aplicaNão se aplicaFora ponta",Mercado_Receita!$L$2:$L$987)</f>
        <v>0</v>
      </c>
      <c r="P39" s="12">
        <f>SUMIF(Mercado_Receita!$S$2:$S$987,"44562B2BrancaRuralNão se aplicaNão se aplicaNão se aplicaFora ponta",Mercado_Receita!$L$2:$L$987)</f>
        <v>0</v>
      </c>
      <c r="Q39" s="12">
        <f>SUMIF(Mercado_Receita!$S$2:$S$987,"44593B2BrancaRuralNão se aplicaNão se aplicaNão se aplicaFora ponta",Mercado_Receita!$L$2:$L$987)</f>
        <v>0</v>
      </c>
      <c r="R39" s="12">
        <f>SUMIF(Mercado_Receita!$S$2:$S$987,"44621B2BrancaRuralNão se aplicaNão se aplicaNão se aplicaFora ponta",Mercado_Receita!$L$2:$L$987)</f>
        <v>0</v>
      </c>
      <c r="S39" s="12">
        <f>SUMIF(Mercado_Receita!$S$2:$S$987,"44652B2BrancaRuralNão se aplicaNão se aplicaNão se aplicaFora ponta",Mercado_Receita!$L$2:$L$987)</f>
        <v>0</v>
      </c>
      <c r="T39" s="12">
        <f>SUMIF(Mercado_Receita!$S$2:$S$987,"44682B2BrancaRuralNão se aplicaNão se aplicaNão se aplicaFora ponta",Mercado_Receita!$L$2:$L$987)</f>
        <v>0</v>
      </c>
      <c r="U39" s="12">
        <f t="shared" si="1"/>
        <v>0</v>
      </c>
      <c r="V39" s="12"/>
      <c r="W39" s="12"/>
    </row>
    <row r="40" spans="1:23" ht="11.25" customHeight="1" x14ac:dyDescent="0.25">
      <c r="A40" s="132"/>
      <c r="B40" s="13" t="s">
        <v>23</v>
      </c>
      <c r="C40" s="13" t="s">
        <v>45</v>
      </c>
      <c r="D40" s="13" t="s">
        <v>25</v>
      </c>
      <c r="E40" s="13" t="s">
        <v>25</v>
      </c>
      <c r="F40" s="13" t="s">
        <v>25</v>
      </c>
      <c r="G40" s="12" t="s">
        <v>75</v>
      </c>
      <c r="H40" s="12" t="s">
        <v>71</v>
      </c>
      <c r="I40" s="12">
        <f>SUMIF(Mercado_Receita!$S$2:$S$987,"44348B2ConvencionalRuralNão se aplicaNão se aplicaNão se aplicaPonta",Mercado_Receita!$L$2:$L$987)+SUMIF(Mercado_Receita!$S$2:$S$987,"44348B2ConvencionalRuralNão se aplicaNão se aplicaNão se aplicaFora ponta",Mercado_Receita!$L$2:$L$987)+SUMIF(Mercado_Receita!$S$2:$S$987,"44348B2ConvencionalRuralNão se aplicaNão se aplicaNão se aplicaIntermediário",Mercado_Receita!$L$2:$L$987)+SUMIF(Mercado_Receita!$S$2:$S$987,"44348B2ConvencionalRuralNão se aplicaNão se aplicaNão se aplicaNão se aplica",Mercado_Receita!$L$2:$L$987)</f>
        <v>540.74400000000003</v>
      </c>
      <c r="J40" s="12">
        <f>SUMIF(Mercado_Receita!$S$2:$S$987,"44378B2ConvencionalRuralNão se aplicaNão se aplicaNão se aplicaPonta",Mercado_Receita!$L$2:$L$987)+SUMIF(Mercado_Receita!$S$2:$S$987,"44378B2ConvencionalRuralNão se aplicaNão se aplicaNão se aplicaFora ponta",Mercado_Receita!$L$2:$L$987)+SUMIF(Mercado_Receita!$S$2:$S$987,"44378B2ConvencionalRuralNão se aplicaNão se aplicaNão se aplicaIntermediário",Mercado_Receita!$L$2:$L$987)+SUMIF(Mercado_Receita!$S$2:$S$987,"44378B2ConvencionalRuralNão se aplicaNão se aplicaNão se aplicaNão se aplica",Mercado_Receita!$L$2:$L$987)</f>
        <v>563.69399999999996</v>
      </c>
      <c r="K40" s="12">
        <f>SUMIF(Mercado_Receita!$S$2:$S$987,"44409B2ConvencionalRuralNão se aplicaNão se aplicaNão se aplicaPonta",Mercado_Receita!$L$2:$L$987)+SUMIF(Mercado_Receita!$S$2:$S$987,"44409B2ConvencionalRuralNão se aplicaNão se aplicaNão se aplicaFora ponta",Mercado_Receita!$L$2:$L$987)+SUMIF(Mercado_Receita!$S$2:$S$987,"44409B2ConvencionalRuralNão se aplicaNão se aplicaNão se aplicaIntermediário",Mercado_Receita!$L$2:$L$987)+SUMIF(Mercado_Receita!$S$2:$S$987,"44409B2ConvencionalRuralNão se aplicaNão se aplicaNão se aplicaNão se aplica",Mercado_Receita!$L$2:$L$987)</f>
        <v>541.077</v>
      </c>
      <c r="L40" s="12">
        <f>SUMIF(Mercado_Receita!$S$2:$S$987,"44440B2ConvencionalRuralNão se aplicaNão se aplicaNão se aplicaPonta",Mercado_Receita!$L$2:$L$987)+SUMIF(Mercado_Receita!$S$2:$S$987,"44440B2ConvencionalRuralNão se aplicaNão se aplicaNão se aplicaFora ponta",Mercado_Receita!$L$2:$L$987)+SUMIF(Mercado_Receita!$S$2:$S$987,"44440B2ConvencionalRuralNão se aplicaNão se aplicaNão se aplicaIntermediário",Mercado_Receita!$L$2:$L$987)+SUMIF(Mercado_Receita!$S$2:$S$987,"44440B2ConvencionalRuralNão se aplicaNão se aplicaNão se aplicaNão se aplica",Mercado_Receita!$L$2:$L$987)</f>
        <v>527.95999999999992</v>
      </c>
      <c r="M40" s="12">
        <f>SUMIF(Mercado_Receita!$S$2:$S$987,"44470B2ConvencionalRuralNão se aplicaNão se aplicaNão se aplicaPonta",Mercado_Receita!$L$2:$L$987)+SUMIF(Mercado_Receita!$S$2:$S$987,"44470B2ConvencionalRuralNão se aplicaNão se aplicaNão se aplicaFora ponta",Mercado_Receita!$L$2:$L$987)+SUMIF(Mercado_Receita!$S$2:$S$987,"44470B2ConvencionalRuralNão se aplicaNão se aplicaNão se aplicaIntermediário",Mercado_Receita!$L$2:$L$987)+SUMIF(Mercado_Receita!$S$2:$S$987,"44470B2ConvencionalRuralNão se aplicaNão se aplicaNão se aplicaNão se aplica",Mercado_Receita!$L$2:$L$987)</f>
        <v>542.31100000000004</v>
      </c>
      <c r="N40" s="12">
        <f>SUMIF(Mercado_Receita!$S$2:$S$987,"44501B2ConvencionalRuralNão se aplicaNão se aplicaNão se aplicaPonta",Mercado_Receita!$L$2:$L$987)+SUMIF(Mercado_Receita!$S$2:$S$987,"44501B2ConvencionalRuralNão se aplicaNão se aplicaNão se aplicaFora ponta",Mercado_Receita!$L$2:$L$987)+SUMIF(Mercado_Receita!$S$2:$S$987,"44501B2ConvencionalRuralNão se aplicaNão se aplicaNão se aplicaIntermediário",Mercado_Receita!$L$2:$L$987)+SUMIF(Mercado_Receita!$S$2:$S$987,"44501B2ConvencionalRuralNão se aplicaNão se aplicaNão se aplicaNão se aplica",Mercado_Receita!$L$2:$L$987)</f>
        <v>514.30800000000011</v>
      </c>
      <c r="O40" s="12">
        <f>SUMIF(Mercado_Receita!$S$2:$S$987,"44531B2ConvencionalRuralNão se aplicaNão se aplicaNão se aplicaPonta",Mercado_Receita!$L$2:$L$987)+SUMIF(Mercado_Receita!$S$2:$S$987,"44531B2ConvencionalRuralNão se aplicaNão se aplicaNão se aplicaFora ponta",Mercado_Receita!$L$2:$L$987)+SUMIF(Mercado_Receita!$S$2:$S$987,"44531B2ConvencionalRuralNão se aplicaNão se aplicaNão se aplicaIntermediário",Mercado_Receita!$L$2:$L$987)+SUMIF(Mercado_Receita!$S$2:$S$987,"44531B2ConvencionalRuralNão se aplicaNão se aplicaNão se aplicaNão se aplica",Mercado_Receita!$L$2:$L$987)</f>
        <v>546.00800000000004</v>
      </c>
      <c r="P40" s="12">
        <f>SUMIF(Mercado_Receita!$S$2:$S$987,"44562B2ConvencionalRuralNão se aplicaNão se aplicaNão se aplicaPonta",Mercado_Receita!$L$2:$L$987)+SUMIF(Mercado_Receita!$S$2:$S$987,"44562B2ConvencionalRuralNão se aplicaNão se aplicaNão se aplicaFora ponta",Mercado_Receita!$L$2:$L$987)+SUMIF(Mercado_Receita!$S$2:$S$987,"44562B2ConvencionalRuralNão se aplicaNão se aplicaNão se aplicaIntermediário",Mercado_Receita!$L$2:$L$987)+SUMIF(Mercado_Receita!$S$2:$S$987,"44562B2ConvencionalRuralNão se aplicaNão se aplicaNão se aplicaNão se aplica",Mercado_Receita!$L$2:$L$987)</f>
        <v>526.11099999999999</v>
      </c>
      <c r="Q40" s="12">
        <f>SUMIF(Mercado_Receita!$S$2:$S$987,"44593B2ConvencionalRuralNão se aplicaNão se aplicaNão se aplicaPonta",Mercado_Receita!$L$2:$L$987)+SUMIF(Mercado_Receita!$S$2:$S$987,"44593B2ConvencionalRuralNão se aplicaNão se aplicaNão se aplicaFora ponta",Mercado_Receita!$L$2:$L$987)+SUMIF(Mercado_Receita!$S$2:$S$987,"44593B2ConvencionalRuralNão se aplicaNão se aplicaNão se aplicaIntermediário",Mercado_Receita!$L$2:$L$987)+SUMIF(Mercado_Receita!$S$2:$S$987,"44593B2ConvencionalRuralNão se aplicaNão se aplicaNão se aplicaNão se aplica",Mercado_Receita!$L$2:$L$987)</f>
        <v>521.06500000000005</v>
      </c>
      <c r="R40" s="12">
        <f>SUMIF(Mercado_Receita!$S$2:$S$987,"44621B2ConvencionalRuralNão se aplicaNão se aplicaNão se aplicaPonta",Mercado_Receita!$L$2:$L$987)+SUMIF(Mercado_Receita!$S$2:$S$987,"44621B2ConvencionalRuralNão se aplicaNão se aplicaNão se aplicaFora ponta",Mercado_Receita!$L$2:$L$987)+SUMIF(Mercado_Receita!$S$2:$S$987,"44621B2ConvencionalRuralNão se aplicaNão se aplicaNão se aplicaIntermediário",Mercado_Receita!$L$2:$L$987)+SUMIF(Mercado_Receita!$S$2:$S$987,"44621B2ConvencionalRuralNão se aplicaNão se aplicaNão se aplicaNão se aplica",Mercado_Receita!$L$2:$L$987)</f>
        <v>514.72199999999998</v>
      </c>
      <c r="S40" s="12">
        <f>SUMIF(Mercado_Receita!$S$2:$S$987,"44652B2ConvencionalRuralNão se aplicaNão se aplicaNão se aplicaPonta",Mercado_Receita!$L$2:$L$987)+SUMIF(Mercado_Receita!$S$2:$S$987,"44652B2ConvencionalRuralNão se aplicaNão se aplicaNão se aplicaFora ponta",Mercado_Receita!$L$2:$L$987)+SUMIF(Mercado_Receita!$S$2:$S$987,"44652B2ConvencionalRuralNão se aplicaNão se aplicaNão se aplicaIntermediário",Mercado_Receita!$L$2:$L$987)+SUMIF(Mercado_Receita!$S$2:$S$987,"44652B2ConvencionalRuralNão se aplicaNão se aplicaNão se aplicaNão se aplica",Mercado_Receita!$L$2:$L$987)</f>
        <v>492.42</v>
      </c>
      <c r="T40" s="12">
        <f>SUMIF(Mercado_Receita!$S$2:$S$987,"44682B2ConvencionalRuralNão se aplicaNão se aplicaNão se aplicaPonta",Mercado_Receita!$L$2:$L$987)+SUMIF(Mercado_Receita!$S$2:$S$987,"44682B2ConvencionalRuralNão se aplicaNão se aplicaNão se aplicaFora ponta",Mercado_Receita!$L$2:$L$987)+SUMIF(Mercado_Receita!$S$2:$S$987,"44682B2ConvencionalRuralNão se aplicaNão se aplicaNão se aplicaIntermediário",Mercado_Receita!$L$2:$L$987)+SUMIF(Mercado_Receita!$S$2:$S$987,"44682B2ConvencionalRuralNão se aplicaNão se aplicaNão se aplicaNão se aplica",Mercado_Receita!$L$2:$L$987)</f>
        <v>513.95500000000004</v>
      </c>
      <c r="U40" s="12">
        <f t="shared" si="1"/>
        <v>6344.375</v>
      </c>
      <c r="V40" s="12"/>
      <c r="W40" s="12"/>
    </row>
    <row r="41" spans="1:23" ht="11.25" customHeight="1" x14ac:dyDescent="0.25">
      <c r="A41" s="132"/>
      <c r="B41" s="131" t="s">
        <v>36</v>
      </c>
      <c r="C41" s="131" t="s">
        <v>45</v>
      </c>
      <c r="D41" s="131" t="s">
        <v>87</v>
      </c>
      <c r="E41" s="131" t="s">
        <v>25</v>
      </c>
      <c r="F41" s="131" t="s">
        <v>25</v>
      </c>
      <c r="G41" s="12" t="s">
        <v>72</v>
      </c>
      <c r="H41" s="12" t="s">
        <v>71</v>
      </c>
      <c r="I41" s="12">
        <f>SUMIF(Mercado_Receita!$S$2:$S$987,"44348B2BrancaRuralCooperativa de eletrificação ruralNão se aplicaNão se aplicaPonta",Mercado_Receita!$L$2:$L$987)</f>
        <v>0</v>
      </c>
      <c r="J41" s="12">
        <f>SUMIF(Mercado_Receita!$S$2:$S$987,"44378B2BrancaRuralCooperativa de eletrificação ruralNão se aplicaNão se aplicaPonta",Mercado_Receita!$L$2:$L$987)</f>
        <v>0</v>
      </c>
      <c r="K41" s="12">
        <f>SUMIF(Mercado_Receita!$S$2:$S$987,"44409B2BrancaRuralCooperativa de eletrificação ruralNão se aplicaNão se aplicaPonta",Mercado_Receita!$L$2:$L$987)</f>
        <v>0</v>
      </c>
      <c r="L41" s="12">
        <f>SUMIF(Mercado_Receita!$S$2:$S$987,"44440B2BrancaRuralCooperativa de eletrificação ruralNão se aplicaNão se aplicaPonta",Mercado_Receita!$L$2:$L$987)</f>
        <v>0</v>
      </c>
      <c r="M41" s="12">
        <f>SUMIF(Mercado_Receita!$S$2:$S$987,"44470B2BrancaRuralCooperativa de eletrificação ruralNão se aplicaNão se aplicaPonta",Mercado_Receita!$L$2:$L$987)</f>
        <v>0</v>
      </c>
      <c r="N41" s="12">
        <f>SUMIF(Mercado_Receita!$S$2:$S$987,"44501B2BrancaRuralCooperativa de eletrificação ruralNão se aplicaNão se aplicaPonta",Mercado_Receita!$L$2:$L$987)</f>
        <v>0</v>
      </c>
      <c r="O41" s="12">
        <f>SUMIF(Mercado_Receita!$S$2:$S$987,"44531B2BrancaRuralCooperativa de eletrificação ruralNão se aplicaNão se aplicaPonta",Mercado_Receita!$L$2:$L$987)</f>
        <v>0</v>
      </c>
      <c r="P41" s="12">
        <f>SUMIF(Mercado_Receita!$S$2:$S$987,"44562B2BrancaRuralCooperativa de eletrificação ruralNão se aplicaNão se aplicaPonta",Mercado_Receita!$L$2:$L$987)</f>
        <v>0</v>
      </c>
      <c r="Q41" s="12">
        <f>SUMIF(Mercado_Receita!$S$2:$S$987,"44593B2BrancaRuralCooperativa de eletrificação ruralNão se aplicaNão se aplicaPonta",Mercado_Receita!$L$2:$L$987)</f>
        <v>0</v>
      </c>
      <c r="R41" s="12">
        <f>SUMIF(Mercado_Receita!$S$2:$S$987,"44621B2BrancaRuralCooperativa de eletrificação ruralNão se aplicaNão se aplicaPonta",Mercado_Receita!$L$2:$L$987)</f>
        <v>0</v>
      </c>
      <c r="S41" s="12">
        <f>SUMIF(Mercado_Receita!$S$2:$S$987,"44652B2BrancaRuralCooperativa de eletrificação ruralNão se aplicaNão se aplicaPonta",Mercado_Receita!$L$2:$L$987)</f>
        <v>0</v>
      </c>
      <c r="T41" s="12">
        <f>SUMIF(Mercado_Receita!$S$2:$S$987,"44682B2BrancaRuralCooperativa de eletrificação ruralNão se aplicaNão se aplicaPonta",Mercado_Receita!$L$2:$L$987)</f>
        <v>0</v>
      </c>
      <c r="U41" s="12">
        <f t="shared" si="1"/>
        <v>0</v>
      </c>
      <c r="V41" s="12"/>
      <c r="W41" s="12"/>
    </row>
    <row r="42" spans="1:23" ht="11.25" customHeight="1" x14ac:dyDescent="0.25">
      <c r="A42" s="132"/>
      <c r="B42" s="132"/>
      <c r="C42" s="132"/>
      <c r="D42" s="132"/>
      <c r="E42" s="132"/>
      <c r="F42" s="132"/>
      <c r="G42" s="12" t="s">
        <v>84</v>
      </c>
      <c r="H42" s="12" t="s">
        <v>71</v>
      </c>
      <c r="I42" s="12">
        <f>SUMIF(Mercado_Receita!$S$2:$S$987,"44348B2BrancaRuralCooperativa de eletrificação ruralNão se aplicaNão se aplicaIntermediário",Mercado_Receita!$L$2:$L$987)</f>
        <v>0</v>
      </c>
      <c r="J42" s="12">
        <f>SUMIF(Mercado_Receita!$S$2:$S$987,"44378B2BrancaRuralCooperativa de eletrificação ruralNão se aplicaNão se aplicaIntermediário",Mercado_Receita!$L$2:$L$987)</f>
        <v>0</v>
      </c>
      <c r="K42" s="12">
        <f>SUMIF(Mercado_Receita!$S$2:$S$987,"44409B2BrancaRuralCooperativa de eletrificação ruralNão se aplicaNão se aplicaIntermediário",Mercado_Receita!$L$2:$L$987)</f>
        <v>0</v>
      </c>
      <c r="L42" s="12">
        <f>SUMIF(Mercado_Receita!$S$2:$S$987,"44440B2BrancaRuralCooperativa de eletrificação ruralNão se aplicaNão se aplicaIntermediário",Mercado_Receita!$L$2:$L$987)</f>
        <v>0</v>
      </c>
      <c r="M42" s="12">
        <f>SUMIF(Mercado_Receita!$S$2:$S$987,"44470B2BrancaRuralCooperativa de eletrificação ruralNão se aplicaNão se aplicaIntermediário",Mercado_Receita!$L$2:$L$987)</f>
        <v>0</v>
      </c>
      <c r="N42" s="12">
        <f>SUMIF(Mercado_Receita!$S$2:$S$987,"44501B2BrancaRuralCooperativa de eletrificação ruralNão se aplicaNão se aplicaIntermediário",Mercado_Receita!$L$2:$L$987)</f>
        <v>0</v>
      </c>
      <c r="O42" s="12">
        <f>SUMIF(Mercado_Receita!$S$2:$S$987,"44531B2BrancaRuralCooperativa de eletrificação ruralNão se aplicaNão se aplicaIntermediário",Mercado_Receita!$L$2:$L$987)</f>
        <v>0</v>
      </c>
      <c r="P42" s="12">
        <f>SUMIF(Mercado_Receita!$S$2:$S$987,"44562B2BrancaRuralCooperativa de eletrificação ruralNão se aplicaNão se aplicaIntermediário",Mercado_Receita!$L$2:$L$987)</f>
        <v>0</v>
      </c>
      <c r="Q42" s="12">
        <f>SUMIF(Mercado_Receita!$S$2:$S$987,"44593B2BrancaRuralCooperativa de eletrificação ruralNão se aplicaNão se aplicaIntermediário",Mercado_Receita!$L$2:$L$987)</f>
        <v>0</v>
      </c>
      <c r="R42" s="12">
        <f>SUMIF(Mercado_Receita!$S$2:$S$987,"44621B2BrancaRuralCooperativa de eletrificação ruralNão se aplicaNão se aplicaIntermediário",Mercado_Receita!$L$2:$L$987)</f>
        <v>0</v>
      </c>
      <c r="S42" s="12">
        <f>SUMIF(Mercado_Receita!$S$2:$S$987,"44652B2BrancaRuralCooperativa de eletrificação ruralNão se aplicaNão se aplicaIntermediário",Mercado_Receita!$L$2:$L$987)</f>
        <v>0</v>
      </c>
      <c r="T42" s="12">
        <f>SUMIF(Mercado_Receita!$S$2:$S$987,"44682B2BrancaRuralCooperativa de eletrificação ruralNão se aplicaNão se aplicaIntermediário",Mercado_Receita!$L$2:$L$987)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132"/>
      <c r="B43" s="132"/>
      <c r="C43" s="132"/>
      <c r="D43" s="132"/>
      <c r="E43" s="132"/>
      <c r="F43" s="132"/>
      <c r="G43" s="12" t="s">
        <v>73</v>
      </c>
      <c r="H43" s="12" t="s">
        <v>71</v>
      </c>
      <c r="I43" s="12">
        <f>SUMIF(Mercado_Receita!$S$2:$S$987,"44348B2BrancaRuralCooperativa de eletrificação ruralNão se aplicaNão se aplicaFora ponta",Mercado_Receita!$L$2:$L$987)</f>
        <v>0</v>
      </c>
      <c r="J43" s="12">
        <f>SUMIF(Mercado_Receita!$S$2:$S$987,"44378B2BrancaRuralCooperativa de eletrificação ruralNão se aplicaNão se aplicaFora ponta",Mercado_Receita!$L$2:$L$987)</f>
        <v>0</v>
      </c>
      <c r="K43" s="12">
        <f>SUMIF(Mercado_Receita!$S$2:$S$987,"44409B2BrancaRuralCooperativa de eletrificação ruralNão se aplicaNão se aplicaFora ponta",Mercado_Receita!$L$2:$L$987)</f>
        <v>0</v>
      </c>
      <c r="L43" s="12">
        <f>SUMIF(Mercado_Receita!$S$2:$S$987,"44440B2BrancaRuralCooperativa de eletrificação ruralNão se aplicaNão se aplicaFora ponta",Mercado_Receita!$L$2:$L$987)</f>
        <v>0</v>
      </c>
      <c r="M43" s="12">
        <f>SUMIF(Mercado_Receita!$S$2:$S$987,"44470B2BrancaRuralCooperativa de eletrificação ruralNão se aplicaNão se aplicaFora ponta",Mercado_Receita!$L$2:$L$987)</f>
        <v>0</v>
      </c>
      <c r="N43" s="12">
        <f>SUMIF(Mercado_Receita!$S$2:$S$987,"44501B2BrancaRuralCooperativa de eletrificação ruralNão se aplicaNão se aplicaFora ponta",Mercado_Receita!$L$2:$L$987)</f>
        <v>0</v>
      </c>
      <c r="O43" s="12">
        <f>SUMIF(Mercado_Receita!$S$2:$S$987,"44531B2BrancaRuralCooperativa de eletrificação ruralNão se aplicaNão se aplicaFora ponta",Mercado_Receita!$L$2:$L$987)</f>
        <v>0</v>
      </c>
      <c r="P43" s="12">
        <f>SUMIF(Mercado_Receita!$S$2:$S$987,"44562B2BrancaRuralCooperativa de eletrificação ruralNão se aplicaNão se aplicaFora ponta",Mercado_Receita!$L$2:$L$987)</f>
        <v>0</v>
      </c>
      <c r="Q43" s="12">
        <f>SUMIF(Mercado_Receita!$S$2:$S$987,"44593B2BrancaRuralCooperativa de eletrificação ruralNão se aplicaNão se aplicaFora ponta",Mercado_Receita!$L$2:$L$987)</f>
        <v>0</v>
      </c>
      <c r="R43" s="12">
        <f>SUMIF(Mercado_Receita!$S$2:$S$987,"44621B2BrancaRuralCooperativa de eletrificação ruralNão se aplicaNão se aplicaFora ponta",Mercado_Receita!$L$2:$L$987)</f>
        <v>0</v>
      </c>
      <c r="S43" s="12">
        <f>SUMIF(Mercado_Receita!$S$2:$S$987,"44652B2BrancaRuralCooperativa de eletrificação ruralNão se aplicaNão se aplicaFora ponta",Mercado_Receita!$L$2:$L$987)</f>
        <v>0</v>
      </c>
      <c r="T43" s="12">
        <f>SUMIF(Mercado_Receita!$S$2:$S$987,"44682B2BrancaRuralCooperativa de eletrificação ruralNão se aplicaNão se aplicaFora ponta",Mercado_Receita!$L$2:$L$987)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132"/>
      <c r="B44" s="13" t="s">
        <v>23</v>
      </c>
      <c r="C44" s="13" t="s">
        <v>45</v>
      </c>
      <c r="D44" s="13" t="s">
        <v>87</v>
      </c>
      <c r="E44" s="13" t="s">
        <v>25</v>
      </c>
      <c r="F44" s="13" t="s">
        <v>25</v>
      </c>
      <c r="G44" s="12" t="s">
        <v>75</v>
      </c>
      <c r="H44" s="12" t="s">
        <v>71</v>
      </c>
      <c r="I44" s="12">
        <f>SUMIF(Mercado_Receita!$S$2:$S$987,"44348B2ConvencionalRuralCooperativa de eletrificação ruralNão se aplicaNão se aplicaPonta",Mercado_Receita!$L$2:$L$987)+SUMIF(Mercado_Receita!$S$2:$S$987,"44348B2ConvencionalRuralCooperativa de eletrificação ruralNão se aplicaNão se aplicaFora ponta",Mercado_Receita!$L$2:$L$987)+SUMIF(Mercado_Receita!$S$2:$S$987,"44348B2ConvencionalRuralCooperativa de eletrificação ruralNão se aplicaNão se aplicaIntermediário",Mercado_Receita!$L$2:$L$987)+SUMIF(Mercado_Receita!$S$2:$S$987,"44348B2ConvencionalRuralCooperativa de eletrificação ruralNão se aplicaNão se aplicaNão se aplica",Mercado_Receita!$L$2:$L$987)</f>
        <v>0</v>
      </c>
      <c r="J44" s="12">
        <f>SUMIF(Mercado_Receita!$S$2:$S$987,"44378B2ConvencionalRuralCooperativa de eletrificação ruralNão se aplicaNão se aplicaPonta",Mercado_Receita!$L$2:$L$987)+SUMIF(Mercado_Receita!$S$2:$S$987,"44378B2ConvencionalRuralCooperativa de eletrificação ruralNão se aplicaNão se aplicaFora ponta",Mercado_Receita!$L$2:$L$987)+SUMIF(Mercado_Receita!$S$2:$S$987,"44378B2ConvencionalRuralCooperativa de eletrificação ruralNão se aplicaNão se aplicaIntermediário",Mercado_Receita!$L$2:$L$987)+SUMIF(Mercado_Receita!$S$2:$S$987,"44378B2ConvencionalRuralCooperativa de eletrificação ruralNão se aplicaNão se aplicaNão se aplica",Mercado_Receita!$L$2:$L$987)</f>
        <v>0</v>
      </c>
      <c r="K44" s="12">
        <f>SUMIF(Mercado_Receita!$S$2:$S$987,"44409B2ConvencionalRuralCooperativa de eletrificação ruralNão se aplicaNão se aplicaPonta",Mercado_Receita!$L$2:$L$987)+SUMIF(Mercado_Receita!$S$2:$S$987,"44409B2ConvencionalRuralCooperativa de eletrificação ruralNão se aplicaNão se aplicaFora ponta",Mercado_Receita!$L$2:$L$987)+SUMIF(Mercado_Receita!$S$2:$S$987,"44409B2ConvencionalRuralCooperativa de eletrificação ruralNão se aplicaNão se aplicaIntermediário",Mercado_Receita!$L$2:$L$987)+SUMIF(Mercado_Receita!$S$2:$S$987,"44409B2ConvencionalRuralCooperativa de eletrificação ruralNão se aplicaNão se aplicaNão se aplica",Mercado_Receita!$L$2:$L$987)</f>
        <v>0</v>
      </c>
      <c r="L44" s="12">
        <f>SUMIF(Mercado_Receita!$S$2:$S$987,"44440B2ConvencionalRuralCooperativa de eletrificação ruralNão se aplicaNão se aplicaPonta",Mercado_Receita!$L$2:$L$987)+SUMIF(Mercado_Receita!$S$2:$S$987,"44440B2ConvencionalRuralCooperativa de eletrificação ruralNão se aplicaNão se aplicaFora ponta",Mercado_Receita!$L$2:$L$987)+SUMIF(Mercado_Receita!$S$2:$S$987,"44440B2ConvencionalRuralCooperativa de eletrificação ruralNão se aplicaNão se aplicaIntermediário",Mercado_Receita!$L$2:$L$987)+SUMIF(Mercado_Receita!$S$2:$S$987,"44440B2ConvencionalRuralCooperativa de eletrificação ruralNão se aplicaNão se aplicaNão se aplica",Mercado_Receita!$L$2:$L$987)</f>
        <v>0</v>
      </c>
      <c r="M44" s="12">
        <f>SUMIF(Mercado_Receita!$S$2:$S$987,"44470B2ConvencionalRuralCooperativa de eletrificação ruralNão se aplicaNão se aplicaPonta",Mercado_Receita!$L$2:$L$987)+SUMIF(Mercado_Receita!$S$2:$S$987,"44470B2ConvencionalRuralCooperativa de eletrificação ruralNão se aplicaNão se aplicaFora ponta",Mercado_Receita!$L$2:$L$987)+SUMIF(Mercado_Receita!$S$2:$S$987,"44470B2ConvencionalRuralCooperativa de eletrificação ruralNão se aplicaNão se aplicaIntermediário",Mercado_Receita!$L$2:$L$987)+SUMIF(Mercado_Receita!$S$2:$S$987,"44470B2ConvencionalRuralCooperativa de eletrificação ruralNão se aplicaNão se aplicaNão se aplica",Mercado_Receita!$L$2:$L$987)</f>
        <v>0</v>
      </c>
      <c r="N44" s="12">
        <f>SUMIF(Mercado_Receita!$S$2:$S$987,"44501B2ConvencionalRuralCooperativa de eletrificação ruralNão se aplicaNão se aplicaPonta",Mercado_Receita!$L$2:$L$987)+SUMIF(Mercado_Receita!$S$2:$S$987,"44501B2ConvencionalRuralCooperativa de eletrificação ruralNão se aplicaNão se aplicaFora ponta",Mercado_Receita!$L$2:$L$987)+SUMIF(Mercado_Receita!$S$2:$S$987,"44501B2ConvencionalRuralCooperativa de eletrificação ruralNão se aplicaNão se aplicaIntermediário",Mercado_Receita!$L$2:$L$987)+SUMIF(Mercado_Receita!$S$2:$S$987,"44501B2ConvencionalRuralCooperativa de eletrificação ruralNão se aplicaNão se aplicaNão se aplica",Mercado_Receita!$L$2:$L$987)</f>
        <v>0</v>
      </c>
      <c r="O44" s="12">
        <f>SUMIF(Mercado_Receita!$S$2:$S$987,"44531B2ConvencionalRuralCooperativa de eletrificação ruralNão se aplicaNão se aplicaPonta",Mercado_Receita!$L$2:$L$987)+SUMIF(Mercado_Receita!$S$2:$S$987,"44531B2ConvencionalRuralCooperativa de eletrificação ruralNão se aplicaNão se aplicaFora ponta",Mercado_Receita!$L$2:$L$987)+SUMIF(Mercado_Receita!$S$2:$S$987,"44531B2ConvencionalRuralCooperativa de eletrificação ruralNão se aplicaNão se aplicaIntermediário",Mercado_Receita!$L$2:$L$987)+SUMIF(Mercado_Receita!$S$2:$S$987,"44531B2ConvencionalRuralCooperativa de eletrificação ruralNão se aplicaNão se aplicaNão se aplica",Mercado_Receita!$L$2:$L$987)</f>
        <v>0</v>
      </c>
      <c r="P44" s="12">
        <f>SUMIF(Mercado_Receita!$S$2:$S$987,"44562B2ConvencionalRuralCooperativa de eletrificação ruralNão se aplicaNão se aplicaPonta",Mercado_Receita!$L$2:$L$987)+SUMIF(Mercado_Receita!$S$2:$S$987,"44562B2ConvencionalRuralCooperativa de eletrificação ruralNão se aplicaNão se aplicaFora ponta",Mercado_Receita!$L$2:$L$987)+SUMIF(Mercado_Receita!$S$2:$S$987,"44562B2ConvencionalRuralCooperativa de eletrificação ruralNão se aplicaNão se aplicaIntermediário",Mercado_Receita!$L$2:$L$987)+SUMIF(Mercado_Receita!$S$2:$S$987,"44562B2ConvencionalRuralCooperativa de eletrificação ruralNão se aplicaNão se aplicaNão se aplica",Mercado_Receita!$L$2:$L$987)</f>
        <v>0</v>
      </c>
      <c r="Q44" s="12">
        <f>SUMIF(Mercado_Receita!$S$2:$S$987,"44593B2ConvencionalRuralCooperativa de eletrificação ruralNão se aplicaNão se aplicaPonta",Mercado_Receita!$L$2:$L$987)+SUMIF(Mercado_Receita!$S$2:$S$987,"44593B2ConvencionalRuralCooperativa de eletrificação ruralNão se aplicaNão se aplicaFora ponta",Mercado_Receita!$L$2:$L$987)+SUMIF(Mercado_Receita!$S$2:$S$987,"44593B2ConvencionalRuralCooperativa de eletrificação ruralNão se aplicaNão se aplicaIntermediário",Mercado_Receita!$L$2:$L$987)+SUMIF(Mercado_Receita!$S$2:$S$987,"44593B2ConvencionalRuralCooperativa de eletrificação ruralNão se aplicaNão se aplicaNão se aplica",Mercado_Receita!$L$2:$L$987)</f>
        <v>0</v>
      </c>
      <c r="R44" s="12">
        <f>SUMIF(Mercado_Receita!$S$2:$S$987,"44621B2ConvencionalRuralCooperativa de eletrificação ruralNão se aplicaNão se aplicaPonta",Mercado_Receita!$L$2:$L$987)+SUMIF(Mercado_Receita!$S$2:$S$987,"44621B2ConvencionalRuralCooperativa de eletrificação ruralNão se aplicaNão se aplicaFora ponta",Mercado_Receita!$L$2:$L$987)+SUMIF(Mercado_Receita!$S$2:$S$987,"44621B2ConvencionalRuralCooperativa de eletrificação ruralNão se aplicaNão se aplicaIntermediário",Mercado_Receita!$L$2:$L$987)+SUMIF(Mercado_Receita!$S$2:$S$987,"44621B2ConvencionalRuralCooperativa de eletrificação ruralNão se aplicaNão se aplicaNão se aplica",Mercado_Receita!$L$2:$L$987)</f>
        <v>0</v>
      </c>
      <c r="S44" s="12">
        <f>SUMIF(Mercado_Receita!$S$2:$S$987,"44652B2ConvencionalRuralCooperativa de eletrificação ruralNão se aplicaNão se aplicaPonta",Mercado_Receita!$L$2:$L$987)+SUMIF(Mercado_Receita!$S$2:$S$987,"44652B2ConvencionalRuralCooperativa de eletrificação ruralNão se aplicaNão se aplicaFora ponta",Mercado_Receita!$L$2:$L$987)+SUMIF(Mercado_Receita!$S$2:$S$987,"44652B2ConvencionalRuralCooperativa de eletrificação ruralNão se aplicaNão se aplicaIntermediário",Mercado_Receita!$L$2:$L$987)+SUMIF(Mercado_Receita!$S$2:$S$987,"44652B2ConvencionalRuralCooperativa de eletrificação ruralNão se aplicaNão se aplicaNão se aplica",Mercado_Receita!$L$2:$L$987)</f>
        <v>0</v>
      </c>
      <c r="T44" s="12">
        <f>SUMIF(Mercado_Receita!$S$2:$S$987,"44682B2ConvencionalRuralCooperativa de eletrificação ruralNão se aplicaNão se aplicaPonta",Mercado_Receita!$L$2:$L$987)+SUMIF(Mercado_Receita!$S$2:$S$987,"44682B2ConvencionalRuralCooperativa de eletrificação ruralNão se aplicaNão se aplicaFora ponta",Mercado_Receita!$L$2:$L$987)+SUMIF(Mercado_Receita!$S$2:$S$987,"44682B2ConvencionalRuralCooperativa de eletrificação ruralNão se aplicaNão se aplicaIntermediário",Mercado_Receita!$L$2:$L$987)+SUMIF(Mercado_Receita!$S$2:$S$987,"44682B2ConvencionalRuralCooperativa de eletrificação ruralNão se aplicaNão se aplicaNão se aplica",Mercado_Receita!$L$2:$L$987)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132"/>
      <c r="B45" s="131" t="s">
        <v>36</v>
      </c>
      <c r="C45" s="131" t="s">
        <v>45</v>
      </c>
      <c r="D45" s="131" t="s">
        <v>88</v>
      </c>
      <c r="E45" s="131" t="s">
        <v>25</v>
      </c>
      <c r="F45" s="131" t="s">
        <v>25</v>
      </c>
      <c r="G45" s="12" t="s">
        <v>72</v>
      </c>
      <c r="H45" s="12" t="s">
        <v>71</v>
      </c>
      <c r="I45" s="12">
        <f>SUMIF(Mercado_Receita!$S$2:$S$987,"44348B2BrancaRuralServiço público de irrigação ruralNão se aplicaNão se aplicaPonta",Mercado_Receita!$L$2:$L$987)</f>
        <v>0</v>
      </c>
      <c r="J45" s="12">
        <f>SUMIF(Mercado_Receita!$S$2:$S$987,"44378B2BrancaRuralServiço público de irrigação ruralNão se aplicaNão se aplicaPonta",Mercado_Receita!$L$2:$L$987)</f>
        <v>0</v>
      </c>
      <c r="K45" s="12">
        <f>SUMIF(Mercado_Receita!$S$2:$S$987,"44409B2BrancaRuralServiço público de irrigação ruralNão se aplicaNão se aplicaPonta",Mercado_Receita!$L$2:$L$987)</f>
        <v>0</v>
      </c>
      <c r="L45" s="12">
        <f>SUMIF(Mercado_Receita!$S$2:$S$987,"44440B2BrancaRuralServiço público de irrigação ruralNão se aplicaNão se aplicaPonta",Mercado_Receita!$L$2:$L$987)</f>
        <v>0</v>
      </c>
      <c r="M45" s="12">
        <f>SUMIF(Mercado_Receita!$S$2:$S$987,"44470B2BrancaRuralServiço público de irrigação ruralNão se aplicaNão se aplicaPonta",Mercado_Receita!$L$2:$L$987)</f>
        <v>0</v>
      </c>
      <c r="N45" s="12">
        <f>SUMIF(Mercado_Receita!$S$2:$S$987,"44501B2BrancaRuralServiço público de irrigação ruralNão se aplicaNão se aplicaPonta",Mercado_Receita!$L$2:$L$987)</f>
        <v>0</v>
      </c>
      <c r="O45" s="12">
        <f>SUMIF(Mercado_Receita!$S$2:$S$987,"44531B2BrancaRuralServiço público de irrigação ruralNão se aplicaNão se aplicaPonta",Mercado_Receita!$L$2:$L$987)</f>
        <v>0</v>
      </c>
      <c r="P45" s="12">
        <f>SUMIF(Mercado_Receita!$S$2:$S$987,"44562B2BrancaRuralServiço público de irrigação ruralNão se aplicaNão se aplicaPonta",Mercado_Receita!$L$2:$L$987)</f>
        <v>0</v>
      </c>
      <c r="Q45" s="12">
        <f>SUMIF(Mercado_Receita!$S$2:$S$987,"44593B2BrancaRuralServiço público de irrigação ruralNão se aplicaNão se aplicaPonta",Mercado_Receita!$L$2:$L$987)</f>
        <v>0</v>
      </c>
      <c r="R45" s="12">
        <f>SUMIF(Mercado_Receita!$S$2:$S$987,"44621B2BrancaRuralServiço público de irrigação ruralNão se aplicaNão se aplicaPonta",Mercado_Receita!$L$2:$L$987)</f>
        <v>0</v>
      </c>
      <c r="S45" s="12">
        <f>SUMIF(Mercado_Receita!$S$2:$S$987,"44652B2BrancaRuralServiço público de irrigação ruralNão se aplicaNão se aplicaPonta",Mercado_Receita!$L$2:$L$987)</f>
        <v>0</v>
      </c>
      <c r="T45" s="12">
        <f>SUMIF(Mercado_Receita!$S$2:$S$987,"44682B2BrancaRuralServiço público de irrigação ruralNão se aplicaNão se aplicaPonta",Mercado_Receita!$L$2:$L$987)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32"/>
      <c r="B46" s="132"/>
      <c r="C46" s="132"/>
      <c r="D46" s="132"/>
      <c r="E46" s="132"/>
      <c r="F46" s="132"/>
      <c r="G46" s="12" t="s">
        <v>84</v>
      </c>
      <c r="H46" s="12" t="s">
        <v>71</v>
      </c>
      <c r="I46" s="12">
        <f>SUMIF(Mercado_Receita!$S$2:$S$987,"44348B2BrancaRuralServiço público de irrigação ruralNão se aplicaNão se aplicaIntermediário",Mercado_Receita!$L$2:$L$987)</f>
        <v>0</v>
      </c>
      <c r="J46" s="12">
        <f>SUMIF(Mercado_Receita!$S$2:$S$987,"44378B2BrancaRuralServiço público de irrigação ruralNão se aplicaNão se aplicaIntermediário",Mercado_Receita!$L$2:$L$987)</f>
        <v>0</v>
      </c>
      <c r="K46" s="12">
        <f>SUMIF(Mercado_Receita!$S$2:$S$987,"44409B2BrancaRuralServiço público de irrigação ruralNão se aplicaNão se aplicaIntermediário",Mercado_Receita!$L$2:$L$987)</f>
        <v>0</v>
      </c>
      <c r="L46" s="12">
        <f>SUMIF(Mercado_Receita!$S$2:$S$987,"44440B2BrancaRuralServiço público de irrigação ruralNão se aplicaNão se aplicaIntermediário",Mercado_Receita!$L$2:$L$987)</f>
        <v>0</v>
      </c>
      <c r="M46" s="12">
        <f>SUMIF(Mercado_Receita!$S$2:$S$987,"44470B2BrancaRuralServiço público de irrigação ruralNão se aplicaNão se aplicaIntermediário",Mercado_Receita!$L$2:$L$987)</f>
        <v>0</v>
      </c>
      <c r="N46" s="12">
        <f>SUMIF(Mercado_Receita!$S$2:$S$987,"44501B2BrancaRuralServiço público de irrigação ruralNão se aplicaNão se aplicaIntermediário",Mercado_Receita!$L$2:$L$987)</f>
        <v>0</v>
      </c>
      <c r="O46" s="12">
        <f>SUMIF(Mercado_Receita!$S$2:$S$987,"44531B2BrancaRuralServiço público de irrigação ruralNão se aplicaNão se aplicaIntermediário",Mercado_Receita!$L$2:$L$987)</f>
        <v>0</v>
      </c>
      <c r="P46" s="12">
        <f>SUMIF(Mercado_Receita!$S$2:$S$987,"44562B2BrancaRuralServiço público de irrigação ruralNão se aplicaNão se aplicaIntermediário",Mercado_Receita!$L$2:$L$987)</f>
        <v>0</v>
      </c>
      <c r="Q46" s="12">
        <f>SUMIF(Mercado_Receita!$S$2:$S$987,"44593B2BrancaRuralServiço público de irrigação ruralNão se aplicaNão se aplicaIntermediário",Mercado_Receita!$L$2:$L$987)</f>
        <v>0</v>
      </c>
      <c r="R46" s="12">
        <f>SUMIF(Mercado_Receita!$S$2:$S$987,"44621B2BrancaRuralServiço público de irrigação ruralNão se aplicaNão se aplicaIntermediário",Mercado_Receita!$L$2:$L$987)</f>
        <v>0</v>
      </c>
      <c r="S46" s="12">
        <f>SUMIF(Mercado_Receita!$S$2:$S$987,"44652B2BrancaRuralServiço público de irrigação ruralNão se aplicaNão se aplicaIntermediário",Mercado_Receita!$L$2:$L$987)</f>
        <v>0</v>
      </c>
      <c r="T46" s="12">
        <f>SUMIF(Mercado_Receita!$S$2:$S$987,"44682B2BrancaRuralServiço público de irrigação ruralNão se aplicaNão se aplicaIntermediário",Mercado_Receita!$L$2:$L$987)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32"/>
      <c r="B47" s="132"/>
      <c r="C47" s="132"/>
      <c r="D47" s="132"/>
      <c r="E47" s="132"/>
      <c r="F47" s="132"/>
      <c r="G47" s="12" t="s">
        <v>73</v>
      </c>
      <c r="H47" s="12" t="s">
        <v>71</v>
      </c>
      <c r="I47" s="12">
        <f>SUMIF(Mercado_Receita!$S$2:$S$987,"44348B2BrancaRuralServiço público de irrigação ruralNão se aplicaNão se aplicaFora ponta",Mercado_Receita!$L$2:$L$987)</f>
        <v>0</v>
      </c>
      <c r="J47" s="12">
        <f>SUMIF(Mercado_Receita!$S$2:$S$987,"44378B2BrancaRuralServiço público de irrigação ruralNão se aplicaNão se aplicaFora ponta",Mercado_Receita!$L$2:$L$987)</f>
        <v>0</v>
      </c>
      <c r="K47" s="12">
        <f>SUMIF(Mercado_Receita!$S$2:$S$987,"44409B2BrancaRuralServiço público de irrigação ruralNão se aplicaNão se aplicaFora ponta",Mercado_Receita!$L$2:$L$987)</f>
        <v>0</v>
      </c>
      <c r="L47" s="12">
        <f>SUMIF(Mercado_Receita!$S$2:$S$987,"44440B2BrancaRuralServiço público de irrigação ruralNão se aplicaNão se aplicaFora ponta",Mercado_Receita!$L$2:$L$987)</f>
        <v>0</v>
      </c>
      <c r="M47" s="12">
        <f>SUMIF(Mercado_Receita!$S$2:$S$987,"44470B2BrancaRuralServiço público de irrigação ruralNão se aplicaNão se aplicaFora ponta",Mercado_Receita!$L$2:$L$987)</f>
        <v>0</v>
      </c>
      <c r="N47" s="12">
        <f>SUMIF(Mercado_Receita!$S$2:$S$987,"44501B2BrancaRuralServiço público de irrigação ruralNão se aplicaNão se aplicaFora ponta",Mercado_Receita!$L$2:$L$987)</f>
        <v>0</v>
      </c>
      <c r="O47" s="12">
        <f>SUMIF(Mercado_Receita!$S$2:$S$987,"44531B2BrancaRuralServiço público de irrigação ruralNão se aplicaNão se aplicaFora ponta",Mercado_Receita!$L$2:$L$987)</f>
        <v>0</v>
      </c>
      <c r="P47" s="12">
        <f>SUMIF(Mercado_Receita!$S$2:$S$987,"44562B2BrancaRuralServiço público de irrigação ruralNão se aplicaNão se aplicaFora ponta",Mercado_Receita!$L$2:$L$987)</f>
        <v>0</v>
      </c>
      <c r="Q47" s="12">
        <f>SUMIF(Mercado_Receita!$S$2:$S$987,"44593B2BrancaRuralServiço público de irrigação ruralNão se aplicaNão se aplicaFora ponta",Mercado_Receita!$L$2:$L$987)</f>
        <v>0</v>
      </c>
      <c r="R47" s="12">
        <f>SUMIF(Mercado_Receita!$S$2:$S$987,"44621B2BrancaRuralServiço público de irrigação ruralNão se aplicaNão se aplicaFora ponta",Mercado_Receita!$L$2:$L$987)</f>
        <v>0</v>
      </c>
      <c r="S47" s="12">
        <f>SUMIF(Mercado_Receita!$S$2:$S$987,"44652B2BrancaRuralServiço público de irrigação ruralNão se aplicaNão se aplicaFora ponta",Mercado_Receita!$L$2:$L$987)</f>
        <v>0</v>
      </c>
      <c r="T47" s="12">
        <f>SUMIF(Mercado_Receita!$S$2:$S$987,"44682B2BrancaRuralServiço público de irrigação ruralNão se aplicaNão se aplicaFora ponta",Mercado_Receita!$L$2:$L$987)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132"/>
      <c r="B48" s="13" t="s">
        <v>23</v>
      </c>
      <c r="C48" s="13" t="s">
        <v>45</v>
      </c>
      <c r="D48" s="13" t="s">
        <v>88</v>
      </c>
      <c r="E48" s="13" t="s">
        <v>25</v>
      </c>
      <c r="F48" s="13" t="s">
        <v>25</v>
      </c>
      <c r="G48" s="12" t="s">
        <v>75</v>
      </c>
      <c r="H48" s="12" t="s">
        <v>71</v>
      </c>
      <c r="I48" s="12">
        <f>SUMIF(Mercado_Receita!$S$2:$S$987,"44348B2ConvencionalRuralServiço público de irrigação ruralNão se aplicaNão se aplicaPonta",Mercado_Receita!$L$2:$L$987)+SUMIF(Mercado_Receita!$S$2:$S$987,"44348B2ConvencionalRuralServiço público de irrigação ruralNão se aplicaNão se aplicaFora ponta",Mercado_Receita!$L$2:$L$987)+SUMIF(Mercado_Receita!$S$2:$S$987,"44348B2ConvencionalRuralServiço público de irrigação ruralNão se aplicaNão se aplicaIntermediário",Mercado_Receita!$L$2:$L$987)+SUMIF(Mercado_Receita!$S$2:$S$987,"44348B2ConvencionalRuralServiço público de irrigação ruralNão se aplicaNão se aplicaNão se aplica",Mercado_Receita!$L$2:$L$987)</f>
        <v>0</v>
      </c>
      <c r="J48" s="12">
        <f>SUMIF(Mercado_Receita!$S$2:$S$987,"44378B2ConvencionalRuralServiço público de irrigação ruralNão se aplicaNão se aplicaPonta",Mercado_Receita!$L$2:$L$987)+SUMIF(Mercado_Receita!$S$2:$S$987,"44378B2ConvencionalRuralServiço público de irrigação ruralNão se aplicaNão se aplicaFora ponta",Mercado_Receita!$L$2:$L$987)+SUMIF(Mercado_Receita!$S$2:$S$987,"44378B2ConvencionalRuralServiço público de irrigação ruralNão se aplicaNão se aplicaIntermediário",Mercado_Receita!$L$2:$L$987)+SUMIF(Mercado_Receita!$S$2:$S$987,"44378B2ConvencionalRuralServiço público de irrigação ruralNão se aplicaNão se aplicaNão se aplica",Mercado_Receita!$L$2:$L$987)</f>
        <v>0</v>
      </c>
      <c r="K48" s="12">
        <f>SUMIF(Mercado_Receita!$S$2:$S$987,"44409B2ConvencionalRuralServiço público de irrigação ruralNão se aplicaNão se aplicaPonta",Mercado_Receita!$L$2:$L$987)+SUMIF(Mercado_Receita!$S$2:$S$987,"44409B2ConvencionalRuralServiço público de irrigação ruralNão se aplicaNão se aplicaFora ponta",Mercado_Receita!$L$2:$L$987)+SUMIF(Mercado_Receita!$S$2:$S$987,"44409B2ConvencionalRuralServiço público de irrigação ruralNão se aplicaNão se aplicaIntermediário",Mercado_Receita!$L$2:$L$987)+SUMIF(Mercado_Receita!$S$2:$S$987,"44409B2ConvencionalRuralServiço público de irrigação ruralNão se aplicaNão se aplicaNão se aplica",Mercado_Receita!$L$2:$L$987)</f>
        <v>0</v>
      </c>
      <c r="L48" s="12">
        <f>SUMIF(Mercado_Receita!$S$2:$S$987,"44440B2ConvencionalRuralServiço público de irrigação ruralNão se aplicaNão se aplicaPonta",Mercado_Receita!$L$2:$L$987)+SUMIF(Mercado_Receita!$S$2:$S$987,"44440B2ConvencionalRuralServiço público de irrigação ruralNão se aplicaNão se aplicaFora ponta",Mercado_Receita!$L$2:$L$987)+SUMIF(Mercado_Receita!$S$2:$S$987,"44440B2ConvencionalRuralServiço público de irrigação ruralNão se aplicaNão se aplicaIntermediário",Mercado_Receita!$L$2:$L$987)+SUMIF(Mercado_Receita!$S$2:$S$987,"44440B2ConvencionalRuralServiço público de irrigação ruralNão se aplicaNão se aplicaNão se aplica",Mercado_Receita!$L$2:$L$987)</f>
        <v>0</v>
      </c>
      <c r="M48" s="12">
        <f>SUMIF(Mercado_Receita!$S$2:$S$987,"44470B2ConvencionalRuralServiço público de irrigação ruralNão se aplicaNão se aplicaPonta",Mercado_Receita!$L$2:$L$987)+SUMIF(Mercado_Receita!$S$2:$S$987,"44470B2ConvencionalRuralServiço público de irrigação ruralNão se aplicaNão se aplicaFora ponta",Mercado_Receita!$L$2:$L$987)+SUMIF(Mercado_Receita!$S$2:$S$987,"44470B2ConvencionalRuralServiço público de irrigação ruralNão se aplicaNão se aplicaIntermediário",Mercado_Receita!$L$2:$L$987)+SUMIF(Mercado_Receita!$S$2:$S$987,"44470B2ConvencionalRuralServiço público de irrigação ruralNão se aplicaNão se aplicaNão se aplica",Mercado_Receita!$L$2:$L$987)</f>
        <v>0</v>
      </c>
      <c r="N48" s="12">
        <f>SUMIF(Mercado_Receita!$S$2:$S$987,"44501B2ConvencionalRuralServiço público de irrigação ruralNão se aplicaNão se aplicaPonta",Mercado_Receita!$L$2:$L$987)+SUMIF(Mercado_Receita!$S$2:$S$987,"44501B2ConvencionalRuralServiço público de irrigação ruralNão se aplicaNão se aplicaFora ponta",Mercado_Receita!$L$2:$L$987)+SUMIF(Mercado_Receita!$S$2:$S$987,"44501B2ConvencionalRuralServiço público de irrigação ruralNão se aplicaNão se aplicaIntermediário",Mercado_Receita!$L$2:$L$987)+SUMIF(Mercado_Receita!$S$2:$S$987,"44501B2ConvencionalRuralServiço público de irrigação ruralNão se aplicaNão se aplicaNão se aplica",Mercado_Receita!$L$2:$L$987)</f>
        <v>0</v>
      </c>
      <c r="O48" s="12">
        <f>SUMIF(Mercado_Receita!$S$2:$S$987,"44531B2ConvencionalRuralServiço público de irrigação ruralNão se aplicaNão se aplicaPonta",Mercado_Receita!$L$2:$L$987)+SUMIF(Mercado_Receita!$S$2:$S$987,"44531B2ConvencionalRuralServiço público de irrigação ruralNão se aplicaNão se aplicaFora ponta",Mercado_Receita!$L$2:$L$987)+SUMIF(Mercado_Receita!$S$2:$S$987,"44531B2ConvencionalRuralServiço público de irrigação ruralNão se aplicaNão se aplicaIntermediário",Mercado_Receita!$L$2:$L$987)+SUMIF(Mercado_Receita!$S$2:$S$987,"44531B2ConvencionalRuralServiço público de irrigação ruralNão se aplicaNão se aplicaNão se aplica",Mercado_Receita!$L$2:$L$987)</f>
        <v>0</v>
      </c>
      <c r="P48" s="12">
        <f>SUMIF(Mercado_Receita!$S$2:$S$987,"44562B2ConvencionalRuralServiço público de irrigação ruralNão se aplicaNão se aplicaPonta",Mercado_Receita!$L$2:$L$987)+SUMIF(Mercado_Receita!$S$2:$S$987,"44562B2ConvencionalRuralServiço público de irrigação ruralNão se aplicaNão se aplicaFora ponta",Mercado_Receita!$L$2:$L$987)+SUMIF(Mercado_Receita!$S$2:$S$987,"44562B2ConvencionalRuralServiço público de irrigação ruralNão se aplicaNão se aplicaIntermediário",Mercado_Receita!$L$2:$L$987)+SUMIF(Mercado_Receita!$S$2:$S$987,"44562B2ConvencionalRuralServiço público de irrigação ruralNão se aplicaNão se aplicaNão se aplica",Mercado_Receita!$L$2:$L$987)</f>
        <v>0</v>
      </c>
      <c r="Q48" s="12">
        <f>SUMIF(Mercado_Receita!$S$2:$S$987,"44593B2ConvencionalRuralServiço público de irrigação ruralNão se aplicaNão se aplicaPonta",Mercado_Receita!$L$2:$L$987)+SUMIF(Mercado_Receita!$S$2:$S$987,"44593B2ConvencionalRuralServiço público de irrigação ruralNão se aplicaNão se aplicaFora ponta",Mercado_Receita!$L$2:$L$987)+SUMIF(Mercado_Receita!$S$2:$S$987,"44593B2ConvencionalRuralServiço público de irrigação ruralNão se aplicaNão se aplicaIntermediário",Mercado_Receita!$L$2:$L$987)+SUMIF(Mercado_Receita!$S$2:$S$987,"44593B2ConvencionalRuralServiço público de irrigação ruralNão se aplicaNão se aplicaNão se aplica",Mercado_Receita!$L$2:$L$987)</f>
        <v>0</v>
      </c>
      <c r="R48" s="12">
        <f>SUMIF(Mercado_Receita!$S$2:$S$987,"44621B2ConvencionalRuralServiço público de irrigação ruralNão se aplicaNão se aplicaPonta",Mercado_Receita!$L$2:$L$987)+SUMIF(Mercado_Receita!$S$2:$S$987,"44621B2ConvencionalRuralServiço público de irrigação ruralNão se aplicaNão se aplicaFora ponta",Mercado_Receita!$L$2:$L$987)+SUMIF(Mercado_Receita!$S$2:$S$987,"44621B2ConvencionalRuralServiço público de irrigação ruralNão se aplicaNão se aplicaIntermediário",Mercado_Receita!$L$2:$L$987)+SUMIF(Mercado_Receita!$S$2:$S$987,"44621B2ConvencionalRuralServiço público de irrigação ruralNão se aplicaNão se aplicaNão se aplica",Mercado_Receita!$L$2:$L$987)</f>
        <v>0</v>
      </c>
      <c r="S48" s="12">
        <f>SUMIF(Mercado_Receita!$S$2:$S$987,"44652B2ConvencionalRuralServiço público de irrigação ruralNão se aplicaNão se aplicaPonta",Mercado_Receita!$L$2:$L$987)+SUMIF(Mercado_Receita!$S$2:$S$987,"44652B2ConvencionalRuralServiço público de irrigação ruralNão se aplicaNão se aplicaFora ponta",Mercado_Receita!$L$2:$L$987)+SUMIF(Mercado_Receita!$S$2:$S$987,"44652B2ConvencionalRuralServiço público de irrigação ruralNão se aplicaNão se aplicaIntermediário",Mercado_Receita!$L$2:$L$987)+SUMIF(Mercado_Receita!$S$2:$S$987,"44652B2ConvencionalRuralServiço público de irrigação ruralNão se aplicaNão se aplicaNão se aplica",Mercado_Receita!$L$2:$L$987)</f>
        <v>0</v>
      </c>
      <c r="T48" s="12">
        <f>SUMIF(Mercado_Receita!$S$2:$S$987,"44682B2ConvencionalRuralServiço público de irrigação ruralNão se aplicaNão se aplicaPonta",Mercado_Receita!$L$2:$L$987)+SUMIF(Mercado_Receita!$S$2:$S$987,"44682B2ConvencionalRuralServiço público de irrigação ruralNão se aplicaNão se aplicaFora ponta",Mercado_Receita!$L$2:$L$987)+SUMIF(Mercado_Receita!$S$2:$S$987,"44682B2ConvencionalRuralServiço público de irrigação ruralNão se aplicaNão se aplicaIntermediário",Mercado_Receita!$L$2:$L$987)+SUMIF(Mercado_Receita!$S$2:$S$987,"44682B2ConvencionalRuralServiço público de irrigação ruralNão se aplicaNão se aplicaNão se aplica",Mercado_Receita!$L$2:$L$987)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132"/>
      <c r="B49" s="131" t="s">
        <v>86</v>
      </c>
      <c r="C49" s="131" t="s">
        <v>45</v>
      </c>
      <c r="D49" s="13" t="s">
        <v>25</v>
      </c>
      <c r="E49" s="13" t="s">
        <v>25</v>
      </c>
      <c r="F49" s="13" t="s">
        <v>25</v>
      </c>
      <c r="G49" s="12" t="s">
        <v>75</v>
      </c>
      <c r="H49" s="12" t="s">
        <v>71</v>
      </c>
      <c r="I49" s="12">
        <f>SUMIF(Mercado_Receita!$S$2:$S$987,"44348B2Convencional pré-pagamentoRuralNão se aplicaNão se aplicaNão se aplicaPonta",Mercado_Receita!$L$2:$L$987)+SUMIF(Mercado_Receita!$S$2:$S$987,"44348B2Convencional pré-pagamentoRuralNão se aplicaNão se aplicaNão se aplicaFora ponta",Mercado_Receita!$L$2:$L$987)+SUMIF(Mercado_Receita!$S$2:$S$987,"44348B2Convencional pré-pagamentoRuralNão se aplicaNão se aplicaNão se aplicaIntermediário",Mercado_Receita!$L$2:$L$987)+SUMIF(Mercado_Receita!$S$2:$S$987,"44348B2Convencional pré-pagamentoRuralNão se aplicaNão se aplicaNão se aplicaNão se aplica",Mercado_Receita!$L$2:$L$987)</f>
        <v>0</v>
      </c>
      <c r="J49" s="12">
        <f>SUMIF(Mercado_Receita!$S$2:$S$987,"44378B2Convencional pré-pagamentoRuralNão se aplicaNão se aplicaNão se aplicaPonta",Mercado_Receita!$L$2:$L$987)+SUMIF(Mercado_Receita!$S$2:$S$987,"44378B2Convencional pré-pagamentoRuralNão se aplicaNão se aplicaNão se aplicaFora ponta",Mercado_Receita!$L$2:$L$987)+SUMIF(Mercado_Receita!$S$2:$S$987,"44378B2Convencional pré-pagamentoRuralNão se aplicaNão se aplicaNão se aplicaIntermediário",Mercado_Receita!$L$2:$L$987)+SUMIF(Mercado_Receita!$S$2:$S$987,"44378B2Convencional pré-pagamentoRuralNão se aplicaNão se aplicaNão se aplicaNão se aplica",Mercado_Receita!$L$2:$L$987)</f>
        <v>0</v>
      </c>
      <c r="K49" s="12">
        <f>SUMIF(Mercado_Receita!$S$2:$S$987,"44409B2Convencional pré-pagamentoRuralNão se aplicaNão se aplicaNão se aplicaPonta",Mercado_Receita!$L$2:$L$987)+SUMIF(Mercado_Receita!$S$2:$S$987,"44409B2Convencional pré-pagamentoRuralNão se aplicaNão se aplicaNão se aplicaFora ponta",Mercado_Receita!$L$2:$L$987)+SUMIF(Mercado_Receita!$S$2:$S$987,"44409B2Convencional pré-pagamentoRuralNão se aplicaNão se aplicaNão se aplicaIntermediário",Mercado_Receita!$L$2:$L$987)+SUMIF(Mercado_Receita!$S$2:$S$987,"44409B2Convencional pré-pagamentoRuralNão se aplicaNão se aplicaNão se aplicaNão se aplica",Mercado_Receita!$L$2:$L$987)</f>
        <v>0</v>
      </c>
      <c r="L49" s="12">
        <f>SUMIF(Mercado_Receita!$S$2:$S$987,"44440B2Convencional pré-pagamentoRuralNão se aplicaNão se aplicaNão se aplicaPonta",Mercado_Receita!$L$2:$L$987)+SUMIF(Mercado_Receita!$S$2:$S$987,"44440B2Convencional pré-pagamentoRuralNão se aplicaNão se aplicaNão se aplicaFora ponta",Mercado_Receita!$L$2:$L$987)+SUMIF(Mercado_Receita!$S$2:$S$987,"44440B2Convencional pré-pagamentoRuralNão se aplicaNão se aplicaNão se aplicaIntermediário",Mercado_Receita!$L$2:$L$987)+SUMIF(Mercado_Receita!$S$2:$S$987,"44440B2Convencional pré-pagamentoRuralNão se aplicaNão se aplicaNão se aplicaNão se aplica",Mercado_Receita!$L$2:$L$987)</f>
        <v>0</v>
      </c>
      <c r="M49" s="12">
        <f>SUMIF(Mercado_Receita!$S$2:$S$987,"44470B2Convencional pré-pagamentoRuralNão se aplicaNão se aplicaNão se aplicaPonta",Mercado_Receita!$L$2:$L$987)+SUMIF(Mercado_Receita!$S$2:$S$987,"44470B2Convencional pré-pagamentoRuralNão se aplicaNão se aplicaNão se aplicaFora ponta",Mercado_Receita!$L$2:$L$987)+SUMIF(Mercado_Receita!$S$2:$S$987,"44470B2Convencional pré-pagamentoRuralNão se aplicaNão se aplicaNão se aplicaIntermediário",Mercado_Receita!$L$2:$L$987)+SUMIF(Mercado_Receita!$S$2:$S$987,"44470B2Convencional pré-pagamentoRuralNão se aplicaNão se aplicaNão se aplicaNão se aplica",Mercado_Receita!$L$2:$L$987)</f>
        <v>0</v>
      </c>
      <c r="N49" s="12">
        <f>SUMIF(Mercado_Receita!$S$2:$S$987,"44501B2Convencional pré-pagamentoRuralNão se aplicaNão se aplicaNão se aplicaPonta",Mercado_Receita!$L$2:$L$987)+SUMIF(Mercado_Receita!$S$2:$S$987,"44501B2Convencional pré-pagamentoRuralNão se aplicaNão se aplicaNão se aplicaFora ponta",Mercado_Receita!$L$2:$L$987)+SUMIF(Mercado_Receita!$S$2:$S$987,"44501B2Convencional pré-pagamentoRuralNão se aplicaNão se aplicaNão se aplicaIntermediário",Mercado_Receita!$L$2:$L$987)+SUMIF(Mercado_Receita!$S$2:$S$987,"44501B2Convencional pré-pagamentoRuralNão se aplicaNão se aplicaNão se aplicaNão se aplica",Mercado_Receita!$L$2:$L$987)</f>
        <v>0</v>
      </c>
      <c r="O49" s="12">
        <f>SUMIF(Mercado_Receita!$S$2:$S$987,"44531B2Convencional pré-pagamentoRuralNão se aplicaNão se aplicaNão se aplicaPonta",Mercado_Receita!$L$2:$L$987)+SUMIF(Mercado_Receita!$S$2:$S$987,"44531B2Convencional pré-pagamentoRuralNão se aplicaNão se aplicaNão se aplicaFora ponta",Mercado_Receita!$L$2:$L$987)+SUMIF(Mercado_Receita!$S$2:$S$987,"44531B2Convencional pré-pagamentoRuralNão se aplicaNão se aplicaNão se aplicaIntermediário",Mercado_Receita!$L$2:$L$987)+SUMIF(Mercado_Receita!$S$2:$S$987,"44531B2Convencional pré-pagamentoRuralNão se aplicaNão se aplicaNão se aplicaNão se aplica",Mercado_Receita!$L$2:$L$987)</f>
        <v>0</v>
      </c>
      <c r="P49" s="12">
        <f>SUMIF(Mercado_Receita!$S$2:$S$987,"44562B2Convencional pré-pagamentoRuralNão se aplicaNão se aplicaNão se aplicaPonta",Mercado_Receita!$L$2:$L$987)+SUMIF(Mercado_Receita!$S$2:$S$987,"44562B2Convencional pré-pagamentoRuralNão se aplicaNão se aplicaNão se aplicaFora ponta",Mercado_Receita!$L$2:$L$987)+SUMIF(Mercado_Receita!$S$2:$S$987,"44562B2Convencional pré-pagamentoRuralNão se aplicaNão se aplicaNão se aplicaIntermediário",Mercado_Receita!$L$2:$L$987)+SUMIF(Mercado_Receita!$S$2:$S$987,"44562B2Convencional pré-pagamentoRuralNão se aplicaNão se aplicaNão se aplicaNão se aplica",Mercado_Receita!$L$2:$L$987)</f>
        <v>0</v>
      </c>
      <c r="Q49" s="12">
        <f>SUMIF(Mercado_Receita!$S$2:$S$987,"44593B2Convencional pré-pagamentoRuralNão se aplicaNão se aplicaNão se aplicaPonta",Mercado_Receita!$L$2:$L$987)+SUMIF(Mercado_Receita!$S$2:$S$987,"44593B2Convencional pré-pagamentoRuralNão se aplicaNão se aplicaNão se aplicaFora ponta",Mercado_Receita!$L$2:$L$987)+SUMIF(Mercado_Receita!$S$2:$S$987,"44593B2Convencional pré-pagamentoRuralNão se aplicaNão se aplicaNão se aplicaIntermediário",Mercado_Receita!$L$2:$L$987)+SUMIF(Mercado_Receita!$S$2:$S$987,"44593B2Convencional pré-pagamentoRuralNão se aplicaNão se aplicaNão se aplicaNão se aplica",Mercado_Receita!$L$2:$L$987)</f>
        <v>0</v>
      </c>
      <c r="R49" s="12">
        <f>SUMIF(Mercado_Receita!$S$2:$S$987,"44621B2Convencional pré-pagamentoRuralNão se aplicaNão se aplicaNão se aplicaPonta",Mercado_Receita!$L$2:$L$987)+SUMIF(Mercado_Receita!$S$2:$S$987,"44621B2Convencional pré-pagamentoRuralNão se aplicaNão se aplicaNão se aplicaFora ponta",Mercado_Receita!$L$2:$L$987)+SUMIF(Mercado_Receita!$S$2:$S$987,"44621B2Convencional pré-pagamentoRuralNão se aplicaNão se aplicaNão se aplicaIntermediário",Mercado_Receita!$L$2:$L$987)+SUMIF(Mercado_Receita!$S$2:$S$987,"44621B2Convencional pré-pagamentoRuralNão se aplicaNão se aplicaNão se aplicaNão se aplica",Mercado_Receita!$L$2:$L$987)</f>
        <v>0</v>
      </c>
      <c r="S49" s="12">
        <f>SUMIF(Mercado_Receita!$S$2:$S$987,"44652B2Convencional pré-pagamentoRuralNão se aplicaNão se aplicaNão se aplicaPonta",Mercado_Receita!$L$2:$L$987)+SUMIF(Mercado_Receita!$S$2:$S$987,"44652B2Convencional pré-pagamentoRuralNão se aplicaNão se aplicaNão se aplicaFora ponta",Mercado_Receita!$L$2:$L$987)+SUMIF(Mercado_Receita!$S$2:$S$987,"44652B2Convencional pré-pagamentoRuralNão se aplicaNão se aplicaNão se aplicaIntermediário",Mercado_Receita!$L$2:$L$987)+SUMIF(Mercado_Receita!$S$2:$S$987,"44652B2Convencional pré-pagamentoRuralNão se aplicaNão se aplicaNão se aplicaNão se aplica",Mercado_Receita!$L$2:$L$987)</f>
        <v>0</v>
      </c>
      <c r="T49" s="12">
        <f>SUMIF(Mercado_Receita!$S$2:$S$987,"44682B2Convencional pré-pagamentoRuralNão se aplicaNão se aplicaNão se aplicaPonta",Mercado_Receita!$L$2:$L$987)+SUMIF(Mercado_Receita!$S$2:$S$987,"44682B2Convencional pré-pagamentoRuralNão se aplicaNão se aplicaNão se aplicaFora ponta",Mercado_Receita!$L$2:$L$987)+SUMIF(Mercado_Receita!$S$2:$S$987,"44682B2Convencional pré-pagamentoRuralNão se aplicaNão se aplicaNão se aplicaIntermediário",Mercado_Receita!$L$2:$L$987)+SUMIF(Mercado_Receita!$S$2:$S$987,"44682B2Convencional pré-pagamentoRuralNão se aplicaNão se aplicaNão se aplicaNão se aplica",Mercado_Receita!$L$2:$L$987)</f>
        <v>0</v>
      </c>
      <c r="U49" s="12">
        <f t="shared" si="1"/>
        <v>0</v>
      </c>
      <c r="V49" s="12"/>
      <c r="W49" s="12"/>
    </row>
    <row r="50" spans="1:23" ht="11.25" customHeight="1" x14ac:dyDescent="0.25">
      <c r="A50" s="132"/>
      <c r="B50" s="132"/>
      <c r="C50" s="132"/>
      <c r="D50" s="13" t="s">
        <v>87</v>
      </c>
      <c r="E50" s="13" t="s">
        <v>25</v>
      </c>
      <c r="F50" s="13" t="s">
        <v>25</v>
      </c>
      <c r="G50" s="12" t="s">
        <v>75</v>
      </c>
      <c r="H50" s="12" t="s">
        <v>71</v>
      </c>
      <c r="I50" s="12">
        <f>SUMIF(Mercado_Receita!$S$2:$S$987,"44348B2Convencional pré-pagamentoRuralCooperativa de eletrificação ruralNão se aplicaNão se aplicaPonta",Mercado_Receita!$L$2:$L$987)+SUMIF(Mercado_Receita!$S$2:$S$987,"44348B2Convencional pré-pagamentoRuralCooperativa de eletrificação ruralNão se aplicaNão se aplicaFora ponta",Mercado_Receita!$L$2:$L$987)+SUMIF(Mercado_Receita!$S$2:$S$987,"44348B2Convencional pré-pagamentoRuralCooperativa de eletrificação ruralNão se aplicaNão se aplicaIntermediário",Mercado_Receita!$L$2:$L$987)+SUMIF(Mercado_Receita!$S$2:$S$987,"44348B2Convencional pré-pagamentoRuralCooperativa de eletrificação ruralNão se aplicaNão se aplicaNão se aplica",Mercado_Receita!$L$2:$L$987)</f>
        <v>0</v>
      </c>
      <c r="J50" s="12">
        <f>SUMIF(Mercado_Receita!$S$2:$S$987,"44378B2Convencional pré-pagamentoRuralCooperativa de eletrificação ruralNão se aplicaNão se aplicaPonta",Mercado_Receita!$L$2:$L$987)+SUMIF(Mercado_Receita!$S$2:$S$987,"44378B2Convencional pré-pagamentoRuralCooperativa de eletrificação ruralNão se aplicaNão se aplicaFora ponta",Mercado_Receita!$L$2:$L$987)+SUMIF(Mercado_Receita!$S$2:$S$987,"44378B2Convencional pré-pagamentoRuralCooperativa de eletrificação ruralNão se aplicaNão se aplicaIntermediário",Mercado_Receita!$L$2:$L$987)+SUMIF(Mercado_Receita!$S$2:$S$987,"44378B2Convencional pré-pagamentoRuralCooperativa de eletrificação ruralNão se aplicaNão se aplicaNão se aplica",Mercado_Receita!$L$2:$L$987)</f>
        <v>0</v>
      </c>
      <c r="K50" s="12">
        <f>SUMIF(Mercado_Receita!$S$2:$S$987,"44409B2Convencional pré-pagamentoRuralCooperativa de eletrificação ruralNão se aplicaNão se aplicaPonta",Mercado_Receita!$L$2:$L$987)+SUMIF(Mercado_Receita!$S$2:$S$987,"44409B2Convencional pré-pagamentoRuralCooperativa de eletrificação ruralNão se aplicaNão se aplicaFora ponta",Mercado_Receita!$L$2:$L$987)+SUMIF(Mercado_Receita!$S$2:$S$987,"44409B2Convencional pré-pagamentoRuralCooperativa de eletrificação ruralNão se aplicaNão se aplicaIntermediário",Mercado_Receita!$L$2:$L$987)+SUMIF(Mercado_Receita!$S$2:$S$987,"44409B2Convencional pré-pagamentoRuralCooperativa de eletrificação ruralNão se aplicaNão se aplicaNão se aplica",Mercado_Receita!$L$2:$L$987)</f>
        <v>0</v>
      </c>
      <c r="L50" s="12">
        <f>SUMIF(Mercado_Receita!$S$2:$S$987,"44440B2Convencional pré-pagamentoRuralCooperativa de eletrificação ruralNão se aplicaNão se aplicaPonta",Mercado_Receita!$L$2:$L$987)+SUMIF(Mercado_Receita!$S$2:$S$987,"44440B2Convencional pré-pagamentoRuralCooperativa de eletrificação ruralNão se aplicaNão se aplicaFora ponta",Mercado_Receita!$L$2:$L$987)+SUMIF(Mercado_Receita!$S$2:$S$987,"44440B2Convencional pré-pagamentoRuralCooperativa de eletrificação ruralNão se aplicaNão se aplicaIntermediário",Mercado_Receita!$L$2:$L$987)+SUMIF(Mercado_Receita!$S$2:$S$987,"44440B2Convencional pré-pagamentoRuralCooperativa de eletrificação ruralNão se aplicaNão se aplicaNão se aplica",Mercado_Receita!$L$2:$L$987)</f>
        <v>0</v>
      </c>
      <c r="M50" s="12">
        <f>SUMIF(Mercado_Receita!$S$2:$S$987,"44470B2Convencional pré-pagamentoRuralCooperativa de eletrificação ruralNão se aplicaNão se aplicaPonta",Mercado_Receita!$L$2:$L$987)+SUMIF(Mercado_Receita!$S$2:$S$987,"44470B2Convencional pré-pagamentoRuralCooperativa de eletrificação ruralNão se aplicaNão se aplicaFora ponta",Mercado_Receita!$L$2:$L$987)+SUMIF(Mercado_Receita!$S$2:$S$987,"44470B2Convencional pré-pagamentoRuralCooperativa de eletrificação ruralNão se aplicaNão se aplicaIntermediário",Mercado_Receita!$L$2:$L$987)+SUMIF(Mercado_Receita!$S$2:$S$987,"44470B2Convencional pré-pagamentoRuralCooperativa de eletrificação ruralNão se aplicaNão se aplicaNão se aplica",Mercado_Receita!$L$2:$L$987)</f>
        <v>0</v>
      </c>
      <c r="N50" s="12">
        <f>SUMIF(Mercado_Receita!$S$2:$S$987,"44501B2Convencional pré-pagamentoRuralCooperativa de eletrificação ruralNão se aplicaNão se aplicaPonta",Mercado_Receita!$L$2:$L$987)+SUMIF(Mercado_Receita!$S$2:$S$987,"44501B2Convencional pré-pagamentoRuralCooperativa de eletrificação ruralNão se aplicaNão se aplicaFora ponta",Mercado_Receita!$L$2:$L$987)+SUMIF(Mercado_Receita!$S$2:$S$987,"44501B2Convencional pré-pagamentoRuralCooperativa de eletrificação ruralNão se aplicaNão se aplicaIntermediário",Mercado_Receita!$L$2:$L$987)+SUMIF(Mercado_Receita!$S$2:$S$987,"44501B2Convencional pré-pagamentoRuralCooperativa de eletrificação ruralNão se aplicaNão se aplicaNão se aplica",Mercado_Receita!$L$2:$L$987)</f>
        <v>0</v>
      </c>
      <c r="O50" s="12">
        <f>SUMIF(Mercado_Receita!$S$2:$S$987,"44531B2Convencional pré-pagamentoRuralCooperativa de eletrificação ruralNão se aplicaNão se aplicaPonta",Mercado_Receita!$L$2:$L$987)+SUMIF(Mercado_Receita!$S$2:$S$987,"44531B2Convencional pré-pagamentoRuralCooperativa de eletrificação ruralNão se aplicaNão se aplicaFora ponta",Mercado_Receita!$L$2:$L$987)+SUMIF(Mercado_Receita!$S$2:$S$987,"44531B2Convencional pré-pagamentoRuralCooperativa de eletrificação ruralNão se aplicaNão se aplicaIntermediário",Mercado_Receita!$L$2:$L$987)+SUMIF(Mercado_Receita!$S$2:$S$987,"44531B2Convencional pré-pagamentoRuralCooperativa de eletrificação ruralNão se aplicaNão se aplicaNão se aplica",Mercado_Receita!$L$2:$L$987)</f>
        <v>0</v>
      </c>
      <c r="P50" s="12">
        <f>SUMIF(Mercado_Receita!$S$2:$S$987,"44562B2Convencional pré-pagamentoRuralCooperativa de eletrificação ruralNão se aplicaNão se aplicaPonta",Mercado_Receita!$L$2:$L$987)+SUMIF(Mercado_Receita!$S$2:$S$987,"44562B2Convencional pré-pagamentoRuralCooperativa de eletrificação ruralNão se aplicaNão se aplicaFora ponta",Mercado_Receita!$L$2:$L$987)+SUMIF(Mercado_Receita!$S$2:$S$987,"44562B2Convencional pré-pagamentoRuralCooperativa de eletrificação ruralNão se aplicaNão se aplicaIntermediário",Mercado_Receita!$L$2:$L$987)+SUMIF(Mercado_Receita!$S$2:$S$987,"44562B2Convencional pré-pagamentoRuralCooperativa de eletrificação ruralNão se aplicaNão se aplicaNão se aplica",Mercado_Receita!$L$2:$L$987)</f>
        <v>0</v>
      </c>
      <c r="Q50" s="12">
        <f>SUMIF(Mercado_Receita!$S$2:$S$987,"44593B2Convencional pré-pagamentoRuralCooperativa de eletrificação ruralNão se aplicaNão se aplicaPonta",Mercado_Receita!$L$2:$L$987)+SUMIF(Mercado_Receita!$S$2:$S$987,"44593B2Convencional pré-pagamentoRuralCooperativa de eletrificação ruralNão se aplicaNão se aplicaFora ponta",Mercado_Receita!$L$2:$L$987)+SUMIF(Mercado_Receita!$S$2:$S$987,"44593B2Convencional pré-pagamentoRuralCooperativa de eletrificação ruralNão se aplicaNão se aplicaIntermediário",Mercado_Receita!$L$2:$L$987)+SUMIF(Mercado_Receita!$S$2:$S$987,"44593B2Convencional pré-pagamentoRuralCooperativa de eletrificação ruralNão se aplicaNão se aplicaNão se aplica",Mercado_Receita!$L$2:$L$987)</f>
        <v>0</v>
      </c>
      <c r="R50" s="12">
        <f>SUMIF(Mercado_Receita!$S$2:$S$987,"44621B2Convencional pré-pagamentoRuralCooperativa de eletrificação ruralNão se aplicaNão se aplicaPonta",Mercado_Receita!$L$2:$L$987)+SUMIF(Mercado_Receita!$S$2:$S$987,"44621B2Convencional pré-pagamentoRuralCooperativa de eletrificação ruralNão se aplicaNão se aplicaFora ponta",Mercado_Receita!$L$2:$L$987)+SUMIF(Mercado_Receita!$S$2:$S$987,"44621B2Convencional pré-pagamentoRuralCooperativa de eletrificação ruralNão se aplicaNão se aplicaIntermediário",Mercado_Receita!$L$2:$L$987)+SUMIF(Mercado_Receita!$S$2:$S$987,"44621B2Convencional pré-pagamentoRuralCooperativa de eletrificação ruralNão se aplicaNão se aplicaNão se aplica",Mercado_Receita!$L$2:$L$987)</f>
        <v>0</v>
      </c>
      <c r="S50" s="12">
        <f>SUMIF(Mercado_Receita!$S$2:$S$987,"44652B2Convencional pré-pagamentoRuralCooperativa de eletrificação ruralNão se aplicaNão se aplicaPonta",Mercado_Receita!$L$2:$L$987)+SUMIF(Mercado_Receita!$S$2:$S$987,"44652B2Convencional pré-pagamentoRuralCooperativa de eletrificação ruralNão se aplicaNão se aplicaFora ponta",Mercado_Receita!$L$2:$L$987)+SUMIF(Mercado_Receita!$S$2:$S$987,"44652B2Convencional pré-pagamentoRuralCooperativa de eletrificação ruralNão se aplicaNão se aplicaIntermediário",Mercado_Receita!$L$2:$L$987)+SUMIF(Mercado_Receita!$S$2:$S$987,"44652B2Convencional pré-pagamentoRuralCooperativa de eletrificação ruralNão se aplicaNão se aplicaNão se aplica",Mercado_Receita!$L$2:$L$987)</f>
        <v>0</v>
      </c>
      <c r="T50" s="12">
        <f>SUMIF(Mercado_Receita!$S$2:$S$987,"44682B2Convencional pré-pagamentoRuralCooperativa de eletrificação ruralNão se aplicaNão se aplicaPonta",Mercado_Receita!$L$2:$L$987)+SUMIF(Mercado_Receita!$S$2:$S$987,"44682B2Convencional pré-pagamentoRuralCooperativa de eletrificação ruralNão se aplicaNão se aplicaFora ponta",Mercado_Receita!$L$2:$L$987)+SUMIF(Mercado_Receita!$S$2:$S$987,"44682B2Convencional pré-pagamentoRuralCooperativa de eletrificação ruralNão se aplicaNão se aplicaIntermediário",Mercado_Receita!$L$2:$L$987)+SUMIF(Mercado_Receita!$S$2:$S$987,"44682B2Convencional pré-pagamentoRuralCooperativa de eletrificação ruralNão se aplicaNão se aplicaNão se aplica",Mercado_Receita!$L$2:$L$987)</f>
        <v>0</v>
      </c>
      <c r="U50" s="12">
        <f t="shared" si="1"/>
        <v>0</v>
      </c>
      <c r="V50" s="12"/>
      <c r="W50" s="12"/>
    </row>
    <row r="51" spans="1:23" ht="11.25" customHeight="1" x14ac:dyDescent="0.25">
      <c r="A51" s="132"/>
      <c r="B51" s="132"/>
      <c r="C51" s="132"/>
      <c r="D51" s="13" t="s">
        <v>88</v>
      </c>
      <c r="E51" s="13" t="s">
        <v>25</v>
      </c>
      <c r="F51" s="13" t="s">
        <v>25</v>
      </c>
      <c r="G51" s="12" t="s">
        <v>75</v>
      </c>
      <c r="H51" s="12" t="s">
        <v>71</v>
      </c>
      <c r="I51" s="12">
        <f>SUMIF(Mercado_Receita!$S$2:$S$987,"44348B2Convencional pré-pagamentoRuralServiço público de irrigação ruralNão se aplicaNão se aplicaPonta",Mercado_Receita!$L$2:$L$987)+SUMIF(Mercado_Receita!$S$2:$S$987,"44348B2Convencional pré-pagamentoRuralServiço público de irrigação ruralNão se aplicaNão se aplicaFora ponta",Mercado_Receita!$L$2:$L$987)+SUMIF(Mercado_Receita!$S$2:$S$987,"44348B2Convencional pré-pagamentoRuralServiço público de irrigação ruralNão se aplicaNão se aplicaIntermediário",Mercado_Receita!$L$2:$L$987)+SUMIF(Mercado_Receita!$S$2:$S$987,"44348B2Convencional pré-pagamentoRuralServiço público de irrigação ruralNão se aplicaNão se aplicaNão se aplica",Mercado_Receita!$L$2:$L$987)</f>
        <v>0</v>
      </c>
      <c r="J51" s="12">
        <f>SUMIF(Mercado_Receita!$S$2:$S$987,"44378B2Convencional pré-pagamentoRuralServiço público de irrigação ruralNão se aplicaNão se aplicaPonta",Mercado_Receita!$L$2:$L$987)+SUMIF(Mercado_Receita!$S$2:$S$987,"44378B2Convencional pré-pagamentoRuralServiço público de irrigação ruralNão se aplicaNão se aplicaFora ponta",Mercado_Receita!$L$2:$L$987)+SUMIF(Mercado_Receita!$S$2:$S$987,"44378B2Convencional pré-pagamentoRuralServiço público de irrigação ruralNão se aplicaNão se aplicaIntermediário",Mercado_Receita!$L$2:$L$987)+SUMIF(Mercado_Receita!$S$2:$S$987,"44378B2Convencional pré-pagamentoRuralServiço público de irrigação ruralNão se aplicaNão se aplicaNão se aplica",Mercado_Receita!$L$2:$L$987)</f>
        <v>0</v>
      </c>
      <c r="K51" s="12">
        <f>SUMIF(Mercado_Receita!$S$2:$S$987,"44409B2Convencional pré-pagamentoRuralServiço público de irrigação ruralNão se aplicaNão se aplicaPonta",Mercado_Receita!$L$2:$L$987)+SUMIF(Mercado_Receita!$S$2:$S$987,"44409B2Convencional pré-pagamentoRuralServiço público de irrigação ruralNão se aplicaNão se aplicaFora ponta",Mercado_Receita!$L$2:$L$987)+SUMIF(Mercado_Receita!$S$2:$S$987,"44409B2Convencional pré-pagamentoRuralServiço público de irrigação ruralNão se aplicaNão se aplicaIntermediário",Mercado_Receita!$L$2:$L$987)+SUMIF(Mercado_Receita!$S$2:$S$987,"44409B2Convencional pré-pagamentoRuralServiço público de irrigação ruralNão se aplicaNão se aplicaNão se aplica",Mercado_Receita!$L$2:$L$987)</f>
        <v>0</v>
      </c>
      <c r="L51" s="12">
        <f>SUMIF(Mercado_Receita!$S$2:$S$987,"44440B2Convencional pré-pagamentoRuralServiço público de irrigação ruralNão se aplicaNão se aplicaPonta",Mercado_Receita!$L$2:$L$987)+SUMIF(Mercado_Receita!$S$2:$S$987,"44440B2Convencional pré-pagamentoRuralServiço público de irrigação ruralNão se aplicaNão se aplicaFora ponta",Mercado_Receita!$L$2:$L$987)+SUMIF(Mercado_Receita!$S$2:$S$987,"44440B2Convencional pré-pagamentoRuralServiço público de irrigação ruralNão se aplicaNão se aplicaIntermediário",Mercado_Receita!$L$2:$L$987)+SUMIF(Mercado_Receita!$S$2:$S$987,"44440B2Convencional pré-pagamentoRuralServiço público de irrigação ruralNão se aplicaNão se aplicaNão se aplica",Mercado_Receita!$L$2:$L$987)</f>
        <v>0</v>
      </c>
      <c r="M51" s="12">
        <f>SUMIF(Mercado_Receita!$S$2:$S$987,"44470B2Convencional pré-pagamentoRuralServiço público de irrigação ruralNão se aplicaNão se aplicaPonta",Mercado_Receita!$L$2:$L$987)+SUMIF(Mercado_Receita!$S$2:$S$987,"44470B2Convencional pré-pagamentoRuralServiço público de irrigação ruralNão se aplicaNão se aplicaFora ponta",Mercado_Receita!$L$2:$L$987)+SUMIF(Mercado_Receita!$S$2:$S$987,"44470B2Convencional pré-pagamentoRuralServiço público de irrigação ruralNão se aplicaNão se aplicaIntermediário",Mercado_Receita!$L$2:$L$987)+SUMIF(Mercado_Receita!$S$2:$S$987,"44470B2Convencional pré-pagamentoRuralServiço público de irrigação ruralNão se aplicaNão se aplicaNão se aplica",Mercado_Receita!$L$2:$L$987)</f>
        <v>0</v>
      </c>
      <c r="N51" s="12">
        <f>SUMIF(Mercado_Receita!$S$2:$S$987,"44501B2Convencional pré-pagamentoRuralServiço público de irrigação ruralNão se aplicaNão se aplicaPonta",Mercado_Receita!$L$2:$L$987)+SUMIF(Mercado_Receita!$S$2:$S$987,"44501B2Convencional pré-pagamentoRuralServiço público de irrigação ruralNão se aplicaNão se aplicaFora ponta",Mercado_Receita!$L$2:$L$987)+SUMIF(Mercado_Receita!$S$2:$S$987,"44501B2Convencional pré-pagamentoRuralServiço público de irrigação ruralNão se aplicaNão se aplicaIntermediário",Mercado_Receita!$L$2:$L$987)+SUMIF(Mercado_Receita!$S$2:$S$987,"44501B2Convencional pré-pagamentoRuralServiço público de irrigação ruralNão se aplicaNão se aplicaNão se aplica",Mercado_Receita!$L$2:$L$987)</f>
        <v>0</v>
      </c>
      <c r="O51" s="12">
        <f>SUMIF(Mercado_Receita!$S$2:$S$987,"44531B2Convencional pré-pagamentoRuralServiço público de irrigação ruralNão se aplicaNão se aplicaPonta",Mercado_Receita!$L$2:$L$987)+SUMIF(Mercado_Receita!$S$2:$S$987,"44531B2Convencional pré-pagamentoRuralServiço público de irrigação ruralNão se aplicaNão se aplicaFora ponta",Mercado_Receita!$L$2:$L$987)+SUMIF(Mercado_Receita!$S$2:$S$987,"44531B2Convencional pré-pagamentoRuralServiço público de irrigação ruralNão se aplicaNão se aplicaIntermediário",Mercado_Receita!$L$2:$L$987)+SUMIF(Mercado_Receita!$S$2:$S$987,"44531B2Convencional pré-pagamentoRuralServiço público de irrigação ruralNão se aplicaNão se aplicaNão se aplica",Mercado_Receita!$L$2:$L$987)</f>
        <v>0</v>
      </c>
      <c r="P51" s="12">
        <f>SUMIF(Mercado_Receita!$S$2:$S$987,"44562B2Convencional pré-pagamentoRuralServiço público de irrigação ruralNão se aplicaNão se aplicaPonta",Mercado_Receita!$L$2:$L$987)+SUMIF(Mercado_Receita!$S$2:$S$987,"44562B2Convencional pré-pagamentoRuralServiço público de irrigação ruralNão se aplicaNão se aplicaFora ponta",Mercado_Receita!$L$2:$L$987)+SUMIF(Mercado_Receita!$S$2:$S$987,"44562B2Convencional pré-pagamentoRuralServiço público de irrigação ruralNão se aplicaNão se aplicaIntermediário",Mercado_Receita!$L$2:$L$987)+SUMIF(Mercado_Receita!$S$2:$S$987,"44562B2Convencional pré-pagamentoRuralServiço público de irrigação ruralNão se aplicaNão se aplicaNão se aplica",Mercado_Receita!$L$2:$L$987)</f>
        <v>0</v>
      </c>
      <c r="Q51" s="12">
        <f>SUMIF(Mercado_Receita!$S$2:$S$987,"44593B2Convencional pré-pagamentoRuralServiço público de irrigação ruralNão se aplicaNão se aplicaPonta",Mercado_Receita!$L$2:$L$987)+SUMIF(Mercado_Receita!$S$2:$S$987,"44593B2Convencional pré-pagamentoRuralServiço público de irrigação ruralNão se aplicaNão se aplicaFora ponta",Mercado_Receita!$L$2:$L$987)+SUMIF(Mercado_Receita!$S$2:$S$987,"44593B2Convencional pré-pagamentoRuralServiço público de irrigação ruralNão se aplicaNão se aplicaIntermediário",Mercado_Receita!$L$2:$L$987)+SUMIF(Mercado_Receita!$S$2:$S$987,"44593B2Convencional pré-pagamentoRuralServiço público de irrigação ruralNão se aplicaNão se aplicaNão se aplica",Mercado_Receita!$L$2:$L$987)</f>
        <v>0</v>
      </c>
      <c r="R51" s="12">
        <f>SUMIF(Mercado_Receita!$S$2:$S$987,"44621B2Convencional pré-pagamentoRuralServiço público de irrigação ruralNão se aplicaNão se aplicaPonta",Mercado_Receita!$L$2:$L$987)+SUMIF(Mercado_Receita!$S$2:$S$987,"44621B2Convencional pré-pagamentoRuralServiço público de irrigação ruralNão se aplicaNão se aplicaFora ponta",Mercado_Receita!$L$2:$L$987)+SUMIF(Mercado_Receita!$S$2:$S$987,"44621B2Convencional pré-pagamentoRuralServiço público de irrigação ruralNão se aplicaNão se aplicaIntermediário",Mercado_Receita!$L$2:$L$987)+SUMIF(Mercado_Receita!$S$2:$S$987,"44621B2Convencional pré-pagamentoRuralServiço público de irrigação ruralNão se aplicaNão se aplicaNão se aplica",Mercado_Receita!$L$2:$L$987)</f>
        <v>0</v>
      </c>
      <c r="S51" s="12">
        <f>SUMIF(Mercado_Receita!$S$2:$S$987,"44652B2Convencional pré-pagamentoRuralServiço público de irrigação ruralNão se aplicaNão se aplicaPonta",Mercado_Receita!$L$2:$L$987)+SUMIF(Mercado_Receita!$S$2:$S$987,"44652B2Convencional pré-pagamentoRuralServiço público de irrigação ruralNão se aplicaNão se aplicaFora ponta",Mercado_Receita!$L$2:$L$987)+SUMIF(Mercado_Receita!$S$2:$S$987,"44652B2Convencional pré-pagamentoRuralServiço público de irrigação ruralNão se aplicaNão se aplicaIntermediário",Mercado_Receita!$L$2:$L$987)+SUMIF(Mercado_Receita!$S$2:$S$987,"44652B2Convencional pré-pagamentoRuralServiço público de irrigação ruralNão se aplicaNão se aplicaNão se aplica",Mercado_Receita!$L$2:$L$987)</f>
        <v>0</v>
      </c>
      <c r="T51" s="12">
        <f>SUMIF(Mercado_Receita!$S$2:$S$987,"44682B2Convencional pré-pagamentoRuralServiço público de irrigação ruralNão se aplicaNão se aplicaPonta",Mercado_Receita!$L$2:$L$987)+SUMIF(Mercado_Receita!$S$2:$S$987,"44682B2Convencional pré-pagamentoRuralServiço público de irrigação ruralNão se aplicaNão se aplicaFora ponta",Mercado_Receita!$L$2:$L$987)+SUMIF(Mercado_Receita!$S$2:$S$987,"44682B2Convencional pré-pagamentoRuralServiço público de irrigação ruralNão se aplicaNão se aplicaIntermediário",Mercado_Receita!$L$2:$L$987)+SUMIF(Mercado_Receita!$S$2:$S$987,"44682B2Convencional pré-pagamentoRuralServiço público de irrigação ruralNão se aplicaNão se aplicaNão se aplica",Mercado_Receita!$L$2:$L$987)</f>
        <v>0</v>
      </c>
      <c r="U51" s="12">
        <f t="shared" si="1"/>
        <v>0</v>
      </c>
      <c r="V51" s="12"/>
      <c r="W51" s="12"/>
    </row>
    <row r="52" spans="1:23" ht="11.25" customHeight="1" x14ac:dyDescent="0.25">
      <c r="A52" s="131" t="s">
        <v>39</v>
      </c>
      <c r="B52" s="131" t="s">
        <v>36</v>
      </c>
      <c r="C52" s="131" t="s">
        <v>25</v>
      </c>
      <c r="D52" s="131" t="s">
        <v>25</v>
      </c>
      <c r="E52" s="131" t="s">
        <v>25</v>
      </c>
      <c r="F52" s="131" t="s">
        <v>25</v>
      </c>
      <c r="G52" s="12" t="s">
        <v>72</v>
      </c>
      <c r="H52" s="12" t="s">
        <v>71</v>
      </c>
      <c r="I52" s="12">
        <f>SUMIF(Mercado_Receita!$S$2:$S$987,"44348B3BrancaNão se aplicaNão se aplicaNão se aplicaNão se aplicaPonta",Mercado_Receita!$L$2:$L$987)</f>
        <v>2.9339999999999997</v>
      </c>
      <c r="J52" s="12">
        <f>SUMIF(Mercado_Receita!$S$2:$S$987,"44378B3BrancaNão se aplicaNão se aplicaNão se aplicaNão se aplicaPonta",Mercado_Receita!$L$2:$L$987)</f>
        <v>3.1240000000000001</v>
      </c>
      <c r="K52" s="12">
        <f>SUMIF(Mercado_Receita!$S$2:$S$987,"44409B3BrancaNão se aplicaNão se aplicaNão se aplicaNão se aplicaPonta",Mercado_Receita!$L$2:$L$987)</f>
        <v>3.1550000000000002</v>
      </c>
      <c r="L52" s="12">
        <f>SUMIF(Mercado_Receita!$S$2:$S$987,"44440B3BrancaNão se aplicaNão se aplicaNão se aplicaNão se aplicaPonta",Mercado_Receita!$L$2:$L$987)</f>
        <v>3.0420000000000003</v>
      </c>
      <c r="M52" s="12">
        <f>SUMIF(Mercado_Receita!$S$2:$S$987,"44470B3BrancaNão se aplicaNão se aplicaNão se aplicaNão se aplicaPonta",Mercado_Receita!$L$2:$L$987)</f>
        <v>3.7480000000000002</v>
      </c>
      <c r="N52" s="12">
        <f>SUMIF(Mercado_Receita!$S$2:$S$987,"44501B3BrancaNão se aplicaNão se aplicaNão se aplicaNão se aplicaPonta",Mercado_Receita!$L$2:$L$987)</f>
        <v>4.4020000000000001</v>
      </c>
      <c r="O52" s="12">
        <f>SUMIF(Mercado_Receita!$S$2:$S$987,"44531B3BrancaNão se aplicaNão se aplicaNão se aplicaNão se aplicaPonta",Mercado_Receita!$L$2:$L$987)</f>
        <v>5.492</v>
      </c>
      <c r="P52" s="12">
        <f>SUMIF(Mercado_Receita!$S$2:$S$987,"44562B3BrancaNão se aplicaNão se aplicaNão se aplicaNão se aplicaPonta",Mercado_Receita!$L$2:$L$987)</f>
        <v>3.4990000000000001</v>
      </c>
      <c r="Q52" s="12">
        <f>SUMIF(Mercado_Receita!$S$2:$S$987,"44593B3BrancaNão se aplicaNão se aplicaNão se aplicaNão se aplicaPonta",Mercado_Receita!$L$2:$L$987)</f>
        <v>3.9980000000000002</v>
      </c>
      <c r="R52" s="12">
        <f>SUMIF(Mercado_Receita!$S$2:$S$987,"44621B3BrancaNão se aplicaNão se aplicaNão se aplicaNão se aplicaPonta",Mercado_Receita!$L$2:$L$987)</f>
        <v>3.4039999999999999</v>
      </c>
      <c r="S52" s="12">
        <f>SUMIF(Mercado_Receita!$S$2:$S$987,"44652B3BrancaNão se aplicaNão se aplicaNão se aplicaNão se aplicaPonta",Mercado_Receita!$L$2:$L$987)</f>
        <v>3.4490000000000003</v>
      </c>
      <c r="T52" s="12">
        <f>SUMIF(Mercado_Receita!$S$2:$S$987,"44682B3BrancaNão se aplicaNão se aplicaNão se aplicaNão se aplicaPonta",Mercado_Receita!$L$2:$L$987)</f>
        <v>2.9870000000000001</v>
      </c>
      <c r="U52" s="12">
        <f t="shared" si="1"/>
        <v>43.234000000000002</v>
      </c>
      <c r="V52" s="12"/>
      <c r="W52" s="12"/>
    </row>
    <row r="53" spans="1:23" ht="11.25" customHeight="1" x14ac:dyDescent="0.25">
      <c r="A53" s="132"/>
      <c r="B53" s="132"/>
      <c r="C53" s="132"/>
      <c r="D53" s="132"/>
      <c r="E53" s="132"/>
      <c r="F53" s="132"/>
      <c r="G53" s="12" t="s">
        <v>84</v>
      </c>
      <c r="H53" s="12" t="s">
        <v>71</v>
      </c>
      <c r="I53" s="12">
        <f>SUMIF(Mercado_Receita!$S$2:$S$987,"44348B3BrancaNão se aplicaNão se aplicaNão se aplicaNão se aplicaIntermediário",Mercado_Receita!$L$2:$L$987)</f>
        <v>2.129</v>
      </c>
      <c r="J53" s="12">
        <f>SUMIF(Mercado_Receita!$S$2:$S$987,"44378B3BrancaNão se aplicaNão se aplicaNão se aplicaNão se aplicaIntermediário",Mercado_Receita!$L$2:$L$987)</f>
        <v>2.2370000000000001</v>
      </c>
      <c r="K53" s="12">
        <f>SUMIF(Mercado_Receita!$S$2:$S$987,"44409B3BrancaNão se aplicaNão se aplicaNão se aplicaNão se aplicaIntermediário",Mercado_Receita!$L$2:$L$987)</f>
        <v>2.2510000000000003</v>
      </c>
      <c r="L53" s="12">
        <f>SUMIF(Mercado_Receita!$S$2:$S$987,"44440B3BrancaNão se aplicaNão se aplicaNão se aplicaNão se aplicaIntermediário",Mercado_Receita!$L$2:$L$987)</f>
        <v>2.3569999999999998</v>
      </c>
      <c r="M53" s="12">
        <f>SUMIF(Mercado_Receita!$S$2:$S$987,"44470B3BrancaNão se aplicaNão se aplicaNão se aplicaNão se aplicaIntermediário",Mercado_Receita!$L$2:$L$987)</f>
        <v>2.2890000000000001</v>
      </c>
      <c r="N53" s="12">
        <f>SUMIF(Mercado_Receita!$S$2:$S$987,"44501B3BrancaNão se aplicaNão se aplicaNão se aplicaNão se aplicaIntermediário",Mercado_Receita!$L$2:$L$987)</f>
        <v>2.2319999999999998</v>
      </c>
      <c r="O53" s="12">
        <f>SUMIF(Mercado_Receita!$S$2:$S$987,"44531B3BrancaNão se aplicaNão se aplicaNão se aplicaNão se aplicaIntermediário",Mercado_Receita!$L$2:$L$987)</f>
        <v>2.508</v>
      </c>
      <c r="P53" s="12">
        <f>SUMIF(Mercado_Receita!$S$2:$S$987,"44562B3BrancaNão se aplicaNão se aplicaNão se aplicaNão se aplicaIntermediário",Mercado_Receita!$L$2:$L$987)</f>
        <v>2.6190000000000002</v>
      </c>
      <c r="Q53" s="12">
        <f>SUMIF(Mercado_Receita!$S$2:$S$987,"44593B3BrancaNão se aplicaNão se aplicaNão se aplicaNão se aplicaIntermediário",Mercado_Receita!$L$2:$L$987)</f>
        <v>3.1069999999999998</v>
      </c>
      <c r="R53" s="12">
        <f>SUMIF(Mercado_Receita!$S$2:$S$987,"44621B3BrancaNão se aplicaNão se aplicaNão se aplicaNão se aplicaIntermediário",Mercado_Receita!$L$2:$L$987)</f>
        <v>2.6110000000000002</v>
      </c>
      <c r="S53" s="12">
        <f>SUMIF(Mercado_Receita!$S$2:$S$987,"44652B3BrancaNão se aplicaNão se aplicaNão se aplicaNão se aplicaIntermediário",Mercado_Receita!$L$2:$L$987)</f>
        <v>2.234</v>
      </c>
      <c r="T53" s="12">
        <f>SUMIF(Mercado_Receita!$S$2:$S$987,"44682B3BrancaNão se aplicaNão se aplicaNão se aplicaNão se aplicaIntermediário",Mercado_Receita!$L$2:$L$987)</f>
        <v>2.2610000000000001</v>
      </c>
      <c r="U53" s="12">
        <f t="shared" si="1"/>
        <v>28.834999999999997</v>
      </c>
      <c r="V53" s="12"/>
      <c r="W53" s="12"/>
    </row>
    <row r="54" spans="1:23" ht="11.25" customHeight="1" x14ac:dyDescent="0.25">
      <c r="A54" s="132"/>
      <c r="B54" s="132"/>
      <c r="C54" s="132"/>
      <c r="D54" s="132"/>
      <c r="E54" s="132"/>
      <c r="F54" s="132"/>
      <c r="G54" s="12" t="s">
        <v>73</v>
      </c>
      <c r="H54" s="12" t="s">
        <v>71</v>
      </c>
      <c r="I54" s="12">
        <f>SUMIF(Mercado_Receita!$S$2:$S$987,"44348B3BrancaNão se aplicaNão se aplicaNão se aplicaNão se aplicaFora ponta",Mercado_Receita!$L$2:$L$987)</f>
        <v>32.473999999999997</v>
      </c>
      <c r="J54" s="12">
        <f>SUMIF(Mercado_Receita!$S$2:$S$987,"44378B3BrancaNão se aplicaNão se aplicaNão se aplicaNão se aplicaFora ponta",Mercado_Receita!$L$2:$L$987)</f>
        <v>34.158000000000001</v>
      </c>
      <c r="K54" s="12">
        <f>SUMIF(Mercado_Receita!$S$2:$S$987,"44409B3BrancaNão se aplicaNão se aplicaNão se aplicaNão se aplicaFora ponta",Mercado_Receita!$L$2:$L$987)</f>
        <v>34.874000000000002</v>
      </c>
      <c r="L54" s="12">
        <f>SUMIF(Mercado_Receita!$S$2:$S$987,"44440B3BrancaNão se aplicaNão se aplicaNão se aplicaNão se aplicaFora ponta",Mercado_Receita!$L$2:$L$987)</f>
        <v>36.933999999999997</v>
      </c>
      <c r="M54" s="12">
        <f>SUMIF(Mercado_Receita!$S$2:$S$987,"44470B3BrancaNão se aplicaNão se aplicaNão se aplicaNão se aplicaFora ponta",Mercado_Receita!$L$2:$L$987)</f>
        <v>37.585000000000001</v>
      </c>
      <c r="N54" s="12">
        <f>SUMIF(Mercado_Receita!$S$2:$S$987,"44501B3BrancaNão se aplicaNão se aplicaNão se aplicaNão se aplicaFora ponta",Mercado_Receita!$L$2:$L$987)</f>
        <v>36.994</v>
      </c>
      <c r="O54" s="12">
        <f>SUMIF(Mercado_Receita!$S$2:$S$987,"44531B3BrancaNão se aplicaNão se aplicaNão se aplicaNão se aplicaFora ponta",Mercado_Receita!$L$2:$L$987)</f>
        <v>41.342999999999996</v>
      </c>
      <c r="P54" s="12">
        <f>SUMIF(Mercado_Receita!$S$2:$S$987,"44562B3BrancaNão se aplicaNão se aplicaNão se aplicaNão se aplicaFora ponta",Mercado_Receita!$L$2:$L$987)</f>
        <v>37.207000000000001</v>
      </c>
      <c r="Q54" s="12">
        <f>SUMIF(Mercado_Receita!$S$2:$S$987,"44593B3BrancaNão se aplicaNão se aplicaNão se aplicaNão se aplicaFora ponta",Mercado_Receita!$L$2:$L$987)</f>
        <v>43.136000000000003</v>
      </c>
      <c r="R54" s="12">
        <f>SUMIF(Mercado_Receita!$S$2:$S$987,"44621B3BrancaNão se aplicaNão se aplicaNão se aplicaNão se aplicaFora ponta",Mercado_Receita!$L$2:$L$987)</f>
        <v>39.404000000000003</v>
      </c>
      <c r="S54" s="12">
        <f>SUMIF(Mercado_Receita!$S$2:$S$987,"44652B3BrancaNão se aplicaNão se aplicaNão se aplicaNão se aplicaFora ponta",Mercado_Receita!$L$2:$L$987)</f>
        <v>33.091000000000001</v>
      </c>
      <c r="T54" s="12">
        <f>SUMIF(Mercado_Receita!$S$2:$S$987,"44682B3BrancaNão se aplicaNão se aplicaNão se aplicaNão se aplicaFora ponta",Mercado_Receita!$L$2:$L$987)</f>
        <v>34.474000000000004</v>
      </c>
      <c r="U54" s="12">
        <f t="shared" si="1"/>
        <v>441.67400000000004</v>
      </c>
      <c r="V54" s="12"/>
      <c r="W54" s="12"/>
    </row>
    <row r="55" spans="1:23" ht="11.25" customHeight="1" x14ac:dyDescent="0.25">
      <c r="A55" s="132"/>
      <c r="B55" s="13" t="s">
        <v>23</v>
      </c>
      <c r="C55" s="13" t="s">
        <v>25</v>
      </c>
      <c r="D55" s="13" t="s">
        <v>25</v>
      </c>
      <c r="E55" s="13" t="s">
        <v>25</v>
      </c>
      <c r="F55" s="13" t="s">
        <v>25</v>
      </c>
      <c r="G55" s="12" t="s">
        <v>75</v>
      </c>
      <c r="H55" s="12" t="s">
        <v>71</v>
      </c>
      <c r="I55" s="12">
        <f>SUMIF(Mercado_Receita!$S$2:$S$987,"44348B3ConvencionalNão se aplicaNão se aplicaNão se aplicaNão se aplicaPonta",Mercado_Receita!$L$2:$L$987)+SUMIF(Mercado_Receita!$S$2:$S$987,"44348B3ConvencionalNão se aplicaNão se aplicaNão se aplicaNão se aplicaFora ponta",Mercado_Receita!$L$2:$L$987)+SUMIF(Mercado_Receita!$S$2:$S$987,"44348B3ConvencionalNão se aplicaNão se aplicaNão se aplicaNão se aplicaIntermediário",Mercado_Receita!$L$2:$L$987)+SUMIF(Mercado_Receita!$S$2:$S$987,"44348B3ConvencionalNão se aplicaNão se aplicaNão se aplicaNão se aplicaNão se aplica",Mercado_Receita!$L$2:$L$987)</f>
        <v>2197.3070000000002</v>
      </c>
      <c r="J55" s="12">
        <f>SUMIF(Mercado_Receita!$S$2:$S$987,"44378B3ConvencionalNão se aplicaNão se aplicaNão se aplicaNão se aplicaPonta",Mercado_Receita!$L$2:$L$987)+SUMIF(Mercado_Receita!$S$2:$S$987,"44378B3ConvencionalNão se aplicaNão se aplicaNão se aplicaNão se aplicaFora ponta",Mercado_Receita!$L$2:$L$987)+SUMIF(Mercado_Receita!$S$2:$S$987,"44378B3ConvencionalNão se aplicaNão se aplicaNão se aplicaNão se aplicaIntermediário",Mercado_Receita!$L$2:$L$987)+SUMIF(Mercado_Receita!$S$2:$S$987,"44378B3ConvencionalNão se aplicaNão se aplicaNão se aplicaNão se aplicaNão se aplica",Mercado_Receita!$L$2:$L$987)</f>
        <v>2284.1480000000006</v>
      </c>
      <c r="K55" s="12">
        <f>SUMIF(Mercado_Receita!$S$2:$S$987,"44409B3ConvencionalNão se aplicaNão se aplicaNão se aplicaNão se aplicaPonta",Mercado_Receita!$L$2:$L$987)+SUMIF(Mercado_Receita!$S$2:$S$987,"44409B3ConvencionalNão se aplicaNão se aplicaNão se aplicaNão se aplicaFora ponta",Mercado_Receita!$L$2:$L$987)+SUMIF(Mercado_Receita!$S$2:$S$987,"44409B3ConvencionalNão se aplicaNão se aplicaNão se aplicaNão se aplicaIntermediário",Mercado_Receita!$L$2:$L$987)+SUMIF(Mercado_Receita!$S$2:$S$987,"44409B3ConvencionalNão se aplicaNão se aplicaNão se aplicaNão se aplicaNão se aplica",Mercado_Receita!$L$2:$L$987)</f>
        <v>2363.2450000000003</v>
      </c>
      <c r="L55" s="12">
        <f>SUMIF(Mercado_Receita!$S$2:$S$987,"44440B3ConvencionalNão se aplicaNão se aplicaNão se aplicaNão se aplicaPonta",Mercado_Receita!$L$2:$L$987)+SUMIF(Mercado_Receita!$S$2:$S$987,"44440B3ConvencionalNão se aplicaNão se aplicaNão se aplicaNão se aplicaFora ponta",Mercado_Receita!$L$2:$L$987)+SUMIF(Mercado_Receita!$S$2:$S$987,"44440B3ConvencionalNão se aplicaNão se aplicaNão se aplicaNão se aplicaIntermediário",Mercado_Receita!$L$2:$L$987)+SUMIF(Mercado_Receita!$S$2:$S$987,"44440B3ConvencionalNão se aplicaNão se aplicaNão se aplicaNão se aplicaNão se aplica",Mercado_Receita!$L$2:$L$987)</f>
        <v>2324.3510000000001</v>
      </c>
      <c r="M55" s="12">
        <f>SUMIF(Mercado_Receita!$S$2:$S$987,"44470B3ConvencionalNão se aplicaNão se aplicaNão se aplicaNão se aplicaPonta",Mercado_Receita!$L$2:$L$987)+SUMIF(Mercado_Receita!$S$2:$S$987,"44470B3ConvencionalNão se aplicaNão se aplicaNão se aplicaNão se aplicaFora ponta",Mercado_Receita!$L$2:$L$987)+SUMIF(Mercado_Receita!$S$2:$S$987,"44470B3ConvencionalNão se aplicaNão se aplicaNão se aplicaNão se aplicaIntermediário",Mercado_Receita!$L$2:$L$987)+SUMIF(Mercado_Receita!$S$2:$S$987,"44470B3ConvencionalNão se aplicaNão se aplicaNão se aplicaNão se aplicaNão se aplica",Mercado_Receita!$L$2:$L$987)</f>
        <v>2374.9569999999999</v>
      </c>
      <c r="N55" s="12">
        <f>SUMIF(Mercado_Receita!$S$2:$S$987,"44501B3ConvencionalNão se aplicaNão se aplicaNão se aplicaNão se aplicaPonta",Mercado_Receita!$L$2:$L$987)+SUMIF(Mercado_Receita!$S$2:$S$987,"44501B3ConvencionalNão se aplicaNão se aplicaNão se aplicaNão se aplicaFora ponta",Mercado_Receita!$L$2:$L$987)+SUMIF(Mercado_Receita!$S$2:$S$987,"44501B3ConvencionalNão se aplicaNão se aplicaNão se aplicaNão se aplicaIntermediário",Mercado_Receita!$L$2:$L$987)+SUMIF(Mercado_Receita!$S$2:$S$987,"44501B3ConvencionalNão se aplicaNão se aplicaNão se aplicaNão se aplicaNão se aplica",Mercado_Receita!$L$2:$L$987)</f>
        <v>2375.6240000000003</v>
      </c>
      <c r="O55" s="12">
        <f>SUMIF(Mercado_Receita!$S$2:$S$987,"44531B3ConvencionalNão se aplicaNão se aplicaNão se aplicaNão se aplicaPonta",Mercado_Receita!$L$2:$L$987)+SUMIF(Mercado_Receita!$S$2:$S$987,"44531B3ConvencionalNão se aplicaNão se aplicaNão se aplicaNão se aplicaFora ponta",Mercado_Receita!$L$2:$L$987)+SUMIF(Mercado_Receita!$S$2:$S$987,"44531B3ConvencionalNão se aplicaNão se aplicaNão se aplicaNão se aplicaIntermediário",Mercado_Receita!$L$2:$L$987)+SUMIF(Mercado_Receita!$S$2:$S$987,"44531B3ConvencionalNão se aplicaNão se aplicaNão se aplicaNão se aplicaNão se aplica",Mercado_Receita!$L$2:$L$987)</f>
        <v>2513.3879999999999</v>
      </c>
      <c r="P55" s="12">
        <f>SUMIF(Mercado_Receita!$S$2:$S$987,"44562B3ConvencionalNão se aplicaNão se aplicaNão se aplicaNão se aplicaPonta",Mercado_Receita!$L$2:$L$987)+SUMIF(Mercado_Receita!$S$2:$S$987,"44562B3ConvencionalNão se aplicaNão se aplicaNão se aplicaNão se aplicaFora ponta",Mercado_Receita!$L$2:$L$987)+SUMIF(Mercado_Receita!$S$2:$S$987,"44562B3ConvencionalNão se aplicaNão se aplicaNão se aplicaNão se aplicaIntermediário",Mercado_Receita!$L$2:$L$987)+SUMIF(Mercado_Receita!$S$2:$S$987,"44562B3ConvencionalNão se aplicaNão se aplicaNão se aplicaNão se aplicaNão se aplica",Mercado_Receita!$L$2:$L$987)</f>
        <v>2362.578</v>
      </c>
      <c r="Q55" s="12">
        <f>SUMIF(Mercado_Receita!$S$2:$S$987,"44593B3ConvencionalNão se aplicaNão se aplicaNão se aplicaNão se aplicaPonta",Mercado_Receita!$L$2:$L$987)+SUMIF(Mercado_Receita!$S$2:$S$987,"44593B3ConvencionalNão se aplicaNão se aplicaNão se aplicaNão se aplicaFora ponta",Mercado_Receita!$L$2:$L$987)+SUMIF(Mercado_Receita!$S$2:$S$987,"44593B3ConvencionalNão se aplicaNão se aplicaNão se aplicaNão se aplicaIntermediário",Mercado_Receita!$L$2:$L$987)+SUMIF(Mercado_Receita!$S$2:$S$987,"44593B3ConvencionalNão se aplicaNão se aplicaNão se aplicaNão se aplicaNão se aplica",Mercado_Receita!$L$2:$L$987)</f>
        <v>2556.7009999999996</v>
      </c>
      <c r="R55" s="12">
        <f>SUMIF(Mercado_Receita!$S$2:$S$987,"44621B3ConvencionalNão se aplicaNão se aplicaNão se aplicaNão se aplicaPonta",Mercado_Receita!$L$2:$L$987)+SUMIF(Mercado_Receita!$S$2:$S$987,"44621B3ConvencionalNão se aplicaNão se aplicaNão se aplicaNão se aplicaFora ponta",Mercado_Receita!$L$2:$L$987)+SUMIF(Mercado_Receita!$S$2:$S$987,"44621B3ConvencionalNão se aplicaNão se aplicaNão se aplicaNão se aplicaIntermediário",Mercado_Receita!$L$2:$L$987)+SUMIF(Mercado_Receita!$S$2:$S$987,"44621B3ConvencionalNão se aplicaNão se aplicaNão se aplicaNão se aplicaNão se aplica",Mercado_Receita!$L$2:$L$987)</f>
        <v>2590.4490000000001</v>
      </c>
      <c r="S55" s="12">
        <f>SUMIF(Mercado_Receita!$S$2:$S$987,"44652B3ConvencionalNão se aplicaNão se aplicaNão se aplicaNão se aplicaPonta",Mercado_Receita!$L$2:$L$987)+SUMIF(Mercado_Receita!$S$2:$S$987,"44652B3ConvencionalNão se aplicaNão se aplicaNão se aplicaNão se aplicaFora ponta",Mercado_Receita!$L$2:$L$987)+SUMIF(Mercado_Receita!$S$2:$S$987,"44652B3ConvencionalNão se aplicaNão se aplicaNão se aplicaNão se aplicaIntermediário",Mercado_Receita!$L$2:$L$987)+SUMIF(Mercado_Receita!$S$2:$S$987,"44652B3ConvencionalNão se aplicaNão se aplicaNão se aplicaNão se aplicaNão se aplica",Mercado_Receita!$L$2:$L$987)</f>
        <v>2369.0129999999999</v>
      </c>
      <c r="T55" s="12">
        <f>SUMIF(Mercado_Receita!$S$2:$S$987,"44682B3ConvencionalNão se aplicaNão se aplicaNão se aplicaNão se aplicaPonta",Mercado_Receita!$L$2:$L$987)+SUMIF(Mercado_Receita!$S$2:$S$987,"44682B3ConvencionalNão se aplicaNão se aplicaNão se aplicaNão se aplicaFora ponta",Mercado_Receita!$L$2:$L$987)+SUMIF(Mercado_Receita!$S$2:$S$987,"44682B3ConvencionalNão se aplicaNão se aplicaNão se aplicaNão se aplicaIntermediário",Mercado_Receita!$L$2:$L$987)+SUMIF(Mercado_Receita!$S$2:$S$987,"44682B3ConvencionalNão se aplicaNão se aplicaNão se aplicaNão se aplicaNão se aplica",Mercado_Receita!$L$2:$L$987)</f>
        <v>2306.7430000000004</v>
      </c>
      <c r="U55" s="12">
        <f t="shared" si="1"/>
        <v>28618.504000000001</v>
      </c>
      <c r="V55" s="12"/>
      <c r="W55" s="12"/>
    </row>
    <row r="56" spans="1:23" ht="11.25" customHeight="1" x14ac:dyDescent="0.25">
      <c r="A56" s="132"/>
      <c r="B56" s="13" t="s">
        <v>86</v>
      </c>
      <c r="C56" s="13" t="s">
        <v>25</v>
      </c>
      <c r="D56" s="13" t="s">
        <v>25</v>
      </c>
      <c r="E56" s="13" t="s">
        <v>25</v>
      </c>
      <c r="F56" s="13" t="s">
        <v>25</v>
      </c>
      <c r="G56" s="12" t="s">
        <v>75</v>
      </c>
      <c r="H56" s="12" t="s">
        <v>71</v>
      </c>
      <c r="I56" s="12">
        <f>SUMIF(Mercado_Receita!$S$2:$S$987,"44348B3Convencional pré-pagamentoNão se aplicaNão se aplicaNão se aplicaNão se aplicaPonta",Mercado_Receita!$L$2:$L$987)+SUMIF(Mercado_Receita!$S$2:$S$987,"44348B3Convencional pré-pagamentoNão se aplicaNão se aplicaNão se aplicaNão se aplicaFora ponta",Mercado_Receita!$L$2:$L$987)+SUMIF(Mercado_Receita!$S$2:$S$987,"44348B3Convencional pré-pagamentoNão se aplicaNão se aplicaNão se aplicaNão se aplicaIntermediário",Mercado_Receita!$L$2:$L$987)+SUMIF(Mercado_Receita!$S$2:$S$987,"44348B3Convencional pré-pagamentoNão se aplicaNão se aplicaNão se aplicaNão se aplicaNão se aplica",Mercado_Receita!$L$2:$L$987)</f>
        <v>0</v>
      </c>
      <c r="J56" s="12">
        <f>SUMIF(Mercado_Receita!$S$2:$S$987,"44378B3Convencional pré-pagamentoNão se aplicaNão se aplicaNão se aplicaNão se aplicaPonta",Mercado_Receita!$L$2:$L$987)+SUMIF(Mercado_Receita!$S$2:$S$987,"44378B3Convencional pré-pagamentoNão se aplicaNão se aplicaNão se aplicaNão se aplicaFora ponta",Mercado_Receita!$L$2:$L$987)+SUMIF(Mercado_Receita!$S$2:$S$987,"44378B3Convencional pré-pagamentoNão se aplicaNão se aplicaNão se aplicaNão se aplicaIntermediário",Mercado_Receita!$L$2:$L$987)+SUMIF(Mercado_Receita!$S$2:$S$987,"44378B3Convencional pré-pagamentoNão se aplicaNão se aplicaNão se aplicaNão se aplicaNão se aplica",Mercado_Receita!$L$2:$L$987)</f>
        <v>0</v>
      </c>
      <c r="K56" s="12">
        <f>SUMIF(Mercado_Receita!$S$2:$S$987,"44409B3Convencional pré-pagamentoNão se aplicaNão se aplicaNão se aplicaNão se aplicaPonta",Mercado_Receita!$L$2:$L$987)+SUMIF(Mercado_Receita!$S$2:$S$987,"44409B3Convencional pré-pagamentoNão se aplicaNão se aplicaNão se aplicaNão se aplicaFora ponta",Mercado_Receita!$L$2:$L$987)+SUMIF(Mercado_Receita!$S$2:$S$987,"44409B3Convencional pré-pagamentoNão se aplicaNão se aplicaNão se aplicaNão se aplicaIntermediário",Mercado_Receita!$L$2:$L$987)+SUMIF(Mercado_Receita!$S$2:$S$987,"44409B3Convencional pré-pagamentoNão se aplicaNão se aplicaNão se aplicaNão se aplicaNão se aplica",Mercado_Receita!$L$2:$L$987)</f>
        <v>0</v>
      </c>
      <c r="L56" s="12">
        <f>SUMIF(Mercado_Receita!$S$2:$S$987,"44440B3Convencional pré-pagamentoNão se aplicaNão se aplicaNão se aplicaNão se aplicaPonta",Mercado_Receita!$L$2:$L$987)+SUMIF(Mercado_Receita!$S$2:$S$987,"44440B3Convencional pré-pagamentoNão se aplicaNão se aplicaNão se aplicaNão se aplicaFora ponta",Mercado_Receita!$L$2:$L$987)+SUMIF(Mercado_Receita!$S$2:$S$987,"44440B3Convencional pré-pagamentoNão se aplicaNão se aplicaNão se aplicaNão se aplicaIntermediário",Mercado_Receita!$L$2:$L$987)+SUMIF(Mercado_Receita!$S$2:$S$987,"44440B3Convencional pré-pagamentoNão se aplicaNão se aplicaNão se aplicaNão se aplicaNão se aplica",Mercado_Receita!$L$2:$L$987)</f>
        <v>0</v>
      </c>
      <c r="M56" s="12">
        <f>SUMIF(Mercado_Receita!$S$2:$S$987,"44470B3Convencional pré-pagamentoNão se aplicaNão se aplicaNão se aplicaNão se aplicaPonta",Mercado_Receita!$L$2:$L$987)+SUMIF(Mercado_Receita!$S$2:$S$987,"44470B3Convencional pré-pagamentoNão se aplicaNão se aplicaNão se aplicaNão se aplicaFora ponta",Mercado_Receita!$L$2:$L$987)+SUMIF(Mercado_Receita!$S$2:$S$987,"44470B3Convencional pré-pagamentoNão se aplicaNão se aplicaNão se aplicaNão se aplicaIntermediário",Mercado_Receita!$L$2:$L$987)+SUMIF(Mercado_Receita!$S$2:$S$987,"44470B3Convencional pré-pagamentoNão se aplicaNão se aplicaNão se aplicaNão se aplicaNão se aplica",Mercado_Receita!$L$2:$L$987)</f>
        <v>0</v>
      </c>
      <c r="N56" s="12">
        <f>SUMIF(Mercado_Receita!$S$2:$S$987,"44501B3Convencional pré-pagamentoNão se aplicaNão se aplicaNão se aplicaNão se aplicaPonta",Mercado_Receita!$L$2:$L$987)+SUMIF(Mercado_Receita!$S$2:$S$987,"44501B3Convencional pré-pagamentoNão se aplicaNão se aplicaNão se aplicaNão se aplicaFora ponta",Mercado_Receita!$L$2:$L$987)+SUMIF(Mercado_Receita!$S$2:$S$987,"44501B3Convencional pré-pagamentoNão se aplicaNão se aplicaNão se aplicaNão se aplicaIntermediário",Mercado_Receita!$L$2:$L$987)+SUMIF(Mercado_Receita!$S$2:$S$987,"44501B3Convencional pré-pagamentoNão se aplicaNão se aplicaNão se aplicaNão se aplicaNão se aplica",Mercado_Receita!$L$2:$L$987)</f>
        <v>0</v>
      </c>
      <c r="O56" s="12">
        <f>SUMIF(Mercado_Receita!$S$2:$S$987,"44531B3Convencional pré-pagamentoNão se aplicaNão se aplicaNão se aplicaNão se aplicaPonta",Mercado_Receita!$L$2:$L$987)+SUMIF(Mercado_Receita!$S$2:$S$987,"44531B3Convencional pré-pagamentoNão se aplicaNão se aplicaNão se aplicaNão se aplicaFora ponta",Mercado_Receita!$L$2:$L$987)+SUMIF(Mercado_Receita!$S$2:$S$987,"44531B3Convencional pré-pagamentoNão se aplicaNão se aplicaNão se aplicaNão se aplicaIntermediário",Mercado_Receita!$L$2:$L$987)+SUMIF(Mercado_Receita!$S$2:$S$987,"44531B3Convencional pré-pagamentoNão se aplicaNão se aplicaNão se aplicaNão se aplicaNão se aplica",Mercado_Receita!$L$2:$L$987)</f>
        <v>0</v>
      </c>
      <c r="P56" s="12">
        <f>SUMIF(Mercado_Receita!$S$2:$S$987,"44562B3Convencional pré-pagamentoNão se aplicaNão se aplicaNão se aplicaNão se aplicaPonta",Mercado_Receita!$L$2:$L$987)+SUMIF(Mercado_Receita!$S$2:$S$987,"44562B3Convencional pré-pagamentoNão se aplicaNão se aplicaNão se aplicaNão se aplicaFora ponta",Mercado_Receita!$L$2:$L$987)+SUMIF(Mercado_Receita!$S$2:$S$987,"44562B3Convencional pré-pagamentoNão se aplicaNão se aplicaNão se aplicaNão se aplicaIntermediário",Mercado_Receita!$L$2:$L$987)+SUMIF(Mercado_Receita!$S$2:$S$987,"44562B3Convencional pré-pagamentoNão se aplicaNão se aplicaNão se aplicaNão se aplicaNão se aplica",Mercado_Receita!$L$2:$L$987)</f>
        <v>0</v>
      </c>
      <c r="Q56" s="12">
        <f>SUMIF(Mercado_Receita!$S$2:$S$987,"44593B3Convencional pré-pagamentoNão se aplicaNão se aplicaNão se aplicaNão se aplicaPonta",Mercado_Receita!$L$2:$L$987)+SUMIF(Mercado_Receita!$S$2:$S$987,"44593B3Convencional pré-pagamentoNão se aplicaNão se aplicaNão se aplicaNão se aplicaFora ponta",Mercado_Receita!$L$2:$L$987)+SUMIF(Mercado_Receita!$S$2:$S$987,"44593B3Convencional pré-pagamentoNão se aplicaNão se aplicaNão se aplicaNão se aplicaIntermediário",Mercado_Receita!$L$2:$L$987)+SUMIF(Mercado_Receita!$S$2:$S$987,"44593B3Convencional pré-pagamentoNão se aplicaNão se aplicaNão se aplicaNão se aplicaNão se aplica",Mercado_Receita!$L$2:$L$987)</f>
        <v>0</v>
      </c>
      <c r="R56" s="12">
        <f>SUMIF(Mercado_Receita!$S$2:$S$987,"44621B3Convencional pré-pagamentoNão se aplicaNão se aplicaNão se aplicaNão se aplicaPonta",Mercado_Receita!$L$2:$L$987)+SUMIF(Mercado_Receita!$S$2:$S$987,"44621B3Convencional pré-pagamentoNão se aplicaNão se aplicaNão se aplicaNão se aplicaFora ponta",Mercado_Receita!$L$2:$L$987)+SUMIF(Mercado_Receita!$S$2:$S$987,"44621B3Convencional pré-pagamentoNão se aplicaNão se aplicaNão se aplicaNão se aplicaIntermediário",Mercado_Receita!$L$2:$L$987)+SUMIF(Mercado_Receita!$S$2:$S$987,"44621B3Convencional pré-pagamentoNão se aplicaNão se aplicaNão se aplicaNão se aplicaNão se aplica",Mercado_Receita!$L$2:$L$987)</f>
        <v>0</v>
      </c>
      <c r="S56" s="12">
        <f>SUMIF(Mercado_Receita!$S$2:$S$987,"44652B3Convencional pré-pagamentoNão se aplicaNão se aplicaNão se aplicaNão se aplicaPonta",Mercado_Receita!$L$2:$L$987)+SUMIF(Mercado_Receita!$S$2:$S$987,"44652B3Convencional pré-pagamentoNão se aplicaNão se aplicaNão se aplicaNão se aplicaFora ponta",Mercado_Receita!$L$2:$L$987)+SUMIF(Mercado_Receita!$S$2:$S$987,"44652B3Convencional pré-pagamentoNão se aplicaNão se aplicaNão se aplicaNão se aplicaIntermediário",Mercado_Receita!$L$2:$L$987)+SUMIF(Mercado_Receita!$S$2:$S$987,"44652B3Convencional pré-pagamentoNão se aplicaNão se aplicaNão se aplicaNão se aplicaNão se aplica",Mercado_Receita!$L$2:$L$987)</f>
        <v>0</v>
      </c>
      <c r="T56" s="12">
        <f>SUMIF(Mercado_Receita!$S$2:$S$987,"44682B3Convencional pré-pagamentoNão se aplicaNão se aplicaNão se aplicaNão se aplicaPonta",Mercado_Receita!$L$2:$L$987)+SUMIF(Mercado_Receita!$S$2:$S$987,"44682B3Convencional pré-pagamentoNão se aplicaNão se aplicaNão se aplicaNão se aplicaFora ponta",Mercado_Receita!$L$2:$L$987)+SUMIF(Mercado_Receita!$S$2:$S$987,"44682B3Convencional pré-pagamentoNão se aplicaNão se aplicaNão se aplicaNão se aplicaIntermediário",Mercado_Receita!$L$2:$L$987)+SUMIF(Mercado_Receita!$S$2:$S$987,"44682B3Convencional pré-pagamentoNão se aplicaNão se aplicaNão se aplicaNão se aplicaNão se aplica",Mercado_Receita!$L$2:$L$987)</f>
        <v>0</v>
      </c>
      <c r="U56" s="12">
        <f t="shared" si="1"/>
        <v>0</v>
      </c>
      <c r="V56" s="12"/>
      <c r="W56" s="12"/>
    </row>
    <row r="57" spans="1:23" ht="11.25" customHeight="1" x14ac:dyDescent="0.25">
      <c r="A57" s="131" t="s">
        <v>47</v>
      </c>
      <c r="B57" s="131" t="s">
        <v>23</v>
      </c>
      <c r="C57" s="131" t="s">
        <v>48</v>
      </c>
      <c r="D57" s="13" t="s">
        <v>49</v>
      </c>
      <c r="E57" s="13" t="s">
        <v>25</v>
      </c>
      <c r="F57" s="13" t="s">
        <v>25</v>
      </c>
      <c r="G57" s="12" t="s">
        <v>75</v>
      </c>
      <c r="H57" s="12" t="s">
        <v>71</v>
      </c>
      <c r="I57" s="12">
        <f>SUMIF(Mercado_Receita!$S$2:$S$987,"44348B4ConvencionalIluminação públicaIluminação pública – B4aNão se aplicaNão se aplicaPonta",Mercado_Receita!$L$2:$L$987)+SUMIF(Mercado_Receita!$S$2:$S$987,"44348B4ConvencionalIluminação públicaIluminação pública – B4aNão se aplicaNão se aplicaFora ponta",Mercado_Receita!$L$2:$L$987)+SUMIF(Mercado_Receita!$S$2:$S$987,"44348B4ConvencionalIluminação públicaIluminação pública – B4aNão se aplicaNão se aplicaIntermediário",Mercado_Receita!$L$2:$L$987)+SUMIF(Mercado_Receita!$S$2:$S$987,"44348B4ConvencionalIluminação públicaIluminação pública – B4aNão se aplicaNão se aplicaNão se aplica",Mercado_Receita!$L$2:$L$987)</f>
        <v>993.76</v>
      </c>
      <c r="J57" s="12">
        <f>SUMIF(Mercado_Receita!$S$2:$S$987,"44378B4ConvencionalIluminação públicaIluminação pública – B4aNão se aplicaNão se aplicaPonta",Mercado_Receita!$L$2:$L$987)+SUMIF(Mercado_Receita!$S$2:$S$987,"44378B4ConvencionalIluminação públicaIluminação pública – B4aNão se aplicaNão se aplicaFora ponta",Mercado_Receita!$L$2:$L$987)+SUMIF(Mercado_Receita!$S$2:$S$987,"44378B4ConvencionalIluminação públicaIluminação pública – B4aNão se aplicaNão se aplicaIntermediário",Mercado_Receita!$L$2:$L$987)+SUMIF(Mercado_Receita!$S$2:$S$987,"44378B4ConvencionalIluminação públicaIluminação pública – B4aNão se aplicaNão se aplicaNão se aplica",Mercado_Receita!$L$2:$L$987)</f>
        <v>1093.136</v>
      </c>
      <c r="K57" s="12">
        <f>SUMIF(Mercado_Receita!$S$2:$S$987,"44409B4ConvencionalIluminação públicaIluminação pública – B4aNão se aplicaNão se aplicaPonta",Mercado_Receita!$L$2:$L$987)+SUMIF(Mercado_Receita!$S$2:$S$987,"44409B4ConvencionalIluminação públicaIluminação pública – B4aNão se aplicaNão se aplicaFora ponta",Mercado_Receita!$L$2:$L$987)+SUMIF(Mercado_Receita!$S$2:$S$987,"44409B4ConvencionalIluminação públicaIluminação pública – B4aNão se aplicaNão se aplicaIntermediário",Mercado_Receita!$L$2:$L$987)+SUMIF(Mercado_Receita!$S$2:$S$987,"44409B4ConvencionalIluminação públicaIluminação pública – B4aNão se aplicaNão se aplicaNão se aplica",Mercado_Receita!$L$2:$L$987)</f>
        <v>1093.135</v>
      </c>
      <c r="L57" s="12">
        <f>SUMIF(Mercado_Receita!$S$2:$S$987,"44440B4ConvencionalIluminação públicaIluminação pública – B4aNão se aplicaNão se aplicaPonta",Mercado_Receita!$L$2:$L$987)+SUMIF(Mercado_Receita!$S$2:$S$987,"44440B4ConvencionalIluminação públicaIluminação pública – B4aNão se aplicaNão se aplicaFora ponta",Mercado_Receita!$L$2:$L$987)+SUMIF(Mercado_Receita!$S$2:$S$987,"44440B4ConvencionalIluminação públicaIluminação pública – B4aNão se aplicaNão se aplicaIntermediário",Mercado_Receita!$L$2:$L$987)+SUMIF(Mercado_Receita!$S$2:$S$987,"44440B4ConvencionalIluminação públicaIluminação pública – B4aNão se aplicaNão se aplicaNão se aplica",Mercado_Receita!$L$2:$L$987)</f>
        <v>1026.885</v>
      </c>
      <c r="M57" s="12">
        <f>SUMIF(Mercado_Receita!$S$2:$S$987,"44470B4ConvencionalIluminação públicaIluminação pública – B4aNão se aplicaNão se aplicaPonta",Mercado_Receita!$L$2:$L$987)+SUMIF(Mercado_Receita!$S$2:$S$987,"44470B4ConvencionalIluminação públicaIluminação pública – B4aNão se aplicaNão se aplicaFora ponta",Mercado_Receita!$L$2:$L$987)+SUMIF(Mercado_Receita!$S$2:$S$987,"44470B4ConvencionalIluminação públicaIluminação pública – B4aNão se aplicaNão se aplicaIntermediário",Mercado_Receita!$L$2:$L$987)+SUMIF(Mercado_Receita!$S$2:$S$987,"44470B4ConvencionalIluminação públicaIluminação pública – B4aNão se aplicaNão se aplicaNão se aplica",Mercado_Receita!$L$2:$L$987)</f>
        <v>1026.885</v>
      </c>
      <c r="N57" s="12">
        <f>SUMIF(Mercado_Receita!$S$2:$S$987,"44501B4ConvencionalIluminação públicaIluminação pública – B4aNão se aplicaNão se aplicaPonta",Mercado_Receita!$L$2:$L$987)+SUMIF(Mercado_Receita!$S$2:$S$987,"44501B4ConvencionalIluminação públicaIluminação pública – B4aNão se aplicaNão se aplicaFora ponta",Mercado_Receita!$L$2:$L$987)+SUMIF(Mercado_Receita!$S$2:$S$987,"44501B4ConvencionalIluminação públicaIluminação pública – B4aNão se aplicaNão se aplicaIntermediário",Mercado_Receita!$L$2:$L$987)+SUMIF(Mercado_Receita!$S$2:$S$987,"44501B4ConvencionalIluminação públicaIluminação pública – B4aNão se aplicaNão se aplicaNão se aplica",Mercado_Receita!$L$2:$L$987)</f>
        <v>993.76</v>
      </c>
      <c r="O57" s="12">
        <f>SUMIF(Mercado_Receita!$S$2:$S$987,"44531B4ConvencionalIluminação públicaIluminação pública – B4aNão se aplicaNão se aplicaPonta",Mercado_Receita!$L$2:$L$987)+SUMIF(Mercado_Receita!$S$2:$S$987,"44531B4ConvencionalIluminação públicaIluminação pública – B4aNão se aplicaNão se aplicaFora ponta",Mercado_Receita!$L$2:$L$987)+SUMIF(Mercado_Receita!$S$2:$S$987,"44531B4ConvencionalIluminação públicaIluminação pública – B4aNão se aplicaNão se aplicaIntermediário",Mercado_Receita!$L$2:$L$987)+SUMIF(Mercado_Receita!$S$2:$S$987,"44531B4ConvencionalIluminação públicaIluminação pública – B4aNão se aplicaNão se aplicaNão se aplica",Mercado_Receita!$L$2:$L$987)</f>
        <v>1026.885</v>
      </c>
      <c r="P57" s="12">
        <f>SUMIF(Mercado_Receita!$S$2:$S$987,"44562B4ConvencionalIluminação públicaIluminação pública – B4aNão se aplicaNão se aplicaPonta",Mercado_Receita!$L$2:$L$987)+SUMIF(Mercado_Receita!$S$2:$S$987,"44562B4ConvencionalIluminação públicaIluminação pública – B4aNão se aplicaNão se aplicaFora ponta",Mercado_Receita!$L$2:$L$987)+SUMIF(Mercado_Receita!$S$2:$S$987,"44562B4ConvencionalIluminação públicaIluminação pública – B4aNão se aplicaNão se aplicaIntermediário",Mercado_Receita!$L$2:$L$987)+SUMIF(Mercado_Receita!$S$2:$S$987,"44562B4ConvencionalIluminação públicaIluminação pública – B4aNão se aplicaNão se aplicaNão se aplica",Mercado_Receita!$L$2:$L$987)</f>
        <v>899.43499999999995</v>
      </c>
      <c r="Q57" s="12">
        <f>SUMIF(Mercado_Receita!$S$2:$S$987,"44593B4ConvencionalIluminação públicaIluminação pública – B4aNão se aplicaNão se aplicaPonta",Mercado_Receita!$L$2:$L$987)+SUMIF(Mercado_Receita!$S$2:$S$987,"44593B4ConvencionalIluminação públicaIluminação pública – B4aNão se aplicaNão se aplicaFora ponta",Mercado_Receita!$L$2:$L$987)+SUMIF(Mercado_Receita!$S$2:$S$987,"44593B4ConvencionalIluminação públicaIluminação pública – B4aNão se aplicaNão se aplicaIntermediário",Mercado_Receita!$L$2:$L$987)+SUMIF(Mercado_Receita!$S$2:$S$987,"44593B4ConvencionalIluminação públicaIluminação pública – B4aNão se aplicaNão se aplicaNão se aplica",Mercado_Receita!$L$2:$L$987)</f>
        <v>858.42399999999998</v>
      </c>
      <c r="R57" s="12">
        <f>SUMIF(Mercado_Receita!$S$2:$S$987,"44621B4ConvencionalIluminação públicaIluminação pública – B4aNão se aplicaNão se aplicaPonta",Mercado_Receita!$L$2:$L$987)+SUMIF(Mercado_Receita!$S$2:$S$987,"44621B4ConvencionalIluminação públicaIluminação pública – B4aNão se aplicaNão se aplicaFora ponta",Mercado_Receita!$L$2:$L$987)+SUMIF(Mercado_Receita!$S$2:$S$987,"44621B4ConvencionalIluminação públicaIluminação pública – B4aNão se aplicaNão se aplicaIntermediário",Mercado_Receita!$L$2:$L$987)+SUMIF(Mercado_Receita!$S$2:$S$987,"44621B4ConvencionalIluminação públicaIluminação pública – B4aNão se aplicaNão se aplicaNão se aplica",Mercado_Receita!$L$2:$L$987)</f>
        <v>1004.369</v>
      </c>
      <c r="S57" s="12">
        <f>SUMIF(Mercado_Receita!$S$2:$S$987,"44652B4ConvencionalIluminação públicaIluminação pública – B4aNão se aplicaNão se aplicaPonta",Mercado_Receita!$L$2:$L$987)+SUMIF(Mercado_Receita!$S$2:$S$987,"44652B4ConvencionalIluminação públicaIluminação pública – B4aNão se aplicaNão se aplicaFora ponta",Mercado_Receita!$L$2:$L$987)+SUMIF(Mercado_Receita!$S$2:$S$987,"44652B4ConvencionalIluminação públicaIluminação pública – B4aNão se aplicaNão se aplicaIntermediário",Mercado_Receita!$L$2:$L$987)+SUMIF(Mercado_Receita!$S$2:$S$987,"44652B4ConvencionalIluminação públicaIluminação pública – B4aNão se aplicaNão se aplicaNão se aplica",Mercado_Receita!$L$2:$L$987)</f>
        <v>1044.548</v>
      </c>
      <c r="T57" s="12">
        <f>SUMIF(Mercado_Receita!$S$2:$S$987,"44682B4ConvencionalIluminação públicaIluminação pública – B4aNão se aplicaNão se aplicaPonta",Mercado_Receita!$L$2:$L$987)+SUMIF(Mercado_Receita!$S$2:$S$987,"44682B4ConvencionalIluminação públicaIluminação pública – B4aNão se aplicaNão se aplicaFora ponta",Mercado_Receita!$L$2:$L$987)+SUMIF(Mercado_Receita!$S$2:$S$987,"44682B4ConvencionalIluminação públicaIluminação pública – B4aNão se aplicaNão se aplicaIntermediário",Mercado_Receita!$L$2:$L$987)+SUMIF(Mercado_Receita!$S$2:$S$987,"44682B4ConvencionalIluminação públicaIluminação pública – B4aNão se aplicaNão se aplicaNão se aplica",Mercado_Receita!$L$2:$L$987)</f>
        <v>1139.2840000000001</v>
      </c>
      <c r="U57" s="12">
        <f t="shared" si="1"/>
        <v>12200.506000000001</v>
      </c>
      <c r="V57" s="12"/>
      <c r="W57" s="12"/>
    </row>
    <row r="58" spans="1:23" ht="11.25" customHeight="1" x14ac:dyDescent="0.25">
      <c r="A58" s="132"/>
      <c r="B58" s="132"/>
      <c r="C58" s="132"/>
      <c r="D58" s="12" t="s">
        <v>89</v>
      </c>
      <c r="E58" s="12" t="s">
        <v>25</v>
      </c>
      <c r="F58" s="12" t="s">
        <v>25</v>
      </c>
      <c r="G58" s="12" t="s">
        <v>75</v>
      </c>
      <c r="H58" s="12" t="s">
        <v>71</v>
      </c>
      <c r="I58" s="12">
        <f>SUMIF(Mercado_Receita!$S$2:$S$987,"44348B4ConvencionalIluminação públicaIluminação pública – B4bNão se aplicaNão se aplicaPonta",Mercado_Receita!$L$2:$L$987)+SUMIF(Mercado_Receita!$S$2:$S$987,"44348B4ConvencionalIluminação públicaIluminação pública – B4bNão se aplicaNão se aplicaFora ponta",Mercado_Receita!$L$2:$L$987)+SUMIF(Mercado_Receita!$S$2:$S$987,"44348B4ConvencionalIluminação públicaIluminação pública – B4bNão se aplicaNão se aplicaIntermediário",Mercado_Receita!$L$2:$L$987)+SUMIF(Mercado_Receita!$S$2:$S$987,"44348B4ConvencionalIluminação públicaIluminação pública – B4bNão se aplicaNão se aplicaNão se aplica",Mercado_Receita!$L$2:$L$987)</f>
        <v>0</v>
      </c>
      <c r="J58" s="12">
        <f>SUMIF(Mercado_Receita!$S$2:$S$987,"44378B4ConvencionalIluminação públicaIluminação pública – B4bNão se aplicaNão se aplicaPonta",Mercado_Receita!$L$2:$L$987)+SUMIF(Mercado_Receita!$S$2:$S$987,"44378B4ConvencionalIluminação públicaIluminação pública – B4bNão se aplicaNão se aplicaFora ponta",Mercado_Receita!$L$2:$L$987)+SUMIF(Mercado_Receita!$S$2:$S$987,"44378B4ConvencionalIluminação públicaIluminação pública – B4bNão se aplicaNão se aplicaIntermediário",Mercado_Receita!$L$2:$L$987)+SUMIF(Mercado_Receita!$S$2:$S$987,"44378B4ConvencionalIluminação públicaIluminação pública – B4bNão se aplicaNão se aplicaNão se aplica",Mercado_Receita!$L$2:$L$987)</f>
        <v>0</v>
      </c>
      <c r="K58" s="12">
        <f>SUMIF(Mercado_Receita!$S$2:$S$987,"44409B4ConvencionalIluminação públicaIluminação pública – B4bNão se aplicaNão se aplicaPonta",Mercado_Receita!$L$2:$L$987)+SUMIF(Mercado_Receita!$S$2:$S$987,"44409B4ConvencionalIluminação públicaIluminação pública – B4bNão se aplicaNão se aplicaFora ponta",Mercado_Receita!$L$2:$L$987)+SUMIF(Mercado_Receita!$S$2:$S$987,"44409B4ConvencionalIluminação públicaIluminação pública – B4bNão se aplicaNão se aplicaIntermediário",Mercado_Receita!$L$2:$L$987)+SUMIF(Mercado_Receita!$S$2:$S$987,"44409B4ConvencionalIluminação públicaIluminação pública – B4bNão se aplicaNão se aplicaNão se aplica",Mercado_Receita!$L$2:$L$987)</f>
        <v>0</v>
      </c>
      <c r="L58" s="12">
        <f>SUMIF(Mercado_Receita!$S$2:$S$987,"44440B4ConvencionalIluminação públicaIluminação pública – B4bNão se aplicaNão se aplicaPonta",Mercado_Receita!$L$2:$L$987)+SUMIF(Mercado_Receita!$S$2:$S$987,"44440B4ConvencionalIluminação públicaIluminação pública – B4bNão se aplicaNão se aplicaFora ponta",Mercado_Receita!$L$2:$L$987)+SUMIF(Mercado_Receita!$S$2:$S$987,"44440B4ConvencionalIluminação públicaIluminação pública – B4bNão se aplicaNão se aplicaIntermediário",Mercado_Receita!$L$2:$L$987)+SUMIF(Mercado_Receita!$S$2:$S$987,"44440B4ConvencionalIluminação públicaIluminação pública – B4bNão se aplicaNão se aplicaNão se aplica",Mercado_Receita!$L$2:$L$987)</f>
        <v>0</v>
      </c>
      <c r="M58" s="12">
        <f>SUMIF(Mercado_Receita!$S$2:$S$987,"44470B4ConvencionalIluminação públicaIluminação pública – B4bNão se aplicaNão se aplicaPonta",Mercado_Receita!$L$2:$L$987)+SUMIF(Mercado_Receita!$S$2:$S$987,"44470B4ConvencionalIluminação públicaIluminação pública – B4bNão se aplicaNão se aplicaFora ponta",Mercado_Receita!$L$2:$L$987)+SUMIF(Mercado_Receita!$S$2:$S$987,"44470B4ConvencionalIluminação públicaIluminação pública – B4bNão se aplicaNão se aplicaIntermediário",Mercado_Receita!$L$2:$L$987)+SUMIF(Mercado_Receita!$S$2:$S$987,"44470B4ConvencionalIluminação públicaIluminação pública – B4bNão se aplicaNão se aplicaNão se aplica",Mercado_Receita!$L$2:$L$987)</f>
        <v>0</v>
      </c>
      <c r="N58" s="12">
        <f>SUMIF(Mercado_Receita!$S$2:$S$987,"44501B4ConvencionalIluminação públicaIluminação pública – B4bNão se aplicaNão se aplicaPonta",Mercado_Receita!$L$2:$L$987)+SUMIF(Mercado_Receita!$S$2:$S$987,"44501B4ConvencionalIluminação públicaIluminação pública – B4bNão se aplicaNão se aplicaFora ponta",Mercado_Receita!$L$2:$L$987)+SUMIF(Mercado_Receita!$S$2:$S$987,"44501B4ConvencionalIluminação públicaIluminação pública – B4bNão se aplicaNão se aplicaIntermediário",Mercado_Receita!$L$2:$L$987)+SUMIF(Mercado_Receita!$S$2:$S$987,"44501B4ConvencionalIluminação públicaIluminação pública – B4bNão se aplicaNão se aplicaNão se aplica",Mercado_Receita!$L$2:$L$987)</f>
        <v>0</v>
      </c>
      <c r="O58" s="12">
        <f>SUMIF(Mercado_Receita!$S$2:$S$987,"44531B4ConvencionalIluminação públicaIluminação pública – B4bNão se aplicaNão se aplicaPonta",Mercado_Receita!$L$2:$L$987)+SUMIF(Mercado_Receita!$S$2:$S$987,"44531B4ConvencionalIluminação públicaIluminação pública – B4bNão se aplicaNão se aplicaFora ponta",Mercado_Receita!$L$2:$L$987)+SUMIF(Mercado_Receita!$S$2:$S$987,"44531B4ConvencionalIluminação públicaIluminação pública – B4bNão se aplicaNão se aplicaIntermediário",Mercado_Receita!$L$2:$L$987)+SUMIF(Mercado_Receita!$S$2:$S$987,"44531B4ConvencionalIluminação públicaIluminação pública – B4bNão se aplicaNão se aplicaNão se aplica",Mercado_Receita!$L$2:$L$987)</f>
        <v>0</v>
      </c>
      <c r="P58" s="12">
        <f>SUMIF(Mercado_Receita!$S$2:$S$987,"44562B4ConvencionalIluminação públicaIluminação pública – B4bNão se aplicaNão se aplicaPonta",Mercado_Receita!$L$2:$L$987)+SUMIF(Mercado_Receita!$S$2:$S$987,"44562B4ConvencionalIluminação públicaIluminação pública – B4bNão se aplicaNão se aplicaFora ponta",Mercado_Receita!$L$2:$L$987)+SUMIF(Mercado_Receita!$S$2:$S$987,"44562B4ConvencionalIluminação públicaIluminação pública – B4bNão se aplicaNão se aplicaIntermediário",Mercado_Receita!$L$2:$L$987)+SUMIF(Mercado_Receita!$S$2:$S$987,"44562B4ConvencionalIluminação públicaIluminação pública – B4bNão se aplicaNão se aplicaNão se aplica",Mercado_Receita!$L$2:$L$987)</f>
        <v>0</v>
      </c>
      <c r="Q58" s="12">
        <f>SUMIF(Mercado_Receita!$S$2:$S$987,"44593B4ConvencionalIluminação públicaIluminação pública – B4bNão se aplicaNão se aplicaPonta",Mercado_Receita!$L$2:$L$987)+SUMIF(Mercado_Receita!$S$2:$S$987,"44593B4ConvencionalIluminação públicaIluminação pública – B4bNão se aplicaNão se aplicaFora ponta",Mercado_Receita!$L$2:$L$987)+SUMIF(Mercado_Receita!$S$2:$S$987,"44593B4ConvencionalIluminação públicaIluminação pública – B4bNão se aplicaNão se aplicaIntermediário",Mercado_Receita!$L$2:$L$987)+SUMIF(Mercado_Receita!$S$2:$S$987,"44593B4ConvencionalIluminação públicaIluminação pública – B4bNão se aplicaNão se aplicaNão se aplica",Mercado_Receita!$L$2:$L$987)</f>
        <v>0</v>
      </c>
      <c r="R58" s="12">
        <f>SUMIF(Mercado_Receita!$S$2:$S$987,"44621B4ConvencionalIluminação públicaIluminação pública – B4bNão se aplicaNão se aplicaPonta",Mercado_Receita!$L$2:$L$987)+SUMIF(Mercado_Receita!$S$2:$S$987,"44621B4ConvencionalIluminação públicaIluminação pública – B4bNão se aplicaNão se aplicaFora ponta",Mercado_Receita!$L$2:$L$987)+SUMIF(Mercado_Receita!$S$2:$S$987,"44621B4ConvencionalIluminação públicaIluminação pública – B4bNão se aplicaNão se aplicaIntermediário",Mercado_Receita!$L$2:$L$987)+SUMIF(Mercado_Receita!$S$2:$S$987,"44621B4ConvencionalIluminação públicaIluminação pública – B4bNão se aplicaNão se aplicaNão se aplica",Mercado_Receita!$L$2:$L$987)</f>
        <v>0</v>
      </c>
      <c r="S58" s="12">
        <f>SUMIF(Mercado_Receita!$S$2:$S$987,"44652B4ConvencionalIluminação públicaIluminação pública – B4bNão se aplicaNão se aplicaPonta",Mercado_Receita!$L$2:$L$987)+SUMIF(Mercado_Receita!$S$2:$S$987,"44652B4ConvencionalIluminação públicaIluminação pública – B4bNão se aplicaNão se aplicaFora ponta",Mercado_Receita!$L$2:$L$987)+SUMIF(Mercado_Receita!$S$2:$S$987,"44652B4ConvencionalIluminação públicaIluminação pública – B4bNão se aplicaNão se aplicaIntermediário",Mercado_Receita!$L$2:$L$987)+SUMIF(Mercado_Receita!$S$2:$S$987,"44652B4ConvencionalIluminação públicaIluminação pública – B4bNão se aplicaNão se aplicaNão se aplica",Mercado_Receita!$L$2:$L$987)</f>
        <v>0</v>
      </c>
      <c r="T58" s="12">
        <f>SUMIF(Mercado_Receita!$S$2:$S$987,"44682B4ConvencionalIluminação públicaIluminação pública – B4bNão se aplicaNão se aplicaPonta",Mercado_Receita!$L$2:$L$987)+SUMIF(Mercado_Receita!$S$2:$S$987,"44682B4ConvencionalIluminação públicaIluminação pública – B4bNão se aplicaNão se aplicaFora ponta",Mercado_Receita!$L$2:$L$987)+SUMIF(Mercado_Receita!$S$2:$S$987,"44682B4ConvencionalIluminação públicaIluminação pública – B4bNão se aplicaNão se aplicaIntermediário",Mercado_Receita!$L$2:$L$987)+SUMIF(Mercado_Receita!$S$2:$S$987,"44682B4ConvencionalIluminação públicaIluminação pública – B4bNão se aplicaNão se aplicaNão se aplica",Mercado_Receita!$L$2:$L$987)</f>
        <v>0</v>
      </c>
      <c r="U58" s="12">
        <f t="shared" si="1"/>
        <v>0</v>
      </c>
      <c r="V58" s="12"/>
      <c r="W58" s="12"/>
    </row>
    <row r="59" spans="1:23" ht="11.25" customHeight="1" x14ac:dyDescent="0.25">
      <c r="A59" s="133" t="s">
        <v>580</v>
      </c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2"/>
      <c r="W59" s="12"/>
    </row>
  </sheetData>
  <mergeCells count="68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A12:A21"/>
    <mergeCell ref="F12:F14"/>
    <mergeCell ref="E12:E14"/>
    <mergeCell ref="D12:D15"/>
    <mergeCell ref="C12:C15"/>
    <mergeCell ref="B12:B15"/>
    <mergeCell ref="F17:F19"/>
    <mergeCell ref="E17:E19"/>
    <mergeCell ref="F20:F21"/>
    <mergeCell ref="E20:E21"/>
    <mergeCell ref="D17:D21"/>
    <mergeCell ref="C17:C21"/>
    <mergeCell ref="B17:B21"/>
    <mergeCell ref="D22:D23"/>
    <mergeCell ref="C22:C23"/>
    <mergeCell ref="B22:B23"/>
    <mergeCell ref="A22:A23"/>
    <mergeCell ref="F24:F26"/>
    <mergeCell ref="E24:E26"/>
    <mergeCell ref="D24:D26"/>
    <mergeCell ref="C24:C26"/>
    <mergeCell ref="B24:B26"/>
    <mergeCell ref="F37:F39"/>
    <mergeCell ref="E37:E39"/>
    <mergeCell ref="D37:D39"/>
    <mergeCell ref="C37:C39"/>
    <mergeCell ref="B37:B39"/>
    <mergeCell ref="C27:C31"/>
    <mergeCell ref="B27:B31"/>
    <mergeCell ref="C32:C36"/>
    <mergeCell ref="B32:B36"/>
    <mergeCell ref="A24:A36"/>
    <mergeCell ref="C41:C43"/>
    <mergeCell ref="B41:B43"/>
    <mergeCell ref="F45:F47"/>
    <mergeCell ref="E45:E47"/>
    <mergeCell ref="D45:D47"/>
    <mergeCell ref="C45:C47"/>
    <mergeCell ref="B45:B47"/>
    <mergeCell ref="A57:A58"/>
    <mergeCell ref="B57:B58"/>
    <mergeCell ref="C57:C58"/>
    <mergeCell ref="A59:U59"/>
    <mergeCell ref="C49:C51"/>
    <mergeCell ref="B49:B51"/>
    <mergeCell ref="A37:A51"/>
    <mergeCell ref="F52:F54"/>
    <mergeCell ref="E52:E54"/>
    <mergeCell ref="D52:D54"/>
    <mergeCell ref="C52:C54"/>
    <mergeCell ref="B52:B54"/>
    <mergeCell ref="A52:A56"/>
    <mergeCell ref="F41:F43"/>
    <mergeCell ref="E41:E43"/>
    <mergeCell ref="D41:D43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168D-0456-488C-8A63-492E1480D74D}">
  <dimension ref="A1:AD43"/>
  <sheetViews>
    <sheetView showGridLines="0" topLeftCell="E1" workbookViewId="0"/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61</v>
      </c>
      <c r="B1" s="10" t="s">
        <v>62</v>
      </c>
      <c r="C1" s="10" t="s">
        <v>63</v>
      </c>
      <c r="D1" s="10" t="s">
        <v>64</v>
      </c>
      <c r="E1" s="10" t="s">
        <v>65</v>
      </c>
      <c r="F1" s="10" t="s">
        <v>66</v>
      </c>
      <c r="G1" s="10" t="s">
        <v>67</v>
      </c>
      <c r="H1" s="10" t="s">
        <v>68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69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31" t="s">
        <v>42</v>
      </c>
      <c r="B2" s="131" t="s">
        <v>70</v>
      </c>
      <c r="C2" s="131" t="s">
        <v>25</v>
      </c>
      <c r="D2" s="131" t="s">
        <v>25</v>
      </c>
      <c r="E2" s="131" t="s">
        <v>25</v>
      </c>
      <c r="F2" s="131" t="s">
        <v>25</v>
      </c>
      <c r="G2" s="12" t="s">
        <v>72</v>
      </c>
      <c r="H2" s="12" t="s">
        <v>71</v>
      </c>
      <c r="I2" s="12">
        <f>SUMIF(Mercado_Receita!$T$2:$T$987,"44348A3aEnergia horáriaNão se aplicaNão se aplicaNão se aplicaNão se aplicaPonta",Mercado_Receita!$N$2:$N$987)</f>
        <v>21.103000000000002</v>
      </c>
      <c r="J2" s="12">
        <f>SUMIF(Mercado_Receita!$T$2:$T$987,"44378A3aEnergia horáriaNão se aplicaNão se aplicaNão se aplicaNão se aplicaPonta",Mercado_Receita!$N$2:$N$987)</f>
        <v>24.123999999999999</v>
      </c>
      <c r="K2" s="12">
        <f>SUMIF(Mercado_Receita!$T$2:$T$987,"44409A3aEnergia horáriaNão se aplicaNão se aplicaNão se aplicaNão se aplicaPonta",Mercado_Receita!$N$2:$N$987)</f>
        <v>21.966000000000001</v>
      </c>
      <c r="L2" s="12">
        <f>SUMIF(Mercado_Receita!$T$2:$T$987,"44440A3aEnergia horáriaNão se aplicaNão se aplicaNão se aplicaNão se aplicaPonta",Mercado_Receita!$N$2:$N$987)</f>
        <v>20.585999999999999</v>
      </c>
      <c r="M2" s="12">
        <f>SUMIF(Mercado_Receita!$T$2:$T$987,"44470A3aEnergia horáriaNão se aplicaNão se aplicaNão se aplicaNão se aplicaPonta",Mercado_Receita!$N$2:$N$987)</f>
        <v>19.867000000000001</v>
      </c>
      <c r="N2" s="12">
        <f>SUMIF(Mercado_Receita!$T$2:$T$987,"44501A3aEnergia horáriaNão se aplicaNão se aplicaNão se aplicaNão se aplicaPonta",Mercado_Receita!$N$2:$N$987)</f>
        <v>18.02</v>
      </c>
      <c r="O2" s="12">
        <f>SUMIF(Mercado_Receita!$T$2:$T$987,"44531A3aEnergia horáriaNão se aplicaNão se aplicaNão se aplicaNão se aplicaPonta",Mercado_Receita!$N$2:$N$987)</f>
        <v>18.055</v>
      </c>
      <c r="P2" s="12">
        <f>SUMIF(Mercado_Receita!$T$2:$T$987,"44562A3aEnergia horáriaNão se aplicaNão se aplicaNão se aplicaNão se aplicaPonta",Mercado_Receita!$N$2:$N$987)</f>
        <v>16.747</v>
      </c>
      <c r="Q2" s="12">
        <f>SUMIF(Mercado_Receita!$T$2:$T$987,"44593A3aEnergia horáriaNão se aplicaNão se aplicaNão se aplicaNão se aplicaPonta",Mercado_Receita!$N$2:$N$987)</f>
        <v>18.312999999999999</v>
      </c>
      <c r="R2" s="12">
        <f>SUMIF(Mercado_Receita!$T$2:$T$987,"44621A3aEnergia horáriaNão se aplicaNão se aplicaNão se aplicaNão se aplicaPonta",Mercado_Receita!$N$2:$N$987)</f>
        <v>19.64</v>
      </c>
      <c r="S2" s="12">
        <f>SUMIF(Mercado_Receita!$T$2:$T$987,"44652A3aEnergia horáriaNão se aplicaNão se aplicaNão se aplicaNão se aplicaPonta",Mercado_Receita!$N$2:$N$987)</f>
        <v>17.621000000000002</v>
      </c>
      <c r="T2" s="12">
        <f>SUMIF(Mercado_Receita!$T$2:$T$987,"44682A3aEnergia horáriaNão se aplicaNão se aplicaNão se aplicaNão se aplicaPonta",Mercado_Receita!$N$2:$N$987)</f>
        <v>19.829000000000001</v>
      </c>
      <c r="U2" s="12">
        <f t="shared" ref="U2:U42" si="0">SUM(I2:T2)</f>
        <v>235.87100000000001</v>
      </c>
      <c r="V2" s="12"/>
      <c r="W2" s="12"/>
    </row>
    <row r="3" spans="1:30" ht="11.25" customHeight="1" x14ac:dyDescent="0.25">
      <c r="A3" s="132"/>
      <c r="B3" s="132"/>
      <c r="C3" s="132"/>
      <c r="D3" s="132"/>
      <c r="E3" s="132"/>
      <c r="F3" s="132"/>
      <c r="G3" s="12" t="s">
        <v>73</v>
      </c>
      <c r="H3" s="12" t="s">
        <v>71</v>
      </c>
      <c r="I3" s="12">
        <f>SUMIF(Mercado_Receita!$T$2:$T$987,"44348A3aEnergia horáriaNão se aplicaNão se aplicaNão se aplicaNão se aplicaFora ponta",Mercado_Receita!$N$2:$N$987)</f>
        <v>319.72199999999998</v>
      </c>
      <c r="J3" s="12">
        <f>SUMIF(Mercado_Receita!$T$2:$T$987,"44378A3aEnergia horáriaNão se aplicaNão se aplicaNão se aplicaNão se aplicaFora ponta",Mercado_Receita!$N$2:$N$987)</f>
        <v>357.517</v>
      </c>
      <c r="K3" s="12">
        <f>SUMIF(Mercado_Receita!$T$2:$T$987,"44409A3aEnergia horáriaNão se aplicaNão se aplicaNão se aplicaNão se aplicaFora ponta",Mercado_Receita!$N$2:$N$987)</f>
        <v>340.976</v>
      </c>
      <c r="L3" s="12">
        <f>SUMIF(Mercado_Receita!$T$2:$T$987,"44440A3aEnergia horáriaNão se aplicaNão se aplicaNão se aplicaNão se aplicaFora ponta",Mercado_Receita!$N$2:$N$987)</f>
        <v>328.19200000000001</v>
      </c>
      <c r="M3" s="12">
        <f>SUMIF(Mercado_Receita!$T$2:$T$987,"44470A3aEnergia horáriaNão se aplicaNão se aplicaNão se aplicaNão se aplicaFora ponta",Mercado_Receita!$N$2:$N$987)</f>
        <v>328.95499999999998</v>
      </c>
      <c r="N3" s="12">
        <f>SUMIF(Mercado_Receita!$T$2:$T$987,"44501A3aEnergia horáriaNão se aplicaNão se aplicaNão se aplicaNão se aplicaFora ponta",Mercado_Receita!$N$2:$N$987)</f>
        <v>320.24299999999999</v>
      </c>
      <c r="O3" s="12">
        <f>SUMIF(Mercado_Receita!$T$2:$T$987,"44531A3aEnergia horáriaNão se aplicaNão se aplicaNão se aplicaNão se aplicaFora ponta",Mercado_Receita!$N$2:$N$987)</f>
        <v>296.29300000000001</v>
      </c>
      <c r="P3" s="12">
        <f>SUMIF(Mercado_Receita!$T$2:$T$987,"44562A3aEnergia horáriaNão se aplicaNão se aplicaNão se aplicaNão se aplicaFora ponta",Mercado_Receita!$N$2:$N$987)</f>
        <v>310.31600000000003</v>
      </c>
      <c r="Q3" s="12">
        <f>SUMIF(Mercado_Receita!$T$2:$T$987,"44593A3aEnergia horáriaNão se aplicaNão se aplicaNão se aplicaNão se aplicaFora ponta",Mercado_Receita!$N$2:$N$987)</f>
        <v>296.92399999999998</v>
      </c>
      <c r="R3" s="12">
        <f>SUMIF(Mercado_Receita!$T$2:$T$987,"44621A3aEnergia horáriaNão se aplicaNão se aplicaNão se aplicaNão se aplicaFora ponta",Mercado_Receita!$N$2:$N$987)</f>
        <v>340.31699999999995</v>
      </c>
      <c r="S3" s="12">
        <f>SUMIF(Mercado_Receita!$T$2:$T$987,"44652A3aEnergia horáriaNão se aplicaNão se aplicaNão se aplicaNão se aplicaFora ponta",Mercado_Receita!$N$2:$N$987)</f>
        <v>310.22700000000003</v>
      </c>
      <c r="T3" s="12">
        <f>SUMIF(Mercado_Receita!$T$2:$T$987,"44682A3aEnergia horáriaNão se aplicaNão se aplicaNão se aplicaNão se aplicaFora ponta",Mercado_Receita!$N$2:$N$987)</f>
        <v>333.02199999999999</v>
      </c>
      <c r="U3" s="12">
        <f t="shared" si="0"/>
        <v>3882.7039999999997</v>
      </c>
      <c r="V3" s="12"/>
      <c r="W3" s="12"/>
    </row>
    <row r="4" spans="1:30" ht="11.25" customHeight="1" x14ac:dyDescent="0.25">
      <c r="A4" s="132"/>
      <c r="B4" s="13" t="s">
        <v>74</v>
      </c>
      <c r="C4" s="13" t="s">
        <v>25</v>
      </c>
      <c r="D4" s="13" t="s">
        <v>25</v>
      </c>
      <c r="E4" s="13" t="s">
        <v>25</v>
      </c>
      <c r="F4" s="13" t="s">
        <v>25</v>
      </c>
      <c r="G4" s="12" t="s">
        <v>75</v>
      </c>
      <c r="H4" s="12" t="s">
        <v>71</v>
      </c>
      <c r="I4" s="12">
        <f>SUMIF(Mercado_Receita!$T$2:$T$987,"44348A3aEnergia convencionalNão se aplicaNão se aplicaNão se aplicaNão se aplicaNão se aplica",Mercado_Receita!$N$2:$N$987)</f>
        <v>0</v>
      </c>
      <c r="J4" s="12">
        <f>SUMIF(Mercado_Receita!$T$2:$T$987,"44378A3aEnergia convencionalNão se aplicaNão se aplicaNão se aplicaNão se aplicaNão se aplica",Mercado_Receita!$N$2:$N$987)</f>
        <v>0</v>
      </c>
      <c r="K4" s="12">
        <f>SUMIF(Mercado_Receita!$T$2:$T$987,"44409A3aEnergia convencionalNão se aplicaNão se aplicaNão se aplicaNão se aplicaNão se aplica",Mercado_Receita!$N$2:$N$987)</f>
        <v>0</v>
      </c>
      <c r="L4" s="12">
        <f>SUMIF(Mercado_Receita!$T$2:$T$987,"44440A3aEnergia convencionalNão se aplicaNão se aplicaNão se aplicaNão se aplicaNão se aplica",Mercado_Receita!$N$2:$N$987)</f>
        <v>0</v>
      </c>
      <c r="M4" s="12">
        <f>SUMIF(Mercado_Receita!$T$2:$T$987,"44470A3aEnergia convencionalNão se aplicaNão se aplicaNão se aplicaNão se aplicaNão se aplica",Mercado_Receita!$N$2:$N$987)</f>
        <v>0</v>
      </c>
      <c r="N4" s="12">
        <f>SUMIF(Mercado_Receita!$T$2:$T$987,"44501A3aEnergia convencionalNão se aplicaNão se aplicaNão se aplicaNão se aplicaNão se aplica",Mercado_Receita!$N$2:$N$987)</f>
        <v>0</v>
      </c>
      <c r="O4" s="12">
        <f>SUMIF(Mercado_Receita!$T$2:$T$987,"44531A3aEnergia convencionalNão se aplicaNão se aplicaNão se aplicaNão se aplicaNão se aplica",Mercado_Receita!$N$2:$N$987)</f>
        <v>0</v>
      </c>
      <c r="P4" s="12">
        <f>SUMIF(Mercado_Receita!$T$2:$T$987,"44562A3aEnergia convencionalNão se aplicaNão se aplicaNão se aplicaNão se aplicaNão se aplica",Mercado_Receita!$N$2:$N$987)</f>
        <v>0</v>
      </c>
      <c r="Q4" s="12">
        <f>SUMIF(Mercado_Receita!$T$2:$T$987,"44593A3aEnergia convencionalNão se aplicaNão se aplicaNão se aplicaNão se aplicaNão se aplica",Mercado_Receita!$N$2:$N$987)</f>
        <v>0</v>
      </c>
      <c r="R4" s="12">
        <f>SUMIF(Mercado_Receita!$T$2:$T$987,"44621A3aEnergia convencionalNão se aplicaNão se aplicaNão se aplicaNão se aplicaNão se aplica",Mercado_Receita!$N$2:$N$987)</f>
        <v>0</v>
      </c>
      <c r="S4" s="12">
        <f>SUMIF(Mercado_Receita!$T$2:$T$987,"44652A3aEnergia convencionalNão se aplicaNão se aplicaNão se aplicaNão se aplicaNão se aplica",Mercado_Receita!$N$2:$N$987)</f>
        <v>0</v>
      </c>
      <c r="T4" s="12">
        <f>SUMIF(Mercado_Receita!$T$2:$T$987,"44682A3aEnergia convencionalNão se aplicaNão se aplicaNão se aplicaNão se aplicaNão se aplica",Mercado_Receita!$N$2:$N$987)</f>
        <v>0</v>
      </c>
      <c r="U4" s="12">
        <f t="shared" si="0"/>
        <v>0</v>
      </c>
      <c r="V4" s="12"/>
      <c r="W4" s="12"/>
    </row>
    <row r="5" spans="1:30" ht="11.25" customHeight="1" x14ac:dyDescent="0.25">
      <c r="A5" s="131" t="s">
        <v>33</v>
      </c>
      <c r="B5" s="131" t="s">
        <v>70</v>
      </c>
      <c r="C5" s="131" t="s">
        <v>25</v>
      </c>
      <c r="D5" s="131" t="s">
        <v>25</v>
      </c>
      <c r="E5" s="131" t="s">
        <v>25</v>
      </c>
      <c r="F5" s="131" t="s">
        <v>25</v>
      </c>
      <c r="G5" s="12" t="s">
        <v>72</v>
      </c>
      <c r="H5" s="12" t="s">
        <v>71</v>
      </c>
      <c r="I5" s="12">
        <f>SUMIF(Mercado_Receita!$T$2:$T$987,"44348A4Energia horáriaNão se aplicaNão se aplicaNão se aplicaNão se aplicaPonta",Mercado_Receita!$N$2:$N$987)</f>
        <v>300.51600000000002</v>
      </c>
      <c r="J5" s="12">
        <f>SUMIF(Mercado_Receita!$T$2:$T$987,"44378A4Energia horáriaNão se aplicaNão se aplicaNão se aplicaNão se aplicaPonta",Mercado_Receita!$N$2:$N$987)</f>
        <v>312.53499999999997</v>
      </c>
      <c r="K5" s="12">
        <f>SUMIF(Mercado_Receita!$T$2:$T$987,"44409A4Energia horáriaNão se aplicaNão se aplicaNão se aplicaNão se aplicaPonta",Mercado_Receita!$N$2:$N$987)</f>
        <v>327.92599999999999</v>
      </c>
      <c r="L5" s="12">
        <f>SUMIF(Mercado_Receita!$T$2:$T$987,"44440A4Energia horáriaNão se aplicaNão se aplicaNão se aplicaNão se aplicaPonta",Mercado_Receita!$N$2:$N$987)</f>
        <v>313.02999999999997</v>
      </c>
      <c r="M5" s="12">
        <f>SUMIF(Mercado_Receita!$T$2:$T$987,"44470A4Energia horáriaNão se aplicaNão se aplicaNão se aplicaNão se aplicaPonta",Mercado_Receita!$N$2:$N$987)</f>
        <v>292.91299999999995</v>
      </c>
      <c r="N5" s="12">
        <f>SUMIF(Mercado_Receita!$T$2:$T$987,"44501A4Energia horáriaNão se aplicaNão se aplicaNão se aplicaNão se aplicaPonta",Mercado_Receita!$N$2:$N$987)</f>
        <v>320.39899999999994</v>
      </c>
      <c r="O5" s="12">
        <f>SUMIF(Mercado_Receita!$T$2:$T$987,"44531A4Energia horáriaNão se aplicaNão se aplicaNão se aplicaNão se aplicaPonta",Mercado_Receita!$N$2:$N$987)</f>
        <v>318.92700000000013</v>
      </c>
      <c r="P5" s="12">
        <f>SUMIF(Mercado_Receita!$T$2:$T$987,"44562A4Energia horáriaNão se aplicaNão se aplicaNão se aplicaNão se aplicaPonta",Mercado_Receita!$N$2:$N$987)</f>
        <v>298.774</v>
      </c>
      <c r="Q5" s="12">
        <f>SUMIF(Mercado_Receita!$T$2:$T$987,"44593A4Energia horáriaNão se aplicaNão se aplicaNão se aplicaNão se aplicaPonta",Mercado_Receita!$N$2:$N$987)</f>
        <v>272.46499999999997</v>
      </c>
      <c r="R5" s="12">
        <f>SUMIF(Mercado_Receita!$T$2:$T$987,"44621A4Energia horáriaNão se aplicaNão se aplicaNão se aplicaNão se aplicaPonta",Mercado_Receita!$N$2:$N$987)</f>
        <v>286.96400000000006</v>
      </c>
      <c r="S5" s="12">
        <f>SUMIF(Mercado_Receita!$T$2:$T$987,"44652A4Energia horáriaNão se aplicaNão se aplicaNão se aplicaNão se aplicaPonta",Mercado_Receita!$N$2:$N$987)</f>
        <v>274.47699999999998</v>
      </c>
      <c r="T5" s="12">
        <f>SUMIF(Mercado_Receita!$T$2:$T$987,"44682A4Energia horáriaNão se aplicaNão se aplicaNão se aplicaNão se aplicaPonta",Mercado_Receita!$N$2:$N$987)</f>
        <v>301.96799999999996</v>
      </c>
      <c r="U5" s="12">
        <f t="shared" si="0"/>
        <v>3620.8939999999998</v>
      </c>
      <c r="V5" s="12"/>
      <c r="W5" s="12"/>
    </row>
    <row r="6" spans="1:30" ht="11.25" customHeight="1" x14ac:dyDescent="0.25">
      <c r="A6" s="132"/>
      <c r="B6" s="132"/>
      <c r="C6" s="132"/>
      <c r="D6" s="132"/>
      <c r="E6" s="132"/>
      <c r="F6" s="132"/>
      <c r="G6" s="12" t="s">
        <v>73</v>
      </c>
      <c r="H6" s="12" t="s">
        <v>71</v>
      </c>
      <c r="I6" s="12">
        <f>SUMIF(Mercado_Receita!$T$2:$T$987,"44348A4Energia horáriaNão se aplicaNão se aplicaNão se aplicaNão se aplicaFora ponta",Mercado_Receita!$N$2:$N$987)</f>
        <v>4691.5969999999998</v>
      </c>
      <c r="J6" s="12">
        <f>SUMIF(Mercado_Receita!$T$2:$T$987,"44378A4Energia horáriaNão se aplicaNão se aplicaNão se aplicaNão se aplicaFora ponta",Mercado_Receita!$N$2:$N$987)</f>
        <v>4902.4559999999983</v>
      </c>
      <c r="K6" s="12">
        <f>SUMIF(Mercado_Receita!$T$2:$T$987,"44409A4Energia horáriaNão se aplicaNão se aplicaNão se aplicaNão se aplicaFora ponta",Mercado_Receita!$N$2:$N$987)</f>
        <v>4877.232</v>
      </c>
      <c r="L6" s="12">
        <f>SUMIF(Mercado_Receita!$T$2:$T$987,"44440A4Energia horáriaNão se aplicaNão se aplicaNão se aplicaNão se aplicaFora ponta",Mercado_Receita!$N$2:$N$987)</f>
        <v>4259.2669999999998</v>
      </c>
      <c r="M6" s="12">
        <f>SUMIF(Mercado_Receita!$T$2:$T$987,"44470A4Energia horáriaNão se aplicaNão se aplicaNão se aplicaNão se aplicaFora ponta",Mercado_Receita!$N$2:$N$987)</f>
        <v>4105.5910000000003</v>
      </c>
      <c r="N6" s="12">
        <f>SUMIF(Mercado_Receita!$T$2:$T$987,"44501A4Energia horáriaNão se aplicaNão se aplicaNão se aplicaNão se aplicaFora ponta",Mercado_Receita!$N$2:$N$987)</f>
        <v>4214.2179999999998</v>
      </c>
      <c r="O6" s="12">
        <f>SUMIF(Mercado_Receita!$T$2:$T$987,"44531A4Energia horáriaNão se aplicaNão se aplicaNão se aplicaNão se aplicaFora ponta",Mercado_Receita!$N$2:$N$987)</f>
        <v>4030.9829999999993</v>
      </c>
      <c r="P6" s="12">
        <f>SUMIF(Mercado_Receita!$T$2:$T$987,"44562A4Energia horáriaNão se aplicaNão se aplicaNão se aplicaNão se aplicaFora ponta",Mercado_Receita!$N$2:$N$987)</f>
        <v>4024.598</v>
      </c>
      <c r="Q6" s="12">
        <f>SUMIF(Mercado_Receita!$T$2:$T$987,"44593A4Energia horáriaNão se aplicaNão se aplicaNão se aplicaNão se aplicaFora ponta",Mercado_Receita!$N$2:$N$987)</f>
        <v>3822.1029999999996</v>
      </c>
      <c r="R6" s="12">
        <f>SUMIF(Mercado_Receita!$T$2:$T$987,"44621A4Energia horáriaNão se aplicaNão se aplicaNão se aplicaNão se aplicaFora ponta",Mercado_Receita!$N$2:$N$987)</f>
        <v>4017.6190000000001</v>
      </c>
      <c r="S6" s="12">
        <f>SUMIF(Mercado_Receita!$T$2:$T$987,"44652A4Energia horáriaNão se aplicaNão se aplicaNão se aplicaNão se aplicaFora ponta",Mercado_Receita!$N$2:$N$987)</f>
        <v>3970.991</v>
      </c>
      <c r="T6" s="12">
        <f>SUMIF(Mercado_Receita!$T$2:$T$987,"44682A4Energia horáriaNão se aplicaNão se aplicaNão se aplicaNão se aplicaFora ponta",Mercado_Receita!$N$2:$N$987)</f>
        <v>4119.7719999999999</v>
      </c>
      <c r="U6" s="12">
        <f t="shared" si="0"/>
        <v>51036.426999999996</v>
      </c>
      <c r="V6" s="12"/>
      <c r="W6" s="12"/>
    </row>
    <row r="7" spans="1:30" ht="11.25" customHeight="1" x14ac:dyDescent="0.25">
      <c r="A7" s="132"/>
      <c r="B7" s="13" t="s">
        <v>74</v>
      </c>
      <c r="C7" s="13" t="s">
        <v>25</v>
      </c>
      <c r="D7" s="13" t="s">
        <v>25</v>
      </c>
      <c r="E7" s="13" t="s">
        <v>25</v>
      </c>
      <c r="F7" s="13" t="s">
        <v>25</v>
      </c>
      <c r="G7" s="12" t="s">
        <v>75</v>
      </c>
      <c r="H7" s="12" t="s">
        <v>71</v>
      </c>
      <c r="I7" s="12">
        <f>SUMIF(Mercado_Receita!$T$2:$T$987,"44348A4Energia convencionalNão se aplicaNão se aplicaNão se aplicaNão se aplicaNão se aplica",Mercado_Receita!$N$2:$N$987)</f>
        <v>0</v>
      </c>
      <c r="J7" s="12">
        <f>SUMIF(Mercado_Receita!$T$2:$T$987,"44378A4Energia convencionalNão se aplicaNão se aplicaNão se aplicaNão se aplicaNão se aplica",Mercado_Receita!$N$2:$N$987)</f>
        <v>0</v>
      </c>
      <c r="K7" s="12">
        <f>SUMIF(Mercado_Receita!$T$2:$T$987,"44409A4Energia convencionalNão se aplicaNão se aplicaNão se aplicaNão se aplicaNão se aplica",Mercado_Receita!$N$2:$N$987)</f>
        <v>0</v>
      </c>
      <c r="L7" s="12">
        <f>SUMIF(Mercado_Receita!$T$2:$T$987,"44440A4Energia convencionalNão se aplicaNão se aplicaNão se aplicaNão se aplicaNão se aplica",Mercado_Receita!$N$2:$N$987)</f>
        <v>0</v>
      </c>
      <c r="M7" s="12">
        <f>SUMIF(Mercado_Receita!$T$2:$T$987,"44470A4Energia convencionalNão se aplicaNão se aplicaNão se aplicaNão se aplicaNão se aplica",Mercado_Receita!$N$2:$N$987)</f>
        <v>0</v>
      </c>
      <c r="N7" s="12">
        <f>SUMIF(Mercado_Receita!$T$2:$T$987,"44501A4Energia convencionalNão se aplicaNão se aplicaNão se aplicaNão se aplicaNão se aplica",Mercado_Receita!$N$2:$N$987)</f>
        <v>0</v>
      </c>
      <c r="O7" s="12">
        <f>SUMIF(Mercado_Receita!$T$2:$T$987,"44531A4Energia convencionalNão se aplicaNão se aplicaNão se aplicaNão se aplicaNão se aplica",Mercado_Receita!$N$2:$N$987)</f>
        <v>0</v>
      </c>
      <c r="P7" s="12">
        <f>SUMIF(Mercado_Receita!$T$2:$T$987,"44562A4Energia convencionalNão se aplicaNão se aplicaNão se aplicaNão se aplicaNão se aplica",Mercado_Receita!$N$2:$N$987)</f>
        <v>0</v>
      </c>
      <c r="Q7" s="12">
        <f>SUMIF(Mercado_Receita!$T$2:$T$987,"44593A4Energia convencionalNão se aplicaNão se aplicaNão se aplicaNão se aplicaNão se aplica",Mercado_Receita!$N$2:$N$987)</f>
        <v>0</v>
      </c>
      <c r="R7" s="12">
        <f>SUMIF(Mercado_Receita!$T$2:$T$987,"44621A4Energia convencionalNão se aplicaNão se aplicaNão se aplicaNão se aplicaNão se aplica",Mercado_Receita!$N$2:$N$987)</f>
        <v>0</v>
      </c>
      <c r="S7" s="12">
        <f>SUMIF(Mercado_Receita!$T$2:$T$987,"44652A4Energia convencionalNão se aplicaNão se aplicaNão se aplicaNão se aplicaNão se aplica",Mercado_Receita!$N$2:$N$987)</f>
        <v>0</v>
      </c>
      <c r="T7" s="12">
        <f>SUMIF(Mercado_Receita!$T$2:$T$987,"44682A4Energia convencionalNão se aplicaNão se aplicaNão se aplicaNão se aplicaNão se aplica",Mercado_Receita!$N$2:$N$987)</f>
        <v>0</v>
      </c>
      <c r="U7" s="12">
        <f t="shared" si="0"/>
        <v>0</v>
      </c>
      <c r="V7" s="12"/>
      <c r="W7" s="12"/>
    </row>
    <row r="8" spans="1:30" ht="11.25" customHeight="1" x14ac:dyDescent="0.25">
      <c r="A8" s="131" t="s">
        <v>22</v>
      </c>
      <c r="B8" s="131" t="s">
        <v>70</v>
      </c>
      <c r="C8" s="131" t="s">
        <v>24</v>
      </c>
      <c r="D8" s="131" t="s">
        <v>24</v>
      </c>
      <c r="E8" s="131" t="s">
        <v>25</v>
      </c>
      <c r="F8" s="131" t="s">
        <v>25</v>
      </c>
      <c r="G8" s="12" t="s">
        <v>72</v>
      </c>
      <c r="H8" s="12" t="s">
        <v>71</v>
      </c>
      <c r="I8" s="12">
        <f>SUMIF(Mercado_Receita!$T$2:$T$987,"44348B1Energia horáriaResidencialResidencialNão se aplicaNão se aplicaPonta",Mercado_Receita!$N$2:$N$987)</f>
        <v>0.192</v>
      </c>
      <c r="J8" s="12">
        <f>SUMIF(Mercado_Receita!$T$2:$T$987,"44378B1Energia horáriaResidencialResidencialNão se aplicaNão se aplicaPonta",Mercado_Receita!$N$2:$N$987)</f>
        <v>0.16400000000000001</v>
      </c>
      <c r="K8" s="12">
        <f>SUMIF(Mercado_Receita!$T$2:$T$987,"44409B1Energia horáriaResidencialResidencialNão se aplicaNão se aplicaPonta",Mercado_Receita!$N$2:$N$987)</f>
        <v>0.153</v>
      </c>
      <c r="L8" s="12">
        <f>SUMIF(Mercado_Receita!$T$2:$T$987,"44440B1Energia horáriaResidencialResidencialNão se aplicaNão se aplicaPonta",Mercado_Receita!$N$2:$N$987)</f>
        <v>0.16200000000000001</v>
      </c>
      <c r="M8" s="12">
        <f>SUMIF(Mercado_Receita!$T$2:$T$987,"44470B1Energia horáriaResidencialResidencialNão se aplicaNão se aplicaPonta",Mercado_Receita!$N$2:$N$987)</f>
        <v>0.33600000000000002</v>
      </c>
      <c r="N8" s="12">
        <f>SUMIF(Mercado_Receita!$T$2:$T$987,"44501B1Energia horáriaResidencialResidencialNão se aplicaNão se aplicaPonta",Mercado_Receita!$N$2:$N$987)</f>
        <v>0.188</v>
      </c>
      <c r="O8" s="12">
        <f>SUMIF(Mercado_Receita!$T$2:$T$987,"44531B1Energia horáriaResidencialResidencialNão se aplicaNão se aplicaPonta",Mercado_Receita!$N$2:$N$987)</f>
        <v>0.17199999999999999</v>
      </c>
      <c r="P8" s="12">
        <f>SUMIF(Mercado_Receita!$T$2:$T$987,"44562B1Energia horáriaResidencialResidencialNão se aplicaNão se aplicaPonta",Mercado_Receita!$N$2:$N$987)</f>
        <v>0.17699999999999999</v>
      </c>
      <c r="Q8" s="12">
        <f>SUMIF(Mercado_Receita!$T$2:$T$987,"44593B1Energia horáriaResidencialResidencialNão se aplicaNão se aplicaPonta",Mercado_Receita!$N$2:$N$987)</f>
        <v>0.188</v>
      </c>
      <c r="R8" s="12">
        <f>SUMIF(Mercado_Receita!$T$2:$T$987,"44621B1Energia horáriaResidencialResidencialNão se aplicaNão se aplicaPonta",Mercado_Receita!$N$2:$N$987)</f>
        <v>0.17899999999999999</v>
      </c>
      <c r="S8" s="12">
        <f>SUMIF(Mercado_Receita!$T$2:$T$987,"44652B1Energia horáriaResidencialResidencialNão se aplicaNão se aplicaPonta",Mercado_Receita!$N$2:$N$987)</f>
        <v>0.16700000000000001</v>
      </c>
      <c r="T8" s="12">
        <f>SUMIF(Mercado_Receita!$T$2:$T$987,"44682B1Energia horáriaResidencialResidencialNão se aplicaNão se aplicaPonta",Mercado_Receita!$N$2:$N$987)</f>
        <v>0.14099999999999999</v>
      </c>
      <c r="U8" s="12">
        <f t="shared" si="0"/>
        <v>2.2189999999999999</v>
      </c>
      <c r="V8" s="12"/>
      <c r="W8" s="12"/>
    </row>
    <row r="9" spans="1:30" ht="11.25" customHeight="1" x14ac:dyDescent="0.25">
      <c r="A9" s="132"/>
      <c r="B9" s="132"/>
      <c r="C9" s="132"/>
      <c r="D9" s="132"/>
      <c r="E9" s="132"/>
      <c r="F9" s="132"/>
      <c r="G9" s="12" t="s">
        <v>84</v>
      </c>
      <c r="H9" s="12" t="s">
        <v>71</v>
      </c>
      <c r="I9" s="12">
        <f>SUMIF(Mercado_Receita!$T$2:$T$987,"44348B1Energia horáriaResidencialResidencialNão se aplicaNão se aplicaIntermediário",Mercado_Receita!$N$2:$N$987)</f>
        <v>0.155</v>
      </c>
      <c r="J9" s="12">
        <f>SUMIF(Mercado_Receita!$T$2:$T$987,"44378B1Energia horáriaResidencialResidencialNão se aplicaNão se aplicaIntermediário",Mercado_Receita!$N$2:$N$987)</f>
        <v>0.17699999999999999</v>
      </c>
      <c r="K9" s="12">
        <f>SUMIF(Mercado_Receita!$T$2:$T$987,"44409B1Energia horáriaResidencialResidencialNão se aplicaNão se aplicaIntermediário",Mercado_Receita!$N$2:$N$987)</f>
        <v>0.14000000000000001</v>
      </c>
      <c r="L9" s="12">
        <f>SUMIF(Mercado_Receita!$T$2:$T$987,"44440B1Energia horáriaResidencialResidencialNão se aplicaNão se aplicaIntermediário",Mercado_Receita!$N$2:$N$987)</f>
        <v>0.13500000000000001</v>
      </c>
      <c r="M9" s="12">
        <f>SUMIF(Mercado_Receita!$T$2:$T$987,"44470B1Energia horáriaResidencialResidencialNão se aplicaNão se aplicaIntermediário",Mercado_Receita!$N$2:$N$987)</f>
        <v>0.13600000000000001</v>
      </c>
      <c r="N9" s="12">
        <f>SUMIF(Mercado_Receita!$T$2:$T$987,"44501B1Energia horáriaResidencialResidencialNão se aplicaNão se aplicaIntermediário",Mercado_Receita!$N$2:$N$987)</f>
        <v>1.1850000000000001</v>
      </c>
      <c r="O9" s="12">
        <f>SUMIF(Mercado_Receita!$T$2:$T$987,"44531B1Energia horáriaResidencialResidencialNão se aplicaNão se aplicaIntermediário",Mercado_Receita!$N$2:$N$987)</f>
        <v>0.124</v>
      </c>
      <c r="P9" s="12">
        <f>SUMIF(Mercado_Receita!$T$2:$T$987,"44562B1Energia horáriaResidencialResidencialNão se aplicaNão se aplicaIntermediário",Mercado_Receita!$N$2:$N$987)</f>
        <v>0.13200000000000001</v>
      </c>
      <c r="Q9" s="12">
        <f>SUMIF(Mercado_Receita!$T$2:$T$987,"44593B1Energia horáriaResidencialResidencialNão se aplicaNão se aplicaIntermediário",Mercado_Receita!$N$2:$N$987)</f>
        <v>0.13600000000000001</v>
      </c>
      <c r="R9" s="12">
        <f>SUMIF(Mercado_Receita!$T$2:$T$987,"44621B1Energia horáriaResidencialResidencialNão se aplicaNão se aplicaIntermediário",Mercado_Receita!$N$2:$N$987)</f>
        <v>0.11600000000000001</v>
      </c>
      <c r="S9" s="12">
        <f>SUMIF(Mercado_Receita!$T$2:$T$987,"44652B1Energia horáriaResidencialResidencialNão se aplicaNão se aplicaIntermediário",Mercado_Receita!$N$2:$N$987)</f>
        <v>0.125</v>
      </c>
      <c r="T9" s="12">
        <f>SUMIF(Mercado_Receita!$T$2:$T$987,"44682B1Energia horáriaResidencialResidencialNão se aplicaNão se aplicaIntermediário",Mercado_Receita!$N$2:$N$987)</f>
        <v>0.115</v>
      </c>
      <c r="U9" s="12">
        <f t="shared" si="0"/>
        <v>2.6760000000000006</v>
      </c>
      <c r="V9" s="12"/>
      <c r="W9" s="12"/>
    </row>
    <row r="10" spans="1:30" ht="11.25" customHeight="1" x14ac:dyDescent="0.25">
      <c r="A10" s="132"/>
      <c r="B10" s="132"/>
      <c r="C10" s="132"/>
      <c r="D10" s="132"/>
      <c r="E10" s="132"/>
      <c r="F10" s="132"/>
      <c r="G10" s="12" t="s">
        <v>73</v>
      </c>
      <c r="H10" s="12" t="s">
        <v>71</v>
      </c>
      <c r="I10" s="12">
        <f>SUMIF(Mercado_Receita!$T$2:$T$987,"44348B1Energia horáriaResidencialResidencialNão se aplicaNão se aplicaFora ponta",Mercado_Receita!$N$2:$N$987)</f>
        <v>2.1080000000000001</v>
      </c>
      <c r="J10" s="12">
        <f>SUMIF(Mercado_Receita!$T$2:$T$987,"44378B1Energia horáriaResidencialResidencialNão se aplicaNão se aplicaFora ponta",Mercado_Receita!$N$2:$N$987)</f>
        <v>2.0760000000000001</v>
      </c>
      <c r="K10" s="12">
        <f>SUMIF(Mercado_Receita!$T$2:$T$987,"44409B1Energia horáriaResidencialResidencialNão se aplicaNão se aplicaFora ponta",Mercado_Receita!$N$2:$N$987)</f>
        <v>1.903</v>
      </c>
      <c r="L10" s="12">
        <f>SUMIF(Mercado_Receita!$T$2:$T$987,"44440B1Energia horáriaResidencialResidencialNão se aplicaNão se aplicaFora ponta",Mercado_Receita!$N$2:$N$987)</f>
        <v>1.9359999999999999</v>
      </c>
      <c r="M10" s="12">
        <f>SUMIF(Mercado_Receita!$T$2:$T$987,"44470B1Energia horáriaResidencialResidencialNão se aplicaNão se aplicaFora ponta",Mercado_Receita!$N$2:$N$987)</f>
        <v>1.9530000000000001</v>
      </c>
      <c r="N10" s="12">
        <f>SUMIF(Mercado_Receita!$T$2:$T$987,"44501B1Energia horáriaResidencialResidencialNão se aplicaNão se aplicaFora ponta",Mercado_Receita!$N$2:$N$987)</f>
        <v>2.177</v>
      </c>
      <c r="O10" s="12">
        <f>SUMIF(Mercado_Receita!$T$2:$T$987,"44531B1Energia horáriaResidencialResidencialNão se aplicaNão se aplicaFora ponta",Mercado_Receita!$N$2:$N$987)</f>
        <v>2.2120000000000002</v>
      </c>
      <c r="P10" s="12">
        <f>SUMIF(Mercado_Receita!$T$2:$T$987,"44562B1Energia horáriaResidencialResidencialNão se aplicaNão se aplicaFora ponta",Mercado_Receita!$N$2:$N$987)</f>
        <v>1.9159999999999999</v>
      </c>
      <c r="Q10" s="12">
        <f>SUMIF(Mercado_Receita!$T$2:$T$987,"44593B1Energia horáriaResidencialResidencialNão se aplicaNão se aplicaFora ponta",Mercado_Receita!$N$2:$N$987)</f>
        <v>2.0550000000000002</v>
      </c>
      <c r="R10" s="12">
        <f>SUMIF(Mercado_Receita!$T$2:$T$987,"44621B1Energia horáriaResidencialResidencialNão se aplicaNão se aplicaFora ponta",Mercado_Receita!$N$2:$N$987)</f>
        <v>1.95</v>
      </c>
      <c r="S10" s="12">
        <f>SUMIF(Mercado_Receita!$T$2:$T$987,"44652B1Energia horáriaResidencialResidencialNão se aplicaNão se aplicaFora ponta",Mercado_Receita!$N$2:$N$987)</f>
        <v>1.927</v>
      </c>
      <c r="T10" s="12">
        <f>SUMIF(Mercado_Receita!$T$2:$T$987,"44682B1Energia horáriaResidencialResidencialNão se aplicaNão se aplicaFora ponta",Mercado_Receita!$N$2:$N$987)</f>
        <v>1.7849999999999999</v>
      </c>
      <c r="U10" s="12">
        <f t="shared" si="0"/>
        <v>23.997999999999998</v>
      </c>
      <c r="V10" s="12"/>
      <c r="W10" s="12"/>
    </row>
    <row r="11" spans="1:30" ht="11.25" customHeight="1" x14ac:dyDescent="0.25">
      <c r="A11" s="132"/>
      <c r="B11" s="131" t="s">
        <v>74</v>
      </c>
      <c r="C11" s="131" t="s">
        <v>24</v>
      </c>
      <c r="D11" s="13" t="s">
        <v>24</v>
      </c>
      <c r="E11" s="13" t="s">
        <v>25</v>
      </c>
      <c r="F11" s="13" t="s">
        <v>25</v>
      </c>
      <c r="G11" s="12" t="s">
        <v>75</v>
      </c>
      <c r="H11" s="12" t="s">
        <v>71</v>
      </c>
      <c r="I11" s="12">
        <f>SUMIF(Mercado_Receita!$T$2:$T$987,"44348B1Energia convencionalResidencialResidencialNão se aplicaNão se aplicaNão se aplica",Mercado_Receita!$N$2:$N$987)</f>
        <v>7060.9970000000003</v>
      </c>
      <c r="J11" s="12">
        <f>SUMIF(Mercado_Receita!$T$2:$T$987,"44378B1Energia convencionalResidencialResidencialNão se aplicaNão se aplicaNão se aplica",Mercado_Receita!$N$2:$N$987)</f>
        <v>7262.7340000000004</v>
      </c>
      <c r="K11" s="12">
        <f>SUMIF(Mercado_Receita!$T$2:$T$987,"44409B1Energia convencionalResidencialResidencialNão se aplicaNão se aplicaNão se aplica",Mercado_Receita!$N$2:$N$987)</f>
        <v>7272.6239999999998</v>
      </c>
      <c r="L11" s="12">
        <f>SUMIF(Mercado_Receita!$T$2:$T$987,"44440B1Energia convencionalResidencialResidencialNão se aplicaNão se aplicaNão se aplica",Mercado_Receita!$N$2:$N$987)</f>
        <v>6945.7349999999997</v>
      </c>
      <c r="M11" s="12">
        <f>SUMIF(Mercado_Receita!$T$2:$T$987,"44470B1Energia convencionalResidencialResidencialNão se aplicaNão se aplicaNão se aplica",Mercado_Receita!$N$2:$N$987)</f>
        <v>6956.3390000000009</v>
      </c>
      <c r="N11" s="12">
        <f>SUMIF(Mercado_Receita!$T$2:$T$987,"44501B1Energia convencionalResidencialResidencialNão se aplicaNão se aplicaNão se aplica",Mercado_Receita!$N$2:$N$987)</f>
        <v>6891.6810000000005</v>
      </c>
      <c r="O11" s="12">
        <f>SUMIF(Mercado_Receita!$T$2:$T$987,"44531B1Energia convencionalResidencialResidencialNão se aplicaNão se aplicaNão se aplica",Mercado_Receita!$N$2:$N$987)</f>
        <v>6869.2219999999998</v>
      </c>
      <c r="P11" s="12">
        <f>SUMIF(Mercado_Receita!$T$2:$T$987,"44562B1Energia convencionalResidencialResidencialNão se aplicaNão se aplicaNão se aplica",Mercado_Receita!$N$2:$N$987)</f>
        <v>6950.9009999999998</v>
      </c>
      <c r="Q11" s="12">
        <f>SUMIF(Mercado_Receita!$T$2:$T$987,"44593B1Energia convencionalResidencialResidencialNão se aplicaNão se aplicaNão se aplica",Mercado_Receita!$N$2:$N$987)</f>
        <v>7281.8410000000003</v>
      </c>
      <c r="R11" s="12">
        <f>SUMIF(Mercado_Receita!$T$2:$T$987,"44621B1Energia convencionalResidencialResidencialNão se aplicaNão se aplicaNão se aplica",Mercado_Receita!$N$2:$N$987)</f>
        <v>7040.7219999999998</v>
      </c>
      <c r="S11" s="12">
        <f>SUMIF(Mercado_Receita!$T$2:$T$987,"44652B1Energia convencionalResidencialResidencialNão se aplicaNão se aplicaNão se aplica",Mercado_Receita!$N$2:$N$987)</f>
        <v>6827.5770000000002</v>
      </c>
      <c r="T11" s="12">
        <f>SUMIF(Mercado_Receita!$T$2:$T$987,"44682B1Energia convencionalResidencialResidencialNão se aplicaNão se aplicaNão se aplica",Mercado_Receita!$N$2:$N$987)</f>
        <v>6911.9539999999997</v>
      </c>
      <c r="U11" s="12">
        <f t="shared" si="0"/>
        <v>84272.327000000005</v>
      </c>
      <c r="V11" s="12"/>
      <c r="W11" s="12"/>
    </row>
    <row r="12" spans="1:30" ht="11.25" customHeight="1" x14ac:dyDescent="0.25">
      <c r="A12" s="132"/>
      <c r="B12" s="132"/>
      <c r="C12" s="132"/>
      <c r="D12" s="13" t="s">
        <v>29</v>
      </c>
      <c r="E12" s="13" t="s">
        <v>25</v>
      </c>
      <c r="F12" s="13" t="s">
        <v>25</v>
      </c>
      <c r="G12" s="12" t="s">
        <v>75</v>
      </c>
      <c r="H12" s="12" t="s">
        <v>71</v>
      </c>
      <c r="I12" s="12">
        <f>SUMIF(Mercado_Receita!$T$2:$T$987,"44348B1Energia convencionalResidencialResidencial baixa renda – faixa 01Não se aplicaNão se aplicaNão se aplica",Mercado_Receita!$N$2:$N$987)</f>
        <v>139.75299999999999</v>
      </c>
      <c r="J12" s="12">
        <f>SUMIF(Mercado_Receita!$T$2:$T$987,"44378B1Energia convencionalResidencialResidencial baixa renda – faixa 01Não se aplicaNão se aplicaNão se aplica",Mercado_Receita!$N$2:$N$987)</f>
        <v>141.46</v>
      </c>
      <c r="K12" s="12">
        <f>SUMIF(Mercado_Receita!$T$2:$T$987,"44409B1Energia convencionalResidencialResidencial baixa renda – faixa 01Não se aplicaNão se aplicaNão se aplica",Mercado_Receita!$N$2:$N$987)</f>
        <v>143.18799999999999</v>
      </c>
      <c r="L12" s="12">
        <f>SUMIF(Mercado_Receita!$T$2:$T$987,"44440B1Energia convencionalResidencialResidencial baixa renda – faixa 01Não se aplicaNão se aplicaNão se aplica",Mercado_Receita!$N$2:$N$987)</f>
        <v>144.38200000000001</v>
      </c>
      <c r="M12" s="12">
        <f>SUMIF(Mercado_Receita!$T$2:$T$987,"44470B1Energia convencionalResidencialResidencial baixa renda – faixa 01Não se aplicaNão se aplicaNão se aplica",Mercado_Receita!$N$2:$N$987)</f>
        <v>143.66900000000001</v>
      </c>
      <c r="N12" s="12">
        <f>SUMIF(Mercado_Receita!$T$2:$T$987,"44501B1Energia convencionalResidencialResidencial baixa renda – faixa 01Não se aplicaNão se aplicaNão se aplica",Mercado_Receita!$N$2:$N$987)</f>
        <v>140.34</v>
      </c>
      <c r="O12" s="12">
        <f>SUMIF(Mercado_Receita!$T$2:$T$987,"44531B1Energia convencionalResidencialResidencial baixa renda – faixa 01Não se aplicaNão se aplicaNão se aplica",Mercado_Receita!$N$2:$N$987)</f>
        <v>136.69900000000001</v>
      </c>
      <c r="P12" s="12">
        <f>SUMIF(Mercado_Receita!$T$2:$T$987,"44562B1Energia convencionalResidencialResidencial baixa renda – faixa 01Não se aplicaNão se aplicaNão se aplica",Mercado_Receita!$N$2:$N$987)</f>
        <v>137.904</v>
      </c>
      <c r="Q12" s="12">
        <f>SUMIF(Mercado_Receita!$T$2:$T$987,"44593B1Energia convencionalResidencialResidencial baixa renda – faixa 01Não se aplicaNão se aplicaNão se aplica",Mercado_Receita!$N$2:$N$987)</f>
        <v>142.95599999999999</v>
      </c>
      <c r="R12" s="12">
        <f>SUMIF(Mercado_Receita!$T$2:$T$987,"44621B1Energia convencionalResidencialResidencial baixa renda – faixa 01Não se aplicaNão se aplicaNão se aplica",Mercado_Receita!$N$2:$N$987)</f>
        <v>153.839</v>
      </c>
      <c r="S12" s="12">
        <f>SUMIF(Mercado_Receita!$T$2:$T$987,"44652B1Energia convencionalResidencialResidencial baixa renda – faixa 01Não se aplicaNão se aplicaNão se aplica",Mercado_Receita!$N$2:$N$987)</f>
        <v>154.833</v>
      </c>
      <c r="T12" s="12">
        <f>SUMIF(Mercado_Receita!$T$2:$T$987,"44682B1Energia convencionalResidencialResidencial baixa renda – faixa 01Não se aplicaNão se aplicaNão se aplica",Mercado_Receita!$N$2:$N$987)</f>
        <v>156.327</v>
      </c>
      <c r="U12" s="12">
        <f t="shared" si="0"/>
        <v>1735.35</v>
      </c>
      <c r="V12" s="12"/>
      <c r="W12" s="12"/>
    </row>
    <row r="13" spans="1:30" ht="11.25" customHeight="1" x14ac:dyDescent="0.25">
      <c r="A13" s="132"/>
      <c r="B13" s="132"/>
      <c r="C13" s="132"/>
      <c r="D13" s="13" t="s">
        <v>30</v>
      </c>
      <c r="E13" s="13" t="s">
        <v>25</v>
      </c>
      <c r="F13" s="13" t="s">
        <v>25</v>
      </c>
      <c r="G13" s="12" t="s">
        <v>75</v>
      </c>
      <c r="H13" s="12" t="s">
        <v>71</v>
      </c>
      <c r="I13" s="12">
        <f>SUMIF(Mercado_Receita!$T$2:$T$987,"44348B1Energia convencionalResidencialResidencial baixa renda – faixa 02Não se aplicaNão se aplicaNão se aplica",Mercado_Receita!$N$2:$N$987)</f>
        <v>261.73699999999997</v>
      </c>
      <c r="J13" s="12">
        <f>SUMIF(Mercado_Receita!$T$2:$T$987,"44378B1Energia convencionalResidencialResidencial baixa renda – faixa 02Não se aplicaNão se aplicaNão se aplica",Mercado_Receita!$N$2:$N$987)</f>
        <v>261.61199999999997</v>
      </c>
      <c r="K13" s="12">
        <f>SUMIF(Mercado_Receita!$T$2:$T$987,"44409B1Energia convencionalResidencialResidencial baixa renda – faixa 02Não se aplicaNão se aplicaNão se aplica",Mercado_Receita!$N$2:$N$987)</f>
        <v>265.61799999999999</v>
      </c>
      <c r="L13" s="12">
        <f>SUMIF(Mercado_Receita!$T$2:$T$987,"44440B1Energia convencionalResidencialResidencial baixa renda – faixa 02Não se aplicaNão se aplicaNão se aplica",Mercado_Receita!$N$2:$N$987)</f>
        <v>273.23200000000003</v>
      </c>
      <c r="M13" s="12">
        <f>SUMIF(Mercado_Receita!$T$2:$T$987,"44470B1Energia convencionalResidencialResidencial baixa renda – faixa 02Não se aplicaNão se aplicaNão se aplica",Mercado_Receita!$N$2:$N$987)</f>
        <v>273.745</v>
      </c>
      <c r="N13" s="12">
        <f>SUMIF(Mercado_Receita!$T$2:$T$987,"44501B1Energia convencionalResidencialResidencial baixa renda – faixa 02Não se aplicaNão se aplicaNão se aplica",Mercado_Receita!$N$2:$N$987)</f>
        <v>265.572</v>
      </c>
      <c r="O13" s="12">
        <f>SUMIF(Mercado_Receita!$T$2:$T$987,"44531B1Energia convencionalResidencialResidencial baixa renda – faixa 02Não se aplicaNão se aplicaNão se aplica",Mercado_Receita!$N$2:$N$987)</f>
        <v>263.65700000000004</v>
      </c>
      <c r="P13" s="12">
        <f>SUMIF(Mercado_Receita!$T$2:$T$987,"44562B1Energia convencionalResidencialResidencial baixa renda – faixa 02Não se aplicaNão se aplicaNão se aplica",Mercado_Receita!$N$2:$N$987)</f>
        <v>267.66400000000004</v>
      </c>
      <c r="Q13" s="12">
        <f>SUMIF(Mercado_Receita!$T$2:$T$987,"44593B1Energia convencionalResidencialResidencial baixa renda – faixa 02Não se aplicaNão se aplicaNão se aplica",Mercado_Receita!$N$2:$N$987)</f>
        <v>283.09500000000003</v>
      </c>
      <c r="R13" s="12">
        <f>SUMIF(Mercado_Receita!$T$2:$T$987,"44621B1Energia convencionalResidencialResidencial baixa renda – faixa 02Não se aplicaNão se aplicaNão se aplica",Mercado_Receita!$N$2:$N$987)</f>
        <v>299.08600000000001</v>
      </c>
      <c r="S13" s="12">
        <f>SUMIF(Mercado_Receita!$T$2:$T$987,"44652B1Energia convencionalResidencialResidencial baixa renda – faixa 02Não se aplicaNão se aplicaNão se aplica",Mercado_Receita!$N$2:$N$987)</f>
        <v>295.02300000000002</v>
      </c>
      <c r="T13" s="12">
        <f>SUMIF(Mercado_Receita!$T$2:$T$987,"44682B1Energia convencionalResidencialResidencial baixa renda – faixa 02Não se aplicaNão se aplicaNão se aplica",Mercado_Receita!$N$2:$N$987)</f>
        <v>296.67599999999999</v>
      </c>
      <c r="U13" s="12">
        <f t="shared" si="0"/>
        <v>3306.717000000001</v>
      </c>
      <c r="V13" s="12"/>
      <c r="W13" s="12"/>
    </row>
    <row r="14" spans="1:30" ht="11.25" customHeight="1" x14ac:dyDescent="0.25">
      <c r="A14" s="132"/>
      <c r="B14" s="132"/>
      <c r="C14" s="132"/>
      <c r="D14" s="13" t="s">
        <v>31</v>
      </c>
      <c r="E14" s="13" t="s">
        <v>25</v>
      </c>
      <c r="F14" s="13" t="s">
        <v>25</v>
      </c>
      <c r="G14" s="12" t="s">
        <v>75</v>
      </c>
      <c r="H14" s="12" t="s">
        <v>71</v>
      </c>
      <c r="I14" s="12">
        <f>SUMIF(Mercado_Receita!$T$2:$T$987,"44348B1Energia convencionalResidencialResidencial baixa renda – faixa 03Não se aplicaNão se aplicaNão se aplica",Mercado_Receita!$N$2:$N$987)</f>
        <v>165.02200000000002</v>
      </c>
      <c r="J14" s="12">
        <f>SUMIF(Mercado_Receita!$T$2:$T$987,"44378B1Energia convencionalResidencialResidencial baixa renda – faixa 03Não se aplicaNão se aplicaNão se aplica",Mercado_Receita!$N$2:$N$987)</f>
        <v>164.24199999999999</v>
      </c>
      <c r="K14" s="12">
        <f>SUMIF(Mercado_Receita!$T$2:$T$987,"44409B1Energia convencionalResidencialResidencial baixa renda – faixa 03Não se aplicaNão se aplicaNão se aplica",Mercado_Receita!$N$2:$N$987)</f>
        <v>171.87699999999998</v>
      </c>
      <c r="L14" s="12">
        <f>SUMIF(Mercado_Receita!$T$2:$T$987,"44440B1Energia convencionalResidencialResidencial baixa renda – faixa 03Não se aplicaNão se aplicaNão se aplica",Mercado_Receita!$N$2:$N$987)</f>
        <v>172.04</v>
      </c>
      <c r="M14" s="12">
        <f>SUMIF(Mercado_Receita!$T$2:$T$987,"44470B1Energia convencionalResidencialResidencial baixa renda – faixa 03Não se aplicaNão se aplicaNão se aplica",Mercado_Receita!$N$2:$N$987)</f>
        <v>172.946</v>
      </c>
      <c r="N14" s="12">
        <f>SUMIF(Mercado_Receita!$T$2:$T$987,"44501B1Energia convencionalResidencialResidencial baixa renda – faixa 03Não se aplicaNão se aplicaNão se aplica",Mercado_Receita!$N$2:$N$987)</f>
        <v>163.81299999999999</v>
      </c>
      <c r="O14" s="12">
        <f>SUMIF(Mercado_Receita!$T$2:$T$987,"44531B1Energia convencionalResidencialResidencial baixa renda – faixa 03Não se aplicaNão se aplicaNão se aplica",Mercado_Receita!$N$2:$N$987)</f>
        <v>157.15100000000001</v>
      </c>
      <c r="P14" s="12">
        <f>SUMIF(Mercado_Receita!$T$2:$T$987,"44562B1Energia convencionalResidencialResidencial baixa renda – faixa 03Não se aplicaNão se aplicaNão se aplica",Mercado_Receita!$N$2:$N$987)</f>
        <v>164.28</v>
      </c>
      <c r="Q14" s="12">
        <f>SUMIF(Mercado_Receita!$T$2:$T$987,"44593B1Energia convencionalResidencialResidencial baixa renda – faixa 03Não se aplicaNão se aplicaNão se aplica",Mercado_Receita!$N$2:$N$987)</f>
        <v>191.77099999999999</v>
      </c>
      <c r="R14" s="12">
        <f>SUMIF(Mercado_Receita!$T$2:$T$987,"44621B1Energia convencionalResidencialResidencial baixa renda – faixa 03Não se aplicaNão se aplicaNão se aplica",Mercado_Receita!$N$2:$N$987)</f>
        <v>193.261</v>
      </c>
      <c r="S14" s="12">
        <f>SUMIF(Mercado_Receita!$T$2:$T$987,"44652B1Energia convencionalResidencialResidencial baixa renda – faixa 03Não se aplicaNão se aplicaNão se aplica",Mercado_Receita!$N$2:$N$987)</f>
        <v>183.00200000000001</v>
      </c>
      <c r="T14" s="12">
        <f>SUMIF(Mercado_Receita!$T$2:$T$987,"44682B1Energia convencionalResidencialResidencial baixa renda – faixa 03Não se aplicaNão se aplicaNão se aplica",Mercado_Receita!$N$2:$N$987)</f>
        <v>185.41199999999998</v>
      </c>
      <c r="U14" s="12">
        <f t="shared" si="0"/>
        <v>2084.8169999999996</v>
      </c>
      <c r="V14" s="12"/>
      <c r="W14" s="12"/>
    </row>
    <row r="15" spans="1:30" ht="11.25" customHeight="1" x14ac:dyDescent="0.25">
      <c r="A15" s="132"/>
      <c r="B15" s="132"/>
      <c r="C15" s="132"/>
      <c r="D15" s="13" t="s">
        <v>32</v>
      </c>
      <c r="E15" s="13" t="s">
        <v>25</v>
      </c>
      <c r="F15" s="13" t="s">
        <v>25</v>
      </c>
      <c r="G15" s="12" t="s">
        <v>75</v>
      </c>
      <c r="H15" s="12" t="s">
        <v>71</v>
      </c>
      <c r="I15" s="12">
        <f>SUMIF(Mercado_Receita!$T$2:$T$987,"44348B1Energia convencionalResidencialResidencial baixa renda – faixa 04Não se aplicaNão se aplicaNão se aplica",Mercado_Receita!$N$2:$N$987)</f>
        <v>32.346000000000004</v>
      </c>
      <c r="J15" s="12">
        <f>SUMIF(Mercado_Receita!$T$2:$T$987,"44378B1Energia convencionalResidencialResidencial baixa renda – faixa 04Não se aplicaNão se aplicaNão se aplica",Mercado_Receita!$N$2:$N$987)</f>
        <v>36.893000000000001</v>
      </c>
      <c r="K15" s="12">
        <f>SUMIF(Mercado_Receita!$T$2:$T$987,"44409B1Energia convencionalResidencialResidencial baixa renda – faixa 04Não se aplicaNão se aplicaNão se aplica",Mercado_Receita!$N$2:$N$987)</f>
        <v>37.478000000000002</v>
      </c>
      <c r="L15" s="12">
        <f>SUMIF(Mercado_Receita!$T$2:$T$987,"44440B1Energia convencionalResidencialResidencial baixa renda – faixa 04Não se aplicaNão se aplicaNão se aplica",Mercado_Receita!$N$2:$N$987)</f>
        <v>30.604000000000003</v>
      </c>
      <c r="M15" s="12">
        <f>SUMIF(Mercado_Receita!$T$2:$T$987,"44470B1Energia convencionalResidencialResidencial baixa renda – faixa 04Não se aplicaNão se aplicaNão se aplica",Mercado_Receita!$N$2:$N$987)</f>
        <v>31.17</v>
      </c>
      <c r="N15" s="12">
        <f>SUMIF(Mercado_Receita!$T$2:$T$987,"44501B1Energia convencionalResidencialResidencial baixa renda – faixa 04Não se aplicaNão se aplicaNão se aplica",Mercado_Receita!$N$2:$N$987)</f>
        <v>30.134999999999998</v>
      </c>
      <c r="O15" s="12">
        <f>SUMIF(Mercado_Receita!$T$2:$T$987,"44531B1Energia convencionalResidencialResidencial baixa renda – faixa 04Não se aplicaNão se aplicaNão se aplica",Mercado_Receita!$N$2:$N$987)</f>
        <v>25.983999999999998</v>
      </c>
      <c r="P15" s="12">
        <f>SUMIF(Mercado_Receita!$T$2:$T$987,"44562B1Energia convencionalResidencialResidencial baixa renda – faixa 04Não se aplicaNão se aplicaNão se aplica",Mercado_Receita!$N$2:$N$987)</f>
        <v>29.946999999999999</v>
      </c>
      <c r="Q15" s="12">
        <f>SUMIF(Mercado_Receita!$T$2:$T$987,"44593B1Energia convencionalResidencialResidencial baixa renda – faixa 04Não se aplicaNão se aplicaNão se aplica",Mercado_Receita!$N$2:$N$987)</f>
        <v>41.759</v>
      </c>
      <c r="R15" s="12">
        <f>SUMIF(Mercado_Receita!$T$2:$T$987,"44621B1Energia convencionalResidencialResidencial baixa renda – faixa 04Não se aplicaNão se aplicaNão se aplica",Mercado_Receita!$N$2:$N$987)</f>
        <v>43.734999999999999</v>
      </c>
      <c r="S15" s="12">
        <f>SUMIF(Mercado_Receita!$T$2:$T$987,"44652B1Energia convencionalResidencialResidencial baixa renda – faixa 04Não se aplicaNão se aplicaNão se aplica",Mercado_Receita!$N$2:$N$987)</f>
        <v>34.807000000000002</v>
      </c>
      <c r="T15" s="12">
        <f>SUMIF(Mercado_Receita!$T$2:$T$987,"44682B1Energia convencionalResidencialResidencial baixa renda – faixa 04Não se aplicaNão se aplicaNão se aplica",Mercado_Receita!$N$2:$N$987)</f>
        <v>37.356000000000002</v>
      </c>
      <c r="U15" s="12">
        <f t="shared" si="0"/>
        <v>412.21400000000006</v>
      </c>
      <c r="V15" s="12"/>
      <c r="W15" s="12"/>
    </row>
    <row r="16" spans="1:30" ht="11.25" customHeight="1" x14ac:dyDescent="0.25">
      <c r="A16" s="132"/>
      <c r="B16" s="131" t="s">
        <v>85</v>
      </c>
      <c r="C16" s="131" t="s">
        <v>24</v>
      </c>
      <c r="D16" s="13" t="s">
        <v>24</v>
      </c>
      <c r="E16" s="13" t="s">
        <v>25</v>
      </c>
      <c r="F16" s="13" t="s">
        <v>25</v>
      </c>
      <c r="G16" s="12" t="s">
        <v>75</v>
      </c>
      <c r="H16" s="12" t="s">
        <v>71</v>
      </c>
      <c r="I16" s="12">
        <f>SUMIF(Mercado_Receita!$T$2:$T$987,"44348B1Energia convencional pré-pagamentoResidencialResidencialNão se aplicaNão se aplicaNão se aplica",Mercado_Receita!$N$2:$N$987)</f>
        <v>0</v>
      </c>
      <c r="J16" s="12">
        <f>SUMIF(Mercado_Receita!$T$2:$T$987,"44378B1Energia convencional pré-pagamentoResidencialResidencialNão se aplicaNão se aplicaNão se aplica",Mercado_Receita!$N$2:$N$987)</f>
        <v>0</v>
      </c>
      <c r="K16" s="12">
        <f>SUMIF(Mercado_Receita!$T$2:$T$987,"44409B1Energia convencional pré-pagamentoResidencialResidencialNão se aplicaNão se aplicaNão se aplica",Mercado_Receita!$N$2:$N$987)</f>
        <v>0</v>
      </c>
      <c r="L16" s="12">
        <f>SUMIF(Mercado_Receita!$T$2:$T$987,"44440B1Energia convencional pré-pagamentoResidencialResidencialNão se aplicaNão se aplicaNão se aplica",Mercado_Receita!$N$2:$N$987)</f>
        <v>0</v>
      </c>
      <c r="M16" s="12">
        <f>SUMIF(Mercado_Receita!$T$2:$T$987,"44470B1Energia convencional pré-pagamentoResidencialResidencialNão se aplicaNão se aplicaNão se aplica",Mercado_Receita!$N$2:$N$987)</f>
        <v>0</v>
      </c>
      <c r="N16" s="12">
        <f>SUMIF(Mercado_Receita!$T$2:$T$987,"44501B1Energia convencional pré-pagamentoResidencialResidencialNão se aplicaNão se aplicaNão se aplica",Mercado_Receita!$N$2:$N$987)</f>
        <v>0</v>
      </c>
      <c r="O16" s="12">
        <f>SUMIF(Mercado_Receita!$T$2:$T$987,"44531B1Energia convencional pré-pagamentoResidencialResidencialNão se aplicaNão se aplicaNão se aplica",Mercado_Receita!$N$2:$N$987)</f>
        <v>0</v>
      </c>
      <c r="P16" s="12">
        <f>SUMIF(Mercado_Receita!$T$2:$T$987,"44562B1Energia convencional pré-pagamentoResidencialResidencialNão se aplicaNão se aplicaNão se aplica",Mercado_Receita!$N$2:$N$987)</f>
        <v>0</v>
      </c>
      <c r="Q16" s="12">
        <f>SUMIF(Mercado_Receita!$T$2:$T$987,"44593B1Energia convencional pré-pagamentoResidencialResidencialNão se aplicaNão se aplicaNão se aplica",Mercado_Receita!$N$2:$N$987)</f>
        <v>0</v>
      </c>
      <c r="R16" s="12">
        <f>SUMIF(Mercado_Receita!$T$2:$T$987,"44621B1Energia convencional pré-pagamentoResidencialResidencialNão se aplicaNão se aplicaNão se aplica",Mercado_Receita!$N$2:$N$987)</f>
        <v>0</v>
      </c>
      <c r="S16" s="12">
        <f>SUMIF(Mercado_Receita!$T$2:$T$987,"44652B1Energia convencional pré-pagamentoResidencialResidencialNão se aplicaNão se aplicaNão se aplica",Mercado_Receita!$N$2:$N$987)</f>
        <v>0</v>
      </c>
      <c r="T16" s="12">
        <f>SUMIF(Mercado_Receita!$T$2:$T$987,"44682B1Energia convencional pré-pagamentoResidencialResidencialNão se aplicaNão se aplicaNão se aplica",Mercado_Receita!$N$2:$N$987)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32"/>
      <c r="B17" s="132"/>
      <c r="C17" s="132"/>
      <c r="D17" s="13" t="s">
        <v>29</v>
      </c>
      <c r="E17" s="13" t="s">
        <v>25</v>
      </c>
      <c r="F17" s="13" t="s">
        <v>25</v>
      </c>
      <c r="G17" s="12" t="s">
        <v>75</v>
      </c>
      <c r="H17" s="12" t="s">
        <v>71</v>
      </c>
      <c r="I17" s="12">
        <f>SUMIF(Mercado_Receita!$T$2:$T$987,"44348B1Energia convencional pré-pagamentoResidencialResidencial baixa renda – faixa 01Não se aplicaNão se aplicaNão se aplica",Mercado_Receita!$N$2:$N$987)</f>
        <v>0</v>
      </c>
      <c r="J17" s="12">
        <f>SUMIF(Mercado_Receita!$T$2:$T$987,"44378B1Energia convencional pré-pagamentoResidencialResidencial baixa renda – faixa 01Não se aplicaNão se aplicaNão se aplica",Mercado_Receita!$N$2:$N$987)</f>
        <v>0</v>
      </c>
      <c r="K17" s="12">
        <f>SUMIF(Mercado_Receita!$T$2:$T$987,"44409B1Energia convencional pré-pagamentoResidencialResidencial baixa renda – faixa 01Não se aplicaNão se aplicaNão se aplica",Mercado_Receita!$N$2:$N$987)</f>
        <v>0</v>
      </c>
      <c r="L17" s="12">
        <f>SUMIF(Mercado_Receita!$T$2:$T$987,"44440B1Energia convencional pré-pagamentoResidencialResidencial baixa renda – faixa 01Não se aplicaNão se aplicaNão se aplica",Mercado_Receita!$N$2:$N$987)</f>
        <v>0</v>
      </c>
      <c r="M17" s="12">
        <f>SUMIF(Mercado_Receita!$T$2:$T$987,"44470B1Energia convencional pré-pagamentoResidencialResidencial baixa renda – faixa 01Não se aplicaNão se aplicaNão se aplica",Mercado_Receita!$N$2:$N$987)</f>
        <v>0</v>
      </c>
      <c r="N17" s="12">
        <f>SUMIF(Mercado_Receita!$T$2:$T$987,"44501B1Energia convencional pré-pagamentoResidencialResidencial baixa renda – faixa 01Não se aplicaNão se aplicaNão se aplica",Mercado_Receita!$N$2:$N$987)</f>
        <v>0</v>
      </c>
      <c r="O17" s="12">
        <f>SUMIF(Mercado_Receita!$T$2:$T$987,"44531B1Energia convencional pré-pagamentoResidencialResidencial baixa renda – faixa 01Não se aplicaNão se aplicaNão se aplica",Mercado_Receita!$N$2:$N$987)</f>
        <v>0</v>
      </c>
      <c r="P17" s="12">
        <f>SUMIF(Mercado_Receita!$T$2:$T$987,"44562B1Energia convencional pré-pagamentoResidencialResidencial baixa renda – faixa 01Não se aplicaNão se aplicaNão se aplica",Mercado_Receita!$N$2:$N$987)</f>
        <v>0</v>
      </c>
      <c r="Q17" s="12">
        <f>SUMIF(Mercado_Receita!$T$2:$T$987,"44593B1Energia convencional pré-pagamentoResidencialResidencial baixa renda – faixa 01Não se aplicaNão se aplicaNão se aplica",Mercado_Receita!$N$2:$N$987)</f>
        <v>0</v>
      </c>
      <c r="R17" s="12">
        <f>SUMIF(Mercado_Receita!$T$2:$T$987,"44621B1Energia convencional pré-pagamentoResidencialResidencial baixa renda – faixa 01Não se aplicaNão se aplicaNão se aplica",Mercado_Receita!$N$2:$N$987)</f>
        <v>0</v>
      </c>
      <c r="S17" s="12">
        <f>SUMIF(Mercado_Receita!$T$2:$T$987,"44652B1Energia convencional pré-pagamentoResidencialResidencial baixa renda – faixa 01Não se aplicaNão se aplicaNão se aplica",Mercado_Receita!$N$2:$N$987)</f>
        <v>0</v>
      </c>
      <c r="T17" s="12">
        <f>SUMIF(Mercado_Receita!$T$2:$T$987,"44682B1Energia convencional pré-pagamentoResidencialResidencial baixa renda – faixa 01Não se aplicaNão se aplicaNão se aplica",Mercado_Receita!$N$2:$N$987)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132"/>
      <c r="B18" s="132"/>
      <c r="C18" s="132"/>
      <c r="D18" s="13" t="s">
        <v>30</v>
      </c>
      <c r="E18" s="13" t="s">
        <v>25</v>
      </c>
      <c r="F18" s="13" t="s">
        <v>25</v>
      </c>
      <c r="G18" s="12" t="s">
        <v>75</v>
      </c>
      <c r="H18" s="12" t="s">
        <v>71</v>
      </c>
      <c r="I18" s="12">
        <f>SUMIF(Mercado_Receita!$T$2:$T$987,"44348B1Energia convencional pré-pagamentoResidencialResidencial baixa renda – faixa 02Não se aplicaNão se aplicaNão se aplica",Mercado_Receita!$N$2:$N$987)</f>
        <v>0</v>
      </c>
      <c r="J18" s="12">
        <f>SUMIF(Mercado_Receita!$T$2:$T$987,"44378B1Energia convencional pré-pagamentoResidencialResidencial baixa renda – faixa 02Não se aplicaNão se aplicaNão se aplica",Mercado_Receita!$N$2:$N$987)</f>
        <v>0</v>
      </c>
      <c r="K18" s="12">
        <f>SUMIF(Mercado_Receita!$T$2:$T$987,"44409B1Energia convencional pré-pagamentoResidencialResidencial baixa renda – faixa 02Não se aplicaNão se aplicaNão se aplica",Mercado_Receita!$N$2:$N$987)</f>
        <v>0</v>
      </c>
      <c r="L18" s="12">
        <f>SUMIF(Mercado_Receita!$T$2:$T$987,"44440B1Energia convencional pré-pagamentoResidencialResidencial baixa renda – faixa 02Não se aplicaNão se aplicaNão se aplica",Mercado_Receita!$N$2:$N$987)</f>
        <v>0</v>
      </c>
      <c r="M18" s="12">
        <f>SUMIF(Mercado_Receita!$T$2:$T$987,"44470B1Energia convencional pré-pagamentoResidencialResidencial baixa renda – faixa 02Não se aplicaNão se aplicaNão se aplica",Mercado_Receita!$N$2:$N$987)</f>
        <v>0</v>
      </c>
      <c r="N18" s="12">
        <f>SUMIF(Mercado_Receita!$T$2:$T$987,"44501B1Energia convencional pré-pagamentoResidencialResidencial baixa renda – faixa 02Não se aplicaNão se aplicaNão se aplica",Mercado_Receita!$N$2:$N$987)</f>
        <v>0</v>
      </c>
      <c r="O18" s="12">
        <f>SUMIF(Mercado_Receita!$T$2:$T$987,"44531B1Energia convencional pré-pagamentoResidencialResidencial baixa renda – faixa 02Não se aplicaNão se aplicaNão se aplica",Mercado_Receita!$N$2:$N$987)</f>
        <v>0</v>
      </c>
      <c r="P18" s="12">
        <f>SUMIF(Mercado_Receita!$T$2:$T$987,"44562B1Energia convencional pré-pagamentoResidencialResidencial baixa renda – faixa 02Não se aplicaNão se aplicaNão se aplica",Mercado_Receita!$N$2:$N$987)</f>
        <v>0</v>
      </c>
      <c r="Q18" s="12">
        <f>SUMIF(Mercado_Receita!$T$2:$T$987,"44593B1Energia convencional pré-pagamentoResidencialResidencial baixa renda – faixa 02Não se aplicaNão se aplicaNão se aplica",Mercado_Receita!$N$2:$N$987)</f>
        <v>0</v>
      </c>
      <c r="R18" s="12">
        <f>SUMIF(Mercado_Receita!$T$2:$T$987,"44621B1Energia convencional pré-pagamentoResidencialResidencial baixa renda – faixa 02Não se aplicaNão se aplicaNão se aplica",Mercado_Receita!$N$2:$N$987)</f>
        <v>0</v>
      </c>
      <c r="S18" s="12">
        <f>SUMIF(Mercado_Receita!$T$2:$T$987,"44652B1Energia convencional pré-pagamentoResidencialResidencial baixa renda – faixa 02Não se aplicaNão se aplicaNão se aplica",Mercado_Receita!$N$2:$N$987)</f>
        <v>0</v>
      </c>
      <c r="T18" s="12">
        <f>SUMIF(Mercado_Receita!$T$2:$T$987,"44682B1Energia convencional pré-pagamentoResidencialResidencial baixa renda – faixa 02Não se aplicaNão se aplicaNão se aplica",Mercado_Receita!$N$2:$N$987)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132"/>
      <c r="B19" s="132"/>
      <c r="C19" s="132"/>
      <c r="D19" s="13" t="s">
        <v>31</v>
      </c>
      <c r="E19" s="13" t="s">
        <v>25</v>
      </c>
      <c r="F19" s="13" t="s">
        <v>25</v>
      </c>
      <c r="G19" s="12" t="s">
        <v>75</v>
      </c>
      <c r="H19" s="12" t="s">
        <v>71</v>
      </c>
      <c r="I19" s="12">
        <f>SUMIF(Mercado_Receita!$T$2:$T$987,"44348B1Energia convencional pré-pagamentoResidencialResidencial baixa renda – faixa 03Não se aplicaNão se aplicaNão se aplica",Mercado_Receita!$N$2:$N$987)</f>
        <v>0</v>
      </c>
      <c r="J19" s="12">
        <f>SUMIF(Mercado_Receita!$T$2:$T$987,"44378B1Energia convencional pré-pagamentoResidencialResidencial baixa renda – faixa 03Não se aplicaNão se aplicaNão se aplica",Mercado_Receita!$N$2:$N$987)</f>
        <v>0</v>
      </c>
      <c r="K19" s="12">
        <f>SUMIF(Mercado_Receita!$T$2:$T$987,"44409B1Energia convencional pré-pagamentoResidencialResidencial baixa renda – faixa 03Não se aplicaNão se aplicaNão se aplica",Mercado_Receita!$N$2:$N$987)</f>
        <v>0</v>
      </c>
      <c r="L19" s="12">
        <f>SUMIF(Mercado_Receita!$T$2:$T$987,"44440B1Energia convencional pré-pagamentoResidencialResidencial baixa renda – faixa 03Não se aplicaNão se aplicaNão se aplica",Mercado_Receita!$N$2:$N$987)</f>
        <v>0</v>
      </c>
      <c r="M19" s="12">
        <f>SUMIF(Mercado_Receita!$T$2:$T$987,"44470B1Energia convencional pré-pagamentoResidencialResidencial baixa renda – faixa 03Não se aplicaNão se aplicaNão se aplica",Mercado_Receita!$N$2:$N$987)</f>
        <v>0</v>
      </c>
      <c r="N19" s="12">
        <f>SUMIF(Mercado_Receita!$T$2:$T$987,"44501B1Energia convencional pré-pagamentoResidencialResidencial baixa renda – faixa 03Não se aplicaNão se aplicaNão se aplica",Mercado_Receita!$N$2:$N$987)</f>
        <v>0</v>
      </c>
      <c r="O19" s="12">
        <f>SUMIF(Mercado_Receita!$T$2:$T$987,"44531B1Energia convencional pré-pagamentoResidencialResidencial baixa renda – faixa 03Não se aplicaNão se aplicaNão se aplica",Mercado_Receita!$N$2:$N$987)</f>
        <v>0</v>
      </c>
      <c r="P19" s="12">
        <f>SUMIF(Mercado_Receita!$T$2:$T$987,"44562B1Energia convencional pré-pagamentoResidencialResidencial baixa renda – faixa 03Não se aplicaNão se aplicaNão se aplica",Mercado_Receita!$N$2:$N$987)</f>
        <v>0</v>
      </c>
      <c r="Q19" s="12">
        <f>SUMIF(Mercado_Receita!$T$2:$T$987,"44593B1Energia convencional pré-pagamentoResidencialResidencial baixa renda – faixa 03Não se aplicaNão se aplicaNão se aplica",Mercado_Receita!$N$2:$N$987)</f>
        <v>0</v>
      </c>
      <c r="R19" s="12">
        <f>SUMIF(Mercado_Receita!$T$2:$T$987,"44621B1Energia convencional pré-pagamentoResidencialResidencial baixa renda – faixa 03Não se aplicaNão se aplicaNão se aplica",Mercado_Receita!$N$2:$N$987)</f>
        <v>0</v>
      </c>
      <c r="S19" s="12">
        <f>SUMIF(Mercado_Receita!$T$2:$T$987,"44652B1Energia convencional pré-pagamentoResidencialResidencial baixa renda – faixa 03Não se aplicaNão se aplicaNão se aplica",Mercado_Receita!$N$2:$N$987)</f>
        <v>0</v>
      </c>
      <c r="T19" s="12">
        <f>SUMIF(Mercado_Receita!$T$2:$T$987,"44682B1Energia convencional pré-pagamentoResidencialResidencial baixa renda – faixa 03Não se aplicaNão se aplicaNão se aplica",Mercado_Receita!$N$2:$N$987)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132"/>
      <c r="B20" s="132"/>
      <c r="C20" s="132"/>
      <c r="D20" s="13" t="s">
        <v>32</v>
      </c>
      <c r="E20" s="13" t="s">
        <v>25</v>
      </c>
      <c r="F20" s="13" t="s">
        <v>25</v>
      </c>
      <c r="G20" s="12" t="s">
        <v>75</v>
      </c>
      <c r="H20" s="12" t="s">
        <v>71</v>
      </c>
      <c r="I20" s="12">
        <f>SUMIF(Mercado_Receita!$T$2:$T$987,"44348B1Energia convencional pré-pagamentoResidencialResidencial baixa renda – faixa 04Não se aplicaNão se aplicaNão se aplica",Mercado_Receita!$N$2:$N$987)</f>
        <v>0</v>
      </c>
      <c r="J20" s="12">
        <f>SUMIF(Mercado_Receita!$T$2:$T$987,"44378B1Energia convencional pré-pagamentoResidencialResidencial baixa renda – faixa 04Não se aplicaNão se aplicaNão se aplica",Mercado_Receita!$N$2:$N$987)</f>
        <v>0</v>
      </c>
      <c r="K20" s="12">
        <f>SUMIF(Mercado_Receita!$T$2:$T$987,"44409B1Energia convencional pré-pagamentoResidencialResidencial baixa renda – faixa 04Não se aplicaNão se aplicaNão se aplica",Mercado_Receita!$N$2:$N$987)</f>
        <v>0</v>
      </c>
      <c r="L20" s="12">
        <f>SUMIF(Mercado_Receita!$T$2:$T$987,"44440B1Energia convencional pré-pagamentoResidencialResidencial baixa renda – faixa 04Não se aplicaNão se aplicaNão se aplica",Mercado_Receita!$N$2:$N$987)</f>
        <v>0</v>
      </c>
      <c r="M20" s="12">
        <f>SUMIF(Mercado_Receita!$T$2:$T$987,"44470B1Energia convencional pré-pagamentoResidencialResidencial baixa renda – faixa 04Não se aplicaNão se aplicaNão se aplica",Mercado_Receita!$N$2:$N$987)</f>
        <v>0</v>
      </c>
      <c r="N20" s="12">
        <f>SUMIF(Mercado_Receita!$T$2:$T$987,"44501B1Energia convencional pré-pagamentoResidencialResidencial baixa renda – faixa 04Não se aplicaNão se aplicaNão se aplica",Mercado_Receita!$N$2:$N$987)</f>
        <v>0</v>
      </c>
      <c r="O20" s="12">
        <f>SUMIF(Mercado_Receita!$T$2:$T$987,"44531B1Energia convencional pré-pagamentoResidencialResidencial baixa renda – faixa 04Não se aplicaNão se aplicaNão se aplica",Mercado_Receita!$N$2:$N$987)</f>
        <v>0</v>
      </c>
      <c r="P20" s="12">
        <f>SUMIF(Mercado_Receita!$T$2:$T$987,"44562B1Energia convencional pré-pagamentoResidencialResidencial baixa renda – faixa 04Não se aplicaNão se aplicaNão se aplica",Mercado_Receita!$N$2:$N$987)</f>
        <v>0</v>
      </c>
      <c r="Q20" s="12">
        <f>SUMIF(Mercado_Receita!$T$2:$T$987,"44593B1Energia convencional pré-pagamentoResidencialResidencial baixa renda – faixa 04Não se aplicaNão se aplicaNão se aplica",Mercado_Receita!$N$2:$N$987)</f>
        <v>0</v>
      </c>
      <c r="R20" s="12">
        <f>SUMIF(Mercado_Receita!$T$2:$T$987,"44621B1Energia convencional pré-pagamentoResidencialResidencial baixa renda – faixa 04Não se aplicaNão se aplicaNão se aplica",Mercado_Receita!$N$2:$N$987)</f>
        <v>0</v>
      </c>
      <c r="S20" s="12">
        <f>SUMIF(Mercado_Receita!$T$2:$T$987,"44652B1Energia convencional pré-pagamentoResidencialResidencial baixa renda – faixa 04Não se aplicaNão se aplicaNão se aplica",Mercado_Receita!$N$2:$N$987)</f>
        <v>0</v>
      </c>
      <c r="T20" s="12">
        <f>SUMIF(Mercado_Receita!$T$2:$T$987,"44682B1Energia convencional pré-pagamentoResidencialResidencial baixa renda – faixa 04Não se aplicaNão se aplicaNão se aplica",Mercado_Receita!$N$2:$N$987)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31" t="s">
        <v>44</v>
      </c>
      <c r="B21" s="131" t="s">
        <v>70</v>
      </c>
      <c r="C21" s="131" t="s">
        <v>45</v>
      </c>
      <c r="D21" s="131" t="s">
        <v>25</v>
      </c>
      <c r="E21" s="131" t="s">
        <v>25</v>
      </c>
      <c r="F21" s="131" t="s">
        <v>25</v>
      </c>
      <c r="G21" s="12" t="s">
        <v>72</v>
      </c>
      <c r="H21" s="12" t="s">
        <v>71</v>
      </c>
      <c r="I21" s="12">
        <f>SUMIF(Mercado_Receita!$T$2:$T$987,"44348B2Energia horáriaRuralNão se aplicaNão se aplicaNão se aplicaPonta",Mercado_Receita!$N$2:$N$987)</f>
        <v>0</v>
      </c>
      <c r="J21" s="12">
        <f>SUMIF(Mercado_Receita!$T$2:$T$987,"44378B2Energia horáriaRuralNão se aplicaNão se aplicaNão se aplicaPonta",Mercado_Receita!$N$2:$N$987)</f>
        <v>0</v>
      </c>
      <c r="K21" s="12">
        <f>SUMIF(Mercado_Receita!$T$2:$T$987,"44409B2Energia horáriaRuralNão se aplicaNão se aplicaNão se aplicaPonta",Mercado_Receita!$N$2:$N$987)</f>
        <v>0</v>
      </c>
      <c r="L21" s="12">
        <f>SUMIF(Mercado_Receita!$T$2:$T$987,"44440B2Energia horáriaRuralNão se aplicaNão se aplicaNão se aplicaPonta",Mercado_Receita!$N$2:$N$987)</f>
        <v>0</v>
      </c>
      <c r="M21" s="12">
        <f>SUMIF(Mercado_Receita!$T$2:$T$987,"44470B2Energia horáriaRuralNão se aplicaNão se aplicaNão se aplicaPonta",Mercado_Receita!$N$2:$N$987)</f>
        <v>0</v>
      </c>
      <c r="N21" s="12">
        <f>SUMIF(Mercado_Receita!$T$2:$T$987,"44501B2Energia horáriaRuralNão se aplicaNão se aplicaNão se aplicaPonta",Mercado_Receita!$N$2:$N$987)</f>
        <v>0</v>
      </c>
      <c r="O21" s="12">
        <f>SUMIF(Mercado_Receita!$T$2:$T$987,"44531B2Energia horáriaRuralNão se aplicaNão se aplicaNão se aplicaPonta",Mercado_Receita!$N$2:$N$987)</f>
        <v>0</v>
      </c>
      <c r="P21" s="12">
        <f>SUMIF(Mercado_Receita!$T$2:$T$987,"44562B2Energia horáriaRuralNão se aplicaNão se aplicaNão se aplicaPonta",Mercado_Receita!$N$2:$N$987)</f>
        <v>0</v>
      </c>
      <c r="Q21" s="12">
        <f>SUMIF(Mercado_Receita!$T$2:$T$987,"44593B2Energia horáriaRuralNão se aplicaNão se aplicaNão se aplicaPonta",Mercado_Receita!$N$2:$N$987)</f>
        <v>0</v>
      </c>
      <c r="R21" s="12">
        <f>SUMIF(Mercado_Receita!$T$2:$T$987,"44621B2Energia horáriaRuralNão se aplicaNão se aplicaNão se aplicaPonta",Mercado_Receita!$N$2:$N$987)</f>
        <v>0</v>
      </c>
      <c r="S21" s="12">
        <f>SUMIF(Mercado_Receita!$T$2:$T$987,"44652B2Energia horáriaRuralNão se aplicaNão se aplicaNão se aplicaPonta",Mercado_Receita!$N$2:$N$987)</f>
        <v>0</v>
      </c>
      <c r="T21" s="12">
        <f>SUMIF(Mercado_Receita!$T$2:$T$987,"44682B2Energia horáriaRuralNão se aplicaNão se aplicaNão se aplicaPonta",Mercado_Receita!$N$2:$N$987)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132"/>
      <c r="B22" s="132"/>
      <c r="C22" s="132"/>
      <c r="D22" s="132"/>
      <c r="E22" s="132"/>
      <c r="F22" s="132"/>
      <c r="G22" s="12" t="s">
        <v>84</v>
      </c>
      <c r="H22" s="12" t="s">
        <v>71</v>
      </c>
      <c r="I22" s="12">
        <f>SUMIF(Mercado_Receita!$T$2:$T$987,"44348B2Energia horáriaRuralNão se aplicaNão se aplicaNão se aplicaIntermediário",Mercado_Receita!$N$2:$N$987)</f>
        <v>0</v>
      </c>
      <c r="J22" s="12">
        <f>SUMIF(Mercado_Receita!$T$2:$T$987,"44378B2Energia horáriaRuralNão se aplicaNão se aplicaNão se aplicaIntermediário",Mercado_Receita!$N$2:$N$987)</f>
        <v>0</v>
      </c>
      <c r="K22" s="12">
        <f>SUMIF(Mercado_Receita!$T$2:$T$987,"44409B2Energia horáriaRuralNão se aplicaNão se aplicaNão se aplicaIntermediário",Mercado_Receita!$N$2:$N$987)</f>
        <v>0</v>
      </c>
      <c r="L22" s="12">
        <f>SUMIF(Mercado_Receita!$T$2:$T$987,"44440B2Energia horáriaRuralNão se aplicaNão se aplicaNão se aplicaIntermediário",Mercado_Receita!$N$2:$N$987)</f>
        <v>0</v>
      </c>
      <c r="M22" s="12">
        <f>SUMIF(Mercado_Receita!$T$2:$T$987,"44470B2Energia horáriaRuralNão se aplicaNão se aplicaNão se aplicaIntermediário",Mercado_Receita!$N$2:$N$987)</f>
        <v>0</v>
      </c>
      <c r="N22" s="12">
        <f>SUMIF(Mercado_Receita!$T$2:$T$987,"44501B2Energia horáriaRuralNão se aplicaNão se aplicaNão se aplicaIntermediário",Mercado_Receita!$N$2:$N$987)</f>
        <v>0</v>
      </c>
      <c r="O22" s="12">
        <f>SUMIF(Mercado_Receita!$T$2:$T$987,"44531B2Energia horáriaRuralNão se aplicaNão se aplicaNão se aplicaIntermediário",Mercado_Receita!$N$2:$N$987)</f>
        <v>0</v>
      </c>
      <c r="P22" s="12">
        <f>SUMIF(Mercado_Receita!$T$2:$T$987,"44562B2Energia horáriaRuralNão se aplicaNão se aplicaNão se aplicaIntermediário",Mercado_Receita!$N$2:$N$987)</f>
        <v>0</v>
      </c>
      <c r="Q22" s="12">
        <f>SUMIF(Mercado_Receita!$T$2:$T$987,"44593B2Energia horáriaRuralNão se aplicaNão se aplicaNão se aplicaIntermediário",Mercado_Receita!$N$2:$N$987)</f>
        <v>0</v>
      </c>
      <c r="R22" s="12">
        <f>SUMIF(Mercado_Receita!$T$2:$T$987,"44621B2Energia horáriaRuralNão se aplicaNão se aplicaNão se aplicaIntermediário",Mercado_Receita!$N$2:$N$987)</f>
        <v>0</v>
      </c>
      <c r="S22" s="12">
        <f>SUMIF(Mercado_Receita!$T$2:$T$987,"44652B2Energia horáriaRuralNão se aplicaNão se aplicaNão se aplicaIntermediário",Mercado_Receita!$N$2:$N$987)</f>
        <v>0</v>
      </c>
      <c r="T22" s="12">
        <f>SUMIF(Mercado_Receita!$T$2:$T$987,"44682B2Energia horáriaRuralNão se aplicaNão se aplicaNão se aplicaIntermediário",Mercado_Receita!$N$2:$N$987)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32"/>
      <c r="B23" s="132"/>
      <c r="C23" s="132"/>
      <c r="D23" s="132"/>
      <c r="E23" s="132"/>
      <c r="F23" s="132"/>
      <c r="G23" s="12" t="s">
        <v>73</v>
      </c>
      <c r="H23" s="12" t="s">
        <v>71</v>
      </c>
      <c r="I23" s="12">
        <f>SUMIF(Mercado_Receita!$T$2:$T$987,"44348B2Energia horáriaRuralNão se aplicaNão se aplicaNão se aplicaFora ponta",Mercado_Receita!$N$2:$N$987)</f>
        <v>0</v>
      </c>
      <c r="J23" s="12">
        <f>SUMIF(Mercado_Receita!$T$2:$T$987,"44378B2Energia horáriaRuralNão se aplicaNão se aplicaNão se aplicaFora ponta",Mercado_Receita!$N$2:$N$987)</f>
        <v>0</v>
      </c>
      <c r="K23" s="12">
        <f>SUMIF(Mercado_Receita!$T$2:$T$987,"44409B2Energia horáriaRuralNão se aplicaNão se aplicaNão se aplicaFora ponta",Mercado_Receita!$N$2:$N$987)</f>
        <v>0</v>
      </c>
      <c r="L23" s="12">
        <f>SUMIF(Mercado_Receita!$T$2:$T$987,"44440B2Energia horáriaRuralNão se aplicaNão se aplicaNão se aplicaFora ponta",Mercado_Receita!$N$2:$N$987)</f>
        <v>0</v>
      </c>
      <c r="M23" s="12">
        <f>SUMIF(Mercado_Receita!$T$2:$T$987,"44470B2Energia horáriaRuralNão se aplicaNão se aplicaNão se aplicaFora ponta",Mercado_Receita!$N$2:$N$987)</f>
        <v>0</v>
      </c>
      <c r="N23" s="12">
        <f>SUMIF(Mercado_Receita!$T$2:$T$987,"44501B2Energia horáriaRuralNão se aplicaNão se aplicaNão se aplicaFora ponta",Mercado_Receita!$N$2:$N$987)</f>
        <v>0</v>
      </c>
      <c r="O23" s="12">
        <f>SUMIF(Mercado_Receita!$T$2:$T$987,"44531B2Energia horáriaRuralNão se aplicaNão se aplicaNão se aplicaFora ponta",Mercado_Receita!$N$2:$N$987)</f>
        <v>0</v>
      </c>
      <c r="P23" s="12">
        <f>SUMIF(Mercado_Receita!$T$2:$T$987,"44562B2Energia horáriaRuralNão se aplicaNão se aplicaNão se aplicaFora ponta",Mercado_Receita!$N$2:$N$987)</f>
        <v>0</v>
      </c>
      <c r="Q23" s="12">
        <f>SUMIF(Mercado_Receita!$T$2:$T$987,"44593B2Energia horáriaRuralNão se aplicaNão se aplicaNão se aplicaFora ponta",Mercado_Receita!$N$2:$N$987)</f>
        <v>0</v>
      </c>
      <c r="R23" s="12">
        <f>SUMIF(Mercado_Receita!$T$2:$T$987,"44621B2Energia horáriaRuralNão se aplicaNão se aplicaNão se aplicaFora ponta",Mercado_Receita!$N$2:$N$987)</f>
        <v>0</v>
      </c>
      <c r="S23" s="12">
        <f>SUMIF(Mercado_Receita!$T$2:$T$987,"44652B2Energia horáriaRuralNão se aplicaNão se aplicaNão se aplicaFora ponta",Mercado_Receita!$N$2:$N$987)</f>
        <v>0</v>
      </c>
      <c r="T23" s="12">
        <f>SUMIF(Mercado_Receita!$T$2:$T$987,"44682B2Energia horáriaRuralNão se aplicaNão se aplicaNão se aplicaFora ponta",Mercado_Receita!$N$2:$N$987)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32"/>
      <c r="B24" s="13" t="s">
        <v>74</v>
      </c>
      <c r="C24" s="13" t="s">
        <v>45</v>
      </c>
      <c r="D24" s="13" t="s">
        <v>25</v>
      </c>
      <c r="E24" s="13" t="s">
        <v>25</v>
      </c>
      <c r="F24" s="13" t="s">
        <v>25</v>
      </c>
      <c r="G24" s="12" t="s">
        <v>75</v>
      </c>
      <c r="H24" s="12" t="s">
        <v>71</v>
      </c>
      <c r="I24" s="12">
        <f>SUMIF(Mercado_Receita!$T$2:$T$987,"44348B2Energia convencionalRuralNão se aplicaNão se aplicaNão se aplicaNão se aplica",Mercado_Receita!$N$2:$N$987)</f>
        <v>540.74400000000003</v>
      </c>
      <c r="J24" s="12">
        <f>SUMIF(Mercado_Receita!$T$2:$T$987,"44378B2Energia convencionalRuralNão se aplicaNão se aplicaNão se aplicaNão se aplica",Mercado_Receita!$N$2:$N$987)</f>
        <v>563.69399999999996</v>
      </c>
      <c r="K24" s="12">
        <f>SUMIF(Mercado_Receita!$T$2:$T$987,"44409B2Energia convencionalRuralNão se aplicaNão se aplicaNão se aplicaNão se aplica",Mercado_Receita!$N$2:$N$987)</f>
        <v>541.077</v>
      </c>
      <c r="L24" s="12">
        <f>SUMIF(Mercado_Receita!$T$2:$T$987,"44440B2Energia convencionalRuralNão se aplicaNão se aplicaNão se aplicaNão se aplica",Mercado_Receita!$N$2:$N$987)</f>
        <v>527.95999999999992</v>
      </c>
      <c r="M24" s="12">
        <f>SUMIF(Mercado_Receita!$T$2:$T$987,"44470B2Energia convencionalRuralNão se aplicaNão se aplicaNão se aplicaNão se aplica",Mercado_Receita!$N$2:$N$987)</f>
        <v>542.31100000000004</v>
      </c>
      <c r="N24" s="12">
        <f>SUMIF(Mercado_Receita!$T$2:$T$987,"44501B2Energia convencionalRuralNão se aplicaNão se aplicaNão se aplicaNão se aplica",Mercado_Receita!$N$2:$N$987)</f>
        <v>514.30800000000011</v>
      </c>
      <c r="O24" s="12">
        <f>SUMIF(Mercado_Receita!$T$2:$T$987,"44531B2Energia convencionalRuralNão se aplicaNão se aplicaNão se aplicaNão se aplica",Mercado_Receita!$N$2:$N$987)</f>
        <v>546.00800000000004</v>
      </c>
      <c r="P24" s="12">
        <f>SUMIF(Mercado_Receita!$T$2:$T$987,"44562B2Energia convencionalRuralNão se aplicaNão se aplicaNão se aplicaNão se aplica",Mercado_Receita!$N$2:$N$987)</f>
        <v>526.11099999999999</v>
      </c>
      <c r="Q24" s="12">
        <f>SUMIF(Mercado_Receita!$T$2:$T$987,"44593B2Energia convencionalRuralNão se aplicaNão se aplicaNão se aplicaNão se aplica",Mercado_Receita!$N$2:$N$987)</f>
        <v>521.06500000000005</v>
      </c>
      <c r="R24" s="12">
        <f>SUMIF(Mercado_Receita!$T$2:$T$987,"44621B2Energia convencionalRuralNão se aplicaNão se aplicaNão se aplicaNão se aplica",Mercado_Receita!$N$2:$N$987)</f>
        <v>514.72199999999998</v>
      </c>
      <c r="S24" s="12">
        <f>SUMIF(Mercado_Receita!$T$2:$T$987,"44652B2Energia convencionalRuralNão se aplicaNão se aplicaNão se aplicaNão se aplica",Mercado_Receita!$N$2:$N$987)</f>
        <v>492.42</v>
      </c>
      <c r="T24" s="12">
        <f>SUMIF(Mercado_Receita!$T$2:$T$987,"44682B2Energia convencionalRuralNão se aplicaNão se aplicaNão se aplicaNão se aplica",Mercado_Receita!$N$2:$N$987)</f>
        <v>513.95500000000004</v>
      </c>
      <c r="U24" s="12">
        <f t="shared" si="0"/>
        <v>6344.375</v>
      </c>
      <c r="V24" s="12"/>
      <c r="W24" s="12"/>
    </row>
    <row r="25" spans="1:23" ht="11.25" customHeight="1" x14ac:dyDescent="0.25">
      <c r="A25" s="132"/>
      <c r="B25" s="131" t="s">
        <v>70</v>
      </c>
      <c r="C25" s="131" t="s">
        <v>45</v>
      </c>
      <c r="D25" s="131" t="s">
        <v>87</v>
      </c>
      <c r="E25" s="131" t="s">
        <v>25</v>
      </c>
      <c r="F25" s="131" t="s">
        <v>25</v>
      </c>
      <c r="G25" s="12" t="s">
        <v>72</v>
      </c>
      <c r="H25" s="12" t="s">
        <v>71</v>
      </c>
      <c r="I25" s="12">
        <f>SUMIF(Mercado_Receita!$T$2:$T$987,"44348B2Energia horáriaRuralCooperativa de eletrificação ruralNão se aplicaNão se aplicaPonta",Mercado_Receita!$N$2:$N$987)</f>
        <v>0</v>
      </c>
      <c r="J25" s="12">
        <f>SUMIF(Mercado_Receita!$T$2:$T$987,"44378B2Energia horáriaRuralCooperativa de eletrificação ruralNão se aplicaNão se aplicaPonta",Mercado_Receita!$N$2:$N$987)</f>
        <v>0</v>
      </c>
      <c r="K25" s="12">
        <f>SUMIF(Mercado_Receita!$T$2:$T$987,"44409B2Energia horáriaRuralCooperativa de eletrificação ruralNão se aplicaNão se aplicaPonta",Mercado_Receita!$N$2:$N$987)</f>
        <v>0</v>
      </c>
      <c r="L25" s="12">
        <f>SUMIF(Mercado_Receita!$T$2:$T$987,"44440B2Energia horáriaRuralCooperativa de eletrificação ruralNão se aplicaNão se aplicaPonta",Mercado_Receita!$N$2:$N$987)</f>
        <v>0</v>
      </c>
      <c r="M25" s="12">
        <f>SUMIF(Mercado_Receita!$T$2:$T$987,"44470B2Energia horáriaRuralCooperativa de eletrificação ruralNão se aplicaNão se aplicaPonta",Mercado_Receita!$N$2:$N$987)</f>
        <v>0</v>
      </c>
      <c r="N25" s="12">
        <f>SUMIF(Mercado_Receita!$T$2:$T$987,"44501B2Energia horáriaRuralCooperativa de eletrificação ruralNão se aplicaNão se aplicaPonta",Mercado_Receita!$N$2:$N$987)</f>
        <v>0</v>
      </c>
      <c r="O25" s="12">
        <f>SUMIF(Mercado_Receita!$T$2:$T$987,"44531B2Energia horáriaRuralCooperativa de eletrificação ruralNão se aplicaNão se aplicaPonta",Mercado_Receita!$N$2:$N$987)</f>
        <v>0</v>
      </c>
      <c r="P25" s="12">
        <f>SUMIF(Mercado_Receita!$T$2:$T$987,"44562B2Energia horáriaRuralCooperativa de eletrificação ruralNão se aplicaNão se aplicaPonta",Mercado_Receita!$N$2:$N$987)</f>
        <v>0</v>
      </c>
      <c r="Q25" s="12">
        <f>SUMIF(Mercado_Receita!$T$2:$T$987,"44593B2Energia horáriaRuralCooperativa de eletrificação ruralNão se aplicaNão se aplicaPonta",Mercado_Receita!$N$2:$N$987)</f>
        <v>0</v>
      </c>
      <c r="R25" s="12">
        <f>SUMIF(Mercado_Receita!$T$2:$T$987,"44621B2Energia horáriaRuralCooperativa de eletrificação ruralNão se aplicaNão se aplicaPonta",Mercado_Receita!$N$2:$N$987)</f>
        <v>0</v>
      </c>
      <c r="S25" s="12">
        <f>SUMIF(Mercado_Receita!$T$2:$T$987,"44652B2Energia horáriaRuralCooperativa de eletrificação ruralNão se aplicaNão se aplicaPonta",Mercado_Receita!$N$2:$N$987)</f>
        <v>0</v>
      </c>
      <c r="T25" s="12">
        <f>SUMIF(Mercado_Receita!$T$2:$T$987,"44682B2Energia horáriaRuralCooperativa de eletrificação ruralNão se aplicaNão se aplicaPonta",Mercado_Receita!$N$2:$N$987)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32"/>
      <c r="B26" s="132"/>
      <c r="C26" s="132"/>
      <c r="D26" s="132"/>
      <c r="E26" s="132"/>
      <c r="F26" s="132"/>
      <c r="G26" s="12" t="s">
        <v>84</v>
      </c>
      <c r="H26" s="12" t="s">
        <v>71</v>
      </c>
      <c r="I26" s="12">
        <f>SUMIF(Mercado_Receita!$T$2:$T$987,"44348B2Energia horáriaRuralCooperativa de eletrificação ruralNão se aplicaNão se aplicaIntermediário",Mercado_Receita!$N$2:$N$987)</f>
        <v>0</v>
      </c>
      <c r="J26" s="12">
        <f>SUMIF(Mercado_Receita!$T$2:$T$987,"44378B2Energia horáriaRuralCooperativa de eletrificação ruralNão se aplicaNão se aplicaIntermediário",Mercado_Receita!$N$2:$N$987)</f>
        <v>0</v>
      </c>
      <c r="K26" s="12">
        <f>SUMIF(Mercado_Receita!$T$2:$T$987,"44409B2Energia horáriaRuralCooperativa de eletrificação ruralNão se aplicaNão se aplicaIntermediário",Mercado_Receita!$N$2:$N$987)</f>
        <v>0</v>
      </c>
      <c r="L26" s="12">
        <f>SUMIF(Mercado_Receita!$T$2:$T$987,"44440B2Energia horáriaRuralCooperativa de eletrificação ruralNão se aplicaNão se aplicaIntermediário",Mercado_Receita!$N$2:$N$987)</f>
        <v>0</v>
      </c>
      <c r="M26" s="12">
        <f>SUMIF(Mercado_Receita!$T$2:$T$987,"44470B2Energia horáriaRuralCooperativa de eletrificação ruralNão se aplicaNão se aplicaIntermediário",Mercado_Receita!$N$2:$N$987)</f>
        <v>0</v>
      </c>
      <c r="N26" s="12">
        <f>SUMIF(Mercado_Receita!$T$2:$T$987,"44501B2Energia horáriaRuralCooperativa de eletrificação ruralNão se aplicaNão se aplicaIntermediário",Mercado_Receita!$N$2:$N$987)</f>
        <v>0</v>
      </c>
      <c r="O26" s="12">
        <f>SUMIF(Mercado_Receita!$T$2:$T$987,"44531B2Energia horáriaRuralCooperativa de eletrificação ruralNão se aplicaNão se aplicaIntermediário",Mercado_Receita!$N$2:$N$987)</f>
        <v>0</v>
      </c>
      <c r="P26" s="12">
        <f>SUMIF(Mercado_Receita!$T$2:$T$987,"44562B2Energia horáriaRuralCooperativa de eletrificação ruralNão se aplicaNão se aplicaIntermediário",Mercado_Receita!$N$2:$N$987)</f>
        <v>0</v>
      </c>
      <c r="Q26" s="12">
        <f>SUMIF(Mercado_Receita!$T$2:$T$987,"44593B2Energia horáriaRuralCooperativa de eletrificação ruralNão se aplicaNão se aplicaIntermediário",Mercado_Receita!$N$2:$N$987)</f>
        <v>0</v>
      </c>
      <c r="R26" s="12">
        <f>SUMIF(Mercado_Receita!$T$2:$T$987,"44621B2Energia horáriaRuralCooperativa de eletrificação ruralNão se aplicaNão se aplicaIntermediário",Mercado_Receita!$N$2:$N$987)</f>
        <v>0</v>
      </c>
      <c r="S26" s="12">
        <f>SUMIF(Mercado_Receita!$T$2:$T$987,"44652B2Energia horáriaRuralCooperativa de eletrificação ruralNão se aplicaNão se aplicaIntermediário",Mercado_Receita!$N$2:$N$987)</f>
        <v>0</v>
      </c>
      <c r="T26" s="12">
        <f>SUMIF(Mercado_Receita!$T$2:$T$987,"44682B2Energia horáriaRuralCooperativa de eletrificação ruralNão se aplicaNão se aplicaIntermediário",Mercado_Receita!$N$2:$N$987)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32"/>
      <c r="B27" s="132"/>
      <c r="C27" s="132"/>
      <c r="D27" s="132"/>
      <c r="E27" s="132"/>
      <c r="F27" s="132"/>
      <c r="G27" s="12" t="s">
        <v>73</v>
      </c>
      <c r="H27" s="12" t="s">
        <v>71</v>
      </c>
      <c r="I27" s="12">
        <f>SUMIF(Mercado_Receita!$T$2:$T$987,"44348B2Energia horáriaRuralCooperativa de eletrificação ruralNão se aplicaNão se aplicaFora ponta",Mercado_Receita!$N$2:$N$987)</f>
        <v>0</v>
      </c>
      <c r="J27" s="12">
        <f>SUMIF(Mercado_Receita!$T$2:$T$987,"44378B2Energia horáriaRuralCooperativa de eletrificação ruralNão se aplicaNão se aplicaFora ponta",Mercado_Receita!$N$2:$N$987)</f>
        <v>0</v>
      </c>
      <c r="K27" s="12">
        <f>SUMIF(Mercado_Receita!$T$2:$T$987,"44409B2Energia horáriaRuralCooperativa de eletrificação ruralNão se aplicaNão se aplicaFora ponta",Mercado_Receita!$N$2:$N$987)</f>
        <v>0</v>
      </c>
      <c r="L27" s="12">
        <f>SUMIF(Mercado_Receita!$T$2:$T$987,"44440B2Energia horáriaRuralCooperativa de eletrificação ruralNão se aplicaNão se aplicaFora ponta",Mercado_Receita!$N$2:$N$987)</f>
        <v>0</v>
      </c>
      <c r="M27" s="12">
        <f>SUMIF(Mercado_Receita!$T$2:$T$987,"44470B2Energia horáriaRuralCooperativa de eletrificação ruralNão se aplicaNão se aplicaFora ponta",Mercado_Receita!$N$2:$N$987)</f>
        <v>0</v>
      </c>
      <c r="N27" s="12">
        <f>SUMIF(Mercado_Receita!$T$2:$T$987,"44501B2Energia horáriaRuralCooperativa de eletrificação ruralNão se aplicaNão se aplicaFora ponta",Mercado_Receita!$N$2:$N$987)</f>
        <v>0</v>
      </c>
      <c r="O27" s="12">
        <f>SUMIF(Mercado_Receita!$T$2:$T$987,"44531B2Energia horáriaRuralCooperativa de eletrificação ruralNão se aplicaNão se aplicaFora ponta",Mercado_Receita!$N$2:$N$987)</f>
        <v>0</v>
      </c>
      <c r="P27" s="12">
        <f>SUMIF(Mercado_Receita!$T$2:$T$987,"44562B2Energia horáriaRuralCooperativa de eletrificação ruralNão se aplicaNão se aplicaFora ponta",Mercado_Receita!$N$2:$N$987)</f>
        <v>0</v>
      </c>
      <c r="Q27" s="12">
        <f>SUMIF(Mercado_Receita!$T$2:$T$987,"44593B2Energia horáriaRuralCooperativa de eletrificação ruralNão se aplicaNão se aplicaFora ponta",Mercado_Receita!$N$2:$N$987)</f>
        <v>0</v>
      </c>
      <c r="R27" s="12">
        <f>SUMIF(Mercado_Receita!$T$2:$T$987,"44621B2Energia horáriaRuralCooperativa de eletrificação ruralNão se aplicaNão se aplicaFora ponta",Mercado_Receita!$N$2:$N$987)</f>
        <v>0</v>
      </c>
      <c r="S27" s="12">
        <f>SUMIF(Mercado_Receita!$T$2:$T$987,"44652B2Energia horáriaRuralCooperativa de eletrificação ruralNão se aplicaNão se aplicaFora ponta",Mercado_Receita!$N$2:$N$987)</f>
        <v>0</v>
      </c>
      <c r="T27" s="12">
        <f>SUMIF(Mercado_Receita!$T$2:$T$987,"44682B2Energia horáriaRuralCooperativa de eletrificação ruralNão se aplicaNão se aplicaFora ponta",Mercado_Receita!$N$2:$N$987)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32"/>
      <c r="B28" s="13" t="s">
        <v>74</v>
      </c>
      <c r="C28" s="13" t="s">
        <v>45</v>
      </c>
      <c r="D28" s="13" t="s">
        <v>87</v>
      </c>
      <c r="E28" s="13" t="s">
        <v>25</v>
      </c>
      <c r="F28" s="13" t="s">
        <v>25</v>
      </c>
      <c r="G28" s="12" t="s">
        <v>75</v>
      </c>
      <c r="H28" s="12" t="s">
        <v>71</v>
      </c>
      <c r="I28" s="12">
        <f>SUMIF(Mercado_Receita!$T$2:$T$987,"44348B2Energia convencionalRuralCooperativa de eletrificação ruralNão se aplicaNão se aplicaNão se aplica",Mercado_Receita!$N$2:$N$987)</f>
        <v>0</v>
      </c>
      <c r="J28" s="12">
        <f>SUMIF(Mercado_Receita!$T$2:$T$987,"44378B2Energia convencionalRuralCooperativa de eletrificação ruralNão se aplicaNão se aplicaNão se aplica",Mercado_Receita!$N$2:$N$987)</f>
        <v>0</v>
      </c>
      <c r="K28" s="12">
        <f>SUMIF(Mercado_Receita!$T$2:$T$987,"44409B2Energia convencionalRuralCooperativa de eletrificação ruralNão se aplicaNão se aplicaNão se aplica",Mercado_Receita!$N$2:$N$987)</f>
        <v>0</v>
      </c>
      <c r="L28" s="12">
        <f>SUMIF(Mercado_Receita!$T$2:$T$987,"44440B2Energia convencionalRuralCooperativa de eletrificação ruralNão se aplicaNão se aplicaNão se aplica",Mercado_Receita!$N$2:$N$987)</f>
        <v>0</v>
      </c>
      <c r="M28" s="12">
        <f>SUMIF(Mercado_Receita!$T$2:$T$987,"44470B2Energia convencionalRuralCooperativa de eletrificação ruralNão se aplicaNão se aplicaNão se aplica",Mercado_Receita!$N$2:$N$987)</f>
        <v>0</v>
      </c>
      <c r="N28" s="12">
        <f>SUMIF(Mercado_Receita!$T$2:$T$987,"44501B2Energia convencionalRuralCooperativa de eletrificação ruralNão se aplicaNão se aplicaNão se aplica",Mercado_Receita!$N$2:$N$987)</f>
        <v>0</v>
      </c>
      <c r="O28" s="12">
        <f>SUMIF(Mercado_Receita!$T$2:$T$987,"44531B2Energia convencionalRuralCooperativa de eletrificação ruralNão se aplicaNão se aplicaNão se aplica",Mercado_Receita!$N$2:$N$987)</f>
        <v>0</v>
      </c>
      <c r="P28" s="12">
        <f>SUMIF(Mercado_Receita!$T$2:$T$987,"44562B2Energia convencionalRuralCooperativa de eletrificação ruralNão se aplicaNão se aplicaNão se aplica",Mercado_Receita!$N$2:$N$987)</f>
        <v>0</v>
      </c>
      <c r="Q28" s="12">
        <f>SUMIF(Mercado_Receita!$T$2:$T$987,"44593B2Energia convencionalRuralCooperativa de eletrificação ruralNão se aplicaNão se aplicaNão se aplica",Mercado_Receita!$N$2:$N$987)</f>
        <v>0</v>
      </c>
      <c r="R28" s="12">
        <f>SUMIF(Mercado_Receita!$T$2:$T$987,"44621B2Energia convencionalRuralCooperativa de eletrificação ruralNão se aplicaNão se aplicaNão se aplica",Mercado_Receita!$N$2:$N$987)</f>
        <v>0</v>
      </c>
      <c r="S28" s="12">
        <f>SUMIF(Mercado_Receita!$T$2:$T$987,"44652B2Energia convencionalRuralCooperativa de eletrificação ruralNão se aplicaNão se aplicaNão se aplica",Mercado_Receita!$N$2:$N$987)</f>
        <v>0</v>
      </c>
      <c r="T28" s="12">
        <f>SUMIF(Mercado_Receita!$T$2:$T$987,"44682B2Energia convencionalRuralCooperativa de eletrificação ruralNão se aplicaNão se aplicaNão se aplica",Mercado_Receita!$N$2:$N$987)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32"/>
      <c r="B29" s="131" t="s">
        <v>70</v>
      </c>
      <c r="C29" s="131" t="s">
        <v>45</v>
      </c>
      <c r="D29" s="131" t="s">
        <v>88</v>
      </c>
      <c r="E29" s="131" t="s">
        <v>25</v>
      </c>
      <c r="F29" s="131" t="s">
        <v>25</v>
      </c>
      <c r="G29" s="12" t="s">
        <v>72</v>
      </c>
      <c r="H29" s="12" t="s">
        <v>71</v>
      </c>
      <c r="I29" s="12">
        <f>SUMIF(Mercado_Receita!$T$2:$T$987,"44348B2Energia horáriaRuralServiço público de irrigação ruralNão se aplicaNão se aplicaPonta",Mercado_Receita!$N$2:$N$987)</f>
        <v>0</v>
      </c>
      <c r="J29" s="12">
        <f>SUMIF(Mercado_Receita!$T$2:$T$987,"44378B2Energia horáriaRuralServiço público de irrigação ruralNão se aplicaNão se aplicaPonta",Mercado_Receita!$N$2:$N$987)</f>
        <v>0</v>
      </c>
      <c r="K29" s="12">
        <f>SUMIF(Mercado_Receita!$T$2:$T$987,"44409B2Energia horáriaRuralServiço público de irrigação ruralNão se aplicaNão se aplicaPonta",Mercado_Receita!$N$2:$N$987)</f>
        <v>0</v>
      </c>
      <c r="L29" s="12">
        <f>SUMIF(Mercado_Receita!$T$2:$T$987,"44440B2Energia horáriaRuralServiço público de irrigação ruralNão se aplicaNão se aplicaPonta",Mercado_Receita!$N$2:$N$987)</f>
        <v>0</v>
      </c>
      <c r="M29" s="12">
        <f>SUMIF(Mercado_Receita!$T$2:$T$987,"44470B2Energia horáriaRuralServiço público de irrigação ruralNão se aplicaNão se aplicaPonta",Mercado_Receita!$N$2:$N$987)</f>
        <v>0</v>
      </c>
      <c r="N29" s="12">
        <f>SUMIF(Mercado_Receita!$T$2:$T$987,"44501B2Energia horáriaRuralServiço público de irrigação ruralNão se aplicaNão se aplicaPonta",Mercado_Receita!$N$2:$N$987)</f>
        <v>0</v>
      </c>
      <c r="O29" s="12">
        <f>SUMIF(Mercado_Receita!$T$2:$T$987,"44531B2Energia horáriaRuralServiço público de irrigação ruralNão se aplicaNão se aplicaPonta",Mercado_Receita!$N$2:$N$987)</f>
        <v>0</v>
      </c>
      <c r="P29" s="12">
        <f>SUMIF(Mercado_Receita!$T$2:$T$987,"44562B2Energia horáriaRuralServiço público de irrigação ruralNão se aplicaNão se aplicaPonta",Mercado_Receita!$N$2:$N$987)</f>
        <v>0</v>
      </c>
      <c r="Q29" s="12">
        <f>SUMIF(Mercado_Receita!$T$2:$T$987,"44593B2Energia horáriaRuralServiço público de irrigação ruralNão se aplicaNão se aplicaPonta",Mercado_Receita!$N$2:$N$987)</f>
        <v>0</v>
      </c>
      <c r="R29" s="12">
        <f>SUMIF(Mercado_Receita!$T$2:$T$987,"44621B2Energia horáriaRuralServiço público de irrigação ruralNão se aplicaNão se aplicaPonta",Mercado_Receita!$N$2:$N$987)</f>
        <v>0</v>
      </c>
      <c r="S29" s="12">
        <f>SUMIF(Mercado_Receita!$T$2:$T$987,"44652B2Energia horáriaRuralServiço público de irrigação ruralNão se aplicaNão se aplicaPonta",Mercado_Receita!$N$2:$N$987)</f>
        <v>0</v>
      </c>
      <c r="T29" s="12">
        <f>SUMIF(Mercado_Receita!$T$2:$T$987,"44682B2Energia horáriaRuralServiço público de irrigação ruralNão se aplicaNão se aplicaPonta",Mercado_Receita!$N$2:$N$987)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32"/>
      <c r="B30" s="132"/>
      <c r="C30" s="132"/>
      <c r="D30" s="132"/>
      <c r="E30" s="132"/>
      <c r="F30" s="132"/>
      <c r="G30" s="12" t="s">
        <v>84</v>
      </c>
      <c r="H30" s="12" t="s">
        <v>71</v>
      </c>
      <c r="I30" s="12">
        <f>SUMIF(Mercado_Receita!$T$2:$T$987,"44348B2Energia horáriaRuralServiço público de irrigação ruralNão se aplicaNão se aplicaIntermediário",Mercado_Receita!$N$2:$N$987)</f>
        <v>0</v>
      </c>
      <c r="J30" s="12">
        <f>SUMIF(Mercado_Receita!$T$2:$T$987,"44378B2Energia horáriaRuralServiço público de irrigação ruralNão se aplicaNão se aplicaIntermediário",Mercado_Receita!$N$2:$N$987)</f>
        <v>0</v>
      </c>
      <c r="K30" s="12">
        <f>SUMIF(Mercado_Receita!$T$2:$T$987,"44409B2Energia horáriaRuralServiço público de irrigação ruralNão se aplicaNão se aplicaIntermediário",Mercado_Receita!$N$2:$N$987)</f>
        <v>0</v>
      </c>
      <c r="L30" s="12">
        <f>SUMIF(Mercado_Receita!$T$2:$T$987,"44440B2Energia horáriaRuralServiço público de irrigação ruralNão se aplicaNão se aplicaIntermediário",Mercado_Receita!$N$2:$N$987)</f>
        <v>0</v>
      </c>
      <c r="M30" s="12">
        <f>SUMIF(Mercado_Receita!$T$2:$T$987,"44470B2Energia horáriaRuralServiço público de irrigação ruralNão se aplicaNão se aplicaIntermediário",Mercado_Receita!$N$2:$N$987)</f>
        <v>0</v>
      </c>
      <c r="N30" s="12">
        <f>SUMIF(Mercado_Receita!$T$2:$T$987,"44501B2Energia horáriaRuralServiço público de irrigação ruralNão se aplicaNão se aplicaIntermediário",Mercado_Receita!$N$2:$N$987)</f>
        <v>0</v>
      </c>
      <c r="O30" s="12">
        <f>SUMIF(Mercado_Receita!$T$2:$T$987,"44531B2Energia horáriaRuralServiço público de irrigação ruralNão se aplicaNão se aplicaIntermediário",Mercado_Receita!$N$2:$N$987)</f>
        <v>0</v>
      </c>
      <c r="P30" s="12">
        <f>SUMIF(Mercado_Receita!$T$2:$T$987,"44562B2Energia horáriaRuralServiço público de irrigação ruralNão se aplicaNão se aplicaIntermediário",Mercado_Receita!$N$2:$N$987)</f>
        <v>0</v>
      </c>
      <c r="Q30" s="12">
        <f>SUMIF(Mercado_Receita!$T$2:$T$987,"44593B2Energia horáriaRuralServiço público de irrigação ruralNão se aplicaNão se aplicaIntermediário",Mercado_Receita!$N$2:$N$987)</f>
        <v>0</v>
      </c>
      <c r="R30" s="12">
        <f>SUMIF(Mercado_Receita!$T$2:$T$987,"44621B2Energia horáriaRuralServiço público de irrigação ruralNão se aplicaNão se aplicaIntermediário",Mercado_Receita!$N$2:$N$987)</f>
        <v>0</v>
      </c>
      <c r="S30" s="12">
        <f>SUMIF(Mercado_Receita!$T$2:$T$987,"44652B2Energia horáriaRuralServiço público de irrigação ruralNão se aplicaNão se aplicaIntermediário",Mercado_Receita!$N$2:$N$987)</f>
        <v>0</v>
      </c>
      <c r="T30" s="12">
        <f>SUMIF(Mercado_Receita!$T$2:$T$987,"44682B2Energia horáriaRuralServiço público de irrigação ruralNão se aplicaNão se aplicaIntermediário",Mercado_Receita!$N$2:$N$987)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132"/>
      <c r="B31" s="132"/>
      <c r="C31" s="132"/>
      <c r="D31" s="132"/>
      <c r="E31" s="132"/>
      <c r="F31" s="132"/>
      <c r="G31" s="12" t="s">
        <v>73</v>
      </c>
      <c r="H31" s="12" t="s">
        <v>71</v>
      </c>
      <c r="I31" s="12">
        <f>SUMIF(Mercado_Receita!$T$2:$T$987,"44348B2Energia horáriaRuralServiço público de irrigação ruralNão se aplicaNão se aplicaFora ponta",Mercado_Receita!$N$2:$N$987)</f>
        <v>0</v>
      </c>
      <c r="J31" s="12">
        <f>SUMIF(Mercado_Receita!$T$2:$T$987,"44378B2Energia horáriaRuralServiço público de irrigação ruralNão se aplicaNão se aplicaFora ponta",Mercado_Receita!$N$2:$N$987)</f>
        <v>0</v>
      </c>
      <c r="K31" s="12">
        <f>SUMIF(Mercado_Receita!$T$2:$T$987,"44409B2Energia horáriaRuralServiço público de irrigação ruralNão se aplicaNão se aplicaFora ponta",Mercado_Receita!$N$2:$N$987)</f>
        <v>0</v>
      </c>
      <c r="L31" s="12">
        <f>SUMIF(Mercado_Receita!$T$2:$T$987,"44440B2Energia horáriaRuralServiço público de irrigação ruralNão se aplicaNão se aplicaFora ponta",Mercado_Receita!$N$2:$N$987)</f>
        <v>0</v>
      </c>
      <c r="M31" s="12">
        <f>SUMIF(Mercado_Receita!$T$2:$T$987,"44470B2Energia horáriaRuralServiço público de irrigação ruralNão se aplicaNão se aplicaFora ponta",Mercado_Receita!$N$2:$N$987)</f>
        <v>0</v>
      </c>
      <c r="N31" s="12">
        <f>SUMIF(Mercado_Receita!$T$2:$T$987,"44501B2Energia horáriaRuralServiço público de irrigação ruralNão se aplicaNão se aplicaFora ponta",Mercado_Receita!$N$2:$N$987)</f>
        <v>0</v>
      </c>
      <c r="O31" s="12">
        <f>SUMIF(Mercado_Receita!$T$2:$T$987,"44531B2Energia horáriaRuralServiço público de irrigação ruralNão se aplicaNão se aplicaFora ponta",Mercado_Receita!$N$2:$N$987)</f>
        <v>0</v>
      </c>
      <c r="P31" s="12">
        <f>SUMIF(Mercado_Receita!$T$2:$T$987,"44562B2Energia horáriaRuralServiço público de irrigação ruralNão se aplicaNão se aplicaFora ponta",Mercado_Receita!$N$2:$N$987)</f>
        <v>0</v>
      </c>
      <c r="Q31" s="12">
        <f>SUMIF(Mercado_Receita!$T$2:$T$987,"44593B2Energia horáriaRuralServiço público de irrigação ruralNão se aplicaNão se aplicaFora ponta",Mercado_Receita!$N$2:$N$987)</f>
        <v>0</v>
      </c>
      <c r="R31" s="12">
        <f>SUMIF(Mercado_Receita!$T$2:$T$987,"44621B2Energia horáriaRuralServiço público de irrigação ruralNão se aplicaNão se aplicaFora ponta",Mercado_Receita!$N$2:$N$987)</f>
        <v>0</v>
      </c>
      <c r="S31" s="12">
        <f>SUMIF(Mercado_Receita!$T$2:$T$987,"44652B2Energia horáriaRuralServiço público de irrigação ruralNão se aplicaNão se aplicaFora ponta",Mercado_Receita!$N$2:$N$987)</f>
        <v>0</v>
      </c>
      <c r="T31" s="12">
        <f>SUMIF(Mercado_Receita!$T$2:$T$987,"44682B2Energia horáriaRuralServiço público de irrigação ruralNão se aplicaNão se aplicaFora ponta",Mercado_Receita!$N$2:$N$987)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32"/>
      <c r="B32" s="13" t="s">
        <v>74</v>
      </c>
      <c r="C32" s="13" t="s">
        <v>45</v>
      </c>
      <c r="D32" s="13" t="s">
        <v>88</v>
      </c>
      <c r="E32" s="13" t="s">
        <v>25</v>
      </c>
      <c r="F32" s="13" t="s">
        <v>25</v>
      </c>
      <c r="G32" s="12" t="s">
        <v>75</v>
      </c>
      <c r="H32" s="12" t="s">
        <v>71</v>
      </c>
      <c r="I32" s="12">
        <f>SUMIF(Mercado_Receita!$T$2:$T$987,"44348B2Energia convencionalRuralServiço público de irrigação ruralNão se aplicaNão se aplicaNão se aplica",Mercado_Receita!$N$2:$N$987)</f>
        <v>0</v>
      </c>
      <c r="J32" s="12">
        <f>SUMIF(Mercado_Receita!$T$2:$T$987,"44378B2Energia convencionalRuralServiço público de irrigação ruralNão se aplicaNão se aplicaNão se aplica",Mercado_Receita!$N$2:$N$987)</f>
        <v>0</v>
      </c>
      <c r="K32" s="12">
        <f>SUMIF(Mercado_Receita!$T$2:$T$987,"44409B2Energia convencionalRuralServiço público de irrigação ruralNão se aplicaNão se aplicaNão se aplica",Mercado_Receita!$N$2:$N$987)</f>
        <v>0</v>
      </c>
      <c r="L32" s="12">
        <f>SUMIF(Mercado_Receita!$T$2:$T$987,"44440B2Energia convencionalRuralServiço público de irrigação ruralNão se aplicaNão se aplicaNão se aplica",Mercado_Receita!$N$2:$N$987)</f>
        <v>0</v>
      </c>
      <c r="M32" s="12">
        <f>SUMIF(Mercado_Receita!$T$2:$T$987,"44470B2Energia convencionalRuralServiço público de irrigação ruralNão se aplicaNão se aplicaNão se aplica",Mercado_Receita!$N$2:$N$987)</f>
        <v>0</v>
      </c>
      <c r="N32" s="12">
        <f>SUMIF(Mercado_Receita!$T$2:$T$987,"44501B2Energia convencionalRuralServiço público de irrigação ruralNão se aplicaNão se aplicaNão se aplica",Mercado_Receita!$N$2:$N$987)</f>
        <v>0</v>
      </c>
      <c r="O32" s="12">
        <f>SUMIF(Mercado_Receita!$T$2:$T$987,"44531B2Energia convencionalRuralServiço público de irrigação ruralNão se aplicaNão se aplicaNão se aplica",Mercado_Receita!$N$2:$N$987)</f>
        <v>0</v>
      </c>
      <c r="P32" s="12">
        <f>SUMIF(Mercado_Receita!$T$2:$T$987,"44562B2Energia convencionalRuralServiço público de irrigação ruralNão se aplicaNão se aplicaNão se aplica",Mercado_Receita!$N$2:$N$987)</f>
        <v>0</v>
      </c>
      <c r="Q32" s="12">
        <f>SUMIF(Mercado_Receita!$T$2:$T$987,"44593B2Energia convencionalRuralServiço público de irrigação ruralNão se aplicaNão se aplicaNão se aplica",Mercado_Receita!$N$2:$N$987)</f>
        <v>0</v>
      </c>
      <c r="R32" s="12">
        <f>SUMIF(Mercado_Receita!$T$2:$T$987,"44621B2Energia convencionalRuralServiço público de irrigação ruralNão se aplicaNão se aplicaNão se aplica",Mercado_Receita!$N$2:$N$987)</f>
        <v>0</v>
      </c>
      <c r="S32" s="12">
        <f>SUMIF(Mercado_Receita!$T$2:$T$987,"44652B2Energia convencionalRuralServiço público de irrigação ruralNão se aplicaNão se aplicaNão se aplica",Mercado_Receita!$N$2:$N$987)</f>
        <v>0</v>
      </c>
      <c r="T32" s="12">
        <f>SUMIF(Mercado_Receita!$T$2:$T$987,"44682B2Energia convencionalRuralServiço público de irrigação ruralNão se aplicaNão se aplicaNão se aplica",Mercado_Receita!$N$2:$N$987)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32"/>
      <c r="B33" s="131" t="s">
        <v>85</v>
      </c>
      <c r="C33" s="131" t="s">
        <v>45</v>
      </c>
      <c r="D33" s="13" t="s">
        <v>25</v>
      </c>
      <c r="E33" s="13" t="s">
        <v>25</v>
      </c>
      <c r="F33" s="13" t="s">
        <v>25</v>
      </c>
      <c r="G33" s="12" t="s">
        <v>75</v>
      </c>
      <c r="H33" s="12" t="s">
        <v>71</v>
      </c>
      <c r="I33" s="12">
        <f>SUMIF(Mercado_Receita!$T$2:$T$987,"44348B2Energia convencional pré-pagamentoRuralNão se aplicaNão se aplicaNão se aplicaNão se aplica",Mercado_Receita!$N$2:$N$987)</f>
        <v>0</v>
      </c>
      <c r="J33" s="12">
        <f>SUMIF(Mercado_Receita!$T$2:$T$987,"44378B2Energia convencional pré-pagamentoRuralNão se aplicaNão se aplicaNão se aplicaNão se aplica",Mercado_Receita!$N$2:$N$987)</f>
        <v>0</v>
      </c>
      <c r="K33" s="12">
        <f>SUMIF(Mercado_Receita!$T$2:$T$987,"44409B2Energia convencional pré-pagamentoRuralNão se aplicaNão se aplicaNão se aplicaNão se aplica",Mercado_Receita!$N$2:$N$987)</f>
        <v>0</v>
      </c>
      <c r="L33" s="12">
        <f>SUMIF(Mercado_Receita!$T$2:$T$987,"44440B2Energia convencional pré-pagamentoRuralNão se aplicaNão se aplicaNão se aplicaNão se aplica",Mercado_Receita!$N$2:$N$987)</f>
        <v>0</v>
      </c>
      <c r="M33" s="12">
        <f>SUMIF(Mercado_Receita!$T$2:$T$987,"44470B2Energia convencional pré-pagamentoRuralNão se aplicaNão se aplicaNão se aplicaNão se aplica",Mercado_Receita!$N$2:$N$987)</f>
        <v>0</v>
      </c>
      <c r="N33" s="12">
        <f>SUMIF(Mercado_Receita!$T$2:$T$987,"44501B2Energia convencional pré-pagamentoRuralNão se aplicaNão se aplicaNão se aplicaNão se aplica",Mercado_Receita!$N$2:$N$987)</f>
        <v>0</v>
      </c>
      <c r="O33" s="12">
        <f>SUMIF(Mercado_Receita!$T$2:$T$987,"44531B2Energia convencional pré-pagamentoRuralNão se aplicaNão se aplicaNão se aplicaNão se aplica",Mercado_Receita!$N$2:$N$987)</f>
        <v>0</v>
      </c>
      <c r="P33" s="12">
        <f>SUMIF(Mercado_Receita!$T$2:$T$987,"44562B2Energia convencional pré-pagamentoRuralNão se aplicaNão se aplicaNão se aplicaNão se aplica",Mercado_Receita!$N$2:$N$987)</f>
        <v>0</v>
      </c>
      <c r="Q33" s="12">
        <f>SUMIF(Mercado_Receita!$T$2:$T$987,"44593B2Energia convencional pré-pagamentoRuralNão se aplicaNão se aplicaNão se aplicaNão se aplica",Mercado_Receita!$N$2:$N$987)</f>
        <v>0</v>
      </c>
      <c r="R33" s="12">
        <f>SUMIF(Mercado_Receita!$T$2:$T$987,"44621B2Energia convencional pré-pagamentoRuralNão se aplicaNão se aplicaNão se aplicaNão se aplica",Mercado_Receita!$N$2:$N$987)</f>
        <v>0</v>
      </c>
      <c r="S33" s="12">
        <f>SUMIF(Mercado_Receita!$T$2:$T$987,"44652B2Energia convencional pré-pagamentoRuralNão se aplicaNão se aplicaNão se aplicaNão se aplica",Mercado_Receita!$N$2:$N$987)</f>
        <v>0</v>
      </c>
      <c r="T33" s="12">
        <f>SUMIF(Mercado_Receita!$T$2:$T$987,"44682B2Energia convencional pré-pagamentoRuralNão se aplicaNão se aplicaNão se aplicaNão se aplica",Mercado_Receita!$N$2:$N$987)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32"/>
      <c r="B34" s="132"/>
      <c r="C34" s="132"/>
      <c r="D34" s="13" t="s">
        <v>87</v>
      </c>
      <c r="E34" s="13" t="s">
        <v>25</v>
      </c>
      <c r="F34" s="13" t="s">
        <v>25</v>
      </c>
      <c r="G34" s="12" t="s">
        <v>75</v>
      </c>
      <c r="H34" s="12" t="s">
        <v>71</v>
      </c>
      <c r="I34" s="12">
        <f>SUMIF(Mercado_Receita!$T$2:$T$987,"44348B2Energia convencional pré-pagamentoRuralCooperativa de eletrificação ruralNão se aplicaNão se aplicaNão se aplica",Mercado_Receita!$N$2:$N$987)</f>
        <v>0</v>
      </c>
      <c r="J34" s="12">
        <f>SUMIF(Mercado_Receita!$T$2:$T$987,"44378B2Energia convencional pré-pagamentoRuralCooperativa de eletrificação ruralNão se aplicaNão se aplicaNão se aplica",Mercado_Receita!$N$2:$N$987)</f>
        <v>0</v>
      </c>
      <c r="K34" s="12">
        <f>SUMIF(Mercado_Receita!$T$2:$T$987,"44409B2Energia convencional pré-pagamentoRuralCooperativa de eletrificação ruralNão se aplicaNão se aplicaNão se aplica",Mercado_Receita!$N$2:$N$987)</f>
        <v>0</v>
      </c>
      <c r="L34" s="12">
        <f>SUMIF(Mercado_Receita!$T$2:$T$987,"44440B2Energia convencional pré-pagamentoRuralCooperativa de eletrificação ruralNão se aplicaNão se aplicaNão se aplica",Mercado_Receita!$N$2:$N$987)</f>
        <v>0</v>
      </c>
      <c r="M34" s="12">
        <f>SUMIF(Mercado_Receita!$T$2:$T$987,"44470B2Energia convencional pré-pagamentoRuralCooperativa de eletrificação ruralNão se aplicaNão se aplicaNão se aplica",Mercado_Receita!$N$2:$N$987)</f>
        <v>0</v>
      </c>
      <c r="N34" s="12">
        <f>SUMIF(Mercado_Receita!$T$2:$T$987,"44501B2Energia convencional pré-pagamentoRuralCooperativa de eletrificação ruralNão se aplicaNão se aplicaNão se aplica",Mercado_Receita!$N$2:$N$987)</f>
        <v>0</v>
      </c>
      <c r="O34" s="12">
        <f>SUMIF(Mercado_Receita!$T$2:$T$987,"44531B2Energia convencional pré-pagamentoRuralCooperativa de eletrificação ruralNão se aplicaNão se aplicaNão se aplica",Mercado_Receita!$N$2:$N$987)</f>
        <v>0</v>
      </c>
      <c r="P34" s="12">
        <f>SUMIF(Mercado_Receita!$T$2:$T$987,"44562B2Energia convencional pré-pagamentoRuralCooperativa de eletrificação ruralNão se aplicaNão se aplicaNão se aplica",Mercado_Receita!$N$2:$N$987)</f>
        <v>0</v>
      </c>
      <c r="Q34" s="12">
        <f>SUMIF(Mercado_Receita!$T$2:$T$987,"44593B2Energia convencional pré-pagamentoRuralCooperativa de eletrificação ruralNão se aplicaNão se aplicaNão se aplica",Mercado_Receita!$N$2:$N$987)</f>
        <v>0</v>
      </c>
      <c r="R34" s="12">
        <f>SUMIF(Mercado_Receita!$T$2:$T$987,"44621B2Energia convencional pré-pagamentoRuralCooperativa de eletrificação ruralNão se aplicaNão se aplicaNão se aplica",Mercado_Receita!$N$2:$N$987)</f>
        <v>0</v>
      </c>
      <c r="S34" s="12">
        <f>SUMIF(Mercado_Receita!$T$2:$T$987,"44652B2Energia convencional pré-pagamentoRuralCooperativa de eletrificação ruralNão se aplicaNão se aplicaNão se aplica",Mercado_Receita!$N$2:$N$987)</f>
        <v>0</v>
      </c>
      <c r="T34" s="12">
        <f>SUMIF(Mercado_Receita!$T$2:$T$987,"44682B2Energia convencional pré-pagamentoRuralCooperativa de eletrificação ruralNão se aplicaNão se aplicaNão se aplica",Mercado_Receita!$N$2:$N$987)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32"/>
      <c r="B35" s="132"/>
      <c r="C35" s="132"/>
      <c r="D35" s="13" t="s">
        <v>88</v>
      </c>
      <c r="E35" s="13" t="s">
        <v>25</v>
      </c>
      <c r="F35" s="13" t="s">
        <v>25</v>
      </c>
      <c r="G35" s="12" t="s">
        <v>75</v>
      </c>
      <c r="H35" s="12" t="s">
        <v>71</v>
      </c>
      <c r="I35" s="12">
        <f>SUMIF(Mercado_Receita!$T$2:$T$987,"44348B2Energia convencional pré-pagamentoRuralServiço público de irrigação ruralNão se aplicaNão se aplicaNão se aplica",Mercado_Receita!$N$2:$N$987)</f>
        <v>0</v>
      </c>
      <c r="J35" s="12">
        <f>SUMIF(Mercado_Receita!$T$2:$T$987,"44378B2Energia convencional pré-pagamentoRuralServiço público de irrigação ruralNão se aplicaNão se aplicaNão se aplica",Mercado_Receita!$N$2:$N$987)</f>
        <v>0</v>
      </c>
      <c r="K35" s="12">
        <f>SUMIF(Mercado_Receita!$T$2:$T$987,"44409B2Energia convencional pré-pagamentoRuralServiço público de irrigação ruralNão se aplicaNão se aplicaNão se aplica",Mercado_Receita!$N$2:$N$987)</f>
        <v>0</v>
      </c>
      <c r="L35" s="12">
        <f>SUMIF(Mercado_Receita!$T$2:$T$987,"44440B2Energia convencional pré-pagamentoRuralServiço público de irrigação ruralNão se aplicaNão se aplicaNão se aplica",Mercado_Receita!$N$2:$N$987)</f>
        <v>0</v>
      </c>
      <c r="M35" s="12">
        <f>SUMIF(Mercado_Receita!$T$2:$T$987,"44470B2Energia convencional pré-pagamentoRuralServiço público de irrigação ruralNão se aplicaNão se aplicaNão se aplica",Mercado_Receita!$N$2:$N$987)</f>
        <v>0</v>
      </c>
      <c r="N35" s="12">
        <f>SUMIF(Mercado_Receita!$T$2:$T$987,"44501B2Energia convencional pré-pagamentoRuralServiço público de irrigação ruralNão se aplicaNão se aplicaNão se aplica",Mercado_Receita!$N$2:$N$987)</f>
        <v>0</v>
      </c>
      <c r="O35" s="12">
        <f>SUMIF(Mercado_Receita!$T$2:$T$987,"44531B2Energia convencional pré-pagamentoRuralServiço público de irrigação ruralNão se aplicaNão se aplicaNão se aplica",Mercado_Receita!$N$2:$N$987)</f>
        <v>0</v>
      </c>
      <c r="P35" s="12">
        <f>SUMIF(Mercado_Receita!$T$2:$T$987,"44562B2Energia convencional pré-pagamentoRuralServiço público de irrigação ruralNão se aplicaNão se aplicaNão se aplica",Mercado_Receita!$N$2:$N$987)</f>
        <v>0</v>
      </c>
      <c r="Q35" s="12">
        <f>SUMIF(Mercado_Receita!$T$2:$T$987,"44593B2Energia convencional pré-pagamentoRuralServiço público de irrigação ruralNão se aplicaNão se aplicaNão se aplica",Mercado_Receita!$N$2:$N$987)</f>
        <v>0</v>
      </c>
      <c r="R35" s="12">
        <f>SUMIF(Mercado_Receita!$T$2:$T$987,"44621B2Energia convencional pré-pagamentoRuralServiço público de irrigação ruralNão se aplicaNão se aplicaNão se aplica",Mercado_Receita!$N$2:$N$987)</f>
        <v>0</v>
      </c>
      <c r="S35" s="12">
        <f>SUMIF(Mercado_Receita!$T$2:$T$987,"44652B2Energia convencional pré-pagamentoRuralServiço público de irrigação ruralNão se aplicaNão se aplicaNão se aplica",Mercado_Receita!$N$2:$N$987)</f>
        <v>0</v>
      </c>
      <c r="T35" s="12">
        <f>SUMIF(Mercado_Receita!$T$2:$T$987,"44682B2Energia convencional pré-pagamentoRuralServiço público de irrigação ruralNão se aplicaNão se aplicaNão se aplica",Mercado_Receita!$N$2:$N$987)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31" t="s">
        <v>39</v>
      </c>
      <c r="B36" s="131" t="s">
        <v>70</v>
      </c>
      <c r="C36" s="131" t="s">
        <v>25</v>
      </c>
      <c r="D36" s="131" t="s">
        <v>25</v>
      </c>
      <c r="E36" s="131" t="s">
        <v>25</v>
      </c>
      <c r="F36" s="131" t="s">
        <v>25</v>
      </c>
      <c r="G36" s="12" t="s">
        <v>72</v>
      </c>
      <c r="H36" s="12" t="s">
        <v>71</v>
      </c>
      <c r="I36" s="12">
        <f>SUMIF(Mercado_Receita!$T$2:$T$987,"44348B3Energia horáriaNão se aplicaNão se aplicaNão se aplicaNão se aplicaPonta",Mercado_Receita!$N$2:$N$987)</f>
        <v>2.9339999999999997</v>
      </c>
      <c r="J36" s="12">
        <f>SUMIF(Mercado_Receita!$T$2:$T$987,"44378B3Energia horáriaNão se aplicaNão se aplicaNão se aplicaNão se aplicaPonta",Mercado_Receita!$N$2:$N$987)</f>
        <v>3.1240000000000001</v>
      </c>
      <c r="K36" s="12">
        <f>SUMIF(Mercado_Receita!$T$2:$T$987,"44409B3Energia horáriaNão se aplicaNão se aplicaNão se aplicaNão se aplicaPonta",Mercado_Receita!$N$2:$N$987)</f>
        <v>3.1550000000000002</v>
      </c>
      <c r="L36" s="12">
        <f>SUMIF(Mercado_Receita!$T$2:$T$987,"44440B3Energia horáriaNão se aplicaNão se aplicaNão se aplicaNão se aplicaPonta",Mercado_Receita!$N$2:$N$987)</f>
        <v>3.0420000000000003</v>
      </c>
      <c r="M36" s="12">
        <f>SUMIF(Mercado_Receita!$T$2:$T$987,"44470B3Energia horáriaNão se aplicaNão se aplicaNão se aplicaNão se aplicaPonta",Mercado_Receita!$N$2:$N$987)</f>
        <v>3.7480000000000002</v>
      </c>
      <c r="N36" s="12">
        <f>SUMIF(Mercado_Receita!$T$2:$T$987,"44501B3Energia horáriaNão se aplicaNão se aplicaNão se aplicaNão se aplicaPonta",Mercado_Receita!$N$2:$N$987)</f>
        <v>4.4020000000000001</v>
      </c>
      <c r="O36" s="12">
        <f>SUMIF(Mercado_Receita!$T$2:$T$987,"44531B3Energia horáriaNão se aplicaNão se aplicaNão se aplicaNão se aplicaPonta",Mercado_Receita!$N$2:$N$987)</f>
        <v>5.492</v>
      </c>
      <c r="P36" s="12">
        <f>SUMIF(Mercado_Receita!$T$2:$T$987,"44562B3Energia horáriaNão se aplicaNão se aplicaNão se aplicaNão se aplicaPonta",Mercado_Receita!$N$2:$N$987)</f>
        <v>3.4990000000000001</v>
      </c>
      <c r="Q36" s="12">
        <f>SUMIF(Mercado_Receita!$T$2:$T$987,"44593B3Energia horáriaNão se aplicaNão se aplicaNão se aplicaNão se aplicaPonta",Mercado_Receita!$N$2:$N$987)</f>
        <v>3.9980000000000002</v>
      </c>
      <c r="R36" s="12">
        <f>SUMIF(Mercado_Receita!$T$2:$T$987,"44621B3Energia horáriaNão se aplicaNão se aplicaNão se aplicaNão se aplicaPonta",Mercado_Receita!$N$2:$N$987)</f>
        <v>3.4039999999999999</v>
      </c>
      <c r="S36" s="12">
        <f>SUMIF(Mercado_Receita!$T$2:$T$987,"44652B3Energia horáriaNão se aplicaNão se aplicaNão se aplicaNão se aplicaPonta",Mercado_Receita!$N$2:$N$987)</f>
        <v>3.4490000000000003</v>
      </c>
      <c r="T36" s="12">
        <f>SUMIF(Mercado_Receita!$T$2:$T$987,"44682B3Energia horáriaNão se aplicaNão se aplicaNão se aplicaNão se aplicaPonta",Mercado_Receita!$N$2:$N$987)</f>
        <v>2.9870000000000001</v>
      </c>
      <c r="U36" s="12">
        <f t="shared" si="0"/>
        <v>43.234000000000002</v>
      </c>
      <c r="V36" s="12"/>
      <c r="W36" s="12"/>
    </row>
    <row r="37" spans="1:23" ht="11.25" customHeight="1" x14ac:dyDescent="0.25">
      <c r="A37" s="132"/>
      <c r="B37" s="132"/>
      <c r="C37" s="132"/>
      <c r="D37" s="132"/>
      <c r="E37" s="132"/>
      <c r="F37" s="132"/>
      <c r="G37" s="12" t="s">
        <v>84</v>
      </c>
      <c r="H37" s="12" t="s">
        <v>71</v>
      </c>
      <c r="I37" s="12">
        <f>SUMIF(Mercado_Receita!$T$2:$T$987,"44348B3Energia horáriaNão se aplicaNão se aplicaNão se aplicaNão se aplicaIntermediário",Mercado_Receita!$N$2:$N$987)</f>
        <v>2.129</v>
      </c>
      <c r="J37" s="12">
        <f>SUMIF(Mercado_Receita!$T$2:$T$987,"44378B3Energia horáriaNão se aplicaNão se aplicaNão se aplicaNão se aplicaIntermediário",Mercado_Receita!$N$2:$N$987)</f>
        <v>2.2370000000000001</v>
      </c>
      <c r="K37" s="12">
        <f>SUMIF(Mercado_Receita!$T$2:$T$987,"44409B3Energia horáriaNão se aplicaNão se aplicaNão se aplicaNão se aplicaIntermediário",Mercado_Receita!$N$2:$N$987)</f>
        <v>2.2510000000000003</v>
      </c>
      <c r="L37" s="12">
        <f>SUMIF(Mercado_Receita!$T$2:$T$987,"44440B3Energia horáriaNão se aplicaNão se aplicaNão se aplicaNão se aplicaIntermediário",Mercado_Receita!$N$2:$N$987)</f>
        <v>2.3569999999999998</v>
      </c>
      <c r="M37" s="12">
        <f>SUMIF(Mercado_Receita!$T$2:$T$987,"44470B3Energia horáriaNão se aplicaNão se aplicaNão se aplicaNão se aplicaIntermediário",Mercado_Receita!$N$2:$N$987)</f>
        <v>2.2890000000000001</v>
      </c>
      <c r="N37" s="12">
        <f>SUMIF(Mercado_Receita!$T$2:$T$987,"44501B3Energia horáriaNão se aplicaNão se aplicaNão se aplicaNão se aplicaIntermediário",Mercado_Receita!$N$2:$N$987)</f>
        <v>2.2319999999999998</v>
      </c>
      <c r="O37" s="12">
        <f>SUMIF(Mercado_Receita!$T$2:$T$987,"44531B3Energia horáriaNão se aplicaNão se aplicaNão se aplicaNão se aplicaIntermediário",Mercado_Receita!$N$2:$N$987)</f>
        <v>2.508</v>
      </c>
      <c r="P37" s="12">
        <f>SUMIF(Mercado_Receita!$T$2:$T$987,"44562B3Energia horáriaNão se aplicaNão se aplicaNão se aplicaNão se aplicaIntermediário",Mercado_Receita!$N$2:$N$987)</f>
        <v>2.6190000000000002</v>
      </c>
      <c r="Q37" s="12">
        <f>SUMIF(Mercado_Receita!$T$2:$T$987,"44593B3Energia horáriaNão se aplicaNão se aplicaNão se aplicaNão se aplicaIntermediário",Mercado_Receita!$N$2:$N$987)</f>
        <v>3.1069999999999998</v>
      </c>
      <c r="R37" s="12">
        <f>SUMIF(Mercado_Receita!$T$2:$T$987,"44621B3Energia horáriaNão se aplicaNão se aplicaNão se aplicaNão se aplicaIntermediário",Mercado_Receita!$N$2:$N$987)</f>
        <v>2.6110000000000002</v>
      </c>
      <c r="S37" s="12">
        <f>SUMIF(Mercado_Receita!$T$2:$T$987,"44652B3Energia horáriaNão se aplicaNão se aplicaNão se aplicaNão se aplicaIntermediário",Mercado_Receita!$N$2:$N$987)</f>
        <v>2.234</v>
      </c>
      <c r="T37" s="12">
        <f>SUMIF(Mercado_Receita!$T$2:$T$987,"44682B3Energia horáriaNão se aplicaNão se aplicaNão se aplicaNão se aplicaIntermediário",Mercado_Receita!$N$2:$N$987)</f>
        <v>2.2610000000000001</v>
      </c>
      <c r="U37" s="12">
        <f t="shared" si="0"/>
        <v>28.834999999999997</v>
      </c>
      <c r="V37" s="12"/>
      <c r="W37" s="12"/>
    </row>
    <row r="38" spans="1:23" ht="11.25" customHeight="1" x14ac:dyDescent="0.25">
      <c r="A38" s="132"/>
      <c r="B38" s="132"/>
      <c r="C38" s="132"/>
      <c r="D38" s="132"/>
      <c r="E38" s="132"/>
      <c r="F38" s="132"/>
      <c r="G38" s="12" t="s">
        <v>73</v>
      </c>
      <c r="H38" s="12" t="s">
        <v>71</v>
      </c>
      <c r="I38" s="12">
        <f>SUMIF(Mercado_Receita!$T$2:$T$987,"44348B3Energia horáriaNão se aplicaNão se aplicaNão se aplicaNão se aplicaFora ponta",Mercado_Receita!$N$2:$N$987)</f>
        <v>32.473999999999997</v>
      </c>
      <c r="J38" s="12">
        <f>SUMIF(Mercado_Receita!$T$2:$T$987,"44378B3Energia horáriaNão se aplicaNão se aplicaNão se aplicaNão se aplicaFora ponta",Mercado_Receita!$N$2:$N$987)</f>
        <v>34.158000000000001</v>
      </c>
      <c r="K38" s="12">
        <f>SUMIF(Mercado_Receita!$T$2:$T$987,"44409B3Energia horáriaNão se aplicaNão se aplicaNão se aplicaNão se aplicaFora ponta",Mercado_Receita!$N$2:$N$987)</f>
        <v>34.874000000000002</v>
      </c>
      <c r="L38" s="12">
        <f>SUMIF(Mercado_Receita!$T$2:$T$987,"44440B3Energia horáriaNão se aplicaNão se aplicaNão se aplicaNão se aplicaFora ponta",Mercado_Receita!$N$2:$N$987)</f>
        <v>36.933999999999997</v>
      </c>
      <c r="M38" s="12">
        <f>SUMIF(Mercado_Receita!$T$2:$T$987,"44470B3Energia horáriaNão se aplicaNão se aplicaNão se aplicaNão se aplicaFora ponta",Mercado_Receita!$N$2:$N$987)</f>
        <v>37.585000000000001</v>
      </c>
      <c r="N38" s="12">
        <f>SUMIF(Mercado_Receita!$T$2:$T$987,"44501B3Energia horáriaNão se aplicaNão se aplicaNão se aplicaNão se aplicaFora ponta",Mercado_Receita!$N$2:$N$987)</f>
        <v>36.994</v>
      </c>
      <c r="O38" s="12">
        <f>SUMIF(Mercado_Receita!$T$2:$T$987,"44531B3Energia horáriaNão se aplicaNão se aplicaNão se aplicaNão se aplicaFora ponta",Mercado_Receita!$N$2:$N$987)</f>
        <v>41.342999999999996</v>
      </c>
      <c r="P38" s="12">
        <f>SUMIF(Mercado_Receita!$T$2:$T$987,"44562B3Energia horáriaNão se aplicaNão se aplicaNão se aplicaNão se aplicaFora ponta",Mercado_Receita!$N$2:$N$987)</f>
        <v>37.207000000000001</v>
      </c>
      <c r="Q38" s="12">
        <f>SUMIF(Mercado_Receita!$T$2:$T$987,"44593B3Energia horáriaNão se aplicaNão se aplicaNão se aplicaNão se aplicaFora ponta",Mercado_Receita!$N$2:$N$987)</f>
        <v>43.136000000000003</v>
      </c>
      <c r="R38" s="12">
        <f>SUMIF(Mercado_Receita!$T$2:$T$987,"44621B3Energia horáriaNão se aplicaNão se aplicaNão se aplicaNão se aplicaFora ponta",Mercado_Receita!$N$2:$N$987)</f>
        <v>39.404000000000003</v>
      </c>
      <c r="S38" s="12">
        <f>SUMIF(Mercado_Receita!$T$2:$T$987,"44652B3Energia horáriaNão se aplicaNão se aplicaNão se aplicaNão se aplicaFora ponta",Mercado_Receita!$N$2:$N$987)</f>
        <v>33.091000000000001</v>
      </c>
      <c r="T38" s="12">
        <f>SUMIF(Mercado_Receita!$T$2:$T$987,"44682B3Energia horáriaNão se aplicaNão se aplicaNão se aplicaNão se aplicaFora ponta",Mercado_Receita!$N$2:$N$987)</f>
        <v>34.474000000000004</v>
      </c>
      <c r="U38" s="12">
        <f t="shared" si="0"/>
        <v>441.67400000000004</v>
      </c>
      <c r="V38" s="12"/>
      <c r="W38" s="12"/>
    </row>
    <row r="39" spans="1:23" ht="11.25" customHeight="1" x14ac:dyDescent="0.25">
      <c r="A39" s="132"/>
      <c r="B39" s="13" t="s">
        <v>74</v>
      </c>
      <c r="C39" s="13" t="s">
        <v>25</v>
      </c>
      <c r="D39" s="13" t="s">
        <v>25</v>
      </c>
      <c r="E39" s="13" t="s">
        <v>25</v>
      </c>
      <c r="F39" s="13" t="s">
        <v>25</v>
      </c>
      <c r="G39" s="12" t="s">
        <v>75</v>
      </c>
      <c r="H39" s="12" t="s">
        <v>71</v>
      </c>
      <c r="I39" s="12">
        <f>SUMIF(Mercado_Receita!$T$2:$T$987,"44348B3Energia convencionalNão se aplicaNão se aplicaNão se aplicaNão se aplicaNão se aplica",Mercado_Receita!$N$2:$N$987)</f>
        <v>2197.3070000000002</v>
      </c>
      <c r="J39" s="12">
        <f>SUMIF(Mercado_Receita!$T$2:$T$987,"44378B3Energia convencionalNão se aplicaNão se aplicaNão se aplicaNão se aplicaNão se aplica",Mercado_Receita!$N$2:$N$987)</f>
        <v>2284.1480000000006</v>
      </c>
      <c r="K39" s="12">
        <f>SUMIF(Mercado_Receita!$T$2:$T$987,"44409B3Energia convencionalNão se aplicaNão se aplicaNão se aplicaNão se aplicaNão se aplica",Mercado_Receita!$N$2:$N$987)</f>
        <v>2363.2450000000003</v>
      </c>
      <c r="L39" s="12">
        <f>SUMIF(Mercado_Receita!$T$2:$T$987,"44440B3Energia convencionalNão se aplicaNão se aplicaNão se aplicaNão se aplicaNão se aplica",Mercado_Receita!$N$2:$N$987)</f>
        <v>2324.3510000000001</v>
      </c>
      <c r="M39" s="12">
        <f>SUMIF(Mercado_Receita!$T$2:$T$987,"44470B3Energia convencionalNão se aplicaNão se aplicaNão se aplicaNão se aplicaNão se aplica",Mercado_Receita!$N$2:$N$987)</f>
        <v>2374.9569999999999</v>
      </c>
      <c r="N39" s="12">
        <f>SUMIF(Mercado_Receita!$T$2:$T$987,"44501B3Energia convencionalNão se aplicaNão se aplicaNão se aplicaNão se aplicaNão se aplica",Mercado_Receita!$N$2:$N$987)</f>
        <v>2375.6240000000003</v>
      </c>
      <c r="O39" s="12">
        <f>SUMIF(Mercado_Receita!$T$2:$T$987,"44531B3Energia convencionalNão se aplicaNão se aplicaNão se aplicaNão se aplicaNão se aplica",Mercado_Receita!$N$2:$N$987)</f>
        <v>2513.3879999999999</v>
      </c>
      <c r="P39" s="12">
        <f>SUMIF(Mercado_Receita!$T$2:$T$987,"44562B3Energia convencionalNão se aplicaNão se aplicaNão se aplicaNão se aplicaNão se aplica",Mercado_Receita!$N$2:$N$987)</f>
        <v>2362.578</v>
      </c>
      <c r="Q39" s="12">
        <f>SUMIF(Mercado_Receita!$T$2:$T$987,"44593B3Energia convencionalNão se aplicaNão se aplicaNão se aplicaNão se aplicaNão se aplica",Mercado_Receita!$N$2:$N$987)</f>
        <v>2556.7009999999996</v>
      </c>
      <c r="R39" s="12">
        <f>SUMIF(Mercado_Receita!$T$2:$T$987,"44621B3Energia convencionalNão se aplicaNão se aplicaNão se aplicaNão se aplicaNão se aplica",Mercado_Receita!$N$2:$N$987)</f>
        <v>2590.4490000000001</v>
      </c>
      <c r="S39" s="12">
        <f>SUMIF(Mercado_Receita!$T$2:$T$987,"44652B3Energia convencionalNão se aplicaNão se aplicaNão se aplicaNão se aplicaNão se aplica",Mercado_Receita!$N$2:$N$987)</f>
        <v>2369.0129999999999</v>
      </c>
      <c r="T39" s="12">
        <f>SUMIF(Mercado_Receita!$T$2:$T$987,"44682B3Energia convencionalNão se aplicaNão se aplicaNão se aplicaNão se aplicaNão se aplica",Mercado_Receita!$N$2:$N$987)</f>
        <v>2306.7430000000004</v>
      </c>
      <c r="U39" s="12">
        <f t="shared" si="0"/>
        <v>28618.504000000001</v>
      </c>
      <c r="V39" s="12"/>
      <c r="W39" s="12"/>
    </row>
    <row r="40" spans="1:23" ht="11.25" customHeight="1" x14ac:dyDescent="0.25">
      <c r="A40" s="132"/>
      <c r="B40" s="13" t="s">
        <v>85</v>
      </c>
      <c r="C40" s="13" t="s">
        <v>25</v>
      </c>
      <c r="D40" s="13" t="s">
        <v>25</v>
      </c>
      <c r="E40" s="13" t="s">
        <v>25</v>
      </c>
      <c r="F40" s="13" t="s">
        <v>25</v>
      </c>
      <c r="G40" s="12" t="s">
        <v>75</v>
      </c>
      <c r="H40" s="12" t="s">
        <v>71</v>
      </c>
      <c r="I40" s="12">
        <f>SUMIF(Mercado_Receita!$T$2:$T$987,"44348B3Energia convencional pré-pagamentoNão se aplicaNão se aplicaNão se aplicaNão se aplicaNão se aplica",Mercado_Receita!$N$2:$N$987)</f>
        <v>0</v>
      </c>
      <c r="J40" s="12">
        <f>SUMIF(Mercado_Receita!$T$2:$T$987,"44378B3Energia convencional pré-pagamentoNão se aplicaNão se aplicaNão se aplicaNão se aplicaNão se aplica",Mercado_Receita!$N$2:$N$987)</f>
        <v>0</v>
      </c>
      <c r="K40" s="12">
        <f>SUMIF(Mercado_Receita!$T$2:$T$987,"44409B3Energia convencional pré-pagamentoNão se aplicaNão se aplicaNão se aplicaNão se aplicaNão se aplica",Mercado_Receita!$N$2:$N$987)</f>
        <v>0</v>
      </c>
      <c r="L40" s="12">
        <f>SUMIF(Mercado_Receita!$T$2:$T$987,"44440B3Energia convencional pré-pagamentoNão se aplicaNão se aplicaNão se aplicaNão se aplicaNão se aplica",Mercado_Receita!$N$2:$N$987)</f>
        <v>0</v>
      </c>
      <c r="M40" s="12">
        <f>SUMIF(Mercado_Receita!$T$2:$T$987,"44470B3Energia convencional pré-pagamentoNão se aplicaNão se aplicaNão se aplicaNão se aplicaNão se aplica",Mercado_Receita!$N$2:$N$987)</f>
        <v>0</v>
      </c>
      <c r="N40" s="12">
        <f>SUMIF(Mercado_Receita!$T$2:$T$987,"44501B3Energia convencional pré-pagamentoNão se aplicaNão se aplicaNão se aplicaNão se aplicaNão se aplica",Mercado_Receita!$N$2:$N$987)</f>
        <v>0</v>
      </c>
      <c r="O40" s="12">
        <f>SUMIF(Mercado_Receita!$T$2:$T$987,"44531B3Energia convencional pré-pagamentoNão se aplicaNão se aplicaNão se aplicaNão se aplicaNão se aplica",Mercado_Receita!$N$2:$N$987)</f>
        <v>0</v>
      </c>
      <c r="P40" s="12">
        <f>SUMIF(Mercado_Receita!$T$2:$T$987,"44562B3Energia convencional pré-pagamentoNão se aplicaNão se aplicaNão se aplicaNão se aplicaNão se aplica",Mercado_Receita!$N$2:$N$987)</f>
        <v>0</v>
      </c>
      <c r="Q40" s="12">
        <f>SUMIF(Mercado_Receita!$T$2:$T$987,"44593B3Energia convencional pré-pagamentoNão se aplicaNão se aplicaNão se aplicaNão se aplicaNão se aplica",Mercado_Receita!$N$2:$N$987)</f>
        <v>0</v>
      </c>
      <c r="R40" s="12">
        <f>SUMIF(Mercado_Receita!$T$2:$T$987,"44621B3Energia convencional pré-pagamentoNão se aplicaNão se aplicaNão se aplicaNão se aplicaNão se aplica",Mercado_Receita!$N$2:$N$987)</f>
        <v>0</v>
      </c>
      <c r="S40" s="12">
        <f>SUMIF(Mercado_Receita!$T$2:$T$987,"44652B3Energia convencional pré-pagamentoNão se aplicaNão se aplicaNão se aplicaNão se aplicaNão se aplica",Mercado_Receita!$N$2:$N$987)</f>
        <v>0</v>
      </c>
      <c r="T40" s="12">
        <f>SUMIF(Mercado_Receita!$T$2:$T$987,"44682B3Energia convencional pré-pagamentoNão se aplicaNão se aplicaNão se aplicaNão se aplicaNão se aplica",Mercado_Receita!$N$2:$N$987)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31" t="s">
        <v>47</v>
      </c>
      <c r="B41" s="131" t="s">
        <v>74</v>
      </c>
      <c r="C41" s="131" t="s">
        <v>48</v>
      </c>
      <c r="D41" s="13" t="s">
        <v>49</v>
      </c>
      <c r="E41" s="13" t="s">
        <v>25</v>
      </c>
      <c r="F41" s="13" t="s">
        <v>25</v>
      </c>
      <c r="G41" s="12" t="s">
        <v>75</v>
      </c>
      <c r="H41" s="12" t="s">
        <v>71</v>
      </c>
      <c r="I41" s="12">
        <f>SUMIF(Mercado_Receita!$T$2:$T$987,"44348B4Energia convencionalIluminação públicaIluminação pública – B4aNão se aplicaNão se aplicaNão se aplica",Mercado_Receita!$N$2:$N$987)</f>
        <v>993.76</v>
      </c>
      <c r="J41" s="12">
        <f>SUMIF(Mercado_Receita!$T$2:$T$987,"44378B4Energia convencionalIluminação públicaIluminação pública – B4aNão se aplicaNão se aplicaNão se aplica",Mercado_Receita!$N$2:$N$987)</f>
        <v>1093.136</v>
      </c>
      <c r="K41" s="12">
        <f>SUMIF(Mercado_Receita!$T$2:$T$987,"44409B4Energia convencionalIluminação públicaIluminação pública – B4aNão se aplicaNão se aplicaNão se aplica",Mercado_Receita!$N$2:$N$987)</f>
        <v>1093.135</v>
      </c>
      <c r="L41" s="12">
        <f>SUMIF(Mercado_Receita!$T$2:$T$987,"44440B4Energia convencionalIluminação públicaIluminação pública – B4aNão se aplicaNão se aplicaNão se aplica",Mercado_Receita!$N$2:$N$987)</f>
        <v>1026.885</v>
      </c>
      <c r="M41" s="12">
        <f>SUMIF(Mercado_Receita!$T$2:$T$987,"44470B4Energia convencionalIluminação públicaIluminação pública – B4aNão se aplicaNão se aplicaNão se aplica",Mercado_Receita!$N$2:$N$987)</f>
        <v>1026.885</v>
      </c>
      <c r="N41" s="12">
        <f>SUMIF(Mercado_Receita!$T$2:$T$987,"44501B4Energia convencionalIluminação públicaIluminação pública – B4aNão se aplicaNão se aplicaNão se aplica",Mercado_Receita!$N$2:$N$987)</f>
        <v>993.76</v>
      </c>
      <c r="O41" s="12">
        <f>SUMIF(Mercado_Receita!$T$2:$T$987,"44531B4Energia convencionalIluminação públicaIluminação pública – B4aNão se aplicaNão se aplicaNão se aplica",Mercado_Receita!$N$2:$N$987)</f>
        <v>1026.885</v>
      </c>
      <c r="P41" s="12">
        <f>SUMIF(Mercado_Receita!$T$2:$T$987,"44562B4Energia convencionalIluminação públicaIluminação pública – B4aNão se aplicaNão se aplicaNão se aplica",Mercado_Receita!$N$2:$N$987)</f>
        <v>899.43499999999995</v>
      </c>
      <c r="Q41" s="12">
        <f>SUMIF(Mercado_Receita!$T$2:$T$987,"44593B4Energia convencionalIluminação públicaIluminação pública – B4aNão se aplicaNão se aplicaNão se aplica",Mercado_Receita!$N$2:$N$987)</f>
        <v>858.42399999999998</v>
      </c>
      <c r="R41" s="12">
        <f>SUMIF(Mercado_Receita!$T$2:$T$987,"44621B4Energia convencionalIluminação públicaIluminação pública – B4aNão se aplicaNão se aplicaNão se aplica",Mercado_Receita!$N$2:$N$987)</f>
        <v>1004.369</v>
      </c>
      <c r="S41" s="12">
        <f>SUMIF(Mercado_Receita!$T$2:$T$987,"44652B4Energia convencionalIluminação públicaIluminação pública – B4aNão se aplicaNão se aplicaNão se aplica",Mercado_Receita!$N$2:$N$987)</f>
        <v>1044.548</v>
      </c>
      <c r="T41" s="12">
        <f>SUMIF(Mercado_Receita!$T$2:$T$987,"44682B4Energia convencionalIluminação públicaIluminação pública – B4aNão se aplicaNão se aplicaNão se aplica",Mercado_Receita!$N$2:$N$987)</f>
        <v>1139.2840000000001</v>
      </c>
      <c r="U41" s="12">
        <f t="shared" si="0"/>
        <v>12200.506000000001</v>
      </c>
      <c r="V41" s="12"/>
      <c r="W41" s="12"/>
    </row>
    <row r="42" spans="1:23" ht="11.25" customHeight="1" x14ac:dyDescent="0.25">
      <c r="A42" s="132"/>
      <c r="B42" s="132"/>
      <c r="C42" s="132"/>
      <c r="D42" s="12" t="s">
        <v>89</v>
      </c>
      <c r="E42" s="12" t="s">
        <v>25</v>
      </c>
      <c r="F42" s="12" t="s">
        <v>25</v>
      </c>
      <c r="G42" s="12" t="s">
        <v>75</v>
      </c>
      <c r="H42" s="12" t="s">
        <v>71</v>
      </c>
      <c r="I42" s="12">
        <f>SUMIF(Mercado_Receita!$T$2:$T$987,"44348B4Energia convencionalIluminação públicaIluminação pública – B4bNão se aplicaNão se aplicaNão se aplica",Mercado_Receita!$N$2:$N$987)</f>
        <v>0</v>
      </c>
      <c r="J42" s="12">
        <f>SUMIF(Mercado_Receita!$T$2:$T$987,"44378B4Energia convencionalIluminação públicaIluminação pública – B4bNão se aplicaNão se aplicaNão se aplica",Mercado_Receita!$N$2:$N$987)</f>
        <v>0</v>
      </c>
      <c r="K42" s="12">
        <f>SUMIF(Mercado_Receita!$T$2:$T$987,"44409B4Energia convencionalIluminação públicaIluminação pública – B4bNão se aplicaNão se aplicaNão se aplica",Mercado_Receita!$N$2:$N$987)</f>
        <v>0</v>
      </c>
      <c r="L42" s="12">
        <f>SUMIF(Mercado_Receita!$T$2:$T$987,"44440B4Energia convencionalIluminação públicaIluminação pública – B4bNão se aplicaNão se aplicaNão se aplica",Mercado_Receita!$N$2:$N$987)</f>
        <v>0</v>
      </c>
      <c r="M42" s="12">
        <f>SUMIF(Mercado_Receita!$T$2:$T$987,"44470B4Energia convencionalIluminação públicaIluminação pública – B4bNão se aplicaNão se aplicaNão se aplica",Mercado_Receita!$N$2:$N$987)</f>
        <v>0</v>
      </c>
      <c r="N42" s="12">
        <f>SUMIF(Mercado_Receita!$T$2:$T$987,"44501B4Energia convencionalIluminação públicaIluminação pública – B4bNão se aplicaNão se aplicaNão se aplica",Mercado_Receita!$N$2:$N$987)</f>
        <v>0</v>
      </c>
      <c r="O42" s="12">
        <f>SUMIF(Mercado_Receita!$T$2:$T$987,"44531B4Energia convencionalIluminação públicaIluminação pública – B4bNão se aplicaNão se aplicaNão se aplica",Mercado_Receita!$N$2:$N$987)</f>
        <v>0</v>
      </c>
      <c r="P42" s="12">
        <f>SUMIF(Mercado_Receita!$T$2:$T$987,"44562B4Energia convencionalIluminação públicaIluminação pública – B4bNão se aplicaNão se aplicaNão se aplica",Mercado_Receita!$N$2:$N$987)</f>
        <v>0</v>
      </c>
      <c r="Q42" s="12">
        <f>SUMIF(Mercado_Receita!$T$2:$T$987,"44593B4Energia convencionalIluminação públicaIluminação pública – B4bNão se aplicaNão se aplicaNão se aplica",Mercado_Receita!$N$2:$N$987)</f>
        <v>0</v>
      </c>
      <c r="R42" s="12">
        <f>SUMIF(Mercado_Receita!$T$2:$T$987,"44621B4Energia convencionalIluminação públicaIluminação pública – B4bNão se aplicaNão se aplicaNão se aplica",Mercado_Receita!$N$2:$N$987)</f>
        <v>0</v>
      </c>
      <c r="S42" s="12">
        <f>SUMIF(Mercado_Receita!$T$2:$T$987,"44652B4Energia convencionalIluminação públicaIluminação pública – B4bNão se aplicaNão se aplicaNão se aplica",Mercado_Receita!$N$2:$N$987)</f>
        <v>0</v>
      </c>
      <c r="T42" s="12">
        <f>SUMIF(Mercado_Receita!$T$2:$T$987,"44682B4Energia convencionalIluminação públicaIluminação pública – B4bNão se aplicaNão se aplicaNão se aplica",Mercado_Receita!$N$2:$N$987)</f>
        <v>0</v>
      </c>
      <c r="U42" s="12">
        <f t="shared" si="0"/>
        <v>0</v>
      </c>
      <c r="V42" s="12"/>
      <c r="W42" s="12"/>
    </row>
    <row r="43" spans="1:23" ht="11.25" customHeight="1" x14ac:dyDescent="0.25">
      <c r="A43" s="133" t="s">
        <v>580</v>
      </c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2"/>
      <c r="W43" s="12"/>
    </row>
  </sheetData>
  <mergeCells count="50">
    <mergeCell ref="A41:A42"/>
    <mergeCell ref="B41:B42"/>
    <mergeCell ref="C41:C42"/>
    <mergeCell ref="A43:U43"/>
    <mergeCell ref="C33:C35"/>
    <mergeCell ref="B33:B35"/>
    <mergeCell ref="A21:A35"/>
    <mergeCell ref="F36:F38"/>
    <mergeCell ref="E36:E38"/>
    <mergeCell ref="D36:D38"/>
    <mergeCell ref="C36:C38"/>
    <mergeCell ref="B36:B38"/>
    <mergeCell ref="A36:A40"/>
    <mergeCell ref="F25:F27"/>
    <mergeCell ref="E25:E27"/>
    <mergeCell ref="D25:D27"/>
    <mergeCell ref="C25:C27"/>
    <mergeCell ref="B25:B27"/>
    <mergeCell ref="F29:F31"/>
    <mergeCell ref="E29:E31"/>
    <mergeCell ref="D29:D31"/>
    <mergeCell ref="C29:C31"/>
    <mergeCell ref="B29:B31"/>
    <mergeCell ref="C16:C20"/>
    <mergeCell ref="B16:B20"/>
    <mergeCell ref="A8:A20"/>
    <mergeCell ref="F21:F23"/>
    <mergeCell ref="E21:E23"/>
    <mergeCell ref="D21:D23"/>
    <mergeCell ref="C21:C23"/>
    <mergeCell ref="B21:B23"/>
    <mergeCell ref="F8:F10"/>
    <mergeCell ref="E8:E10"/>
    <mergeCell ref="D8:D10"/>
    <mergeCell ref="C8:C10"/>
    <mergeCell ref="B8:B10"/>
    <mergeCell ref="C11:C15"/>
    <mergeCell ref="B11:B15"/>
    <mergeCell ref="A5:A7"/>
    <mergeCell ref="F2:F3"/>
    <mergeCell ref="E2:E3"/>
    <mergeCell ref="D2:D3"/>
    <mergeCell ref="C2:C3"/>
    <mergeCell ref="B2:B3"/>
    <mergeCell ref="A2:A4"/>
    <mergeCell ref="F5:F6"/>
    <mergeCell ref="E5:E6"/>
    <mergeCell ref="D5:D6"/>
    <mergeCell ref="C5:C6"/>
    <mergeCell ref="B5:B6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F58F-CBBF-488D-B9B4-2E3D6CCD9992}">
  <dimension ref="A1:AD200"/>
  <sheetViews>
    <sheetView showGridLines="0" topLeftCell="A22" workbookViewId="0">
      <selection activeCell="G53" sqref="G53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.7109375" style="14" bestFit="1" customWidth="1"/>
    <col min="5" max="5" width="14.5703125" style="14" bestFit="1" customWidth="1"/>
    <col min="6" max="6" width="10.85546875" style="14" bestFit="1" customWidth="1"/>
    <col min="7" max="7" width="8.7109375" style="14" bestFit="1" customWidth="1"/>
    <col min="8" max="8" width="10.85546875" style="14" bestFit="1" customWidth="1"/>
    <col min="9" max="9" width="12.140625" style="14" bestFit="1" customWidth="1"/>
    <col min="10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9.28515625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0" style="14" bestFit="1" customWidth="1"/>
    <col min="25" max="26" width="5" style="14" bestFit="1" customWidth="1"/>
    <col min="27" max="27" width="5.7109375" style="14" bestFit="1" customWidth="1"/>
    <col min="28" max="16384" width="9.140625" style="14"/>
  </cols>
  <sheetData>
    <row r="1" spans="1:30" ht="12" customHeight="1" x14ac:dyDescent="0.2">
      <c r="A1" s="10" t="s">
        <v>620</v>
      </c>
      <c r="B1" s="10" t="s">
        <v>621</v>
      </c>
      <c r="C1" s="10" t="s">
        <v>622</v>
      </c>
      <c r="D1" s="10" t="s">
        <v>623</v>
      </c>
      <c r="E1" s="10" t="s">
        <v>624</v>
      </c>
      <c r="F1" s="10" t="s">
        <v>625</v>
      </c>
      <c r="G1" s="7"/>
      <c r="H1" s="7"/>
      <c r="I1" s="7"/>
      <c r="J1" s="7"/>
      <c r="K1" s="7"/>
      <c r="L1" s="145" t="s">
        <v>626</v>
      </c>
      <c r="M1" s="145"/>
      <c r="N1" s="7"/>
      <c r="O1" s="140" t="s">
        <v>713</v>
      </c>
      <c r="P1" s="141"/>
      <c r="Q1" s="141"/>
      <c r="R1" s="141"/>
      <c r="S1" s="141"/>
      <c r="T1" s="141"/>
      <c r="U1" s="141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35" t="s">
        <v>581</v>
      </c>
      <c r="B2" s="135" t="s">
        <v>582</v>
      </c>
      <c r="C2" s="16" t="s">
        <v>667</v>
      </c>
      <c r="D2" s="12">
        <v>697442.17467197916</v>
      </c>
      <c r="E2" s="12">
        <v>-357318.81649529445</v>
      </c>
      <c r="F2" s="12">
        <v>62582.817979041516</v>
      </c>
      <c r="G2" s="15"/>
      <c r="H2" s="15"/>
      <c r="I2" s="15"/>
      <c r="J2" s="15"/>
      <c r="K2" s="15"/>
      <c r="L2" s="22" t="s">
        <v>627</v>
      </c>
      <c r="M2" s="67">
        <v>0.10599142646515292</v>
      </c>
      <c r="N2" s="15"/>
      <c r="O2" s="28" t="s">
        <v>714</v>
      </c>
      <c r="P2" s="28" t="s">
        <v>715</v>
      </c>
      <c r="Q2" s="28" t="s">
        <v>42</v>
      </c>
      <c r="R2" s="28" t="s">
        <v>33</v>
      </c>
      <c r="S2" s="28" t="s">
        <v>716</v>
      </c>
      <c r="T2" s="28" t="s">
        <v>81</v>
      </c>
      <c r="U2" s="28"/>
      <c r="V2" s="15"/>
      <c r="W2" s="15"/>
      <c r="X2" s="22" t="s">
        <v>680</v>
      </c>
      <c r="Y2" s="15"/>
      <c r="Z2" s="15"/>
      <c r="AA2" s="15" t="s">
        <v>724</v>
      </c>
      <c r="AB2" s="15"/>
      <c r="AC2" s="15"/>
      <c r="AD2" s="15"/>
    </row>
    <row r="3" spans="1:30" ht="12" customHeight="1" x14ac:dyDescent="0.2">
      <c r="A3" s="137"/>
      <c r="B3" s="137"/>
      <c r="C3" s="16" t="s">
        <v>583</v>
      </c>
      <c r="D3" s="12">
        <v>124119.17919688004</v>
      </c>
      <c r="E3" s="12">
        <v>-3228.9092881405668</v>
      </c>
      <c r="F3" s="12">
        <v>0</v>
      </c>
      <c r="G3" s="15"/>
      <c r="H3" s="15"/>
      <c r="I3" s="15"/>
      <c r="J3" s="15"/>
      <c r="K3" s="15"/>
      <c r="L3" s="22" t="s">
        <v>628</v>
      </c>
      <c r="M3" s="67"/>
      <c r="N3" s="15"/>
      <c r="O3" s="29">
        <v>1</v>
      </c>
      <c r="P3" s="29">
        <v>1</v>
      </c>
      <c r="Q3" s="63">
        <v>1</v>
      </c>
      <c r="R3" s="63">
        <v>1</v>
      </c>
      <c r="S3" s="29">
        <v>1</v>
      </c>
      <c r="T3" s="29">
        <v>1</v>
      </c>
      <c r="U3" s="29" t="s">
        <v>717</v>
      </c>
      <c r="V3" s="15"/>
      <c r="W3" s="15"/>
      <c r="X3" s="22" t="s">
        <v>681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37"/>
      <c r="B4" s="137"/>
      <c r="C4" s="16" t="s">
        <v>584</v>
      </c>
      <c r="D4" s="12">
        <f>$M$22-D$30</f>
        <v>703144.23757571727</v>
      </c>
      <c r="E4" s="12">
        <f>IF((D4+D$30)&lt;&gt;0,$M$20*D4/(D4+D$30),0)</f>
        <v>3.1154783332886529E-2</v>
      </c>
      <c r="F4" s="12">
        <f>IF((D4+D$30)&lt;&gt;0,$M$21*D4/(D4+D$30),0)</f>
        <v>0</v>
      </c>
      <c r="G4" s="15"/>
      <c r="H4" s="15"/>
      <c r="I4" s="15"/>
      <c r="J4" s="15"/>
      <c r="K4" s="15"/>
      <c r="L4" s="22" t="s">
        <v>629</v>
      </c>
      <c r="M4" s="67">
        <v>0.10723387222724634</v>
      </c>
      <c r="N4" s="15"/>
      <c r="O4" s="29">
        <v>1</v>
      </c>
      <c r="P4" s="29">
        <v>1</v>
      </c>
      <c r="Q4" s="29">
        <v>1</v>
      </c>
      <c r="R4" s="29">
        <v>1</v>
      </c>
      <c r="S4" s="29">
        <v>1</v>
      </c>
      <c r="T4" s="29">
        <v>1</v>
      </c>
      <c r="U4" s="29" t="s">
        <v>80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37"/>
      <c r="B5" s="137"/>
      <c r="C5" s="16" t="s">
        <v>585</v>
      </c>
      <c r="D5" s="12">
        <v>0</v>
      </c>
      <c r="E5" s="12">
        <v>0</v>
      </c>
      <c r="F5" s="12">
        <v>0</v>
      </c>
      <c r="G5" s="15"/>
      <c r="H5" s="15"/>
      <c r="I5" s="15"/>
      <c r="J5" s="15"/>
      <c r="K5" s="15"/>
      <c r="L5" s="22" t="s">
        <v>630</v>
      </c>
      <c r="M5" s="67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37"/>
      <c r="B6" s="137"/>
      <c r="C6" s="16" t="s">
        <v>586</v>
      </c>
      <c r="D6" s="12">
        <v>0</v>
      </c>
      <c r="E6" s="12">
        <v>0</v>
      </c>
      <c r="F6" s="12">
        <v>0</v>
      </c>
      <c r="G6" s="15"/>
      <c r="H6" s="15"/>
      <c r="I6" s="15"/>
      <c r="J6" s="15"/>
      <c r="K6" s="15"/>
      <c r="L6" s="22" t="s">
        <v>631</v>
      </c>
      <c r="M6" s="67">
        <v>0</v>
      </c>
      <c r="N6" s="15"/>
      <c r="O6" s="15"/>
      <c r="P6" s="15"/>
      <c r="Q6" s="61" t="s">
        <v>42</v>
      </c>
      <c r="R6" s="61" t="s">
        <v>33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37"/>
      <c r="B7" s="137"/>
      <c r="C7" s="16" t="s">
        <v>587</v>
      </c>
      <c r="D7" s="12">
        <v>27418446.470860098</v>
      </c>
      <c r="E7" s="12">
        <v>-552044.3899621875</v>
      </c>
      <c r="F7" s="12">
        <v>3987683.0594000001</v>
      </c>
      <c r="G7" s="15"/>
      <c r="H7" s="15"/>
      <c r="I7" s="15"/>
      <c r="J7" s="15"/>
      <c r="K7" s="15"/>
      <c r="L7" s="22" t="s">
        <v>632</v>
      </c>
      <c r="M7" s="22">
        <f>M8+M9+M10+M11</f>
        <v>24592.248688134248</v>
      </c>
      <c r="N7" s="15"/>
      <c r="O7" s="15"/>
      <c r="P7" s="15"/>
      <c r="Q7" s="62">
        <v>0.75</v>
      </c>
      <c r="R7" s="62">
        <v>0.75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37"/>
      <c r="B8" s="137"/>
      <c r="C8" s="16" t="s">
        <v>588</v>
      </c>
      <c r="D8" s="12">
        <v>4828803.3032447295</v>
      </c>
      <c r="E8" s="12">
        <v>-93681.673491500784</v>
      </c>
      <c r="F8" s="12">
        <v>1069650.2378</v>
      </c>
      <c r="G8" s="15"/>
      <c r="H8" s="15"/>
      <c r="I8" s="15"/>
      <c r="J8" s="15"/>
      <c r="K8" s="15"/>
      <c r="L8" s="68" t="s">
        <v>633</v>
      </c>
      <c r="M8" s="22">
        <v>15342.795252538248</v>
      </c>
      <c r="N8" s="15"/>
      <c r="O8" s="22" t="s">
        <v>666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37"/>
      <c r="B9" s="137"/>
      <c r="C9" s="16" t="s">
        <v>589</v>
      </c>
      <c r="D9" s="12"/>
      <c r="E9" s="12"/>
      <c r="F9" s="12"/>
      <c r="G9" s="15"/>
      <c r="H9" s="15"/>
      <c r="I9" s="15"/>
      <c r="J9" s="15"/>
      <c r="K9" s="15"/>
      <c r="L9" s="69" t="s">
        <v>634</v>
      </c>
      <c r="M9" s="22">
        <v>2375.4240355959992</v>
      </c>
      <c r="N9" s="15"/>
      <c r="O9" s="22" t="s">
        <v>671</v>
      </c>
      <c r="P9" s="29">
        <f>SUM(Mercado_Receita!$J$2:$J$987)</f>
        <v>823792</v>
      </c>
      <c r="Q9" s="29">
        <v>823792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37"/>
      <c r="B10" s="136"/>
      <c r="C10" s="16" t="s">
        <v>590</v>
      </c>
      <c r="D10" s="12">
        <f>SUM(D$2:D9)</f>
        <v>33771955.365549408</v>
      </c>
      <c r="E10" s="12">
        <f>SUM(E$2:E9)</f>
        <v>-1006273.75808234</v>
      </c>
      <c r="F10" s="12">
        <f>SUM(F$2:F9)</f>
        <v>5119916.1151790414</v>
      </c>
      <c r="G10" s="15"/>
      <c r="H10" s="15"/>
      <c r="I10" s="15"/>
      <c r="J10" s="15"/>
      <c r="K10" s="15"/>
      <c r="L10" s="68" t="s">
        <v>635</v>
      </c>
      <c r="M10" s="22">
        <v>563.83815558751883</v>
      </c>
      <c r="N10" s="15"/>
      <c r="O10" s="22" t="s">
        <v>672</v>
      </c>
      <c r="P10" s="29">
        <f>SUM(Mercado_Receita!$L$2:$L$987)</f>
        <v>349510.00600000052</v>
      </c>
      <c r="Q10" s="29">
        <v>349510.00600000098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37"/>
      <c r="B11" s="135" t="s">
        <v>591</v>
      </c>
      <c r="C11" s="16" t="s">
        <v>592</v>
      </c>
      <c r="D11" s="12">
        <v>0</v>
      </c>
      <c r="E11" s="59"/>
      <c r="F11" s="12">
        <f>IF((+$D$11+$D$12+$D$16+$D$17+$D$39)&lt;&gt;0,$M$19*$D$11/(+$D$11+$D$12+$D$16+$D$17+$D$39),0)</f>
        <v>0</v>
      </c>
      <c r="G11" s="59">
        <v>233643.81472900999</v>
      </c>
      <c r="H11" s="15"/>
      <c r="I11" s="15"/>
      <c r="J11" s="15"/>
      <c r="K11" s="15"/>
      <c r="L11" s="68" t="s">
        <v>636</v>
      </c>
      <c r="M11" s="22">
        <v>6310.19124441248</v>
      </c>
      <c r="N11" s="15"/>
      <c r="O11" s="22" t="s">
        <v>673</v>
      </c>
      <c r="P11" s="29">
        <f>SUM(Mercado_Receita!$N$2:$N$987)</f>
        <v>198293.34200000012</v>
      </c>
      <c r="Q11" s="29">
        <v>198293.342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37"/>
      <c r="B12" s="137"/>
      <c r="C12" s="16" t="s">
        <v>593</v>
      </c>
      <c r="D12" s="12">
        <v>0</v>
      </c>
      <c r="E12" s="12">
        <v>0</v>
      </c>
      <c r="F12" s="12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22" t="s">
        <v>637</v>
      </c>
      <c r="M12" s="22">
        <v>222885.59068813422</v>
      </c>
      <c r="N12" s="15"/>
      <c r="O12" s="22" t="s">
        <v>674</v>
      </c>
      <c r="P12" s="29">
        <f>SUMIF('MERCADO TUSD'!$H$2:$H$58,"kW",'MERCADO TUSD'!$U$2:$U$58)</f>
        <v>823792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37"/>
      <c r="B13" s="137"/>
      <c r="C13" s="16" t="s">
        <v>594</v>
      </c>
      <c r="D13" s="12">
        <f>-$M$51+0</f>
        <v>0</v>
      </c>
      <c r="E13" s="12">
        <v>0</v>
      </c>
      <c r="F13" s="12">
        <v>0</v>
      </c>
      <c r="G13" s="15"/>
      <c r="H13" s="15"/>
      <c r="I13" s="15"/>
      <c r="J13" s="15"/>
      <c r="K13" s="15"/>
      <c r="L13" s="22" t="s">
        <v>638</v>
      </c>
      <c r="M13" s="22">
        <v>4852.0634872322353</v>
      </c>
      <c r="N13" s="15"/>
      <c r="O13" s="22" t="s">
        <v>675</v>
      </c>
      <c r="P13" s="29">
        <f>SUMIF('MERCADO TUSD'!$H$2:$H$58,"MWh",'MERCADO TUSD'!$U$2:$U$58)</f>
        <v>349510.00599999999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37"/>
      <c r="B14" s="137"/>
      <c r="C14" s="16" t="s">
        <v>595</v>
      </c>
      <c r="D14" s="12">
        <v>0</v>
      </c>
      <c r="E14" s="12">
        <v>0</v>
      </c>
      <c r="F14" s="12">
        <v>0</v>
      </c>
      <c r="G14" s="15"/>
      <c r="H14" s="15"/>
      <c r="I14" s="15"/>
      <c r="J14" s="15"/>
      <c r="K14" s="15"/>
      <c r="L14" s="22" t="s">
        <v>639</v>
      </c>
      <c r="M14" s="22">
        <v>208.93327939355842</v>
      </c>
      <c r="N14" s="15"/>
      <c r="O14" s="22" t="s">
        <v>676</v>
      </c>
      <c r="P14" s="29">
        <f>SUMIF('MERCADO TE'!$H$2:$H$42,"MWh",'MERCADO TE'!$U$2:$U$42)</f>
        <v>198293.342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37"/>
      <c r="B15" s="137"/>
      <c r="C15" s="16" t="s">
        <v>596</v>
      </c>
      <c r="D15" s="12">
        <v>25961487.078740001</v>
      </c>
      <c r="E15" s="59">
        <f>1350610.5695156+G11</f>
        <v>1584254.3842446101</v>
      </c>
      <c r="F15" s="12">
        <v>0</v>
      </c>
      <c r="G15" s="15"/>
      <c r="H15" s="15"/>
      <c r="I15" s="15"/>
      <c r="J15" s="15"/>
      <c r="K15" s="15"/>
      <c r="L15" s="22" t="s">
        <v>640</v>
      </c>
      <c r="M15" s="22">
        <f>M14*M12</f>
        <v>46568217.392042249</v>
      </c>
      <c r="N15" s="15"/>
      <c r="O15" s="22" t="s">
        <v>677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37"/>
      <c r="B16" s="137"/>
      <c r="C16" s="16" t="s">
        <v>597</v>
      </c>
      <c r="D16" s="12">
        <v>0</v>
      </c>
      <c r="E16" s="12">
        <v>0</v>
      </c>
      <c r="F16" s="12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2" t="s">
        <v>641</v>
      </c>
      <c r="M16" s="22">
        <v>-3363898.0660532978</v>
      </c>
      <c r="N16" s="15"/>
      <c r="O16" s="22" t="s">
        <v>678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37"/>
      <c r="B17" s="137"/>
      <c r="C17" s="16" t="s">
        <v>598</v>
      </c>
      <c r="D17" s="12">
        <v>0</v>
      </c>
      <c r="E17" s="12">
        <v>0</v>
      </c>
      <c r="F17" s="12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2" t="s">
        <v>642</v>
      </c>
      <c r="M17" s="22">
        <v>6390866.3547</v>
      </c>
      <c r="N17" s="15"/>
      <c r="O17" s="22" t="s">
        <v>679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37"/>
      <c r="B18" s="136"/>
      <c r="C18" s="16" t="s">
        <v>590</v>
      </c>
      <c r="D18" s="12">
        <f>SUM(D$11:D17)</f>
        <v>25961487.078740001</v>
      </c>
      <c r="E18" s="12">
        <f>SUM(E$11:E17)</f>
        <v>1584254.3842446101</v>
      </c>
      <c r="F18" s="12">
        <f>SUM(F$11:F17)</f>
        <v>0</v>
      </c>
      <c r="G18" s="15"/>
      <c r="H18" s="15"/>
      <c r="I18" s="15"/>
      <c r="J18" s="15"/>
      <c r="K18" s="15"/>
      <c r="L18" s="22" t="s">
        <v>643</v>
      </c>
      <c r="M18" s="22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37"/>
      <c r="B19" s="135" t="s">
        <v>599</v>
      </c>
      <c r="C19" s="16" t="s">
        <v>600</v>
      </c>
      <c r="D19" s="12">
        <v>27932230.133610278</v>
      </c>
      <c r="E19" s="12">
        <v>0</v>
      </c>
      <c r="F19" s="12">
        <v>0</v>
      </c>
      <c r="G19" s="15"/>
      <c r="H19" s="15"/>
      <c r="I19" s="15"/>
      <c r="J19" s="15"/>
      <c r="K19" s="15"/>
      <c r="L19" s="22" t="s">
        <v>644</v>
      </c>
      <c r="M19" s="22">
        <v>-28907.910200000002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37"/>
      <c r="B20" s="136"/>
      <c r="C20" s="16" t="s">
        <v>590</v>
      </c>
      <c r="D20" s="12">
        <f>SUM(D$19:D19)</f>
        <v>27932230.133610278</v>
      </c>
      <c r="E20" s="12">
        <f>SUM(E$19:E19)</f>
        <v>0</v>
      </c>
      <c r="F20" s="12">
        <f>SUM(F$19:F19)</f>
        <v>0</v>
      </c>
      <c r="G20" s="15"/>
      <c r="H20" s="15"/>
      <c r="I20" s="15"/>
      <c r="J20" s="15"/>
      <c r="K20" s="15"/>
      <c r="L20" s="22" t="s">
        <v>645</v>
      </c>
      <c r="M20" s="22">
        <v>5.2885180169634172E-2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37"/>
      <c r="B21" s="135" t="s">
        <v>601</v>
      </c>
      <c r="C21" s="16" t="s">
        <v>602</v>
      </c>
      <c r="D21" s="12"/>
      <c r="E21" s="12">
        <f>IF($D$47&lt;&gt;0,(1-$D$46/$D$47)*0,0)+0</f>
        <v>0</v>
      </c>
      <c r="F21" s="12"/>
      <c r="G21" s="15"/>
      <c r="H21" s="15"/>
      <c r="I21" s="15"/>
      <c r="J21" s="15"/>
      <c r="K21" s="15"/>
      <c r="L21" s="22" t="s">
        <v>646</v>
      </c>
      <c r="M21" s="22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37"/>
      <c r="B22" s="137"/>
      <c r="C22" s="16" t="s">
        <v>603</v>
      </c>
      <c r="D22" s="12"/>
      <c r="E22" s="12"/>
      <c r="F22" s="12"/>
      <c r="G22" s="15"/>
      <c r="H22" s="15"/>
      <c r="I22" s="15"/>
      <c r="J22" s="15"/>
      <c r="K22" s="15"/>
      <c r="L22" s="22" t="s">
        <v>668</v>
      </c>
      <c r="M22" s="22">
        <v>1193585.8867032777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37"/>
      <c r="B23" s="136"/>
      <c r="C23" s="16" t="s">
        <v>590</v>
      </c>
      <c r="D23" s="12">
        <f>SUM(D$21:D22)</f>
        <v>0</v>
      </c>
      <c r="E23" s="12">
        <f>SUM(E$21:E22)</f>
        <v>0</v>
      </c>
      <c r="F23" s="12">
        <f>SUM(F$21:F22)</f>
        <v>0</v>
      </c>
      <c r="G23" s="15"/>
      <c r="H23" s="15"/>
      <c r="I23" s="15"/>
      <c r="J23" s="15"/>
      <c r="K23" s="15"/>
      <c r="L23" s="22" t="s">
        <v>647</v>
      </c>
      <c r="M23" s="22">
        <v>25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37"/>
      <c r="B24" s="135" t="s">
        <v>604</v>
      </c>
      <c r="C24" s="16" t="s">
        <v>605</v>
      </c>
      <c r="D24" s="12">
        <f>$M$14*$M$8</f>
        <v>3205620.5271767355</v>
      </c>
      <c r="E24" s="12">
        <f>$M$16*$M$8/$M$12</f>
        <v>-231560.95070354312</v>
      </c>
      <c r="F24" s="12">
        <f>$M$17*$M$8/$M$12</f>
        <v>439928.63631860464</v>
      </c>
      <c r="G24" s="15"/>
      <c r="H24" s="15"/>
      <c r="I24" s="15"/>
      <c r="J24" s="15"/>
      <c r="K24" s="15"/>
      <c r="L24" s="22" t="s">
        <v>648</v>
      </c>
      <c r="M24" s="22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37"/>
      <c r="B25" s="137"/>
      <c r="C25" s="16" t="s">
        <v>606</v>
      </c>
      <c r="D25" s="12">
        <f>$M$14*$M$10</f>
        <v>117804.55489411573</v>
      </c>
      <c r="E25" s="12">
        <f>$M$16*$M$10/$M$12</f>
        <v>-8509.7205041029483</v>
      </c>
      <c r="F25" s="12">
        <f>$M$17*$M$10/$M$12</f>
        <v>16167.102982813924</v>
      </c>
      <c r="G25" s="15"/>
      <c r="H25" s="15"/>
      <c r="I25" s="15"/>
      <c r="J25" s="15"/>
      <c r="K25" s="15"/>
      <c r="L25" s="22" t="s">
        <v>649</v>
      </c>
      <c r="M25" s="22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37"/>
      <c r="B26" s="137"/>
      <c r="C26" s="16" t="s">
        <v>607</v>
      </c>
      <c r="D26" s="12">
        <f>$M$14*$M$9</f>
        <v>496305.13370735297</v>
      </c>
      <c r="E26" s="12">
        <f>$M$16*$M$9/$M$12</f>
        <v>-35851.058360154915</v>
      </c>
      <c r="F26" s="12">
        <f>$M$17*$M$9/$M$12</f>
        <v>68111.256094961005</v>
      </c>
      <c r="G26" s="15"/>
      <c r="H26" s="15"/>
      <c r="I26" s="15"/>
      <c r="J26" s="15"/>
      <c r="K26" s="15"/>
      <c r="L26" s="22" t="s">
        <v>650</v>
      </c>
      <c r="M26" s="22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37"/>
      <c r="B27" s="137"/>
      <c r="C27" s="16" t="s">
        <v>608</v>
      </c>
      <c r="D27" s="12">
        <v>89460.219337455084</v>
      </c>
      <c r="E27" s="12">
        <v>6776.0694727427945</v>
      </c>
      <c r="F27" s="12">
        <v>0</v>
      </c>
      <c r="G27" s="15"/>
      <c r="H27" s="15"/>
      <c r="I27" s="15"/>
      <c r="J27" s="15"/>
      <c r="K27" s="15"/>
      <c r="L27" s="22" t="s">
        <v>651</v>
      </c>
      <c r="M27" s="22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37"/>
      <c r="B28" s="136"/>
      <c r="C28" s="16" t="s">
        <v>590</v>
      </c>
      <c r="D28" s="12">
        <f>SUM(D$24:D27)</f>
        <v>3909190.4351156591</v>
      </c>
      <c r="E28" s="12">
        <f>SUM(E$24:E27)</f>
        <v>-269145.66009505821</v>
      </c>
      <c r="F28" s="12">
        <f>SUM(F$24:F27)</f>
        <v>524206.99539637956</v>
      </c>
      <c r="G28" s="15"/>
      <c r="H28" s="15"/>
      <c r="I28" s="15"/>
      <c r="J28" s="15"/>
      <c r="K28" s="15"/>
      <c r="L28" s="22" t="s">
        <v>652</v>
      </c>
      <c r="M28" s="22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36"/>
      <c r="B29" s="138" t="s">
        <v>590</v>
      </c>
      <c r="C29" s="139"/>
      <c r="D29" s="12">
        <f>SUMIF(C$2:C28,"SUBTOTAL",D$2:D28)</f>
        <v>91574863.01301536</v>
      </c>
      <c r="E29" s="12">
        <f>SUMIF(C$2:C28,"SUBTOTAL",E$2:E28)</f>
        <v>308834.96606721188</v>
      </c>
      <c r="F29" s="12">
        <f>SUMIF(C$2:C28,"SUBTOTAL",F$2:F28)</f>
        <v>5644123.1105754208</v>
      </c>
      <c r="G29" s="15"/>
      <c r="H29" s="15"/>
      <c r="I29" s="15"/>
      <c r="J29" s="15"/>
      <c r="K29" s="15"/>
      <c r="L29" s="22" t="s">
        <v>653</v>
      </c>
      <c r="M29" s="22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35" t="s">
        <v>609</v>
      </c>
      <c r="B30" s="135" t="s">
        <v>582</v>
      </c>
      <c r="C30" s="16" t="s">
        <v>584</v>
      </c>
      <c r="D30" s="12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490441.64912756049</v>
      </c>
      <c r="E30" s="12">
        <f>IF((D30+D$4)&lt;&gt;0,$M$20*D30/(D30+D$4),0)</f>
        <v>2.1730396836747649E-2</v>
      </c>
      <c r="F30" s="12">
        <f>IF((D30+D$4)&lt;&gt;0,$M$21*D30/(D30+D$4),0)</f>
        <v>0</v>
      </c>
      <c r="G30" s="15"/>
      <c r="H30" s="15"/>
      <c r="I30" s="15"/>
      <c r="J30" s="15"/>
      <c r="K30" s="15"/>
      <c r="L30" s="22" t="s">
        <v>654</v>
      </c>
      <c r="M30" s="22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37"/>
      <c r="B31" s="137"/>
      <c r="C31" s="16" t="s">
        <v>610</v>
      </c>
      <c r="D31" s="12">
        <v>2519008.7404471575</v>
      </c>
      <c r="E31" s="12">
        <v>-926119.86971880542</v>
      </c>
      <c r="F31" s="12">
        <v>3430068.2357000001</v>
      </c>
      <c r="G31" s="15"/>
      <c r="H31" s="15"/>
      <c r="I31" s="15"/>
      <c r="J31" s="15"/>
      <c r="K31" s="15"/>
      <c r="L31" s="22" t="s">
        <v>655</v>
      </c>
      <c r="M31" s="22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37"/>
      <c r="B32" s="137"/>
      <c r="C32" s="16" t="s">
        <v>611</v>
      </c>
      <c r="D32" s="12">
        <v>0</v>
      </c>
      <c r="E32" s="12">
        <v>0</v>
      </c>
      <c r="F32" s="12">
        <v>0</v>
      </c>
      <c r="G32" s="15"/>
      <c r="H32" s="15"/>
      <c r="I32" s="15"/>
      <c r="J32" s="15"/>
      <c r="K32" s="15"/>
      <c r="L32" s="22" t="s">
        <v>656</v>
      </c>
      <c r="M32" s="22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37"/>
      <c r="B33" s="137"/>
      <c r="C33" s="16" t="s">
        <v>670</v>
      </c>
      <c r="D33" s="12">
        <v>794008.21351846925</v>
      </c>
      <c r="E33" s="12">
        <v>291007.82484533184</v>
      </c>
      <c r="F33" s="12">
        <v>71247.873020958446</v>
      </c>
      <c r="G33" s="15"/>
      <c r="H33" s="15"/>
      <c r="I33" s="15"/>
      <c r="J33" s="15"/>
      <c r="K33" s="15"/>
      <c r="L33" s="22" t="s">
        <v>657</v>
      </c>
      <c r="M33" s="22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37"/>
      <c r="B34" s="137"/>
      <c r="C34" s="16" t="s">
        <v>612</v>
      </c>
      <c r="D34" s="12">
        <v>-3150000</v>
      </c>
      <c r="E34" s="12"/>
      <c r="F34" s="12"/>
      <c r="G34" s="15"/>
      <c r="H34" s="15"/>
      <c r="I34" s="15"/>
      <c r="J34" s="15"/>
      <c r="K34" s="15"/>
      <c r="L34" s="22" t="s">
        <v>658</v>
      </c>
      <c r="M34" s="22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37"/>
      <c r="B35" s="136"/>
      <c r="C35" s="16" t="s">
        <v>590</v>
      </c>
      <c r="D35" s="12">
        <f>SUM(D$30:D34)</f>
        <v>653458.60309318732</v>
      </c>
      <c r="E35" s="12">
        <f>SUM(E$30:E34)</f>
        <v>-635112.0231430768</v>
      </c>
      <c r="F35" s="12">
        <f>SUM(F$30:F34)</f>
        <v>3501316.1087209587</v>
      </c>
      <c r="G35" s="15"/>
      <c r="H35" s="15"/>
      <c r="I35" s="15"/>
      <c r="J35" s="15"/>
      <c r="K35" s="15"/>
      <c r="L35" s="22" t="s">
        <v>659</v>
      </c>
      <c r="M35" s="22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37"/>
      <c r="B36" s="135" t="s">
        <v>613</v>
      </c>
      <c r="C36" s="16" t="s">
        <v>614</v>
      </c>
      <c r="D36" s="12">
        <f>$M$14*($M$12-$M$7)</f>
        <v>41430078.225968428</v>
      </c>
      <c r="E36" s="12">
        <f>$M$16*($M$12-$M$7)/$M$12</f>
        <v>-2992739.8518927954</v>
      </c>
      <c r="F36" s="12">
        <f>$M$17*($M$12-$M$7)/$M$12</f>
        <v>5685725.32587808</v>
      </c>
      <c r="G36" s="15"/>
      <c r="H36" s="15"/>
      <c r="I36" s="15"/>
      <c r="J36" s="15"/>
      <c r="K36" s="15"/>
      <c r="L36" s="22" t="s">
        <v>660</v>
      </c>
      <c r="M36" s="22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37"/>
      <c r="B37" s="136"/>
      <c r="C37" s="16" t="s">
        <v>590</v>
      </c>
      <c r="D37" s="12">
        <f>SUM(D$36:D36)</f>
        <v>41430078.225968428</v>
      </c>
      <c r="E37" s="12">
        <f>SUM(E$36:E36)</f>
        <v>-2992739.8518927954</v>
      </c>
      <c r="F37" s="12">
        <f>SUM(F$36:F36)</f>
        <v>5685725.32587808</v>
      </c>
      <c r="G37" s="15"/>
      <c r="H37" s="15"/>
      <c r="I37" s="15"/>
      <c r="J37" s="15"/>
      <c r="K37" s="15"/>
      <c r="L37" s="22" t="s">
        <v>661</v>
      </c>
      <c r="M37" s="22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37"/>
      <c r="B38" s="135" t="s">
        <v>591</v>
      </c>
      <c r="C38" s="16" t="s">
        <v>615</v>
      </c>
      <c r="D38" s="12">
        <v>1559392.1738818092</v>
      </c>
      <c r="E38" s="12">
        <v>571663.31939759804</v>
      </c>
      <c r="F38" s="12">
        <v>-178222.86040000001</v>
      </c>
      <c r="G38" s="15"/>
      <c r="H38" s="15"/>
      <c r="I38" s="15"/>
      <c r="J38" s="15"/>
      <c r="K38" s="15"/>
      <c r="L38" s="22" t="s">
        <v>662</v>
      </c>
      <c r="M38" s="22">
        <f>IFERROR(VLOOKUP("Convencional1RuralNão se aplicaRURALB2",Descontos!B1:U88,VLOOKUP("Convencional1RuralNão se aplicaRURALB2",Descontos!B1:U88,20,FALSE)+12,FALSE),100)</f>
        <v>0.06</v>
      </c>
      <c r="N38" s="15" t="s">
        <v>718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37"/>
      <c r="B39" s="137"/>
      <c r="C39" s="16" t="s">
        <v>616</v>
      </c>
      <c r="D39" s="12">
        <v>1295788.6175304062</v>
      </c>
      <c r="E39" s="12">
        <v>20862.520133608137</v>
      </c>
      <c r="F39" s="12">
        <f>IF((+$D$11+$D$12+$D$16+$D$17+$D$39)&lt;&gt;0,$M$19*$D$39/(+$D$11+$D$12+$D$16+$D$17+$D$39),0)</f>
        <v>-28907.910200000002</v>
      </c>
      <c r="G39" s="15"/>
      <c r="H39" s="15"/>
      <c r="I39" s="15"/>
      <c r="J39" s="15"/>
      <c r="K39" s="15"/>
      <c r="L39" s="22" t="s">
        <v>663</v>
      </c>
      <c r="M39" s="2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735</v>
      </c>
      <c r="P39" s="15" t="s">
        <v>736</v>
      </c>
      <c r="Q39" s="15" t="s">
        <v>737</v>
      </c>
      <c r="R39" s="15" t="s">
        <v>738</v>
      </c>
      <c r="S39" s="15" t="s">
        <v>1</v>
      </c>
      <c r="T39" s="15" t="s">
        <v>739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37"/>
      <c r="B40" s="137"/>
      <c r="C40" s="16" t="s">
        <v>617</v>
      </c>
      <c r="D40" s="12"/>
      <c r="E40" s="12">
        <v>0</v>
      </c>
      <c r="F40" s="12">
        <v>0</v>
      </c>
      <c r="G40" s="15"/>
      <c r="H40" s="15"/>
      <c r="I40" s="15"/>
      <c r="J40" s="15"/>
      <c r="K40" s="15"/>
      <c r="L40" s="22" t="s">
        <v>664</v>
      </c>
      <c r="M40" s="2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37"/>
      <c r="B41" s="136"/>
      <c r="C41" s="16" t="s">
        <v>590</v>
      </c>
      <c r="D41" s="12">
        <f>SUM(D$38:D40)</f>
        <v>2855180.7914122157</v>
      </c>
      <c r="E41" s="12">
        <f>SUM(E$38:E40)</f>
        <v>592525.83953120618</v>
      </c>
      <c r="F41" s="12">
        <f>SUM(F$38:F40)</f>
        <v>-207130.77060000002</v>
      </c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37"/>
      <c r="B42" s="135" t="s">
        <v>601</v>
      </c>
      <c r="C42" s="16" t="s">
        <v>602</v>
      </c>
      <c r="D42" s="12"/>
      <c r="E42" s="12">
        <f>IF($D$47&lt;&gt;0,($D$46/$D$47)* 0,0)+0</f>
        <v>0</v>
      </c>
      <c r="F42" s="12"/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37"/>
      <c r="B43" s="136"/>
      <c r="C43" s="16" t="s">
        <v>590</v>
      </c>
      <c r="D43" s="12">
        <f>SUM(D$42:D42)</f>
        <v>0</v>
      </c>
      <c r="E43" s="12">
        <f>SUM(E$42:E42)</f>
        <v>0</v>
      </c>
      <c r="F43" s="12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37"/>
      <c r="B44" s="135" t="s">
        <v>604</v>
      </c>
      <c r="C44" s="16" t="s">
        <v>618</v>
      </c>
      <c r="D44" s="12">
        <f>$M$14*$M$11</f>
        <v>1318408.9502956187</v>
      </c>
      <c r="E44" s="12">
        <f>$M$16*$M$11/$M$12</f>
        <v>-95236.484592701177</v>
      </c>
      <c r="F44" s="12">
        <f>$M$17*$M$11/$M$12</f>
        <v>180934.03342554063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37"/>
      <c r="B45" s="136"/>
      <c r="C45" s="16" t="s">
        <v>590</v>
      </c>
      <c r="D45" s="12">
        <f>SUM(D$44:D44)</f>
        <v>1318408.9502956187</v>
      </c>
      <c r="E45" s="12">
        <f>SUM(E$44:E44)</f>
        <v>-95236.484592701177</v>
      </c>
      <c r="F45" s="12">
        <f>SUM(F$44:F44)</f>
        <v>180934.03342554063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36"/>
      <c r="B46" s="138" t="s">
        <v>590</v>
      </c>
      <c r="C46" s="139"/>
      <c r="D46" s="12">
        <f>SUMIF(C$30:C45,"SUBTOTAL",D$30:D45)</f>
        <v>46257126.570769452</v>
      </c>
      <c r="E46" s="12">
        <f>SUMIF(C$30:C45,"SUBTOTAL",E$30:E45)</f>
        <v>-3130562.5200973675</v>
      </c>
      <c r="F46" s="12">
        <f>SUMIF(C$30:C45,"SUBTOTAL",F$30:F45)</f>
        <v>9160844.6974245775</v>
      </c>
      <c r="G46" s="15"/>
      <c r="H46" s="15"/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38" t="s">
        <v>619</v>
      </c>
      <c r="B47" s="144"/>
      <c r="C47" s="139"/>
      <c r="D47" s="12">
        <f>SUMIF(C$2:C46,"SUBTOTAL",D$2:D46)</f>
        <v>137831989.58378482</v>
      </c>
      <c r="E47" s="12">
        <f>SUMIF(C$2:C46,"SUBTOTAL",E$2:E46)</f>
        <v>-2821727.5540301558</v>
      </c>
      <c r="F47" s="12">
        <f>SUMIF(C$2:C46,"SUBTOTAL",F$2:F46)</f>
        <v>14804967.807999998</v>
      </c>
      <c r="G47" s="15"/>
      <c r="H47" s="15">
        <f>E47+F47</f>
        <v>11983240.253969843</v>
      </c>
      <c r="I47" s="15"/>
      <c r="J47" s="15"/>
      <c r="K47" s="15"/>
      <c r="L47" s="15"/>
      <c r="M47" s="15"/>
      <c r="N47" s="15"/>
      <c r="O47" s="33"/>
      <c r="P47" s="33"/>
      <c r="Q47" s="33"/>
      <c r="R47" s="33"/>
      <c r="S47" s="33"/>
      <c r="T47" s="3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42" t="s">
        <v>711</v>
      </c>
      <c r="B48" s="143"/>
      <c r="C48" s="143"/>
      <c r="D48" s="26">
        <f ca="1">'TUSD BE'!$AM$63+'TUSD BE'!$AM$67+'TE BE'!$AB$47</f>
        <v>137831989.58378479</v>
      </c>
      <c r="E48" s="26">
        <f ca="1">'TUSD BF'!$AM$63+'TE BF'!$AB$47</f>
        <v>-2821727.5540301558</v>
      </c>
      <c r="F48" s="26">
        <f ca="1">'TUSD CVA'!$AM$63+'TE CVA'!$AB$47</f>
        <v>14804967.808000004</v>
      </c>
      <c r="I48" s="60">
        <f ca="1">D48+E48+F48</f>
        <v>149815229.83775464</v>
      </c>
      <c r="L48" s="81"/>
      <c r="M48" s="22"/>
      <c r="O48" s="33"/>
      <c r="P48" s="33"/>
      <c r="Q48" s="33"/>
      <c r="R48" s="33"/>
      <c r="S48" s="33"/>
      <c r="T48" s="33"/>
    </row>
    <row r="49" spans="1:20" ht="12" customHeight="1" x14ac:dyDescent="0.25">
      <c r="A49" s="142" t="s">
        <v>712</v>
      </c>
      <c r="B49" s="143"/>
      <c r="C49" s="143"/>
      <c r="D49" s="27" t="str">
        <f ca="1">IF(ABS(D48-D47)&gt;1,"ERRO","OK")</f>
        <v>OK</v>
      </c>
      <c r="E49" s="27" t="str">
        <f ca="1">IF(ABS(E48-E47)&gt;1,"ERRO","OK")</f>
        <v>OK</v>
      </c>
      <c r="F49" s="27" t="str">
        <f ca="1">IF(ABS(F48-F47)&gt;1,"ERRO","OK")</f>
        <v>OK</v>
      </c>
      <c r="L49" s="81"/>
      <c r="M49" s="22"/>
      <c r="O49" s="33"/>
      <c r="P49" s="33"/>
      <c r="Q49" s="33"/>
      <c r="R49" s="33"/>
      <c r="S49" s="33"/>
      <c r="T49" s="33"/>
    </row>
    <row r="50" spans="1:20" ht="12" customHeight="1" x14ac:dyDescent="0.25">
      <c r="L50" s="81"/>
      <c r="M50" s="22"/>
      <c r="O50" s="33"/>
      <c r="P50" s="33"/>
      <c r="Q50" s="33"/>
      <c r="R50" s="33"/>
      <c r="S50" s="33"/>
      <c r="T50" s="33"/>
    </row>
    <row r="51" spans="1:20" ht="12" customHeight="1" x14ac:dyDescent="0.25">
      <c r="C51" s="14" t="s">
        <v>1344</v>
      </c>
      <c r="D51" s="110">
        <f ca="1">D48+E48+F48</f>
        <v>149815229.83775464</v>
      </c>
      <c r="L51" s="50" t="s">
        <v>665</v>
      </c>
      <c r="M51" s="56">
        <v>0</v>
      </c>
      <c r="O51" s="33"/>
      <c r="P51" s="33"/>
      <c r="Q51" s="33"/>
      <c r="R51" s="33"/>
      <c r="S51" s="33"/>
      <c r="T51" s="33"/>
    </row>
    <row r="52" spans="1:20" ht="12" customHeight="1" x14ac:dyDescent="0.25">
      <c r="C52" s="14" t="s">
        <v>1286</v>
      </c>
      <c r="D52" s="110">
        <f ca="1">EFEITO_m350!AU10</f>
        <v>134969942.51565254</v>
      </c>
      <c r="O52" s="33"/>
      <c r="P52" s="33"/>
      <c r="Q52" s="33"/>
      <c r="R52" s="33"/>
      <c r="S52" s="33"/>
      <c r="T52" s="33"/>
    </row>
    <row r="53" spans="1:20" ht="12" customHeight="1" x14ac:dyDescent="0.25">
      <c r="C53" s="14" t="s">
        <v>1345</v>
      </c>
      <c r="D53" s="110">
        <f ca="1">SUBSIDIO!AJ10</f>
        <v>4644923.6220799191</v>
      </c>
      <c r="O53" s="33"/>
      <c r="P53" s="33"/>
      <c r="Q53" s="33"/>
      <c r="R53" s="33"/>
      <c r="S53" s="33"/>
      <c r="T53" s="33"/>
    </row>
    <row r="54" spans="1:20" ht="12" customHeight="1" x14ac:dyDescent="0.25">
      <c r="C54" s="14" t="s">
        <v>1335</v>
      </c>
      <c r="D54" s="109">
        <f ca="1">EFEITO_m350!AU24</f>
        <v>10200363.700022042</v>
      </c>
      <c r="O54" s="33"/>
      <c r="P54" s="33"/>
      <c r="Q54" s="33"/>
      <c r="R54" s="33"/>
      <c r="S54" s="33"/>
      <c r="T54" s="33"/>
    </row>
    <row r="55" spans="1:20" ht="12" customHeight="1" x14ac:dyDescent="0.25">
      <c r="D55" s="109">
        <f ca="1">D51-D52-D53-D54</f>
        <v>1.3783574104309082E-7</v>
      </c>
      <c r="O55" s="33"/>
      <c r="P55" s="33"/>
      <c r="Q55" s="33"/>
      <c r="R55" s="33"/>
      <c r="S55" s="33"/>
      <c r="T55" s="33"/>
    </row>
    <row r="56" spans="1:20" ht="12" customHeight="1" x14ac:dyDescent="0.25">
      <c r="O56" s="33"/>
      <c r="P56" s="33"/>
      <c r="Q56" s="33"/>
      <c r="R56" s="33"/>
      <c r="S56" s="33"/>
      <c r="T56" s="33"/>
    </row>
    <row r="57" spans="1:20" ht="12" customHeight="1" x14ac:dyDescent="0.25">
      <c r="O57" s="33"/>
      <c r="P57" s="33"/>
      <c r="Q57" s="33"/>
      <c r="R57" s="33"/>
      <c r="S57" s="33"/>
      <c r="T57" s="33"/>
    </row>
    <row r="58" spans="1:20" ht="12" customHeight="1" x14ac:dyDescent="0.25">
      <c r="O58" s="33"/>
      <c r="P58" s="33"/>
      <c r="Q58" s="33"/>
      <c r="R58" s="33"/>
      <c r="S58" s="33"/>
      <c r="T58" s="33"/>
    </row>
    <row r="59" spans="1:20" ht="12" customHeight="1" x14ac:dyDescent="0.25">
      <c r="O59" s="33"/>
      <c r="P59" s="33"/>
      <c r="Q59" s="33"/>
      <c r="R59" s="33"/>
      <c r="S59" s="33"/>
      <c r="T59" s="33"/>
    </row>
    <row r="60" spans="1:20" ht="12" customHeight="1" x14ac:dyDescent="0.25">
      <c r="O60" s="33"/>
      <c r="P60" s="33"/>
      <c r="Q60" s="33"/>
      <c r="R60" s="33"/>
      <c r="S60" s="33"/>
      <c r="T60" s="33"/>
    </row>
    <row r="61" spans="1:20" ht="12" customHeight="1" x14ac:dyDescent="0.25">
      <c r="O61" s="33"/>
      <c r="P61" s="33"/>
      <c r="Q61" s="33"/>
      <c r="R61" s="33"/>
      <c r="S61" s="33"/>
      <c r="T61" s="33"/>
    </row>
    <row r="62" spans="1:20" ht="12" customHeight="1" x14ac:dyDescent="0.25">
      <c r="O62" s="33"/>
      <c r="P62" s="33"/>
      <c r="Q62" s="33"/>
      <c r="R62" s="33"/>
      <c r="S62" s="33"/>
      <c r="T62" s="33"/>
    </row>
    <row r="63" spans="1:20" ht="12" customHeight="1" x14ac:dyDescent="0.25">
      <c r="O63" s="33"/>
      <c r="P63" s="33"/>
      <c r="Q63" s="33"/>
      <c r="R63" s="33"/>
      <c r="S63" s="33"/>
      <c r="T63" s="33"/>
    </row>
    <row r="64" spans="1:20" ht="12" customHeight="1" x14ac:dyDescent="0.25">
      <c r="O64" s="33"/>
      <c r="P64" s="33"/>
      <c r="Q64" s="33"/>
      <c r="R64" s="33"/>
      <c r="S64" s="33"/>
      <c r="T64" s="33"/>
    </row>
    <row r="65" spans="15:20" ht="12" customHeight="1" x14ac:dyDescent="0.25">
      <c r="O65" s="33"/>
      <c r="P65" s="33"/>
      <c r="Q65" s="33"/>
      <c r="R65" s="33"/>
      <c r="S65" s="33"/>
      <c r="T65" s="33"/>
    </row>
    <row r="66" spans="15:20" ht="12" customHeight="1" x14ac:dyDescent="0.25">
      <c r="O66" s="33"/>
      <c r="P66" s="33"/>
      <c r="Q66" s="33"/>
      <c r="R66" s="33"/>
      <c r="S66" s="33"/>
      <c r="T66" s="33"/>
    </row>
    <row r="67" spans="15:20" ht="12" customHeight="1" x14ac:dyDescent="0.25">
      <c r="O67" s="33"/>
      <c r="P67" s="33"/>
      <c r="Q67" s="33"/>
      <c r="R67" s="33"/>
      <c r="S67" s="33"/>
      <c r="T67" s="33"/>
    </row>
    <row r="68" spans="15:20" ht="12" customHeight="1" x14ac:dyDescent="0.25">
      <c r="O68" s="33"/>
      <c r="P68" s="33"/>
      <c r="Q68" s="33"/>
      <c r="R68" s="33"/>
      <c r="S68" s="33"/>
      <c r="T68" s="33"/>
    </row>
    <row r="69" spans="15:20" ht="12" customHeight="1" x14ac:dyDescent="0.25">
      <c r="O69" s="33"/>
      <c r="P69" s="33"/>
      <c r="Q69" s="33"/>
      <c r="R69" s="33"/>
      <c r="S69" s="33"/>
      <c r="T69" s="33"/>
    </row>
    <row r="70" spans="15:20" ht="12" customHeight="1" x14ac:dyDescent="0.25">
      <c r="O70" s="33"/>
      <c r="P70" s="33"/>
      <c r="Q70" s="33"/>
      <c r="R70" s="33"/>
      <c r="S70" s="33"/>
      <c r="T70" s="33"/>
    </row>
    <row r="71" spans="15:20" ht="12" customHeight="1" x14ac:dyDescent="0.25">
      <c r="O71" s="33"/>
      <c r="P71" s="33"/>
      <c r="Q71" s="33"/>
      <c r="R71" s="33"/>
      <c r="S71" s="33"/>
      <c r="T71" s="33"/>
    </row>
    <row r="72" spans="15:20" ht="12" customHeight="1" x14ac:dyDescent="0.25">
      <c r="O72" s="33"/>
      <c r="P72" s="33"/>
      <c r="Q72" s="33"/>
      <c r="R72" s="33"/>
      <c r="S72" s="33"/>
      <c r="T72" s="33"/>
    </row>
    <row r="73" spans="15:20" ht="12" customHeight="1" x14ac:dyDescent="0.25">
      <c r="O73" s="33"/>
      <c r="P73" s="33"/>
      <c r="Q73" s="33"/>
      <c r="R73" s="33"/>
      <c r="S73" s="33"/>
      <c r="T73" s="33"/>
    </row>
    <row r="74" spans="15:20" ht="12" customHeight="1" x14ac:dyDescent="0.25">
      <c r="O74" s="33"/>
      <c r="P74" s="33"/>
      <c r="Q74" s="33"/>
      <c r="R74" s="33"/>
      <c r="S74" s="33"/>
      <c r="T74" s="33"/>
    </row>
    <row r="75" spans="15:20" ht="12" customHeight="1" x14ac:dyDescent="0.25">
      <c r="O75" s="33"/>
      <c r="P75" s="33"/>
      <c r="Q75" s="33"/>
      <c r="R75" s="33"/>
      <c r="S75" s="33"/>
      <c r="T75" s="33"/>
    </row>
    <row r="76" spans="15:20" ht="12" customHeight="1" x14ac:dyDescent="0.25">
      <c r="O76" s="33"/>
      <c r="P76" s="33"/>
      <c r="Q76" s="33"/>
      <c r="R76" s="33"/>
      <c r="S76" s="33"/>
      <c r="T76" s="33"/>
    </row>
    <row r="77" spans="15:20" ht="12" customHeight="1" x14ac:dyDescent="0.25">
      <c r="O77" s="33"/>
      <c r="P77" s="33"/>
      <c r="Q77" s="33"/>
      <c r="R77" s="33"/>
      <c r="S77" s="33"/>
      <c r="T77" s="33"/>
    </row>
    <row r="78" spans="15:20" ht="12" customHeight="1" x14ac:dyDescent="0.25">
      <c r="O78" s="33"/>
      <c r="P78" s="33"/>
      <c r="Q78" s="33"/>
      <c r="R78" s="33"/>
      <c r="S78" s="33"/>
      <c r="T78" s="33"/>
    </row>
    <row r="79" spans="15:20" ht="12" customHeight="1" x14ac:dyDescent="0.25">
      <c r="O79" s="33"/>
      <c r="P79" s="33"/>
      <c r="Q79" s="33"/>
      <c r="R79" s="33"/>
      <c r="S79" s="33"/>
      <c r="T79" s="33"/>
    </row>
    <row r="80" spans="15:20" ht="12" customHeight="1" x14ac:dyDescent="0.25">
      <c r="O80" s="33"/>
      <c r="P80" s="33"/>
      <c r="Q80" s="33"/>
      <c r="R80" s="33"/>
      <c r="S80" s="33"/>
      <c r="T80" s="33"/>
    </row>
    <row r="81" spans="15:20" ht="12" customHeight="1" x14ac:dyDescent="0.25">
      <c r="O81" s="33"/>
      <c r="P81" s="33"/>
      <c r="Q81" s="33"/>
      <c r="R81" s="33"/>
      <c r="S81" s="33"/>
      <c r="T81" s="33"/>
    </row>
    <row r="82" spans="15:20" ht="12" customHeight="1" x14ac:dyDescent="0.25">
      <c r="O82" s="33"/>
      <c r="P82" s="33"/>
      <c r="Q82" s="33"/>
      <c r="R82" s="33"/>
      <c r="S82" s="33"/>
      <c r="T82" s="33"/>
    </row>
    <row r="83" spans="15:20" ht="12" customHeight="1" x14ac:dyDescent="0.25">
      <c r="O83" s="33"/>
      <c r="P83" s="33"/>
      <c r="Q83" s="33"/>
      <c r="R83" s="33"/>
      <c r="S83" s="33"/>
      <c r="T83" s="33"/>
    </row>
    <row r="84" spans="15:20" ht="12" customHeight="1" x14ac:dyDescent="0.25">
      <c r="O84" s="33"/>
      <c r="P84" s="33"/>
      <c r="Q84" s="33"/>
      <c r="R84" s="33"/>
      <c r="S84" s="33"/>
      <c r="T84" s="33"/>
    </row>
    <row r="85" spans="15:20" ht="12" customHeight="1" x14ac:dyDescent="0.25">
      <c r="O85" s="33"/>
      <c r="P85" s="33"/>
      <c r="Q85" s="33"/>
      <c r="R85" s="33"/>
      <c r="S85" s="33"/>
      <c r="T85" s="33"/>
    </row>
    <row r="86" spans="15:20" ht="12" customHeight="1" x14ac:dyDescent="0.25">
      <c r="O86" s="33"/>
      <c r="P86" s="33"/>
      <c r="Q86" s="33"/>
      <c r="R86" s="33"/>
      <c r="S86" s="33"/>
      <c r="T86" s="33"/>
    </row>
    <row r="87" spans="15:20" ht="12" customHeight="1" x14ac:dyDescent="0.25">
      <c r="O87" s="33"/>
      <c r="P87" s="33"/>
      <c r="Q87" s="33"/>
      <c r="R87" s="33"/>
      <c r="S87" s="33"/>
      <c r="T87" s="33"/>
    </row>
    <row r="88" spans="15:20" ht="12" customHeight="1" x14ac:dyDescent="0.25">
      <c r="O88" s="33"/>
      <c r="P88" s="33"/>
      <c r="Q88" s="33"/>
      <c r="R88" s="33"/>
      <c r="S88" s="33"/>
      <c r="T88" s="33"/>
    </row>
    <row r="89" spans="15:20" ht="12" customHeight="1" x14ac:dyDescent="0.25">
      <c r="O89" s="33"/>
      <c r="P89" s="33"/>
      <c r="Q89" s="33"/>
      <c r="R89" s="33"/>
      <c r="S89" s="33"/>
      <c r="T89" s="33"/>
    </row>
    <row r="90" spans="15:20" ht="12" customHeight="1" x14ac:dyDescent="0.25">
      <c r="O90" s="33"/>
      <c r="P90" s="33"/>
      <c r="Q90" s="33"/>
      <c r="R90" s="33"/>
      <c r="S90" s="33"/>
      <c r="T90" s="33"/>
    </row>
    <row r="91" spans="15:20" ht="12" customHeight="1" x14ac:dyDescent="0.25">
      <c r="O91" s="33"/>
      <c r="P91" s="33"/>
      <c r="Q91" s="33"/>
      <c r="R91" s="33"/>
      <c r="S91" s="33"/>
      <c r="T91" s="33"/>
    </row>
    <row r="92" spans="15:20" ht="12" customHeight="1" x14ac:dyDescent="0.25">
      <c r="O92" s="33"/>
      <c r="P92" s="33"/>
      <c r="Q92" s="33"/>
      <c r="R92" s="33"/>
      <c r="S92" s="33"/>
      <c r="T92" s="33"/>
    </row>
    <row r="93" spans="15:20" ht="12" customHeight="1" x14ac:dyDescent="0.25">
      <c r="O93" s="33"/>
      <c r="P93" s="33"/>
      <c r="Q93" s="33"/>
      <c r="R93" s="33"/>
      <c r="S93" s="33"/>
      <c r="T93" s="33"/>
    </row>
    <row r="94" spans="15:20" ht="12" customHeight="1" x14ac:dyDescent="0.25">
      <c r="O94" s="33"/>
      <c r="P94" s="33"/>
      <c r="Q94" s="33"/>
      <c r="R94" s="33"/>
      <c r="S94" s="33"/>
      <c r="T94" s="33"/>
    </row>
    <row r="95" spans="15:20" ht="12" customHeight="1" x14ac:dyDescent="0.25">
      <c r="O95" s="33"/>
      <c r="P95" s="33"/>
      <c r="Q95" s="33"/>
      <c r="R95" s="33"/>
      <c r="S95" s="33"/>
      <c r="T95" s="33"/>
    </row>
    <row r="96" spans="15:20" ht="12" customHeight="1" x14ac:dyDescent="0.25">
      <c r="O96" s="33"/>
      <c r="P96" s="33"/>
      <c r="Q96" s="33"/>
      <c r="R96" s="33"/>
      <c r="S96" s="33"/>
      <c r="T96" s="33"/>
    </row>
    <row r="97" spans="15:30" ht="12" customHeight="1" x14ac:dyDescent="0.25">
      <c r="O97" s="33"/>
      <c r="P97" s="33"/>
      <c r="Q97" s="33"/>
      <c r="R97" s="33"/>
      <c r="S97" s="33"/>
      <c r="T97" s="33"/>
    </row>
    <row r="98" spans="15:30" ht="12" customHeight="1" x14ac:dyDescent="0.25">
      <c r="O98" s="33"/>
      <c r="P98" s="33"/>
      <c r="Q98" s="33"/>
      <c r="R98" s="33"/>
      <c r="S98" s="33"/>
      <c r="T98" s="33"/>
    </row>
    <row r="99" spans="15:30" ht="12" customHeight="1" x14ac:dyDescent="0.25">
      <c r="O99" s="32"/>
      <c r="P99" s="32"/>
      <c r="Q99" s="32"/>
      <c r="R99" s="32"/>
      <c r="S99" s="32"/>
      <c r="T99" s="32"/>
    </row>
    <row r="100" spans="15:30" ht="12" customHeight="1" x14ac:dyDescent="0.25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25">
      <c r="O101" s="33" t="s">
        <v>735</v>
      </c>
      <c r="P101" s="33" t="s">
        <v>740</v>
      </c>
      <c r="Q101" s="33" t="s">
        <v>741</v>
      </c>
      <c r="R101" s="33" t="s">
        <v>742</v>
      </c>
      <c r="S101" s="33" t="s">
        <v>743</v>
      </c>
      <c r="T101" s="33" t="s">
        <v>744</v>
      </c>
      <c r="U101" s="33" t="s">
        <v>745</v>
      </c>
      <c r="V101" s="33" t="s">
        <v>746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25">
      <c r="O102" s="33" t="s">
        <v>40</v>
      </c>
      <c r="P102" s="33" t="s">
        <v>23</v>
      </c>
      <c r="Q102" s="33" t="s">
        <v>44</v>
      </c>
      <c r="R102" s="33" t="s">
        <v>45</v>
      </c>
      <c r="S102" s="33" t="s">
        <v>25</v>
      </c>
      <c r="T102" s="33" t="s">
        <v>45</v>
      </c>
      <c r="U102" s="33">
        <v>4</v>
      </c>
      <c r="V102" s="33">
        <v>0.3</v>
      </c>
      <c r="W102" s="33">
        <v>0.24</v>
      </c>
      <c r="X102" s="33">
        <v>0.18</v>
      </c>
      <c r="Y102" s="33">
        <v>0.12</v>
      </c>
      <c r="Z102" s="33">
        <v>0.06</v>
      </c>
      <c r="AA102" s="33">
        <v>0</v>
      </c>
      <c r="AB102" s="33"/>
      <c r="AC102" s="33"/>
      <c r="AD102" s="33"/>
    </row>
    <row r="103" spans="15:30" ht="12" customHeight="1" x14ac:dyDescent="0.25"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</row>
    <row r="104" spans="15:30" ht="12" customHeight="1" x14ac:dyDescent="0.25"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</row>
    <row r="105" spans="15:30" ht="12" customHeight="1" x14ac:dyDescent="0.25"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</row>
    <row r="106" spans="15:30" ht="12" customHeight="1" x14ac:dyDescent="0.25"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</row>
    <row r="107" spans="15:30" ht="12" customHeight="1" x14ac:dyDescent="0.25"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</row>
    <row r="108" spans="15:30" ht="12" customHeight="1" x14ac:dyDescent="0.25"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</row>
    <row r="109" spans="15:30" ht="12" customHeight="1" x14ac:dyDescent="0.25"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</row>
    <row r="110" spans="15:30" ht="12" customHeight="1" x14ac:dyDescent="0.25"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</row>
    <row r="111" spans="15:30" ht="12" customHeight="1" x14ac:dyDescent="0.25"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</row>
    <row r="112" spans="15:30" ht="12" customHeight="1" x14ac:dyDescent="0.25"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</row>
    <row r="113" spans="15:30" ht="12" customHeight="1" x14ac:dyDescent="0.25"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</row>
    <row r="114" spans="15:30" ht="12" customHeight="1" x14ac:dyDescent="0.25"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</row>
    <row r="115" spans="15:30" ht="12" customHeight="1" x14ac:dyDescent="0.25"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</row>
    <row r="116" spans="15:30" ht="12" customHeight="1" x14ac:dyDescent="0.25"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5:30" ht="12" customHeight="1" x14ac:dyDescent="0.25"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</row>
    <row r="118" spans="15:30" ht="12" customHeight="1" x14ac:dyDescent="0.25"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</row>
    <row r="119" spans="15:30" ht="12" customHeight="1" x14ac:dyDescent="0.25"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</row>
    <row r="120" spans="15:30" ht="12" customHeight="1" x14ac:dyDescent="0.25"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</row>
    <row r="121" spans="15:30" ht="12" customHeight="1" x14ac:dyDescent="0.25"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</row>
    <row r="122" spans="15:30" ht="12" customHeight="1" x14ac:dyDescent="0.25"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</row>
    <row r="123" spans="15:30" ht="12" customHeight="1" x14ac:dyDescent="0.25"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</row>
    <row r="124" spans="15:30" ht="12" customHeight="1" x14ac:dyDescent="0.25"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</row>
    <row r="125" spans="15:30" ht="12" customHeight="1" x14ac:dyDescent="0.25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25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25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25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25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25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25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25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25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25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25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25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25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25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25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25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25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25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25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25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25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25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25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25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25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25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25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25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25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25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25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25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25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25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25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25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25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25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25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25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25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25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25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25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25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25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25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25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25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25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25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25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25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25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25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25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25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25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25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25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25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25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25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25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25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25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25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25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25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25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25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25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25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25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25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25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F001-4D08-4D58-9CEE-656EF90EFEE6}">
  <dimension ref="A1:AP61"/>
  <sheetViews>
    <sheetView showGridLines="0" topLeftCell="D43" workbookViewId="0">
      <selection activeCell="K72" sqref="K72: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683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P1" s="147" t="s">
        <v>684</v>
      </c>
    </row>
    <row r="2" spans="1:42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P2" s="148"/>
    </row>
    <row r="3" spans="1:42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P3" s="148"/>
    </row>
    <row r="4" spans="1:42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P4" s="148"/>
    </row>
    <row r="5" spans="1:42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/>
      <c r="M5" s="12"/>
      <c r="N5" s="12"/>
      <c r="O5" s="12"/>
      <c r="P5" s="12"/>
      <c r="Q5" s="12"/>
      <c r="R5" s="12"/>
      <c r="S5" s="12"/>
      <c r="T5" s="12"/>
      <c r="U5" s="12">
        <v>0</v>
      </c>
      <c r="V5" s="12">
        <v>0</v>
      </c>
      <c r="W5" s="12">
        <v>0</v>
      </c>
      <c r="X5" s="12">
        <v>0</v>
      </c>
      <c r="Y5" s="12">
        <v>19.441400000000002</v>
      </c>
      <c r="Z5" s="12">
        <v>0</v>
      </c>
      <c r="AA5" s="12">
        <v>0</v>
      </c>
      <c r="AB5" s="12"/>
      <c r="AC5" s="12">
        <v>14.68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P5" s="12">
        <v>1</v>
      </c>
    </row>
    <row r="6" spans="1:42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/>
      <c r="M6" s="12"/>
      <c r="N6" s="12"/>
      <c r="O6" s="12"/>
      <c r="P6" s="12"/>
      <c r="Q6" s="12"/>
      <c r="R6" s="12"/>
      <c r="S6" s="12"/>
      <c r="T6" s="12"/>
      <c r="U6" s="12">
        <v>0</v>
      </c>
      <c r="V6" s="12">
        <v>0</v>
      </c>
      <c r="W6" s="12">
        <v>0</v>
      </c>
      <c r="X6" s="12">
        <v>0</v>
      </c>
      <c r="Y6" s="12">
        <v>8.4810999999999996</v>
      </c>
      <c r="Z6" s="12">
        <v>0</v>
      </c>
      <c r="AA6" s="12">
        <v>0</v>
      </c>
      <c r="AB6" s="12"/>
      <c r="AC6" s="12">
        <v>4.7050999999999998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P6" s="12">
        <v>1</v>
      </c>
    </row>
    <row r="7" spans="1:42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/>
      <c r="M7" s="12"/>
      <c r="N7" s="12"/>
      <c r="O7" s="12"/>
      <c r="P7" s="12"/>
      <c r="Q7" s="12"/>
      <c r="R7" s="12"/>
      <c r="S7" s="12"/>
      <c r="T7" s="12"/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/>
      <c r="AC7" s="12">
        <v>0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P7" s="12">
        <v>1</v>
      </c>
    </row>
    <row r="8" spans="1:42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/>
      <c r="M8" s="12"/>
      <c r="N8" s="12"/>
      <c r="O8" s="12"/>
      <c r="P8" s="12"/>
      <c r="Q8" s="12"/>
      <c r="R8" s="12"/>
      <c r="S8" s="12"/>
      <c r="T8" s="12"/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/>
      <c r="AC8" s="12">
        <v>0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P8" s="12">
        <v>1</v>
      </c>
    </row>
    <row r="9" spans="1:42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/>
      <c r="M9" s="12"/>
      <c r="N9" s="12"/>
      <c r="O9" s="12"/>
      <c r="P9" s="12"/>
      <c r="Q9" s="12"/>
      <c r="R9" s="12"/>
      <c r="S9" s="12"/>
      <c r="T9" s="12"/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/>
      <c r="AC9" s="12">
        <v>4.843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P9" s="12"/>
    </row>
    <row r="10" spans="1:42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/>
      <c r="M10" s="12"/>
      <c r="N10" s="12"/>
      <c r="O10" s="12"/>
      <c r="P10" s="12"/>
      <c r="Q10" s="12"/>
      <c r="R10" s="12"/>
      <c r="S10" s="12"/>
      <c r="T10" s="12"/>
      <c r="U10" s="12">
        <v>0</v>
      </c>
      <c r="V10" s="12">
        <v>0</v>
      </c>
      <c r="W10" s="12">
        <v>0</v>
      </c>
      <c r="X10" s="12">
        <v>0</v>
      </c>
      <c r="Y10" s="12">
        <v>8.4810999999999996</v>
      </c>
      <c r="Z10" s="12">
        <v>0</v>
      </c>
      <c r="AA10" s="12">
        <v>0</v>
      </c>
      <c r="AB10" s="12"/>
      <c r="AC10" s="12">
        <v>4.7050999999999998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P10" s="12">
        <v>1</v>
      </c>
    </row>
    <row r="11" spans="1:42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/>
      <c r="M11" s="12"/>
      <c r="N11" s="12"/>
      <c r="O11" s="12"/>
      <c r="P11" s="12"/>
      <c r="Q11" s="12"/>
      <c r="R11" s="12"/>
      <c r="S11" s="12"/>
      <c r="T11" s="12"/>
      <c r="U11" s="12">
        <v>0</v>
      </c>
      <c r="V11" s="12">
        <v>0</v>
      </c>
      <c r="W11" s="12">
        <v>0</v>
      </c>
      <c r="X11" s="12">
        <v>0</v>
      </c>
      <c r="Y11" s="12">
        <v>467.5659</v>
      </c>
      <c r="Z11" s="12">
        <v>0</v>
      </c>
      <c r="AA11" s="12">
        <v>0</v>
      </c>
      <c r="AB11" s="12"/>
      <c r="AC11" s="12">
        <v>353.05470000000003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P11" s="12">
        <v>1</v>
      </c>
    </row>
    <row r="12" spans="1:42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/>
      <c r="M12" s="12"/>
      <c r="N12" s="12"/>
      <c r="O12" s="12"/>
      <c r="P12" s="12"/>
      <c r="Q12" s="12"/>
      <c r="R12" s="12"/>
      <c r="S12" s="12"/>
      <c r="T12" s="12"/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/>
      <c r="AC12" s="12">
        <v>0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P12" s="12">
        <v>1</v>
      </c>
    </row>
    <row r="13" spans="1:42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/>
      <c r="M13" s="12"/>
      <c r="N13" s="12"/>
      <c r="O13" s="12"/>
      <c r="P13" s="12"/>
      <c r="Q13" s="12"/>
      <c r="R13" s="12"/>
      <c r="S13" s="12"/>
      <c r="T13" s="12"/>
      <c r="U13" s="12">
        <v>0</v>
      </c>
      <c r="V13" s="12">
        <v>0</v>
      </c>
      <c r="W13" s="12">
        <v>0</v>
      </c>
      <c r="X13" s="12">
        <v>0</v>
      </c>
      <c r="Y13" s="12">
        <v>467.5659</v>
      </c>
      <c r="Z13" s="12">
        <v>0</v>
      </c>
      <c r="AA13" s="12">
        <v>0</v>
      </c>
      <c r="AB13" s="12"/>
      <c r="AC13" s="12">
        <v>353.05470000000003</v>
      </c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P13" s="12">
        <v>1</v>
      </c>
    </row>
    <row r="14" spans="1:42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/>
      <c r="M14" s="12"/>
      <c r="N14" s="12"/>
      <c r="O14" s="12"/>
      <c r="P14" s="12"/>
      <c r="Q14" s="12"/>
      <c r="R14" s="12"/>
      <c r="S14" s="12"/>
      <c r="T14" s="12"/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/>
      <c r="AC14" s="12">
        <v>0</v>
      </c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P14" s="12">
        <v>1</v>
      </c>
    </row>
    <row r="15" spans="1:42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/>
      <c r="M15" s="12"/>
      <c r="N15" s="12"/>
      <c r="O15" s="12"/>
      <c r="P15" s="12"/>
      <c r="Q15" s="12"/>
      <c r="R15" s="12"/>
      <c r="S15" s="12"/>
      <c r="T15" s="12"/>
      <c r="U15" s="12">
        <v>0</v>
      </c>
      <c r="V15" s="12">
        <v>0</v>
      </c>
      <c r="W15" s="12">
        <v>0</v>
      </c>
      <c r="X15" s="12">
        <v>0</v>
      </c>
      <c r="Y15" s="12">
        <v>19.441400000000002</v>
      </c>
      <c r="Z15" s="12">
        <v>0</v>
      </c>
      <c r="AA15" s="12">
        <v>0</v>
      </c>
      <c r="AB15" s="12"/>
      <c r="AC15" s="12">
        <v>14.68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P15" s="12">
        <v>1</v>
      </c>
    </row>
    <row r="16" spans="1:42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/>
      <c r="M16" s="12"/>
      <c r="N16" s="12"/>
      <c r="O16" s="12"/>
      <c r="P16" s="12"/>
      <c r="Q16" s="12"/>
      <c r="R16" s="12"/>
      <c r="S16" s="12"/>
      <c r="T16" s="12"/>
      <c r="U16" s="12">
        <v>0</v>
      </c>
      <c r="V16" s="12">
        <v>0</v>
      </c>
      <c r="W16" s="12">
        <v>0</v>
      </c>
      <c r="X16" s="12">
        <v>0</v>
      </c>
      <c r="Y16" s="12">
        <v>8.4810999999999996</v>
      </c>
      <c r="Z16" s="12">
        <v>0</v>
      </c>
      <c r="AA16" s="12">
        <v>0</v>
      </c>
      <c r="AB16" s="12"/>
      <c r="AC16" s="12">
        <v>4.7050999999999998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P16" s="12">
        <v>1</v>
      </c>
    </row>
    <row r="17" spans="1:42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/>
      <c r="M17" s="12"/>
      <c r="N17" s="12"/>
      <c r="O17" s="12"/>
      <c r="P17" s="12"/>
      <c r="Q17" s="12"/>
      <c r="R17" s="12"/>
      <c r="S17" s="12"/>
      <c r="T17" s="12"/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/>
      <c r="AC17" s="12">
        <v>0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P17" s="12">
        <v>1</v>
      </c>
    </row>
    <row r="18" spans="1:42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/>
      <c r="M18" s="12"/>
      <c r="N18" s="12"/>
      <c r="O18" s="12"/>
      <c r="P18" s="12"/>
      <c r="Q18" s="12"/>
      <c r="R18" s="12"/>
      <c r="S18" s="12"/>
      <c r="T18" s="12"/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/>
      <c r="AC18" s="12">
        <v>0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P18" s="12">
        <v>1</v>
      </c>
    </row>
    <row r="19" spans="1:42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/>
      <c r="M19" s="12"/>
      <c r="N19" s="12"/>
      <c r="O19" s="12"/>
      <c r="P19" s="12"/>
      <c r="Q19" s="12"/>
      <c r="R19" s="12"/>
      <c r="S19" s="12"/>
      <c r="T19" s="12"/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/>
      <c r="AC19" s="12">
        <v>4.843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P19" s="12"/>
    </row>
    <row r="20" spans="1:42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/>
      <c r="M20" s="12"/>
      <c r="N20" s="12"/>
      <c r="O20" s="12"/>
      <c r="P20" s="12"/>
      <c r="Q20" s="12"/>
      <c r="R20" s="12"/>
      <c r="S20" s="12"/>
      <c r="T20" s="12"/>
      <c r="U20" s="12">
        <v>0</v>
      </c>
      <c r="V20" s="12">
        <v>0</v>
      </c>
      <c r="W20" s="12">
        <v>0</v>
      </c>
      <c r="X20" s="12">
        <v>0</v>
      </c>
      <c r="Y20" s="12">
        <v>8.4810999999999996</v>
      </c>
      <c r="Z20" s="12">
        <v>0</v>
      </c>
      <c r="AA20" s="12">
        <v>0</v>
      </c>
      <c r="AB20" s="12"/>
      <c r="AC20" s="12">
        <v>4.7050999999999998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P20" s="12">
        <v>1</v>
      </c>
    </row>
    <row r="21" spans="1:42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/>
      <c r="M21" s="12"/>
      <c r="N21" s="12"/>
      <c r="O21" s="12"/>
      <c r="P21" s="12"/>
      <c r="Q21" s="12"/>
      <c r="R21" s="12"/>
      <c r="S21" s="12"/>
      <c r="T21" s="12"/>
      <c r="U21" s="12">
        <v>0</v>
      </c>
      <c r="V21" s="12">
        <v>0</v>
      </c>
      <c r="W21" s="12">
        <v>0</v>
      </c>
      <c r="X21" s="12">
        <v>0</v>
      </c>
      <c r="Y21" s="12">
        <v>467.5659</v>
      </c>
      <c r="Z21" s="12">
        <v>0</v>
      </c>
      <c r="AA21" s="12">
        <v>0</v>
      </c>
      <c r="AB21" s="12"/>
      <c r="AC21" s="12">
        <v>353.05470000000003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P21" s="12">
        <v>1</v>
      </c>
    </row>
    <row r="22" spans="1:42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/>
      <c r="M22" s="12"/>
      <c r="N22" s="12"/>
      <c r="O22" s="12"/>
      <c r="P22" s="12"/>
      <c r="Q22" s="12"/>
      <c r="R22" s="12"/>
      <c r="S22" s="12"/>
      <c r="T22" s="12"/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/>
      <c r="AC22" s="12">
        <v>0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P22" s="12">
        <v>1</v>
      </c>
    </row>
    <row r="23" spans="1:42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/>
      <c r="M23" s="12"/>
      <c r="N23" s="12"/>
      <c r="O23" s="12"/>
      <c r="P23" s="12"/>
      <c r="Q23" s="12"/>
      <c r="R23" s="12"/>
      <c r="S23" s="12"/>
      <c r="T23" s="12"/>
      <c r="U23" s="12">
        <v>0</v>
      </c>
      <c r="V23" s="12">
        <v>0</v>
      </c>
      <c r="W23" s="12">
        <v>0</v>
      </c>
      <c r="X23" s="12">
        <v>0</v>
      </c>
      <c r="Y23" s="12">
        <v>467.5659</v>
      </c>
      <c r="Z23" s="12">
        <v>0</v>
      </c>
      <c r="AA23" s="12">
        <v>0</v>
      </c>
      <c r="AB23" s="12"/>
      <c r="AC23" s="12">
        <v>353.05470000000003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P23" s="12">
        <v>1</v>
      </c>
    </row>
    <row r="24" spans="1:42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/>
      <c r="M24" s="12"/>
      <c r="N24" s="12"/>
      <c r="O24" s="12"/>
      <c r="P24" s="12"/>
      <c r="Q24" s="12"/>
      <c r="R24" s="12"/>
      <c r="S24" s="12"/>
      <c r="T24" s="12"/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/>
      <c r="AC24" s="12">
        <v>0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P24" s="12">
        <v>1</v>
      </c>
    </row>
    <row r="25" spans="1:42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/>
      <c r="M25" s="12"/>
      <c r="N25" s="12"/>
      <c r="O25" s="12"/>
      <c r="P25" s="12"/>
      <c r="Q25" s="12"/>
      <c r="R25" s="12"/>
      <c r="S25" s="12"/>
      <c r="T25" s="12"/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/>
      <c r="AC25" s="12">
        <v>2.6916000000000002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P25" s="12"/>
    </row>
    <row r="26" spans="1:42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/>
      <c r="M26" s="12"/>
      <c r="N26" s="12"/>
      <c r="O26" s="12"/>
      <c r="P26" s="12"/>
      <c r="Q26" s="12"/>
      <c r="R26" s="12"/>
      <c r="S26" s="12"/>
      <c r="T26" s="12"/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/>
      <c r="AC26" s="12">
        <v>8.9007000000000005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P26" s="12"/>
    </row>
    <row r="27" spans="1:42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/>
      <c r="M27" s="12"/>
      <c r="N27" s="12"/>
      <c r="O27" s="12"/>
      <c r="P27" s="12"/>
      <c r="Q27" s="12"/>
      <c r="R27" s="12"/>
      <c r="S27" s="12"/>
      <c r="T27" s="12"/>
      <c r="U27" s="12">
        <v>0</v>
      </c>
      <c r="V27" s="12">
        <v>0</v>
      </c>
      <c r="W27" s="12">
        <v>0</v>
      </c>
      <c r="X27" s="12">
        <v>0</v>
      </c>
      <c r="Y27" s="12">
        <v>344.13810000000001</v>
      </c>
      <c r="Z27" s="12">
        <v>0</v>
      </c>
      <c r="AA27" s="12">
        <v>0</v>
      </c>
      <c r="AB27" s="12"/>
      <c r="AC27" s="12">
        <v>619.96019999999999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P27" s="12">
        <v>1</v>
      </c>
    </row>
    <row r="28" spans="1:42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/>
      <c r="M28" s="12"/>
      <c r="N28" s="12"/>
      <c r="O28" s="12"/>
      <c r="P28" s="12"/>
      <c r="Q28" s="12"/>
      <c r="R28" s="12"/>
      <c r="S28" s="12"/>
      <c r="T28" s="12"/>
      <c r="U28" s="12">
        <v>0</v>
      </c>
      <c r="V28" s="12">
        <v>0</v>
      </c>
      <c r="W28" s="12">
        <v>0</v>
      </c>
      <c r="X28" s="12">
        <v>0</v>
      </c>
      <c r="Y28" s="12">
        <v>86.034499999999994</v>
      </c>
      <c r="Z28" s="12">
        <v>0</v>
      </c>
      <c r="AA28" s="12">
        <v>0</v>
      </c>
      <c r="AB28" s="12"/>
      <c r="AC28" s="12">
        <v>154.99010000000001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P28" s="12">
        <v>1</v>
      </c>
    </row>
    <row r="29" spans="1:42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/>
      <c r="M29" s="12"/>
      <c r="N29" s="12"/>
      <c r="O29" s="12"/>
      <c r="P29" s="12"/>
      <c r="Q29" s="12"/>
      <c r="R29" s="12"/>
      <c r="S29" s="12"/>
      <c r="T29" s="12"/>
      <c r="U29" s="12">
        <v>0</v>
      </c>
      <c r="V29" s="12">
        <v>0</v>
      </c>
      <c r="W29" s="12">
        <v>0</v>
      </c>
      <c r="X29" s="12">
        <v>0</v>
      </c>
      <c r="Y29" s="12">
        <v>17.206900000000001</v>
      </c>
      <c r="Z29" s="12">
        <v>0</v>
      </c>
      <c r="AA29" s="12">
        <v>0</v>
      </c>
      <c r="AB29" s="12"/>
      <c r="AC29" s="12">
        <v>30.998000000000001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P29" s="12">
        <v>1</v>
      </c>
    </row>
    <row r="30" spans="1:42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/>
      <c r="M30" s="12"/>
      <c r="N30" s="12"/>
      <c r="O30" s="12"/>
      <c r="P30" s="12"/>
      <c r="Q30" s="12"/>
      <c r="R30" s="12"/>
      <c r="S30" s="12"/>
      <c r="T30" s="12"/>
      <c r="U30" s="12">
        <v>0</v>
      </c>
      <c r="V30" s="12">
        <v>0</v>
      </c>
      <c r="W30" s="12">
        <v>0</v>
      </c>
      <c r="X30" s="12">
        <v>0</v>
      </c>
      <c r="Y30" s="12">
        <v>63.729300000000002</v>
      </c>
      <c r="Z30" s="12">
        <v>0</v>
      </c>
      <c r="AA30" s="12">
        <v>0</v>
      </c>
      <c r="AB30" s="12"/>
      <c r="AC30" s="12">
        <v>114.8074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P30" s="12">
        <v>1</v>
      </c>
    </row>
    <row r="31" spans="1:42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/>
      <c r="M31" s="12"/>
      <c r="N31" s="12"/>
      <c r="O31" s="12"/>
      <c r="P31" s="12"/>
      <c r="Q31" s="12"/>
      <c r="R31" s="12"/>
      <c r="S31" s="12"/>
      <c r="T31" s="12"/>
      <c r="U31" s="12">
        <v>0</v>
      </c>
      <c r="V31" s="12">
        <v>0</v>
      </c>
      <c r="W31" s="12">
        <v>0</v>
      </c>
      <c r="X31" s="12">
        <v>0</v>
      </c>
      <c r="Y31" s="12">
        <f>(1 - CUSTOS!$M$24)*63.7293</f>
        <v>63.729300000000002</v>
      </c>
      <c r="Z31" s="12">
        <v>0</v>
      </c>
      <c r="AA31" s="12">
        <v>0</v>
      </c>
      <c r="AB31" s="12"/>
      <c r="AC31" s="12">
        <f>(1 - CUSTOS!$M$24)*114.8074</f>
        <v>114.8074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P31" s="12">
        <f>IF((1 - CUSTOS!$M$24)&lt;&gt;0,1/(1 - CUSTOS!$M$24),1)</f>
        <v>1</v>
      </c>
    </row>
    <row r="32" spans="1:42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/>
      <c r="M32" s="12"/>
      <c r="N32" s="12"/>
      <c r="O32" s="12"/>
      <c r="P32" s="12"/>
      <c r="Q32" s="12"/>
      <c r="R32" s="12"/>
      <c r="S32" s="12"/>
      <c r="T32" s="12"/>
      <c r="U32" s="12">
        <v>0</v>
      </c>
      <c r="V32" s="12">
        <v>0</v>
      </c>
      <c r="W32" s="12">
        <v>0</v>
      </c>
      <c r="X32" s="12">
        <v>0</v>
      </c>
      <c r="Y32" s="12">
        <f>(1 - CUSTOS!$M$25)*63.7293</f>
        <v>63.729300000000002</v>
      </c>
      <c r="Z32" s="12">
        <v>0</v>
      </c>
      <c r="AA32" s="12">
        <v>0</v>
      </c>
      <c r="AB32" s="12"/>
      <c r="AC32" s="12">
        <f>(1 - CUSTOS!$M$25)*114.8074</f>
        <v>114.8074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P32" s="12">
        <f>IF((1 - CUSTOS!$M$25)&lt;&gt;0,1/(1 - CUSTOS!$M$25),1)</f>
        <v>1</v>
      </c>
    </row>
    <row r="33" spans="1:42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/>
      <c r="M33" s="12"/>
      <c r="N33" s="12"/>
      <c r="O33" s="12"/>
      <c r="P33" s="12"/>
      <c r="Q33" s="12"/>
      <c r="R33" s="12"/>
      <c r="S33" s="12"/>
      <c r="T33" s="12"/>
      <c r="U33" s="12">
        <v>0</v>
      </c>
      <c r="V33" s="12">
        <v>0</v>
      </c>
      <c r="W33" s="12">
        <v>0</v>
      </c>
      <c r="X33" s="12">
        <v>0</v>
      </c>
      <c r="Y33" s="12">
        <f>(1 - CUSTOS!$M$26)*63.7293</f>
        <v>63.729300000000002</v>
      </c>
      <c r="Z33" s="12">
        <v>0</v>
      </c>
      <c r="AA33" s="12">
        <v>0</v>
      </c>
      <c r="AB33" s="12"/>
      <c r="AC33" s="12">
        <f>(1 - CUSTOS!$M$26)*114.8074</f>
        <v>114.8074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P33" s="12">
        <f>IF((1 - CUSTOS!$M$26)&lt;&gt;0,1/(1 - CUSTOS!$M$26),1)</f>
        <v>1</v>
      </c>
    </row>
    <row r="34" spans="1:42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/>
      <c r="M34" s="12"/>
      <c r="N34" s="12"/>
      <c r="O34" s="12"/>
      <c r="P34" s="12"/>
      <c r="Q34" s="12"/>
      <c r="R34" s="12"/>
      <c r="S34" s="12"/>
      <c r="T34" s="12"/>
      <c r="U34" s="12">
        <v>0</v>
      </c>
      <c r="V34" s="12">
        <v>0</v>
      </c>
      <c r="W34" s="12">
        <v>0</v>
      </c>
      <c r="X34" s="12">
        <v>0</v>
      </c>
      <c r="Y34" s="12">
        <f>(1 - CUSTOS!$M$27)*63.7293</f>
        <v>63.729300000000002</v>
      </c>
      <c r="Z34" s="12">
        <v>0</v>
      </c>
      <c r="AA34" s="12">
        <v>0</v>
      </c>
      <c r="AB34" s="12"/>
      <c r="AC34" s="12">
        <f>(1 - CUSTOS!$M$27)*114.8074</f>
        <v>114.8074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P34" s="12">
        <f>IF((1 - CUSTOS!$M$27)&lt;&gt;0,1/(1 - CUSTOS!$M$27),1)</f>
        <v>1</v>
      </c>
    </row>
    <row r="35" spans="1:42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/>
      <c r="M35" s="12"/>
      <c r="N35" s="12"/>
      <c r="O35" s="12"/>
      <c r="P35" s="12"/>
      <c r="Q35" s="12"/>
      <c r="R35" s="12"/>
      <c r="S35" s="12"/>
      <c r="T35" s="12"/>
      <c r="U35" s="12">
        <v>0</v>
      </c>
      <c r="V35" s="12">
        <v>0</v>
      </c>
      <c r="W35" s="12">
        <v>0</v>
      </c>
      <c r="X35" s="12">
        <v>0</v>
      </c>
      <c r="Y35" s="12">
        <v>63.729300000000002</v>
      </c>
      <c r="Z35" s="12">
        <v>0</v>
      </c>
      <c r="AA35" s="12">
        <v>0</v>
      </c>
      <c r="AB35" s="12"/>
      <c r="AC35" s="12">
        <v>114.8074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P35" s="12">
        <v>1</v>
      </c>
    </row>
    <row r="36" spans="1:42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/>
      <c r="M36" s="12"/>
      <c r="N36" s="12"/>
      <c r="O36" s="12"/>
      <c r="P36" s="12"/>
      <c r="Q36" s="12"/>
      <c r="R36" s="12"/>
      <c r="S36" s="12"/>
      <c r="T36" s="12"/>
      <c r="U36" s="12">
        <v>0</v>
      </c>
      <c r="V36" s="12">
        <v>0</v>
      </c>
      <c r="W36" s="12">
        <v>0</v>
      </c>
      <c r="X36" s="12">
        <v>0</v>
      </c>
      <c r="Y36" s="12">
        <f>(1 - CUSTOS!$M$24)*63.7293</f>
        <v>63.729300000000002</v>
      </c>
      <c r="Z36" s="12">
        <v>0</v>
      </c>
      <c r="AA36" s="12">
        <v>0</v>
      </c>
      <c r="AB36" s="12"/>
      <c r="AC36" s="12">
        <f>(1 - CUSTOS!$M$24)*114.8074</f>
        <v>114.8074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P36" s="12">
        <f>IF((1 - CUSTOS!$M$24)&lt;&gt;0,1/(1 - CUSTOS!$M$24),1)</f>
        <v>1</v>
      </c>
    </row>
    <row r="37" spans="1:42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/>
      <c r="M37" s="12"/>
      <c r="N37" s="12"/>
      <c r="O37" s="12"/>
      <c r="P37" s="12"/>
      <c r="Q37" s="12"/>
      <c r="R37" s="12"/>
      <c r="S37" s="12"/>
      <c r="T37" s="12"/>
      <c r="U37" s="12">
        <v>0</v>
      </c>
      <c r="V37" s="12">
        <v>0</v>
      </c>
      <c r="W37" s="12">
        <v>0</v>
      </c>
      <c r="X37" s="12">
        <v>0</v>
      </c>
      <c r="Y37" s="12">
        <f>(1 - CUSTOS!$M$25)*63.7293</f>
        <v>63.729300000000002</v>
      </c>
      <c r="Z37" s="12">
        <v>0</v>
      </c>
      <c r="AA37" s="12">
        <v>0</v>
      </c>
      <c r="AB37" s="12"/>
      <c r="AC37" s="12">
        <f>(1 - CUSTOS!$M$25)*114.8074</f>
        <v>114.8074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P37" s="12">
        <f>IF((1 - CUSTOS!$M$25)&lt;&gt;0,1/(1 - CUSTOS!$M$25),1)</f>
        <v>1</v>
      </c>
    </row>
    <row r="38" spans="1:42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/>
      <c r="M38" s="12"/>
      <c r="N38" s="12"/>
      <c r="O38" s="12"/>
      <c r="P38" s="12"/>
      <c r="Q38" s="12"/>
      <c r="R38" s="12"/>
      <c r="S38" s="12"/>
      <c r="T38" s="12"/>
      <c r="U38" s="12">
        <v>0</v>
      </c>
      <c r="V38" s="12">
        <v>0</v>
      </c>
      <c r="W38" s="12">
        <v>0</v>
      </c>
      <c r="X38" s="12">
        <v>0</v>
      </c>
      <c r="Y38" s="12">
        <f>(1 - CUSTOS!$M$26)*63.7293</f>
        <v>63.729300000000002</v>
      </c>
      <c r="Z38" s="12">
        <v>0</v>
      </c>
      <c r="AA38" s="12">
        <v>0</v>
      </c>
      <c r="AB38" s="12"/>
      <c r="AC38" s="12">
        <f>(1 - CUSTOS!$M$26)*114.8074</f>
        <v>114.8074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P38" s="12">
        <f>IF((1 - CUSTOS!$M$26)&lt;&gt;0,1/(1 - CUSTOS!$M$26),1)</f>
        <v>1</v>
      </c>
    </row>
    <row r="39" spans="1:42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/>
      <c r="M39" s="12"/>
      <c r="N39" s="12"/>
      <c r="O39" s="12"/>
      <c r="P39" s="12"/>
      <c r="Q39" s="12"/>
      <c r="R39" s="12"/>
      <c r="S39" s="12"/>
      <c r="T39" s="12"/>
      <c r="U39" s="12">
        <v>0</v>
      </c>
      <c r="V39" s="12">
        <v>0</v>
      </c>
      <c r="W39" s="12">
        <v>0</v>
      </c>
      <c r="X39" s="12">
        <v>0</v>
      </c>
      <c r="Y39" s="12">
        <f>(1 - CUSTOS!$M$27)*63.7293</f>
        <v>63.729300000000002</v>
      </c>
      <c r="Z39" s="12">
        <v>0</v>
      </c>
      <c r="AA39" s="12">
        <v>0</v>
      </c>
      <c r="AB39" s="12"/>
      <c r="AC39" s="12">
        <f>(1 - CUSTOS!$M$27)*114.8074</f>
        <v>114.8074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P39" s="12">
        <f>IF((1 - CUSTOS!$M$27)&lt;&gt;0,1/(1 - CUSTOS!$M$27),1)</f>
        <v>1</v>
      </c>
    </row>
    <row r="40" spans="1:42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/>
      <c r="M40" s="12"/>
      <c r="N40" s="12"/>
      <c r="O40" s="12"/>
      <c r="P40" s="12"/>
      <c r="Q40" s="12"/>
      <c r="R40" s="12"/>
      <c r="S40" s="12"/>
      <c r="T40" s="12"/>
      <c r="U40" s="12">
        <v>0</v>
      </c>
      <c r="V40" s="12">
        <v>0</v>
      </c>
      <c r="W40" s="12">
        <v>0</v>
      </c>
      <c r="X40" s="12">
        <v>0</v>
      </c>
      <c r="Y40" s="12">
        <f>(1 - CUSTOS!$M$28)*344.1381</f>
        <v>344.13810000000001</v>
      </c>
      <c r="Z40" s="12">
        <v>0</v>
      </c>
      <c r="AA40" s="12">
        <v>0</v>
      </c>
      <c r="AB40" s="12"/>
      <c r="AC40" s="12">
        <f>(1 - CUSTOS!$M$28)*619.9602</f>
        <v>619.96019999999999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P40" s="12">
        <f>IF((1 - CUSTOS!$M$28)&lt;&gt;0,1/(1 - CUSTOS!$M$28),1)</f>
        <v>1</v>
      </c>
    </row>
    <row r="41" spans="1:42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/>
      <c r="M41" s="12"/>
      <c r="N41" s="12"/>
      <c r="O41" s="12"/>
      <c r="P41" s="12"/>
      <c r="Q41" s="12"/>
      <c r="R41" s="12"/>
      <c r="S41" s="12"/>
      <c r="T41" s="12"/>
      <c r="U41" s="12">
        <v>0</v>
      </c>
      <c r="V41" s="12">
        <v>0</v>
      </c>
      <c r="W41" s="12">
        <v>0</v>
      </c>
      <c r="X41" s="12">
        <v>0</v>
      </c>
      <c r="Y41" s="12">
        <f>(1 - CUSTOS!$M$28)*103.2414</f>
        <v>103.2414</v>
      </c>
      <c r="Z41" s="12">
        <v>0</v>
      </c>
      <c r="AA41" s="12">
        <v>0</v>
      </c>
      <c r="AB41" s="12"/>
      <c r="AC41" s="12">
        <f>(1 - CUSTOS!$M$28)*185.9881</f>
        <v>185.9881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P41" s="12">
        <f>IF((1 - CUSTOS!$M$28)&lt;&gt;0,1/(1 - CUSTOS!$M$28),1)</f>
        <v>1</v>
      </c>
    </row>
    <row r="42" spans="1:42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/>
      <c r="M42" s="12"/>
      <c r="N42" s="12"/>
      <c r="O42" s="12"/>
      <c r="P42" s="12"/>
      <c r="Q42" s="12"/>
      <c r="R42" s="12"/>
      <c r="S42" s="12"/>
      <c r="T42" s="12"/>
      <c r="U42" s="12">
        <v>0</v>
      </c>
      <c r="V42" s="12">
        <v>0</v>
      </c>
      <c r="W42" s="12">
        <v>0</v>
      </c>
      <c r="X42" s="12">
        <v>0</v>
      </c>
      <c r="Y42" s="12">
        <f>(1 - CUSTOS!$M$28)*34.4138</f>
        <v>34.413800000000002</v>
      </c>
      <c r="Z42" s="12">
        <v>0</v>
      </c>
      <c r="AA42" s="12">
        <v>0</v>
      </c>
      <c r="AB42" s="12"/>
      <c r="AC42" s="12">
        <f>(1 - CUSTOS!$M$28)*61.996</f>
        <v>61.996000000000002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P42" s="12">
        <f>IF((1 - CUSTOS!$M$28)&lt;&gt;0,1/(1 - CUSTOS!$M$28),1)</f>
        <v>1</v>
      </c>
    </row>
    <row r="43" spans="1:42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/>
      <c r="M43" s="12"/>
      <c r="N43" s="12"/>
      <c r="O43" s="12"/>
      <c r="P43" s="12"/>
      <c r="Q43" s="12"/>
      <c r="R43" s="12"/>
      <c r="S43" s="12"/>
      <c r="T43" s="12"/>
      <c r="U43" s="12">
        <v>0</v>
      </c>
      <c r="V43" s="12">
        <v>0</v>
      </c>
      <c r="W43" s="12">
        <v>0</v>
      </c>
      <c r="X43" s="12">
        <v>0</v>
      </c>
      <c r="Y43" s="12">
        <f>(1 - CUSTOS!$M$28)*63.7293</f>
        <v>63.729300000000002</v>
      </c>
      <c r="Z43" s="12">
        <v>0</v>
      </c>
      <c r="AA43" s="12">
        <v>0</v>
      </c>
      <c r="AB43" s="12"/>
      <c r="AC43" s="12">
        <f>(1 - CUSTOS!$M$28)*114.8074</f>
        <v>114.8074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P43" s="12">
        <f>IF((1 - CUSTOS!$M$28)&lt;&gt;0,1/(1 - CUSTOS!$M$28),1)</f>
        <v>1</v>
      </c>
    </row>
    <row r="44" spans="1:42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/>
      <c r="M44" s="12"/>
      <c r="N44" s="12"/>
      <c r="O44" s="12"/>
      <c r="P44" s="12"/>
      <c r="Q44" s="12"/>
      <c r="R44" s="12"/>
      <c r="S44" s="12"/>
      <c r="T44" s="12"/>
      <c r="U44" s="12">
        <v>0</v>
      </c>
      <c r="V44" s="12">
        <v>0</v>
      </c>
      <c r="W44" s="12">
        <v>0</v>
      </c>
      <c r="X44" s="12">
        <v>0</v>
      </c>
      <c r="Y44" s="12">
        <f>(1 - CUSTOS!$M$29)*344.1381</f>
        <v>344.13810000000001</v>
      </c>
      <c r="Z44" s="12">
        <v>0</v>
      </c>
      <c r="AA44" s="12">
        <v>0</v>
      </c>
      <c r="AB44" s="12"/>
      <c r="AC44" s="12">
        <f>(1 - CUSTOS!$M$29)*619.9602</f>
        <v>619.96019999999999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P44" s="12">
        <f>IF((1 - CUSTOS!$M$29)&lt;&gt;0,1/(1 - CUSTOS!$M$29),1)</f>
        <v>1</v>
      </c>
    </row>
    <row r="45" spans="1:42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/>
      <c r="M45" s="12"/>
      <c r="N45" s="12"/>
      <c r="O45" s="12"/>
      <c r="P45" s="12"/>
      <c r="Q45" s="12"/>
      <c r="R45" s="12"/>
      <c r="S45" s="12"/>
      <c r="T45" s="12"/>
      <c r="U45" s="12">
        <v>0</v>
      </c>
      <c r="V45" s="12">
        <v>0</v>
      </c>
      <c r="W45" s="12">
        <v>0</v>
      </c>
      <c r="X45" s="12">
        <v>0</v>
      </c>
      <c r="Y45" s="12">
        <f>(1 - CUSTOS!$M$29)*103.2414</f>
        <v>103.2414</v>
      </c>
      <c r="Z45" s="12">
        <v>0</v>
      </c>
      <c r="AA45" s="12">
        <v>0</v>
      </c>
      <c r="AB45" s="12"/>
      <c r="AC45" s="12">
        <f>(1 - CUSTOS!$M$29)*185.9881</f>
        <v>185.9881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P45" s="12">
        <f>IF((1 - CUSTOS!$M$29)&lt;&gt;0,1/(1 - CUSTOS!$M$29),1)</f>
        <v>1</v>
      </c>
    </row>
    <row r="46" spans="1:42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/>
      <c r="M46" s="12"/>
      <c r="N46" s="12"/>
      <c r="O46" s="12"/>
      <c r="P46" s="12"/>
      <c r="Q46" s="12"/>
      <c r="R46" s="12"/>
      <c r="S46" s="12"/>
      <c r="T46" s="12"/>
      <c r="U46" s="12">
        <v>0</v>
      </c>
      <c r="V46" s="12">
        <v>0</v>
      </c>
      <c r="W46" s="12">
        <v>0</v>
      </c>
      <c r="X46" s="12">
        <v>0</v>
      </c>
      <c r="Y46" s="12">
        <f>(1 - CUSTOS!$M$29)*34.4138</f>
        <v>34.413800000000002</v>
      </c>
      <c r="Z46" s="12">
        <v>0</v>
      </c>
      <c r="AA46" s="12">
        <v>0</v>
      </c>
      <c r="AB46" s="12"/>
      <c r="AC46" s="12">
        <f>(1 - CUSTOS!$M$29)*61.996</f>
        <v>61.996000000000002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P46" s="12">
        <f>IF((1 - CUSTOS!$M$29)&lt;&gt;0,1/(1 - CUSTOS!$M$29),1)</f>
        <v>1</v>
      </c>
    </row>
    <row r="47" spans="1:42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/>
      <c r="M47" s="12"/>
      <c r="N47" s="12"/>
      <c r="O47" s="12"/>
      <c r="P47" s="12"/>
      <c r="Q47" s="12"/>
      <c r="R47" s="12"/>
      <c r="S47" s="12"/>
      <c r="T47" s="12"/>
      <c r="U47" s="12">
        <v>0</v>
      </c>
      <c r="V47" s="12">
        <v>0</v>
      </c>
      <c r="W47" s="12">
        <v>0</v>
      </c>
      <c r="X47" s="12">
        <v>0</v>
      </c>
      <c r="Y47" s="12">
        <f>(1 - CUSTOS!$M$29)*63.7293</f>
        <v>63.729300000000002</v>
      </c>
      <c r="Z47" s="12">
        <v>0</v>
      </c>
      <c r="AA47" s="12">
        <v>0</v>
      </c>
      <c r="AB47" s="12"/>
      <c r="AC47" s="12">
        <f>(1 - CUSTOS!$M$29)*114.8074</f>
        <v>114.8074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P47" s="12">
        <f>IF((1 - CUSTOS!$M$29)&lt;&gt;0,1/(1 - CUSTOS!$M$29),1)</f>
        <v>1</v>
      </c>
    </row>
    <row r="48" spans="1:42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/>
      <c r="M48" s="12"/>
      <c r="N48" s="12"/>
      <c r="O48" s="12"/>
      <c r="P48" s="12"/>
      <c r="Q48" s="12"/>
      <c r="R48" s="12"/>
      <c r="S48" s="12"/>
      <c r="T48" s="12"/>
      <c r="U48" s="12">
        <v>0</v>
      </c>
      <c r="V48" s="12">
        <v>0</v>
      </c>
      <c r="W48" s="12">
        <v>0</v>
      </c>
      <c r="X48" s="12">
        <v>0</v>
      </c>
      <c r="Y48" s="12">
        <f>(1 - CUSTOS!$M$30)*344.1381</f>
        <v>344.13810000000001</v>
      </c>
      <c r="Z48" s="12">
        <v>0</v>
      </c>
      <c r="AA48" s="12">
        <v>0</v>
      </c>
      <c r="AB48" s="12"/>
      <c r="AC48" s="12">
        <f>(1 - CUSTOS!$M$30)*619.9602</f>
        <v>619.96019999999999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P48" s="12">
        <f>IF((1 - CUSTOS!$M$30)&lt;&gt;0,1/(1 - CUSTOS!$M$30),1)</f>
        <v>1</v>
      </c>
    </row>
    <row r="49" spans="1:42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/>
      <c r="M49" s="12"/>
      <c r="N49" s="12"/>
      <c r="O49" s="12"/>
      <c r="P49" s="12"/>
      <c r="Q49" s="12"/>
      <c r="R49" s="12"/>
      <c r="S49" s="12"/>
      <c r="T49" s="12"/>
      <c r="U49" s="12">
        <v>0</v>
      </c>
      <c r="V49" s="12">
        <v>0</v>
      </c>
      <c r="W49" s="12">
        <v>0</v>
      </c>
      <c r="X49" s="12">
        <v>0</v>
      </c>
      <c r="Y49" s="12">
        <f>(1 - CUSTOS!$M$30)*103.2414</f>
        <v>103.2414</v>
      </c>
      <c r="Z49" s="12">
        <v>0</v>
      </c>
      <c r="AA49" s="12">
        <v>0</v>
      </c>
      <c r="AB49" s="12"/>
      <c r="AC49" s="12">
        <f>(1 - CUSTOS!$M$30)*185.9881</f>
        <v>185.9881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P49" s="12">
        <f>IF((1 - CUSTOS!$M$30)&lt;&gt;0,1/(1 - CUSTOS!$M$30),1)</f>
        <v>1</v>
      </c>
    </row>
    <row r="50" spans="1:42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/>
      <c r="M50" s="12"/>
      <c r="N50" s="12"/>
      <c r="O50" s="12"/>
      <c r="P50" s="12"/>
      <c r="Q50" s="12"/>
      <c r="R50" s="12"/>
      <c r="S50" s="12"/>
      <c r="T50" s="12"/>
      <c r="U50" s="12">
        <v>0</v>
      </c>
      <c r="V50" s="12">
        <v>0</v>
      </c>
      <c r="W50" s="12">
        <v>0</v>
      </c>
      <c r="X50" s="12">
        <v>0</v>
      </c>
      <c r="Y50" s="12">
        <f>(1 - CUSTOS!$M$30)*34.4138</f>
        <v>34.413800000000002</v>
      </c>
      <c r="Z50" s="12">
        <v>0</v>
      </c>
      <c r="AA50" s="12">
        <v>0</v>
      </c>
      <c r="AB50" s="12"/>
      <c r="AC50" s="12">
        <f>(1 - CUSTOS!$M$30)*61.996</f>
        <v>61.996000000000002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P50" s="12">
        <f>IF((1 - CUSTOS!$M$30)&lt;&gt;0,1/(1 - CUSTOS!$M$30),1)</f>
        <v>1</v>
      </c>
    </row>
    <row r="51" spans="1:42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/>
      <c r="M51" s="12"/>
      <c r="N51" s="12"/>
      <c r="O51" s="12"/>
      <c r="P51" s="12"/>
      <c r="Q51" s="12"/>
      <c r="R51" s="12"/>
      <c r="S51" s="12"/>
      <c r="T51" s="12"/>
      <c r="U51" s="12">
        <v>0</v>
      </c>
      <c r="V51" s="12">
        <v>0</v>
      </c>
      <c r="W51" s="12">
        <v>0</v>
      </c>
      <c r="X51" s="12">
        <v>0</v>
      </c>
      <c r="Y51" s="12">
        <f>(1 - CUSTOS!$M$30)*63.7293</f>
        <v>63.729300000000002</v>
      </c>
      <c r="Z51" s="12">
        <v>0</v>
      </c>
      <c r="AA51" s="12">
        <v>0</v>
      </c>
      <c r="AB51" s="12"/>
      <c r="AC51" s="12">
        <f>(1 - CUSTOS!$M$30)*114.8074</f>
        <v>114.8074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P51" s="12">
        <f>IF((1 - CUSTOS!$M$30)&lt;&gt;0,1/(1 - CUSTOS!$M$30),1)</f>
        <v>1</v>
      </c>
    </row>
    <row r="52" spans="1:42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/>
      <c r="M52" s="12"/>
      <c r="N52" s="12"/>
      <c r="O52" s="12"/>
      <c r="P52" s="12"/>
      <c r="Q52" s="12"/>
      <c r="R52" s="12"/>
      <c r="S52" s="12"/>
      <c r="T52" s="12"/>
      <c r="U52" s="12">
        <v>0</v>
      </c>
      <c r="V52" s="12">
        <v>0</v>
      </c>
      <c r="W52" s="12">
        <v>0</v>
      </c>
      <c r="X52" s="12">
        <v>0</v>
      </c>
      <c r="Y52" s="12">
        <f>(1 - CUSTOS!$M$28)*63.7293</f>
        <v>63.729300000000002</v>
      </c>
      <c r="Z52" s="12">
        <v>0</v>
      </c>
      <c r="AA52" s="12">
        <v>0</v>
      </c>
      <c r="AB52" s="12"/>
      <c r="AC52" s="12">
        <f>(1 - CUSTOS!$M$28)*114.8074</f>
        <v>114.8074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P52" s="12">
        <f>IF((1 - CUSTOS!$M$28)&lt;&gt;0,1/(1 - CUSTOS!$M$28),1)</f>
        <v>1</v>
      </c>
    </row>
    <row r="53" spans="1:42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/>
      <c r="M53" s="12"/>
      <c r="N53" s="12"/>
      <c r="O53" s="12"/>
      <c r="P53" s="12"/>
      <c r="Q53" s="12"/>
      <c r="R53" s="12"/>
      <c r="S53" s="12"/>
      <c r="T53" s="12"/>
      <c r="U53" s="12">
        <v>0</v>
      </c>
      <c r="V53" s="12">
        <v>0</v>
      </c>
      <c r="W53" s="12">
        <v>0</v>
      </c>
      <c r="X53" s="12">
        <v>0</v>
      </c>
      <c r="Y53" s="12">
        <f>(1 - CUSTOS!$M$29)*63.7293</f>
        <v>63.729300000000002</v>
      </c>
      <c r="Z53" s="12">
        <v>0</v>
      </c>
      <c r="AA53" s="12">
        <v>0</v>
      </c>
      <c r="AB53" s="12"/>
      <c r="AC53" s="12">
        <f>(1 - CUSTOS!$M$29)*114.8074</f>
        <v>114.8074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P53" s="12">
        <f>IF((1 - CUSTOS!$M$29)&lt;&gt;0,1/(1 - CUSTOS!$M$29),1)</f>
        <v>1</v>
      </c>
    </row>
    <row r="54" spans="1:42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/>
      <c r="M54" s="12"/>
      <c r="N54" s="12"/>
      <c r="O54" s="12"/>
      <c r="P54" s="12"/>
      <c r="Q54" s="12"/>
      <c r="R54" s="12"/>
      <c r="S54" s="12"/>
      <c r="T54" s="12"/>
      <c r="U54" s="12">
        <v>0</v>
      </c>
      <c r="V54" s="12">
        <v>0</v>
      </c>
      <c r="W54" s="12">
        <v>0</v>
      </c>
      <c r="X54" s="12">
        <v>0</v>
      </c>
      <c r="Y54" s="12">
        <f>(1 - CUSTOS!$M$30)*63.7293</f>
        <v>63.729300000000002</v>
      </c>
      <c r="Z54" s="12">
        <v>0</v>
      </c>
      <c r="AA54" s="12">
        <v>0</v>
      </c>
      <c r="AB54" s="12"/>
      <c r="AC54" s="12">
        <f>(1 - CUSTOS!$M$30)*114.8074</f>
        <v>114.8074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P54" s="12">
        <f>IF((1 - CUSTOS!$M$30)&lt;&gt;0,1/(1 - CUSTOS!$M$30),1)</f>
        <v>1</v>
      </c>
    </row>
    <row r="55" spans="1:42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/>
      <c r="M55" s="12"/>
      <c r="N55" s="12"/>
      <c r="O55" s="12"/>
      <c r="P55" s="12"/>
      <c r="Q55" s="12"/>
      <c r="R55" s="12"/>
      <c r="S55" s="12"/>
      <c r="T55" s="12"/>
      <c r="U55" s="12">
        <v>0</v>
      </c>
      <c r="V55" s="12">
        <v>0</v>
      </c>
      <c r="W55" s="12">
        <v>0</v>
      </c>
      <c r="X55" s="12">
        <v>0</v>
      </c>
      <c r="Y55" s="12">
        <f>(1 - CUSTOS!$M$31)*223.0525</f>
        <v>223.05250000000001</v>
      </c>
      <c r="Z55" s="12">
        <v>0</v>
      </c>
      <c r="AA55" s="12">
        <v>0</v>
      </c>
      <c r="AB55" s="12"/>
      <c r="AC55" s="12">
        <f>(1 - CUSTOS!$M$31)*401.8261</f>
        <v>401.8261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P55" s="12">
        <f>IF((1 - CUSTOS!$M$31)&lt;&gt;0,1/(1 - CUSTOS!$M$31),1)</f>
        <v>1</v>
      </c>
    </row>
    <row r="56" spans="1:42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/>
      <c r="M56" s="12"/>
      <c r="N56" s="12"/>
      <c r="O56" s="12"/>
      <c r="P56" s="12"/>
      <c r="Q56" s="12"/>
      <c r="R56" s="12"/>
      <c r="S56" s="12"/>
      <c r="T56" s="12"/>
      <c r="U56" s="12">
        <v>0</v>
      </c>
      <c r="V56" s="12">
        <v>0</v>
      </c>
      <c r="W56" s="12">
        <v>0</v>
      </c>
      <c r="X56" s="12">
        <v>0</v>
      </c>
      <c r="Y56" s="12">
        <f>(1 - CUSTOS!$M$31)*44.6105</f>
        <v>44.610500000000002</v>
      </c>
      <c r="Z56" s="12">
        <v>0</v>
      </c>
      <c r="AA56" s="12">
        <v>0</v>
      </c>
      <c r="AB56" s="12"/>
      <c r="AC56" s="12">
        <f>(1 - CUSTOS!$M$31)*80.3652</f>
        <v>80.365200000000002</v>
      </c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P56" s="12">
        <f>IF((1 - CUSTOS!$M$31)&lt;&gt;0,1/(1 - CUSTOS!$M$31),1)</f>
        <v>1</v>
      </c>
    </row>
    <row r="57" spans="1:42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/>
      <c r="M57" s="12"/>
      <c r="N57" s="12"/>
      <c r="O57" s="12"/>
      <c r="P57" s="12"/>
      <c r="Q57" s="12"/>
      <c r="R57" s="12"/>
      <c r="S57" s="12"/>
      <c r="T57" s="12"/>
      <c r="U57" s="12">
        <v>0</v>
      </c>
      <c r="V57" s="12">
        <v>0</v>
      </c>
      <c r="W57" s="12">
        <v>0</v>
      </c>
      <c r="X57" s="12">
        <v>0</v>
      </c>
      <c r="Y57" s="12">
        <f>(1 - CUSTOS!$M$31)*44.6105</f>
        <v>44.610500000000002</v>
      </c>
      <c r="Z57" s="12">
        <v>0</v>
      </c>
      <c r="AA57" s="12">
        <v>0</v>
      </c>
      <c r="AB57" s="12"/>
      <c r="AC57" s="12">
        <f>(1 - CUSTOS!$M$31)*80.3652</f>
        <v>80.365200000000002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P57" s="12">
        <f>IF((1 - CUSTOS!$M$31)&lt;&gt;0,1/(1 - CUSTOS!$M$31),1)</f>
        <v>1</v>
      </c>
    </row>
    <row r="58" spans="1:42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/>
      <c r="M58" s="12"/>
      <c r="N58" s="12"/>
      <c r="O58" s="12"/>
      <c r="P58" s="12"/>
      <c r="Q58" s="12"/>
      <c r="R58" s="12"/>
      <c r="S58" s="12"/>
      <c r="T58" s="12"/>
      <c r="U58" s="12">
        <v>0</v>
      </c>
      <c r="V58" s="12">
        <v>0</v>
      </c>
      <c r="W58" s="12">
        <v>0</v>
      </c>
      <c r="X58" s="12">
        <v>0</v>
      </c>
      <c r="Y58" s="12">
        <f>(1 - CUSTOS!$M$31)*63.7293</f>
        <v>63.729300000000002</v>
      </c>
      <c r="Z58" s="12">
        <v>0</v>
      </c>
      <c r="AA58" s="12">
        <v>0</v>
      </c>
      <c r="AB58" s="12"/>
      <c r="AC58" s="12">
        <f>(1 - CUSTOS!$M$31)*114.8074</f>
        <v>114.8074</v>
      </c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P58" s="12">
        <f>IF((1 - CUSTOS!$M$31)&lt;&gt;0,1/(1 - CUSTOS!$M$31),1)</f>
        <v>1</v>
      </c>
    </row>
    <row r="59" spans="1:42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/>
      <c r="M59" s="12"/>
      <c r="N59" s="12"/>
      <c r="O59" s="12"/>
      <c r="P59" s="12"/>
      <c r="Q59" s="12"/>
      <c r="R59" s="12"/>
      <c r="S59" s="12"/>
      <c r="T59" s="12"/>
      <c r="U59" s="12">
        <v>0</v>
      </c>
      <c r="V59" s="12">
        <v>0</v>
      </c>
      <c r="W59" s="12">
        <v>0</v>
      </c>
      <c r="X59" s="12">
        <v>0</v>
      </c>
      <c r="Y59" s="12">
        <f>(1 - CUSTOS!$M$31)*63.7293</f>
        <v>63.729300000000002</v>
      </c>
      <c r="Z59" s="12">
        <v>0</v>
      </c>
      <c r="AA59" s="12">
        <v>0</v>
      </c>
      <c r="AB59" s="12"/>
      <c r="AC59" s="12">
        <f>(1 - CUSTOS!$M$31)*114.8074</f>
        <v>114.8074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P59" s="12">
        <f>IF((1 - CUSTOS!$M$31)&lt;&gt;0,1/(1 - CUSTOS!$M$31),1)</f>
        <v>1</v>
      </c>
    </row>
    <row r="60" spans="1:42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/>
      <c r="M60" s="12"/>
      <c r="N60" s="12"/>
      <c r="O60" s="12"/>
      <c r="P60" s="12"/>
      <c r="Q60" s="12"/>
      <c r="R60" s="12"/>
      <c r="S60" s="12"/>
      <c r="T60" s="12"/>
      <c r="U60" s="12">
        <v>0</v>
      </c>
      <c r="V60" s="12">
        <v>0</v>
      </c>
      <c r="W60" s="12">
        <v>0</v>
      </c>
      <c r="X60" s="12">
        <v>0</v>
      </c>
      <c r="Y60" s="12">
        <f>(1 - CUSTOS!$M$32)*63.7293</f>
        <v>35.051115000000003</v>
      </c>
      <c r="Z60" s="12">
        <v>0</v>
      </c>
      <c r="AA60" s="12">
        <v>0</v>
      </c>
      <c r="AB60" s="12"/>
      <c r="AC60" s="12">
        <f>(1 - CUSTOS!$M$32)*114.8074</f>
        <v>63.144070000000006</v>
      </c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P60" s="12">
        <f>IF((1 - CUSTOS!$M$32)&lt;&gt;0,1/(1 - CUSTOS!$M$32),1)</f>
        <v>1.8181818181818181</v>
      </c>
    </row>
    <row r="61" spans="1:42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/>
      <c r="M61" s="12"/>
      <c r="N61" s="12"/>
      <c r="O61" s="12"/>
      <c r="P61" s="12"/>
      <c r="Q61" s="12"/>
      <c r="R61" s="12"/>
      <c r="S61" s="12"/>
      <c r="T61" s="12"/>
      <c r="U61" s="12">
        <v>0</v>
      </c>
      <c r="V61" s="12">
        <v>0</v>
      </c>
      <c r="W61" s="12">
        <v>0</v>
      </c>
      <c r="X61" s="12">
        <v>0</v>
      </c>
      <c r="Y61" s="12">
        <f>(1 - CUSTOS!$M$33)*63.7293</f>
        <v>38.237580000000001</v>
      </c>
      <c r="Z61" s="12">
        <v>0</v>
      </c>
      <c r="AA61" s="12">
        <v>0</v>
      </c>
      <c r="AB61" s="12"/>
      <c r="AC61" s="12">
        <f>(1 - CUSTOS!$M$33)*114.8074</f>
        <v>68.884439999999998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P61" s="12">
        <f>IF((1 - CUSTOS!$M$33)&lt;&gt;0,1/(1 - CUSTOS!$M$33),1)</f>
        <v>1.6666666666666667</v>
      </c>
    </row>
  </sheetData>
  <mergeCells count="86">
    <mergeCell ref="E55:E57"/>
    <mergeCell ref="F55:F57"/>
    <mergeCell ref="A60:A61"/>
    <mergeCell ref="B60:B61"/>
    <mergeCell ref="C60:C61"/>
    <mergeCell ref="D55:D57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J1:J4"/>
    <mergeCell ref="L1:AM1"/>
    <mergeCell ref="A1:A4"/>
    <mergeCell ref="E20:E22"/>
    <mergeCell ref="C10:C14"/>
    <mergeCell ref="D10:D14"/>
    <mergeCell ref="E10:E12"/>
    <mergeCell ref="F10:F12"/>
    <mergeCell ref="E13:E14"/>
    <mergeCell ref="F13:F14"/>
    <mergeCell ref="F20:F22"/>
    <mergeCell ref="F5:F7"/>
    <mergeCell ref="B10:B14"/>
    <mergeCell ref="G1:G4"/>
    <mergeCell ref="H1:H4"/>
    <mergeCell ref="I1:I4"/>
    <mergeCell ref="A5:A14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EDC8-0CF0-4D3E-92F0-28027749FDDB}">
  <dimension ref="A1:AP81"/>
  <sheetViews>
    <sheetView showGridLines="0" topLeftCell="D43" workbookViewId="0">
      <selection activeCell="K72" sqref="K72: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683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P1" s="147" t="s">
        <v>684</v>
      </c>
    </row>
    <row r="2" spans="1:42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P2" s="148"/>
    </row>
    <row r="3" spans="1:42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P3" s="148"/>
    </row>
    <row r="4" spans="1:42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P4" s="148"/>
    </row>
    <row r="5" spans="1:42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/>
      <c r="U5" s="12">
        <f>TRANSICAO!$U$5*CUSTOS!$Q$3</f>
        <v>0</v>
      </c>
      <c r="V5" s="12">
        <f>TRANSICAO!$V$5*CUSTOS!$Q$3</f>
        <v>0</v>
      </c>
      <c r="W5" s="12">
        <f>TRANSICAO!$W$5*CUSTOS!$Q$3</f>
        <v>0</v>
      </c>
      <c r="X5" s="12">
        <f>TRANSICAO!$X$5*CUSTOS!$Q$3</f>
        <v>0</v>
      </c>
      <c r="Y5" s="12">
        <f>TRANSICAO!$Y$5*CUSTOS!$Q$3</f>
        <v>19.441400000000002</v>
      </c>
      <c r="Z5" s="12">
        <f>TRANSICAO!$Z$5*CUSTOS!$Q$3</f>
        <v>0</v>
      </c>
      <c r="AA5" s="12">
        <f>TRANSICAO!$AA$5*CUSTOS!$Q$3</f>
        <v>0</v>
      </c>
      <c r="AB5" s="12">
        <f>TRANSICAO!$AB$5*CUSTOS!$Q$3</f>
        <v>0</v>
      </c>
      <c r="AC5" s="12">
        <f>TRANSICAO!$AC$5*CUSTOS!$Q$3</f>
        <v>14.68</v>
      </c>
      <c r="AD5" s="12">
        <f>TRANSICAO!$AD$5*CUSTOS!$Q$3</f>
        <v>0</v>
      </c>
      <c r="AE5" s="12">
        <v>0</v>
      </c>
      <c r="AF5" s="12">
        <v>0</v>
      </c>
      <c r="AG5" s="12"/>
      <c r="AH5" s="12">
        <v>0</v>
      </c>
      <c r="AI5" s="12">
        <v>0</v>
      </c>
      <c r="AJ5" s="12">
        <v>0</v>
      </c>
      <c r="AK5" s="12">
        <f t="shared" ref="AK5:AK36" si="0">AJ5</f>
        <v>0</v>
      </c>
      <c r="AL5" s="12"/>
      <c r="AM5" s="12"/>
      <c r="AP5" s="12">
        <v>1</v>
      </c>
    </row>
    <row r="6" spans="1:42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/>
      <c r="U6" s="12">
        <f>TRANSICAO!$U$6*CUSTOS!$Q$3</f>
        <v>0</v>
      </c>
      <c r="V6" s="12">
        <f>TRANSICAO!$V$6*CUSTOS!$Q$3</f>
        <v>0</v>
      </c>
      <c r="W6" s="12">
        <f>TRANSICAO!$W$6*CUSTOS!$Q$3</f>
        <v>0</v>
      </c>
      <c r="X6" s="12">
        <f>TRANSICAO!$X$6*CUSTOS!$Q$3</f>
        <v>0</v>
      </c>
      <c r="Y6" s="12">
        <f>TRANSICAO!$Y$6*CUSTOS!$Q$3</f>
        <v>8.4810999999999996</v>
      </c>
      <c r="Z6" s="12">
        <f>TRANSICAO!$Z$6*CUSTOS!$Q$3</f>
        <v>0</v>
      </c>
      <c r="AA6" s="12">
        <f>TRANSICAO!$AA$6*CUSTOS!$Q$3</f>
        <v>0</v>
      </c>
      <c r="AB6" s="12">
        <f>TRANSICAO!$AB$6*CUSTOS!$Q$3</f>
        <v>0</v>
      </c>
      <c r="AC6" s="12">
        <f>TRANSICAO!$AC$6*CUSTOS!$Q$3</f>
        <v>4.7050999999999998</v>
      </c>
      <c r="AD6" s="12">
        <f>TRANSICAO!$AD$6*CUSTOS!$Q$3</f>
        <v>0</v>
      </c>
      <c r="AE6" s="12">
        <v>0</v>
      </c>
      <c r="AF6" s="12">
        <v>0</v>
      </c>
      <c r="AG6" s="12"/>
      <c r="AH6" s="12">
        <v>0</v>
      </c>
      <c r="AI6" s="12">
        <v>0</v>
      </c>
      <c r="AJ6" s="12">
        <v>0</v>
      </c>
      <c r="AK6" s="12">
        <f t="shared" si="0"/>
        <v>0</v>
      </c>
      <c r="AL6" s="12"/>
      <c r="AM6" s="12"/>
      <c r="AP6" s="12">
        <v>1</v>
      </c>
    </row>
    <row r="7" spans="1:42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0.84</f>
        <v>0.84</v>
      </c>
      <c r="M7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7" s="12">
        <f ca="1">(+M7+O7+R7+U7+V7+W7+X7+Y7+Z7+AA7+AC7+AH7+AI7+AJ7+AK7)*CUSTOS!$M$5</f>
        <v>0.14502990183004263</v>
      </c>
      <c r="O7" s="12">
        <v>1</v>
      </c>
      <c r="P7" s="12">
        <v>1</v>
      </c>
      <c r="Q7" s="12">
        <f>0.84</f>
        <v>0.84</v>
      </c>
      <c r="R7" s="12">
        <v>1</v>
      </c>
      <c r="S7" s="12">
        <v>1</v>
      </c>
      <c r="T7" s="12"/>
      <c r="U7" s="12">
        <f>TRANSICAO!$U$7*CUSTOS!$Q$3</f>
        <v>0</v>
      </c>
      <c r="V7" s="12">
        <f>TRANSICAO!$V$7*CUSTOS!$Q$3</f>
        <v>0</v>
      </c>
      <c r="W7" s="12">
        <f>TRANSICAO!$W$7*CUSTOS!$Q$3</f>
        <v>0</v>
      </c>
      <c r="X7" s="12">
        <f>TRANSICAO!$X$7*CUSTOS!$Q$3</f>
        <v>0</v>
      </c>
      <c r="Y7" s="12">
        <f>TRANSICAO!$Y$7*CUSTOS!$Q$3</f>
        <v>0</v>
      </c>
      <c r="Z7" s="12">
        <f>TRANSICAO!$Z$7*CUSTOS!$Q$3</f>
        <v>0</v>
      </c>
      <c r="AA7" s="12">
        <f>TRANSICAO!$AA$7*CUSTOS!$Q$3</f>
        <v>0</v>
      </c>
      <c r="AB7" s="12">
        <f>TRANSICAO!$AB$7*CUSTOS!$Q$3</f>
        <v>0</v>
      </c>
      <c r="AC7" s="12">
        <f>TRANSICAO!$AC$7*CUSTOS!$Q$3</f>
        <v>0</v>
      </c>
      <c r="AD7" s="12">
        <f>TRANSICAO!$AD$7*CUSTOS!$Q$3</f>
        <v>0</v>
      </c>
      <c r="AE7" s="12">
        <v>0</v>
      </c>
      <c r="AF7" s="12">
        <v>0</v>
      </c>
      <c r="AG7" s="12"/>
      <c r="AH7" s="12">
        <v>4.9520999999999997</v>
      </c>
      <c r="AI7" s="12">
        <v>4.9520999999999997</v>
      </c>
      <c r="AJ7" s="12">
        <f ca="1">$N$73</f>
        <v>1.1971126089252555</v>
      </c>
      <c r="AK7" s="12">
        <f t="shared" ca="1" si="0"/>
        <v>1.1971126089252555</v>
      </c>
      <c r="AL7" s="12"/>
      <c r="AM7" s="12"/>
      <c r="AP7" s="12">
        <v>1</v>
      </c>
    </row>
    <row r="8" spans="1:42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v>0</v>
      </c>
      <c r="M8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8" s="12">
        <f ca="1">(+M8+O8+R8+U8+V8+W8+X8+Y8+Z8+AA8+AC8+AH8+AI8+AJ8+AK8)*CUSTOS!$M$5</f>
        <v>0.13502990183004263</v>
      </c>
      <c r="O8" s="12">
        <v>1</v>
      </c>
      <c r="P8" s="12">
        <v>0</v>
      </c>
      <c r="Q8" s="12">
        <v>0</v>
      </c>
      <c r="R8" s="12">
        <v>0</v>
      </c>
      <c r="S8" s="12">
        <v>0</v>
      </c>
      <c r="T8" s="12"/>
      <c r="U8" s="12">
        <f>TRANSICAO!$U$8*CUSTOS!$Q$3</f>
        <v>0</v>
      </c>
      <c r="V8" s="12">
        <f>TRANSICAO!$V$8*CUSTOS!$Q$3</f>
        <v>0</v>
      </c>
      <c r="W8" s="12">
        <f>TRANSICAO!$W$8*CUSTOS!$Q$3</f>
        <v>0</v>
      </c>
      <c r="X8" s="12">
        <f>TRANSICAO!$X$8*CUSTOS!$Q$3</f>
        <v>0</v>
      </c>
      <c r="Y8" s="12">
        <f>TRANSICAO!$Y$8*CUSTOS!$Q$3</f>
        <v>0</v>
      </c>
      <c r="Z8" s="12">
        <f>TRANSICAO!$Z$8*CUSTOS!$Q$3</f>
        <v>0</v>
      </c>
      <c r="AA8" s="12">
        <f>TRANSICAO!$AA$8*CUSTOS!$Q$3</f>
        <v>0</v>
      </c>
      <c r="AB8" s="12">
        <f>TRANSICAO!$AB$8*CUSTOS!$Q$3</f>
        <v>0</v>
      </c>
      <c r="AC8" s="12">
        <f>TRANSICAO!$AC$8*CUSTOS!$Q$3</f>
        <v>0</v>
      </c>
      <c r="AD8" s="12">
        <f>TRANSICAO!$AD$8*CUSTOS!$Q$3</f>
        <v>0</v>
      </c>
      <c r="AE8" s="12">
        <v>0</v>
      </c>
      <c r="AF8" s="12">
        <v>0</v>
      </c>
      <c r="AG8" s="12"/>
      <c r="AH8" s="12">
        <v>4.9520999999999997</v>
      </c>
      <c r="AI8" s="12">
        <v>4.9520999999999997</v>
      </c>
      <c r="AJ8" s="12">
        <f ca="1">$N$73</f>
        <v>1.1971126089252555</v>
      </c>
      <c r="AK8" s="12">
        <f t="shared" ca="1" si="0"/>
        <v>1.1971126089252555</v>
      </c>
      <c r="AL8" s="12"/>
      <c r="AM8" s="12"/>
      <c r="AP8" s="12">
        <v>1</v>
      </c>
    </row>
    <row r="9" spans="1:42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v>0</v>
      </c>
      <c r="M9" s="12">
        <v>1.9400000000000001E-2</v>
      </c>
      <c r="N9" s="12">
        <f>0.0486</f>
        <v>4.8599999999999997E-2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/>
      <c r="U9" s="12">
        <f>TRANSICAO!$U$9*CUSTOS!$Q$4</f>
        <v>0</v>
      </c>
      <c r="V9" s="12">
        <f>TRANSICAO!$V$9*CUSTOS!$Q$4</f>
        <v>0</v>
      </c>
      <c r="W9" s="12">
        <f>TRANSICAO!$W$9*CUSTOS!$Q$4</f>
        <v>0</v>
      </c>
      <c r="X9" s="12">
        <f>TRANSICAO!$X$9*CUSTOS!$Q$4</f>
        <v>0</v>
      </c>
      <c r="Y9" s="12">
        <f>TRANSICAO!$Y$9*CUSTOS!$Q$4</f>
        <v>0</v>
      </c>
      <c r="Z9" s="12">
        <f>TRANSICAO!$Z$9*CUSTOS!$Q$4</f>
        <v>0</v>
      </c>
      <c r="AA9" s="12">
        <f>TRANSICAO!$AA$9*CUSTOS!$Q$4</f>
        <v>0</v>
      </c>
      <c r="AB9" s="12">
        <f>TRANSICAO!$AB$9*CUSTOS!$Q$4</f>
        <v>0</v>
      </c>
      <c r="AC9" s="12">
        <f>TRANSICAO!$AC$9*CUSTOS!$Q$4</f>
        <v>4.843</v>
      </c>
      <c r="AD9" s="12">
        <f>TRANSICAO!$AD$9*CUSTOS!$Q$4</f>
        <v>0</v>
      </c>
      <c r="AE9" s="12">
        <v>0</v>
      </c>
      <c r="AF9" s="12">
        <v>0</v>
      </c>
      <c r="AG9" s="12"/>
      <c r="AH9" s="12">
        <v>0</v>
      </c>
      <c r="AI9" s="12">
        <v>0</v>
      </c>
      <c r="AJ9" s="12">
        <v>0</v>
      </c>
      <c r="AK9" s="12">
        <f t="shared" si="0"/>
        <v>0</v>
      </c>
      <c r="AL9" s="12"/>
      <c r="AM9" s="12"/>
      <c r="AP9" s="12"/>
    </row>
    <row r="10" spans="1:42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/>
      <c r="U10" s="12">
        <f>TRANSICAO!$U$10*CUSTOS!$Q$3</f>
        <v>0</v>
      </c>
      <c r="V10" s="12">
        <f>TRANSICAO!$V$10*CUSTOS!$Q$3</f>
        <v>0</v>
      </c>
      <c r="W10" s="12">
        <f>TRANSICAO!$W$10*CUSTOS!$Q$3</f>
        <v>0</v>
      </c>
      <c r="X10" s="12">
        <f>TRANSICAO!$X$10*CUSTOS!$Q$3</f>
        <v>0</v>
      </c>
      <c r="Y10" s="12">
        <f>TRANSICAO!$Y$10*CUSTOS!$Q$3</f>
        <v>8.4810999999999996</v>
      </c>
      <c r="Z10" s="12">
        <f>TRANSICAO!$Z$10*CUSTOS!$Q$3</f>
        <v>0</v>
      </c>
      <c r="AA10" s="12">
        <f>TRANSICAO!$AA$10*CUSTOS!$Q$3</f>
        <v>0</v>
      </c>
      <c r="AB10" s="12">
        <f>TRANSICAO!$AB$10*CUSTOS!$Q$3</f>
        <v>0</v>
      </c>
      <c r="AC10" s="12">
        <f>TRANSICAO!$AC$10*CUSTOS!$Q$3</f>
        <v>4.7050999999999998</v>
      </c>
      <c r="AD10" s="12">
        <f>TRANSICAO!$AD$10*CUSTOS!$Q$3</f>
        <v>0</v>
      </c>
      <c r="AE10" s="12">
        <v>0</v>
      </c>
      <c r="AF10" s="12">
        <v>0</v>
      </c>
      <c r="AG10" s="12"/>
      <c r="AH10" s="12">
        <v>0</v>
      </c>
      <c r="AI10" s="12">
        <v>0</v>
      </c>
      <c r="AJ10" s="12">
        <v>0</v>
      </c>
      <c r="AK10" s="12">
        <f t="shared" si="0"/>
        <v>0</v>
      </c>
      <c r="AL10" s="12"/>
      <c r="AM10" s="12"/>
      <c r="AP10" s="12">
        <v>1</v>
      </c>
    </row>
    <row r="11" spans="1:42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0.84</f>
        <v>0.84</v>
      </c>
      <c r="M11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1" s="12">
        <f ca="1">(+M11+O11+R11+U11+V11+W11+X11+Y11+Z11+AA11+AC11+AH11+AI11+AJ11+AK11)*CUSTOS!$M$5</f>
        <v>8.3512359018300444</v>
      </c>
      <c r="O11" s="12">
        <v>1</v>
      </c>
      <c r="P11" s="12">
        <v>1</v>
      </c>
      <c r="Q11" s="12">
        <f>0.84</f>
        <v>0.84</v>
      </c>
      <c r="R11" s="12">
        <v>1</v>
      </c>
      <c r="S11" s="12">
        <v>1</v>
      </c>
      <c r="T11" s="12"/>
      <c r="U11" s="12">
        <f>TRANSICAO!$U$11*CUSTOS!$Q$3</f>
        <v>0</v>
      </c>
      <c r="V11" s="12">
        <f>TRANSICAO!$V$11*CUSTOS!$Q$3</f>
        <v>0</v>
      </c>
      <c r="W11" s="12">
        <f>TRANSICAO!$W$11*CUSTOS!$Q$3</f>
        <v>0</v>
      </c>
      <c r="X11" s="12">
        <f>TRANSICAO!$X$11*CUSTOS!$Q$3</f>
        <v>0</v>
      </c>
      <c r="Y11" s="12">
        <f>TRANSICAO!$Y$11*CUSTOS!$Q$3</f>
        <v>467.5659</v>
      </c>
      <c r="Z11" s="12">
        <f>TRANSICAO!$Z$11*CUSTOS!$Q$3</f>
        <v>0</v>
      </c>
      <c r="AA11" s="12">
        <f>TRANSICAO!$AA$11*CUSTOS!$Q$3</f>
        <v>0</v>
      </c>
      <c r="AB11" s="12">
        <f>TRANSICAO!$AB$11*CUSTOS!$Q$3</f>
        <v>0</v>
      </c>
      <c r="AC11" s="12">
        <f>TRANSICAO!$AC$11*CUSTOS!$Q$3</f>
        <v>353.05470000000003</v>
      </c>
      <c r="AD11" s="12">
        <f>TRANSICAO!$AD$11*CUSTOS!$Q$3</f>
        <v>0</v>
      </c>
      <c r="AE11" s="12">
        <v>0</v>
      </c>
      <c r="AF11" s="12">
        <v>0</v>
      </c>
      <c r="AG11" s="12"/>
      <c r="AH11" s="12">
        <v>4.9520999999999997</v>
      </c>
      <c r="AI11" s="12">
        <v>4.9520999999999997</v>
      </c>
      <c r="AJ11" s="12">
        <f ca="1">$N$73</f>
        <v>1.1971126089252555</v>
      </c>
      <c r="AK11" s="12">
        <f t="shared" ca="1" si="0"/>
        <v>1.1971126089252555</v>
      </c>
      <c r="AL11" s="12"/>
      <c r="AM11" s="12"/>
      <c r="AP11" s="12">
        <v>1</v>
      </c>
    </row>
    <row r="12" spans="1:42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0.84</f>
        <v>0.84</v>
      </c>
      <c r="M12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2" s="12">
        <f ca="1">(+M12+O12+R12+U12+V12+W12+X12+Y12+Z12+AA12+AC12+AH12+AI12+AJ12+AK12)*CUSTOS!$M$5</f>
        <v>0.14502990183004263</v>
      </c>
      <c r="O12" s="12">
        <v>1</v>
      </c>
      <c r="P12" s="12">
        <v>1</v>
      </c>
      <c r="Q12" s="12">
        <f>0.84</f>
        <v>0.84</v>
      </c>
      <c r="R12" s="12">
        <v>1</v>
      </c>
      <c r="S12" s="12">
        <v>1</v>
      </c>
      <c r="T12" s="12"/>
      <c r="U12" s="12">
        <f>TRANSICAO!$U$12*CUSTOS!$Q$3</f>
        <v>0</v>
      </c>
      <c r="V12" s="12">
        <f>TRANSICAO!$V$12*CUSTOS!$Q$3</f>
        <v>0</v>
      </c>
      <c r="W12" s="12">
        <f>TRANSICAO!$W$12*CUSTOS!$Q$3</f>
        <v>0</v>
      </c>
      <c r="X12" s="12">
        <f>TRANSICAO!$X$12*CUSTOS!$Q$3</f>
        <v>0</v>
      </c>
      <c r="Y12" s="12">
        <f>TRANSICAO!$Y$12*CUSTOS!$Q$3</f>
        <v>0</v>
      </c>
      <c r="Z12" s="12">
        <f>TRANSICAO!$Z$12*CUSTOS!$Q$3</f>
        <v>0</v>
      </c>
      <c r="AA12" s="12">
        <f>TRANSICAO!$AA$12*CUSTOS!$Q$3</f>
        <v>0</v>
      </c>
      <c r="AB12" s="12">
        <f>TRANSICAO!$AB$12*CUSTOS!$Q$3</f>
        <v>0</v>
      </c>
      <c r="AC12" s="12">
        <f>TRANSICAO!$AC$12*CUSTOS!$Q$3</f>
        <v>0</v>
      </c>
      <c r="AD12" s="12">
        <f>TRANSICAO!$AD$12*CUSTOS!$Q$3</f>
        <v>0</v>
      </c>
      <c r="AE12" s="12">
        <v>0</v>
      </c>
      <c r="AF12" s="12">
        <v>0</v>
      </c>
      <c r="AG12" s="12"/>
      <c r="AH12" s="12">
        <v>4.9520999999999997</v>
      </c>
      <c r="AI12" s="12">
        <v>4.9520999999999997</v>
      </c>
      <c r="AJ12" s="12">
        <f ca="1">$N$73</f>
        <v>1.1971126089252555</v>
      </c>
      <c r="AK12" s="12">
        <f t="shared" ca="1" si="0"/>
        <v>1.1971126089252555</v>
      </c>
      <c r="AL12" s="12"/>
      <c r="AM12" s="12"/>
      <c r="AP12" s="12">
        <v>1</v>
      </c>
    </row>
    <row r="13" spans="1:42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v>0</v>
      </c>
      <c r="M13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3" s="12">
        <f ca="1">(+M13+O13+R13+U13+V13+W13+X13+Y13+Z13+AA13+AC13+AH13+AI13+AJ13+AK13)*CUSTOS!$M$5</f>
        <v>8.3412359018300428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/>
      <c r="U13" s="12">
        <f>TRANSICAO!$U$13*CUSTOS!$Q$3</f>
        <v>0</v>
      </c>
      <c r="V13" s="12">
        <f>TRANSICAO!$V$13*CUSTOS!$Q$3</f>
        <v>0</v>
      </c>
      <c r="W13" s="12">
        <f>TRANSICAO!$W$13*CUSTOS!$Q$3</f>
        <v>0</v>
      </c>
      <c r="X13" s="12">
        <f>TRANSICAO!$X$13*CUSTOS!$Q$3</f>
        <v>0</v>
      </c>
      <c r="Y13" s="12">
        <f>TRANSICAO!$Y$13*CUSTOS!$Q$3</f>
        <v>467.5659</v>
      </c>
      <c r="Z13" s="12">
        <f>TRANSICAO!$Z$13*CUSTOS!$Q$3</f>
        <v>0</v>
      </c>
      <c r="AA13" s="12">
        <f>TRANSICAO!$AA$13*CUSTOS!$Q$3</f>
        <v>0</v>
      </c>
      <c r="AB13" s="12">
        <f>TRANSICAO!$AB$13*CUSTOS!$Q$3</f>
        <v>0</v>
      </c>
      <c r="AC13" s="12">
        <f>TRANSICAO!$AC$13*CUSTOS!$Q$3</f>
        <v>353.05470000000003</v>
      </c>
      <c r="AD13" s="12">
        <f>TRANSICAO!$AD$13*CUSTOS!$Q$3</f>
        <v>0</v>
      </c>
      <c r="AE13" s="12">
        <v>0</v>
      </c>
      <c r="AF13" s="12">
        <v>0</v>
      </c>
      <c r="AG13" s="12"/>
      <c r="AH13" s="12">
        <v>4.9520999999999997</v>
      </c>
      <c r="AI13" s="12">
        <v>4.9520999999999997</v>
      </c>
      <c r="AJ13" s="12">
        <f ca="1">$N$73</f>
        <v>1.1971126089252555</v>
      </c>
      <c r="AK13" s="12">
        <f t="shared" ca="1" si="0"/>
        <v>1.1971126089252555</v>
      </c>
      <c r="AL13" s="12"/>
      <c r="AM13" s="12"/>
      <c r="AP13" s="12">
        <v>1</v>
      </c>
    </row>
    <row r="14" spans="1:42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v>0</v>
      </c>
      <c r="M14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4" s="12">
        <f ca="1">(+M14+O14+R14+U14+V14+W14+X14+Y14+Z14+AA14+AC14+AH14+AI14+AJ14+AK14)*CUSTOS!$M$5</f>
        <v>0.13502990183004263</v>
      </c>
      <c r="O14" s="12">
        <v>1</v>
      </c>
      <c r="P14" s="12">
        <v>0</v>
      </c>
      <c r="Q14" s="12">
        <v>0</v>
      </c>
      <c r="R14" s="12">
        <v>0</v>
      </c>
      <c r="S14" s="12">
        <v>0</v>
      </c>
      <c r="T14" s="12"/>
      <c r="U14" s="12">
        <f>TRANSICAO!$U$14*CUSTOS!$Q$3</f>
        <v>0</v>
      </c>
      <c r="V14" s="12">
        <f>TRANSICAO!$V$14*CUSTOS!$Q$3</f>
        <v>0</v>
      </c>
      <c r="W14" s="12">
        <f>TRANSICAO!$W$14*CUSTOS!$Q$3</f>
        <v>0</v>
      </c>
      <c r="X14" s="12">
        <f>TRANSICAO!$X$14*CUSTOS!$Q$3</f>
        <v>0</v>
      </c>
      <c r="Y14" s="12">
        <f>TRANSICAO!$Y$14*CUSTOS!$Q$3</f>
        <v>0</v>
      </c>
      <c r="Z14" s="12">
        <f>TRANSICAO!$Z$14*CUSTOS!$Q$3</f>
        <v>0</v>
      </c>
      <c r="AA14" s="12">
        <f>TRANSICAO!$AA$14*CUSTOS!$Q$3</f>
        <v>0</v>
      </c>
      <c r="AB14" s="12">
        <f>TRANSICAO!$AB$14*CUSTOS!$Q$3</f>
        <v>0</v>
      </c>
      <c r="AC14" s="12">
        <f>TRANSICAO!$AC$14*CUSTOS!$Q$3</f>
        <v>0</v>
      </c>
      <c r="AD14" s="12">
        <f>TRANSICAO!$AD$14*CUSTOS!$Q$3</f>
        <v>0</v>
      </c>
      <c r="AE14" s="12">
        <v>0</v>
      </c>
      <c r="AF14" s="12">
        <v>0</v>
      </c>
      <c r="AG14" s="12"/>
      <c r="AH14" s="12">
        <v>4.9520999999999997</v>
      </c>
      <c r="AI14" s="12">
        <v>4.9520999999999997</v>
      </c>
      <c r="AJ14" s="12">
        <f ca="1">$N$73</f>
        <v>1.1971126089252555</v>
      </c>
      <c r="AK14" s="12">
        <f t="shared" ca="1" si="0"/>
        <v>1.1971126089252555</v>
      </c>
      <c r="AL14" s="12"/>
      <c r="AM14" s="12"/>
      <c r="AP14" s="12">
        <v>1</v>
      </c>
    </row>
    <row r="15" spans="1:42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/>
      <c r="U15" s="12">
        <f>TRANSICAO!$U$15*CUSTOS!$R$3</f>
        <v>0</v>
      </c>
      <c r="V15" s="12">
        <f>TRANSICAO!$V$15*CUSTOS!$R$3</f>
        <v>0</v>
      </c>
      <c r="W15" s="12">
        <f>TRANSICAO!$W$15*CUSTOS!$R$3</f>
        <v>0</v>
      </c>
      <c r="X15" s="12">
        <f>TRANSICAO!$X$15*CUSTOS!$R$3</f>
        <v>0</v>
      </c>
      <c r="Y15" s="12">
        <f>TRANSICAO!$Y$15*CUSTOS!$R$3</f>
        <v>19.441400000000002</v>
      </c>
      <c r="Z15" s="12">
        <f>TRANSICAO!$Z$15*CUSTOS!$R$3</f>
        <v>0</v>
      </c>
      <c r="AA15" s="12">
        <f>TRANSICAO!$AA$15*CUSTOS!$R$3</f>
        <v>0</v>
      </c>
      <c r="AB15" s="12">
        <f>TRANSICAO!$AB$15*CUSTOS!$R$3</f>
        <v>0</v>
      </c>
      <c r="AC15" s="12">
        <f>TRANSICAO!$AC$15*CUSTOS!$R$3</f>
        <v>14.68</v>
      </c>
      <c r="AD15" s="12">
        <f>TRANSICAO!$AD$15*CUSTOS!$R$3</f>
        <v>0</v>
      </c>
      <c r="AE15" s="12">
        <v>0</v>
      </c>
      <c r="AF15" s="12">
        <v>0</v>
      </c>
      <c r="AG15" s="12"/>
      <c r="AH15" s="12">
        <v>0</v>
      </c>
      <c r="AI15" s="12">
        <v>0</v>
      </c>
      <c r="AJ15" s="12">
        <v>0</v>
      </c>
      <c r="AK15" s="12">
        <f t="shared" si="0"/>
        <v>0</v>
      </c>
      <c r="AL15" s="12"/>
      <c r="AM15" s="12"/>
      <c r="AP15" s="12">
        <v>1</v>
      </c>
    </row>
    <row r="16" spans="1:42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/>
      <c r="U16" s="12">
        <f>TRANSICAO!$U$16*CUSTOS!$R$3</f>
        <v>0</v>
      </c>
      <c r="V16" s="12">
        <f>TRANSICAO!$V$16*CUSTOS!$R$3</f>
        <v>0</v>
      </c>
      <c r="W16" s="12">
        <f>TRANSICAO!$W$16*CUSTOS!$R$3</f>
        <v>0</v>
      </c>
      <c r="X16" s="12">
        <f>TRANSICAO!$X$16*CUSTOS!$R$3</f>
        <v>0</v>
      </c>
      <c r="Y16" s="12">
        <f>TRANSICAO!$Y$16*CUSTOS!$R$3</f>
        <v>8.4810999999999996</v>
      </c>
      <c r="Z16" s="12">
        <f>TRANSICAO!$Z$16*CUSTOS!$R$3</f>
        <v>0</v>
      </c>
      <c r="AA16" s="12">
        <f>TRANSICAO!$AA$16*CUSTOS!$R$3</f>
        <v>0</v>
      </c>
      <c r="AB16" s="12">
        <f>TRANSICAO!$AB$16*CUSTOS!$R$3</f>
        <v>0</v>
      </c>
      <c r="AC16" s="12">
        <f>TRANSICAO!$AC$16*CUSTOS!$R$3</f>
        <v>4.7050999999999998</v>
      </c>
      <c r="AD16" s="12">
        <f>TRANSICAO!$AD$16*CUSTOS!$R$3</f>
        <v>0</v>
      </c>
      <c r="AE16" s="12">
        <v>0</v>
      </c>
      <c r="AF16" s="12">
        <v>0</v>
      </c>
      <c r="AG16" s="12"/>
      <c r="AH16" s="12">
        <v>0</v>
      </c>
      <c r="AI16" s="12">
        <v>0</v>
      </c>
      <c r="AJ16" s="12">
        <v>0</v>
      </c>
      <c r="AK16" s="12">
        <f t="shared" si="0"/>
        <v>0</v>
      </c>
      <c r="AL16" s="12"/>
      <c r="AM16" s="12"/>
      <c r="AP16" s="12">
        <v>1</v>
      </c>
    </row>
    <row r="17" spans="1:42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0.84</f>
        <v>0.84</v>
      </c>
      <c r="M17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7" s="12">
        <f ca="1">(+M17+O17+R17+U17+V17+W17+X17+Y17+Z17+AA17+AC17+AH17+AI17+AJ17+AK17)*CUSTOS!$M$5</f>
        <v>0.14502990183004263</v>
      </c>
      <c r="O17" s="12">
        <v>1</v>
      </c>
      <c r="P17" s="12">
        <v>1</v>
      </c>
      <c r="Q17" s="12">
        <f>0.84</f>
        <v>0.84</v>
      </c>
      <c r="R17" s="12">
        <v>1</v>
      </c>
      <c r="S17" s="12">
        <v>1</v>
      </c>
      <c r="T17" s="12"/>
      <c r="U17" s="12">
        <f>TRANSICAO!$U$17*CUSTOS!$R$3</f>
        <v>0</v>
      </c>
      <c r="V17" s="12">
        <f>TRANSICAO!$V$17*CUSTOS!$R$3</f>
        <v>0</v>
      </c>
      <c r="W17" s="12">
        <f>TRANSICAO!$W$17*CUSTOS!$R$3</f>
        <v>0</v>
      </c>
      <c r="X17" s="12">
        <f>TRANSICAO!$X$17*CUSTOS!$R$3</f>
        <v>0</v>
      </c>
      <c r="Y17" s="12">
        <f>TRANSICAO!$Y$17*CUSTOS!$R$3</f>
        <v>0</v>
      </c>
      <c r="Z17" s="12">
        <f>TRANSICAO!$Z$17*CUSTOS!$R$3</f>
        <v>0</v>
      </c>
      <c r="AA17" s="12">
        <f>TRANSICAO!$AA$17*CUSTOS!$R$3</f>
        <v>0</v>
      </c>
      <c r="AB17" s="12">
        <f>TRANSICAO!$AB$17*CUSTOS!$R$3</f>
        <v>0</v>
      </c>
      <c r="AC17" s="12">
        <f>TRANSICAO!$AC$17*CUSTOS!$R$3</f>
        <v>0</v>
      </c>
      <c r="AD17" s="12">
        <f>TRANSICAO!$AD$17*CUSTOS!$R$3</f>
        <v>0</v>
      </c>
      <c r="AE17" s="12">
        <v>0</v>
      </c>
      <c r="AF17" s="12">
        <v>0</v>
      </c>
      <c r="AG17" s="12"/>
      <c r="AH17" s="12">
        <v>4.9520999999999997</v>
      </c>
      <c r="AI17" s="12">
        <v>4.9520999999999997</v>
      </c>
      <c r="AJ17" s="12">
        <f ca="1">$N$74</f>
        <v>1.1971126089252555</v>
      </c>
      <c r="AK17" s="12">
        <f t="shared" ca="1" si="0"/>
        <v>1.1971126089252555</v>
      </c>
      <c r="AL17" s="12"/>
      <c r="AM17" s="12"/>
      <c r="AP17" s="12">
        <v>1</v>
      </c>
    </row>
    <row r="18" spans="1:42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v>0</v>
      </c>
      <c r="M18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18" s="12">
        <f ca="1">(+M18+O18+R18+U18+V18+W18+X18+Y18+Z18+AA18+AC18+AH18+AI18+AJ18+AK18)*CUSTOS!$M$5</f>
        <v>0.13502990183004263</v>
      </c>
      <c r="O18" s="12">
        <v>1</v>
      </c>
      <c r="P18" s="12">
        <v>0</v>
      </c>
      <c r="Q18" s="12">
        <v>0</v>
      </c>
      <c r="R18" s="12">
        <v>0</v>
      </c>
      <c r="S18" s="12">
        <v>0</v>
      </c>
      <c r="T18" s="12"/>
      <c r="U18" s="12">
        <f>TRANSICAO!$U$18*CUSTOS!$R$3</f>
        <v>0</v>
      </c>
      <c r="V18" s="12">
        <f>TRANSICAO!$V$18*CUSTOS!$R$3</f>
        <v>0</v>
      </c>
      <c r="W18" s="12">
        <f>TRANSICAO!$W$18*CUSTOS!$R$3</f>
        <v>0</v>
      </c>
      <c r="X18" s="12">
        <f>TRANSICAO!$X$18*CUSTOS!$R$3</f>
        <v>0</v>
      </c>
      <c r="Y18" s="12">
        <f>TRANSICAO!$Y$18*CUSTOS!$R$3</f>
        <v>0</v>
      </c>
      <c r="Z18" s="12">
        <f>TRANSICAO!$Z$18*CUSTOS!$R$3</f>
        <v>0</v>
      </c>
      <c r="AA18" s="12">
        <f>TRANSICAO!$AA$18*CUSTOS!$R$3</f>
        <v>0</v>
      </c>
      <c r="AB18" s="12">
        <f>TRANSICAO!$AB$18*CUSTOS!$R$3</f>
        <v>0</v>
      </c>
      <c r="AC18" s="12">
        <f>TRANSICAO!$AC$18*CUSTOS!$R$3</f>
        <v>0</v>
      </c>
      <c r="AD18" s="12">
        <f>TRANSICAO!$AD$18*CUSTOS!$R$3</f>
        <v>0</v>
      </c>
      <c r="AE18" s="12">
        <v>0</v>
      </c>
      <c r="AF18" s="12">
        <v>0</v>
      </c>
      <c r="AG18" s="12"/>
      <c r="AH18" s="12">
        <v>4.9520999999999997</v>
      </c>
      <c r="AI18" s="12">
        <v>4.9520999999999997</v>
      </c>
      <c r="AJ18" s="12">
        <f ca="1">$N$74</f>
        <v>1.1971126089252555</v>
      </c>
      <c r="AK18" s="12">
        <f t="shared" ca="1" si="0"/>
        <v>1.1971126089252555</v>
      </c>
      <c r="AL18" s="12"/>
      <c r="AM18" s="12"/>
      <c r="AP18" s="12">
        <v>1</v>
      </c>
    </row>
    <row r="19" spans="1:42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v>0</v>
      </c>
      <c r="M19" s="12">
        <v>1.9400000000000001E-2</v>
      </c>
      <c r="N19" s="12">
        <f>0.0486</f>
        <v>4.8599999999999997E-2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/>
      <c r="U19" s="12">
        <f>TRANSICAO!$U$19*CUSTOS!$R$4</f>
        <v>0</v>
      </c>
      <c r="V19" s="12">
        <f>TRANSICAO!$V$19*CUSTOS!$R$4</f>
        <v>0</v>
      </c>
      <c r="W19" s="12">
        <f>TRANSICAO!$W$19*CUSTOS!$R$4</f>
        <v>0</v>
      </c>
      <c r="X19" s="12">
        <f>TRANSICAO!$X$19*CUSTOS!$R$4</f>
        <v>0</v>
      </c>
      <c r="Y19" s="12">
        <f>TRANSICAO!$Y$19*CUSTOS!$R$4</f>
        <v>0</v>
      </c>
      <c r="Z19" s="12">
        <f>TRANSICAO!$Z$19*CUSTOS!$R$4</f>
        <v>0</v>
      </c>
      <c r="AA19" s="12">
        <f>TRANSICAO!$AA$19*CUSTOS!$R$4</f>
        <v>0</v>
      </c>
      <c r="AB19" s="12">
        <f>TRANSICAO!$AB$19*CUSTOS!$R$4</f>
        <v>0</v>
      </c>
      <c r="AC19" s="12">
        <f>TRANSICAO!$AC$19*CUSTOS!$R$4</f>
        <v>4.843</v>
      </c>
      <c r="AD19" s="12">
        <f>TRANSICAO!$AD$19*CUSTOS!$R$4</f>
        <v>0</v>
      </c>
      <c r="AE19" s="12">
        <v>0</v>
      </c>
      <c r="AF19" s="12">
        <v>0</v>
      </c>
      <c r="AG19" s="12"/>
      <c r="AH19" s="12">
        <v>0</v>
      </c>
      <c r="AI19" s="12">
        <v>0</v>
      </c>
      <c r="AJ19" s="12">
        <v>0</v>
      </c>
      <c r="AK19" s="12">
        <f t="shared" si="0"/>
        <v>0</v>
      </c>
      <c r="AL19" s="12"/>
      <c r="AM19" s="12"/>
      <c r="AP19" s="12"/>
    </row>
    <row r="20" spans="1:42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/>
      <c r="U20" s="12">
        <f>TRANSICAO!$U$20*CUSTOS!$R$3</f>
        <v>0</v>
      </c>
      <c r="V20" s="12">
        <f>TRANSICAO!$V$20*CUSTOS!$R$3</f>
        <v>0</v>
      </c>
      <c r="W20" s="12">
        <f>TRANSICAO!$W$20*CUSTOS!$R$3</f>
        <v>0</v>
      </c>
      <c r="X20" s="12">
        <f>TRANSICAO!$X$20*CUSTOS!$R$3</f>
        <v>0</v>
      </c>
      <c r="Y20" s="12">
        <f>TRANSICAO!$Y$20*CUSTOS!$R$3</f>
        <v>8.4810999999999996</v>
      </c>
      <c r="Z20" s="12">
        <f>TRANSICAO!$Z$20*CUSTOS!$R$3</f>
        <v>0</v>
      </c>
      <c r="AA20" s="12">
        <f>TRANSICAO!$AA$20*CUSTOS!$R$3</f>
        <v>0</v>
      </c>
      <c r="AB20" s="12">
        <f>TRANSICAO!$AB$20*CUSTOS!$R$3</f>
        <v>0</v>
      </c>
      <c r="AC20" s="12">
        <f>TRANSICAO!$AC$20*CUSTOS!$R$3</f>
        <v>4.7050999999999998</v>
      </c>
      <c r="AD20" s="12">
        <f>TRANSICAO!$AD$20*CUSTOS!$R$3</f>
        <v>0</v>
      </c>
      <c r="AE20" s="12">
        <v>0</v>
      </c>
      <c r="AF20" s="12">
        <v>0</v>
      </c>
      <c r="AG20" s="12"/>
      <c r="AH20" s="12">
        <v>0</v>
      </c>
      <c r="AI20" s="12">
        <v>0</v>
      </c>
      <c r="AJ20" s="12">
        <v>0</v>
      </c>
      <c r="AK20" s="12">
        <f t="shared" si="0"/>
        <v>0</v>
      </c>
      <c r="AL20" s="12"/>
      <c r="AM20" s="12"/>
      <c r="AP20" s="12">
        <v>1</v>
      </c>
    </row>
    <row r="21" spans="1:42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0.84</f>
        <v>0.84</v>
      </c>
      <c r="M21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21" s="12">
        <f ca="1">(+M21+O21+R21+U21+V21+W21+X21+Y21+Z21+AA21+AC21+AH21+AI21+AJ21+AK21)*CUSTOS!$M$5</f>
        <v>8.3512359018300444</v>
      </c>
      <c r="O21" s="12">
        <v>1</v>
      </c>
      <c r="P21" s="12">
        <v>1</v>
      </c>
      <c r="Q21" s="12">
        <f>0.84</f>
        <v>0.84</v>
      </c>
      <c r="R21" s="12">
        <v>1</v>
      </c>
      <c r="S21" s="12">
        <v>1</v>
      </c>
      <c r="T21" s="12"/>
      <c r="U21" s="12">
        <f>TRANSICAO!$U$21*CUSTOS!$R$3</f>
        <v>0</v>
      </c>
      <c r="V21" s="12">
        <f>TRANSICAO!$V$21*CUSTOS!$R$3</f>
        <v>0</v>
      </c>
      <c r="W21" s="12">
        <f>TRANSICAO!$W$21*CUSTOS!$R$3</f>
        <v>0</v>
      </c>
      <c r="X21" s="12">
        <f>TRANSICAO!$X$21*CUSTOS!$R$3</f>
        <v>0</v>
      </c>
      <c r="Y21" s="12">
        <f>TRANSICAO!$Y$21*CUSTOS!$R$3</f>
        <v>467.5659</v>
      </c>
      <c r="Z21" s="12">
        <f>TRANSICAO!$Z$21*CUSTOS!$R$3</f>
        <v>0</v>
      </c>
      <c r="AA21" s="12">
        <f>TRANSICAO!$AA$21*CUSTOS!$R$3</f>
        <v>0</v>
      </c>
      <c r="AB21" s="12">
        <f>TRANSICAO!$AB$21*CUSTOS!$R$3</f>
        <v>0</v>
      </c>
      <c r="AC21" s="12">
        <f>TRANSICAO!$AC$21*CUSTOS!$R$3</f>
        <v>353.05470000000003</v>
      </c>
      <c r="AD21" s="12">
        <f>TRANSICAO!$AD$21*CUSTOS!$R$3</f>
        <v>0</v>
      </c>
      <c r="AE21" s="12">
        <v>0</v>
      </c>
      <c r="AF21" s="12">
        <v>0</v>
      </c>
      <c r="AG21" s="12"/>
      <c r="AH21" s="12">
        <v>4.9520999999999997</v>
      </c>
      <c r="AI21" s="12">
        <v>4.9520999999999997</v>
      </c>
      <c r="AJ21" s="12">
        <f ca="1">$N$74</f>
        <v>1.1971126089252555</v>
      </c>
      <c r="AK21" s="12">
        <f t="shared" ca="1" si="0"/>
        <v>1.1971126089252555</v>
      </c>
      <c r="AL21" s="12"/>
      <c r="AM21" s="12"/>
      <c r="AP21" s="12">
        <v>1</v>
      </c>
    </row>
    <row r="22" spans="1:42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0.84</f>
        <v>0.84</v>
      </c>
      <c r="M22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22" s="12">
        <f ca="1">(+M22+O22+R22+U22+V22+W22+X22+Y22+Z22+AA22+AC22+AH22+AI22+AJ22+AK22)*CUSTOS!$M$5</f>
        <v>0.14502990183004263</v>
      </c>
      <c r="O22" s="12">
        <v>1</v>
      </c>
      <c r="P22" s="12">
        <v>1</v>
      </c>
      <c r="Q22" s="12">
        <f>0.84</f>
        <v>0.84</v>
      </c>
      <c r="R22" s="12">
        <v>1</v>
      </c>
      <c r="S22" s="12">
        <v>1</v>
      </c>
      <c r="T22" s="12"/>
      <c r="U22" s="12">
        <f>TRANSICAO!$U$22*CUSTOS!$R$3</f>
        <v>0</v>
      </c>
      <c r="V22" s="12">
        <f>TRANSICAO!$V$22*CUSTOS!$R$3</f>
        <v>0</v>
      </c>
      <c r="W22" s="12">
        <f>TRANSICAO!$W$22*CUSTOS!$R$3</f>
        <v>0</v>
      </c>
      <c r="X22" s="12">
        <f>TRANSICAO!$X$22*CUSTOS!$R$3</f>
        <v>0</v>
      </c>
      <c r="Y22" s="12">
        <f>TRANSICAO!$Y$22*CUSTOS!$R$3</f>
        <v>0</v>
      </c>
      <c r="Z22" s="12">
        <f>TRANSICAO!$Z$22*CUSTOS!$R$3</f>
        <v>0</v>
      </c>
      <c r="AA22" s="12">
        <f>TRANSICAO!$AA$22*CUSTOS!$R$3</f>
        <v>0</v>
      </c>
      <c r="AB22" s="12">
        <f>TRANSICAO!$AB$22*CUSTOS!$R$3</f>
        <v>0</v>
      </c>
      <c r="AC22" s="12">
        <f>TRANSICAO!$AC$22*CUSTOS!$R$3</f>
        <v>0</v>
      </c>
      <c r="AD22" s="12">
        <f>TRANSICAO!$AD$22*CUSTOS!$R$3</f>
        <v>0</v>
      </c>
      <c r="AE22" s="12">
        <v>0</v>
      </c>
      <c r="AF22" s="12">
        <v>0</v>
      </c>
      <c r="AG22" s="12"/>
      <c r="AH22" s="12">
        <v>4.9520999999999997</v>
      </c>
      <c r="AI22" s="12">
        <v>4.9520999999999997</v>
      </c>
      <c r="AJ22" s="12">
        <f ca="1">$N$74</f>
        <v>1.1971126089252555</v>
      </c>
      <c r="AK22" s="12">
        <f t="shared" ca="1" si="0"/>
        <v>1.1971126089252555</v>
      </c>
      <c r="AL22" s="12"/>
      <c r="AM22" s="12"/>
      <c r="AP22" s="12">
        <v>1</v>
      </c>
    </row>
    <row r="23" spans="1:42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v>0</v>
      </c>
      <c r="M23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23" s="12">
        <f ca="1">(+M23+O23+R23+U23+V23+W23+X23+Y23+Z23+AA23+AC23+AH23+AI23+AJ23+AK23)*CUSTOS!$M$5</f>
        <v>8.3412359018300428</v>
      </c>
      <c r="O23" s="12">
        <v>1</v>
      </c>
      <c r="P23" s="12">
        <v>0</v>
      </c>
      <c r="Q23" s="12">
        <v>0</v>
      </c>
      <c r="R23" s="12">
        <v>0</v>
      </c>
      <c r="S23" s="12">
        <v>0</v>
      </c>
      <c r="T23" s="12"/>
      <c r="U23" s="12">
        <f>TRANSICAO!$U$23*CUSTOS!$R$3</f>
        <v>0</v>
      </c>
      <c r="V23" s="12">
        <f>TRANSICAO!$V$23*CUSTOS!$R$3</f>
        <v>0</v>
      </c>
      <c r="W23" s="12">
        <f>TRANSICAO!$W$23*CUSTOS!$R$3</f>
        <v>0</v>
      </c>
      <c r="X23" s="12">
        <f>TRANSICAO!$X$23*CUSTOS!$R$3</f>
        <v>0</v>
      </c>
      <c r="Y23" s="12">
        <f>TRANSICAO!$Y$23*CUSTOS!$R$3</f>
        <v>467.5659</v>
      </c>
      <c r="Z23" s="12">
        <f>TRANSICAO!$Z$23*CUSTOS!$R$3</f>
        <v>0</v>
      </c>
      <c r="AA23" s="12">
        <f>TRANSICAO!$AA$23*CUSTOS!$R$3</f>
        <v>0</v>
      </c>
      <c r="AB23" s="12">
        <f>TRANSICAO!$AB$23*CUSTOS!$R$3</f>
        <v>0</v>
      </c>
      <c r="AC23" s="12">
        <f>TRANSICAO!$AC$23*CUSTOS!$R$3</f>
        <v>353.05470000000003</v>
      </c>
      <c r="AD23" s="12">
        <f>TRANSICAO!$AD$23*CUSTOS!$R$3</f>
        <v>0</v>
      </c>
      <c r="AE23" s="12">
        <v>0</v>
      </c>
      <c r="AF23" s="12">
        <v>0</v>
      </c>
      <c r="AG23" s="12"/>
      <c r="AH23" s="12">
        <v>4.9520999999999997</v>
      </c>
      <c r="AI23" s="12">
        <v>4.9520999999999997</v>
      </c>
      <c r="AJ23" s="12">
        <f ca="1">$N$74</f>
        <v>1.1971126089252555</v>
      </c>
      <c r="AK23" s="12">
        <f t="shared" ca="1" si="0"/>
        <v>1.1971126089252555</v>
      </c>
      <c r="AL23" s="12"/>
      <c r="AM23" s="12"/>
      <c r="AP23" s="12">
        <v>1</v>
      </c>
    </row>
    <row r="24" spans="1:42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v>0</v>
      </c>
      <c r="M24" s="12">
        <f>IF(AND((+$I$7+$I$8+$I$11+$I$12+$I$13+$I$14+$I$17+$I$18+$I$21+$I$22+$I$23+$I$24)&lt;&gt;0,SUMPRODUCT($I$5:$I$61,$AC$5:$AC$61,$AP$5:$AP$61)&lt;&gt;0),$M$66*SUMPRODUCT($I$5:$I$24,$AC$5:$AC$24,$AP$5:$AP$24)/SUMPRODUCT($I$5:$I$61,$AC$5:$AC$61,$AP$5:$AP$61)/(+$I$7+$I$8+$I$11+$I$12+$I$13+$I$14+$I$17+$I$18+$I$21+$I$22+$I$23+$I$24),0)</f>
        <v>0.20456496515375228</v>
      </c>
      <c r="N24" s="12">
        <f ca="1">(+M24+O24+R24+U24+V24+W24+X24+Y24+Z24+AA24+AC24+AH24+AI24+AJ24+AK24)*CUSTOS!$M$5</f>
        <v>0.13502990183004263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/>
      <c r="U24" s="12">
        <f>TRANSICAO!$U$24*CUSTOS!$R$3</f>
        <v>0</v>
      </c>
      <c r="V24" s="12">
        <f>TRANSICAO!$V$24*CUSTOS!$R$3</f>
        <v>0</v>
      </c>
      <c r="W24" s="12">
        <f>TRANSICAO!$W$24*CUSTOS!$R$3</f>
        <v>0</v>
      </c>
      <c r="X24" s="12">
        <f>TRANSICAO!$X$24*CUSTOS!$R$3</f>
        <v>0</v>
      </c>
      <c r="Y24" s="12">
        <f>TRANSICAO!$Y$24*CUSTOS!$R$3</f>
        <v>0</v>
      </c>
      <c r="Z24" s="12">
        <f>TRANSICAO!$Z$24*CUSTOS!$R$3</f>
        <v>0</v>
      </c>
      <c r="AA24" s="12">
        <f>TRANSICAO!$AA$24*CUSTOS!$R$3</f>
        <v>0</v>
      </c>
      <c r="AB24" s="12">
        <f>TRANSICAO!$AB$24*CUSTOS!$R$3</f>
        <v>0</v>
      </c>
      <c r="AC24" s="12">
        <f>TRANSICAO!$AC$24*CUSTOS!$R$3</f>
        <v>0</v>
      </c>
      <c r="AD24" s="12">
        <f>TRANSICAO!$AD$24*CUSTOS!$R$3</f>
        <v>0</v>
      </c>
      <c r="AE24" s="12">
        <v>0</v>
      </c>
      <c r="AF24" s="12">
        <v>0</v>
      </c>
      <c r="AG24" s="12"/>
      <c r="AH24" s="12">
        <v>4.9520999999999997</v>
      </c>
      <c r="AI24" s="12">
        <v>4.9520999999999997</v>
      </c>
      <c r="AJ24" s="12">
        <f ca="1">$N$74</f>
        <v>1.1971126089252555</v>
      </c>
      <c r="AK24" s="12">
        <f t="shared" ca="1" si="0"/>
        <v>1.1971126089252555</v>
      </c>
      <c r="AL24" s="12"/>
      <c r="AM24" s="12"/>
      <c r="AP24" s="12">
        <v>1</v>
      </c>
    </row>
    <row r="25" spans="1:42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v>0</v>
      </c>
      <c r="M25" s="12">
        <v>1.0800000000000001E-2</v>
      </c>
      <c r="N25" s="12">
        <f>0.027</f>
        <v>2.7E-2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/>
      <c r="U25" s="12">
        <f>TRANSICAO!$U$25*CUSTOS!$T$4</f>
        <v>0</v>
      </c>
      <c r="V25" s="12">
        <f>TRANSICAO!$V$25*CUSTOS!$T$4</f>
        <v>0</v>
      </c>
      <c r="W25" s="12">
        <f>TRANSICAO!$W$25*CUSTOS!$T$4</f>
        <v>0</v>
      </c>
      <c r="X25" s="12">
        <f>TRANSICAO!$X$25*CUSTOS!$T$4</f>
        <v>0</v>
      </c>
      <c r="Y25" s="12">
        <f>TRANSICAO!$Y$25*CUSTOS!$T$4</f>
        <v>0</v>
      </c>
      <c r="Z25" s="12">
        <f>TRANSICAO!$Z$25*CUSTOS!$T$4</f>
        <v>0</v>
      </c>
      <c r="AA25" s="12">
        <f>TRANSICAO!$AA$25*CUSTOS!$T$4</f>
        <v>0</v>
      </c>
      <c r="AB25" s="12">
        <f>TRANSICAO!$AB$25*CUSTOS!$T$4</f>
        <v>0</v>
      </c>
      <c r="AC25" s="12">
        <f>TRANSICAO!$AC$25*CUSTOS!$T$4</f>
        <v>2.6916000000000002</v>
      </c>
      <c r="AD25" s="12">
        <f>TRANSICAO!$AD$25*CUSTOS!$T$4</f>
        <v>0</v>
      </c>
      <c r="AE25" s="12">
        <v>0</v>
      </c>
      <c r="AF25" s="12">
        <v>0</v>
      </c>
      <c r="AG25" s="12"/>
      <c r="AH25" s="12">
        <v>0</v>
      </c>
      <c r="AI25" s="12">
        <v>0</v>
      </c>
      <c r="AJ25" s="12">
        <v>0</v>
      </c>
      <c r="AK25" s="12">
        <f t="shared" si="0"/>
        <v>0</v>
      </c>
      <c r="AL25" s="12"/>
      <c r="AM25" s="12"/>
      <c r="AP25" s="12"/>
    </row>
    <row r="26" spans="1:42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v>0</v>
      </c>
      <c r="M26" s="12">
        <v>1.0800000000000001E-2</v>
      </c>
      <c r="N26" s="12">
        <f>0.027</f>
        <v>2.7E-2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/>
      <c r="U26" s="12">
        <f>TRANSICAO!$U$26*CUSTOS!$T$4</f>
        <v>0</v>
      </c>
      <c r="V26" s="12">
        <f>TRANSICAO!$V$26*CUSTOS!$T$4</f>
        <v>0</v>
      </c>
      <c r="W26" s="12">
        <f>TRANSICAO!$W$26*CUSTOS!$T$4</f>
        <v>0</v>
      </c>
      <c r="X26" s="12">
        <f>TRANSICAO!$X$26*CUSTOS!$T$4</f>
        <v>0</v>
      </c>
      <c r="Y26" s="12">
        <f>TRANSICAO!$Y$26*CUSTOS!$T$4</f>
        <v>0</v>
      </c>
      <c r="Z26" s="12">
        <f>TRANSICAO!$Z$26*CUSTOS!$T$4</f>
        <v>0</v>
      </c>
      <c r="AA26" s="12">
        <f>TRANSICAO!$AA$26*CUSTOS!$T$4</f>
        <v>0</v>
      </c>
      <c r="AB26" s="12">
        <f>TRANSICAO!$AB$26*CUSTOS!$T$4</f>
        <v>0</v>
      </c>
      <c r="AC26" s="12">
        <f>TRANSICAO!$AC$26*CUSTOS!$T$4</f>
        <v>8.9007000000000005</v>
      </c>
      <c r="AD26" s="12">
        <f>TRANSICAO!$AD$26*CUSTOS!$T$4</f>
        <v>0</v>
      </c>
      <c r="AE26" s="12">
        <v>0</v>
      </c>
      <c r="AF26" s="12">
        <v>0</v>
      </c>
      <c r="AG26" s="12"/>
      <c r="AH26" s="12">
        <v>0</v>
      </c>
      <c r="AI26" s="12">
        <v>0</v>
      </c>
      <c r="AJ26" s="12">
        <v>0</v>
      </c>
      <c r="AK26" s="12">
        <f t="shared" si="0"/>
        <v>0</v>
      </c>
      <c r="AL26" s="12"/>
      <c r="AM26" s="12"/>
      <c r="AP26" s="12"/>
    </row>
    <row r="27" spans="1:42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1</f>
        <v>1</v>
      </c>
      <c r="M2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0.58173411859856439</v>
      </c>
      <c r="N27" s="12">
        <f ca="1">(+M27+O27+R27+U27+V27+W27+X27+Y27+Z27+AA27+AC27+AH27+AI27+AJ27+AK27)*CUSTOS!$M$5</f>
        <v>10.040667985086843</v>
      </c>
      <c r="O27" s="12">
        <v>1</v>
      </c>
      <c r="P27" s="12">
        <v>1</v>
      </c>
      <c r="Q27" s="12">
        <f>1</f>
        <v>1</v>
      </c>
      <c r="R27" s="12">
        <v>1</v>
      </c>
      <c r="S27" s="12">
        <v>1</v>
      </c>
      <c r="T27" s="12"/>
      <c r="U27" s="12">
        <f>TRANSICAO!$U$27*CUSTOS!$T$3</f>
        <v>0</v>
      </c>
      <c r="V27" s="12">
        <f>TRANSICAO!$V$27*CUSTOS!$T$3</f>
        <v>0</v>
      </c>
      <c r="W27" s="12">
        <f>TRANSICAO!$W$27*CUSTOS!$T$3</f>
        <v>0</v>
      </c>
      <c r="X27" s="12">
        <f>TRANSICAO!$X$27*CUSTOS!$T$3</f>
        <v>0</v>
      </c>
      <c r="Y27" s="12">
        <f>TRANSICAO!$Y$27*CUSTOS!$T$3</f>
        <v>344.13810000000001</v>
      </c>
      <c r="Z27" s="12">
        <f>TRANSICAO!$Z$27*CUSTOS!$T$3</f>
        <v>0</v>
      </c>
      <c r="AA27" s="12">
        <f>TRANSICAO!$AA$27*CUSTOS!$T$3</f>
        <v>0</v>
      </c>
      <c r="AB27" s="12">
        <f>TRANSICAO!$AB$27*CUSTOS!$T$3</f>
        <v>0</v>
      </c>
      <c r="AC27" s="12">
        <f>TRANSICAO!$AC$27*CUSTOS!$T$3</f>
        <v>619.96019999999999</v>
      </c>
      <c r="AD27" s="12">
        <f>TRANSICAO!$AD$27*CUSTOS!$T$3</f>
        <v>0</v>
      </c>
      <c r="AE27" s="12">
        <v>0</v>
      </c>
      <c r="AF27" s="12">
        <v>0</v>
      </c>
      <c r="AG27" s="12"/>
      <c r="AH27" s="12">
        <v>16.937899999999999</v>
      </c>
      <c r="AI27" s="12">
        <v>16.937899999999999</v>
      </c>
      <c r="AJ27" s="12">
        <f ca="1">$N$75</f>
        <v>1.7554821950429027</v>
      </c>
      <c r="AK27" s="12">
        <f t="shared" ca="1" si="0"/>
        <v>1.7554821950429027</v>
      </c>
      <c r="AL27" s="12"/>
      <c r="AM27" s="12"/>
      <c r="AP27" s="12">
        <v>1</v>
      </c>
    </row>
    <row r="28" spans="1:42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1</f>
        <v>1</v>
      </c>
      <c r="M2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0.58173411859856439</v>
      </c>
      <c r="N28" s="12">
        <f ca="1">(+M28+O28+R28+U28+V28+W28+X28+Y28+Z28+AA28+AC28+AH28+AI28+AJ28+AK28)*CUSTOS!$M$5</f>
        <v>2.8099309850868446</v>
      </c>
      <c r="O28" s="12">
        <v>1</v>
      </c>
      <c r="P28" s="12">
        <v>1</v>
      </c>
      <c r="Q28" s="12">
        <f>1</f>
        <v>1</v>
      </c>
      <c r="R28" s="12">
        <v>1</v>
      </c>
      <c r="S28" s="12">
        <v>1</v>
      </c>
      <c r="T28" s="12"/>
      <c r="U28" s="12">
        <f>TRANSICAO!$U$28*CUSTOS!$T$3</f>
        <v>0</v>
      </c>
      <c r="V28" s="12">
        <f>TRANSICAO!$V$28*CUSTOS!$T$3</f>
        <v>0</v>
      </c>
      <c r="W28" s="12">
        <f>TRANSICAO!$W$28*CUSTOS!$T$3</f>
        <v>0</v>
      </c>
      <c r="X28" s="12">
        <f>TRANSICAO!$X$28*CUSTOS!$T$3</f>
        <v>0</v>
      </c>
      <c r="Y28" s="12">
        <f>TRANSICAO!$Y$28*CUSTOS!$T$3</f>
        <v>86.034499999999994</v>
      </c>
      <c r="Z28" s="12">
        <f>TRANSICAO!$Z$28*CUSTOS!$T$3</f>
        <v>0</v>
      </c>
      <c r="AA28" s="12">
        <f>TRANSICAO!$AA$28*CUSTOS!$T$3</f>
        <v>0</v>
      </c>
      <c r="AB28" s="12">
        <f>TRANSICAO!$AB$28*CUSTOS!$T$3</f>
        <v>0</v>
      </c>
      <c r="AC28" s="12">
        <f>TRANSICAO!$AC$28*CUSTOS!$T$3</f>
        <v>154.99010000000001</v>
      </c>
      <c r="AD28" s="12">
        <f>TRANSICAO!$AD$28*CUSTOS!$T$3</f>
        <v>0</v>
      </c>
      <c r="AE28" s="12">
        <v>0</v>
      </c>
      <c r="AF28" s="12">
        <v>0</v>
      </c>
      <c r="AG28" s="12"/>
      <c r="AH28" s="12">
        <v>16.937899999999999</v>
      </c>
      <c r="AI28" s="12">
        <v>16.937899999999999</v>
      </c>
      <c r="AJ28" s="12">
        <f ca="1">$N$75</f>
        <v>1.7554821950429027</v>
      </c>
      <c r="AK28" s="12">
        <f t="shared" ca="1" si="0"/>
        <v>1.7554821950429027</v>
      </c>
      <c r="AL28" s="12"/>
      <c r="AM28" s="12"/>
      <c r="AP28" s="12">
        <v>1</v>
      </c>
    </row>
    <row r="29" spans="1:42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1</f>
        <v>1</v>
      </c>
      <c r="M2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0.58173411859856439</v>
      </c>
      <c r="N29" s="12">
        <f ca="1">(+M29+O29+R29+U29+V29+W29+X29+Y29+Z29+AA29+AC29+AH29+AI29+AJ29+AK29)*CUSTOS!$M$5</f>
        <v>0.88173398508684375</v>
      </c>
      <c r="O29" s="12">
        <v>1</v>
      </c>
      <c r="P29" s="12">
        <v>1</v>
      </c>
      <c r="Q29" s="12">
        <f>1</f>
        <v>1</v>
      </c>
      <c r="R29" s="12">
        <v>1</v>
      </c>
      <c r="S29" s="12">
        <v>1</v>
      </c>
      <c r="T29" s="12"/>
      <c r="U29" s="12">
        <f>TRANSICAO!$U$29*CUSTOS!$T$3</f>
        <v>0</v>
      </c>
      <c r="V29" s="12">
        <f>TRANSICAO!$V$29*CUSTOS!$T$3</f>
        <v>0</v>
      </c>
      <c r="W29" s="12">
        <f>TRANSICAO!$W$29*CUSTOS!$T$3</f>
        <v>0</v>
      </c>
      <c r="X29" s="12">
        <f>TRANSICAO!$X$29*CUSTOS!$T$3</f>
        <v>0</v>
      </c>
      <c r="Y29" s="12">
        <f>TRANSICAO!$Y$29*CUSTOS!$T$3</f>
        <v>17.206900000000001</v>
      </c>
      <c r="Z29" s="12">
        <f>TRANSICAO!$Z$29*CUSTOS!$T$3</f>
        <v>0</v>
      </c>
      <c r="AA29" s="12">
        <f>TRANSICAO!$AA$29*CUSTOS!$T$3</f>
        <v>0</v>
      </c>
      <c r="AB29" s="12">
        <f>TRANSICAO!$AB$29*CUSTOS!$T$3</f>
        <v>0</v>
      </c>
      <c r="AC29" s="12">
        <f>TRANSICAO!$AC$29*CUSTOS!$T$3</f>
        <v>30.998000000000001</v>
      </c>
      <c r="AD29" s="12">
        <f>TRANSICAO!$AD$29*CUSTOS!$T$3</f>
        <v>0</v>
      </c>
      <c r="AE29" s="12">
        <v>0</v>
      </c>
      <c r="AF29" s="12">
        <v>0</v>
      </c>
      <c r="AG29" s="12"/>
      <c r="AH29" s="12">
        <v>16.937899999999999</v>
      </c>
      <c r="AI29" s="12">
        <v>16.937899999999999</v>
      </c>
      <c r="AJ29" s="12">
        <f ca="1">$N$75</f>
        <v>1.7554821950429027</v>
      </c>
      <c r="AK29" s="12">
        <f t="shared" ca="1" si="0"/>
        <v>1.7554821950429027</v>
      </c>
      <c r="AL29" s="12"/>
      <c r="AM29" s="12"/>
      <c r="AP29" s="12">
        <v>1</v>
      </c>
    </row>
    <row r="30" spans="1:42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1</f>
        <v>1</v>
      </c>
      <c r="M3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0.58173411859856439</v>
      </c>
      <c r="N30" s="12">
        <f ca="1">(+M30+O30+R30+U30+V30+W30+X30+Y30+Z30+AA30+AC30+AH30+AI30+AJ30+AK30)*CUSTOS!$M$5</f>
        <v>2.1850519850868437</v>
      </c>
      <c r="O30" s="12">
        <v>1</v>
      </c>
      <c r="P30" s="12">
        <v>1</v>
      </c>
      <c r="Q30" s="12">
        <f>1</f>
        <v>1</v>
      </c>
      <c r="R30" s="12">
        <v>1</v>
      </c>
      <c r="S30" s="12">
        <v>1</v>
      </c>
      <c r="T30" s="12"/>
      <c r="U30" s="12">
        <f>TRANSICAO!$U$30*CUSTOS!$T$3</f>
        <v>0</v>
      </c>
      <c r="V30" s="12">
        <f>TRANSICAO!$V$30*CUSTOS!$T$3</f>
        <v>0</v>
      </c>
      <c r="W30" s="12">
        <f>TRANSICAO!$W$30*CUSTOS!$T$3</f>
        <v>0</v>
      </c>
      <c r="X30" s="12">
        <f>TRANSICAO!$X$30*CUSTOS!$T$3</f>
        <v>0</v>
      </c>
      <c r="Y30" s="12">
        <f>TRANSICAO!$Y$30*CUSTOS!$T$3</f>
        <v>63.729300000000002</v>
      </c>
      <c r="Z30" s="12">
        <f>TRANSICAO!$Z$30*CUSTOS!$T$3</f>
        <v>0</v>
      </c>
      <c r="AA30" s="12">
        <f>TRANSICAO!$AA$30*CUSTOS!$T$3</f>
        <v>0</v>
      </c>
      <c r="AB30" s="12">
        <f>TRANSICAO!$AB$30*CUSTOS!$T$3</f>
        <v>0</v>
      </c>
      <c r="AC30" s="12">
        <f>TRANSICAO!$AC$30*CUSTOS!$T$3</f>
        <v>114.8074</v>
      </c>
      <c r="AD30" s="12">
        <f>TRANSICAO!$AD$30*CUSTOS!$T$3</f>
        <v>0</v>
      </c>
      <c r="AE30" s="12">
        <v>0</v>
      </c>
      <c r="AF30" s="12">
        <v>0</v>
      </c>
      <c r="AG30" s="12"/>
      <c r="AH30" s="12">
        <v>16.937899999999999</v>
      </c>
      <c r="AI30" s="12">
        <v>16.937899999999999</v>
      </c>
      <c r="AJ30" s="12">
        <f ca="1">$N$75</f>
        <v>1.7554821950429027</v>
      </c>
      <c r="AK30" s="12">
        <f t="shared" ca="1" si="0"/>
        <v>1.7554821950429027</v>
      </c>
      <c r="AL30" s="12"/>
      <c r="AM30" s="12"/>
      <c r="AP30" s="12">
        <v>1</v>
      </c>
    </row>
    <row r="31" spans="1:42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v>0</v>
      </c>
      <c r="M3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CUSTOS!$M$24)</f>
        <v>0.58173411859856439</v>
      </c>
      <c r="N31" s="12">
        <f ca="1">(+M31+O31+R31+U31+V31+W31+X31+Y31+Z31+AA31+AC31+AH31+AI31+AJ31+AK31)*CUSTOS!$M$5</f>
        <v>2.1750519850868439</v>
      </c>
      <c r="O31" s="12">
        <f>1 - CUSTOS!$M$24</f>
        <v>1</v>
      </c>
      <c r="P31" s="12">
        <v>0</v>
      </c>
      <c r="Q31" s="12">
        <v>0</v>
      </c>
      <c r="R31" s="12">
        <v>0</v>
      </c>
      <c r="S31" s="12">
        <f>1 - CUSTOS!$M$24</f>
        <v>1</v>
      </c>
      <c r="T31" s="12"/>
      <c r="U31" s="12">
        <f>TRANSICAO!$U$31*CUSTOS!$T$3</f>
        <v>0</v>
      </c>
      <c r="V31" s="12">
        <f>TRANSICAO!$V$31*CUSTOS!$T$3</f>
        <v>0</v>
      </c>
      <c r="W31" s="12">
        <f>TRANSICAO!$W$31*CUSTOS!$T$3</f>
        <v>0</v>
      </c>
      <c r="X31" s="12">
        <f>TRANSICAO!$X$31*CUSTOS!$T$3</f>
        <v>0</v>
      </c>
      <c r="Y31" s="12">
        <f>TRANSICAO!$Y$31*CUSTOS!$T$3</f>
        <v>63.729300000000002</v>
      </c>
      <c r="Z31" s="12">
        <f>TRANSICAO!$Z$31*CUSTOS!$T$3</f>
        <v>0</v>
      </c>
      <c r="AA31" s="12">
        <f>TRANSICAO!$AA$31*CUSTOS!$T$3</f>
        <v>0</v>
      </c>
      <c r="AB31" s="12">
        <f>TRANSICAO!$AB$31*CUSTOS!$T$3</f>
        <v>0</v>
      </c>
      <c r="AC31" s="12">
        <f>TRANSICAO!$AC$31*CUSTOS!$T$3</f>
        <v>114.8074</v>
      </c>
      <c r="AD31" s="12">
        <f>TRANSICAO!$AD$31*CUSTOS!$T$3</f>
        <v>0</v>
      </c>
      <c r="AE31" s="12">
        <v>0</v>
      </c>
      <c r="AF31" s="12">
        <v>0</v>
      </c>
      <c r="AG31" s="12"/>
      <c r="AH31" s="12">
        <f>(1 - CUSTOS!$M$24)*16.9379</f>
        <v>16.937899999999999</v>
      </c>
      <c r="AI31" s="12">
        <f>(1 - CUSTOS!$M$24)*16.9379</f>
        <v>16.937899999999999</v>
      </c>
      <c r="AJ31" s="12">
        <f ca="1">$N$75*(1-CUSTOS!$M$24)</f>
        <v>1.7554821950429027</v>
      </c>
      <c r="AK31" s="12">
        <f t="shared" ca="1" si="0"/>
        <v>1.7554821950429027</v>
      </c>
      <c r="AL31" s="12"/>
      <c r="AM31" s="12"/>
      <c r="AP31" s="12">
        <f>IF((1 - CUSTOS!$M$24)&lt;&gt;0,1/(1 - CUSTOS!$M$24),1)</f>
        <v>1</v>
      </c>
    </row>
    <row r="32" spans="1:42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v>0</v>
      </c>
      <c r="M3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CUSTOS!$M$25)</f>
        <v>0.58173411859856439</v>
      </c>
      <c r="N32" s="12">
        <f ca="1">(+M32+O32+R32+U32+V32+W32+X32+Y32+Z32+AA32+AC32+AH32+AI32+AJ32+AK32)*CUSTOS!$M$5</f>
        <v>2.1750519850868439</v>
      </c>
      <c r="O32" s="12">
        <f>1 - CUSTOS!$M$25</f>
        <v>1</v>
      </c>
      <c r="P32" s="12">
        <v>0</v>
      </c>
      <c r="Q32" s="12">
        <v>0</v>
      </c>
      <c r="R32" s="12">
        <v>0</v>
      </c>
      <c r="S32" s="12">
        <f>1 - CUSTOS!$M$25</f>
        <v>1</v>
      </c>
      <c r="T32" s="12"/>
      <c r="U32" s="12">
        <f>TRANSICAO!$U$32*CUSTOS!$T$3</f>
        <v>0</v>
      </c>
      <c r="V32" s="12">
        <f>TRANSICAO!$V$32*CUSTOS!$T$3</f>
        <v>0</v>
      </c>
      <c r="W32" s="12">
        <f>TRANSICAO!$W$32*CUSTOS!$T$3</f>
        <v>0</v>
      </c>
      <c r="X32" s="12">
        <f>TRANSICAO!$X$32*CUSTOS!$T$3</f>
        <v>0</v>
      </c>
      <c r="Y32" s="12">
        <f>TRANSICAO!$Y$32*CUSTOS!$T$3</f>
        <v>63.729300000000002</v>
      </c>
      <c r="Z32" s="12">
        <f>TRANSICAO!$Z$32*CUSTOS!$T$3</f>
        <v>0</v>
      </c>
      <c r="AA32" s="12">
        <f>TRANSICAO!$AA$32*CUSTOS!$T$3</f>
        <v>0</v>
      </c>
      <c r="AB32" s="12">
        <f>TRANSICAO!$AB$32*CUSTOS!$T$3</f>
        <v>0</v>
      </c>
      <c r="AC32" s="12">
        <f>TRANSICAO!$AC$32*CUSTOS!$T$3</f>
        <v>114.8074</v>
      </c>
      <c r="AD32" s="12">
        <f>TRANSICAO!$AD$32*CUSTOS!$T$3</f>
        <v>0</v>
      </c>
      <c r="AE32" s="12">
        <v>0</v>
      </c>
      <c r="AF32" s="12">
        <v>0</v>
      </c>
      <c r="AG32" s="12"/>
      <c r="AH32" s="12">
        <f>(1 - CUSTOS!$M$25)*16.9379</f>
        <v>16.937899999999999</v>
      </c>
      <c r="AI32" s="12">
        <f>(1 - CUSTOS!$M$25)*16.9379</f>
        <v>16.937899999999999</v>
      </c>
      <c r="AJ32" s="12">
        <f ca="1">$N$75*(1-CUSTOS!$M$25)</f>
        <v>1.7554821950429027</v>
      </c>
      <c r="AK32" s="12">
        <f t="shared" ca="1" si="0"/>
        <v>1.7554821950429027</v>
      </c>
      <c r="AL32" s="12"/>
      <c r="AM32" s="12"/>
      <c r="AP32" s="12">
        <f>IF((1 - CUSTOS!$M$25)&lt;&gt;0,1/(1 - CUSTOS!$M$25),1)</f>
        <v>1</v>
      </c>
    </row>
    <row r="33" spans="1:42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v>0</v>
      </c>
      <c r="M3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CUSTOS!$M$26)</f>
        <v>0.58173411859856439</v>
      </c>
      <c r="N33" s="12">
        <f ca="1">(+M33+O33+R33+U33+V33+W33+X33+Y33+Z33+AA33+AC33+AH33+AI33+AJ33+AK33)*CUSTOS!$M$5</f>
        <v>2.1750519850868439</v>
      </c>
      <c r="O33" s="12">
        <f>1 - CUSTOS!$M$26</f>
        <v>1</v>
      </c>
      <c r="P33" s="12">
        <v>0</v>
      </c>
      <c r="Q33" s="12">
        <v>0</v>
      </c>
      <c r="R33" s="12">
        <v>0</v>
      </c>
      <c r="S33" s="12">
        <f>1 - CUSTOS!$M$26</f>
        <v>1</v>
      </c>
      <c r="T33" s="12"/>
      <c r="U33" s="12">
        <f>TRANSICAO!$U$33*CUSTOS!$T$3</f>
        <v>0</v>
      </c>
      <c r="V33" s="12">
        <f>TRANSICAO!$V$33*CUSTOS!$T$3</f>
        <v>0</v>
      </c>
      <c r="W33" s="12">
        <f>TRANSICAO!$W$33*CUSTOS!$T$3</f>
        <v>0</v>
      </c>
      <c r="X33" s="12">
        <f>TRANSICAO!$X$33*CUSTOS!$T$3</f>
        <v>0</v>
      </c>
      <c r="Y33" s="12">
        <f>TRANSICAO!$Y$33*CUSTOS!$T$3</f>
        <v>63.729300000000002</v>
      </c>
      <c r="Z33" s="12">
        <f>TRANSICAO!$Z$33*CUSTOS!$T$3</f>
        <v>0</v>
      </c>
      <c r="AA33" s="12">
        <f>TRANSICAO!$AA$33*CUSTOS!$T$3</f>
        <v>0</v>
      </c>
      <c r="AB33" s="12">
        <f>TRANSICAO!$AB$33*CUSTOS!$T$3</f>
        <v>0</v>
      </c>
      <c r="AC33" s="12">
        <f>TRANSICAO!$AC$33*CUSTOS!$T$3</f>
        <v>114.8074</v>
      </c>
      <c r="AD33" s="12">
        <f>TRANSICAO!$AD$33*CUSTOS!$T$3</f>
        <v>0</v>
      </c>
      <c r="AE33" s="12">
        <v>0</v>
      </c>
      <c r="AF33" s="12">
        <v>0</v>
      </c>
      <c r="AG33" s="12"/>
      <c r="AH33" s="12">
        <f>(1 - CUSTOS!$M$26)*16.9379</f>
        <v>16.937899999999999</v>
      </c>
      <c r="AI33" s="12">
        <f>(1 - CUSTOS!$M$26)*16.9379</f>
        <v>16.937899999999999</v>
      </c>
      <c r="AJ33" s="12">
        <f ca="1">$N$75*(1-CUSTOS!$M$26)</f>
        <v>1.7554821950429027</v>
      </c>
      <c r="AK33" s="12">
        <f t="shared" ca="1" si="0"/>
        <v>1.7554821950429027</v>
      </c>
      <c r="AL33" s="12"/>
      <c r="AM33" s="12"/>
      <c r="AP33" s="12">
        <f>IF((1 - CUSTOS!$M$26)&lt;&gt;0,1/(1 - CUSTOS!$M$26),1)</f>
        <v>1</v>
      </c>
    </row>
    <row r="34" spans="1:42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v>0</v>
      </c>
      <c r="M3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CUSTOS!$M$27)</f>
        <v>0.58173411859856439</v>
      </c>
      <c r="N34" s="12">
        <f ca="1">(+M34+O34+R34+U34+V34+W34+X34+Y34+Z34+AA34+AC34+AH34+AI34+AJ34+AK34)*CUSTOS!$M$5</f>
        <v>2.1750519850868439</v>
      </c>
      <c r="O34" s="12">
        <f>1 - CUSTOS!$M$27</f>
        <v>1</v>
      </c>
      <c r="P34" s="12">
        <v>0</v>
      </c>
      <c r="Q34" s="12">
        <v>0</v>
      </c>
      <c r="R34" s="12">
        <v>0</v>
      </c>
      <c r="S34" s="12">
        <f>1 - CUSTOS!$M$27</f>
        <v>1</v>
      </c>
      <c r="T34" s="12"/>
      <c r="U34" s="12">
        <f>TRANSICAO!$U$34*CUSTOS!$T$3</f>
        <v>0</v>
      </c>
      <c r="V34" s="12">
        <f>TRANSICAO!$V$34*CUSTOS!$T$3</f>
        <v>0</v>
      </c>
      <c r="W34" s="12">
        <f>TRANSICAO!$W$34*CUSTOS!$T$3</f>
        <v>0</v>
      </c>
      <c r="X34" s="12">
        <f>TRANSICAO!$X$34*CUSTOS!$T$3</f>
        <v>0</v>
      </c>
      <c r="Y34" s="12">
        <f>TRANSICAO!$Y$34*CUSTOS!$T$3</f>
        <v>63.729300000000002</v>
      </c>
      <c r="Z34" s="12">
        <f>TRANSICAO!$Z$34*CUSTOS!$T$3</f>
        <v>0</v>
      </c>
      <c r="AA34" s="12">
        <f>TRANSICAO!$AA$34*CUSTOS!$T$3</f>
        <v>0</v>
      </c>
      <c r="AB34" s="12">
        <f>TRANSICAO!$AB$34*CUSTOS!$T$3</f>
        <v>0</v>
      </c>
      <c r="AC34" s="12">
        <f>TRANSICAO!$AC$34*CUSTOS!$T$3</f>
        <v>114.8074</v>
      </c>
      <c r="AD34" s="12">
        <f>TRANSICAO!$AD$34*CUSTOS!$T$3</f>
        <v>0</v>
      </c>
      <c r="AE34" s="12">
        <v>0</v>
      </c>
      <c r="AF34" s="12">
        <v>0</v>
      </c>
      <c r="AG34" s="12"/>
      <c r="AH34" s="12">
        <f>(1 - CUSTOS!$M$27)*16.9379</f>
        <v>16.937899999999999</v>
      </c>
      <c r="AI34" s="12">
        <f>(1 - CUSTOS!$M$27)*16.9379</f>
        <v>16.937899999999999</v>
      </c>
      <c r="AJ34" s="12">
        <f ca="1">$N$75*(1-CUSTOS!$M$27)</f>
        <v>1.7554821950429027</v>
      </c>
      <c r="AK34" s="12">
        <f t="shared" ca="1" si="0"/>
        <v>1.7554821950429027</v>
      </c>
      <c r="AL34" s="12"/>
      <c r="AM34" s="12"/>
      <c r="AP34" s="12">
        <f>IF((1 - CUSTOS!$M$27)&lt;&gt;0,1/(1 - CUSTOS!$M$27),1)</f>
        <v>1</v>
      </c>
    </row>
    <row r="35" spans="1:42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1</f>
        <v>1</v>
      </c>
      <c r="M3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0.58173411859856439</v>
      </c>
      <c r="N35" s="12">
        <f ca="1">(+M35+O35+R35+U35+V35+W35+X35+Y35+Z35+AA35+AC35+AH35+AI35+AJ35+AK35)*CUSTOS!$M$5</f>
        <v>2.1850519850868437</v>
      </c>
      <c r="O35" s="12">
        <v>1</v>
      </c>
      <c r="P35" s="12">
        <v>1</v>
      </c>
      <c r="Q35" s="12">
        <f>1</f>
        <v>1</v>
      </c>
      <c r="R35" s="12">
        <v>1</v>
      </c>
      <c r="S35" s="12">
        <v>1</v>
      </c>
      <c r="T35" s="12"/>
      <c r="U35" s="12">
        <f>TRANSICAO!$U$35*CUSTOS!$T$3</f>
        <v>0</v>
      </c>
      <c r="V35" s="12">
        <f>TRANSICAO!$V$35*CUSTOS!$T$3</f>
        <v>0</v>
      </c>
      <c r="W35" s="12">
        <f>TRANSICAO!$W$35*CUSTOS!$T$3</f>
        <v>0</v>
      </c>
      <c r="X35" s="12">
        <f>TRANSICAO!$X$35*CUSTOS!$T$3</f>
        <v>0</v>
      </c>
      <c r="Y35" s="12">
        <f>TRANSICAO!$Y$35*CUSTOS!$T$3</f>
        <v>63.729300000000002</v>
      </c>
      <c r="Z35" s="12">
        <f>TRANSICAO!$Z$35*CUSTOS!$T$3</f>
        <v>0</v>
      </c>
      <c r="AA35" s="12">
        <f>TRANSICAO!$AA$35*CUSTOS!$T$3</f>
        <v>0</v>
      </c>
      <c r="AB35" s="12">
        <f>TRANSICAO!$AB$35*CUSTOS!$T$3</f>
        <v>0</v>
      </c>
      <c r="AC35" s="12">
        <f>TRANSICAO!$AC$35*CUSTOS!$T$3</f>
        <v>114.8074</v>
      </c>
      <c r="AD35" s="12">
        <f>TRANSICAO!$AD$35*CUSTOS!$T$3</f>
        <v>0</v>
      </c>
      <c r="AE35" s="12">
        <v>0</v>
      </c>
      <c r="AF35" s="12">
        <v>0</v>
      </c>
      <c r="AG35" s="12"/>
      <c r="AH35" s="12">
        <v>16.937899999999999</v>
      </c>
      <c r="AI35" s="12">
        <v>16.937899999999999</v>
      </c>
      <c r="AJ35" s="12">
        <f ca="1">$N$75</f>
        <v>1.7554821950429027</v>
      </c>
      <c r="AK35" s="12">
        <f t="shared" ca="1" si="0"/>
        <v>1.7554821950429027</v>
      </c>
      <c r="AL35" s="12"/>
      <c r="AM35" s="12"/>
      <c r="AP35" s="12">
        <v>1</v>
      </c>
    </row>
    <row r="36" spans="1:42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v>0</v>
      </c>
      <c r="M3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CUSTOS!$M$24)</f>
        <v>0.58173411859856439</v>
      </c>
      <c r="N36" s="12">
        <f ca="1">(+M36+O36+R36+U36+V36+W36+X36+Y36+Z36+AA36+AC36+AH36+AI36+AJ36+AK36)*CUSTOS!$M$5</f>
        <v>2.1750519850868439</v>
      </c>
      <c r="O36" s="12">
        <f>1 - CUSTOS!$M$24</f>
        <v>1</v>
      </c>
      <c r="P36" s="12">
        <v>0</v>
      </c>
      <c r="Q36" s="12">
        <v>0</v>
      </c>
      <c r="R36" s="12">
        <v>0</v>
      </c>
      <c r="S36" s="12">
        <f>1 - CUSTOS!$M$24</f>
        <v>1</v>
      </c>
      <c r="T36" s="12"/>
      <c r="U36" s="12">
        <f>TRANSICAO!$U$36*CUSTOS!$T$3</f>
        <v>0</v>
      </c>
      <c r="V36" s="12">
        <f>TRANSICAO!$V$36*CUSTOS!$T$3</f>
        <v>0</v>
      </c>
      <c r="W36" s="12">
        <f>TRANSICAO!$W$36*CUSTOS!$T$3</f>
        <v>0</v>
      </c>
      <c r="X36" s="12">
        <f>TRANSICAO!$X$36*CUSTOS!$T$3</f>
        <v>0</v>
      </c>
      <c r="Y36" s="12">
        <f>TRANSICAO!$Y$36*CUSTOS!$T$3</f>
        <v>63.729300000000002</v>
      </c>
      <c r="Z36" s="12">
        <f>TRANSICAO!$Z$36*CUSTOS!$T$3</f>
        <v>0</v>
      </c>
      <c r="AA36" s="12">
        <f>TRANSICAO!$AA$36*CUSTOS!$T$3</f>
        <v>0</v>
      </c>
      <c r="AB36" s="12">
        <f>TRANSICAO!$AB$36*CUSTOS!$T$3</f>
        <v>0</v>
      </c>
      <c r="AC36" s="12">
        <f>TRANSICAO!$AC$36*CUSTOS!$T$3</f>
        <v>114.8074</v>
      </c>
      <c r="AD36" s="12">
        <f>TRANSICAO!$AD$36*CUSTOS!$T$3</f>
        <v>0</v>
      </c>
      <c r="AE36" s="12">
        <v>0</v>
      </c>
      <c r="AF36" s="12">
        <v>0</v>
      </c>
      <c r="AG36" s="12"/>
      <c r="AH36" s="12">
        <f>(1 - CUSTOS!$M$24)*16.9379</f>
        <v>16.937899999999999</v>
      </c>
      <c r="AI36" s="12">
        <f>(1 - CUSTOS!$M$24)*16.9379</f>
        <v>16.937899999999999</v>
      </c>
      <c r="AJ36" s="12">
        <f ca="1">$N$75*(1-CUSTOS!$M$24)</f>
        <v>1.7554821950429027</v>
      </c>
      <c r="AK36" s="12">
        <f t="shared" ca="1" si="0"/>
        <v>1.7554821950429027</v>
      </c>
      <c r="AL36" s="12"/>
      <c r="AM36" s="12"/>
      <c r="AP36" s="12">
        <f>IF((1 - CUSTOS!$M$24)&lt;&gt;0,1/(1 - CUSTOS!$M$24),1)</f>
        <v>1</v>
      </c>
    </row>
    <row r="37" spans="1:42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v>0</v>
      </c>
      <c r="M3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CUSTOS!$M$25)</f>
        <v>0.58173411859856439</v>
      </c>
      <c r="N37" s="12">
        <f ca="1">(+M37+O37+R37+U37+V37+W37+X37+Y37+Z37+AA37+AC37+AH37+AI37+AJ37+AK37)*CUSTOS!$M$5</f>
        <v>2.1750519850868439</v>
      </c>
      <c r="O37" s="12">
        <f>1 - CUSTOS!$M$25</f>
        <v>1</v>
      </c>
      <c r="P37" s="12">
        <v>0</v>
      </c>
      <c r="Q37" s="12">
        <v>0</v>
      </c>
      <c r="R37" s="12">
        <v>0</v>
      </c>
      <c r="S37" s="12">
        <f>1 - CUSTOS!$M$25</f>
        <v>1</v>
      </c>
      <c r="T37" s="12"/>
      <c r="U37" s="12">
        <f>TRANSICAO!$U$37*CUSTOS!$T$3</f>
        <v>0</v>
      </c>
      <c r="V37" s="12">
        <f>TRANSICAO!$V$37*CUSTOS!$T$3</f>
        <v>0</v>
      </c>
      <c r="W37" s="12">
        <f>TRANSICAO!$W$37*CUSTOS!$T$3</f>
        <v>0</v>
      </c>
      <c r="X37" s="12">
        <f>TRANSICAO!$X$37*CUSTOS!$T$3</f>
        <v>0</v>
      </c>
      <c r="Y37" s="12">
        <f>TRANSICAO!$Y$37*CUSTOS!$T$3</f>
        <v>63.729300000000002</v>
      </c>
      <c r="Z37" s="12">
        <f>TRANSICAO!$Z$37*CUSTOS!$T$3</f>
        <v>0</v>
      </c>
      <c r="AA37" s="12">
        <f>TRANSICAO!$AA$37*CUSTOS!$T$3</f>
        <v>0</v>
      </c>
      <c r="AB37" s="12">
        <f>TRANSICAO!$AB$37*CUSTOS!$T$3</f>
        <v>0</v>
      </c>
      <c r="AC37" s="12">
        <f>TRANSICAO!$AC$37*CUSTOS!$T$3</f>
        <v>114.8074</v>
      </c>
      <c r="AD37" s="12">
        <f>TRANSICAO!$AD$37*CUSTOS!$T$3</f>
        <v>0</v>
      </c>
      <c r="AE37" s="12">
        <v>0</v>
      </c>
      <c r="AF37" s="12">
        <v>0</v>
      </c>
      <c r="AG37" s="12"/>
      <c r="AH37" s="12">
        <f>(1 - CUSTOS!$M$25)*16.9379</f>
        <v>16.937899999999999</v>
      </c>
      <c r="AI37" s="12">
        <f>(1 - CUSTOS!$M$25)*16.9379</f>
        <v>16.937899999999999</v>
      </c>
      <c r="AJ37" s="12">
        <f ca="1">$N$75*(1-CUSTOS!$M$25)</f>
        <v>1.7554821950429027</v>
      </c>
      <c r="AK37" s="12">
        <f t="shared" ref="AK37:AK61" ca="1" si="1">AJ37</f>
        <v>1.7554821950429027</v>
      </c>
      <c r="AL37" s="12"/>
      <c r="AM37" s="12"/>
      <c r="AP37" s="12">
        <f>IF((1 - CUSTOS!$M$25)&lt;&gt;0,1/(1 - CUSTOS!$M$25),1)</f>
        <v>1</v>
      </c>
    </row>
    <row r="38" spans="1:42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v>0</v>
      </c>
      <c r="M3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CUSTOS!$M$26)</f>
        <v>0.58173411859856439</v>
      </c>
      <c r="N38" s="12">
        <f ca="1">(+M38+O38+R38+U38+V38+W38+X38+Y38+Z38+AA38+AC38+AH38+AI38+AJ38+AK38)*CUSTOS!$M$5</f>
        <v>2.1750519850868439</v>
      </c>
      <c r="O38" s="12">
        <f>1 - CUSTOS!$M$26</f>
        <v>1</v>
      </c>
      <c r="P38" s="12">
        <v>0</v>
      </c>
      <c r="Q38" s="12">
        <v>0</v>
      </c>
      <c r="R38" s="12">
        <v>0</v>
      </c>
      <c r="S38" s="12">
        <f>1 - CUSTOS!$M$26</f>
        <v>1</v>
      </c>
      <c r="T38" s="12"/>
      <c r="U38" s="12">
        <f>TRANSICAO!$U$38*CUSTOS!$T$3</f>
        <v>0</v>
      </c>
      <c r="V38" s="12">
        <f>TRANSICAO!$V$38*CUSTOS!$T$3</f>
        <v>0</v>
      </c>
      <c r="W38" s="12">
        <f>TRANSICAO!$W$38*CUSTOS!$T$3</f>
        <v>0</v>
      </c>
      <c r="X38" s="12">
        <f>TRANSICAO!$X$38*CUSTOS!$T$3</f>
        <v>0</v>
      </c>
      <c r="Y38" s="12">
        <f>TRANSICAO!$Y$38*CUSTOS!$T$3</f>
        <v>63.729300000000002</v>
      </c>
      <c r="Z38" s="12">
        <f>TRANSICAO!$Z$38*CUSTOS!$T$3</f>
        <v>0</v>
      </c>
      <c r="AA38" s="12">
        <f>TRANSICAO!$AA$38*CUSTOS!$T$3</f>
        <v>0</v>
      </c>
      <c r="AB38" s="12">
        <f>TRANSICAO!$AB$38*CUSTOS!$T$3</f>
        <v>0</v>
      </c>
      <c r="AC38" s="12">
        <f>TRANSICAO!$AC$38*CUSTOS!$T$3</f>
        <v>114.8074</v>
      </c>
      <c r="AD38" s="12">
        <f>TRANSICAO!$AD$38*CUSTOS!$T$3</f>
        <v>0</v>
      </c>
      <c r="AE38" s="12">
        <v>0</v>
      </c>
      <c r="AF38" s="12">
        <v>0</v>
      </c>
      <c r="AG38" s="12"/>
      <c r="AH38" s="12">
        <f>(1 - CUSTOS!$M$26)*16.9379</f>
        <v>16.937899999999999</v>
      </c>
      <c r="AI38" s="12">
        <f>(1 - CUSTOS!$M$26)*16.9379</f>
        <v>16.937899999999999</v>
      </c>
      <c r="AJ38" s="12">
        <f ca="1">$N$75*(1-CUSTOS!$M$26)</f>
        <v>1.7554821950429027</v>
      </c>
      <c r="AK38" s="12">
        <f t="shared" ca="1" si="1"/>
        <v>1.7554821950429027</v>
      </c>
      <c r="AL38" s="12"/>
      <c r="AM38" s="12"/>
      <c r="AP38" s="12">
        <f>IF((1 - CUSTOS!$M$26)&lt;&gt;0,1/(1 - CUSTOS!$M$26),1)</f>
        <v>1</v>
      </c>
    </row>
    <row r="39" spans="1:42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v>0</v>
      </c>
      <c r="M3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CUSTOS!$M$27)</f>
        <v>0.58173411859856439</v>
      </c>
      <c r="N39" s="12">
        <f ca="1">(+M39+O39+R39+U39+V39+W39+X39+Y39+Z39+AA39+AC39+AH39+AI39+AJ39+AK39)*CUSTOS!$M$5</f>
        <v>2.1750519850868439</v>
      </c>
      <c r="O39" s="12">
        <f>1 - CUSTOS!$M$27</f>
        <v>1</v>
      </c>
      <c r="P39" s="12">
        <v>0</v>
      </c>
      <c r="Q39" s="12">
        <v>0</v>
      </c>
      <c r="R39" s="12">
        <v>0</v>
      </c>
      <c r="S39" s="12">
        <f>1 - CUSTOS!$M$27</f>
        <v>1</v>
      </c>
      <c r="T39" s="12"/>
      <c r="U39" s="12">
        <f>TRANSICAO!$U$39*CUSTOS!$T$3</f>
        <v>0</v>
      </c>
      <c r="V39" s="12">
        <f>TRANSICAO!$V$39*CUSTOS!$T$3</f>
        <v>0</v>
      </c>
      <c r="W39" s="12">
        <f>TRANSICAO!$W$39*CUSTOS!$T$3</f>
        <v>0</v>
      </c>
      <c r="X39" s="12">
        <f>TRANSICAO!$X$39*CUSTOS!$T$3</f>
        <v>0</v>
      </c>
      <c r="Y39" s="12">
        <f>TRANSICAO!$Y$39*CUSTOS!$T$3</f>
        <v>63.729300000000002</v>
      </c>
      <c r="Z39" s="12">
        <f>TRANSICAO!$Z$39*CUSTOS!$T$3</f>
        <v>0</v>
      </c>
      <c r="AA39" s="12">
        <f>TRANSICAO!$AA$39*CUSTOS!$T$3</f>
        <v>0</v>
      </c>
      <c r="AB39" s="12">
        <f>TRANSICAO!$AB$39*CUSTOS!$T$3</f>
        <v>0</v>
      </c>
      <c r="AC39" s="12">
        <f>TRANSICAO!$AC$39*CUSTOS!$T$3</f>
        <v>114.8074</v>
      </c>
      <c r="AD39" s="12">
        <f>TRANSICAO!$AD$39*CUSTOS!$T$3</f>
        <v>0</v>
      </c>
      <c r="AE39" s="12">
        <v>0</v>
      </c>
      <c r="AF39" s="12">
        <v>0</v>
      </c>
      <c r="AG39" s="12"/>
      <c r="AH39" s="12">
        <f>(1 - CUSTOS!$M$27)*16.9379</f>
        <v>16.937899999999999</v>
      </c>
      <c r="AI39" s="12">
        <f>(1 - CUSTOS!$M$27)*16.9379</f>
        <v>16.937899999999999</v>
      </c>
      <c r="AJ39" s="12">
        <f ca="1">$N$75*(1-CUSTOS!$M$27)</f>
        <v>1.7554821950429027</v>
      </c>
      <c r="AK39" s="12">
        <f t="shared" ca="1" si="1"/>
        <v>1.7554821950429027</v>
      </c>
      <c r="AL39" s="12"/>
      <c r="AM39" s="12"/>
      <c r="AP39" s="12">
        <f>IF((1 - CUSTOS!$M$27)&lt;&gt;0,1/(1 - CUSTOS!$M$27),1)</f>
        <v>1</v>
      </c>
    </row>
    <row r="40" spans="1:42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1*(1 - CUSTOS!$M$28)</f>
        <v>1</v>
      </c>
      <c r="M4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0.58173411859856439</v>
      </c>
      <c r="N40" s="12">
        <f ca="1">(+M40+O40+R40+U40+V40+W40+X40+Y40+Z40+AA40+AC40+AH40+AI40+AJ40+AK40)*CUSTOS!$M$5</f>
        <v>10.040667985086843</v>
      </c>
      <c r="O40" s="12">
        <f>1 - CUSTOS!$M$28</f>
        <v>1</v>
      </c>
      <c r="P40" s="12">
        <f>1 - CUSTOS!$M$28</f>
        <v>1</v>
      </c>
      <c r="Q40" s="12">
        <f>1*(1 - CUSTOS!$M$28)</f>
        <v>1</v>
      </c>
      <c r="R40" s="12">
        <f>1 - CUSTOS!$M$28</f>
        <v>1</v>
      </c>
      <c r="S40" s="12">
        <f>1 - CUSTOS!$M$28</f>
        <v>1</v>
      </c>
      <c r="T40" s="12"/>
      <c r="U40" s="12">
        <f>TRANSICAO!$U$40*CUSTOS!$T$3</f>
        <v>0</v>
      </c>
      <c r="V40" s="12">
        <f>TRANSICAO!$V$40*CUSTOS!$T$3</f>
        <v>0</v>
      </c>
      <c r="W40" s="12">
        <f>TRANSICAO!$W$40*CUSTOS!$T$3</f>
        <v>0</v>
      </c>
      <c r="X40" s="12">
        <f>TRANSICAO!$X$40*CUSTOS!$T$3</f>
        <v>0</v>
      </c>
      <c r="Y40" s="12">
        <f>TRANSICAO!$Y$40*CUSTOS!$T$3</f>
        <v>344.13810000000001</v>
      </c>
      <c r="Z40" s="12">
        <f>TRANSICAO!$Z$40*CUSTOS!$T$3</f>
        <v>0</v>
      </c>
      <c r="AA40" s="12">
        <f>TRANSICAO!$AA$40*CUSTOS!$T$3</f>
        <v>0</v>
      </c>
      <c r="AB40" s="12">
        <f>TRANSICAO!$AB$40*CUSTOS!$T$3</f>
        <v>0</v>
      </c>
      <c r="AC40" s="12">
        <f>TRANSICAO!$AC$40*CUSTOS!$T$3</f>
        <v>619.96019999999999</v>
      </c>
      <c r="AD40" s="12">
        <f>TRANSICAO!$AD$40*CUSTOS!$T$3</f>
        <v>0</v>
      </c>
      <c r="AE40" s="12">
        <v>0</v>
      </c>
      <c r="AF40" s="12">
        <v>0</v>
      </c>
      <c r="AG40" s="12"/>
      <c r="AH40" s="12">
        <f>(1 - CUSTOS!$M$28)*16.9379</f>
        <v>16.937899999999999</v>
      </c>
      <c r="AI40" s="12">
        <f>(1 - CUSTOS!$M$28)*16.9379</f>
        <v>16.937899999999999</v>
      </c>
      <c r="AJ40" s="12">
        <f ca="1">$N$75*(1-CUSTOS!$M$28)</f>
        <v>1.7554821950429027</v>
      </c>
      <c r="AK40" s="12">
        <f t="shared" ca="1" si="1"/>
        <v>1.7554821950429027</v>
      </c>
      <c r="AL40" s="12"/>
      <c r="AM40" s="12"/>
      <c r="AP40" s="12">
        <f>IF((1 - CUSTOS!$M$28)&lt;&gt;0,1/(1 - CUSTOS!$M$28),1)</f>
        <v>1</v>
      </c>
    </row>
    <row r="41" spans="1:42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1*(1 - CUSTOS!$M$28)</f>
        <v>1</v>
      </c>
      <c r="M4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0.58173411859856439</v>
      </c>
      <c r="N41" s="12">
        <f ca="1">(+M41+O41+R41+U41+V41+W41+X41+Y41+Z41+AA41+AC41+AH41+AI41+AJ41+AK41)*CUSTOS!$M$5</f>
        <v>3.2919799850868445</v>
      </c>
      <c r="O41" s="12">
        <f>1 - CUSTOS!$M$28</f>
        <v>1</v>
      </c>
      <c r="P41" s="12">
        <f>1 - CUSTOS!$M$28</f>
        <v>1</v>
      </c>
      <c r="Q41" s="12">
        <f>1*(1 - CUSTOS!$M$28)</f>
        <v>1</v>
      </c>
      <c r="R41" s="12">
        <f>1 - CUSTOS!$M$28</f>
        <v>1</v>
      </c>
      <c r="S41" s="12">
        <f>1 - CUSTOS!$M$28</f>
        <v>1</v>
      </c>
      <c r="T41" s="12"/>
      <c r="U41" s="12">
        <f>TRANSICAO!$U$41*CUSTOS!$T$3</f>
        <v>0</v>
      </c>
      <c r="V41" s="12">
        <f>TRANSICAO!$V$41*CUSTOS!$T$3</f>
        <v>0</v>
      </c>
      <c r="W41" s="12">
        <f>TRANSICAO!$W$41*CUSTOS!$T$3</f>
        <v>0</v>
      </c>
      <c r="X41" s="12">
        <f>TRANSICAO!$X$41*CUSTOS!$T$3</f>
        <v>0</v>
      </c>
      <c r="Y41" s="12">
        <f>TRANSICAO!$Y$41*CUSTOS!$T$3</f>
        <v>103.2414</v>
      </c>
      <c r="Z41" s="12">
        <f>TRANSICAO!$Z$41*CUSTOS!$T$3</f>
        <v>0</v>
      </c>
      <c r="AA41" s="12">
        <f>TRANSICAO!$AA$41*CUSTOS!$T$3</f>
        <v>0</v>
      </c>
      <c r="AB41" s="12">
        <f>TRANSICAO!$AB$41*CUSTOS!$T$3</f>
        <v>0</v>
      </c>
      <c r="AC41" s="12">
        <f>TRANSICAO!$AC$41*CUSTOS!$T$3</f>
        <v>185.9881</v>
      </c>
      <c r="AD41" s="12">
        <f>TRANSICAO!$AD$41*CUSTOS!$T$3</f>
        <v>0</v>
      </c>
      <c r="AE41" s="12">
        <v>0</v>
      </c>
      <c r="AF41" s="12">
        <v>0</v>
      </c>
      <c r="AG41" s="12"/>
      <c r="AH41" s="12">
        <f>(1 - CUSTOS!$M$28)*16.9379</f>
        <v>16.937899999999999</v>
      </c>
      <c r="AI41" s="12">
        <f>(1 - CUSTOS!$M$28)*16.9379</f>
        <v>16.937899999999999</v>
      </c>
      <c r="AJ41" s="12">
        <f ca="1">$N$75*(1-CUSTOS!$M$28)</f>
        <v>1.7554821950429027</v>
      </c>
      <c r="AK41" s="12">
        <f t="shared" ca="1" si="1"/>
        <v>1.7554821950429027</v>
      </c>
      <c r="AL41" s="12"/>
      <c r="AM41" s="12"/>
      <c r="AP41" s="12">
        <f>IF((1 - CUSTOS!$M$28)&lt;&gt;0,1/(1 - CUSTOS!$M$28),1)</f>
        <v>1</v>
      </c>
    </row>
    <row r="42" spans="1:42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1*(1 - CUSTOS!$M$28)</f>
        <v>1</v>
      </c>
      <c r="M4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0.58173411859856439</v>
      </c>
      <c r="N42" s="12">
        <f ca="1">(+M42+O42+R42+U42+V42+W42+X42+Y42+Z42+AA42+AC42+AH42+AI42+AJ42+AK42)*CUSTOS!$M$5</f>
        <v>1.3637829850868437</v>
      </c>
      <c r="O42" s="12">
        <f>1 - CUSTOS!$M$28</f>
        <v>1</v>
      </c>
      <c r="P42" s="12">
        <f>1 - CUSTOS!$M$28</f>
        <v>1</v>
      </c>
      <c r="Q42" s="12">
        <f>1*(1 - CUSTOS!$M$28)</f>
        <v>1</v>
      </c>
      <c r="R42" s="12">
        <f>1 - CUSTOS!$M$28</f>
        <v>1</v>
      </c>
      <c r="S42" s="12">
        <f>1 - CUSTOS!$M$28</f>
        <v>1</v>
      </c>
      <c r="T42" s="12"/>
      <c r="U42" s="12">
        <f>TRANSICAO!$U$42*CUSTOS!$T$3</f>
        <v>0</v>
      </c>
      <c r="V42" s="12">
        <f>TRANSICAO!$V$42*CUSTOS!$T$3</f>
        <v>0</v>
      </c>
      <c r="W42" s="12">
        <f>TRANSICAO!$W$42*CUSTOS!$T$3</f>
        <v>0</v>
      </c>
      <c r="X42" s="12">
        <f>TRANSICAO!$X$42*CUSTOS!$T$3</f>
        <v>0</v>
      </c>
      <c r="Y42" s="12">
        <f>TRANSICAO!$Y$42*CUSTOS!$T$3</f>
        <v>34.413800000000002</v>
      </c>
      <c r="Z42" s="12">
        <f>TRANSICAO!$Z$42*CUSTOS!$T$3</f>
        <v>0</v>
      </c>
      <c r="AA42" s="12">
        <f>TRANSICAO!$AA$42*CUSTOS!$T$3</f>
        <v>0</v>
      </c>
      <c r="AB42" s="12">
        <f>TRANSICAO!$AB$42*CUSTOS!$T$3</f>
        <v>0</v>
      </c>
      <c r="AC42" s="12">
        <f>TRANSICAO!$AC$42*CUSTOS!$T$3</f>
        <v>61.996000000000002</v>
      </c>
      <c r="AD42" s="12">
        <f>TRANSICAO!$AD$42*CUSTOS!$T$3</f>
        <v>0</v>
      </c>
      <c r="AE42" s="12">
        <v>0</v>
      </c>
      <c r="AF42" s="12">
        <v>0</v>
      </c>
      <c r="AG42" s="12"/>
      <c r="AH42" s="12">
        <f>(1 - CUSTOS!$M$28)*16.9379</f>
        <v>16.937899999999999</v>
      </c>
      <c r="AI42" s="12">
        <f>(1 - CUSTOS!$M$28)*16.9379</f>
        <v>16.937899999999999</v>
      </c>
      <c r="AJ42" s="12">
        <f ca="1">$N$75*(1-CUSTOS!$M$28)</f>
        <v>1.7554821950429027</v>
      </c>
      <c r="AK42" s="12">
        <f t="shared" ca="1" si="1"/>
        <v>1.7554821950429027</v>
      </c>
      <c r="AL42" s="12"/>
      <c r="AM42" s="12"/>
      <c r="AP42" s="12">
        <f>IF((1 - CUSTOS!$M$28)&lt;&gt;0,1/(1 - CUSTOS!$M$28),1)</f>
        <v>1</v>
      </c>
    </row>
    <row r="43" spans="1:42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1*(1 - CUSTOS!$M$28)</f>
        <v>1</v>
      </c>
      <c r="M4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0.58173411859856439</v>
      </c>
      <c r="N43" s="12">
        <f ca="1">(+M43+O43+R43+U43+V43+W43+X43+Y43+Z43+AA43+AC43+AH43+AI43+AJ43+AK43)*CUSTOS!$M$5</f>
        <v>2.1850519850868437</v>
      </c>
      <c r="O43" s="12">
        <f>1 - CUSTOS!$M$28</f>
        <v>1</v>
      </c>
      <c r="P43" s="12">
        <f>1 - CUSTOS!$M$28</f>
        <v>1</v>
      </c>
      <c r="Q43" s="12">
        <f>1*(1 - CUSTOS!$M$28)</f>
        <v>1</v>
      </c>
      <c r="R43" s="12">
        <f>1 - CUSTOS!$M$28</f>
        <v>1</v>
      </c>
      <c r="S43" s="12">
        <f>1 - CUSTOS!$M$28</f>
        <v>1</v>
      </c>
      <c r="T43" s="12"/>
      <c r="U43" s="12">
        <f>TRANSICAO!$U$43*CUSTOS!$T$3</f>
        <v>0</v>
      </c>
      <c r="V43" s="12">
        <f>TRANSICAO!$V$43*CUSTOS!$T$3</f>
        <v>0</v>
      </c>
      <c r="W43" s="12">
        <f>TRANSICAO!$W$43*CUSTOS!$T$3</f>
        <v>0</v>
      </c>
      <c r="X43" s="12">
        <f>TRANSICAO!$X$43*CUSTOS!$T$3</f>
        <v>0</v>
      </c>
      <c r="Y43" s="12">
        <f>TRANSICAO!$Y$43*CUSTOS!$T$3</f>
        <v>63.729300000000002</v>
      </c>
      <c r="Z43" s="12">
        <f>TRANSICAO!$Z$43*CUSTOS!$T$3</f>
        <v>0</v>
      </c>
      <c r="AA43" s="12">
        <f>TRANSICAO!$AA$43*CUSTOS!$T$3</f>
        <v>0</v>
      </c>
      <c r="AB43" s="12">
        <f>TRANSICAO!$AB$43*CUSTOS!$T$3</f>
        <v>0</v>
      </c>
      <c r="AC43" s="12">
        <f>TRANSICAO!$AC$43*CUSTOS!$T$3</f>
        <v>114.8074</v>
      </c>
      <c r="AD43" s="12">
        <f>TRANSICAO!$AD$43*CUSTOS!$T$3</f>
        <v>0</v>
      </c>
      <c r="AE43" s="12">
        <v>0</v>
      </c>
      <c r="AF43" s="12">
        <v>0</v>
      </c>
      <c r="AG43" s="12"/>
      <c r="AH43" s="12">
        <f>(1 - CUSTOS!$M$28)*16.9379</f>
        <v>16.937899999999999</v>
      </c>
      <c r="AI43" s="12">
        <f>(1 - CUSTOS!$M$28)*16.9379</f>
        <v>16.937899999999999</v>
      </c>
      <c r="AJ43" s="12">
        <f ca="1">$N$75*(1-CUSTOS!$M$28)</f>
        <v>1.7554821950429027</v>
      </c>
      <c r="AK43" s="12">
        <f t="shared" ca="1" si="1"/>
        <v>1.7554821950429027</v>
      </c>
      <c r="AL43" s="12"/>
      <c r="AM43" s="12"/>
      <c r="AP43" s="12">
        <f>IF((1 - CUSTOS!$M$28)&lt;&gt;0,1/(1 - CUSTOS!$M$28),1)</f>
        <v>1</v>
      </c>
    </row>
    <row r="44" spans="1:42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1*(1 - CUSTOS!$M$29)</f>
        <v>1</v>
      </c>
      <c r="M4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0.58173411859856439</v>
      </c>
      <c r="N44" s="12">
        <f ca="1">(+M44+O44+R44+U44+V44+W44+X44+Y44+Z44+AA44+AC44+AH44+AI44+AJ44+AK44)*CUSTOS!$M$5</f>
        <v>10.040667985086843</v>
      </c>
      <c r="O44" s="12">
        <f>1 - CUSTOS!$M$29</f>
        <v>1</v>
      </c>
      <c r="P44" s="12">
        <f>1 - CUSTOS!$M$29</f>
        <v>1</v>
      </c>
      <c r="Q44" s="12">
        <f>1*(1 - CUSTOS!$M$29)</f>
        <v>1</v>
      </c>
      <c r="R44" s="12">
        <f>1 - CUSTOS!$M$29</f>
        <v>1</v>
      </c>
      <c r="S44" s="12">
        <f>1 - CUSTOS!$M$29</f>
        <v>1</v>
      </c>
      <c r="T44" s="12"/>
      <c r="U44" s="12">
        <f>TRANSICAO!$U$44*CUSTOS!$T$3</f>
        <v>0</v>
      </c>
      <c r="V44" s="12">
        <f>TRANSICAO!$V$44*CUSTOS!$T$3</f>
        <v>0</v>
      </c>
      <c r="W44" s="12">
        <f>TRANSICAO!$W$44*CUSTOS!$T$3</f>
        <v>0</v>
      </c>
      <c r="X44" s="12">
        <f>TRANSICAO!$X$44*CUSTOS!$T$3</f>
        <v>0</v>
      </c>
      <c r="Y44" s="12">
        <f>TRANSICAO!$Y$44*CUSTOS!$T$3</f>
        <v>344.13810000000001</v>
      </c>
      <c r="Z44" s="12">
        <f>TRANSICAO!$Z$44*CUSTOS!$T$3</f>
        <v>0</v>
      </c>
      <c r="AA44" s="12">
        <f>TRANSICAO!$AA$44*CUSTOS!$T$3</f>
        <v>0</v>
      </c>
      <c r="AB44" s="12">
        <f>TRANSICAO!$AB$44*CUSTOS!$T$3</f>
        <v>0</v>
      </c>
      <c r="AC44" s="12">
        <f>TRANSICAO!$AC$44*CUSTOS!$T$3</f>
        <v>619.96019999999999</v>
      </c>
      <c r="AD44" s="12">
        <f>TRANSICAO!$AD$44*CUSTOS!$T$3</f>
        <v>0</v>
      </c>
      <c r="AE44" s="12">
        <v>0</v>
      </c>
      <c r="AF44" s="12">
        <v>0</v>
      </c>
      <c r="AG44" s="12"/>
      <c r="AH44" s="12">
        <f>(1 - CUSTOS!$M$29)*16.9379</f>
        <v>16.937899999999999</v>
      </c>
      <c r="AI44" s="12">
        <f>(1 - CUSTOS!$M$29)*16.9379</f>
        <v>16.937899999999999</v>
      </c>
      <c r="AJ44" s="12">
        <f ca="1">$N$75*(1-CUSTOS!$M$29)</f>
        <v>1.7554821950429027</v>
      </c>
      <c r="AK44" s="12">
        <f t="shared" ca="1" si="1"/>
        <v>1.7554821950429027</v>
      </c>
      <c r="AL44" s="12"/>
      <c r="AM44" s="12"/>
      <c r="AP44" s="12">
        <f>IF((1 - CUSTOS!$M$29)&lt;&gt;0,1/(1 - CUSTOS!$M$29),1)</f>
        <v>1</v>
      </c>
    </row>
    <row r="45" spans="1:42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1*(1 - CUSTOS!$M$29)</f>
        <v>1</v>
      </c>
      <c r="M4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0.58173411859856439</v>
      </c>
      <c r="N45" s="12">
        <f ca="1">(+M45+O45+R45+U45+V45+W45+X45+Y45+Z45+AA45+AC45+AH45+AI45+AJ45+AK45)*CUSTOS!$M$5</f>
        <v>3.2919799850868445</v>
      </c>
      <c r="O45" s="12">
        <f>1 - CUSTOS!$M$29</f>
        <v>1</v>
      </c>
      <c r="P45" s="12">
        <f>1 - CUSTOS!$M$29</f>
        <v>1</v>
      </c>
      <c r="Q45" s="12">
        <f>1*(1 - CUSTOS!$M$29)</f>
        <v>1</v>
      </c>
      <c r="R45" s="12">
        <f>1 - CUSTOS!$M$29</f>
        <v>1</v>
      </c>
      <c r="S45" s="12">
        <f>1 - CUSTOS!$M$29</f>
        <v>1</v>
      </c>
      <c r="T45" s="12"/>
      <c r="U45" s="12">
        <f>TRANSICAO!$U$45*CUSTOS!$T$3</f>
        <v>0</v>
      </c>
      <c r="V45" s="12">
        <f>TRANSICAO!$V$45*CUSTOS!$T$3</f>
        <v>0</v>
      </c>
      <c r="W45" s="12">
        <f>TRANSICAO!$W$45*CUSTOS!$T$3</f>
        <v>0</v>
      </c>
      <c r="X45" s="12">
        <f>TRANSICAO!$X$45*CUSTOS!$T$3</f>
        <v>0</v>
      </c>
      <c r="Y45" s="12">
        <f>TRANSICAO!$Y$45*CUSTOS!$T$3</f>
        <v>103.2414</v>
      </c>
      <c r="Z45" s="12">
        <f>TRANSICAO!$Z$45*CUSTOS!$T$3</f>
        <v>0</v>
      </c>
      <c r="AA45" s="12">
        <f>TRANSICAO!$AA$45*CUSTOS!$T$3</f>
        <v>0</v>
      </c>
      <c r="AB45" s="12">
        <f>TRANSICAO!$AB$45*CUSTOS!$T$3</f>
        <v>0</v>
      </c>
      <c r="AC45" s="12">
        <f>TRANSICAO!$AC$45*CUSTOS!$T$3</f>
        <v>185.9881</v>
      </c>
      <c r="AD45" s="12">
        <f>TRANSICAO!$AD$45*CUSTOS!$T$3</f>
        <v>0</v>
      </c>
      <c r="AE45" s="12">
        <v>0</v>
      </c>
      <c r="AF45" s="12">
        <v>0</v>
      </c>
      <c r="AG45" s="12"/>
      <c r="AH45" s="12">
        <f>(1 - CUSTOS!$M$29)*16.9379</f>
        <v>16.937899999999999</v>
      </c>
      <c r="AI45" s="12">
        <f>(1 - CUSTOS!$M$29)*16.9379</f>
        <v>16.937899999999999</v>
      </c>
      <c r="AJ45" s="12">
        <f ca="1">$N$75*(1-CUSTOS!$M$29)</f>
        <v>1.7554821950429027</v>
      </c>
      <c r="AK45" s="12">
        <f t="shared" ca="1" si="1"/>
        <v>1.7554821950429027</v>
      </c>
      <c r="AL45" s="12"/>
      <c r="AM45" s="12"/>
      <c r="AP45" s="12">
        <f>IF((1 - CUSTOS!$M$29)&lt;&gt;0,1/(1 - CUSTOS!$M$29),1)</f>
        <v>1</v>
      </c>
    </row>
    <row r="46" spans="1:42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1*(1 - CUSTOS!$M$29)</f>
        <v>1</v>
      </c>
      <c r="M4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0.58173411859856439</v>
      </c>
      <c r="N46" s="12">
        <f ca="1">(+M46+O46+R46+U46+V46+W46+X46+Y46+Z46+AA46+AC46+AH46+AI46+AJ46+AK46)*CUSTOS!$M$5</f>
        <v>1.3637829850868437</v>
      </c>
      <c r="O46" s="12">
        <f>1 - CUSTOS!$M$29</f>
        <v>1</v>
      </c>
      <c r="P46" s="12">
        <f>1 - CUSTOS!$M$29</f>
        <v>1</v>
      </c>
      <c r="Q46" s="12">
        <f>1*(1 - CUSTOS!$M$29)</f>
        <v>1</v>
      </c>
      <c r="R46" s="12">
        <f>1 - CUSTOS!$M$29</f>
        <v>1</v>
      </c>
      <c r="S46" s="12">
        <f>1 - CUSTOS!$M$29</f>
        <v>1</v>
      </c>
      <c r="T46" s="12"/>
      <c r="U46" s="12">
        <f>TRANSICAO!$U$46*CUSTOS!$T$3</f>
        <v>0</v>
      </c>
      <c r="V46" s="12">
        <f>TRANSICAO!$V$46*CUSTOS!$T$3</f>
        <v>0</v>
      </c>
      <c r="W46" s="12">
        <f>TRANSICAO!$W$46*CUSTOS!$T$3</f>
        <v>0</v>
      </c>
      <c r="X46" s="12">
        <f>TRANSICAO!$X$46*CUSTOS!$T$3</f>
        <v>0</v>
      </c>
      <c r="Y46" s="12">
        <f>TRANSICAO!$Y$46*CUSTOS!$T$3</f>
        <v>34.413800000000002</v>
      </c>
      <c r="Z46" s="12">
        <f>TRANSICAO!$Z$46*CUSTOS!$T$3</f>
        <v>0</v>
      </c>
      <c r="AA46" s="12">
        <f>TRANSICAO!$AA$46*CUSTOS!$T$3</f>
        <v>0</v>
      </c>
      <c r="AB46" s="12">
        <f>TRANSICAO!$AB$46*CUSTOS!$T$3</f>
        <v>0</v>
      </c>
      <c r="AC46" s="12">
        <f>TRANSICAO!$AC$46*CUSTOS!$T$3</f>
        <v>61.996000000000002</v>
      </c>
      <c r="AD46" s="12">
        <f>TRANSICAO!$AD$46*CUSTOS!$T$3</f>
        <v>0</v>
      </c>
      <c r="AE46" s="12">
        <v>0</v>
      </c>
      <c r="AF46" s="12">
        <v>0</v>
      </c>
      <c r="AG46" s="12"/>
      <c r="AH46" s="12">
        <f>(1 - CUSTOS!$M$29)*16.9379</f>
        <v>16.937899999999999</v>
      </c>
      <c r="AI46" s="12">
        <f>(1 - CUSTOS!$M$29)*16.9379</f>
        <v>16.937899999999999</v>
      </c>
      <c r="AJ46" s="12">
        <f ca="1">$N$75*(1-CUSTOS!$M$29)</f>
        <v>1.7554821950429027</v>
      </c>
      <c r="AK46" s="12">
        <f t="shared" ca="1" si="1"/>
        <v>1.7554821950429027</v>
      </c>
      <c r="AL46" s="12"/>
      <c r="AM46" s="12"/>
      <c r="AP46" s="12">
        <f>IF((1 - CUSTOS!$M$29)&lt;&gt;0,1/(1 - CUSTOS!$M$29),1)</f>
        <v>1</v>
      </c>
    </row>
    <row r="47" spans="1:42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1*(1 - CUSTOS!$M$29)</f>
        <v>1</v>
      </c>
      <c r="M4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0.58173411859856439</v>
      </c>
      <c r="N47" s="12">
        <f ca="1">(+M47+O47+R47+U47+V47+W47+X47+Y47+Z47+AA47+AC47+AH47+AI47+AJ47+AK47)*CUSTOS!$M$5</f>
        <v>2.1850519850868437</v>
      </c>
      <c r="O47" s="12">
        <f>1 - CUSTOS!$M$29</f>
        <v>1</v>
      </c>
      <c r="P47" s="12">
        <f>1 - CUSTOS!$M$29</f>
        <v>1</v>
      </c>
      <c r="Q47" s="12">
        <f>1*(1 - CUSTOS!$M$29)</f>
        <v>1</v>
      </c>
      <c r="R47" s="12">
        <f>1 - CUSTOS!$M$29</f>
        <v>1</v>
      </c>
      <c r="S47" s="12">
        <f>1 - CUSTOS!$M$29</f>
        <v>1</v>
      </c>
      <c r="T47" s="12"/>
      <c r="U47" s="12">
        <f>TRANSICAO!$U$47*CUSTOS!$T$3</f>
        <v>0</v>
      </c>
      <c r="V47" s="12">
        <f>TRANSICAO!$V$47*CUSTOS!$T$3</f>
        <v>0</v>
      </c>
      <c r="W47" s="12">
        <f>TRANSICAO!$W$47*CUSTOS!$T$3</f>
        <v>0</v>
      </c>
      <c r="X47" s="12">
        <f>TRANSICAO!$X$47*CUSTOS!$T$3</f>
        <v>0</v>
      </c>
      <c r="Y47" s="12">
        <f>TRANSICAO!$Y$47*CUSTOS!$T$3</f>
        <v>63.729300000000002</v>
      </c>
      <c r="Z47" s="12">
        <f>TRANSICAO!$Z$47*CUSTOS!$T$3</f>
        <v>0</v>
      </c>
      <c r="AA47" s="12">
        <f>TRANSICAO!$AA$47*CUSTOS!$T$3</f>
        <v>0</v>
      </c>
      <c r="AB47" s="12">
        <f>TRANSICAO!$AB$47*CUSTOS!$T$3</f>
        <v>0</v>
      </c>
      <c r="AC47" s="12">
        <f>TRANSICAO!$AC$47*CUSTOS!$T$3</f>
        <v>114.8074</v>
      </c>
      <c r="AD47" s="12">
        <f>TRANSICAO!$AD$47*CUSTOS!$T$3</f>
        <v>0</v>
      </c>
      <c r="AE47" s="12">
        <v>0</v>
      </c>
      <c r="AF47" s="12">
        <v>0</v>
      </c>
      <c r="AG47" s="12"/>
      <c r="AH47" s="12">
        <f>(1 - CUSTOS!$M$29)*16.9379</f>
        <v>16.937899999999999</v>
      </c>
      <c r="AI47" s="12">
        <f>(1 - CUSTOS!$M$29)*16.9379</f>
        <v>16.937899999999999</v>
      </c>
      <c r="AJ47" s="12">
        <f ca="1">$N$75*(1-CUSTOS!$M$29)</f>
        <v>1.7554821950429027</v>
      </c>
      <c r="AK47" s="12">
        <f t="shared" ca="1" si="1"/>
        <v>1.7554821950429027</v>
      </c>
      <c r="AL47" s="12"/>
      <c r="AM47" s="12"/>
      <c r="AP47" s="12">
        <f>IF((1 - CUSTOS!$M$29)&lt;&gt;0,1/(1 - CUSTOS!$M$29),1)</f>
        <v>1</v>
      </c>
    </row>
    <row r="48" spans="1:42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1*(1 - CUSTOS!$M$30)</f>
        <v>1</v>
      </c>
      <c r="M4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0.58173411859856439</v>
      </c>
      <c r="N48" s="12">
        <f ca="1">(+M48+O48+R48+U48+V48+W48+X48+Y48+Z48+AA48+AC48+AH48+AI48+AJ48+AK48)*CUSTOS!$M$5</f>
        <v>10.040667985086843</v>
      </c>
      <c r="O48" s="12">
        <f>1 - CUSTOS!$M$30</f>
        <v>1</v>
      </c>
      <c r="P48" s="12">
        <f>1 - CUSTOS!$M$30</f>
        <v>1</v>
      </c>
      <c r="Q48" s="12">
        <f>1*(1 - CUSTOS!$M$30)</f>
        <v>1</v>
      </c>
      <c r="R48" s="12">
        <f>1 - CUSTOS!$M$30</f>
        <v>1</v>
      </c>
      <c r="S48" s="12">
        <f>1 - CUSTOS!$M$30</f>
        <v>1</v>
      </c>
      <c r="T48" s="12"/>
      <c r="U48" s="12">
        <f>TRANSICAO!$U$48*CUSTOS!$T$3</f>
        <v>0</v>
      </c>
      <c r="V48" s="12">
        <f>TRANSICAO!$V$48*CUSTOS!$T$3</f>
        <v>0</v>
      </c>
      <c r="W48" s="12">
        <f>TRANSICAO!$W$48*CUSTOS!$T$3</f>
        <v>0</v>
      </c>
      <c r="X48" s="12">
        <f>TRANSICAO!$X$48*CUSTOS!$T$3</f>
        <v>0</v>
      </c>
      <c r="Y48" s="12">
        <f>TRANSICAO!$Y$48*CUSTOS!$T$3</f>
        <v>344.13810000000001</v>
      </c>
      <c r="Z48" s="12">
        <f>TRANSICAO!$Z$48*CUSTOS!$T$3</f>
        <v>0</v>
      </c>
      <c r="AA48" s="12">
        <f>TRANSICAO!$AA$48*CUSTOS!$T$3</f>
        <v>0</v>
      </c>
      <c r="AB48" s="12">
        <f>TRANSICAO!$AB$48*CUSTOS!$T$3</f>
        <v>0</v>
      </c>
      <c r="AC48" s="12">
        <f>TRANSICAO!$AC$48*CUSTOS!$T$3</f>
        <v>619.96019999999999</v>
      </c>
      <c r="AD48" s="12">
        <f>TRANSICAO!$AD$48*CUSTOS!$T$3</f>
        <v>0</v>
      </c>
      <c r="AE48" s="12">
        <v>0</v>
      </c>
      <c r="AF48" s="12">
        <v>0</v>
      </c>
      <c r="AG48" s="12"/>
      <c r="AH48" s="12">
        <f>(1 - CUSTOS!$M$30)*16.9379</f>
        <v>16.937899999999999</v>
      </c>
      <c r="AI48" s="12">
        <f>(1 - CUSTOS!$M$30)*16.9379</f>
        <v>16.937899999999999</v>
      </c>
      <c r="AJ48" s="12">
        <f ca="1">$N$75*(1-CUSTOS!$M$30)</f>
        <v>1.7554821950429027</v>
      </c>
      <c r="AK48" s="12">
        <f t="shared" ca="1" si="1"/>
        <v>1.7554821950429027</v>
      </c>
      <c r="AL48" s="12"/>
      <c r="AM48" s="12"/>
      <c r="AP48" s="12">
        <f>IF((1 - CUSTOS!$M$30)&lt;&gt;0,1/(1 - CUSTOS!$M$30),1)</f>
        <v>1</v>
      </c>
    </row>
    <row r="49" spans="1:42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1*(1 - CUSTOS!$M$30)</f>
        <v>1</v>
      </c>
      <c r="M4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0.58173411859856439</v>
      </c>
      <c r="N49" s="12">
        <f ca="1">(+M49+O49+R49+U49+V49+W49+X49+Y49+Z49+AA49+AC49+AH49+AI49+AJ49+AK49)*CUSTOS!$M$5</f>
        <v>3.2919799850868445</v>
      </c>
      <c r="O49" s="12">
        <f>1 - CUSTOS!$M$30</f>
        <v>1</v>
      </c>
      <c r="P49" s="12">
        <f>1 - CUSTOS!$M$30</f>
        <v>1</v>
      </c>
      <c r="Q49" s="12">
        <f>1*(1 - CUSTOS!$M$30)</f>
        <v>1</v>
      </c>
      <c r="R49" s="12">
        <f>1 - CUSTOS!$M$30</f>
        <v>1</v>
      </c>
      <c r="S49" s="12">
        <f>1 - CUSTOS!$M$30</f>
        <v>1</v>
      </c>
      <c r="T49" s="12"/>
      <c r="U49" s="12">
        <f>TRANSICAO!$U$49*CUSTOS!$T$3</f>
        <v>0</v>
      </c>
      <c r="V49" s="12">
        <f>TRANSICAO!$V$49*CUSTOS!$T$3</f>
        <v>0</v>
      </c>
      <c r="W49" s="12">
        <f>TRANSICAO!$W$49*CUSTOS!$T$3</f>
        <v>0</v>
      </c>
      <c r="X49" s="12">
        <f>TRANSICAO!$X$49*CUSTOS!$T$3</f>
        <v>0</v>
      </c>
      <c r="Y49" s="12">
        <f>TRANSICAO!$Y$49*CUSTOS!$T$3</f>
        <v>103.2414</v>
      </c>
      <c r="Z49" s="12">
        <f>TRANSICAO!$Z$49*CUSTOS!$T$3</f>
        <v>0</v>
      </c>
      <c r="AA49" s="12">
        <f>TRANSICAO!$AA$49*CUSTOS!$T$3</f>
        <v>0</v>
      </c>
      <c r="AB49" s="12">
        <f>TRANSICAO!$AB$49*CUSTOS!$T$3</f>
        <v>0</v>
      </c>
      <c r="AC49" s="12">
        <f>TRANSICAO!$AC$49*CUSTOS!$T$3</f>
        <v>185.9881</v>
      </c>
      <c r="AD49" s="12">
        <f>TRANSICAO!$AD$49*CUSTOS!$T$3</f>
        <v>0</v>
      </c>
      <c r="AE49" s="12">
        <v>0</v>
      </c>
      <c r="AF49" s="12">
        <v>0</v>
      </c>
      <c r="AG49" s="12"/>
      <c r="AH49" s="12">
        <f>(1 - CUSTOS!$M$30)*16.9379</f>
        <v>16.937899999999999</v>
      </c>
      <c r="AI49" s="12">
        <f>(1 - CUSTOS!$M$30)*16.9379</f>
        <v>16.937899999999999</v>
      </c>
      <c r="AJ49" s="12">
        <f ca="1">$N$75*(1-CUSTOS!$M$30)</f>
        <v>1.7554821950429027</v>
      </c>
      <c r="AK49" s="12">
        <f t="shared" ca="1" si="1"/>
        <v>1.7554821950429027</v>
      </c>
      <c r="AL49" s="12"/>
      <c r="AM49" s="12"/>
      <c r="AP49" s="12">
        <f>IF((1 - CUSTOS!$M$30)&lt;&gt;0,1/(1 - CUSTOS!$M$30),1)</f>
        <v>1</v>
      </c>
    </row>
    <row r="50" spans="1:42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1*(1 - CUSTOS!$M$30)</f>
        <v>1</v>
      </c>
      <c r="M5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0.58173411859856439</v>
      </c>
      <c r="N50" s="12">
        <f ca="1">(+M50+O50+R50+U50+V50+W50+X50+Y50+Z50+AA50+AC50+AH50+AI50+AJ50+AK50)*CUSTOS!$M$5</f>
        <v>1.3637829850868437</v>
      </c>
      <c r="O50" s="12">
        <f>1 - CUSTOS!$M$30</f>
        <v>1</v>
      </c>
      <c r="P50" s="12">
        <f>1 - CUSTOS!$M$30</f>
        <v>1</v>
      </c>
      <c r="Q50" s="12">
        <f>1*(1 - CUSTOS!$M$30)</f>
        <v>1</v>
      </c>
      <c r="R50" s="12">
        <f>1 - CUSTOS!$M$30</f>
        <v>1</v>
      </c>
      <c r="S50" s="12">
        <f>1 - CUSTOS!$M$30</f>
        <v>1</v>
      </c>
      <c r="T50" s="12"/>
      <c r="U50" s="12">
        <f>TRANSICAO!$U$50*CUSTOS!$T$3</f>
        <v>0</v>
      </c>
      <c r="V50" s="12">
        <f>TRANSICAO!$V$50*CUSTOS!$T$3</f>
        <v>0</v>
      </c>
      <c r="W50" s="12">
        <f>TRANSICAO!$W$50*CUSTOS!$T$3</f>
        <v>0</v>
      </c>
      <c r="X50" s="12">
        <f>TRANSICAO!$X$50*CUSTOS!$T$3</f>
        <v>0</v>
      </c>
      <c r="Y50" s="12">
        <f>TRANSICAO!$Y$50*CUSTOS!$T$3</f>
        <v>34.413800000000002</v>
      </c>
      <c r="Z50" s="12">
        <f>TRANSICAO!$Z$50*CUSTOS!$T$3</f>
        <v>0</v>
      </c>
      <c r="AA50" s="12">
        <f>TRANSICAO!$AA$50*CUSTOS!$T$3</f>
        <v>0</v>
      </c>
      <c r="AB50" s="12">
        <f>TRANSICAO!$AB$50*CUSTOS!$T$3</f>
        <v>0</v>
      </c>
      <c r="AC50" s="12">
        <f>TRANSICAO!$AC$50*CUSTOS!$T$3</f>
        <v>61.996000000000002</v>
      </c>
      <c r="AD50" s="12">
        <f>TRANSICAO!$AD$50*CUSTOS!$T$3</f>
        <v>0</v>
      </c>
      <c r="AE50" s="12">
        <v>0</v>
      </c>
      <c r="AF50" s="12">
        <v>0</v>
      </c>
      <c r="AG50" s="12"/>
      <c r="AH50" s="12">
        <f>(1 - CUSTOS!$M$30)*16.9379</f>
        <v>16.937899999999999</v>
      </c>
      <c r="AI50" s="12">
        <f>(1 - CUSTOS!$M$30)*16.9379</f>
        <v>16.937899999999999</v>
      </c>
      <c r="AJ50" s="12">
        <f ca="1">$N$75*(1-CUSTOS!$M$30)</f>
        <v>1.7554821950429027</v>
      </c>
      <c r="AK50" s="12">
        <f t="shared" ca="1" si="1"/>
        <v>1.7554821950429027</v>
      </c>
      <c r="AL50" s="12"/>
      <c r="AM50" s="12"/>
      <c r="AP50" s="12">
        <f>IF((1 - CUSTOS!$M$30)&lt;&gt;0,1/(1 - CUSTOS!$M$30),1)</f>
        <v>1</v>
      </c>
    </row>
    <row r="51" spans="1:42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1*(1 - CUSTOS!$M$30)</f>
        <v>1</v>
      </c>
      <c r="M5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0.58173411859856439</v>
      </c>
      <c r="N51" s="12">
        <f ca="1">(+M51+O51+R51+U51+V51+W51+X51+Y51+Z51+AA51+AC51+AH51+AI51+AJ51+AK51)*CUSTOS!$M$5</f>
        <v>2.1850519850868437</v>
      </c>
      <c r="O51" s="12">
        <f>1 - CUSTOS!$M$30</f>
        <v>1</v>
      </c>
      <c r="P51" s="12">
        <f>1 - CUSTOS!$M$30</f>
        <v>1</v>
      </c>
      <c r="Q51" s="12">
        <f>1*(1 - CUSTOS!$M$30)</f>
        <v>1</v>
      </c>
      <c r="R51" s="12">
        <f>1 - CUSTOS!$M$30</f>
        <v>1</v>
      </c>
      <c r="S51" s="12">
        <f>1 - CUSTOS!$M$30</f>
        <v>1</v>
      </c>
      <c r="T51" s="12"/>
      <c r="U51" s="12">
        <f>TRANSICAO!$U$51*CUSTOS!$T$3</f>
        <v>0</v>
      </c>
      <c r="V51" s="12">
        <f>TRANSICAO!$V$51*CUSTOS!$T$3</f>
        <v>0</v>
      </c>
      <c r="W51" s="12">
        <f>TRANSICAO!$W$51*CUSTOS!$T$3</f>
        <v>0</v>
      </c>
      <c r="X51" s="12">
        <f>TRANSICAO!$X$51*CUSTOS!$T$3</f>
        <v>0</v>
      </c>
      <c r="Y51" s="12">
        <f>TRANSICAO!$Y$51*CUSTOS!$T$3</f>
        <v>63.729300000000002</v>
      </c>
      <c r="Z51" s="12">
        <f>TRANSICAO!$Z$51*CUSTOS!$T$3</f>
        <v>0</v>
      </c>
      <c r="AA51" s="12">
        <f>TRANSICAO!$AA$51*CUSTOS!$T$3</f>
        <v>0</v>
      </c>
      <c r="AB51" s="12">
        <f>TRANSICAO!$AB$51*CUSTOS!$T$3</f>
        <v>0</v>
      </c>
      <c r="AC51" s="12">
        <f>TRANSICAO!$AC$51*CUSTOS!$T$3</f>
        <v>114.8074</v>
      </c>
      <c r="AD51" s="12">
        <f>TRANSICAO!$AD$51*CUSTOS!$T$3</f>
        <v>0</v>
      </c>
      <c r="AE51" s="12">
        <v>0</v>
      </c>
      <c r="AF51" s="12">
        <v>0</v>
      </c>
      <c r="AG51" s="12"/>
      <c r="AH51" s="12">
        <f>(1 - CUSTOS!$M$30)*16.9379</f>
        <v>16.937899999999999</v>
      </c>
      <c r="AI51" s="12">
        <f>(1 - CUSTOS!$M$30)*16.9379</f>
        <v>16.937899999999999</v>
      </c>
      <c r="AJ51" s="12">
        <f ca="1">$N$75*(1-CUSTOS!$M$30)</f>
        <v>1.7554821950429027</v>
      </c>
      <c r="AK51" s="12">
        <f t="shared" ca="1" si="1"/>
        <v>1.7554821950429027</v>
      </c>
      <c r="AL51" s="12"/>
      <c r="AM51" s="12"/>
      <c r="AP51" s="12">
        <f>IF((1 - CUSTOS!$M$30)&lt;&gt;0,1/(1 - CUSTOS!$M$30),1)</f>
        <v>1</v>
      </c>
    </row>
    <row r="52" spans="1:42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1*(1 - CUSTOS!$M$28)</f>
        <v>1</v>
      </c>
      <c r="M5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0.58173411859856439</v>
      </c>
      <c r="N52" s="12">
        <f ca="1">(+M52+O52+R52+U52+V52+W52+X52+Y52+Z52+AA52+AC52+AH52+AI52+AJ52+AK52)*CUSTOS!$M$5</f>
        <v>2.1850519850868437</v>
      </c>
      <c r="O52" s="12">
        <f>1 - CUSTOS!$M$28</f>
        <v>1</v>
      </c>
      <c r="P52" s="12">
        <f>1 - CUSTOS!$M$28</f>
        <v>1</v>
      </c>
      <c r="Q52" s="12">
        <f>1*(1 - CUSTOS!$M$28)</f>
        <v>1</v>
      </c>
      <c r="R52" s="12">
        <f>1 - CUSTOS!$M$28</f>
        <v>1</v>
      </c>
      <c r="S52" s="12">
        <f>1 - CUSTOS!$M$28</f>
        <v>1</v>
      </c>
      <c r="T52" s="12"/>
      <c r="U52" s="12">
        <f>TRANSICAO!$U$52*CUSTOS!$T$3</f>
        <v>0</v>
      </c>
      <c r="V52" s="12">
        <f>TRANSICAO!$V$52*CUSTOS!$T$3</f>
        <v>0</v>
      </c>
      <c r="W52" s="12">
        <f>TRANSICAO!$W$52*CUSTOS!$T$3</f>
        <v>0</v>
      </c>
      <c r="X52" s="12">
        <f>TRANSICAO!$X$52*CUSTOS!$T$3</f>
        <v>0</v>
      </c>
      <c r="Y52" s="12">
        <f>TRANSICAO!$Y$52*CUSTOS!$T$3</f>
        <v>63.729300000000002</v>
      </c>
      <c r="Z52" s="12">
        <f>TRANSICAO!$Z$52*CUSTOS!$T$3</f>
        <v>0</v>
      </c>
      <c r="AA52" s="12">
        <f>TRANSICAO!$AA$52*CUSTOS!$T$3</f>
        <v>0</v>
      </c>
      <c r="AB52" s="12">
        <f>TRANSICAO!$AB$52*CUSTOS!$T$3</f>
        <v>0</v>
      </c>
      <c r="AC52" s="12">
        <f>TRANSICAO!$AC$52*CUSTOS!$T$3</f>
        <v>114.8074</v>
      </c>
      <c r="AD52" s="12">
        <f>TRANSICAO!$AD$52*CUSTOS!$T$3</f>
        <v>0</v>
      </c>
      <c r="AE52" s="12">
        <v>0</v>
      </c>
      <c r="AF52" s="12">
        <v>0</v>
      </c>
      <c r="AG52" s="12"/>
      <c r="AH52" s="12">
        <f>(1 - CUSTOS!$M$28)*16.9379</f>
        <v>16.937899999999999</v>
      </c>
      <c r="AI52" s="12">
        <f>(1 - CUSTOS!$M$28)*16.9379</f>
        <v>16.937899999999999</v>
      </c>
      <c r="AJ52" s="12">
        <f ca="1">$N$75*(1-CUSTOS!$M$28)</f>
        <v>1.7554821950429027</v>
      </c>
      <c r="AK52" s="12">
        <f t="shared" ca="1" si="1"/>
        <v>1.7554821950429027</v>
      </c>
      <c r="AL52" s="12"/>
      <c r="AM52" s="12"/>
      <c r="AP52" s="12">
        <f>IF((1 - CUSTOS!$M$28)&lt;&gt;0,1/(1 - CUSTOS!$M$28),1)</f>
        <v>1</v>
      </c>
    </row>
    <row r="53" spans="1:42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1*(1 - CUSTOS!$M$29)</f>
        <v>1</v>
      </c>
      <c r="M5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0.58173411859856439</v>
      </c>
      <c r="N53" s="12">
        <f ca="1">(+M53+O53+R53+U53+V53+W53+X53+Y53+Z53+AA53+AC53+AH53+AI53+AJ53+AK53)*CUSTOS!$M$5</f>
        <v>2.1850519850868437</v>
      </c>
      <c r="O53" s="12">
        <f>1 - CUSTOS!$M$29</f>
        <v>1</v>
      </c>
      <c r="P53" s="12">
        <f>1 - CUSTOS!$M$29</f>
        <v>1</v>
      </c>
      <c r="Q53" s="12">
        <f>1*(1 - CUSTOS!$M$29)</f>
        <v>1</v>
      </c>
      <c r="R53" s="12">
        <f>1 - CUSTOS!$M$29</f>
        <v>1</v>
      </c>
      <c r="S53" s="12">
        <f>1 - CUSTOS!$M$29</f>
        <v>1</v>
      </c>
      <c r="T53" s="12"/>
      <c r="U53" s="12">
        <f>TRANSICAO!$U$53*CUSTOS!$T$3</f>
        <v>0</v>
      </c>
      <c r="V53" s="12">
        <f>TRANSICAO!$V$53*CUSTOS!$T$3</f>
        <v>0</v>
      </c>
      <c r="W53" s="12">
        <f>TRANSICAO!$W$53*CUSTOS!$T$3</f>
        <v>0</v>
      </c>
      <c r="X53" s="12">
        <f>TRANSICAO!$X$53*CUSTOS!$T$3</f>
        <v>0</v>
      </c>
      <c r="Y53" s="12">
        <f>TRANSICAO!$Y$53*CUSTOS!$T$3</f>
        <v>63.729300000000002</v>
      </c>
      <c r="Z53" s="12">
        <f>TRANSICAO!$Z$53*CUSTOS!$T$3</f>
        <v>0</v>
      </c>
      <c r="AA53" s="12">
        <f>TRANSICAO!$AA$53*CUSTOS!$T$3</f>
        <v>0</v>
      </c>
      <c r="AB53" s="12">
        <f>TRANSICAO!$AB$53*CUSTOS!$T$3</f>
        <v>0</v>
      </c>
      <c r="AC53" s="12">
        <f>TRANSICAO!$AC$53*CUSTOS!$T$3</f>
        <v>114.8074</v>
      </c>
      <c r="AD53" s="12">
        <f>TRANSICAO!$AD$53*CUSTOS!$T$3</f>
        <v>0</v>
      </c>
      <c r="AE53" s="12">
        <v>0</v>
      </c>
      <c r="AF53" s="12">
        <v>0</v>
      </c>
      <c r="AG53" s="12"/>
      <c r="AH53" s="12">
        <f>(1 - CUSTOS!$M$29)*16.9379</f>
        <v>16.937899999999999</v>
      </c>
      <c r="AI53" s="12">
        <f>(1 - CUSTOS!$M$29)*16.9379</f>
        <v>16.937899999999999</v>
      </c>
      <c r="AJ53" s="12">
        <f ca="1">$N$75*(1-CUSTOS!$M$29)</f>
        <v>1.7554821950429027</v>
      </c>
      <c r="AK53" s="12">
        <f t="shared" ca="1" si="1"/>
        <v>1.7554821950429027</v>
      </c>
      <c r="AL53" s="12"/>
      <c r="AM53" s="12"/>
      <c r="AP53" s="12">
        <f>IF((1 - CUSTOS!$M$29)&lt;&gt;0,1/(1 - CUSTOS!$M$29),1)</f>
        <v>1</v>
      </c>
    </row>
    <row r="54" spans="1:42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1*(1 - CUSTOS!$M$30)</f>
        <v>1</v>
      </c>
      <c r="M5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0.58173411859856439</v>
      </c>
      <c r="N54" s="12">
        <f ca="1">(+M54+O54+R54+U54+V54+W54+X54+Y54+Z54+AA54+AC54+AH54+AI54+AJ54+AK54)*CUSTOS!$M$5</f>
        <v>2.1850519850868437</v>
      </c>
      <c r="O54" s="12">
        <f>1 - CUSTOS!$M$30</f>
        <v>1</v>
      </c>
      <c r="P54" s="12">
        <f>1 - CUSTOS!$M$30</f>
        <v>1</v>
      </c>
      <c r="Q54" s="12">
        <f>1*(1 - CUSTOS!$M$30)</f>
        <v>1</v>
      </c>
      <c r="R54" s="12">
        <f>1 - CUSTOS!$M$30</f>
        <v>1</v>
      </c>
      <c r="S54" s="12">
        <f>1 - CUSTOS!$M$30</f>
        <v>1</v>
      </c>
      <c r="T54" s="12"/>
      <c r="U54" s="12">
        <f>TRANSICAO!$U$54*CUSTOS!$T$3</f>
        <v>0</v>
      </c>
      <c r="V54" s="12">
        <f>TRANSICAO!$V$54*CUSTOS!$T$3</f>
        <v>0</v>
      </c>
      <c r="W54" s="12">
        <f>TRANSICAO!$W$54*CUSTOS!$T$3</f>
        <v>0</v>
      </c>
      <c r="X54" s="12">
        <f>TRANSICAO!$X$54*CUSTOS!$T$3</f>
        <v>0</v>
      </c>
      <c r="Y54" s="12">
        <f>TRANSICAO!$Y$54*CUSTOS!$T$3</f>
        <v>63.729300000000002</v>
      </c>
      <c r="Z54" s="12">
        <f>TRANSICAO!$Z$54*CUSTOS!$T$3</f>
        <v>0</v>
      </c>
      <c r="AA54" s="12">
        <f>TRANSICAO!$AA$54*CUSTOS!$T$3</f>
        <v>0</v>
      </c>
      <c r="AB54" s="12">
        <f>TRANSICAO!$AB$54*CUSTOS!$T$3</f>
        <v>0</v>
      </c>
      <c r="AC54" s="12">
        <f>TRANSICAO!$AC$54*CUSTOS!$T$3</f>
        <v>114.8074</v>
      </c>
      <c r="AD54" s="12">
        <f>TRANSICAO!$AD$54*CUSTOS!$T$3</f>
        <v>0</v>
      </c>
      <c r="AE54" s="12">
        <v>0</v>
      </c>
      <c r="AF54" s="12">
        <v>0</v>
      </c>
      <c r="AG54" s="12"/>
      <c r="AH54" s="12">
        <f>(1 - CUSTOS!$M$30)*16.9379</f>
        <v>16.937899999999999</v>
      </c>
      <c r="AI54" s="12">
        <f>(1 - CUSTOS!$M$30)*16.9379</f>
        <v>16.937899999999999</v>
      </c>
      <c r="AJ54" s="12">
        <f ca="1">$N$75*(1-CUSTOS!$M$30)</f>
        <v>1.7554821950429027</v>
      </c>
      <c r="AK54" s="12">
        <f t="shared" ca="1" si="1"/>
        <v>1.7554821950429027</v>
      </c>
      <c r="AL54" s="12"/>
      <c r="AM54" s="12"/>
      <c r="AP54" s="12">
        <f>IF((1 - CUSTOS!$M$30)&lt;&gt;0,1/(1 - CUSTOS!$M$30),1)</f>
        <v>1</v>
      </c>
    </row>
    <row r="55" spans="1:42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1*(1 - CUSTOS!$M$31)</f>
        <v>1</v>
      </c>
      <c r="M5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0.58173411859856439</v>
      </c>
      <c r="N55" s="12">
        <f ca="1">(+M55+O55+R55+U55+V55+W55+X55+Y55+Z55+AA55+AC55+AH55+AI55+AJ55+AK55)*CUSTOS!$M$5</f>
        <v>6.6484709850868438</v>
      </c>
      <c r="O55" s="12">
        <f>1 - CUSTOS!$M$31</f>
        <v>1</v>
      </c>
      <c r="P55" s="12">
        <f>1 - CUSTOS!$M$31</f>
        <v>1</v>
      </c>
      <c r="Q55" s="12">
        <f>1*(1 - CUSTOS!$M$31)</f>
        <v>1</v>
      </c>
      <c r="R55" s="12">
        <f>1 - CUSTOS!$M$31</f>
        <v>1</v>
      </c>
      <c r="S55" s="12">
        <f>1 - CUSTOS!$M$31</f>
        <v>1</v>
      </c>
      <c r="T55" s="12"/>
      <c r="U55" s="12">
        <f>TRANSICAO!$U$55*CUSTOS!$T$3</f>
        <v>0</v>
      </c>
      <c r="V55" s="12">
        <f>TRANSICAO!$V$55*CUSTOS!$T$3</f>
        <v>0</v>
      </c>
      <c r="W55" s="12">
        <f>TRANSICAO!$W$55*CUSTOS!$T$3</f>
        <v>0</v>
      </c>
      <c r="X55" s="12">
        <f>TRANSICAO!$X$55*CUSTOS!$T$3</f>
        <v>0</v>
      </c>
      <c r="Y55" s="12">
        <f>TRANSICAO!$Y$55*CUSTOS!$T$3</f>
        <v>223.05250000000001</v>
      </c>
      <c r="Z55" s="12">
        <f>TRANSICAO!$Z$55*CUSTOS!$T$3</f>
        <v>0</v>
      </c>
      <c r="AA55" s="12">
        <f>TRANSICAO!$AA$55*CUSTOS!$T$3</f>
        <v>0</v>
      </c>
      <c r="AB55" s="12">
        <f>TRANSICAO!$AB$55*CUSTOS!$T$3</f>
        <v>0</v>
      </c>
      <c r="AC55" s="12">
        <f>TRANSICAO!$AC$55*CUSTOS!$T$3</f>
        <v>401.8261</v>
      </c>
      <c r="AD55" s="12">
        <f>TRANSICAO!$AD$55*CUSTOS!$T$3</f>
        <v>0</v>
      </c>
      <c r="AE55" s="12">
        <v>0</v>
      </c>
      <c r="AF55" s="12">
        <v>0</v>
      </c>
      <c r="AG55" s="12"/>
      <c r="AH55" s="12">
        <f>(1 - CUSTOS!$M$31)*16.9379</f>
        <v>16.937899999999999</v>
      </c>
      <c r="AI55" s="12">
        <f>(1 - CUSTOS!$M$31)*16.9379</f>
        <v>16.937899999999999</v>
      </c>
      <c r="AJ55" s="12">
        <f ca="1">$N$75*(1-CUSTOS!$M$31)</f>
        <v>1.7554821950429027</v>
      </c>
      <c r="AK55" s="12">
        <f t="shared" ca="1" si="1"/>
        <v>1.7554821950429027</v>
      </c>
      <c r="AL55" s="12"/>
      <c r="AM55" s="12"/>
      <c r="AP55" s="12">
        <f>IF((1 - CUSTOS!$M$31)&lt;&gt;0,1/(1 - CUSTOS!$M$31),1)</f>
        <v>1</v>
      </c>
    </row>
    <row r="56" spans="1:42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1*(1 - CUSTOS!$M$31)</f>
        <v>1</v>
      </c>
      <c r="M5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0.58173411859856439</v>
      </c>
      <c r="N56" s="12">
        <f ca="1">(+M56+O56+R56+U56+V56+W56+X56+Y56+Z56+AA56+AC56+AH56+AI56+AJ56+AK56)*CUSTOS!$M$5</f>
        <v>1.649441985086844</v>
      </c>
      <c r="O56" s="12">
        <f>1 - CUSTOS!$M$31</f>
        <v>1</v>
      </c>
      <c r="P56" s="12">
        <f>1 - CUSTOS!$M$31</f>
        <v>1</v>
      </c>
      <c r="Q56" s="12">
        <f>1*(1 - CUSTOS!$M$31)</f>
        <v>1</v>
      </c>
      <c r="R56" s="12">
        <f>1 - CUSTOS!$M$31</f>
        <v>1</v>
      </c>
      <c r="S56" s="12">
        <f>1 - CUSTOS!$M$31</f>
        <v>1</v>
      </c>
      <c r="T56" s="12"/>
      <c r="U56" s="12">
        <f>TRANSICAO!$U$56*CUSTOS!$T$3</f>
        <v>0</v>
      </c>
      <c r="V56" s="12">
        <f>TRANSICAO!$V$56*CUSTOS!$T$3</f>
        <v>0</v>
      </c>
      <c r="W56" s="12">
        <f>TRANSICAO!$W$56*CUSTOS!$T$3</f>
        <v>0</v>
      </c>
      <c r="X56" s="12">
        <f>TRANSICAO!$X$56*CUSTOS!$T$3</f>
        <v>0</v>
      </c>
      <c r="Y56" s="12">
        <f>TRANSICAO!$Y$56*CUSTOS!$T$3</f>
        <v>44.610500000000002</v>
      </c>
      <c r="Z56" s="12">
        <f>TRANSICAO!$Z$56*CUSTOS!$T$3</f>
        <v>0</v>
      </c>
      <c r="AA56" s="12">
        <f>TRANSICAO!$AA$56*CUSTOS!$T$3</f>
        <v>0</v>
      </c>
      <c r="AB56" s="12">
        <f>TRANSICAO!$AB$56*CUSTOS!$T$3</f>
        <v>0</v>
      </c>
      <c r="AC56" s="12">
        <f>TRANSICAO!$AC$56*CUSTOS!$T$3</f>
        <v>80.365200000000002</v>
      </c>
      <c r="AD56" s="12">
        <f>TRANSICAO!$AD$56*CUSTOS!$T$3</f>
        <v>0</v>
      </c>
      <c r="AE56" s="12">
        <v>0</v>
      </c>
      <c r="AF56" s="12">
        <v>0</v>
      </c>
      <c r="AG56" s="12"/>
      <c r="AH56" s="12">
        <f>(1 - CUSTOS!$M$31)*16.9379</f>
        <v>16.937899999999999</v>
      </c>
      <c r="AI56" s="12">
        <f>(1 - CUSTOS!$M$31)*16.9379</f>
        <v>16.937899999999999</v>
      </c>
      <c r="AJ56" s="12">
        <f ca="1">$N$75*(1-CUSTOS!$M$31)</f>
        <v>1.7554821950429027</v>
      </c>
      <c r="AK56" s="12">
        <f t="shared" ca="1" si="1"/>
        <v>1.7554821950429027</v>
      </c>
      <c r="AL56" s="12"/>
      <c r="AM56" s="12"/>
      <c r="AP56" s="12">
        <f>IF((1 - CUSTOS!$M$31)&lt;&gt;0,1/(1 - CUSTOS!$M$31),1)</f>
        <v>1</v>
      </c>
    </row>
    <row r="57" spans="1:42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1*(1 - CUSTOS!$M$31)</f>
        <v>1</v>
      </c>
      <c r="M5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0.58173411859856439</v>
      </c>
      <c r="N57" s="12">
        <f ca="1">(+M57+O57+R57+U57+V57+W57+X57+Y57+Z57+AA57+AC57+AH57+AI57+AJ57+AK57)*CUSTOS!$M$5</f>
        <v>1.649441985086844</v>
      </c>
      <c r="O57" s="12">
        <f>1 - CUSTOS!$M$31</f>
        <v>1</v>
      </c>
      <c r="P57" s="12">
        <f>1 - CUSTOS!$M$31</f>
        <v>1</v>
      </c>
      <c r="Q57" s="12">
        <f>1*(1 - CUSTOS!$M$31)</f>
        <v>1</v>
      </c>
      <c r="R57" s="12">
        <f>1 - CUSTOS!$M$31</f>
        <v>1</v>
      </c>
      <c r="S57" s="12">
        <f>1 - CUSTOS!$M$31</f>
        <v>1</v>
      </c>
      <c r="T57" s="12"/>
      <c r="U57" s="12">
        <f>TRANSICAO!$U$57*CUSTOS!$T$3</f>
        <v>0</v>
      </c>
      <c r="V57" s="12">
        <f>TRANSICAO!$V$57*CUSTOS!$T$3</f>
        <v>0</v>
      </c>
      <c r="W57" s="12">
        <f>TRANSICAO!$W$57*CUSTOS!$T$3</f>
        <v>0</v>
      </c>
      <c r="X57" s="12">
        <f>TRANSICAO!$X$57*CUSTOS!$T$3</f>
        <v>0</v>
      </c>
      <c r="Y57" s="12">
        <f>TRANSICAO!$Y$57*CUSTOS!$T$3</f>
        <v>44.610500000000002</v>
      </c>
      <c r="Z57" s="12">
        <f>TRANSICAO!$Z$57*CUSTOS!$T$3</f>
        <v>0</v>
      </c>
      <c r="AA57" s="12">
        <f>TRANSICAO!$AA$57*CUSTOS!$T$3</f>
        <v>0</v>
      </c>
      <c r="AB57" s="12">
        <f>TRANSICAO!$AB$57*CUSTOS!$T$3</f>
        <v>0</v>
      </c>
      <c r="AC57" s="12">
        <f>TRANSICAO!$AC$57*CUSTOS!$T$3</f>
        <v>80.365200000000002</v>
      </c>
      <c r="AD57" s="12">
        <f>TRANSICAO!$AD$57*CUSTOS!$T$3</f>
        <v>0</v>
      </c>
      <c r="AE57" s="12">
        <v>0</v>
      </c>
      <c r="AF57" s="12">
        <v>0</v>
      </c>
      <c r="AG57" s="12"/>
      <c r="AH57" s="12">
        <f>(1 - CUSTOS!$M$31)*16.9379</f>
        <v>16.937899999999999</v>
      </c>
      <c r="AI57" s="12">
        <f>(1 - CUSTOS!$M$31)*16.9379</f>
        <v>16.937899999999999</v>
      </c>
      <c r="AJ57" s="12">
        <f ca="1">$N$75*(1-CUSTOS!$M$31)</f>
        <v>1.7554821950429027</v>
      </c>
      <c r="AK57" s="12">
        <f t="shared" ca="1" si="1"/>
        <v>1.7554821950429027</v>
      </c>
      <c r="AL57" s="12"/>
      <c r="AM57" s="12"/>
      <c r="AP57" s="12">
        <f>IF((1 - CUSTOS!$M$31)&lt;&gt;0,1/(1 - CUSTOS!$M$31),1)</f>
        <v>1</v>
      </c>
    </row>
    <row r="58" spans="1:42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1*(1 - CUSTOS!$M$31)</f>
        <v>1</v>
      </c>
      <c r="M5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0.58173411859856439</v>
      </c>
      <c r="N58" s="12">
        <f ca="1">(+M58+O58+R58+U58+V58+W58+X58+Y58+Z58+AA58+AC58+AH58+AI58+AJ58+AK58)*CUSTOS!$M$5</f>
        <v>2.1850519850868437</v>
      </c>
      <c r="O58" s="12">
        <f>1 - CUSTOS!$M$31</f>
        <v>1</v>
      </c>
      <c r="P58" s="12">
        <f>1 - CUSTOS!$M$31</f>
        <v>1</v>
      </c>
      <c r="Q58" s="12">
        <f>1*(1 - CUSTOS!$M$31)</f>
        <v>1</v>
      </c>
      <c r="R58" s="12">
        <f>1 - CUSTOS!$M$31</f>
        <v>1</v>
      </c>
      <c r="S58" s="12">
        <f>1 - CUSTOS!$M$31</f>
        <v>1</v>
      </c>
      <c r="T58" s="12"/>
      <c r="U58" s="12">
        <f>TRANSICAO!$U$58*CUSTOS!$T$3</f>
        <v>0</v>
      </c>
      <c r="V58" s="12">
        <f>TRANSICAO!$V$58*CUSTOS!$T$3</f>
        <v>0</v>
      </c>
      <c r="W58" s="12">
        <f>TRANSICAO!$W$58*CUSTOS!$T$3</f>
        <v>0</v>
      </c>
      <c r="X58" s="12">
        <f>TRANSICAO!$X$58*CUSTOS!$T$3</f>
        <v>0</v>
      </c>
      <c r="Y58" s="12">
        <f>TRANSICAO!$Y$58*CUSTOS!$T$3</f>
        <v>63.729300000000002</v>
      </c>
      <c r="Z58" s="12">
        <f>TRANSICAO!$Z$58*CUSTOS!$T$3</f>
        <v>0</v>
      </c>
      <c r="AA58" s="12">
        <f>TRANSICAO!$AA$58*CUSTOS!$T$3</f>
        <v>0</v>
      </c>
      <c r="AB58" s="12">
        <f>TRANSICAO!$AB$58*CUSTOS!$T$3</f>
        <v>0</v>
      </c>
      <c r="AC58" s="12">
        <f>TRANSICAO!$AC$58*CUSTOS!$T$3</f>
        <v>114.8074</v>
      </c>
      <c r="AD58" s="12">
        <f>TRANSICAO!$AD$58*CUSTOS!$T$3</f>
        <v>0</v>
      </c>
      <c r="AE58" s="12">
        <v>0</v>
      </c>
      <c r="AF58" s="12">
        <v>0</v>
      </c>
      <c r="AG58" s="12"/>
      <c r="AH58" s="12">
        <f>(1 - CUSTOS!$M$31)*16.9379</f>
        <v>16.937899999999999</v>
      </c>
      <c r="AI58" s="12">
        <f>(1 - CUSTOS!$M$31)*16.9379</f>
        <v>16.937899999999999</v>
      </c>
      <c r="AJ58" s="12">
        <f ca="1">$N$75*(1-CUSTOS!$M$31)</f>
        <v>1.7554821950429027</v>
      </c>
      <c r="AK58" s="12">
        <f t="shared" ca="1" si="1"/>
        <v>1.7554821950429027</v>
      </c>
      <c r="AL58" s="12"/>
      <c r="AM58" s="12"/>
      <c r="AP58" s="12">
        <f>IF((1 - CUSTOS!$M$31)&lt;&gt;0,1/(1 - CUSTOS!$M$31),1)</f>
        <v>1</v>
      </c>
    </row>
    <row r="59" spans="1:42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1*(1 - CUSTOS!$M$31)</f>
        <v>1</v>
      </c>
      <c r="M5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0.58173411859856439</v>
      </c>
      <c r="N59" s="12">
        <f ca="1">(+M59+O59+R59+U59+V59+W59+X59+Y59+Z59+AA59+AC59+AH59+AI59+AJ59+AK59)*CUSTOS!$M$5</f>
        <v>2.1850519850868437</v>
      </c>
      <c r="O59" s="12">
        <f>1 - CUSTOS!$M$31</f>
        <v>1</v>
      </c>
      <c r="P59" s="12">
        <f>1 - CUSTOS!$M$31</f>
        <v>1</v>
      </c>
      <c r="Q59" s="12">
        <f>1*(1 - CUSTOS!$M$31)</f>
        <v>1</v>
      </c>
      <c r="R59" s="12">
        <f>1 - CUSTOS!$M$31</f>
        <v>1</v>
      </c>
      <c r="S59" s="12">
        <f>1 - CUSTOS!$M$31</f>
        <v>1</v>
      </c>
      <c r="T59" s="12"/>
      <c r="U59" s="12">
        <f>TRANSICAO!$U$59*CUSTOS!$T$3</f>
        <v>0</v>
      </c>
      <c r="V59" s="12">
        <f>TRANSICAO!$V$59*CUSTOS!$T$3</f>
        <v>0</v>
      </c>
      <c r="W59" s="12">
        <f>TRANSICAO!$W$59*CUSTOS!$T$3</f>
        <v>0</v>
      </c>
      <c r="X59" s="12">
        <f>TRANSICAO!$X$59*CUSTOS!$T$3</f>
        <v>0</v>
      </c>
      <c r="Y59" s="12">
        <f>TRANSICAO!$Y$59*CUSTOS!$T$3</f>
        <v>63.729300000000002</v>
      </c>
      <c r="Z59" s="12">
        <f>TRANSICAO!$Z$59*CUSTOS!$T$3</f>
        <v>0</v>
      </c>
      <c r="AA59" s="12">
        <f>TRANSICAO!$AA$59*CUSTOS!$T$3</f>
        <v>0</v>
      </c>
      <c r="AB59" s="12">
        <f>TRANSICAO!$AB$59*CUSTOS!$T$3</f>
        <v>0</v>
      </c>
      <c r="AC59" s="12">
        <f>TRANSICAO!$AC$59*CUSTOS!$T$3</f>
        <v>114.8074</v>
      </c>
      <c r="AD59" s="12">
        <f>TRANSICAO!$AD$59*CUSTOS!$T$3</f>
        <v>0</v>
      </c>
      <c r="AE59" s="12">
        <v>0</v>
      </c>
      <c r="AF59" s="12">
        <v>0</v>
      </c>
      <c r="AG59" s="12"/>
      <c r="AH59" s="12">
        <f>(1 - CUSTOS!$M$31)*16.9379</f>
        <v>16.937899999999999</v>
      </c>
      <c r="AI59" s="12">
        <f>(1 - CUSTOS!$M$31)*16.9379</f>
        <v>16.937899999999999</v>
      </c>
      <c r="AJ59" s="12">
        <f ca="1">$N$75*(1-CUSTOS!$M$31)</f>
        <v>1.7554821950429027</v>
      </c>
      <c r="AK59" s="12">
        <f t="shared" ca="1" si="1"/>
        <v>1.7554821950429027</v>
      </c>
      <c r="AL59" s="12"/>
      <c r="AM59" s="12"/>
      <c r="AP59" s="12">
        <f>IF((1 - CUSTOS!$M$31)&lt;&gt;0,1/(1 - CUSTOS!$M$31),1)</f>
        <v>1</v>
      </c>
    </row>
    <row r="60" spans="1:42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1*(1 - CUSTOS!$M$32)</f>
        <v>0.55000000000000004</v>
      </c>
      <c r="M6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CUSTOS!$M$32)</f>
        <v>0.31995376522921043</v>
      </c>
      <c r="N60" s="12">
        <f ca="1">(+M60+O60+R60+U60+V60+W60+X60+Y60+Z60+AA60+AC60+AH60+AI60+AJ60+AK60)*CUSTOS!$M$5</f>
        <v>1.2017785917977641</v>
      </c>
      <c r="O60" s="12">
        <f>1 - CUSTOS!$M$32</f>
        <v>0.55000000000000004</v>
      </c>
      <c r="P60" s="12">
        <f>1 - CUSTOS!$M$32</f>
        <v>0.55000000000000004</v>
      </c>
      <c r="Q60" s="12">
        <f>1*(1 - CUSTOS!$M$32)</f>
        <v>0.55000000000000004</v>
      </c>
      <c r="R60" s="12">
        <f>1 - CUSTOS!$M$32</f>
        <v>0.55000000000000004</v>
      </c>
      <c r="S60" s="12">
        <f>1 - CUSTOS!$M$32</f>
        <v>0.55000000000000004</v>
      </c>
      <c r="T60" s="12"/>
      <c r="U60" s="12">
        <f>TRANSICAO!$U$60*CUSTOS!$T$3</f>
        <v>0</v>
      </c>
      <c r="V60" s="12">
        <f>TRANSICAO!$V$60*CUSTOS!$T$3</f>
        <v>0</v>
      </c>
      <c r="W60" s="12">
        <f>TRANSICAO!$W$60*CUSTOS!$T$3</f>
        <v>0</v>
      </c>
      <c r="X60" s="12">
        <f>TRANSICAO!$X$60*CUSTOS!$T$3</f>
        <v>0</v>
      </c>
      <c r="Y60" s="12">
        <f>TRANSICAO!$Y$60*CUSTOS!$T$3</f>
        <v>35.051115000000003</v>
      </c>
      <c r="Z60" s="12">
        <f>TRANSICAO!$Z$60*CUSTOS!$T$3</f>
        <v>0</v>
      </c>
      <c r="AA60" s="12">
        <f>TRANSICAO!$AA$60*CUSTOS!$T$3</f>
        <v>0</v>
      </c>
      <c r="AB60" s="12">
        <f>TRANSICAO!$AB$60*CUSTOS!$T$3</f>
        <v>0</v>
      </c>
      <c r="AC60" s="12">
        <f>TRANSICAO!$AC$60*CUSTOS!$T$3</f>
        <v>63.144070000000006</v>
      </c>
      <c r="AD60" s="12">
        <f>TRANSICAO!$AD$60*CUSTOS!$T$3</f>
        <v>0</v>
      </c>
      <c r="AE60" s="12">
        <v>0</v>
      </c>
      <c r="AF60" s="12">
        <v>0</v>
      </c>
      <c r="AG60" s="12"/>
      <c r="AH60" s="12">
        <f>(1 - CUSTOS!$M$32)*16.9379</f>
        <v>9.3158449999999995</v>
      </c>
      <c r="AI60" s="12">
        <f>(1 - CUSTOS!$M$32)*16.9379</f>
        <v>9.3158449999999995</v>
      </c>
      <c r="AJ60" s="12">
        <f ca="1">$N$75*(1-CUSTOS!$M$32)</f>
        <v>0.96551520727359652</v>
      </c>
      <c r="AK60" s="12">
        <f t="shared" ca="1" si="1"/>
        <v>0.96551520727359652</v>
      </c>
      <c r="AL60" s="12"/>
      <c r="AM60" s="12"/>
      <c r="AP60" s="12">
        <f>IF((1 - CUSTOS!$M$32)&lt;&gt;0,1/(1 - CUSTOS!$M$32),1)</f>
        <v>1.8181818181818181</v>
      </c>
    </row>
    <row r="61" spans="1:42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1*(1 - CUSTOS!$M$33)</f>
        <v>0.6</v>
      </c>
      <c r="M6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CUSTOS!$M$33)</f>
        <v>0.34904047115913861</v>
      </c>
      <c r="N61" s="12">
        <f ca="1">(+M61+O61+R61+U61+V61+W61+X61+Y61+Z61+AA61+AC61+AH61+AI61+AJ61+AK61)*CUSTOS!$M$5</f>
        <v>1.311031191052106</v>
      </c>
      <c r="O61" s="12">
        <f>1 - CUSTOS!$M$33</f>
        <v>0.6</v>
      </c>
      <c r="P61" s="12">
        <f>1 - CUSTOS!$M$33</f>
        <v>0.6</v>
      </c>
      <c r="Q61" s="12">
        <f>1*(1 - CUSTOS!$M$33)</f>
        <v>0.6</v>
      </c>
      <c r="R61" s="12">
        <f>1 - CUSTOS!$M$33</f>
        <v>0.6</v>
      </c>
      <c r="S61" s="12">
        <f>1 - CUSTOS!$M$33</f>
        <v>0.6</v>
      </c>
      <c r="T61" s="12"/>
      <c r="U61" s="12">
        <f>TRANSICAO!$U$61*CUSTOS!$T$3</f>
        <v>0</v>
      </c>
      <c r="V61" s="12">
        <f>TRANSICAO!$V$61*CUSTOS!$T$3</f>
        <v>0</v>
      </c>
      <c r="W61" s="12">
        <f>TRANSICAO!$W$61*CUSTOS!$T$3</f>
        <v>0</v>
      </c>
      <c r="X61" s="12">
        <f>TRANSICAO!$X$61*CUSTOS!$T$3</f>
        <v>0</v>
      </c>
      <c r="Y61" s="12">
        <f>TRANSICAO!$Y$61*CUSTOS!$T$3</f>
        <v>38.237580000000001</v>
      </c>
      <c r="Z61" s="12">
        <f>TRANSICAO!$Z$61*CUSTOS!$T$3</f>
        <v>0</v>
      </c>
      <c r="AA61" s="12">
        <f>TRANSICAO!$AA$61*CUSTOS!$T$3</f>
        <v>0</v>
      </c>
      <c r="AB61" s="12">
        <f>TRANSICAO!$AB$61*CUSTOS!$T$3</f>
        <v>0</v>
      </c>
      <c r="AC61" s="12">
        <f>TRANSICAO!$AC$61*CUSTOS!$T$3</f>
        <v>68.884439999999998</v>
      </c>
      <c r="AD61" s="12">
        <f>TRANSICAO!$AD$61*CUSTOS!$T$3</f>
        <v>0</v>
      </c>
      <c r="AE61" s="12">
        <v>0</v>
      </c>
      <c r="AF61" s="12">
        <v>0</v>
      </c>
      <c r="AG61" s="12"/>
      <c r="AH61" s="12">
        <f>(1 - CUSTOS!$M$33)*16.9379</f>
        <v>10.162739999999999</v>
      </c>
      <c r="AI61" s="12">
        <f>(1 - CUSTOS!$M$33)*16.9379</f>
        <v>10.162739999999999</v>
      </c>
      <c r="AJ61" s="12">
        <f ca="1">$N$75*(1-CUSTOS!$M$33)</f>
        <v>1.0532893170257416</v>
      </c>
      <c r="AK61" s="12">
        <f t="shared" ca="1" si="1"/>
        <v>1.0532893170257416</v>
      </c>
      <c r="AL61" s="12"/>
      <c r="AM61" s="12"/>
      <c r="AP61" s="12">
        <f>IF((1 - CUSTOS!$M$33)&lt;&gt;0,1/(1 - CUSTOS!$M$33),1)</f>
        <v>1.6666666666666667</v>
      </c>
    </row>
    <row r="63" spans="1:42" ht="11.25" customHeight="1" x14ac:dyDescent="0.25">
      <c r="K63" s="16" t="s">
        <v>685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spans="1:42" ht="11.25" customHeight="1" x14ac:dyDescent="0.25">
      <c r="K64" s="16" t="s">
        <v>686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 spans="11:39" ht="11.25" customHeight="1" x14ac:dyDescent="0.25">
      <c r="K65" s="16" t="s">
        <v>687</v>
      </c>
      <c r="L65" s="12">
        <f>IF(ISERROR(+SUMPRODUCT($L$5:$L$8,$I$5:$I$8)+SUMPRODUCT($L$9:$L$9,$I$9:$I$9)+SUMPRODUCT($L$10:$L$14,$I$10:$I$14)+SUMPRODUCT($L$15:$L$18,$I$15:$I$18)+SUMPRODUCT($L$19:$L$19,$I$19:$I$19)+SUMPRODUCT($L$20:$L$24,$I$20:$I$24)+SUMPRODUCT($L$25:$L$26,$I$25:$I$26)+SUMPRODUCT($L$27:$L$29,$I$27:$I$29)+SUMPRODUCT($L$30:$L$34,$I$30:$I$34)+SUMPRODUCT($L$35:$L$39,$I$35:$I$39)+SUMPRODUCT($L$40:$L$42,$I$40:$I$42)+SUMPRODUCT($L$43:$L$43,$I$43:$I$43)+SUMPRODUCT($L$44:$L$46,$I$44:$I$46)+SUMPRODUCT($L$47:$L$47,$I$47:$I$47)+SUMPRODUCT($L$48:$L$50,$I$48:$I$50)+SUMPRODUCT($L$51:$L$51,$I$51:$I$51)+SUMPRODUCT($L$52:$L$54,$I$52:$I$54)+SUMPRODUCT($L$55:$L$57,$I$55:$I$57)+SUMPRODUCT($L$58:$L$58,$I$58:$I$58)+SUMPRODUCT($L$59:$L$59,$I$59:$I$59)+SUMPRODUCT($L$60:$L$61,$I$60:$I$61)),0,+SUMPRODUCT($L$5:$L$8,$I$5:$I$8)+SUMPRODUCT($L$9:$L$9,$I$9:$I$9)+SUMPRODUCT($L$10:$L$14,$I$10:$I$14)+SUMPRODUCT($L$15:$L$18,$I$15:$I$18)+SUMPRODUCT($L$19:$L$19,$I$19:$I$19)+SUMPRODUCT($L$20:$L$24,$I$20:$I$24)+SUMPRODUCT($L$25:$L$26,$I$25:$I$26)+SUMPRODUCT($L$27:$L$29,$I$27:$I$29)+SUMPRODUCT($L$30:$L$34,$I$30:$I$34)+SUMPRODUCT($L$35:$L$39,$I$35:$I$39)+SUMPRODUCT($L$40:$L$42,$I$40:$I$42)+SUMPRODUCT($L$43:$L$43,$I$43:$I$43)+SUMPRODUCT($L$44:$L$46,$I$44:$I$46)+SUMPRODUCT($L$47:$L$47,$I$47:$I$47)+SUMPRODUCT($L$48:$L$50,$I$48:$I$50)+SUMPRODUCT($L$51:$L$51,$I$51:$I$51)+SUMPRODUCT($L$52:$L$54,$I$52:$I$54)+SUMPRODUCT($L$55:$L$57,$I$55:$I$57)+SUMPRODUCT($L$58:$L$58,$I$58:$I$58)+SUMPRODUCT($L$59:$L$59,$I$59:$I$59)+SUMPRODUCT($L$60:$L$61,$I$60:$I$61))</f>
        <v>302881.87070000003</v>
      </c>
      <c r="M65" s="12">
        <f>IF(ISERROR(+SUMPRODUCT($M$5:$M$8,$I$5:$I$8)+SUMPRODUCT($M$9:$M$9,$I$9:$I$9)+SUMPRODUCT($M$10:$M$14,$I$10:$I$14)+SUMPRODUCT($M$15:$M$18,$I$15:$I$18)+SUMPRODUCT($M$19:$M$19,$I$19:$I$19)+SUMPRODUCT($M$20:$M$24,$I$20:$I$24)+SUMPRODUCT($M$25:$M$26,$I$25:$I$26)+SUMPRODUCT($M$27:$M$29,$I$27:$I$29)+SUMPRODUCT($M$30:$M$34,$I$30:$I$34)+SUMPRODUCT($M$35:$M$39,$I$35:$I$39)+SUMPRODUCT($M$40:$M$42,$I$40:$I$42)+SUMPRODUCT($M$43:$M$43,$I$43:$I$43)+SUMPRODUCT($M$44:$M$46,$I$44:$I$46)+SUMPRODUCT($M$47:$M$47,$I$47:$I$47)+SUMPRODUCT($M$48:$M$50,$I$48:$I$50)+SUMPRODUCT($M$51:$M$51,$I$51:$I$51)+SUMPRODUCT($M$52:$M$54,$I$52:$I$54)+SUMPRODUCT($M$55:$M$57,$I$55:$I$57)+SUMPRODUCT($M$58:$M$58,$I$58:$I$58)+SUMPRODUCT($M$59:$M$59,$I$59:$I$59)+SUMPRODUCT($M$60:$M$61,$I$60:$I$61)),0,+SUMPRODUCT($M$5:$M$8,$I$5:$I$8)+SUMPRODUCT($M$9:$M$9,$I$9:$I$9)+SUMPRODUCT($M$10:$M$14,$I$10:$I$14)+SUMPRODUCT($M$15:$M$18,$I$15:$I$18)+SUMPRODUCT($M$19:$M$19,$I$19:$I$19)+SUMPRODUCT($M$20:$M$24,$I$20:$I$24)+SUMPRODUCT($M$25:$M$26,$I$25:$I$26)+SUMPRODUCT($M$27:$M$29,$I$27:$I$29)+SUMPRODUCT($M$30:$M$34,$I$30:$I$34)+SUMPRODUCT($M$35:$M$39,$I$35:$I$39)+SUMPRODUCT($M$40:$M$42,$I$40:$I$42)+SUMPRODUCT($M$43:$M$43,$I$43:$I$43)+SUMPRODUCT($M$44:$M$46,$I$44:$I$46)+SUMPRODUCT($M$47:$M$47,$I$47:$I$47)+SUMPRODUCT($M$48:$M$50,$I$48:$I$50)+SUMPRODUCT($M$51:$M$51,$I$51:$I$51)+SUMPRODUCT($M$52:$M$54,$I$52:$I$54)+SUMPRODUCT($M$55:$M$57,$I$55:$I$57)+SUMPRODUCT($M$58:$M$58,$I$58:$I$58)+SUMPRODUCT($M$59:$M$59,$I$59:$I$59)+SUMPRODUCT($M$60:$M$61,$I$60:$I$61))</f>
        <v>120925.32642491534</v>
      </c>
      <c r="N65" s="12">
        <f ca="1">IF(ISERROR(+SUMPRODUCT($N$5:$N$8,$I$5:$I$8)+SUMPRODUCT($N$9:$N$9,$I$9:$I$9)+SUMPRODUCT($N$10:$N$14,$I$10:$I$14)+SUMPRODUCT($N$15:$N$18,$I$15:$I$18)+SUMPRODUCT($N$19:$N$19,$I$19:$I$19)+SUMPRODUCT($N$20:$N$24,$I$20:$I$24)+SUMPRODUCT($N$25:$N$26,$I$25:$I$26)+SUMPRODUCT($N$27:$N$29,$I$27:$I$29)+SUMPRODUCT($N$30:$N$34,$I$30:$I$34)+SUMPRODUCT($N$35:$N$39,$I$35:$I$39)+SUMPRODUCT($N$40:$N$42,$I$40:$I$42)+SUMPRODUCT($N$43:$N$43,$I$43:$I$43)+SUMPRODUCT($N$44:$N$46,$I$44:$I$46)+SUMPRODUCT($N$47:$N$47,$I$47:$I$47)+SUMPRODUCT($N$48:$N$50,$I$48:$I$50)+SUMPRODUCT($N$51:$N$51,$I$51:$I$51)+SUMPRODUCT($N$52:$N$54,$I$52:$I$54)+SUMPRODUCT($N$55:$N$57,$I$55:$I$57)+SUMPRODUCT($N$58:$N$58,$I$58:$I$58)+SUMPRODUCT($N$59:$N$59,$I$59:$I$59)+SUMPRODUCT($N$60:$N$61,$I$60:$I$61)),0,+SUMPRODUCT($N$5:$N$8,$I$5:$I$8)+SUMPRODUCT($N$9:$N$9,$I$9:$I$9)+SUMPRODUCT($N$10:$N$14,$I$10:$I$14)+SUMPRODUCT($N$15:$N$18,$I$15:$I$18)+SUMPRODUCT($N$19:$N$19,$I$19:$I$19)+SUMPRODUCT($N$20:$N$24,$I$20:$I$24)+SUMPRODUCT($N$25:$N$26,$I$25:$I$26)+SUMPRODUCT($N$27:$N$29,$I$27:$I$29)+SUMPRODUCT($N$30:$N$34,$I$30:$I$34)+SUMPRODUCT($N$35:$N$39,$I$35:$I$39)+SUMPRODUCT($N$40:$N$42,$I$40:$I$42)+SUMPRODUCT($N$43:$N$43,$I$43:$I$43)+SUMPRODUCT($N$44:$N$46,$I$44:$I$46)+SUMPRODUCT($N$47:$N$47,$I$47:$I$47)+SUMPRODUCT($N$48:$N$50,$I$48:$I$50)+SUMPRODUCT($N$51:$N$51,$I$51:$I$51)+SUMPRODUCT($N$52:$N$54,$I$52:$I$54)+SUMPRODUCT($N$55:$N$57,$I$55:$I$57)+SUMPRODUCT($N$58:$N$58,$I$58:$I$58)+SUMPRODUCT($N$59:$N$59,$I$59:$I$59)+SUMPRODUCT($N$60:$N$61,$I$60:$I$61))</f>
        <v>389117.92960854061</v>
      </c>
      <c r="O65" s="12">
        <f>IF(ISERROR(+SUMPRODUCT($O$5:$O$8,$I$5:$I$8)+SUMPRODUCT($O$9:$O$9,$I$9:$I$9)+SUMPRODUCT($O$10:$O$14,$I$10:$I$14)+SUMPRODUCT($O$15:$O$18,$I$15:$I$18)+SUMPRODUCT($O$19:$O$19,$I$19:$I$19)+SUMPRODUCT($O$20:$O$24,$I$20:$I$24)+SUMPRODUCT($O$25:$O$26,$I$25:$I$26)+SUMPRODUCT($O$27:$O$29,$I$27:$I$29)+SUMPRODUCT($O$30:$O$34,$I$30:$I$34)+SUMPRODUCT($O$35:$O$39,$I$35:$I$39)+SUMPRODUCT($O$40:$O$42,$I$40:$I$42)+SUMPRODUCT($O$43:$O$43,$I$43:$I$43)+SUMPRODUCT($O$44:$O$46,$I$44:$I$46)+SUMPRODUCT($O$47:$O$47,$I$47:$I$47)+SUMPRODUCT($O$48:$O$50,$I$48:$I$50)+SUMPRODUCT($O$51:$O$51,$I$51:$I$51)+SUMPRODUCT($O$52:$O$54,$I$52:$I$54)+SUMPRODUCT($O$55:$O$57,$I$55:$I$57)+SUMPRODUCT($O$58:$O$58,$I$58:$I$58)+SUMPRODUCT($O$59:$O$59,$I$59:$I$59)+SUMPRODUCT($O$60:$O$61,$I$60:$I$61)),0,+SUMPRODUCT($O$5:$O$8,$I$5:$I$8)+SUMPRODUCT($O$9:$O$9,$I$9:$I$9)+SUMPRODUCT($O$10:$O$14,$I$10:$I$14)+SUMPRODUCT($O$15:$O$18,$I$15:$I$18)+SUMPRODUCT($O$19:$O$19,$I$19:$I$19)+SUMPRODUCT($O$20:$O$24,$I$20:$I$24)+SUMPRODUCT($O$25:$O$26,$I$25:$I$26)+SUMPRODUCT($O$27:$O$29,$I$27:$I$29)+SUMPRODUCT($O$30:$O$34,$I$30:$I$34)+SUMPRODUCT($O$35:$O$39,$I$35:$I$39)+SUMPRODUCT($O$40:$O$42,$I$40:$I$42)+SUMPRODUCT($O$43:$O$43,$I$43:$I$43)+SUMPRODUCT($O$44:$O$46,$I$44:$I$46)+SUMPRODUCT($O$47:$O$47,$I$47:$I$47)+SUMPRODUCT($O$48:$O$50,$I$48:$I$50)+SUMPRODUCT($O$51:$O$51,$I$51:$I$51)+SUMPRODUCT($O$52:$O$54,$I$52:$I$54)+SUMPRODUCT($O$55:$O$57,$I$55:$I$57)+SUMPRODUCT($O$58:$O$58,$I$58:$I$58)+SUMPRODUCT($O$59:$O$59,$I$59:$I$59)+SUMPRODUCT($O$60:$O$61,$I$60:$I$61))</f>
        <v>344019.77830000006</v>
      </c>
      <c r="P65" s="12">
        <f>IF(ISERROR(+SUMPRODUCT($P$5:$P$8,$I$5:$I$8)+SUMPRODUCT($P$9:$P$9,$I$9:$I$9)+SUMPRODUCT($P$10:$P$14,$I$10:$I$14)+SUMPRODUCT($P$15:$P$18,$I$15:$I$18)+SUMPRODUCT($P$19:$P$19,$I$19:$I$19)+SUMPRODUCT($P$20:$P$24,$I$20:$I$24)+SUMPRODUCT($P$25:$P$26,$I$25:$I$26)+SUMPRODUCT($P$27:$P$29,$I$27:$I$29)+SUMPRODUCT($P$30:$P$34,$I$30:$I$34)+SUMPRODUCT($P$35:$P$39,$I$35:$I$39)+SUMPRODUCT($P$40:$P$42,$I$40:$I$42)+SUMPRODUCT($P$43:$P$43,$I$43:$I$43)+SUMPRODUCT($P$44:$P$46,$I$44:$I$46)+SUMPRODUCT($P$47:$P$47,$I$47:$I$47)+SUMPRODUCT($P$48:$P$50,$I$48:$I$50)+SUMPRODUCT($P$51:$P$51,$I$51:$I$51)+SUMPRODUCT($P$52:$P$54,$I$52:$I$54)+SUMPRODUCT($P$55:$P$57,$I$55:$I$57)+SUMPRODUCT($P$58:$P$58,$I$58:$I$58)+SUMPRODUCT($P$59:$P$59,$I$59:$I$59)+SUMPRODUCT($P$60:$P$61,$I$60:$I$61)),0,+SUMPRODUCT($P$5:$P$8,$I$5:$I$8)+SUMPRODUCT($P$9:$P$9,$I$9:$I$9)+SUMPRODUCT($P$10:$P$14,$I$10:$I$14)+SUMPRODUCT($P$15:$P$18,$I$15:$I$18)+SUMPRODUCT($P$19:$P$19,$I$19:$I$19)+SUMPRODUCT($P$20:$P$24,$I$20:$I$24)+SUMPRODUCT($P$25:$P$26,$I$25:$I$26)+SUMPRODUCT($P$27:$P$29,$I$27:$I$29)+SUMPRODUCT($P$30:$P$34,$I$30:$I$34)+SUMPRODUCT($P$35:$P$39,$I$35:$I$39)+SUMPRODUCT($P$40:$P$42,$I$40:$I$42)+SUMPRODUCT($P$43:$P$43,$I$43:$I$43)+SUMPRODUCT($P$44:$P$46,$I$44:$I$46)+SUMPRODUCT($P$47:$P$47,$I$47:$I$47)+SUMPRODUCT($P$48:$P$50,$I$48:$I$50)+SUMPRODUCT($P$51:$P$51,$I$51:$I$51)+SUMPRODUCT($P$52:$P$54,$I$52:$I$54)+SUMPRODUCT($P$55:$P$57,$I$55:$I$57)+SUMPRODUCT($P$58:$P$58,$I$58:$I$58)+SUMPRODUCT($P$59:$P$59,$I$59:$I$59)+SUMPRODUCT($P$60:$P$61,$I$60:$I$61))</f>
        <v>336480.68030000007</v>
      </c>
      <c r="Q65" s="12">
        <f>IF(ISERROR(+SUMPRODUCT($Q$5:$Q$8,$I$5:$I$8)+SUMPRODUCT($Q$9:$Q$9,$I$9:$I$9)+SUMPRODUCT($Q$10:$Q$14,$I$10:$I$14)+SUMPRODUCT($Q$15:$Q$18,$I$15:$I$18)+SUMPRODUCT($Q$19:$Q$19,$I$19:$I$19)+SUMPRODUCT($Q$20:$Q$24,$I$20:$I$24)+SUMPRODUCT($Q$25:$Q$26,$I$25:$I$26)+SUMPRODUCT($Q$27:$Q$29,$I$27:$I$29)+SUMPRODUCT($Q$30:$Q$34,$I$30:$I$34)+SUMPRODUCT($Q$35:$Q$39,$I$35:$I$39)+SUMPRODUCT($Q$40:$Q$42,$I$40:$I$42)+SUMPRODUCT($Q$43:$Q$43,$I$43:$I$43)+SUMPRODUCT($Q$44:$Q$46,$I$44:$I$46)+SUMPRODUCT($Q$47:$Q$47,$I$47:$I$47)+SUMPRODUCT($Q$48:$Q$50,$I$48:$I$50)+SUMPRODUCT($Q$51:$Q$51,$I$51:$I$51)+SUMPRODUCT($Q$52:$Q$54,$I$52:$I$54)+SUMPRODUCT($Q$55:$Q$57,$I$55:$I$57)+SUMPRODUCT($Q$58:$Q$58,$I$58:$I$58)+SUMPRODUCT($Q$59:$Q$59,$I$59:$I$59)+SUMPRODUCT($Q$60:$Q$61,$I$60:$I$61)),0,+SUMPRODUCT($Q$5:$Q$8,$I$5:$I$8)+SUMPRODUCT($Q$9:$Q$9,$I$9:$I$9)+SUMPRODUCT($Q$10:$Q$14,$I$10:$I$14)+SUMPRODUCT($Q$15:$Q$18,$I$15:$I$18)+SUMPRODUCT($Q$19:$Q$19,$I$19:$I$19)+SUMPRODUCT($Q$20:$Q$24,$I$20:$I$24)+SUMPRODUCT($Q$25:$Q$26,$I$25:$I$26)+SUMPRODUCT($Q$27:$Q$29,$I$27:$I$29)+SUMPRODUCT($Q$30:$Q$34,$I$30:$I$34)+SUMPRODUCT($Q$35:$Q$39,$I$35:$I$39)+SUMPRODUCT($Q$40:$Q$42,$I$40:$I$42)+SUMPRODUCT($Q$43:$Q$43,$I$43:$I$43)+SUMPRODUCT($Q$44:$Q$46,$I$44:$I$46)+SUMPRODUCT($Q$47:$Q$47,$I$47:$I$47)+SUMPRODUCT($Q$48:$Q$50,$I$48:$I$50)+SUMPRODUCT($Q$51:$Q$51,$I$51:$I$51)+SUMPRODUCT($Q$52:$Q$54,$I$52:$I$54)+SUMPRODUCT($Q$55:$Q$57,$I$55:$I$57)+SUMPRODUCT($Q$58:$Q$58,$I$58:$I$58)+SUMPRODUCT($Q$59:$Q$59,$I$59:$I$59)+SUMPRODUCT($Q$60:$Q$61,$I$60:$I$61))</f>
        <v>302881.87070000003</v>
      </c>
      <c r="R65" s="12">
        <f>IF(ISERROR(+SUMPRODUCT($R$5:$R$8,$I$5:$I$8)+SUMPRODUCT($R$9:$R$9,$I$9:$I$9)+SUMPRODUCT($R$10:$R$14,$I$10:$I$14)+SUMPRODUCT($R$15:$R$18,$I$15:$I$18)+SUMPRODUCT($R$19:$R$19,$I$19:$I$19)+SUMPRODUCT($R$20:$R$24,$I$20:$I$24)+SUMPRODUCT($R$25:$R$26,$I$25:$I$26)+SUMPRODUCT($R$27:$R$29,$I$27:$I$29)+SUMPRODUCT($R$30:$R$34,$I$30:$I$34)+SUMPRODUCT($R$35:$R$39,$I$35:$I$39)+SUMPRODUCT($R$40:$R$42,$I$40:$I$42)+SUMPRODUCT($R$43:$R$43,$I$43:$I$43)+SUMPRODUCT($R$44:$R$46,$I$44:$I$46)+SUMPRODUCT($R$47:$R$47,$I$47:$I$47)+SUMPRODUCT($R$48:$R$50,$I$48:$I$50)+SUMPRODUCT($R$51:$R$51,$I$51:$I$51)+SUMPRODUCT($R$52:$R$54,$I$52:$I$54)+SUMPRODUCT($R$55:$R$57,$I$55:$I$57)+SUMPRODUCT($R$58:$R$58,$I$58:$I$58)+SUMPRODUCT($R$59:$R$59,$I$59:$I$59)+SUMPRODUCT($R$60:$R$61,$I$60:$I$61)),0,+SUMPRODUCT($R$5:$R$8,$I$5:$I$8)+SUMPRODUCT($R$9:$R$9,$I$9:$I$9)+SUMPRODUCT($R$10:$R$14,$I$10:$I$14)+SUMPRODUCT($R$15:$R$18,$I$15:$I$18)+SUMPRODUCT($R$19:$R$19,$I$19:$I$19)+SUMPRODUCT($R$20:$R$24,$I$20:$I$24)+SUMPRODUCT($R$25:$R$26,$I$25:$I$26)+SUMPRODUCT($R$27:$R$29,$I$27:$I$29)+SUMPRODUCT($R$30:$R$34,$I$30:$I$34)+SUMPRODUCT($R$35:$R$39,$I$35:$I$39)+SUMPRODUCT($R$40:$R$42,$I$40:$I$42)+SUMPRODUCT($R$43:$R$43,$I$43:$I$43)+SUMPRODUCT($R$44:$R$46,$I$44:$I$46)+SUMPRODUCT($R$47:$R$47,$I$47:$I$47)+SUMPRODUCT($R$48:$R$50,$I$48:$I$50)+SUMPRODUCT($R$51:$R$51,$I$51:$I$51)+SUMPRODUCT($R$52:$R$54,$I$52:$I$54)+SUMPRODUCT($R$55:$R$57,$I$55:$I$57)+SUMPRODUCT($R$58:$R$58,$I$58:$I$58)+SUMPRODUCT($R$59:$R$59,$I$59:$I$59)+SUMPRODUCT($R$60:$R$61,$I$60:$I$61))</f>
        <v>336480.68030000007</v>
      </c>
      <c r="S65" s="12">
        <f>IF(ISERROR(+SUMPRODUCT($S$5:$S$8,$I$5:$I$8)+SUMPRODUCT($S$9:$S$9,$I$9:$I$9)+SUMPRODUCT($S$10:$S$14,$I$10:$I$14)+SUMPRODUCT($S$15:$S$18,$I$15:$I$18)+SUMPRODUCT($S$19:$S$19,$I$19:$I$19)+SUMPRODUCT($S$20:$S$24,$I$20:$I$24)+SUMPRODUCT($S$25:$S$26,$I$25:$I$26)+SUMPRODUCT($S$27:$S$29,$I$27:$I$29)+SUMPRODUCT($S$30:$S$34,$I$30:$I$34)+SUMPRODUCT($S$35:$S$39,$I$35:$I$39)+SUMPRODUCT($S$40:$S$42,$I$40:$I$42)+SUMPRODUCT($S$43:$S$43,$I$43:$I$43)+SUMPRODUCT($S$44:$S$46,$I$44:$I$46)+SUMPRODUCT($S$47:$S$47,$I$47:$I$47)+SUMPRODUCT($S$48:$S$50,$I$48:$I$50)+SUMPRODUCT($S$51:$S$51,$I$51:$I$51)+SUMPRODUCT($S$52:$S$54,$I$52:$I$54)+SUMPRODUCT($S$55:$S$57,$I$55:$I$57)+SUMPRODUCT($S$58:$S$58,$I$58:$I$58)+SUMPRODUCT($S$59:$S$59,$I$59:$I$59)+SUMPRODUCT($S$60:$S$61,$I$60:$I$61)),0,+SUMPRODUCT($S$5:$S$8,$I$5:$I$8)+SUMPRODUCT($S$9:$S$9,$I$9:$I$9)+SUMPRODUCT($S$10:$S$14,$I$10:$I$14)+SUMPRODUCT($S$15:$S$18,$I$15:$I$18)+SUMPRODUCT($S$19:$S$19,$I$19:$I$19)+SUMPRODUCT($S$20:$S$24,$I$20:$I$24)+SUMPRODUCT($S$25:$S$26,$I$25:$I$26)+SUMPRODUCT($S$27:$S$29,$I$27:$I$29)+SUMPRODUCT($S$30:$S$34,$I$30:$I$34)+SUMPRODUCT($S$35:$S$39,$I$35:$I$39)+SUMPRODUCT($S$40:$S$42,$I$40:$I$42)+SUMPRODUCT($S$43:$S$43,$I$43:$I$43)+SUMPRODUCT($S$44:$S$46,$I$44:$I$46)+SUMPRODUCT($S$47:$S$47,$I$47:$I$47)+SUMPRODUCT($S$48:$S$50,$I$48:$I$50)+SUMPRODUCT($S$51:$S$51,$I$51:$I$51)+SUMPRODUCT($S$52:$S$54,$I$52:$I$54)+SUMPRODUCT($S$55:$S$57,$I$55:$I$57)+SUMPRODUCT($S$58:$S$58,$I$58:$I$58)+SUMPRODUCT($S$59:$S$59,$I$59:$I$59)+SUMPRODUCT($S$60:$S$61,$I$60:$I$61))</f>
        <v>344019.77830000006</v>
      </c>
      <c r="T65" s="12"/>
      <c r="U65" s="12">
        <f>IF(ISERROR(+SUMPRODUCT($U$5:$U$8,$I$5:$I$8)+SUMPRODUCT($U$9:$U$9,$I$9:$I$9)+SUMPRODUCT($U$10:$U$14,$I$10:$I$14)+SUMPRODUCT($U$15:$U$18,$I$15:$I$18)+SUMPRODUCT($U$19:$U$19,$I$19:$I$19)+SUMPRODUCT($U$20:$U$24,$I$20:$I$24)+SUMPRODUCT($U$25:$U$26,$I$25:$I$26)+SUMPRODUCT($U$27:$U$29,$I$27:$I$29)+SUMPRODUCT($U$30:$U$34,$I$30:$I$34)+SUMPRODUCT($U$35:$U$39,$I$35:$I$39)+SUMPRODUCT($U$40:$U$42,$I$40:$I$42)+SUMPRODUCT($U$43:$U$43,$I$43:$I$43)+SUMPRODUCT($U$44:$U$46,$I$44:$I$46)+SUMPRODUCT($U$47:$U$47,$I$47:$I$47)+SUMPRODUCT($U$48:$U$50,$I$48:$I$50)+SUMPRODUCT($U$51:$U$51,$I$51:$I$51)+SUMPRODUCT($U$52:$U$54,$I$52:$I$54)+SUMPRODUCT($U$55:$U$57,$I$55:$I$57)+SUMPRODUCT($U$58:$U$58,$I$58:$I$58)+SUMPRODUCT($U$59:$U$59,$I$59:$I$59)+SUMPRODUCT($U$60:$U$61,$I$60:$I$61)),0,+SUMPRODUCT($U$5:$U$8,$I$5:$I$8)+SUMPRODUCT($U$9:$U$9,$I$9:$I$9)+SUMPRODUCT($U$10:$U$14,$I$10:$I$14)+SUMPRODUCT($U$15:$U$18,$I$15:$I$18)+SUMPRODUCT($U$19:$U$19,$I$19:$I$19)+SUMPRODUCT($U$20:$U$24,$I$20:$I$24)+SUMPRODUCT($U$25:$U$26,$I$25:$I$26)+SUMPRODUCT($U$27:$U$29,$I$27:$I$29)+SUMPRODUCT($U$30:$U$34,$I$30:$I$34)+SUMPRODUCT($U$35:$U$39,$I$35:$I$39)+SUMPRODUCT($U$40:$U$42,$I$40:$I$42)+SUMPRODUCT($U$43:$U$43,$I$43:$I$43)+SUMPRODUCT($U$44:$U$46,$I$44:$I$46)+SUMPRODUCT($U$47:$U$47,$I$47:$I$47)+SUMPRODUCT($U$48:$U$50,$I$48:$I$50)+SUMPRODUCT($U$51:$U$51,$I$51:$I$51)+SUMPRODUCT($U$52:$U$54,$I$52:$I$54)+SUMPRODUCT($U$55:$U$57,$I$55:$I$57)+SUMPRODUCT($U$58:$U$58,$I$58:$I$58)+SUMPRODUCT($U$59:$U$59,$I$59:$I$59)+SUMPRODUCT($U$60:$U$61,$I$60:$I$61))</f>
        <v>0</v>
      </c>
      <c r="V65" s="12">
        <f>IF(ISERROR(+SUMPRODUCT($V$5:$V$8,$I$5:$I$8)+SUMPRODUCT($V$9:$V$9,$I$9:$I$9)+SUMPRODUCT($V$10:$V$14,$I$10:$I$14)+SUMPRODUCT($V$15:$V$18,$I$15:$I$18)+SUMPRODUCT($V$19:$V$19,$I$19:$I$19)+SUMPRODUCT($V$20:$V$24,$I$20:$I$24)+SUMPRODUCT($V$25:$V$26,$I$25:$I$26)+SUMPRODUCT($V$27:$V$29,$I$27:$I$29)+SUMPRODUCT($V$30:$V$34,$I$30:$I$34)+SUMPRODUCT($V$35:$V$39,$I$35:$I$39)+SUMPRODUCT($V$40:$V$42,$I$40:$I$42)+SUMPRODUCT($V$43:$V$43,$I$43:$I$43)+SUMPRODUCT($V$44:$V$46,$I$44:$I$46)+SUMPRODUCT($V$47:$V$47,$I$47:$I$47)+SUMPRODUCT($V$48:$V$50,$I$48:$I$50)+SUMPRODUCT($V$51:$V$51,$I$51:$I$51)+SUMPRODUCT($V$52:$V$54,$I$52:$I$54)+SUMPRODUCT($V$55:$V$57,$I$55:$I$57)+SUMPRODUCT($V$58:$V$58,$I$58:$I$58)+SUMPRODUCT($V$59:$V$59,$I$59:$I$59)+SUMPRODUCT($V$60:$V$61,$I$60:$I$61)),0,+SUMPRODUCT($V$5:$V$8,$I$5:$I$8)+SUMPRODUCT($V$9:$V$9,$I$9:$I$9)+SUMPRODUCT($V$10:$V$14,$I$10:$I$14)+SUMPRODUCT($V$15:$V$18,$I$15:$I$18)+SUMPRODUCT($V$19:$V$19,$I$19:$I$19)+SUMPRODUCT($V$20:$V$24,$I$20:$I$24)+SUMPRODUCT($V$25:$V$26,$I$25:$I$26)+SUMPRODUCT($V$27:$V$29,$I$27:$I$29)+SUMPRODUCT($V$30:$V$34,$I$30:$I$34)+SUMPRODUCT($V$35:$V$39,$I$35:$I$39)+SUMPRODUCT($V$40:$V$42,$I$40:$I$42)+SUMPRODUCT($V$43:$V$43,$I$43:$I$43)+SUMPRODUCT($V$44:$V$46,$I$44:$I$46)+SUMPRODUCT($V$47:$V$47,$I$47:$I$47)+SUMPRODUCT($V$48:$V$50,$I$48:$I$50)+SUMPRODUCT($V$51:$V$51,$I$51:$I$51)+SUMPRODUCT($V$52:$V$54,$I$52:$I$54)+SUMPRODUCT($V$55:$V$57,$I$55:$I$57)+SUMPRODUCT($V$58:$V$58,$I$58:$I$58)+SUMPRODUCT($V$59:$V$59,$I$59:$I$59)+SUMPRODUCT($V$60:$V$61,$I$60:$I$61))</f>
        <v>0</v>
      </c>
      <c r="W65" s="12">
        <f>IF(ISERROR(+SUMPRODUCT($W$5:$W$8,$I$5:$I$8)+SUMPRODUCT($W$9:$W$9,$I$9:$I$9)+SUMPRODUCT($W$10:$W$14,$I$10:$I$14)+SUMPRODUCT($W$15:$W$18,$I$15:$I$18)+SUMPRODUCT($W$19:$W$19,$I$19:$I$19)+SUMPRODUCT($W$20:$W$24,$I$20:$I$24)+SUMPRODUCT($W$25:$W$26,$I$25:$I$26)+SUMPRODUCT($W$27:$W$29,$I$27:$I$29)+SUMPRODUCT($W$30:$W$34,$I$30:$I$34)+SUMPRODUCT($W$35:$W$39,$I$35:$I$39)+SUMPRODUCT($W$40:$W$42,$I$40:$I$42)+SUMPRODUCT($W$43:$W$43,$I$43:$I$43)+SUMPRODUCT($W$44:$W$46,$I$44:$I$46)+SUMPRODUCT($W$47:$W$47,$I$47:$I$47)+SUMPRODUCT($W$48:$W$50,$I$48:$I$50)+SUMPRODUCT($W$51:$W$51,$I$51:$I$51)+SUMPRODUCT($W$52:$W$54,$I$52:$I$54)+SUMPRODUCT($W$55:$W$57,$I$55:$I$57)+SUMPRODUCT($W$58:$W$58,$I$58:$I$58)+SUMPRODUCT($W$59:$W$59,$I$59:$I$59)+SUMPRODUCT($W$60:$W$61,$I$60:$I$61)),0,+SUMPRODUCT($W$5:$W$8,$I$5:$I$8)+SUMPRODUCT($W$9:$W$9,$I$9:$I$9)+SUMPRODUCT($W$10:$W$14,$I$10:$I$14)+SUMPRODUCT($W$15:$W$18,$I$15:$I$18)+SUMPRODUCT($W$19:$W$19,$I$19:$I$19)+SUMPRODUCT($W$20:$W$24,$I$20:$I$24)+SUMPRODUCT($W$25:$W$26,$I$25:$I$26)+SUMPRODUCT($W$27:$W$29,$I$27:$I$29)+SUMPRODUCT($W$30:$W$34,$I$30:$I$34)+SUMPRODUCT($W$35:$W$39,$I$35:$I$39)+SUMPRODUCT($W$40:$W$42,$I$40:$I$42)+SUMPRODUCT($W$43:$W$43,$I$43:$I$43)+SUMPRODUCT($W$44:$W$46,$I$44:$I$46)+SUMPRODUCT($W$47:$W$47,$I$47:$I$47)+SUMPRODUCT($W$48:$W$50,$I$48:$I$50)+SUMPRODUCT($W$51:$W$51,$I$51:$I$51)+SUMPRODUCT($W$52:$W$54,$I$52:$I$54)+SUMPRODUCT($W$55:$W$57,$I$55:$I$57)+SUMPRODUCT($W$58:$W$58,$I$58:$I$58)+SUMPRODUCT($W$59:$W$59,$I$59:$I$59)+SUMPRODUCT($W$60:$W$61,$I$60:$I$61))</f>
        <v>0</v>
      </c>
      <c r="X65" s="12">
        <f>IF(ISERROR(+SUMPRODUCT($X$5:$X$8,$I$5:$I$8)+SUMPRODUCT($X$9:$X$9,$I$9:$I$9)+SUMPRODUCT($X$10:$X$14,$I$10:$I$14)+SUMPRODUCT($X$15:$X$18,$I$15:$I$18)+SUMPRODUCT($X$19:$X$19,$I$19:$I$19)+SUMPRODUCT($X$20:$X$24,$I$20:$I$24)+SUMPRODUCT($X$25:$X$26,$I$25:$I$26)+SUMPRODUCT($X$27:$X$29,$I$27:$I$29)+SUMPRODUCT($X$30:$X$34,$I$30:$I$34)+SUMPRODUCT($X$35:$X$39,$I$35:$I$39)+SUMPRODUCT($X$40:$X$42,$I$40:$I$42)+SUMPRODUCT($X$43:$X$43,$I$43:$I$43)+SUMPRODUCT($X$44:$X$46,$I$44:$I$46)+SUMPRODUCT($X$47:$X$47,$I$47:$I$47)+SUMPRODUCT($X$48:$X$50,$I$48:$I$50)+SUMPRODUCT($X$51:$X$51,$I$51:$I$51)+SUMPRODUCT($X$52:$X$54,$I$52:$I$54)+SUMPRODUCT($X$55:$X$57,$I$55:$I$57)+SUMPRODUCT($X$58:$X$58,$I$58:$I$58)+SUMPRODUCT($X$59:$X$59,$I$59:$I$59)+SUMPRODUCT($X$60:$X$61,$I$60:$I$61)),0,+SUMPRODUCT($X$5:$X$8,$I$5:$I$8)+SUMPRODUCT($X$9:$X$9,$I$9:$I$9)+SUMPRODUCT($X$10:$X$14,$I$10:$I$14)+SUMPRODUCT($X$15:$X$18,$I$15:$I$18)+SUMPRODUCT($X$19:$X$19,$I$19:$I$19)+SUMPRODUCT($X$20:$X$24,$I$20:$I$24)+SUMPRODUCT($X$25:$X$26,$I$25:$I$26)+SUMPRODUCT($X$27:$X$29,$I$27:$I$29)+SUMPRODUCT($X$30:$X$34,$I$30:$I$34)+SUMPRODUCT($X$35:$X$39,$I$35:$I$39)+SUMPRODUCT($X$40:$X$42,$I$40:$I$42)+SUMPRODUCT($X$43:$X$43,$I$43:$I$43)+SUMPRODUCT($X$44:$X$46,$I$44:$I$46)+SUMPRODUCT($X$47:$X$47,$I$47:$I$47)+SUMPRODUCT($X$48:$X$50,$I$48:$I$50)+SUMPRODUCT($X$51:$X$51,$I$51:$I$51)+SUMPRODUCT($X$52:$X$54,$I$52:$I$54)+SUMPRODUCT($X$55:$X$57,$I$55:$I$57)+SUMPRODUCT($X$58:$X$58,$I$58:$I$58)+SUMPRODUCT($X$59:$X$59,$I$59:$I$59)+SUMPRODUCT($X$60:$X$61,$I$60:$I$61))</f>
        <v>0</v>
      </c>
      <c r="Y65" s="12">
        <f>IF(ISERROR(+SUMPRODUCT($Y$5:$Y$8,$I$5:$I$8)+SUMPRODUCT($Y$9:$Y$9,$I$9:$I$9)+SUMPRODUCT($Y$10:$Y$14,$I$10:$I$14)+SUMPRODUCT($Y$15:$Y$18,$I$15:$I$18)+SUMPRODUCT($Y$19:$Y$19,$I$19:$I$19)+SUMPRODUCT($Y$20:$Y$24,$I$20:$I$24)+SUMPRODUCT($Y$25:$Y$26,$I$25:$I$26)+SUMPRODUCT($Y$27:$Y$29,$I$27:$I$29)+SUMPRODUCT($Y$30:$Y$34,$I$30:$I$34)+SUMPRODUCT($Y$35:$Y$39,$I$35:$I$39)+SUMPRODUCT($Y$40:$Y$42,$I$40:$I$42)+SUMPRODUCT($Y$43:$Y$43,$I$43:$I$43)+SUMPRODUCT($Y$44:$Y$46,$I$44:$I$46)+SUMPRODUCT($Y$47:$Y$47,$I$47:$I$47)+SUMPRODUCT($Y$48:$Y$50,$I$48:$I$50)+SUMPRODUCT($Y$51:$Y$51,$I$51:$I$51)+SUMPRODUCT($Y$52:$Y$54,$I$52:$I$54)+SUMPRODUCT($Y$55:$Y$57,$I$55:$I$57)+SUMPRODUCT($Y$58:$Y$58,$I$58:$I$58)+SUMPRODUCT($Y$59:$Y$59,$I$59:$I$59)+SUMPRODUCT($Y$60:$Y$61,$I$60:$I$61)),0,+SUMPRODUCT($Y$5:$Y$8,$I$5:$I$8)+SUMPRODUCT($Y$9:$Y$9,$I$9:$I$9)+SUMPRODUCT($Y$10:$Y$14,$I$10:$I$14)+SUMPRODUCT($Y$15:$Y$18,$I$15:$I$18)+SUMPRODUCT($Y$19:$Y$19,$I$19:$I$19)+SUMPRODUCT($Y$20:$Y$24,$I$20:$I$24)+SUMPRODUCT($Y$25:$Y$26,$I$25:$I$26)+SUMPRODUCT($Y$27:$Y$29,$I$27:$I$29)+SUMPRODUCT($Y$30:$Y$34,$I$30:$I$34)+SUMPRODUCT($Y$35:$Y$39,$I$35:$I$39)+SUMPRODUCT($Y$40:$Y$42,$I$40:$I$42)+SUMPRODUCT($Y$43:$Y$43,$I$43:$I$43)+SUMPRODUCT($Y$44:$Y$46,$I$44:$I$46)+SUMPRODUCT($Y$47:$Y$47,$I$47:$I$47)+SUMPRODUCT($Y$48:$Y$50,$I$48:$I$50)+SUMPRODUCT($Y$51:$Y$51,$I$51:$I$51)+SUMPRODUCT($Y$52:$Y$54,$I$52:$I$54)+SUMPRODUCT($Y$55:$Y$57,$I$55:$I$57)+SUMPRODUCT($Y$58:$Y$58,$I$58:$I$58)+SUMPRODUCT($Y$59:$Y$59,$I$59:$I$59)+SUMPRODUCT($Y$60:$Y$61,$I$60:$I$61))</f>
        <v>21219249.367655687</v>
      </c>
      <c r="Z65" s="12">
        <f>IF(ISERROR(+SUMPRODUCT($Z$5:$Z$8,$I$5:$I$8)+SUMPRODUCT($Z$9:$Z$9,$I$9:$I$9)+SUMPRODUCT($Z$10:$Z$14,$I$10:$I$14)+SUMPRODUCT($Z$15:$Z$18,$I$15:$I$18)+SUMPRODUCT($Z$19:$Z$19,$I$19:$I$19)+SUMPRODUCT($Z$20:$Z$24,$I$20:$I$24)+SUMPRODUCT($Z$25:$Z$26,$I$25:$I$26)+SUMPRODUCT($Z$27:$Z$29,$I$27:$I$29)+SUMPRODUCT($Z$30:$Z$34,$I$30:$I$34)+SUMPRODUCT($Z$35:$Z$39,$I$35:$I$39)+SUMPRODUCT($Z$40:$Z$42,$I$40:$I$42)+SUMPRODUCT($Z$43:$Z$43,$I$43:$I$43)+SUMPRODUCT($Z$44:$Z$46,$I$44:$I$46)+SUMPRODUCT($Z$47:$Z$47,$I$47:$I$47)+SUMPRODUCT($Z$48:$Z$50,$I$48:$I$50)+SUMPRODUCT($Z$51:$Z$51,$I$51:$I$51)+SUMPRODUCT($Z$52:$Z$54,$I$52:$I$54)+SUMPRODUCT($Z$55:$Z$57,$I$55:$I$57)+SUMPRODUCT($Z$58:$Z$58,$I$58:$I$58)+SUMPRODUCT($Z$59:$Z$59,$I$59:$I$59)+SUMPRODUCT($Z$60:$Z$61,$I$60:$I$61)),0,+SUMPRODUCT($Z$5:$Z$8,$I$5:$I$8)+SUMPRODUCT($Z$9:$Z$9,$I$9:$I$9)+SUMPRODUCT($Z$10:$Z$14,$I$10:$I$14)+SUMPRODUCT($Z$15:$Z$18,$I$15:$I$18)+SUMPRODUCT($Z$19:$Z$19,$I$19:$I$19)+SUMPRODUCT($Z$20:$Z$24,$I$20:$I$24)+SUMPRODUCT($Z$25:$Z$26,$I$25:$I$26)+SUMPRODUCT($Z$27:$Z$29,$I$27:$I$29)+SUMPRODUCT($Z$30:$Z$34,$I$30:$I$34)+SUMPRODUCT($Z$35:$Z$39,$I$35:$I$39)+SUMPRODUCT($Z$40:$Z$42,$I$40:$I$42)+SUMPRODUCT($Z$43:$Z$43,$I$43:$I$43)+SUMPRODUCT($Z$44:$Z$46,$I$44:$I$46)+SUMPRODUCT($Z$47:$Z$47,$I$47:$I$47)+SUMPRODUCT($Z$48:$Z$50,$I$48:$I$50)+SUMPRODUCT($Z$51:$Z$51,$I$51:$I$51)+SUMPRODUCT($Z$52:$Z$54,$I$52:$I$54)+SUMPRODUCT($Z$55:$Z$57,$I$55:$I$57)+SUMPRODUCT($Z$58:$Z$58,$I$58:$I$58)+SUMPRODUCT($Z$59:$Z$59,$I$59:$I$59)+SUMPRODUCT($Z$60:$Z$61,$I$60:$I$61))</f>
        <v>0</v>
      </c>
      <c r="AA65" s="12">
        <f>IF(ISERROR(+SUMPRODUCT($AA$5:$AA$8,$I$5:$I$8)+SUMPRODUCT($AA$9:$AA$9,$I$9:$I$9)+SUMPRODUCT($AA$10:$AA$14,$I$10:$I$14)+SUMPRODUCT($AA$15:$AA$18,$I$15:$I$18)+SUMPRODUCT($AA$19:$AA$19,$I$19:$I$19)+SUMPRODUCT($AA$20:$AA$24,$I$20:$I$24)+SUMPRODUCT($AA$25:$AA$26,$I$25:$I$26)+SUMPRODUCT($AA$27:$AA$29,$I$27:$I$29)+SUMPRODUCT($AA$30:$AA$34,$I$30:$I$34)+SUMPRODUCT($AA$35:$AA$39,$I$35:$I$39)+SUMPRODUCT($AA$40:$AA$42,$I$40:$I$42)+SUMPRODUCT($AA$43:$AA$43,$I$43:$I$43)+SUMPRODUCT($AA$44:$AA$46,$I$44:$I$46)+SUMPRODUCT($AA$47:$AA$47,$I$47:$I$47)+SUMPRODUCT($AA$48:$AA$50,$I$48:$I$50)+SUMPRODUCT($AA$51:$AA$51,$I$51:$I$51)+SUMPRODUCT($AA$52:$AA$54,$I$52:$I$54)+SUMPRODUCT($AA$55:$AA$57,$I$55:$I$57)+SUMPRODUCT($AA$58:$AA$58,$I$58:$I$58)+SUMPRODUCT($AA$59:$AA$59,$I$59:$I$59)+SUMPRODUCT($AA$60:$AA$61,$I$60:$I$61)),0,+SUMPRODUCT($AA$5:$AA$8,$I$5:$I$8)+SUMPRODUCT($AA$9:$AA$9,$I$9:$I$9)+SUMPRODUCT($AA$10:$AA$14,$I$10:$I$14)+SUMPRODUCT($AA$15:$AA$18,$I$15:$I$18)+SUMPRODUCT($AA$19:$AA$19,$I$19:$I$19)+SUMPRODUCT($AA$20:$AA$24,$I$20:$I$24)+SUMPRODUCT($AA$25:$AA$26,$I$25:$I$26)+SUMPRODUCT($AA$27:$AA$29,$I$27:$I$29)+SUMPRODUCT($AA$30:$AA$34,$I$30:$I$34)+SUMPRODUCT($AA$35:$AA$39,$I$35:$I$39)+SUMPRODUCT($AA$40:$AA$42,$I$40:$I$42)+SUMPRODUCT($AA$43:$AA$43,$I$43:$I$43)+SUMPRODUCT($AA$44:$AA$46,$I$44:$I$46)+SUMPRODUCT($AA$47:$AA$47,$I$47:$I$47)+SUMPRODUCT($AA$48:$AA$50,$I$48:$I$50)+SUMPRODUCT($AA$51:$AA$51,$I$51:$I$51)+SUMPRODUCT($AA$52:$AA$54,$I$52:$I$54)+SUMPRODUCT($AA$55:$AA$57,$I$55:$I$57)+SUMPRODUCT($AA$58:$AA$58,$I$58:$I$58)+SUMPRODUCT($AA$59:$AA$59,$I$59:$I$59)+SUMPRODUCT($AA$60:$AA$61,$I$60:$I$61))</f>
        <v>0</v>
      </c>
      <c r="AB65" s="12"/>
      <c r="AC65" s="12">
        <f>IF(ISERROR(+SUMPRODUCT($AC$5:$AC$8,$I$5:$I$8)+SUMPRODUCT($AC$9:$AC$9,$I$9:$I$9)+SUMPRODUCT($AC$10:$AC$14,$I$10:$I$14)+SUMPRODUCT($AC$15:$AC$18,$I$15:$I$18)+SUMPRODUCT($AC$19:$AC$19,$I$19:$I$19)+SUMPRODUCT($AC$20:$AC$24,$I$20:$I$24)+SUMPRODUCT($AC$25:$AC$26,$I$25:$I$26)+SUMPRODUCT($AC$27:$AC$29,$I$27:$I$29)+SUMPRODUCT($AC$30:$AC$34,$I$30:$I$34)+SUMPRODUCT($AC$35:$AC$39,$I$35:$I$39)+SUMPRODUCT($AC$40:$AC$42,$I$40:$I$42)+SUMPRODUCT($AC$43:$AC$43,$I$43:$I$43)+SUMPRODUCT($AC$44:$AC$46,$I$44:$I$46)+SUMPRODUCT($AC$47:$AC$47,$I$47:$I$47)+SUMPRODUCT($AC$48:$AC$50,$I$48:$I$50)+SUMPRODUCT($AC$51:$AC$51,$I$51:$I$51)+SUMPRODUCT($AC$52:$AC$54,$I$52:$I$54)+SUMPRODUCT($AC$55:$AC$57,$I$55:$I$57)+SUMPRODUCT($AC$58:$AC$58,$I$58:$I$58)+SUMPRODUCT($AC$59:$AC$59,$I$59:$I$59)+SUMPRODUCT($AC$60:$AC$61,$I$60:$I$61)),0,+SUMPRODUCT($AC$5:$AC$8,$I$5:$I$8)+SUMPRODUCT($AC$9:$AC$9,$I$9:$I$9)+SUMPRODUCT($AC$10:$AC$14,$I$10:$I$14)+SUMPRODUCT($AC$15:$AC$18,$I$15:$I$18)+SUMPRODUCT($AC$19:$AC$19,$I$19:$I$19)+SUMPRODUCT($AC$20:$AC$24,$I$20:$I$24)+SUMPRODUCT($AC$25:$AC$26,$I$25:$I$26)+SUMPRODUCT($AC$27:$AC$29,$I$27:$I$29)+SUMPRODUCT($AC$30:$AC$34,$I$30:$I$34)+SUMPRODUCT($AC$35:$AC$39,$I$35:$I$39)+SUMPRODUCT($AC$40:$AC$42,$I$40:$I$42)+SUMPRODUCT($AC$43:$AC$43,$I$43:$I$43)+SUMPRODUCT($AC$44:$AC$46,$I$44:$I$46)+SUMPRODUCT($AC$47:$AC$47,$I$47:$I$47)+SUMPRODUCT($AC$48:$AC$50,$I$48:$I$50)+SUMPRODUCT($AC$51:$AC$51,$I$51:$I$51)+SUMPRODUCT($AC$52:$AC$54,$I$52:$I$54)+SUMPRODUCT($AC$55:$AC$57,$I$55:$I$57)+SUMPRODUCT($AC$58:$AC$58,$I$58:$I$58)+SUMPRODUCT($AC$59:$AC$59,$I$59:$I$59)+SUMPRODUCT($AC$60:$AC$61,$I$60:$I$61))</f>
        <v>23858061.75066784</v>
      </c>
      <c r="AD65" s="12"/>
      <c r="AE65" s="12">
        <f>IF(ISERROR(+SUMPRODUCT($AE$5:$AE$8,$I$5:$I$8)+SUMPRODUCT($AE$9:$AE$9,$I$9:$I$9)+SUMPRODUCT($AE$10:$AE$14,$I$10:$I$14)+SUMPRODUCT($AE$15:$AE$18,$I$15:$I$18)+SUMPRODUCT($AE$19:$AE$19,$I$19:$I$19)+SUMPRODUCT($AE$20:$AE$24,$I$20:$I$24)+SUMPRODUCT($AE$25:$AE$26,$I$25:$I$26)+SUMPRODUCT($AE$27:$AE$29,$I$27:$I$29)+SUMPRODUCT($AE$30:$AE$34,$I$30:$I$34)+SUMPRODUCT($AE$35:$AE$39,$I$35:$I$39)+SUMPRODUCT($AE$40:$AE$42,$I$40:$I$42)+SUMPRODUCT($AE$43:$AE$43,$I$43:$I$43)+SUMPRODUCT($AE$44:$AE$46,$I$44:$I$46)+SUMPRODUCT($AE$47:$AE$47,$I$47:$I$47)+SUMPRODUCT($AE$48:$AE$50,$I$48:$I$50)+SUMPRODUCT($AE$51:$AE$51,$I$51:$I$51)+SUMPRODUCT($AE$52:$AE$54,$I$52:$I$54)+SUMPRODUCT($AE$55:$AE$57,$I$55:$I$57)+SUMPRODUCT($AE$58:$AE$58,$I$58:$I$58)+SUMPRODUCT($AE$59:$AE$59,$I$59:$I$59)+SUMPRODUCT($AE$60:$AE$61,$I$60:$I$61)),0,+SUMPRODUCT($AE$5:$AE$8,$I$5:$I$8)+SUMPRODUCT($AE$9:$AE$9,$I$9:$I$9)+SUMPRODUCT($AE$10:$AE$14,$I$10:$I$14)+SUMPRODUCT($AE$15:$AE$18,$I$15:$I$18)+SUMPRODUCT($AE$19:$AE$19,$I$19:$I$19)+SUMPRODUCT($AE$20:$AE$24,$I$20:$I$24)+SUMPRODUCT($AE$25:$AE$26,$I$25:$I$26)+SUMPRODUCT($AE$27:$AE$29,$I$27:$I$29)+SUMPRODUCT($AE$30:$AE$34,$I$30:$I$34)+SUMPRODUCT($AE$35:$AE$39,$I$35:$I$39)+SUMPRODUCT($AE$40:$AE$42,$I$40:$I$42)+SUMPRODUCT($AE$43:$AE$43,$I$43:$I$43)+SUMPRODUCT($AE$44:$AE$46,$I$44:$I$46)+SUMPRODUCT($AE$47:$AE$47,$I$47:$I$47)+SUMPRODUCT($AE$48:$AE$50,$I$48:$I$50)+SUMPRODUCT($AE$51:$AE$51,$I$51:$I$51)+SUMPRODUCT($AE$52:$AE$54,$I$52:$I$54)+SUMPRODUCT($AE$55:$AE$57,$I$55:$I$57)+SUMPRODUCT($AE$58:$AE$58,$I$58:$I$58)+SUMPRODUCT($AE$59:$AE$59,$I$59:$I$59)+SUMPRODUCT($AE$60:$AE$61,$I$60:$I$61))</f>
        <v>0</v>
      </c>
      <c r="AF65" s="12">
        <f>IF(ISERROR(+SUMPRODUCT($AF$5:$AF$8,$I$5:$I$8)+SUMPRODUCT($AF$9:$AF$9,$I$9:$I$9)+SUMPRODUCT($AF$10:$AF$14,$I$10:$I$14)+SUMPRODUCT($AF$15:$AF$18,$I$15:$I$18)+SUMPRODUCT($AF$19:$AF$19,$I$19:$I$19)+SUMPRODUCT($AF$20:$AF$24,$I$20:$I$24)+SUMPRODUCT($AF$25:$AF$26,$I$25:$I$26)+SUMPRODUCT($AF$27:$AF$29,$I$27:$I$29)+SUMPRODUCT($AF$30:$AF$34,$I$30:$I$34)+SUMPRODUCT($AF$35:$AF$39,$I$35:$I$39)+SUMPRODUCT($AF$40:$AF$42,$I$40:$I$42)+SUMPRODUCT($AF$43:$AF$43,$I$43:$I$43)+SUMPRODUCT($AF$44:$AF$46,$I$44:$I$46)+SUMPRODUCT($AF$47:$AF$47,$I$47:$I$47)+SUMPRODUCT($AF$48:$AF$50,$I$48:$I$50)+SUMPRODUCT($AF$51:$AF$51,$I$51:$I$51)+SUMPRODUCT($AF$52:$AF$54,$I$52:$I$54)+SUMPRODUCT($AF$55:$AF$57,$I$55:$I$57)+SUMPRODUCT($AF$58:$AF$58,$I$58:$I$58)+SUMPRODUCT($AF$59:$AF$59,$I$59:$I$59)+SUMPRODUCT($AF$60:$AF$61,$I$60:$I$61)),0,+SUMPRODUCT($AF$5:$AF$8,$I$5:$I$8)+SUMPRODUCT($AF$9:$AF$9,$I$9:$I$9)+SUMPRODUCT($AF$10:$AF$14,$I$10:$I$14)+SUMPRODUCT($AF$15:$AF$18,$I$15:$I$18)+SUMPRODUCT($AF$19:$AF$19,$I$19:$I$19)+SUMPRODUCT($AF$20:$AF$24,$I$20:$I$24)+SUMPRODUCT($AF$25:$AF$26,$I$25:$I$26)+SUMPRODUCT($AF$27:$AF$29,$I$27:$I$29)+SUMPRODUCT($AF$30:$AF$34,$I$30:$I$34)+SUMPRODUCT($AF$35:$AF$39,$I$35:$I$39)+SUMPRODUCT($AF$40:$AF$42,$I$40:$I$42)+SUMPRODUCT($AF$43:$AF$43,$I$43:$I$43)+SUMPRODUCT($AF$44:$AF$46,$I$44:$I$46)+SUMPRODUCT($AF$47:$AF$47,$I$47:$I$47)+SUMPRODUCT($AF$48:$AF$50,$I$48:$I$50)+SUMPRODUCT($AF$51:$AF$51,$I$51:$I$51)+SUMPRODUCT($AF$52:$AF$54,$I$52:$I$54)+SUMPRODUCT($AF$55:$AF$57,$I$55:$I$57)+SUMPRODUCT($AF$58:$AF$58,$I$58:$I$58)+SUMPRODUCT($AF$59:$AF$59,$I$59:$I$59)+SUMPRODUCT($AF$60:$AF$61,$I$60:$I$61))</f>
        <v>0</v>
      </c>
      <c r="AG65" s="12"/>
      <c r="AH65" s="12">
        <f>IF(ISERROR(+SUMPRODUCT($AH$5:$AH$8,$I$5:$I$8)+SUMPRODUCT($AH$9:$AH$9,$I$9:$I$9)+SUMPRODUCT($AH$10:$AH$14,$I$10:$I$14)+SUMPRODUCT($AH$15:$AH$18,$I$15:$I$18)+SUMPRODUCT($AH$19:$AH$19,$I$19:$I$19)+SUMPRODUCT($AH$20:$AH$24,$I$20:$I$24)+SUMPRODUCT($AH$25:$AH$26,$I$25:$I$26)+SUMPRODUCT($AH$27:$AH$29,$I$27:$I$29)+SUMPRODUCT($AH$30:$AH$34,$I$30:$I$34)+SUMPRODUCT($AH$35:$AH$39,$I$35:$I$39)+SUMPRODUCT($AH$40:$AH$42,$I$40:$I$42)+SUMPRODUCT($AH$43:$AH$43,$I$43:$I$43)+SUMPRODUCT($AH$44:$AH$46,$I$44:$I$46)+SUMPRODUCT($AH$47:$AH$47,$I$47:$I$47)+SUMPRODUCT($AH$48:$AH$50,$I$48:$I$50)+SUMPRODUCT($AH$51:$AH$51,$I$51:$I$51)+SUMPRODUCT($AH$52:$AH$54,$I$52:$I$54)+SUMPRODUCT($AH$55:$AH$57,$I$55:$I$57)+SUMPRODUCT($AH$58:$AH$58,$I$58:$I$58)+SUMPRODUCT($AH$59:$AH$59,$I$59:$I$59)+SUMPRODUCT($AH$60:$AH$61,$I$60:$I$61)),0,+SUMPRODUCT($AH$5:$AH$8,$I$5:$I$8)+SUMPRODUCT($AH$9:$AH$9,$I$9:$I$9)+SUMPRODUCT($AH$10:$AH$14,$I$10:$I$14)+SUMPRODUCT($AH$15:$AH$18,$I$15:$I$18)+SUMPRODUCT($AH$19:$AH$19,$I$19:$I$19)+SUMPRODUCT($AH$20:$AH$24,$I$20:$I$24)+SUMPRODUCT($AH$25:$AH$26,$I$25:$I$26)+SUMPRODUCT($AH$27:$AH$29,$I$27:$I$29)+SUMPRODUCT($AH$30:$AH$34,$I$30:$I$34)+SUMPRODUCT($AH$35:$AH$39,$I$35:$I$39)+SUMPRODUCT($AH$40:$AH$42,$I$40:$I$42)+SUMPRODUCT($AH$43:$AH$43,$I$43:$I$43)+SUMPRODUCT($AH$44:$AH$46,$I$44:$I$46)+SUMPRODUCT($AH$47:$AH$47,$I$47:$I$47)+SUMPRODUCT($AH$48:$AH$50,$I$48:$I$50)+SUMPRODUCT($AH$51:$AH$51,$I$51:$I$51)+SUMPRODUCT($AH$52:$AH$54,$I$52:$I$54)+SUMPRODUCT($AH$55:$AH$57,$I$55:$I$57)+SUMPRODUCT($AH$58:$AH$58,$I$58:$I$58)+SUMPRODUCT($AH$59:$AH$59,$I$59:$I$59)+SUMPRODUCT($AH$60:$AH$61,$I$60:$I$61))</f>
        <v>3310043.7772195698</v>
      </c>
      <c r="AI65" s="12">
        <f>IF(ISERROR(+SUMPRODUCT($AI$5:$AI$8,$I$5:$I$8)+SUMPRODUCT($AI$9:$AI$9,$I$9:$I$9)+SUMPRODUCT($AI$10:$AI$14,$I$10:$I$14)+SUMPRODUCT($AI$15:$AI$18,$I$15:$I$18)+SUMPRODUCT($AI$19:$AI$19,$I$19:$I$19)+SUMPRODUCT($AI$20:$AI$24,$I$20:$I$24)+SUMPRODUCT($AI$25:$AI$26,$I$25:$I$26)+SUMPRODUCT($AI$27:$AI$29,$I$27:$I$29)+SUMPRODUCT($AI$30:$AI$34,$I$30:$I$34)+SUMPRODUCT($AI$35:$AI$39,$I$35:$I$39)+SUMPRODUCT($AI$40:$AI$42,$I$40:$I$42)+SUMPRODUCT($AI$43:$AI$43,$I$43:$I$43)+SUMPRODUCT($AI$44:$AI$46,$I$44:$I$46)+SUMPRODUCT($AI$47:$AI$47,$I$47:$I$47)+SUMPRODUCT($AI$48:$AI$50,$I$48:$I$50)+SUMPRODUCT($AI$51:$AI$51,$I$51:$I$51)+SUMPRODUCT($AI$52:$AI$54,$I$52:$I$54)+SUMPRODUCT($AI$55:$AI$57,$I$55:$I$57)+SUMPRODUCT($AI$58:$AI$58,$I$58:$I$58)+SUMPRODUCT($AI$59:$AI$59,$I$59:$I$59)+SUMPRODUCT($AI$60:$AI$61,$I$60:$I$61)),0,+SUMPRODUCT($AI$5:$AI$8,$I$5:$I$8)+SUMPRODUCT($AI$9:$AI$9,$I$9:$I$9)+SUMPRODUCT($AI$10:$AI$14,$I$10:$I$14)+SUMPRODUCT($AI$15:$AI$18,$I$15:$I$18)+SUMPRODUCT($AI$19:$AI$19,$I$19:$I$19)+SUMPRODUCT($AI$20:$AI$24,$I$20:$I$24)+SUMPRODUCT($AI$25:$AI$26,$I$25:$I$26)+SUMPRODUCT($AI$27:$AI$29,$I$27:$I$29)+SUMPRODUCT($AI$30:$AI$34,$I$30:$I$34)+SUMPRODUCT($AI$35:$AI$39,$I$35:$I$39)+SUMPRODUCT($AI$40:$AI$42,$I$40:$I$42)+SUMPRODUCT($AI$43:$AI$43,$I$43:$I$43)+SUMPRODUCT($AI$44:$AI$46,$I$44:$I$46)+SUMPRODUCT($AI$47:$AI$47,$I$47:$I$47)+SUMPRODUCT($AI$48:$AI$50,$I$48:$I$50)+SUMPRODUCT($AI$51:$AI$51,$I$51:$I$51)+SUMPRODUCT($AI$52:$AI$54,$I$52:$I$54)+SUMPRODUCT($AI$55:$AI$57,$I$55:$I$57)+SUMPRODUCT($AI$58:$AI$58,$I$58:$I$58)+SUMPRODUCT($AI$59:$AI$59,$I$59:$I$59)+SUMPRODUCT($AI$60:$AI$61,$I$60:$I$61))</f>
        <v>3310043.7772195698</v>
      </c>
      <c r="AJ65" s="12">
        <f ca="1">IF(ISERROR(+SUMPRODUCT($AJ$5:$AJ$8,$I$5:$I$8)+SUMPRODUCT($AJ$9:$AJ$9,$I$9:$I$9)+SUMPRODUCT($AJ$10:$AJ$14,$I$10:$I$14)+SUMPRODUCT($AJ$15:$AJ$18,$I$15:$I$18)+SUMPRODUCT($AJ$19:$AJ$19,$I$19:$I$19)+SUMPRODUCT($AJ$20:$AJ$24,$I$20:$I$24)+SUMPRODUCT($AJ$25:$AJ$26,$I$25:$I$26)+SUMPRODUCT($AJ$27:$AJ$29,$I$27:$I$29)+SUMPRODUCT($AJ$30:$AJ$34,$I$30:$I$34)+SUMPRODUCT($AJ$35:$AJ$39,$I$35:$I$39)+SUMPRODUCT($AJ$40:$AJ$42,$I$40:$I$42)+SUMPRODUCT($AJ$43:$AJ$43,$I$43:$I$43)+SUMPRODUCT($AJ$44:$AJ$46,$I$44:$I$46)+SUMPRODUCT($AJ$47:$AJ$47,$I$47:$I$47)+SUMPRODUCT($AJ$48:$AJ$50,$I$48:$I$50)+SUMPRODUCT($AJ$51:$AJ$51,$I$51:$I$51)+SUMPRODUCT($AJ$52:$AJ$54,$I$52:$I$54)+SUMPRODUCT($AJ$55:$AJ$57,$I$55:$I$57)+SUMPRODUCT($AJ$58:$AJ$58,$I$58:$I$58)+SUMPRODUCT($AJ$59:$AJ$59,$I$59:$I$59)+SUMPRODUCT($AJ$60:$AJ$61,$I$60:$I$61)),0,+SUMPRODUCT($AJ$5:$AJ$8,$I$5:$I$8)+SUMPRODUCT($AJ$9:$AJ$9,$I$9:$I$9)+SUMPRODUCT($AJ$10:$AJ$14,$I$10:$I$14)+SUMPRODUCT($AJ$15:$AJ$18,$I$15:$I$18)+SUMPRODUCT($AJ$19:$AJ$19,$I$19:$I$19)+SUMPRODUCT($AJ$20:$AJ$24,$I$20:$I$24)+SUMPRODUCT($AJ$25:$AJ$26,$I$25:$I$26)+SUMPRODUCT($AJ$27:$AJ$29,$I$27:$I$29)+SUMPRODUCT($AJ$30:$AJ$34,$I$30:$I$34)+SUMPRODUCT($AJ$35:$AJ$39,$I$35:$I$39)+SUMPRODUCT($AJ$40:$AJ$42,$I$40:$I$42)+SUMPRODUCT($AJ$43:$AJ$43,$I$43:$I$43)+SUMPRODUCT($AJ$44:$AJ$46,$I$44:$I$46)+SUMPRODUCT($AJ$47:$AJ$47,$I$47:$I$47)+SUMPRODUCT($AJ$48:$AJ$50,$I$48:$I$50)+SUMPRODUCT($AJ$51:$AJ$51,$I$51:$I$51)+SUMPRODUCT($AJ$52:$AJ$54,$I$52:$I$54)+SUMPRODUCT($AJ$55:$AJ$57,$I$55:$I$57)+SUMPRODUCT($AJ$58:$AJ$58,$I$58:$I$58)+SUMPRODUCT($AJ$59:$AJ$59,$I$59:$I$59)+SUMPRODUCT($AJ$60:$AJ$61,$I$60:$I$61))</f>
        <v>486667.13673327153</v>
      </c>
      <c r="AK65" s="12">
        <f ca="1">IF(ISERROR(+SUMPRODUCT($AK$5:$AK$8,$I$5:$I$8)+SUMPRODUCT($AK$9:$AK$9,$I$9:$I$9)+SUMPRODUCT($AK$10:$AK$14,$I$10:$I$14)+SUMPRODUCT($AK$15:$AK$18,$I$15:$I$18)+SUMPRODUCT($AK$19:$AK$19,$I$19:$I$19)+SUMPRODUCT($AK$20:$AK$24,$I$20:$I$24)+SUMPRODUCT($AK$25:$AK$26,$I$25:$I$26)+SUMPRODUCT($AK$27:$AK$29,$I$27:$I$29)+SUMPRODUCT($AK$30:$AK$34,$I$30:$I$34)+SUMPRODUCT($AK$35:$AK$39,$I$35:$I$39)+SUMPRODUCT($AK$40:$AK$42,$I$40:$I$42)+SUMPRODUCT($AK$43:$AK$43,$I$43:$I$43)+SUMPRODUCT($AK$44:$AK$46,$I$44:$I$46)+SUMPRODUCT($AK$47:$AK$47,$I$47:$I$47)+SUMPRODUCT($AK$48:$AK$50,$I$48:$I$50)+SUMPRODUCT($AK$51:$AK$51,$I$51:$I$51)+SUMPRODUCT($AK$52:$AK$54,$I$52:$I$54)+SUMPRODUCT($AK$55:$AK$57,$I$55:$I$57)+SUMPRODUCT($AK$58:$AK$58,$I$58:$I$58)+SUMPRODUCT($AK$59:$AK$59,$I$59:$I$59)+SUMPRODUCT($AK$60:$AK$61,$I$60:$I$61)),0,+SUMPRODUCT($AK$5:$AK$8,$I$5:$I$8)+SUMPRODUCT($AK$9:$AK$9,$I$9:$I$9)+SUMPRODUCT($AK$10:$AK$14,$I$10:$I$14)+SUMPRODUCT($AK$15:$AK$18,$I$15:$I$18)+SUMPRODUCT($AK$19:$AK$19,$I$19:$I$19)+SUMPRODUCT($AK$20:$AK$24,$I$20:$I$24)+SUMPRODUCT($AK$25:$AK$26,$I$25:$I$26)+SUMPRODUCT($AK$27:$AK$29,$I$27:$I$29)+SUMPRODUCT($AK$30:$AK$34,$I$30:$I$34)+SUMPRODUCT($AK$35:$AK$39,$I$35:$I$39)+SUMPRODUCT($AK$40:$AK$42,$I$40:$I$42)+SUMPRODUCT($AK$43:$AK$43,$I$43:$I$43)+SUMPRODUCT($AK$44:$AK$46,$I$44:$I$46)+SUMPRODUCT($AK$47:$AK$47,$I$47:$I$47)+SUMPRODUCT($AK$48:$AK$50,$I$48:$I$50)+SUMPRODUCT($AK$51:$AK$51,$I$51:$I$51)+SUMPRODUCT($AK$52:$AK$54,$I$52:$I$54)+SUMPRODUCT($AK$55:$AK$57,$I$55:$I$57)+SUMPRODUCT($AK$58:$AK$58,$I$58:$I$58)+SUMPRODUCT($AK$59:$AK$59,$I$59:$I$59)+SUMPRODUCT($AK$60:$AK$61,$I$60:$I$61))</f>
        <v>486667.13673327153</v>
      </c>
      <c r="AL65" s="12"/>
      <c r="AM65" s="12"/>
    </row>
    <row r="66" spans="11:39" ht="11.25" customHeight="1" x14ac:dyDescent="0.25">
      <c r="K66" s="16" t="s">
        <v>623</v>
      </c>
      <c r="L66" s="12">
        <f>CUSTOS!$D$2</f>
        <v>697442.17467197916</v>
      </c>
      <c r="M66" s="12">
        <f>CUSTOS!$D$3</f>
        <v>124119.17919688004</v>
      </c>
      <c r="N66" s="12">
        <f>CUSTOS!$D$4</f>
        <v>703144.23757571727</v>
      </c>
      <c r="O66" s="12">
        <f>CUSTOS!$D$5</f>
        <v>0</v>
      </c>
      <c r="P66" s="12">
        <f>CUSTOS!$D$6</f>
        <v>0</v>
      </c>
      <c r="Q66" s="12">
        <f>CUSTOS!$D$7</f>
        <v>27418446.470860098</v>
      </c>
      <c r="R66" s="12">
        <f>CUSTOS!$D$8</f>
        <v>4828803.3032447295</v>
      </c>
      <c r="S66" s="12">
        <f>CUSTOS!$D$9</f>
        <v>0</v>
      </c>
      <c r="T66" s="12">
        <f>CUSTOS!$D$10</f>
        <v>33771955.365549408</v>
      </c>
      <c r="U66" s="12">
        <f>CUSTOS!$D$11</f>
        <v>0</v>
      </c>
      <c r="V66" s="12">
        <f>IF(SUM(V63:V65)&lt;&gt;0,CUSTOS!$D$12+CUSTOS!$D$16+CUSTOS!$D$17-'TR TUSD'!$Z$64-'TR TUSD'!$AA$64,0)</f>
        <v>0</v>
      </c>
      <c r="W66" s="12">
        <f>CUSTOS!$D$13</f>
        <v>0</v>
      </c>
      <c r="X66" s="12">
        <f>CUSTOS!$D$14</f>
        <v>0</v>
      </c>
      <c r="Y66" s="12">
        <f>IF(SUM(V63:V65)=0,CUSTOS!$D$15+CUSTOS!$D$16+CUSTOS!$D$17-'TR TUSD'!$Z$64-'TR TUSD'!$AA$64,CUSTOS!$D$15)</f>
        <v>25961487.078740001</v>
      </c>
      <c r="Z66" s="12">
        <f>Z64</f>
        <v>0</v>
      </c>
      <c r="AA66" s="12">
        <f>AA64</f>
        <v>0</v>
      </c>
      <c r="AB66" s="12">
        <f>CUSTOS!$D$18</f>
        <v>25961487.078740001</v>
      </c>
      <c r="AC66" s="12">
        <f>CUSTOS!$D$19</f>
        <v>27932230.133610278</v>
      </c>
      <c r="AD66" s="12">
        <f>CUSTOS!$D$20</f>
        <v>27932230.133610278</v>
      </c>
      <c r="AE66" s="12">
        <f>CUSTOS!$D$21</f>
        <v>0</v>
      </c>
      <c r="AF66" s="12">
        <f>CUSTOS!$D$22</f>
        <v>0</v>
      </c>
      <c r="AG66" s="12">
        <f>CUSTOS!$D$23</f>
        <v>0</v>
      </c>
      <c r="AH66" s="12">
        <f>CUSTOS!$D$24</f>
        <v>3205620.5271767355</v>
      </c>
      <c r="AI66" s="12">
        <f>CUSTOS!$D$25</f>
        <v>117804.55489411573</v>
      </c>
      <c r="AJ66" s="12">
        <f>CUSTOS!$D$26</f>
        <v>496305.13370735297</v>
      </c>
      <c r="AK66" s="12">
        <f>CUSTOS!$D$27</f>
        <v>89460.219337455084</v>
      </c>
      <c r="AL66" s="12">
        <f>CUSTOS!$D$28</f>
        <v>3909190.4351156591</v>
      </c>
      <c r="AM66" s="12">
        <f>CUSTOS!$D$29</f>
        <v>91574863.01301536</v>
      </c>
    </row>
    <row r="67" spans="11:39" ht="11.25" customHeight="1" x14ac:dyDescent="0.25">
      <c r="K67" s="16" t="s">
        <v>624</v>
      </c>
      <c r="L67" s="12">
        <f>CUSTOS!$E$2</f>
        <v>-357318.81649529445</v>
      </c>
      <c r="M67" s="12">
        <f>CUSTOS!$E$3</f>
        <v>-3228.9092881405668</v>
      </c>
      <c r="N67" s="12">
        <f>CUSTOS!$E$4</f>
        <v>3.1154783332886529E-2</v>
      </c>
      <c r="O67" s="12">
        <f>CUSTOS!$E$5</f>
        <v>0</v>
      </c>
      <c r="P67" s="12">
        <f>CUSTOS!$E$6</f>
        <v>0</v>
      </c>
      <c r="Q67" s="12">
        <f>CUSTOS!$E$7</f>
        <v>-552044.3899621875</v>
      </c>
      <c r="R67" s="12">
        <f>CUSTOS!$E$8</f>
        <v>-93681.673491500784</v>
      </c>
      <c r="S67" s="12">
        <f>CUSTOS!$E$9</f>
        <v>0</v>
      </c>
      <c r="T67" s="12">
        <f>CUSTOS!$E$10</f>
        <v>-1006273.75808234</v>
      </c>
      <c r="U67" s="12">
        <f>CUSTOS!$E$11</f>
        <v>0</v>
      </c>
      <c r="V67" s="12">
        <f>CUSTOS!$E$12</f>
        <v>0</v>
      </c>
      <c r="W67" s="12">
        <f>CUSTOS!$E$13</f>
        <v>0</v>
      </c>
      <c r="X67" s="12">
        <f>CUSTOS!$E$14</f>
        <v>0</v>
      </c>
      <c r="Y67" s="12">
        <f>CUSTOS!$E$15</f>
        <v>1584254.3842446101</v>
      </c>
      <c r="Z67" s="12">
        <f>CUSTOS!$E$16</f>
        <v>0</v>
      </c>
      <c r="AA67" s="12">
        <f>CUSTOS!$E$17</f>
        <v>0</v>
      </c>
      <c r="AB67" s="12">
        <f>CUSTOS!$E$18</f>
        <v>1584254.3842446101</v>
      </c>
      <c r="AC67" s="12">
        <f>CUSTOS!$E$19</f>
        <v>0</v>
      </c>
      <c r="AD67" s="12">
        <f>CUSTOS!$E$20</f>
        <v>0</v>
      </c>
      <c r="AE67" s="12">
        <f>CUSTOS!$E$21</f>
        <v>0</v>
      </c>
      <c r="AF67" s="12">
        <f>CUSTOS!$E$22</f>
        <v>0</v>
      </c>
      <c r="AG67" s="12">
        <f>CUSTOS!$E$23</f>
        <v>0</v>
      </c>
      <c r="AH67" s="12">
        <f>CUSTOS!$E$24</f>
        <v>-231560.95070354312</v>
      </c>
      <c r="AI67" s="12">
        <f>CUSTOS!$E$25</f>
        <v>-8509.7205041029483</v>
      </c>
      <c r="AJ67" s="12">
        <f>CUSTOS!$E$26</f>
        <v>-35851.058360154915</v>
      </c>
      <c r="AK67" s="12">
        <f>CUSTOS!$E$27</f>
        <v>6776.0694727427945</v>
      </c>
      <c r="AL67" s="12">
        <f>CUSTOS!$E$28</f>
        <v>-269145.66009505821</v>
      </c>
      <c r="AM67" s="12">
        <f>CUSTOS!$E$29</f>
        <v>308834.96606721188</v>
      </c>
    </row>
    <row r="68" spans="11:39" ht="11.25" customHeight="1" x14ac:dyDescent="0.25">
      <c r="K68" s="16" t="s">
        <v>625</v>
      </c>
      <c r="L68" s="12">
        <f>CUSTOS!$F$2</f>
        <v>62582.817979041516</v>
      </c>
      <c r="M68" s="12">
        <f>CUSTOS!$F$3</f>
        <v>0</v>
      </c>
      <c r="N68" s="12">
        <f>CUSTOS!$F$4</f>
        <v>0</v>
      </c>
      <c r="O68" s="12">
        <f>CUSTOS!$F$5</f>
        <v>0</v>
      </c>
      <c r="P68" s="12">
        <f>CUSTOS!$F$6</f>
        <v>0</v>
      </c>
      <c r="Q68" s="12">
        <f>CUSTOS!$F$7</f>
        <v>3987683.0594000001</v>
      </c>
      <c r="R68" s="12">
        <f>CUSTOS!$F$8</f>
        <v>1069650.2378</v>
      </c>
      <c r="S68" s="12">
        <f>CUSTOS!$F$9</f>
        <v>0</v>
      </c>
      <c r="T68" s="12">
        <f>CUSTOS!$F$10</f>
        <v>5119916.1151790414</v>
      </c>
      <c r="U68" s="12">
        <f>CUSTOS!$F$11</f>
        <v>0</v>
      </c>
      <c r="V68" s="12">
        <f>CUSTOS!$F$12</f>
        <v>0</v>
      </c>
      <c r="W68" s="12">
        <f>CUSTOS!$F$13</f>
        <v>0</v>
      </c>
      <c r="X68" s="12">
        <f>CUSTOS!$F$14</f>
        <v>0</v>
      </c>
      <c r="Y68" s="12">
        <f>CUSTOS!$F$15</f>
        <v>0</v>
      </c>
      <c r="Z68" s="12">
        <f>CUSTOS!$F$16</f>
        <v>0</v>
      </c>
      <c r="AA68" s="12">
        <f>CUSTOS!$F$17</f>
        <v>0</v>
      </c>
      <c r="AB68" s="12">
        <f>CUSTOS!$F$18</f>
        <v>0</v>
      </c>
      <c r="AC68" s="12">
        <f>CUSTOS!$F$19</f>
        <v>0</v>
      </c>
      <c r="AD68" s="12">
        <f>CUSTOS!$F$20</f>
        <v>0</v>
      </c>
      <c r="AE68" s="12">
        <f>CUSTOS!$F$21</f>
        <v>0</v>
      </c>
      <c r="AF68" s="12">
        <f>CUSTOS!$F$22</f>
        <v>0</v>
      </c>
      <c r="AG68" s="12">
        <f>CUSTOS!$F$23</f>
        <v>0</v>
      </c>
      <c r="AH68" s="12">
        <f>CUSTOS!$F$24</f>
        <v>439928.63631860464</v>
      </c>
      <c r="AI68" s="12">
        <f>CUSTOS!$F$25</f>
        <v>16167.102982813924</v>
      </c>
      <c r="AJ68" s="12">
        <f>CUSTOS!$F$26</f>
        <v>68111.256094961005</v>
      </c>
      <c r="AK68" s="12">
        <f>CUSTOS!$F$27</f>
        <v>0</v>
      </c>
      <c r="AL68" s="12">
        <f>CUSTOS!$F$28</f>
        <v>524206.99539637956</v>
      </c>
      <c r="AM68" s="12">
        <f>CUSTOS!$F$29</f>
        <v>5644123.1105754208</v>
      </c>
    </row>
    <row r="69" spans="11:39" ht="11.25" customHeight="1" x14ac:dyDescent="0.25">
      <c r="K69" s="16" t="s">
        <v>688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/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/>
      <c r="AC69" s="12">
        <v>0</v>
      </c>
      <c r="AD69" s="12"/>
      <c r="AE69" s="12">
        <v>0</v>
      </c>
      <c r="AF69" s="12">
        <v>0</v>
      </c>
      <c r="AG69" s="12"/>
      <c r="AH69" s="12">
        <v>0</v>
      </c>
      <c r="AI69" s="12">
        <v>0</v>
      </c>
      <c r="AJ69" s="12">
        <v>0</v>
      </c>
      <c r="AK69" s="12">
        <v>0</v>
      </c>
      <c r="AL69" s="12"/>
      <c r="AM69" s="12"/>
    </row>
    <row r="70" spans="11:39" ht="11.25" customHeight="1" x14ac:dyDescent="0.25">
      <c r="K70" s="16" t="s">
        <v>689</v>
      </c>
      <c r="L70" s="12">
        <f t="shared" ref="L70:S70" si="2">IF((L65+L63)&lt;&gt;0,(L66-L64-L69)/(L65+L63),0)</f>
        <v>2.3026870940148982</v>
      </c>
      <c r="M70" s="12">
        <f t="shared" si="2"/>
        <v>1.0264117771387438</v>
      </c>
      <c r="N70" s="12">
        <f t="shared" ca="1" si="2"/>
        <v>1.807020915954946</v>
      </c>
      <c r="O70" s="12">
        <f t="shared" si="2"/>
        <v>0</v>
      </c>
      <c r="P70" s="12">
        <f t="shared" si="2"/>
        <v>0</v>
      </c>
      <c r="Q70" s="12">
        <f t="shared" si="2"/>
        <v>90.525215020273237</v>
      </c>
      <c r="R70" s="12">
        <f t="shared" si="2"/>
        <v>14.350908048983545</v>
      </c>
      <c r="S70" s="12">
        <f t="shared" si="2"/>
        <v>0</v>
      </c>
      <c r="T70" s="12"/>
      <c r="U70" s="12">
        <f>IF(U65&lt;&gt;0,(U66-U64-U63-U69)/U65,0)</f>
        <v>0</v>
      </c>
      <c r="V70" s="12">
        <f>IF(V65&lt;&gt;0,(V66-V64-V63-V69)/V65,0)</f>
        <v>0</v>
      </c>
      <c r="W70" s="12">
        <f>IF(W65&lt;&gt;0,(W66-W64-W63-W69)/W65,0)</f>
        <v>0</v>
      </c>
      <c r="X70" s="12">
        <f>IF(X65&lt;&gt;0,(X66-X64-X63-X69)/X65,0)</f>
        <v>0</v>
      </c>
      <c r="Y70" s="12">
        <f>IF(Y65&lt;&gt;0,(Y66-Y64-Y63-Y69)/Y65,0)</f>
        <v>1.2234875338386317</v>
      </c>
      <c r="Z70" s="12"/>
      <c r="AA70" s="12"/>
      <c r="AB70" s="12"/>
      <c r="AC70" s="12">
        <f>IF(AC65&lt;&gt;0,(AC66-AC64-AC63-AC69)/AC65,0)</f>
        <v>1.1707669476892184</v>
      </c>
      <c r="AD70" s="12"/>
      <c r="AE70" s="12">
        <f>IF((AE65+AE63)&lt;&gt;0,(AE66-AE64-AE69)/(AE65+AE63),0)</f>
        <v>0</v>
      </c>
      <c r="AF70" s="12">
        <f>IF((AF65+AF63)&lt;&gt;0,(AF66-AF64-AF69)/(AF65+AF63),0)</f>
        <v>0</v>
      </c>
      <c r="AG70" s="12"/>
      <c r="AH70" s="12">
        <f>IF(AH65&lt;&gt;0,(AH66-AH64-AH63-AH69)/AH65,0)</f>
        <v>0.96845260755718776</v>
      </c>
      <c r="AI70" s="12">
        <f>IF(AI65&lt;&gt;0,(AI66-AI64-AI63-AI69)/AI65,0)</f>
        <v>3.5590029263320298E-2</v>
      </c>
      <c r="AJ70" s="12">
        <f ca="1">IF((AJ65+AJ63)&lt;&gt;0,(AJ66-AJ64-AJ69)/(AJ65+AJ63),0)</f>
        <v>1.0198040842428278</v>
      </c>
      <c r="AK70" s="12">
        <f ca="1">IF((AK65+AK63)&lt;&gt;0,(AK66-AK64-AK69)/(AK65+AK63),0)</f>
        <v>0.18382219094955182</v>
      </c>
      <c r="AL70" s="12"/>
      <c r="AM70" s="12"/>
    </row>
    <row r="72" spans="11:39" ht="11.25" customHeight="1" x14ac:dyDescent="0.25">
      <c r="K72" s="19" t="s">
        <v>693</v>
      </c>
      <c r="L72" s="19" t="s">
        <v>694</v>
      </c>
      <c r="M72" s="19" t="s">
        <v>695</v>
      </c>
      <c r="N72" s="19" t="s">
        <v>696</v>
      </c>
      <c r="O72" s="19" t="s">
        <v>697</v>
      </c>
      <c r="P72" s="19" t="s">
        <v>698</v>
      </c>
    </row>
    <row r="73" spans="11:39" ht="11.25" customHeight="1" x14ac:dyDescent="0.25">
      <c r="K73" s="17" t="s">
        <v>42</v>
      </c>
      <c r="L73" s="17">
        <f ca="1">$O$74+$O$73</f>
        <v>46087113.003750674</v>
      </c>
      <c r="M73" s="17">
        <f>$P$74+$P$73</f>
        <v>209992.56</v>
      </c>
      <c r="N73" s="17">
        <f ca="1">IF(AND($L$81&lt;&gt;0,M73&lt;&gt;0),(L73/$L$81*$AJ$66)/M73,0)</f>
        <v>1.1971126089252555</v>
      </c>
      <c r="O73" s="17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2384802.497126102</v>
      </c>
      <c r="P73" s="17">
        <f>+'TUSD BE'!$I$7+'TUSD BE'!$I$8+'TUSD BE'!$I$11+'TUSD BE'!$I$12+'TUSD BE'!$I$13+'TUSD BE'!$I$14</f>
        <v>9200.2199999999993</v>
      </c>
    </row>
    <row r="74" spans="11:39" ht="11.25" customHeight="1" x14ac:dyDescent="0.25">
      <c r="K74" s="17" t="s">
        <v>33</v>
      </c>
      <c r="L74" s="17">
        <f ca="1">$O$74+$O$73</f>
        <v>46087113.003750674</v>
      </c>
      <c r="M74" s="17">
        <f>$P$74+$P$73</f>
        <v>209992.56</v>
      </c>
      <c r="N74" s="17">
        <f ca="1">IF(AND($L$81&lt;&gt;0,M74&lt;&gt;0),(L74/$L$81*$AJ$66)/M74,0)</f>
        <v>1.1971126089252555</v>
      </c>
      <c r="O74" s="17">
        <f ca="1">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</f>
        <v>43702310.506624572</v>
      </c>
      <c r="P74" s="17">
        <f>+'TUSD BE'!$I$17+'TUSD BE'!$I$18+'TUSD BE'!$I$21+'TUSD BE'!$I$22+'TUSD BE'!$I$23+'TUSD BE'!$I$24</f>
        <v>200792.34</v>
      </c>
    </row>
    <row r="75" spans="11:39" ht="11.25" customHeight="1" x14ac:dyDescent="0.25">
      <c r="K75" s="17" t="s">
        <v>81</v>
      </c>
      <c r="L75" s="17">
        <f ca="1">+$L$76+$L$77+$L$78+$L$79+$L$80</f>
        <v>44901984.656219721</v>
      </c>
      <c r="M75" s="17">
        <f>+$M$76+$M$77+$M$78+$M$79+$M$80</f>
        <v>139517.44600000003</v>
      </c>
      <c r="N75" s="17">
        <f ca="1">IF(AND($L$81&lt;&gt;0,M75&lt;&gt;0),(L75/$L$81*$AJ$66)/M75,0)</f>
        <v>1.7554821950429027</v>
      </c>
      <c r="O75" s="17"/>
      <c r="P75" s="17"/>
    </row>
    <row r="76" spans="11:39" ht="11.25" customHeight="1" x14ac:dyDescent="0.25">
      <c r="K76" s="17" t="s">
        <v>81</v>
      </c>
      <c r="L76" s="17"/>
      <c r="M76" s="17"/>
      <c r="N76" s="17">
        <f ca="1">IF(AND($L$81&lt;&gt;0,M76&lt;&gt;0),(L76/$L$81*$AJ$66)/M76,0)</f>
        <v>0</v>
      </c>
      <c r="O76" s="17"/>
      <c r="P76" s="17"/>
    </row>
    <row r="77" spans="11:39" ht="11.25" customHeight="1" x14ac:dyDescent="0.25">
      <c r="K77" s="17" t="s">
        <v>22</v>
      </c>
      <c r="L77" s="17">
        <f ca="1">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</f>
        <v>30518511.734740462</v>
      </c>
      <c r="M77" s="17">
        <f>+'TUSD BE'!$I$27+'TUSD BE'!$I$28+'TUSD BE'!$I$29+'TUSD BE'!$I$30+'TUSD BE'!$I$31+'TUSD BE'!$I$32+'TUSD BE'!$I$33+'TUSD BE'!$I$34+'TUSD BE'!$I$35+'TUSD BE'!$I$36+'TUSD BE'!$I$37+'TUSD BE'!$I$38+'TUSD BE'!$I$39</f>
        <v>91840.318000000014</v>
      </c>
      <c r="N77" s="17"/>
      <c r="O77" s="17"/>
      <c r="P77" s="17"/>
    </row>
    <row r="78" spans="11:39" ht="11.25" customHeight="1" x14ac:dyDescent="0.25">
      <c r="K78" s="17" t="s">
        <v>44</v>
      </c>
      <c r="L78" s="17">
        <f ca="1">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</f>
        <v>2164164.2105957009</v>
      </c>
      <c r="M78" s="17">
        <f>+'TUSD BE'!$I$40+'TUSD BE'!$I$41+'TUSD BE'!$I$42+'TUSD BE'!$I$43+'TUSD BE'!$I$44+'TUSD BE'!$I$45+'TUSD BE'!$I$46+'TUSD BE'!$I$47+'TUSD BE'!$I$48+'TUSD BE'!$I$49+'TUSD BE'!$I$50+'TUSD BE'!$I$51+'TUSD BE'!$I$52+'TUSD BE'!$I$53+'TUSD BE'!$I$54</f>
        <v>6344.375</v>
      </c>
      <c r="N78" s="17"/>
      <c r="O78" s="17"/>
      <c r="P78" s="17"/>
    </row>
    <row r="79" spans="11:39" ht="11.25" customHeight="1" x14ac:dyDescent="0.25">
      <c r="K79" s="17" t="s">
        <v>39</v>
      </c>
      <c r="L79" s="17">
        <f ca="1">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</f>
        <v>9930329.2385167759</v>
      </c>
      <c r="M79" s="17">
        <f>+'TUSD BE'!$I$55+'TUSD BE'!$I$56+'TUSD BE'!$I$57+'TUSD BE'!$I$58+'TUSD BE'!$I$59</f>
        <v>29132.246999999999</v>
      </c>
      <c r="N79" s="17"/>
      <c r="O79" s="17"/>
      <c r="P79" s="17"/>
    </row>
    <row r="80" spans="11:39" ht="11.25" customHeight="1" x14ac:dyDescent="0.25">
      <c r="K80" s="17" t="s">
        <v>47</v>
      </c>
      <c r="L80" s="17">
        <f ca="1">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</f>
        <v>2288979.4723667763</v>
      </c>
      <c r="M80" s="17">
        <f>+'TUSD BE'!$I$60+'TUSD BE'!$I$61</f>
        <v>12200.506000000001</v>
      </c>
      <c r="N80" s="17"/>
      <c r="O80" s="17"/>
      <c r="P80" s="17"/>
    </row>
    <row r="81" spans="11:16" ht="11.25" customHeight="1" x14ac:dyDescent="0.25">
      <c r="K81" s="17"/>
      <c r="L81" s="17">
        <f ca="1">SUM($L$73:$L$80,-$L$75) - $O$74 - $O$73</f>
        <v>90989097.659970403</v>
      </c>
      <c r="M81" s="17">
        <f>SUM($M$73:$M$80,-$M$75) - $P$74 - $P$73</f>
        <v>349510.00600000005</v>
      </c>
      <c r="N81" s="17"/>
      <c r="O81" s="17"/>
      <c r="P81" s="17"/>
    </row>
  </sheetData>
  <mergeCells count="86">
    <mergeCell ref="B20:B24"/>
    <mergeCell ref="A5:A14"/>
    <mergeCell ref="B5:B8"/>
    <mergeCell ref="C5:C8"/>
    <mergeCell ref="D5:D8"/>
    <mergeCell ref="A15:A24"/>
    <mergeCell ref="B15:B18"/>
    <mergeCell ref="B10:B14"/>
    <mergeCell ref="C10:C14"/>
    <mergeCell ref="D10:D14"/>
    <mergeCell ref="C15:C18"/>
    <mergeCell ref="D15:D18"/>
    <mergeCell ref="E5:E7"/>
    <mergeCell ref="F5:F7"/>
    <mergeCell ref="C20:C24"/>
    <mergeCell ref="D20:D24"/>
    <mergeCell ref="E20:E22"/>
    <mergeCell ref="F20:F22"/>
    <mergeCell ref="E23:E24"/>
    <mergeCell ref="F23:F24"/>
    <mergeCell ref="E10:E12"/>
    <mergeCell ref="F15:F17"/>
    <mergeCell ref="F10:F12"/>
    <mergeCell ref="E13:E14"/>
    <mergeCell ref="F13:F14"/>
    <mergeCell ref="E15:E17"/>
    <mergeCell ref="A25:A26"/>
    <mergeCell ref="B25:B26"/>
    <mergeCell ref="C25:C26"/>
    <mergeCell ref="D25:D2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E48:E50"/>
    <mergeCell ref="F48:F50"/>
    <mergeCell ref="A40:A54"/>
    <mergeCell ref="B40:B42"/>
    <mergeCell ref="C40:C42"/>
    <mergeCell ref="D40:D42"/>
    <mergeCell ref="E40:E42"/>
    <mergeCell ref="F40:F42"/>
    <mergeCell ref="B44:B46"/>
    <mergeCell ref="C44:C46"/>
    <mergeCell ref="D44:D46"/>
    <mergeCell ref="E44:E46"/>
    <mergeCell ref="F1:F4"/>
    <mergeCell ref="E55:E57"/>
    <mergeCell ref="F55:F57"/>
    <mergeCell ref="A60:A61"/>
    <mergeCell ref="B60:B61"/>
    <mergeCell ref="C60:C61"/>
    <mergeCell ref="B52:B54"/>
    <mergeCell ref="C52:C54"/>
    <mergeCell ref="A55:A59"/>
    <mergeCell ref="B55:B57"/>
    <mergeCell ref="C55:C57"/>
    <mergeCell ref="D55:D57"/>
    <mergeCell ref="F44:F46"/>
    <mergeCell ref="B48:B50"/>
    <mergeCell ref="C48:C50"/>
    <mergeCell ref="D48:D5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DE18-C7BD-4F65-85AA-C928EBAC3FAE}">
  <dimension ref="A1:AP68"/>
  <sheetViews>
    <sheetView showGridLines="0" topLeftCell="AA1" workbookViewId="0">
      <selection activeCell="AM63" sqref="AM6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690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P1" s="147" t="s">
        <v>684</v>
      </c>
    </row>
    <row r="2" spans="1:42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P2" s="148"/>
    </row>
    <row r="3" spans="1:42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P3" s="148"/>
    </row>
    <row r="4" spans="1:42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P4" s="148"/>
    </row>
    <row r="5" spans="1:42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f>'TR TUSD'!$L$5*'TR TUSD'!$L$70</f>
        <v>0</v>
      </c>
      <c r="M5" s="12">
        <f>'TR TUSD'!$M$5*'TR TUSD'!$M$70</f>
        <v>0</v>
      </c>
      <c r="N5" s="12">
        <f ca="1">'TR TUSD'!$N$5*'TR TUSD'!$N$70</f>
        <v>0</v>
      </c>
      <c r="O5" s="12">
        <f>'TR TUSD'!$O$5*'TR TUSD'!$O$70</f>
        <v>0</v>
      </c>
      <c r="P5" s="12">
        <f>'TR TUSD'!$P$5*'TR TUSD'!$P$70</f>
        <v>0</v>
      </c>
      <c r="Q5" s="12">
        <f>'TR TUSD'!$Q$5*'TR TUSD'!$Q$70</f>
        <v>0</v>
      </c>
      <c r="R5" s="12">
        <f>'TR TUSD'!$R$5*'TR TUSD'!$R$70</f>
        <v>0</v>
      </c>
      <c r="S5" s="12">
        <f>'TR TUSD'!$S$5*'TR TUSD'!$S$70</f>
        <v>0</v>
      </c>
      <c r="T5" s="12">
        <f ca="1">SUM($L$5:$S$5)</f>
        <v>0</v>
      </c>
      <c r="U5" s="12">
        <f>'TR TUSD'!$U$5*'TR TUSD'!$U$70</f>
        <v>0</v>
      </c>
      <c r="V5" s="12">
        <f>'TR TUSD'!$V$5*'TR TUSD'!$V$70</f>
        <v>0</v>
      </c>
      <c r="W5" s="12">
        <f>'TR TUSD'!$W$5*'TR TUSD'!$W$70</f>
        <v>0</v>
      </c>
      <c r="X5" s="12">
        <f>'TR TUSD'!$X$5*'TR TUSD'!$X$70</f>
        <v>0</v>
      </c>
      <c r="Y5" s="12">
        <f>'TR TUSD'!$Y$5*'TR TUSD'!$Y$70</f>
        <v>23.786310540370376</v>
      </c>
      <c r="Z5" s="12">
        <f>'TR TUSD'!$Z$5</f>
        <v>0</v>
      </c>
      <c r="AA5" s="12">
        <f>'TR TUSD'!$AA$5</f>
        <v>0</v>
      </c>
      <c r="AB5" s="12">
        <f>SUM($U$5:$AA$5)</f>
        <v>23.786310540370376</v>
      </c>
      <c r="AC5" s="12">
        <f>'TR TUSD'!$AC$5*'TR TUSD'!$AC$70</f>
        <v>17.186858792077725</v>
      </c>
      <c r="AD5" s="12">
        <f>SUM($AC$5:$AC$5)</f>
        <v>17.186858792077725</v>
      </c>
      <c r="AE5" s="12">
        <v>0</v>
      </c>
      <c r="AF5" s="12">
        <v>0</v>
      </c>
      <c r="AG5" s="12">
        <f>SUM($AE$5:$AF$5)</f>
        <v>0</v>
      </c>
      <c r="AH5" s="12">
        <f>'TR TUSD'!$AH$5*'TR TUSD'!$AH$70</f>
        <v>0</v>
      </c>
      <c r="AI5" s="12">
        <f>'TR TUSD'!$AI$5*'TR TUSD'!$AI$70</f>
        <v>0</v>
      </c>
      <c r="AJ5" s="12">
        <f ca="1">'TR TUSD'!$AJ$5*'TR TUSD'!$AJ$70</f>
        <v>0</v>
      </c>
      <c r="AK5" s="12">
        <f ca="1">'TR TUSD'!$AK$5*'TR TUSD'!$AK$70</f>
        <v>0</v>
      </c>
      <c r="AL5" s="12">
        <f ca="1">SUM($AH$5:$AK$5)</f>
        <v>0</v>
      </c>
      <c r="AM5" s="12">
        <f ca="1">SUMIF($L$4:$AL$4,"SUBTOTAL",$L$5:$AL$5)</f>
        <v>40.973169332448101</v>
      </c>
      <c r="AP5" s="12">
        <v>1</v>
      </c>
    </row>
    <row r="6" spans="1:42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f>'TR TUSD'!$L$6*'TR TUSD'!$L$70</f>
        <v>0</v>
      </c>
      <c r="M6" s="12">
        <f>'TR TUSD'!$M$6*'TR TUSD'!$M$70</f>
        <v>0</v>
      </c>
      <c r="N6" s="12">
        <f ca="1">'TR TUSD'!$N$6*'TR TUSD'!$N$70</f>
        <v>0</v>
      </c>
      <c r="O6" s="12">
        <f>'TR TUSD'!$O$6*'TR TUSD'!$O$70</f>
        <v>0</v>
      </c>
      <c r="P6" s="12">
        <f>'TR TUSD'!$P$6*'TR TUSD'!$P$70</f>
        <v>0</v>
      </c>
      <c r="Q6" s="12">
        <f>'TR TUSD'!$Q$6*'TR TUSD'!$Q$70</f>
        <v>0</v>
      </c>
      <c r="R6" s="12">
        <f>'TR TUSD'!$R$6*'TR TUSD'!$R$70</f>
        <v>0</v>
      </c>
      <c r="S6" s="12">
        <f>'TR TUSD'!$S$6*'TR TUSD'!$S$70</f>
        <v>0</v>
      </c>
      <c r="T6" s="12">
        <f ca="1">SUM($L$6:$S$6)</f>
        <v>0</v>
      </c>
      <c r="U6" s="12">
        <f>'TR TUSD'!$U$6*'TR TUSD'!$U$70</f>
        <v>0</v>
      </c>
      <c r="V6" s="12">
        <f>'TR TUSD'!$V$6*'TR TUSD'!$V$70</f>
        <v>0</v>
      </c>
      <c r="W6" s="12">
        <f>'TR TUSD'!$W$6*'TR TUSD'!$W$70</f>
        <v>0</v>
      </c>
      <c r="X6" s="12">
        <f>'TR TUSD'!$X$6*'TR TUSD'!$X$70</f>
        <v>0</v>
      </c>
      <c r="Y6" s="12">
        <f>'TR TUSD'!$Y$6*'TR TUSD'!$Y$70</f>
        <v>10.376520123238819</v>
      </c>
      <c r="Z6" s="12">
        <f>'TR TUSD'!$Z$6</f>
        <v>0</v>
      </c>
      <c r="AA6" s="12">
        <f>'TR TUSD'!$AA$6</f>
        <v>0</v>
      </c>
      <c r="AB6" s="12">
        <f>SUM($U$6:$AA$6)</f>
        <v>10.376520123238819</v>
      </c>
      <c r="AC6" s="12">
        <f>'TR TUSD'!$AC$6*'TR TUSD'!$AC$70</f>
        <v>5.5085755655725412</v>
      </c>
      <c r="AD6" s="12">
        <f>SUM($AC$6:$AC$6)</f>
        <v>5.5085755655725412</v>
      </c>
      <c r="AE6" s="12">
        <v>0</v>
      </c>
      <c r="AF6" s="12">
        <v>0</v>
      </c>
      <c r="AG6" s="12">
        <f>SUM($AE$6:$AF$6)</f>
        <v>0</v>
      </c>
      <c r="AH6" s="12">
        <f>'TR TUSD'!$AH$6*'TR TUSD'!$AH$70</f>
        <v>0</v>
      </c>
      <c r="AI6" s="12">
        <f>'TR TUSD'!$AI$6*'TR TUSD'!$AI$70</f>
        <v>0</v>
      </c>
      <c r="AJ6" s="12">
        <f ca="1">'TR TUSD'!$AJ$6*'TR TUSD'!$AJ$70</f>
        <v>0</v>
      </c>
      <c r="AK6" s="12">
        <f ca="1">'TR TUSD'!$AK$6*'TR TUSD'!$AK$70</f>
        <v>0</v>
      </c>
      <c r="AL6" s="12">
        <f ca="1">SUM($AH$6:$AK$6)</f>
        <v>0</v>
      </c>
      <c r="AM6" s="12">
        <f ca="1">SUMIF($L$4:$AL$4,"SUBTOTAL",$L$6:$AL$6)</f>
        <v>15.885095688811361</v>
      </c>
      <c r="AP6" s="12">
        <v>1</v>
      </c>
    </row>
    <row r="7" spans="1:42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'TR TUSD'!$L$7*'TR TUSD'!$L$70</f>
        <v>1.9342571589725144</v>
      </c>
      <c r="M7" s="12">
        <f>'TR TUSD'!$M$7*'TR TUSD'!$M$70</f>
        <v>0.20996788942378808</v>
      </c>
      <c r="N7" s="12">
        <f ca="1">'TR TUSD'!$N$7*'TR TUSD'!$N$70</f>
        <v>0.26207206604577954</v>
      </c>
      <c r="O7" s="12">
        <f>'TR TUSD'!$O$7*'TR TUSD'!$O$70</f>
        <v>0</v>
      </c>
      <c r="P7" s="12">
        <f>'TR TUSD'!$P$7*'TR TUSD'!$P$70</f>
        <v>0</v>
      </c>
      <c r="Q7" s="12">
        <f>'TR TUSD'!$Q$7*'TR TUSD'!$Q$70</f>
        <v>76.041180617029511</v>
      </c>
      <c r="R7" s="12">
        <f>'TR TUSD'!$R$7*'TR TUSD'!$R$70</f>
        <v>14.350908048983545</v>
      </c>
      <c r="S7" s="12">
        <f>'TR TUSD'!$S$7*'TR TUSD'!$S$70</f>
        <v>0</v>
      </c>
      <c r="T7" s="12">
        <f ca="1">SUM($L$7:$S$7)</f>
        <v>92.798385780455135</v>
      </c>
      <c r="U7" s="12">
        <f>'TR TUSD'!$U$7*'TR TUSD'!$U$70</f>
        <v>0</v>
      </c>
      <c r="V7" s="12">
        <f>'TR TUSD'!$V$7*'TR TUSD'!$V$70</f>
        <v>0</v>
      </c>
      <c r="W7" s="12">
        <f>'TR TUSD'!$W$7*'TR TUSD'!$W$70</f>
        <v>0</v>
      </c>
      <c r="X7" s="12">
        <f>'TR TUSD'!$X$7*'TR TUSD'!$X$70</f>
        <v>0</v>
      </c>
      <c r="Y7" s="12">
        <f>'TR TUSD'!$Y$7*'TR TUSD'!$Y$70</f>
        <v>0</v>
      </c>
      <c r="Z7" s="12">
        <f>'TR TUSD'!$Z$7</f>
        <v>0</v>
      </c>
      <c r="AA7" s="12">
        <f>'TR TUSD'!$AA$7</f>
        <v>0</v>
      </c>
      <c r="AB7" s="12">
        <f>SUM($U$7:$AA$7)</f>
        <v>0</v>
      </c>
      <c r="AC7" s="12">
        <f>'TR TUSD'!$AC$7*'TR TUSD'!$AC$70</f>
        <v>0</v>
      </c>
      <c r="AD7" s="12">
        <f>SUM($AC$7:$AC$7)</f>
        <v>0</v>
      </c>
      <c r="AE7" s="12">
        <v>0</v>
      </c>
      <c r="AF7" s="12">
        <v>0</v>
      </c>
      <c r="AG7" s="12">
        <f>SUM($AE$7:$AF$7)</f>
        <v>0</v>
      </c>
      <c r="AH7" s="12">
        <f>'TR TUSD'!$AH$7*'TR TUSD'!$AH$70</f>
        <v>4.795874157883949</v>
      </c>
      <c r="AI7" s="12">
        <f>'TR TUSD'!$AI$7*'TR TUSD'!$AI$70</f>
        <v>0.17624538391488845</v>
      </c>
      <c r="AJ7" s="12">
        <f ca="1">'TR TUSD'!$AJ$7*'TR TUSD'!$AJ$70</f>
        <v>1.2208203278805625</v>
      </c>
      <c r="AK7" s="12">
        <f ca="1">'TR TUSD'!$AK$7*'TR TUSD'!$AK$70</f>
        <v>0.22005586258597448</v>
      </c>
      <c r="AL7" s="12">
        <f ca="1">SUM($AH$7:$AK$7)</f>
        <v>6.4129957322653741</v>
      </c>
      <c r="AM7" s="12">
        <f ca="1">SUMIF($L$4:$AL$4,"SUBTOTAL",$L$7:$AL$7)</f>
        <v>99.211381512720507</v>
      </c>
      <c r="AP7" s="12">
        <v>1</v>
      </c>
    </row>
    <row r="8" spans="1:42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f>'TR TUSD'!$L$8*'TR TUSD'!$L$70</f>
        <v>0</v>
      </c>
      <c r="M8" s="12">
        <f>'TR TUSD'!$M$8*'TR TUSD'!$M$70</f>
        <v>0.20996788942378808</v>
      </c>
      <c r="N8" s="12">
        <f ca="1">'TR TUSD'!$N$8*'TR TUSD'!$N$70</f>
        <v>0.24400185688623005</v>
      </c>
      <c r="O8" s="12">
        <f>'TR TUSD'!$O$8*'TR TUSD'!$O$70</f>
        <v>0</v>
      </c>
      <c r="P8" s="12">
        <f>'TR TUSD'!$P$8*'TR TUSD'!$P$70</f>
        <v>0</v>
      </c>
      <c r="Q8" s="12">
        <f>'TR TUSD'!$Q$8*'TR TUSD'!$Q$70</f>
        <v>0</v>
      </c>
      <c r="R8" s="12">
        <f>'TR TUSD'!$R$8*'TR TUSD'!$R$70</f>
        <v>0</v>
      </c>
      <c r="S8" s="12">
        <f>'TR TUSD'!$S$8*'TR TUSD'!$S$70</f>
        <v>0</v>
      </c>
      <c r="T8" s="12">
        <f ca="1">SUM($L$8:$S$8)</f>
        <v>0.45396974631001813</v>
      </c>
      <c r="U8" s="12">
        <f>'TR TUSD'!$U$8*'TR TUSD'!$U$70</f>
        <v>0</v>
      </c>
      <c r="V8" s="12">
        <f>'TR TUSD'!$V$8*'TR TUSD'!$V$70</f>
        <v>0</v>
      </c>
      <c r="W8" s="12">
        <f>'TR TUSD'!$W$8*'TR TUSD'!$W$70</f>
        <v>0</v>
      </c>
      <c r="X8" s="12">
        <f>'TR TUSD'!$X$8*'TR TUSD'!$X$70</f>
        <v>0</v>
      </c>
      <c r="Y8" s="12">
        <f>'TR TUSD'!$Y$8*'TR TUSD'!$Y$70</f>
        <v>0</v>
      </c>
      <c r="Z8" s="12">
        <f>'TR TUSD'!$Z$8</f>
        <v>0</v>
      </c>
      <c r="AA8" s="12">
        <f>'TR TUSD'!$AA$8</f>
        <v>0</v>
      </c>
      <c r="AB8" s="12">
        <f>SUM($U$8:$AA$8)</f>
        <v>0</v>
      </c>
      <c r="AC8" s="12">
        <f>'TR TUSD'!$AC$8*'TR TUSD'!$AC$70</f>
        <v>0</v>
      </c>
      <c r="AD8" s="12">
        <f>SUM($AC$8:$AC$8)</f>
        <v>0</v>
      </c>
      <c r="AE8" s="12">
        <v>0</v>
      </c>
      <c r="AF8" s="12">
        <v>0</v>
      </c>
      <c r="AG8" s="12">
        <f>SUM($AE$8:$AF$8)</f>
        <v>0</v>
      </c>
      <c r="AH8" s="12">
        <f>'TR TUSD'!$AH$8*'TR TUSD'!$AH$70</f>
        <v>4.795874157883949</v>
      </c>
      <c r="AI8" s="12">
        <f>'TR TUSD'!$AI$8*'TR TUSD'!$AI$70</f>
        <v>0.17624538391488845</v>
      </c>
      <c r="AJ8" s="12">
        <f ca="1">'TR TUSD'!$AJ$8*'TR TUSD'!$AJ$70</f>
        <v>1.2208203278805625</v>
      </c>
      <c r="AK8" s="12">
        <f ca="1">'TR TUSD'!$AK$8*'TR TUSD'!$AK$70</f>
        <v>0.22005586258597448</v>
      </c>
      <c r="AL8" s="12">
        <f ca="1">SUM($AH$8:$AK$8)</f>
        <v>6.4129957322653741</v>
      </c>
      <c r="AM8" s="12">
        <f ca="1">SUMIF($L$4:$AL$4,"SUBTOTAL",$L$8:$AL$8)</f>
        <v>6.8669654785753922</v>
      </c>
      <c r="AP8" s="12">
        <v>1</v>
      </c>
    </row>
    <row r="9" spans="1:42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f>'TR TUSD'!$L$9*'TR TUSD'!$L$70</f>
        <v>0</v>
      </c>
      <c r="M9" s="12">
        <f>'TR TUSD'!$M$9*'TR TUSD'!$M$70</f>
        <v>1.991238847649163E-2</v>
      </c>
      <c r="N9" s="12">
        <f ca="1">'TR TUSD'!$N$9*'TR TUSD'!$N$70</f>
        <v>8.7821216515410375E-2</v>
      </c>
      <c r="O9" s="12">
        <f>'TR TUSD'!$O$9*'TR TUSD'!$O$70</f>
        <v>0</v>
      </c>
      <c r="P9" s="12">
        <f>'TR TUSD'!$P$9*'TR TUSD'!$P$70</f>
        <v>0</v>
      </c>
      <c r="Q9" s="12">
        <f>'TR TUSD'!$Q$9*'TR TUSD'!$Q$70</f>
        <v>0</v>
      </c>
      <c r="R9" s="12">
        <f>'TR TUSD'!$R$9*'TR TUSD'!$R$70</f>
        <v>0</v>
      </c>
      <c r="S9" s="12">
        <f>'TR TUSD'!$S$9*'TR TUSD'!$S$70</f>
        <v>0</v>
      </c>
      <c r="T9" s="12">
        <f ca="1">SUM($L$9:$S$9)</f>
        <v>0.107733604991902</v>
      </c>
      <c r="U9" s="12">
        <f>'TR TUSD'!$U$9*'TR TUSD'!$U$70</f>
        <v>0</v>
      </c>
      <c r="V9" s="12">
        <f>'TR TUSD'!$V$9*'TR TUSD'!$V$70</f>
        <v>0</v>
      </c>
      <c r="W9" s="12">
        <f>'TR TUSD'!$W$9*'TR TUSD'!$W$70</f>
        <v>0</v>
      </c>
      <c r="X9" s="12">
        <f>'TR TUSD'!$X$9*'TR TUSD'!$X$70</f>
        <v>0</v>
      </c>
      <c r="Y9" s="12">
        <f>'TR TUSD'!$Y$9*'TR TUSD'!$Y$70</f>
        <v>0</v>
      </c>
      <c r="Z9" s="12">
        <f>'TR TUSD'!$Z$9*'TR TUSD'!$Z$70</f>
        <v>0</v>
      </c>
      <c r="AA9" s="12">
        <f>'TR TUSD'!$AA$9*'TR TUSD'!$AA$70</f>
        <v>0</v>
      </c>
      <c r="AB9" s="12">
        <f>SUM($U$9:$AA$9)</f>
        <v>0</v>
      </c>
      <c r="AC9" s="12">
        <f>'TR TUSD'!$AC$9*'TR TUSD'!$AC$70</f>
        <v>5.6700243276588846</v>
      </c>
      <c r="AD9" s="12">
        <f>SUM($AC$9:$AC$9)</f>
        <v>5.6700243276588846</v>
      </c>
      <c r="AE9" s="12">
        <v>0</v>
      </c>
      <c r="AF9" s="12">
        <v>0</v>
      </c>
      <c r="AG9" s="12">
        <f>SUM($AE$9:$AF$9)</f>
        <v>0</v>
      </c>
      <c r="AH9" s="12">
        <f>'TR TUSD'!$AH$9*'TR TUSD'!$AH$70</f>
        <v>0</v>
      </c>
      <c r="AI9" s="12">
        <f>'TR TUSD'!$AI$9*'TR TUSD'!$AI$70</f>
        <v>0</v>
      </c>
      <c r="AJ9" s="12">
        <f ca="1">'TR TUSD'!$AJ$9*'TR TUSD'!$AJ$70</f>
        <v>0</v>
      </c>
      <c r="AK9" s="12">
        <f ca="1">'TR TUSD'!$AK$9*'TR TUSD'!$AK$70</f>
        <v>0</v>
      </c>
      <c r="AL9" s="12">
        <f ca="1">SUM($AH$9:$AK$9)</f>
        <v>0</v>
      </c>
      <c r="AM9" s="12">
        <f ca="1">SUMIF($L$4:$AL$4,"SUBTOTAL",$L$9:$AL$9)</f>
        <v>5.7777579326507871</v>
      </c>
      <c r="AP9" s="12"/>
    </row>
    <row r="10" spans="1:42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f>'TR TUSD'!$L$10*'TR TUSD'!$L$70</f>
        <v>0</v>
      </c>
      <c r="M10" s="12">
        <f>'TR TUSD'!$M$10*'TR TUSD'!$M$70</f>
        <v>0</v>
      </c>
      <c r="N10" s="12">
        <f ca="1">'TR TUSD'!$N$10*'TR TUSD'!$N$70</f>
        <v>0</v>
      </c>
      <c r="O10" s="12">
        <f>'TR TUSD'!$O$10*'TR TUSD'!$O$70</f>
        <v>0</v>
      </c>
      <c r="P10" s="12">
        <f>'TR TUSD'!$P$10*'TR TUSD'!$P$70</f>
        <v>0</v>
      </c>
      <c r="Q10" s="12">
        <f>'TR TUSD'!$Q$10*'TR TUSD'!$Q$70</f>
        <v>0</v>
      </c>
      <c r="R10" s="12">
        <f>'TR TUSD'!$R$10*'TR TUSD'!$R$70</f>
        <v>0</v>
      </c>
      <c r="S10" s="12">
        <f>'TR TUSD'!$S$10*'TR TUSD'!$S$70</f>
        <v>0</v>
      </c>
      <c r="T10" s="12">
        <f ca="1">SUM($L$10:$S$10)</f>
        <v>0</v>
      </c>
      <c r="U10" s="12">
        <f>'TR TUSD'!$U$10*'TR TUSD'!$U$70</f>
        <v>0</v>
      </c>
      <c r="V10" s="12">
        <f>'TR TUSD'!$V$10*'TR TUSD'!$V$70</f>
        <v>0</v>
      </c>
      <c r="W10" s="12">
        <f>'TR TUSD'!$W$10*'TR TUSD'!$W$70</f>
        <v>0</v>
      </c>
      <c r="X10" s="12">
        <f>'TR TUSD'!$X$10*'TR TUSD'!$X$70</f>
        <v>0</v>
      </c>
      <c r="Y10" s="12">
        <f>'TR TUSD'!$Y$10*'TR TUSD'!$Y$70</f>
        <v>10.376520123238819</v>
      </c>
      <c r="Z10" s="12">
        <f>'TR TUSD'!$Z$10</f>
        <v>0</v>
      </c>
      <c r="AA10" s="12">
        <f>'TR TUSD'!$AA$10</f>
        <v>0</v>
      </c>
      <c r="AB10" s="12">
        <f>SUM($U$10:$AA$10)</f>
        <v>10.376520123238819</v>
      </c>
      <c r="AC10" s="12">
        <f>'TR TUSD'!$AC$10*'TR TUSD'!$AC$70</f>
        <v>5.5085755655725412</v>
      </c>
      <c r="AD10" s="12">
        <f>SUM($AC$10:$AC$10)</f>
        <v>5.5085755655725412</v>
      </c>
      <c r="AE10" s="12">
        <v>0</v>
      </c>
      <c r="AF10" s="12">
        <v>0</v>
      </c>
      <c r="AG10" s="12">
        <f>SUM($AE$10:$AF$10)</f>
        <v>0</v>
      </c>
      <c r="AH10" s="12">
        <f>'TR TUSD'!$AH$10*'TR TUSD'!$AH$70</f>
        <v>0</v>
      </c>
      <c r="AI10" s="12">
        <f>'TR TUSD'!$AI$10*'TR TUSD'!$AI$70</f>
        <v>0</v>
      </c>
      <c r="AJ10" s="12">
        <f ca="1">'TR TUSD'!$AJ$10*'TR TUSD'!$AJ$70</f>
        <v>0</v>
      </c>
      <c r="AK10" s="12">
        <f ca="1">'TR TUSD'!$AK$10*'TR TUSD'!$AK$70</f>
        <v>0</v>
      </c>
      <c r="AL10" s="12">
        <f ca="1">SUM($AH$10:$AK$10)</f>
        <v>0</v>
      </c>
      <c r="AM10" s="12">
        <f ca="1">SUMIF($L$4:$AL$4,"SUBTOTAL",$L$10:$AL$10)</f>
        <v>15.885095688811361</v>
      </c>
      <c r="AP10" s="12">
        <v>1</v>
      </c>
    </row>
    <row r="11" spans="1:42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'TR TUSD'!$L$11*'TR TUSD'!$L$70</f>
        <v>1.9342571589725144</v>
      </c>
      <c r="M11" s="12">
        <f>'TR TUSD'!$M$11*'TR TUSD'!$M$70</f>
        <v>0.20996788942378808</v>
      </c>
      <c r="N11" s="12">
        <f ca="1">'TR TUSD'!$N$11*'TR TUSD'!$N$70</f>
        <v>15.090857948680757</v>
      </c>
      <c r="O11" s="12">
        <f>'TR TUSD'!$O$11*'TR TUSD'!$O$70</f>
        <v>0</v>
      </c>
      <c r="P11" s="12">
        <f>'TR TUSD'!$P$11*'TR TUSD'!$P$70</f>
        <v>0</v>
      </c>
      <c r="Q11" s="12">
        <f>'TR TUSD'!$Q$11*'TR TUSD'!$Q$70</f>
        <v>76.041180617029511</v>
      </c>
      <c r="R11" s="12">
        <f>'TR TUSD'!$R$11*'TR TUSD'!$R$70</f>
        <v>14.350908048983545</v>
      </c>
      <c r="S11" s="12">
        <f>'TR TUSD'!$S$11*'TR TUSD'!$S$70</f>
        <v>0</v>
      </c>
      <c r="T11" s="12">
        <f ca="1">SUM($L$11:$S$11)</f>
        <v>107.62717166309011</v>
      </c>
      <c r="U11" s="12">
        <f>'TR TUSD'!$U$11*'TR TUSD'!$U$70</f>
        <v>0</v>
      </c>
      <c r="V11" s="12">
        <f>'TR TUSD'!$V$11*'TR TUSD'!$V$70</f>
        <v>0</v>
      </c>
      <c r="W11" s="12">
        <f>'TR TUSD'!$W$11*'TR TUSD'!$W$70</f>
        <v>0</v>
      </c>
      <c r="X11" s="12">
        <f>'TR TUSD'!$X$11*'TR TUSD'!$X$70</f>
        <v>0</v>
      </c>
      <c r="Y11" s="12">
        <f>'TR TUSD'!$Y$11*'TR TUSD'!$Y$70</f>
        <v>572.06104989804032</v>
      </c>
      <c r="Z11" s="12">
        <f>'TR TUSD'!$Z$11</f>
        <v>0</v>
      </c>
      <c r="AA11" s="12">
        <f>'TR TUSD'!$AA$11</f>
        <v>0</v>
      </c>
      <c r="AB11" s="12">
        <f>SUM($U$11:$AA$11)</f>
        <v>572.06104989804032</v>
      </c>
      <c r="AC11" s="12">
        <f>'TR TUSD'!$AC$11*'TR TUSD'!$AC$70</f>
        <v>413.34477348633271</v>
      </c>
      <c r="AD11" s="12">
        <f>SUM($AC$11:$AC$11)</f>
        <v>413.34477348633271</v>
      </c>
      <c r="AE11" s="12">
        <v>0</v>
      </c>
      <c r="AF11" s="12">
        <v>0</v>
      </c>
      <c r="AG11" s="12">
        <f>SUM($AE$11:$AF$11)</f>
        <v>0</v>
      </c>
      <c r="AH11" s="12">
        <f>'TR TUSD'!$AH$11*'TR TUSD'!$AH$70</f>
        <v>4.795874157883949</v>
      </c>
      <c r="AI11" s="12">
        <f>'TR TUSD'!$AI$11*'TR TUSD'!$AI$70</f>
        <v>0.17624538391488845</v>
      </c>
      <c r="AJ11" s="12">
        <f ca="1">'TR TUSD'!$AJ$11*'TR TUSD'!$AJ$70</f>
        <v>1.2208203278805625</v>
      </c>
      <c r="AK11" s="12">
        <f ca="1">'TR TUSD'!$AK$11*'TR TUSD'!$AK$70</f>
        <v>0.22005586258597448</v>
      </c>
      <c r="AL11" s="12">
        <f ca="1">SUM($AH$11:$AK$11)</f>
        <v>6.4129957322653741</v>
      </c>
      <c r="AM11" s="12">
        <f ca="1">SUMIF($L$4:$AL$4,"SUBTOTAL",$L$11:$AL$11)</f>
        <v>1099.4459907797286</v>
      </c>
      <c r="AP11" s="12">
        <v>1</v>
      </c>
    </row>
    <row r="12" spans="1:42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'TR TUSD'!$L$12*'TR TUSD'!$L$70</f>
        <v>1.9342571589725144</v>
      </c>
      <c r="M12" s="12">
        <f>'TR TUSD'!$M$12*'TR TUSD'!$M$70</f>
        <v>0.20996788942378808</v>
      </c>
      <c r="N12" s="12">
        <f ca="1">'TR TUSD'!$N$12*'TR TUSD'!$N$70</f>
        <v>0.26207206604577954</v>
      </c>
      <c r="O12" s="12">
        <f>'TR TUSD'!$O$12*'TR TUSD'!$O$70</f>
        <v>0</v>
      </c>
      <c r="P12" s="12">
        <f>'TR TUSD'!$P$12*'TR TUSD'!$P$70</f>
        <v>0</v>
      </c>
      <c r="Q12" s="12">
        <f>'TR TUSD'!$Q$12*'TR TUSD'!$Q$70</f>
        <v>76.041180617029511</v>
      </c>
      <c r="R12" s="12">
        <f>'TR TUSD'!$R$12*'TR TUSD'!$R$70</f>
        <v>14.350908048983545</v>
      </c>
      <c r="S12" s="12">
        <f>'TR TUSD'!$S$12*'TR TUSD'!$S$70</f>
        <v>0</v>
      </c>
      <c r="T12" s="12">
        <f ca="1">SUM($L$12:$S$12)</f>
        <v>92.798385780455135</v>
      </c>
      <c r="U12" s="12">
        <f>'TR TUSD'!$U$12*'TR TUSD'!$U$70</f>
        <v>0</v>
      </c>
      <c r="V12" s="12">
        <f>'TR TUSD'!$V$12*'TR TUSD'!$V$70</f>
        <v>0</v>
      </c>
      <c r="W12" s="12">
        <f>'TR TUSD'!$W$12*'TR TUSD'!$W$70</f>
        <v>0</v>
      </c>
      <c r="X12" s="12">
        <f>'TR TUSD'!$X$12*'TR TUSD'!$X$70</f>
        <v>0</v>
      </c>
      <c r="Y12" s="12">
        <f>'TR TUSD'!$Y$12*'TR TUSD'!$Y$70</f>
        <v>0</v>
      </c>
      <c r="Z12" s="12">
        <f>'TR TUSD'!$Z$12</f>
        <v>0</v>
      </c>
      <c r="AA12" s="12">
        <f>'TR TUSD'!$AA$12</f>
        <v>0</v>
      </c>
      <c r="AB12" s="12">
        <f>SUM($U$12:$AA$12)</f>
        <v>0</v>
      </c>
      <c r="AC12" s="12">
        <f>'TR TUSD'!$AC$12*'TR TUSD'!$AC$70</f>
        <v>0</v>
      </c>
      <c r="AD12" s="12">
        <f>SUM($AC$12:$AC$12)</f>
        <v>0</v>
      </c>
      <c r="AE12" s="12">
        <v>0</v>
      </c>
      <c r="AF12" s="12">
        <v>0</v>
      </c>
      <c r="AG12" s="12">
        <f>SUM($AE$12:$AF$12)</f>
        <v>0</v>
      </c>
      <c r="AH12" s="12">
        <f>'TR TUSD'!$AH$12*'TR TUSD'!$AH$70</f>
        <v>4.795874157883949</v>
      </c>
      <c r="AI12" s="12">
        <f>'TR TUSD'!$AI$12*'TR TUSD'!$AI$70</f>
        <v>0.17624538391488845</v>
      </c>
      <c r="AJ12" s="12">
        <f ca="1">'TR TUSD'!$AJ$12*'TR TUSD'!$AJ$70</f>
        <v>1.2208203278805625</v>
      </c>
      <c r="AK12" s="12">
        <f ca="1">'TR TUSD'!$AK$12*'TR TUSD'!$AK$70</f>
        <v>0.22005586258597448</v>
      </c>
      <c r="AL12" s="12">
        <f ca="1">SUM($AH$12:$AK$12)</f>
        <v>6.4129957322653741</v>
      </c>
      <c r="AM12" s="12">
        <f ca="1">SUMIF($L$4:$AL$4,"SUBTOTAL",$L$12:$AL$12)</f>
        <v>99.211381512720507</v>
      </c>
      <c r="AP12" s="12">
        <v>1</v>
      </c>
    </row>
    <row r="13" spans="1:42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f>'TR TUSD'!$L$13*'TR TUSD'!$L$70</f>
        <v>0</v>
      </c>
      <c r="M13" s="12">
        <f>'TR TUSD'!$M$13*'TR TUSD'!$M$70</f>
        <v>0.20996788942378808</v>
      </c>
      <c r="N13" s="12">
        <f ca="1">'TR TUSD'!$N$13*'TR TUSD'!$N$70</f>
        <v>15.072787739521203</v>
      </c>
      <c r="O13" s="12">
        <f>'TR TUSD'!$O$13*'TR TUSD'!$O$70</f>
        <v>0</v>
      </c>
      <c r="P13" s="12">
        <f>'TR TUSD'!$P$13*'TR TUSD'!$P$70</f>
        <v>0</v>
      </c>
      <c r="Q13" s="12">
        <f>'TR TUSD'!$Q$13*'TR TUSD'!$Q$70</f>
        <v>0</v>
      </c>
      <c r="R13" s="12">
        <f>'TR TUSD'!$R$13*'TR TUSD'!$R$70</f>
        <v>0</v>
      </c>
      <c r="S13" s="12">
        <f>'TR TUSD'!$S$13*'TR TUSD'!$S$70</f>
        <v>0</v>
      </c>
      <c r="T13" s="12">
        <f ca="1">SUM($L$13:$S$13)</f>
        <v>15.282755628944992</v>
      </c>
      <c r="U13" s="12">
        <f>'TR TUSD'!$U$13*'TR TUSD'!$U$70</f>
        <v>0</v>
      </c>
      <c r="V13" s="12">
        <f>'TR TUSD'!$V$13*'TR TUSD'!$V$70</f>
        <v>0</v>
      </c>
      <c r="W13" s="12">
        <f>'TR TUSD'!$W$13*'TR TUSD'!$W$70</f>
        <v>0</v>
      </c>
      <c r="X13" s="12">
        <f>'TR TUSD'!$X$13*'TR TUSD'!$X$70</f>
        <v>0</v>
      </c>
      <c r="Y13" s="12">
        <f>'TR TUSD'!$Y$13*'TR TUSD'!$Y$70</f>
        <v>572.06104989804032</v>
      </c>
      <c r="Z13" s="12">
        <f>'TR TUSD'!$Z$13</f>
        <v>0</v>
      </c>
      <c r="AA13" s="12">
        <f>'TR TUSD'!$AA$13</f>
        <v>0</v>
      </c>
      <c r="AB13" s="12">
        <f>SUM($U$13:$AA$13)</f>
        <v>572.06104989804032</v>
      </c>
      <c r="AC13" s="12">
        <f>'TR TUSD'!$AC$13*'TR TUSD'!$AC$70</f>
        <v>413.34477348633271</v>
      </c>
      <c r="AD13" s="12">
        <f>SUM($AC$13:$AC$13)</f>
        <v>413.34477348633271</v>
      </c>
      <c r="AE13" s="12">
        <v>0</v>
      </c>
      <c r="AF13" s="12">
        <v>0</v>
      </c>
      <c r="AG13" s="12">
        <f>SUM($AE$13:$AF$13)</f>
        <v>0</v>
      </c>
      <c r="AH13" s="12">
        <f>'TR TUSD'!$AH$13*'TR TUSD'!$AH$70</f>
        <v>4.795874157883949</v>
      </c>
      <c r="AI13" s="12">
        <f>'TR TUSD'!$AI$13*'TR TUSD'!$AI$70</f>
        <v>0.17624538391488845</v>
      </c>
      <c r="AJ13" s="12">
        <f ca="1">'TR TUSD'!$AJ$13*'TR TUSD'!$AJ$70</f>
        <v>1.2208203278805625</v>
      </c>
      <c r="AK13" s="12">
        <f ca="1">'TR TUSD'!$AK$13*'TR TUSD'!$AK$70</f>
        <v>0.22005586258597448</v>
      </c>
      <c r="AL13" s="12">
        <f ca="1">SUM($AH$13:$AK$13)</f>
        <v>6.4129957322653741</v>
      </c>
      <c r="AM13" s="12">
        <f ca="1">SUMIF($L$4:$AL$4,"SUBTOTAL",$L$13:$AL$13)</f>
        <v>1007.1015747455834</v>
      </c>
      <c r="AP13" s="12">
        <v>1</v>
      </c>
    </row>
    <row r="14" spans="1:42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f>'TR TUSD'!$L$14*'TR TUSD'!$L$70</f>
        <v>0</v>
      </c>
      <c r="M14" s="12">
        <f>'TR TUSD'!$M$14*'TR TUSD'!$M$70</f>
        <v>0.20996788942378808</v>
      </c>
      <c r="N14" s="12">
        <f ca="1">'TR TUSD'!$N$14*'TR TUSD'!$N$70</f>
        <v>0.24400185688623005</v>
      </c>
      <c r="O14" s="12">
        <f>'TR TUSD'!$O$14*'TR TUSD'!$O$70</f>
        <v>0</v>
      </c>
      <c r="P14" s="12">
        <f>'TR TUSD'!$P$14*'TR TUSD'!$P$70</f>
        <v>0</v>
      </c>
      <c r="Q14" s="12">
        <f>'TR TUSD'!$Q$14*'TR TUSD'!$Q$70</f>
        <v>0</v>
      </c>
      <c r="R14" s="12">
        <f>'TR TUSD'!$R$14*'TR TUSD'!$R$70</f>
        <v>0</v>
      </c>
      <c r="S14" s="12">
        <f>'TR TUSD'!$S$14*'TR TUSD'!$S$70</f>
        <v>0</v>
      </c>
      <c r="T14" s="12">
        <f ca="1">SUM($L$14:$S$14)</f>
        <v>0.45396974631001813</v>
      </c>
      <c r="U14" s="12">
        <f>'TR TUSD'!$U$14*'TR TUSD'!$U$70</f>
        <v>0</v>
      </c>
      <c r="V14" s="12">
        <f>'TR TUSD'!$V$14*'TR TUSD'!$V$70</f>
        <v>0</v>
      </c>
      <c r="W14" s="12">
        <f>'TR TUSD'!$W$14*'TR TUSD'!$W$70</f>
        <v>0</v>
      </c>
      <c r="X14" s="12">
        <f>'TR TUSD'!$X$14*'TR TUSD'!$X$70</f>
        <v>0</v>
      </c>
      <c r="Y14" s="12">
        <f>'TR TUSD'!$Y$14*'TR TUSD'!$Y$70</f>
        <v>0</v>
      </c>
      <c r="Z14" s="12">
        <f>'TR TUSD'!$Z$14</f>
        <v>0</v>
      </c>
      <c r="AA14" s="12">
        <f>'TR TUSD'!$AA$14</f>
        <v>0</v>
      </c>
      <c r="AB14" s="12">
        <f>SUM($U$14:$AA$14)</f>
        <v>0</v>
      </c>
      <c r="AC14" s="12">
        <f>'TR TUSD'!$AC$14*'TR TUSD'!$AC$70</f>
        <v>0</v>
      </c>
      <c r="AD14" s="12">
        <f>SUM($AC$14:$AC$14)</f>
        <v>0</v>
      </c>
      <c r="AE14" s="12">
        <v>0</v>
      </c>
      <c r="AF14" s="12">
        <v>0</v>
      </c>
      <c r="AG14" s="12">
        <f>SUM($AE$14:$AF$14)</f>
        <v>0</v>
      </c>
      <c r="AH14" s="12">
        <f>'TR TUSD'!$AH$14*'TR TUSD'!$AH$70</f>
        <v>4.795874157883949</v>
      </c>
      <c r="AI14" s="12">
        <f>'TR TUSD'!$AI$14*'TR TUSD'!$AI$70</f>
        <v>0.17624538391488845</v>
      </c>
      <c r="AJ14" s="12">
        <f ca="1">'TR TUSD'!$AJ$14*'TR TUSD'!$AJ$70</f>
        <v>1.2208203278805625</v>
      </c>
      <c r="AK14" s="12">
        <f ca="1">'TR TUSD'!$AK$14*'TR TUSD'!$AK$70</f>
        <v>0.22005586258597448</v>
      </c>
      <c r="AL14" s="12">
        <f ca="1">SUM($AH$14:$AK$14)</f>
        <v>6.4129957322653741</v>
      </c>
      <c r="AM14" s="12">
        <f ca="1">SUMIF($L$4:$AL$4,"SUBTOTAL",$L$14:$AL$14)</f>
        <v>6.8669654785753922</v>
      </c>
      <c r="AP14" s="12">
        <v>1</v>
      </c>
    </row>
    <row r="15" spans="1:42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f>'TR TUSD'!$L$15*'TR TUSD'!$L$70</f>
        <v>0</v>
      </c>
      <c r="M15" s="12">
        <f>'TR TUSD'!$M$15*'TR TUSD'!$M$70</f>
        <v>0</v>
      </c>
      <c r="N15" s="12">
        <f ca="1">'TR TUSD'!$N$15*'TR TUSD'!$N$70</f>
        <v>0</v>
      </c>
      <c r="O15" s="12">
        <f>'TR TUSD'!$O$15*'TR TUSD'!$O$70</f>
        <v>0</v>
      </c>
      <c r="P15" s="12">
        <f>'TR TUSD'!$P$15*'TR TUSD'!$P$70</f>
        <v>0</v>
      </c>
      <c r="Q15" s="12">
        <f>'TR TUSD'!$Q$15*'TR TUSD'!$Q$70</f>
        <v>0</v>
      </c>
      <c r="R15" s="12">
        <f>'TR TUSD'!$R$15*'TR TUSD'!$R$70</f>
        <v>0</v>
      </c>
      <c r="S15" s="12">
        <f>'TR TUSD'!$S$15*'TR TUSD'!$S$70</f>
        <v>0</v>
      </c>
      <c r="T15" s="12">
        <f ca="1">SUM($L$15:$S$15)</f>
        <v>0</v>
      </c>
      <c r="U15" s="12">
        <f>'TR TUSD'!$U$15*'TR TUSD'!$U$70</f>
        <v>0</v>
      </c>
      <c r="V15" s="12">
        <f>'TR TUSD'!$V$15*'TR TUSD'!$V$70</f>
        <v>0</v>
      </c>
      <c r="W15" s="12">
        <f>'TR TUSD'!$W$15*'TR TUSD'!$W$70</f>
        <v>0</v>
      </c>
      <c r="X15" s="12">
        <f>'TR TUSD'!$X$15*'TR TUSD'!$X$70</f>
        <v>0</v>
      </c>
      <c r="Y15" s="12">
        <f>'TR TUSD'!$Y$15*'TR TUSD'!$Y$70</f>
        <v>23.786310540370376</v>
      </c>
      <c r="Z15" s="12">
        <f>'TR TUSD'!$Z$15</f>
        <v>0</v>
      </c>
      <c r="AA15" s="12">
        <f>'TR TUSD'!$AA$15</f>
        <v>0</v>
      </c>
      <c r="AB15" s="12">
        <f>SUM($U$15:$AA$15)</f>
        <v>23.786310540370376</v>
      </c>
      <c r="AC15" s="12">
        <f>'TR TUSD'!$AC$15*'TR TUSD'!$AC$70</f>
        <v>17.186858792077725</v>
      </c>
      <c r="AD15" s="12">
        <f>SUM($AC$15:$AC$15)</f>
        <v>17.186858792077725</v>
      </c>
      <c r="AE15" s="12">
        <v>0</v>
      </c>
      <c r="AF15" s="12">
        <v>0</v>
      </c>
      <c r="AG15" s="12">
        <f>SUM($AE$15:$AF$15)</f>
        <v>0</v>
      </c>
      <c r="AH15" s="12">
        <f>'TR TUSD'!$AH$15*'TR TUSD'!$AH$70</f>
        <v>0</v>
      </c>
      <c r="AI15" s="12">
        <f>'TR TUSD'!$AI$15*'TR TUSD'!$AI$70</f>
        <v>0</v>
      </c>
      <c r="AJ15" s="12">
        <f ca="1">'TR TUSD'!$AJ$15*'TR TUSD'!$AJ$70</f>
        <v>0</v>
      </c>
      <c r="AK15" s="12">
        <f ca="1">'TR TUSD'!$AK$15*'TR TUSD'!$AK$70</f>
        <v>0</v>
      </c>
      <c r="AL15" s="12">
        <f ca="1">SUM($AH$15:$AK$15)</f>
        <v>0</v>
      </c>
      <c r="AM15" s="12">
        <f ca="1">SUMIF($L$4:$AL$4,"SUBTOTAL",$L$15:$AL$15)</f>
        <v>40.973169332448101</v>
      </c>
      <c r="AP15" s="12">
        <v>1</v>
      </c>
    </row>
    <row r="16" spans="1:42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f>'TR TUSD'!$L$16*'TR TUSD'!$L$70</f>
        <v>0</v>
      </c>
      <c r="M16" s="12">
        <f>'TR TUSD'!$M$16*'TR TUSD'!$M$70</f>
        <v>0</v>
      </c>
      <c r="N16" s="12">
        <f ca="1">'TR TUSD'!$N$16*'TR TUSD'!$N$70</f>
        <v>0</v>
      </c>
      <c r="O16" s="12">
        <f>'TR TUSD'!$O$16*'TR TUSD'!$O$70</f>
        <v>0</v>
      </c>
      <c r="P16" s="12">
        <f>'TR TUSD'!$P$16*'TR TUSD'!$P$70</f>
        <v>0</v>
      </c>
      <c r="Q16" s="12">
        <f>'TR TUSD'!$Q$16*'TR TUSD'!$Q$70</f>
        <v>0</v>
      </c>
      <c r="R16" s="12">
        <f>'TR TUSD'!$R$16*'TR TUSD'!$R$70</f>
        <v>0</v>
      </c>
      <c r="S16" s="12">
        <f>'TR TUSD'!$S$16*'TR TUSD'!$S$70</f>
        <v>0</v>
      </c>
      <c r="T16" s="12">
        <f ca="1">SUM($L$16:$S$16)</f>
        <v>0</v>
      </c>
      <c r="U16" s="12">
        <f>'TR TUSD'!$U$16*'TR TUSD'!$U$70</f>
        <v>0</v>
      </c>
      <c r="V16" s="12">
        <f>'TR TUSD'!$V$16*'TR TUSD'!$V$70</f>
        <v>0</v>
      </c>
      <c r="W16" s="12">
        <f>'TR TUSD'!$W$16*'TR TUSD'!$W$70</f>
        <v>0</v>
      </c>
      <c r="X16" s="12">
        <f>'TR TUSD'!$X$16*'TR TUSD'!$X$70</f>
        <v>0</v>
      </c>
      <c r="Y16" s="12">
        <f>'TR TUSD'!$Y$16*'TR TUSD'!$Y$70</f>
        <v>10.376520123238819</v>
      </c>
      <c r="Z16" s="12">
        <f>'TR TUSD'!$Z$16</f>
        <v>0</v>
      </c>
      <c r="AA16" s="12">
        <f>'TR TUSD'!$AA$16</f>
        <v>0</v>
      </c>
      <c r="AB16" s="12">
        <f>SUM($U$16:$AA$16)</f>
        <v>10.376520123238819</v>
      </c>
      <c r="AC16" s="12">
        <f>'TR TUSD'!$AC$16*'TR TUSD'!$AC$70</f>
        <v>5.5085755655725412</v>
      </c>
      <c r="AD16" s="12">
        <f>SUM($AC$16:$AC$16)</f>
        <v>5.5085755655725412</v>
      </c>
      <c r="AE16" s="12">
        <v>0</v>
      </c>
      <c r="AF16" s="12">
        <v>0</v>
      </c>
      <c r="AG16" s="12">
        <f>SUM($AE$16:$AF$16)</f>
        <v>0</v>
      </c>
      <c r="AH16" s="12">
        <f>'TR TUSD'!$AH$16*'TR TUSD'!$AH$70</f>
        <v>0</v>
      </c>
      <c r="AI16" s="12">
        <f>'TR TUSD'!$AI$16*'TR TUSD'!$AI$70</f>
        <v>0</v>
      </c>
      <c r="AJ16" s="12">
        <f ca="1">'TR TUSD'!$AJ$16*'TR TUSD'!$AJ$70</f>
        <v>0</v>
      </c>
      <c r="AK16" s="12">
        <f ca="1">'TR TUSD'!$AK$16*'TR TUSD'!$AK$70</f>
        <v>0</v>
      </c>
      <c r="AL16" s="12">
        <f ca="1">SUM($AH$16:$AK$16)</f>
        <v>0</v>
      </c>
      <c r="AM16" s="12">
        <f ca="1">SUMIF($L$4:$AL$4,"SUBTOTAL",$L$16:$AL$16)</f>
        <v>15.885095688811361</v>
      </c>
      <c r="AP16" s="12">
        <v>1</v>
      </c>
    </row>
    <row r="17" spans="1:42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'TR TUSD'!$L$17*'TR TUSD'!$L$70</f>
        <v>1.9342571589725144</v>
      </c>
      <c r="M17" s="12">
        <f>'TR TUSD'!$M$17*'TR TUSD'!$M$70</f>
        <v>0.20996788942378808</v>
      </c>
      <c r="N17" s="12">
        <f ca="1">'TR TUSD'!$N$17*'TR TUSD'!$N$70</f>
        <v>0.26207206604577954</v>
      </c>
      <c r="O17" s="12">
        <f>'TR TUSD'!$O$17*'TR TUSD'!$O$70</f>
        <v>0</v>
      </c>
      <c r="P17" s="12">
        <f>'TR TUSD'!$P$17*'TR TUSD'!$P$70</f>
        <v>0</v>
      </c>
      <c r="Q17" s="12">
        <f>'TR TUSD'!$Q$17*'TR TUSD'!$Q$70</f>
        <v>76.041180617029511</v>
      </c>
      <c r="R17" s="12">
        <f>'TR TUSD'!$R$17*'TR TUSD'!$R$70</f>
        <v>14.350908048983545</v>
      </c>
      <c r="S17" s="12">
        <f>'TR TUSD'!$S$17*'TR TUSD'!$S$70</f>
        <v>0</v>
      </c>
      <c r="T17" s="12">
        <f ca="1">SUM($L$17:$S$17)</f>
        <v>92.798385780455135</v>
      </c>
      <c r="U17" s="12">
        <f>'TR TUSD'!$U$17*'TR TUSD'!$U$70</f>
        <v>0</v>
      </c>
      <c r="V17" s="12">
        <f>'TR TUSD'!$V$17*'TR TUSD'!$V$70</f>
        <v>0</v>
      </c>
      <c r="W17" s="12">
        <f>'TR TUSD'!$W$17*'TR TUSD'!$W$70</f>
        <v>0</v>
      </c>
      <c r="X17" s="12">
        <f>'TR TUSD'!$X$17*'TR TUSD'!$X$70</f>
        <v>0</v>
      </c>
      <c r="Y17" s="12">
        <f>'TR TUSD'!$Y$17*'TR TUSD'!$Y$70</f>
        <v>0</v>
      </c>
      <c r="Z17" s="12">
        <f>'TR TUSD'!$Z$17</f>
        <v>0</v>
      </c>
      <c r="AA17" s="12">
        <f>'TR TUSD'!$AA$17</f>
        <v>0</v>
      </c>
      <c r="AB17" s="12">
        <f>SUM($U$17:$AA$17)</f>
        <v>0</v>
      </c>
      <c r="AC17" s="12">
        <f>'TR TUSD'!$AC$17*'TR TUSD'!$AC$70</f>
        <v>0</v>
      </c>
      <c r="AD17" s="12">
        <f>SUM($AC$17:$AC$17)</f>
        <v>0</v>
      </c>
      <c r="AE17" s="12">
        <v>0</v>
      </c>
      <c r="AF17" s="12">
        <v>0</v>
      </c>
      <c r="AG17" s="12">
        <f>SUM($AE$17:$AF$17)</f>
        <v>0</v>
      </c>
      <c r="AH17" s="12">
        <f>'TR TUSD'!$AH$17*'TR TUSD'!$AH$70</f>
        <v>4.795874157883949</v>
      </c>
      <c r="AI17" s="12">
        <f>'TR TUSD'!$AI$17*'TR TUSD'!$AI$70</f>
        <v>0.17624538391488845</v>
      </c>
      <c r="AJ17" s="12">
        <f ca="1">'TR TUSD'!$AJ$17*'TR TUSD'!$AJ$70</f>
        <v>1.2208203278805625</v>
      </c>
      <c r="AK17" s="12">
        <f ca="1">'TR TUSD'!$AK$17*'TR TUSD'!$AK$70</f>
        <v>0.22005586258597448</v>
      </c>
      <c r="AL17" s="12">
        <f ca="1">SUM($AH$17:$AK$17)</f>
        <v>6.4129957322653741</v>
      </c>
      <c r="AM17" s="12">
        <f ca="1">SUMIF($L$4:$AL$4,"SUBTOTAL",$L$17:$AL$17)</f>
        <v>99.211381512720507</v>
      </c>
      <c r="AP17" s="12">
        <v>1</v>
      </c>
    </row>
    <row r="18" spans="1:42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f>'TR TUSD'!$L$18*'TR TUSD'!$L$70</f>
        <v>0</v>
      </c>
      <c r="M18" s="12">
        <f>'TR TUSD'!$M$18*'TR TUSD'!$M$70</f>
        <v>0.20996788942378808</v>
      </c>
      <c r="N18" s="12">
        <f ca="1">'TR TUSD'!$N$18*'TR TUSD'!$N$70</f>
        <v>0.24400185688623005</v>
      </c>
      <c r="O18" s="12">
        <f>'TR TUSD'!$O$18*'TR TUSD'!$O$70</f>
        <v>0</v>
      </c>
      <c r="P18" s="12">
        <f>'TR TUSD'!$P$18*'TR TUSD'!$P$70</f>
        <v>0</v>
      </c>
      <c r="Q18" s="12">
        <f>'TR TUSD'!$Q$18*'TR TUSD'!$Q$70</f>
        <v>0</v>
      </c>
      <c r="R18" s="12">
        <f>'TR TUSD'!$R$18*'TR TUSD'!$R$70</f>
        <v>0</v>
      </c>
      <c r="S18" s="12">
        <f>'TR TUSD'!$S$18*'TR TUSD'!$S$70</f>
        <v>0</v>
      </c>
      <c r="T18" s="12">
        <f ca="1">SUM($L$18:$S$18)</f>
        <v>0.45396974631001813</v>
      </c>
      <c r="U18" s="12">
        <f>'TR TUSD'!$U$18*'TR TUSD'!$U$70</f>
        <v>0</v>
      </c>
      <c r="V18" s="12">
        <f>'TR TUSD'!$V$18*'TR TUSD'!$V$70</f>
        <v>0</v>
      </c>
      <c r="W18" s="12">
        <f>'TR TUSD'!$W$18*'TR TUSD'!$W$70</f>
        <v>0</v>
      </c>
      <c r="X18" s="12">
        <f>'TR TUSD'!$X$18*'TR TUSD'!$X$70</f>
        <v>0</v>
      </c>
      <c r="Y18" s="12">
        <f>'TR TUSD'!$Y$18*'TR TUSD'!$Y$70</f>
        <v>0</v>
      </c>
      <c r="Z18" s="12">
        <f>'TR TUSD'!$Z$18</f>
        <v>0</v>
      </c>
      <c r="AA18" s="12">
        <f>'TR TUSD'!$AA$18</f>
        <v>0</v>
      </c>
      <c r="AB18" s="12">
        <f>SUM($U$18:$AA$18)</f>
        <v>0</v>
      </c>
      <c r="AC18" s="12">
        <f>'TR TUSD'!$AC$18*'TR TUSD'!$AC$70</f>
        <v>0</v>
      </c>
      <c r="AD18" s="12">
        <f>SUM($AC$18:$AC$18)</f>
        <v>0</v>
      </c>
      <c r="AE18" s="12">
        <v>0</v>
      </c>
      <c r="AF18" s="12">
        <v>0</v>
      </c>
      <c r="AG18" s="12">
        <f>SUM($AE$18:$AF$18)</f>
        <v>0</v>
      </c>
      <c r="AH18" s="12">
        <f>'TR TUSD'!$AH$18*'TR TUSD'!$AH$70</f>
        <v>4.795874157883949</v>
      </c>
      <c r="AI18" s="12">
        <f>'TR TUSD'!$AI$18*'TR TUSD'!$AI$70</f>
        <v>0.17624538391488845</v>
      </c>
      <c r="AJ18" s="12">
        <f ca="1">'TR TUSD'!$AJ$18*'TR TUSD'!$AJ$70</f>
        <v>1.2208203278805625</v>
      </c>
      <c r="AK18" s="12">
        <f ca="1">'TR TUSD'!$AK$18*'TR TUSD'!$AK$70</f>
        <v>0.22005586258597448</v>
      </c>
      <c r="AL18" s="12">
        <f ca="1">SUM($AH$18:$AK$18)</f>
        <v>6.4129957322653741</v>
      </c>
      <c r="AM18" s="12">
        <f ca="1">SUMIF($L$4:$AL$4,"SUBTOTAL",$L$18:$AL$18)</f>
        <v>6.8669654785753922</v>
      </c>
      <c r="AP18" s="12">
        <v>1</v>
      </c>
    </row>
    <row r="19" spans="1:42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f>'TR TUSD'!$L$19*'TR TUSD'!$L$70</f>
        <v>0</v>
      </c>
      <c r="M19" s="12">
        <f>'TR TUSD'!$M$19*'TR TUSD'!$M$70</f>
        <v>1.991238847649163E-2</v>
      </c>
      <c r="N19" s="12">
        <f ca="1">'TR TUSD'!$N$19*'TR TUSD'!$N$70</f>
        <v>8.7821216515410375E-2</v>
      </c>
      <c r="O19" s="12">
        <f>'TR TUSD'!$O$19*'TR TUSD'!$O$70</f>
        <v>0</v>
      </c>
      <c r="P19" s="12">
        <f>'TR TUSD'!$P$19*'TR TUSD'!$P$70</f>
        <v>0</v>
      </c>
      <c r="Q19" s="12">
        <f>'TR TUSD'!$Q$19*'TR TUSD'!$Q$70</f>
        <v>0</v>
      </c>
      <c r="R19" s="12">
        <f>'TR TUSD'!$R$19*'TR TUSD'!$R$70</f>
        <v>0</v>
      </c>
      <c r="S19" s="12">
        <f>'TR TUSD'!$S$19*'TR TUSD'!$S$70</f>
        <v>0</v>
      </c>
      <c r="T19" s="12">
        <f ca="1">SUM($L$19:$S$19)</f>
        <v>0.107733604991902</v>
      </c>
      <c r="U19" s="12">
        <f>'TR TUSD'!$U$19*'TR TUSD'!$U$70</f>
        <v>0</v>
      </c>
      <c r="V19" s="12">
        <f>'TR TUSD'!$V$19*'TR TUSD'!$V$70</f>
        <v>0</v>
      </c>
      <c r="W19" s="12">
        <f>'TR TUSD'!$W$19*'TR TUSD'!$W$70</f>
        <v>0</v>
      </c>
      <c r="X19" s="12">
        <f>'TR TUSD'!$X$19*'TR TUSD'!$X$70</f>
        <v>0</v>
      </c>
      <c r="Y19" s="12">
        <f>'TR TUSD'!$Y$19*'TR TUSD'!$Y$70</f>
        <v>0</v>
      </c>
      <c r="Z19" s="12">
        <f>'TR TUSD'!$Z$19*'TR TUSD'!$Z$70</f>
        <v>0</v>
      </c>
      <c r="AA19" s="12">
        <f>'TR TUSD'!$AA$19*'TR TUSD'!$AA$70</f>
        <v>0</v>
      </c>
      <c r="AB19" s="12">
        <f>SUM($U$19:$AA$19)</f>
        <v>0</v>
      </c>
      <c r="AC19" s="12">
        <f>'TR TUSD'!$AC$19*'TR TUSD'!$AC$70</f>
        <v>5.6700243276588846</v>
      </c>
      <c r="AD19" s="12">
        <f>SUM($AC$19:$AC$19)</f>
        <v>5.6700243276588846</v>
      </c>
      <c r="AE19" s="12">
        <v>0</v>
      </c>
      <c r="AF19" s="12">
        <v>0</v>
      </c>
      <c r="AG19" s="12">
        <f>SUM($AE$19:$AF$19)</f>
        <v>0</v>
      </c>
      <c r="AH19" s="12">
        <f>'TR TUSD'!$AH$19*'TR TUSD'!$AH$70</f>
        <v>0</v>
      </c>
      <c r="AI19" s="12">
        <f>'TR TUSD'!$AI$19*'TR TUSD'!$AI$70</f>
        <v>0</v>
      </c>
      <c r="AJ19" s="12">
        <f ca="1">'TR TUSD'!$AJ$19*'TR TUSD'!$AJ$70</f>
        <v>0</v>
      </c>
      <c r="AK19" s="12">
        <f ca="1">'TR TUSD'!$AK$19*'TR TUSD'!$AK$70</f>
        <v>0</v>
      </c>
      <c r="AL19" s="12">
        <f ca="1">SUM($AH$19:$AK$19)</f>
        <v>0</v>
      </c>
      <c r="AM19" s="12">
        <f ca="1">SUMIF($L$4:$AL$4,"SUBTOTAL",$L$19:$AL$19)</f>
        <v>5.7777579326507871</v>
      </c>
      <c r="AP19" s="12"/>
    </row>
    <row r="20" spans="1:42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f>'TR TUSD'!$L$20*'TR TUSD'!$L$70</f>
        <v>0</v>
      </c>
      <c r="M20" s="12">
        <f>'TR TUSD'!$M$20*'TR TUSD'!$M$70</f>
        <v>0</v>
      </c>
      <c r="N20" s="12">
        <f ca="1">'TR TUSD'!$N$20*'TR TUSD'!$N$70</f>
        <v>0</v>
      </c>
      <c r="O20" s="12">
        <f>'TR TUSD'!$O$20*'TR TUSD'!$O$70</f>
        <v>0</v>
      </c>
      <c r="P20" s="12">
        <f>'TR TUSD'!$P$20*'TR TUSD'!$P$70</f>
        <v>0</v>
      </c>
      <c r="Q20" s="12">
        <f>'TR TUSD'!$Q$20*'TR TUSD'!$Q$70</f>
        <v>0</v>
      </c>
      <c r="R20" s="12">
        <f>'TR TUSD'!$R$20*'TR TUSD'!$R$70</f>
        <v>0</v>
      </c>
      <c r="S20" s="12">
        <f>'TR TUSD'!$S$20*'TR TUSD'!$S$70</f>
        <v>0</v>
      </c>
      <c r="T20" s="12">
        <f ca="1">SUM($L$20:$S$20)</f>
        <v>0</v>
      </c>
      <c r="U20" s="12">
        <f>'TR TUSD'!$U$20*'TR TUSD'!$U$70</f>
        <v>0</v>
      </c>
      <c r="V20" s="12">
        <f>'TR TUSD'!$V$20*'TR TUSD'!$V$70</f>
        <v>0</v>
      </c>
      <c r="W20" s="12">
        <f>'TR TUSD'!$W$20*'TR TUSD'!$W$70</f>
        <v>0</v>
      </c>
      <c r="X20" s="12">
        <f>'TR TUSD'!$X$20*'TR TUSD'!$X$70</f>
        <v>0</v>
      </c>
      <c r="Y20" s="12">
        <f>'TR TUSD'!$Y$20*'TR TUSD'!$Y$70</f>
        <v>10.376520123238819</v>
      </c>
      <c r="Z20" s="12">
        <f>'TR TUSD'!$Z$20</f>
        <v>0</v>
      </c>
      <c r="AA20" s="12">
        <f>'TR TUSD'!$AA$20</f>
        <v>0</v>
      </c>
      <c r="AB20" s="12">
        <f>SUM($U$20:$AA$20)</f>
        <v>10.376520123238819</v>
      </c>
      <c r="AC20" s="12">
        <f>'TR TUSD'!$AC$20*'TR TUSD'!$AC$70</f>
        <v>5.5085755655725412</v>
      </c>
      <c r="AD20" s="12">
        <f>SUM($AC$20:$AC$20)</f>
        <v>5.5085755655725412</v>
      </c>
      <c r="AE20" s="12">
        <v>0</v>
      </c>
      <c r="AF20" s="12">
        <v>0</v>
      </c>
      <c r="AG20" s="12">
        <f>SUM($AE$20:$AF$20)</f>
        <v>0</v>
      </c>
      <c r="AH20" s="12">
        <f>'TR TUSD'!$AH$20*'TR TUSD'!$AH$70</f>
        <v>0</v>
      </c>
      <c r="AI20" s="12">
        <f>'TR TUSD'!$AI$20*'TR TUSD'!$AI$70</f>
        <v>0</v>
      </c>
      <c r="AJ20" s="12">
        <f ca="1">'TR TUSD'!$AJ$20*'TR TUSD'!$AJ$70</f>
        <v>0</v>
      </c>
      <c r="AK20" s="12">
        <f ca="1">'TR TUSD'!$AK$20*'TR TUSD'!$AK$70</f>
        <v>0</v>
      </c>
      <c r="AL20" s="12">
        <f ca="1">SUM($AH$20:$AK$20)</f>
        <v>0</v>
      </c>
      <c r="AM20" s="12">
        <f ca="1">SUMIF($L$4:$AL$4,"SUBTOTAL",$L$20:$AL$20)</f>
        <v>15.885095688811361</v>
      </c>
      <c r="AP20" s="12">
        <v>1</v>
      </c>
    </row>
    <row r="21" spans="1:42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'TR TUSD'!$L$21*'TR TUSD'!$L$70</f>
        <v>1.9342571589725144</v>
      </c>
      <c r="M21" s="12">
        <f>'TR TUSD'!$M$21*'TR TUSD'!$M$70</f>
        <v>0.20996788942378808</v>
      </c>
      <c r="N21" s="12">
        <f ca="1">'TR TUSD'!$N$21*'TR TUSD'!$N$70</f>
        <v>15.090857948680757</v>
      </c>
      <c r="O21" s="12">
        <f>'TR TUSD'!$O$21*'TR TUSD'!$O$70</f>
        <v>0</v>
      </c>
      <c r="P21" s="12">
        <f>'TR TUSD'!$P$21*'TR TUSD'!$P$70</f>
        <v>0</v>
      </c>
      <c r="Q21" s="12">
        <f>'TR TUSD'!$Q$21*'TR TUSD'!$Q$70</f>
        <v>76.041180617029511</v>
      </c>
      <c r="R21" s="12">
        <f>'TR TUSD'!$R$21*'TR TUSD'!$R$70</f>
        <v>14.350908048983545</v>
      </c>
      <c r="S21" s="12">
        <f>'TR TUSD'!$S$21*'TR TUSD'!$S$70</f>
        <v>0</v>
      </c>
      <c r="T21" s="12">
        <f ca="1">SUM($L$21:$S$21)</f>
        <v>107.62717166309011</v>
      </c>
      <c r="U21" s="12">
        <f>'TR TUSD'!$U$21*'TR TUSD'!$U$70</f>
        <v>0</v>
      </c>
      <c r="V21" s="12">
        <f>'TR TUSD'!$V$21*'TR TUSD'!$V$70</f>
        <v>0</v>
      </c>
      <c r="W21" s="12">
        <f>'TR TUSD'!$W$21*'TR TUSD'!$W$70</f>
        <v>0</v>
      </c>
      <c r="X21" s="12">
        <f>'TR TUSD'!$X$21*'TR TUSD'!$X$70</f>
        <v>0</v>
      </c>
      <c r="Y21" s="12">
        <f>'TR TUSD'!$Y$21*'TR TUSD'!$Y$70</f>
        <v>572.06104989804032</v>
      </c>
      <c r="Z21" s="12">
        <f>'TR TUSD'!$Z$21</f>
        <v>0</v>
      </c>
      <c r="AA21" s="12">
        <f>'TR TUSD'!$AA$21</f>
        <v>0</v>
      </c>
      <c r="AB21" s="12">
        <f>SUM($U$21:$AA$21)</f>
        <v>572.06104989804032</v>
      </c>
      <c r="AC21" s="12">
        <f>'TR TUSD'!$AC$21*'TR TUSD'!$AC$70</f>
        <v>413.34477348633271</v>
      </c>
      <c r="AD21" s="12">
        <f>SUM($AC$21:$AC$21)</f>
        <v>413.34477348633271</v>
      </c>
      <c r="AE21" s="12">
        <v>0</v>
      </c>
      <c r="AF21" s="12">
        <v>0</v>
      </c>
      <c r="AG21" s="12">
        <f>SUM($AE$21:$AF$21)</f>
        <v>0</v>
      </c>
      <c r="AH21" s="12">
        <f>'TR TUSD'!$AH$21*'TR TUSD'!$AH$70</f>
        <v>4.795874157883949</v>
      </c>
      <c r="AI21" s="12">
        <f>'TR TUSD'!$AI$21*'TR TUSD'!$AI$70</f>
        <v>0.17624538391488845</v>
      </c>
      <c r="AJ21" s="12">
        <f ca="1">'TR TUSD'!$AJ$21*'TR TUSD'!$AJ$70</f>
        <v>1.2208203278805625</v>
      </c>
      <c r="AK21" s="12">
        <f ca="1">'TR TUSD'!$AK$21*'TR TUSD'!$AK$70</f>
        <v>0.22005586258597448</v>
      </c>
      <c r="AL21" s="12">
        <f ca="1">SUM($AH$21:$AK$21)</f>
        <v>6.4129957322653741</v>
      </c>
      <c r="AM21" s="12">
        <f ca="1">SUMIF($L$4:$AL$4,"SUBTOTAL",$L$21:$AL$21)</f>
        <v>1099.4459907797286</v>
      </c>
      <c r="AP21" s="12">
        <v>1</v>
      </c>
    </row>
    <row r="22" spans="1:42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'TR TUSD'!$L$22*'TR TUSD'!$L$70</f>
        <v>1.9342571589725144</v>
      </c>
      <c r="M22" s="12">
        <f>'TR TUSD'!$M$22*'TR TUSD'!$M$70</f>
        <v>0.20996788942378808</v>
      </c>
      <c r="N22" s="12">
        <f ca="1">'TR TUSD'!$N$22*'TR TUSD'!$N$70</f>
        <v>0.26207206604577954</v>
      </c>
      <c r="O22" s="12">
        <f>'TR TUSD'!$O$22*'TR TUSD'!$O$70</f>
        <v>0</v>
      </c>
      <c r="P22" s="12">
        <f>'TR TUSD'!$P$22*'TR TUSD'!$P$70</f>
        <v>0</v>
      </c>
      <c r="Q22" s="12">
        <f>'TR TUSD'!$Q$22*'TR TUSD'!$Q$70</f>
        <v>76.041180617029511</v>
      </c>
      <c r="R22" s="12">
        <f>'TR TUSD'!$R$22*'TR TUSD'!$R$70</f>
        <v>14.350908048983545</v>
      </c>
      <c r="S22" s="12">
        <f>'TR TUSD'!$S$22*'TR TUSD'!$S$70</f>
        <v>0</v>
      </c>
      <c r="T22" s="12">
        <f ca="1">SUM($L$22:$S$22)</f>
        <v>92.798385780455135</v>
      </c>
      <c r="U22" s="12">
        <f>'TR TUSD'!$U$22*'TR TUSD'!$U$70</f>
        <v>0</v>
      </c>
      <c r="V22" s="12">
        <f>'TR TUSD'!$V$22*'TR TUSD'!$V$70</f>
        <v>0</v>
      </c>
      <c r="W22" s="12">
        <f>'TR TUSD'!$W$22*'TR TUSD'!$W$70</f>
        <v>0</v>
      </c>
      <c r="X22" s="12">
        <f>'TR TUSD'!$X$22*'TR TUSD'!$X$70</f>
        <v>0</v>
      </c>
      <c r="Y22" s="12">
        <f>'TR TUSD'!$Y$22*'TR TUSD'!$Y$70</f>
        <v>0</v>
      </c>
      <c r="Z22" s="12">
        <f>'TR TUSD'!$Z$22</f>
        <v>0</v>
      </c>
      <c r="AA22" s="12">
        <f>'TR TUSD'!$AA$22</f>
        <v>0</v>
      </c>
      <c r="AB22" s="12">
        <f>SUM($U$22:$AA$22)</f>
        <v>0</v>
      </c>
      <c r="AC22" s="12">
        <f>'TR TUSD'!$AC$22*'TR TUSD'!$AC$70</f>
        <v>0</v>
      </c>
      <c r="AD22" s="12">
        <f>SUM($AC$22:$AC$22)</f>
        <v>0</v>
      </c>
      <c r="AE22" s="12">
        <v>0</v>
      </c>
      <c r="AF22" s="12">
        <v>0</v>
      </c>
      <c r="AG22" s="12">
        <f>SUM($AE$22:$AF$22)</f>
        <v>0</v>
      </c>
      <c r="AH22" s="12">
        <f>'TR TUSD'!$AH$22*'TR TUSD'!$AH$70</f>
        <v>4.795874157883949</v>
      </c>
      <c r="AI22" s="12">
        <f>'TR TUSD'!$AI$22*'TR TUSD'!$AI$70</f>
        <v>0.17624538391488845</v>
      </c>
      <c r="AJ22" s="12">
        <f ca="1">'TR TUSD'!$AJ$22*'TR TUSD'!$AJ$70</f>
        <v>1.2208203278805625</v>
      </c>
      <c r="AK22" s="12">
        <f ca="1">'TR TUSD'!$AK$22*'TR TUSD'!$AK$70</f>
        <v>0.22005586258597448</v>
      </c>
      <c r="AL22" s="12">
        <f ca="1">SUM($AH$22:$AK$22)</f>
        <v>6.4129957322653741</v>
      </c>
      <c r="AM22" s="12">
        <f ca="1">SUMIF($L$4:$AL$4,"SUBTOTAL",$L$22:$AL$22)</f>
        <v>99.211381512720507</v>
      </c>
      <c r="AP22" s="12">
        <v>1</v>
      </c>
    </row>
    <row r="23" spans="1:42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f>'TR TUSD'!$L$23*'TR TUSD'!$L$70</f>
        <v>0</v>
      </c>
      <c r="M23" s="12">
        <f>'TR TUSD'!$M$23*'TR TUSD'!$M$70</f>
        <v>0.20996788942378808</v>
      </c>
      <c r="N23" s="12">
        <f ca="1">'TR TUSD'!$N$23*'TR TUSD'!$N$70</f>
        <v>15.072787739521203</v>
      </c>
      <c r="O23" s="12">
        <f>'TR TUSD'!$O$23*'TR TUSD'!$O$70</f>
        <v>0</v>
      </c>
      <c r="P23" s="12">
        <f>'TR TUSD'!$P$23*'TR TUSD'!$P$70</f>
        <v>0</v>
      </c>
      <c r="Q23" s="12">
        <f>'TR TUSD'!$Q$23*'TR TUSD'!$Q$70</f>
        <v>0</v>
      </c>
      <c r="R23" s="12">
        <f>'TR TUSD'!$R$23*'TR TUSD'!$R$70</f>
        <v>0</v>
      </c>
      <c r="S23" s="12">
        <f>'TR TUSD'!$S$23*'TR TUSD'!$S$70</f>
        <v>0</v>
      </c>
      <c r="T23" s="12">
        <f ca="1">SUM($L$23:$S$23)</f>
        <v>15.282755628944992</v>
      </c>
      <c r="U23" s="12">
        <f>'TR TUSD'!$U$23*'TR TUSD'!$U$70</f>
        <v>0</v>
      </c>
      <c r="V23" s="12">
        <f>'TR TUSD'!$V$23*'TR TUSD'!$V$70</f>
        <v>0</v>
      </c>
      <c r="W23" s="12">
        <f>'TR TUSD'!$W$23*'TR TUSD'!$W$70</f>
        <v>0</v>
      </c>
      <c r="X23" s="12">
        <f>'TR TUSD'!$X$23*'TR TUSD'!$X$70</f>
        <v>0</v>
      </c>
      <c r="Y23" s="12">
        <f>'TR TUSD'!$Y$23*'TR TUSD'!$Y$70</f>
        <v>572.06104989804032</v>
      </c>
      <c r="Z23" s="12">
        <f>'TR TUSD'!$Z$23</f>
        <v>0</v>
      </c>
      <c r="AA23" s="12">
        <f>'TR TUSD'!$AA$23</f>
        <v>0</v>
      </c>
      <c r="AB23" s="12">
        <f>SUM($U$23:$AA$23)</f>
        <v>572.06104989804032</v>
      </c>
      <c r="AC23" s="12">
        <f>'TR TUSD'!$AC$23*'TR TUSD'!$AC$70</f>
        <v>413.34477348633271</v>
      </c>
      <c r="AD23" s="12">
        <f>SUM($AC$23:$AC$23)</f>
        <v>413.34477348633271</v>
      </c>
      <c r="AE23" s="12">
        <v>0</v>
      </c>
      <c r="AF23" s="12">
        <v>0</v>
      </c>
      <c r="AG23" s="12">
        <f>SUM($AE$23:$AF$23)</f>
        <v>0</v>
      </c>
      <c r="AH23" s="12">
        <f>'TR TUSD'!$AH$23*'TR TUSD'!$AH$70</f>
        <v>4.795874157883949</v>
      </c>
      <c r="AI23" s="12">
        <f>'TR TUSD'!$AI$23*'TR TUSD'!$AI$70</f>
        <v>0.17624538391488845</v>
      </c>
      <c r="AJ23" s="12">
        <f ca="1">'TR TUSD'!$AJ$23*'TR TUSD'!$AJ$70</f>
        <v>1.2208203278805625</v>
      </c>
      <c r="AK23" s="12">
        <f ca="1">'TR TUSD'!$AK$23*'TR TUSD'!$AK$70</f>
        <v>0.22005586258597448</v>
      </c>
      <c r="AL23" s="12">
        <f ca="1">SUM($AH$23:$AK$23)</f>
        <v>6.4129957322653741</v>
      </c>
      <c r="AM23" s="12">
        <f ca="1">SUMIF($L$4:$AL$4,"SUBTOTAL",$L$23:$AL$23)</f>
        <v>1007.1015747455834</v>
      </c>
      <c r="AP23" s="12">
        <v>1</v>
      </c>
    </row>
    <row r="24" spans="1:42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f>'TR TUSD'!$L$24*'TR TUSD'!$L$70</f>
        <v>0</v>
      </c>
      <c r="M24" s="12">
        <f>'TR TUSD'!$M$24*'TR TUSD'!$M$70</f>
        <v>0.20996788942378808</v>
      </c>
      <c r="N24" s="12">
        <f ca="1">'TR TUSD'!$N$24*'TR TUSD'!$N$70</f>
        <v>0.24400185688623005</v>
      </c>
      <c r="O24" s="12">
        <f>'TR TUSD'!$O$24*'TR TUSD'!$O$70</f>
        <v>0</v>
      </c>
      <c r="P24" s="12">
        <f>'TR TUSD'!$P$24*'TR TUSD'!$P$70</f>
        <v>0</v>
      </c>
      <c r="Q24" s="12">
        <f>'TR TUSD'!$Q$24*'TR TUSD'!$Q$70</f>
        <v>0</v>
      </c>
      <c r="R24" s="12">
        <f>'TR TUSD'!$R$24*'TR TUSD'!$R$70</f>
        <v>0</v>
      </c>
      <c r="S24" s="12">
        <f>'TR TUSD'!$S$24*'TR TUSD'!$S$70</f>
        <v>0</v>
      </c>
      <c r="T24" s="12">
        <f ca="1">SUM($L$24:$S$24)</f>
        <v>0.45396974631001813</v>
      </c>
      <c r="U24" s="12">
        <f>'TR TUSD'!$U$24*'TR TUSD'!$U$70</f>
        <v>0</v>
      </c>
      <c r="V24" s="12">
        <f>'TR TUSD'!$V$24*'TR TUSD'!$V$70</f>
        <v>0</v>
      </c>
      <c r="W24" s="12">
        <f>'TR TUSD'!$W$24*'TR TUSD'!$W$70</f>
        <v>0</v>
      </c>
      <c r="X24" s="12">
        <f>'TR TUSD'!$X$24*'TR TUSD'!$X$70</f>
        <v>0</v>
      </c>
      <c r="Y24" s="12">
        <f>'TR TUSD'!$Y$24*'TR TUSD'!$Y$70</f>
        <v>0</v>
      </c>
      <c r="Z24" s="12">
        <f>'TR TUSD'!$Z$24</f>
        <v>0</v>
      </c>
      <c r="AA24" s="12">
        <f>'TR TUSD'!$AA$24</f>
        <v>0</v>
      </c>
      <c r="AB24" s="12">
        <f>SUM($U$24:$AA$24)</f>
        <v>0</v>
      </c>
      <c r="AC24" s="12">
        <f>'TR TUSD'!$AC$24*'TR TUSD'!$AC$70</f>
        <v>0</v>
      </c>
      <c r="AD24" s="12">
        <f>SUM($AC$24:$AC$24)</f>
        <v>0</v>
      </c>
      <c r="AE24" s="12">
        <v>0</v>
      </c>
      <c r="AF24" s="12">
        <v>0</v>
      </c>
      <c r="AG24" s="12">
        <f>SUM($AE$24:$AF$24)</f>
        <v>0</v>
      </c>
      <c r="AH24" s="12">
        <f>'TR TUSD'!$AH$24*'TR TUSD'!$AH$70</f>
        <v>4.795874157883949</v>
      </c>
      <c r="AI24" s="12">
        <f>'TR TUSD'!$AI$24*'TR TUSD'!$AI$70</f>
        <v>0.17624538391488845</v>
      </c>
      <c r="AJ24" s="12">
        <f ca="1">'TR TUSD'!$AJ$24*'TR TUSD'!$AJ$70</f>
        <v>1.2208203278805625</v>
      </c>
      <c r="AK24" s="12">
        <f ca="1">'TR TUSD'!$AK$24*'TR TUSD'!$AK$70</f>
        <v>0.22005586258597448</v>
      </c>
      <c r="AL24" s="12">
        <f ca="1">SUM($AH$24:$AK$24)</f>
        <v>6.4129957322653741</v>
      </c>
      <c r="AM24" s="12">
        <f ca="1">SUMIF($L$4:$AL$4,"SUBTOTAL",$L$24:$AL$24)</f>
        <v>6.8669654785753922</v>
      </c>
      <c r="AP24" s="12">
        <v>1</v>
      </c>
    </row>
    <row r="25" spans="1:42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f>'TR TUSD'!$L$25*'TR TUSD'!$L$70</f>
        <v>0</v>
      </c>
      <c r="M25" s="12">
        <f>'TR TUSD'!$M$25*'TR TUSD'!$M$70</f>
        <v>1.1085247193098433E-2</v>
      </c>
      <c r="N25" s="12">
        <f ca="1">'TR TUSD'!$N$25*'TR TUSD'!$N$70</f>
        <v>4.8789564730783538E-2</v>
      </c>
      <c r="O25" s="12">
        <f>'TR TUSD'!$O$25*'TR TUSD'!$O$70</f>
        <v>0</v>
      </c>
      <c r="P25" s="12">
        <f>'TR TUSD'!$P$25*'TR TUSD'!$P$70</f>
        <v>0</v>
      </c>
      <c r="Q25" s="12">
        <f>'TR TUSD'!$Q$25*'TR TUSD'!$Q$70</f>
        <v>0</v>
      </c>
      <c r="R25" s="12">
        <f>'TR TUSD'!$R$25*'TR TUSD'!$R$70</f>
        <v>0</v>
      </c>
      <c r="S25" s="12">
        <f>'TR TUSD'!$S$25*'TR TUSD'!$S$70</f>
        <v>0</v>
      </c>
      <c r="T25" s="12">
        <f ca="1">SUM($L$25:$S$25)</f>
        <v>5.9874811923881971E-2</v>
      </c>
      <c r="U25" s="12">
        <f>'TR TUSD'!$U$25*'TR TUSD'!$U$70</f>
        <v>0</v>
      </c>
      <c r="V25" s="12">
        <f>'TR TUSD'!$V$25*'TR TUSD'!$V$70</f>
        <v>0</v>
      </c>
      <c r="W25" s="12">
        <f>'TR TUSD'!$W$25*'TR TUSD'!$W$70</f>
        <v>0</v>
      </c>
      <c r="X25" s="12">
        <f>'TR TUSD'!$X$25*'TR TUSD'!$X$70</f>
        <v>0</v>
      </c>
      <c r="Y25" s="12">
        <f>'TR TUSD'!$Y$25*'TR TUSD'!$Y$70</f>
        <v>0</v>
      </c>
      <c r="Z25" s="12">
        <f>'TR TUSD'!$Z$25*'TR TUSD'!$Z$70</f>
        <v>0</v>
      </c>
      <c r="AA25" s="12">
        <f>'TR TUSD'!$AA$25*'TR TUSD'!$AA$70</f>
        <v>0</v>
      </c>
      <c r="AB25" s="12">
        <f>SUM($U$25:$AA$25)</f>
        <v>0</v>
      </c>
      <c r="AC25" s="12">
        <f>'TR TUSD'!$AC$25*'TR TUSD'!$AC$70</f>
        <v>3.1512363164003006</v>
      </c>
      <c r="AD25" s="12">
        <f>SUM($AC$25:$AC$25)</f>
        <v>3.1512363164003006</v>
      </c>
      <c r="AE25" s="12">
        <v>0</v>
      </c>
      <c r="AF25" s="12">
        <v>0</v>
      </c>
      <c r="AG25" s="12">
        <f>SUM($AE$25:$AF$25)</f>
        <v>0</v>
      </c>
      <c r="AH25" s="12">
        <f>'TR TUSD'!$AH$25*'TR TUSD'!$AH$70</f>
        <v>0</v>
      </c>
      <c r="AI25" s="12">
        <f>'TR TUSD'!$AI$25*'TR TUSD'!$AI$70</f>
        <v>0</v>
      </c>
      <c r="AJ25" s="12">
        <f ca="1">'TR TUSD'!$AJ$25*'TR TUSD'!$AJ$70</f>
        <v>0</v>
      </c>
      <c r="AK25" s="12">
        <f ca="1">'TR TUSD'!$AK$25*'TR TUSD'!$AK$70</f>
        <v>0</v>
      </c>
      <c r="AL25" s="12">
        <f ca="1">SUM($AH$25:$AK$25)</f>
        <v>0</v>
      </c>
      <c r="AM25" s="12">
        <f ca="1">SUMIF($L$4:$AL$4,"SUBTOTAL",$L$25:$AL$25)</f>
        <v>3.2111111283241827</v>
      </c>
      <c r="AP25" s="12"/>
    </row>
    <row r="26" spans="1:42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f>'TR TUSD'!$L$26*'TR TUSD'!$L$70</f>
        <v>0</v>
      </c>
      <c r="M26" s="12">
        <f>'TR TUSD'!$M$26*'TR TUSD'!$M$70</f>
        <v>1.1085247193098433E-2</v>
      </c>
      <c r="N26" s="12">
        <f ca="1">'TR TUSD'!$N$26*'TR TUSD'!$N$70</f>
        <v>4.8789564730783538E-2</v>
      </c>
      <c r="O26" s="12">
        <f>'TR TUSD'!$O$26*'TR TUSD'!$O$70</f>
        <v>0</v>
      </c>
      <c r="P26" s="12">
        <f>'TR TUSD'!$P$26*'TR TUSD'!$P$70</f>
        <v>0</v>
      </c>
      <c r="Q26" s="12">
        <f>'TR TUSD'!$Q$26*'TR TUSD'!$Q$70</f>
        <v>0</v>
      </c>
      <c r="R26" s="12">
        <f>'TR TUSD'!$R$26*'TR TUSD'!$R$70</f>
        <v>0</v>
      </c>
      <c r="S26" s="12">
        <f>'TR TUSD'!$S$26*'TR TUSD'!$S$70</f>
        <v>0</v>
      </c>
      <c r="T26" s="12">
        <f ca="1">SUM($L$26:$S$26)</f>
        <v>5.9874811923881971E-2</v>
      </c>
      <c r="U26" s="12">
        <f>'TR TUSD'!$U$26*'TR TUSD'!$U$70</f>
        <v>0</v>
      </c>
      <c r="V26" s="12">
        <f>'TR TUSD'!$V$26*'TR TUSD'!$V$70</f>
        <v>0</v>
      </c>
      <c r="W26" s="12">
        <f>'TR TUSD'!$W$26*'TR TUSD'!$W$70</f>
        <v>0</v>
      </c>
      <c r="X26" s="12">
        <f>'TR TUSD'!$X$26*'TR TUSD'!$X$70</f>
        <v>0</v>
      </c>
      <c r="Y26" s="12">
        <f>'TR TUSD'!$Y$26*'TR TUSD'!$Y$70</f>
        <v>0</v>
      </c>
      <c r="Z26" s="12">
        <f>'TR TUSD'!$Z$26*'TR TUSD'!$Z$70</f>
        <v>0</v>
      </c>
      <c r="AA26" s="12">
        <f>'TR TUSD'!$AA$26*'TR TUSD'!$AA$70</f>
        <v>0</v>
      </c>
      <c r="AB26" s="12">
        <f>SUM($U$26:$AA$26)</f>
        <v>0</v>
      </c>
      <c r="AC26" s="12">
        <f>'TR TUSD'!$AC$26*'TR TUSD'!$AC$70</f>
        <v>10.420645371297427</v>
      </c>
      <c r="AD26" s="12">
        <f>SUM($AC$26:$AC$26)</f>
        <v>10.420645371297427</v>
      </c>
      <c r="AE26" s="12">
        <v>0</v>
      </c>
      <c r="AF26" s="12">
        <v>0</v>
      </c>
      <c r="AG26" s="12">
        <f>SUM($AE$26:$AF$26)</f>
        <v>0</v>
      </c>
      <c r="AH26" s="12">
        <f>'TR TUSD'!$AH$26*'TR TUSD'!$AH$70</f>
        <v>0</v>
      </c>
      <c r="AI26" s="12">
        <f>'TR TUSD'!$AI$26*'TR TUSD'!$AI$70</f>
        <v>0</v>
      </c>
      <c r="AJ26" s="12">
        <f ca="1">'TR TUSD'!$AJ$26*'TR TUSD'!$AJ$70</f>
        <v>0</v>
      </c>
      <c r="AK26" s="12">
        <f ca="1">'TR TUSD'!$AK$26*'TR TUSD'!$AK$70</f>
        <v>0</v>
      </c>
      <c r="AL26" s="12">
        <f ca="1">SUM($AH$26:$AK$26)</f>
        <v>0</v>
      </c>
      <c r="AM26" s="12">
        <f ca="1">SUMIF($L$4:$AL$4,"SUBTOTAL",$L$26:$AL$26)</f>
        <v>10.480520183221309</v>
      </c>
      <c r="AP26" s="12"/>
    </row>
    <row r="27" spans="1:42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'TR TUSD'!$L$27*'TR TUSD'!$L$70</f>
        <v>2.3026870940148982</v>
      </c>
      <c r="M27" s="12">
        <f>'TR TUSD'!$M$27*'TR TUSD'!$M$70</f>
        <v>0.59709875049299321</v>
      </c>
      <c r="N27" s="12">
        <f ca="1">'TR TUSD'!$N$27*'TR TUSD'!$N$70</f>
        <v>18.143697059211128</v>
      </c>
      <c r="O27" s="12">
        <f>'TR TUSD'!$O$27*'TR TUSD'!$O$70</f>
        <v>0</v>
      </c>
      <c r="P27" s="12">
        <f>'TR TUSD'!$P$27*'TR TUSD'!$P$70</f>
        <v>0</v>
      </c>
      <c r="Q27" s="12">
        <f>'TR TUSD'!$Q$27*'TR TUSD'!$Q$70</f>
        <v>90.525215020273237</v>
      </c>
      <c r="R27" s="12">
        <f>'TR TUSD'!$R$27*'TR TUSD'!$R$70</f>
        <v>14.350908048983545</v>
      </c>
      <c r="S27" s="12">
        <f>'TR TUSD'!$S$27*'TR TUSD'!$S$70</f>
        <v>0</v>
      </c>
      <c r="T27" s="12">
        <f ca="1">SUM($L$27:$S$27)</f>
        <v>125.9196059729758</v>
      </c>
      <c r="U27" s="12">
        <f>'TR TUSD'!$U$27*'TR TUSD'!$U$70</f>
        <v>0</v>
      </c>
      <c r="V27" s="12">
        <f>'TR TUSD'!$V$27*'TR TUSD'!$V$70</f>
        <v>0</v>
      </c>
      <c r="W27" s="12">
        <f>'TR TUSD'!$W$27*'TR TUSD'!$W$70</f>
        <v>0</v>
      </c>
      <c r="X27" s="12">
        <f>'TR TUSD'!$X$27*'TR TUSD'!$X$70</f>
        <v>0</v>
      </c>
      <c r="Y27" s="12">
        <f>'TR TUSD'!$Y$27*'TR TUSD'!$Y$70</f>
        <v>421.04867526891246</v>
      </c>
      <c r="Z27" s="12">
        <f>'TR TUSD'!$Z$27</f>
        <v>0</v>
      </c>
      <c r="AA27" s="12">
        <f>'TR TUSD'!$AA$27</f>
        <v>0</v>
      </c>
      <c r="AB27" s="12">
        <f>SUM($U$27:$AA$27)</f>
        <v>421.04867526891246</v>
      </c>
      <c r="AC27" s="12">
        <f>'TR TUSD'!$AC$27*'TR TUSD'!$AC$70</f>
        <v>725.82891104279736</v>
      </c>
      <c r="AD27" s="12">
        <f>SUM($AC$27:$AC$27)</f>
        <v>725.82891104279736</v>
      </c>
      <c r="AE27" s="12">
        <v>0</v>
      </c>
      <c r="AF27" s="12">
        <v>0</v>
      </c>
      <c r="AG27" s="12">
        <f>SUM($AE$27:$AF$27)</f>
        <v>0</v>
      </c>
      <c r="AH27" s="12">
        <f>'TR TUSD'!$AH$27*'TR TUSD'!$AH$70</f>
        <v>16.403553421542888</v>
      </c>
      <c r="AI27" s="12">
        <f>'TR TUSD'!$AI$27*'TR TUSD'!$AI$70</f>
        <v>0.60282035665919287</v>
      </c>
      <c r="AJ27" s="12">
        <f ca="1">'TR TUSD'!$AJ$27*'TR TUSD'!$AJ$70</f>
        <v>1.7902479123203165</v>
      </c>
      <c r="AK27" s="12">
        <f ca="1">'TR TUSD'!$AK$27*'TR TUSD'!$AK$70</f>
        <v>0.32269658326571482</v>
      </c>
      <c r="AL27" s="12">
        <f ca="1">SUM($AH$27:$AK$27)</f>
        <v>19.119318273788114</v>
      </c>
      <c r="AM27" s="12">
        <f ca="1">SUMIF($L$4:$AL$4,"SUBTOTAL",$L$27:$AL$27)</f>
        <v>1291.9165105584736</v>
      </c>
      <c r="AP27" s="12">
        <v>1</v>
      </c>
    </row>
    <row r="28" spans="1:42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'TR TUSD'!$L$28*'TR TUSD'!$L$70</f>
        <v>2.3026870940148982</v>
      </c>
      <c r="M28" s="12">
        <f>'TR TUSD'!$M$28*'TR TUSD'!$M$70</f>
        <v>0.59709875049299321</v>
      </c>
      <c r="N28" s="12">
        <f ca="1">'TR TUSD'!$N$28*'TR TUSD'!$N$70</f>
        <v>5.0776040624418135</v>
      </c>
      <c r="O28" s="12">
        <f>'TR TUSD'!$O$28*'TR TUSD'!$O$70</f>
        <v>0</v>
      </c>
      <c r="P28" s="12">
        <f>'TR TUSD'!$P$28*'TR TUSD'!$P$70</f>
        <v>0</v>
      </c>
      <c r="Q28" s="12">
        <f>'TR TUSD'!$Q$28*'TR TUSD'!$Q$70</f>
        <v>90.525215020273237</v>
      </c>
      <c r="R28" s="12">
        <f>'TR TUSD'!$R$28*'TR TUSD'!$R$70</f>
        <v>14.350908048983545</v>
      </c>
      <c r="S28" s="12">
        <f>'TR TUSD'!$S$28*'TR TUSD'!$S$70</f>
        <v>0</v>
      </c>
      <c r="T28" s="12">
        <f ca="1">SUM($L$28:$S$28)</f>
        <v>112.85351297620649</v>
      </c>
      <c r="U28" s="12">
        <f>'TR TUSD'!$U$28*'TR TUSD'!$U$70</f>
        <v>0</v>
      </c>
      <c r="V28" s="12">
        <f>'TR TUSD'!$V$28*'TR TUSD'!$V$70</f>
        <v>0</v>
      </c>
      <c r="W28" s="12">
        <f>'TR TUSD'!$W$28*'TR TUSD'!$W$70</f>
        <v>0</v>
      </c>
      <c r="X28" s="12">
        <f>'TR TUSD'!$X$28*'TR TUSD'!$X$70</f>
        <v>0</v>
      </c>
      <c r="Y28" s="12">
        <f>'TR TUSD'!$Y$28*'TR TUSD'!$Y$70</f>
        <v>105.26213823003975</v>
      </c>
      <c r="Z28" s="12">
        <f>'TR TUSD'!$Z$28</f>
        <v>0</v>
      </c>
      <c r="AA28" s="12">
        <f>'TR TUSD'!$AA$28</f>
        <v>0</v>
      </c>
      <c r="AB28" s="12">
        <f>SUM($U$28:$AA$28)</f>
        <v>105.26213823003975</v>
      </c>
      <c r="AC28" s="12">
        <f>'TR TUSD'!$AC$28*'TR TUSD'!$AC$70</f>
        <v>181.45728629904676</v>
      </c>
      <c r="AD28" s="12">
        <f>SUM($AC$28:$AC$28)</f>
        <v>181.45728629904676</v>
      </c>
      <c r="AE28" s="12">
        <v>0</v>
      </c>
      <c r="AF28" s="12">
        <v>0</v>
      </c>
      <c r="AG28" s="12">
        <f>SUM($AE$28:$AF$28)</f>
        <v>0</v>
      </c>
      <c r="AH28" s="12">
        <f>'TR TUSD'!$AH$28*'TR TUSD'!$AH$70</f>
        <v>16.403553421542888</v>
      </c>
      <c r="AI28" s="12">
        <f>'TR TUSD'!$AI$28*'TR TUSD'!$AI$70</f>
        <v>0.60282035665919287</v>
      </c>
      <c r="AJ28" s="12">
        <f ca="1">'TR TUSD'!$AJ$28*'TR TUSD'!$AJ$70</f>
        <v>1.7902479123203165</v>
      </c>
      <c r="AK28" s="12">
        <f ca="1">'TR TUSD'!$AK$28*'TR TUSD'!$AK$70</f>
        <v>0.32269658326571482</v>
      </c>
      <c r="AL28" s="12">
        <f ca="1">SUM($AH$28:$AK$28)</f>
        <v>19.119318273788114</v>
      </c>
      <c r="AM28" s="12">
        <f ca="1">SUMIF($L$4:$AL$4,"SUBTOTAL",$L$28:$AL$28)</f>
        <v>418.69225577908111</v>
      </c>
      <c r="AP28" s="12">
        <v>1</v>
      </c>
    </row>
    <row r="29" spans="1:42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'TR TUSD'!$L$29*'TR TUSD'!$L$70</f>
        <v>2.3026870940148982</v>
      </c>
      <c r="M29" s="12">
        <f>'TR TUSD'!$M$29*'TR TUSD'!$M$70</f>
        <v>0.59709875049299321</v>
      </c>
      <c r="N29" s="12">
        <f ca="1">'TR TUSD'!$N$29*'TR TUSD'!$N$70</f>
        <v>1.593311753360233</v>
      </c>
      <c r="O29" s="12">
        <f>'TR TUSD'!$O$29*'TR TUSD'!$O$70</f>
        <v>0</v>
      </c>
      <c r="P29" s="12">
        <f>'TR TUSD'!$P$29*'TR TUSD'!$P$70</f>
        <v>0</v>
      </c>
      <c r="Q29" s="12">
        <f>'TR TUSD'!$Q$29*'TR TUSD'!$Q$70</f>
        <v>90.525215020273237</v>
      </c>
      <c r="R29" s="12">
        <f>'TR TUSD'!$R$29*'TR TUSD'!$R$70</f>
        <v>14.350908048983545</v>
      </c>
      <c r="S29" s="12">
        <f>'TR TUSD'!$S$29*'TR TUSD'!$S$70</f>
        <v>0</v>
      </c>
      <c r="T29" s="12">
        <f ca="1">SUM($L$29:$S$29)</f>
        <v>109.36922066712491</v>
      </c>
      <c r="U29" s="12">
        <f>'TR TUSD'!$U$29*'TR TUSD'!$U$70</f>
        <v>0</v>
      </c>
      <c r="V29" s="12">
        <f>'TR TUSD'!$V$29*'TR TUSD'!$V$70</f>
        <v>0</v>
      </c>
      <c r="W29" s="12">
        <f>'TR TUSD'!$W$29*'TR TUSD'!$W$70</f>
        <v>0</v>
      </c>
      <c r="X29" s="12">
        <f>'TR TUSD'!$X$29*'TR TUSD'!$X$70</f>
        <v>0</v>
      </c>
      <c r="Y29" s="12">
        <f>'TR TUSD'!$Y$29*'TR TUSD'!$Y$70</f>
        <v>21.052427646007953</v>
      </c>
      <c r="Z29" s="12">
        <f>'TR TUSD'!$Z$29</f>
        <v>0</v>
      </c>
      <c r="AA29" s="12">
        <f>'TR TUSD'!$AA$29</f>
        <v>0</v>
      </c>
      <c r="AB29" s="12">
        <f>SUM($U$29:$AA$29)</f>
        <v>21.052427646007953</v>
      </c>
      <c r="AC29" s="12">
        <f>'TR TUSD'!$AC$29*'TR TUSD'!$AC$70</f>
        <v>36.29143384447039</v>
      </c>
      <c r="AD29" s="12">
        <f>SUM($AC$29:$AC$29)</f>
        <v>36.29143384447039</v>
      </c>
      <c r="AE29" s="12">
        <v>0</v>
      </c>
      <c r="AF29" s="12">
        <v>0</v>
      </c>
      <c r="AG29" s="12">
        <f>SUM($AE$29:$AF$29)</f>
        <v>0</v>
      </c>
      <c r="AH29" s="12">
        <f>'TR TUSD'!$AH$29*'TR TUSD'!$AH$70</f>
        <v>16.403553421542888</v>
      </c>
      <c r="AI29" s="12">
        <f>'TR TUSD'!$AI$29*'TR TUSD'!$AI$70</f>
        <v>0.60282035665919287</v>
      </c>
      <c r="AJ29" s="12">
        <f ca="1">'TR TUSD'!$AJ$29*'TR TUSD'!$AJ$70</f>
        <v>1.7902479123203165</v>
      </c>
      <c r="AK29" s="12">
        <f ca="1">'TR TUSD'!$AK$29*'TR TUSD'!$AK$70</f>
        <v>0.32269658326571482</v>
      </c>
      <c r="AL29" s="12">
        <f ca="1">SUM($AH$29:$AK$29)</f>
        <v>19.119318273788114</v>
      </c>
      <c r="AM29" s="12">
        <f ca="1">SUMIF($L$4:$AL$4,"SUBTOTAL",$L$29:$AL$29)</f>
        <v>185.83240043139136</v>
      </c>
      <c r="AP29" s="12">
        <v>1</v>
      </c>
    </row>
    <row r="30" spans="1:42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'TR TUSD'!$L$30*'TR TUSD'!$L$70</f>
        <v>2.3026870940148982</v>
      </c>
      <c r="M30" s="12">
        <f>'TR TUSD'!$M$30*'TR TUSD'!$M$70</f>
        <v>0.59709875049299321</v>
      </c>
      <c r="N30" s="12">
        <f ca="1">'TR TUSD'!$N$30*'TR TUSD'!$N$70</f>
        <v>3.9484346395008014</v>
      </c>
      <c r="O30" s="12">
        <f>'TR TUSD'!$O$30*'TR TUSD'!$O$70</f>
        <v>0</v>
      </c>
      <c r="P30" s="12">
        <f>'TR TUSD'!$P$30*'TR TUSD'!$P$70</f>
        <v>0</v>
      </c>
      <c r="Q30" s="12">
        <f>'TR TUSD'!$Q$30*'TR TUSD'!$Q$70</f>
        <v>90.525215020273237</v>
      </c>
      <c r="R30" s="12">
        <f>'TR TUSD'!$R$30*'TR TUSD'!$R$70</f>
        <v>14.350908048983545</v>
      </c>
      <c r="S30" s="12">
        <f>'TR TUSD'!$S$30*'TR TUSD'!$S$70</f>
        <v>0</v>
      </c>
      <c r="T30" s="12">
        <f ca="1">SUM($L$30:$S$30)</f>
        <v>111.72434355326547</v>
      </c>
      <c r="U30" s="12">
        <f>'TR TUSD'!$U$30*'TR TUSD'!$U$70</f>
        <v>0</v>
      </c>
      <c r="V30" s="12">
        <f>'TR TUSD'!$V$30*'TR TUSD'!$V$70</f>
        <v>0</v>
      </c>
      <c r="W30" s="12">
        <f>'TR TUSD'!$W$30*'TR TUSD'!$W$70</f>
        <v>0</v>
      </c>
      <c r="X30" s="12">
        <f>'TR TUSD'!$X$30*'TR TUSD'!$X$70</f>
        <v>0</v>
      </c>
      <c r="Y30" s="12">
        <f>'TR TUSD'!$Y$30*'TR TUSD'!$Y$70</f>
        <v>77.972004090262317</v>
      </c>
      <c r="Z30" s="12">
        <f>'TR TUSD'!$Z$30</f>
        <v>0</v>
      </c>
      <c r="AA30" s="12">
        <f>'TR TUSD'!$AA$30</f>
        <v>0</v>
      </c>
      <c r="AB30" s="12">
        <f>SUM($U$30:$AA$30)</f>
        <v>77.972004090262317</v>
      </c>
      <c r="AC30" s="12">
        <f>'TR TUSD'!$AC$30*'TR TUSD'!$AC$70</f>
        <v>134.41270927013517</v>
      </c>
      <c r="AD30" s="12">
        <f>SUM($AC$30:$AC$30)</f>
        <v>134.41270927013517</v>
      </c>
      <c r="AE30" s="12">
        <v>0</v>
      </c>
      <c r="AF30" s="12">
        <v>0</v>
      </c>
      <c r="AG30" s="12">
        <f>SUM($AE$30:$AF$30)</f>
        <v>0</v>
      </c>
      <c r="AH30" s="12">
        <f>'TR TUSD'!$AH$30*'TR TUSD'!$AH$70</f>
        <v>16.403553421542888</v>
      </c>
      <c r="AI30" s="12">
        <f>'TR TUSD'!$AI$30*'TR TUSD'!$AI$70</f>
        <v>0.60282035665919287</v>
      </c>
      <c r="AJ30" s="12">
        <f ca="1">'TR TUSD'!$AJ$30*'TR TUSD'!$AJ$70</f>
        <v>1.7902479123203165</v>
      </c>
      <c r="AK30" s="12">
        <f ca="1">'TR TUSD'!$AK$30*'TR TUSD'!$AK$70</f>
        <v>0.32269658326571482</v>
      </c>
      <c r="AL30" s="12">
        <f ca="1">SUM($AH$30:$AK$30)</f>
        <v>19.119318273788114</v>
      </c>
      <c r="AM30" s="12">
        <f ca="1">SUMIF($L$4:$AL$4,"SUBTOTAL",$L$30:$AL$30)</f>
        <v>343.22837518745104</v>
      </c>
      <c r="AP30" s="12">
        <v>1</v>
      </c>
    </row>
    <row r="31" spans="1:42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f>'TR TUSD'!$L$31*'TR TUSD'!$L$70</f>
        <v>0</v>
      </c>
      <c r="M31" s="12">
        <f>'TR TUSD'!$M$31*'TR TUSD'!$M$70</f>
        <v>0.59709875049299321</v>
      </c>
      <c r="N31" s="12">
        <f ca="1">'TR TUSD'!$N$31*'TR TUSD'!$N$70</f>
        <v>3.9303644303412524</v>
      </c>
      <c r="O31" s="12">
        <f>'TR TUSD'!$O$31*'TR TUSD'!$O$70</f>
        <v>0</v>
      </c>
      <c r="P31" s="12">
        <f>'TR TUSD'!$P$31*'TR TUSD'!$P$70</f>
        <v>0</v>
      </c>
      <c r="Q31" s="12">
        <f>'TR TUSD'!$Q$31*'TR TUSD'!$Q$70</f>
        <v>0</v>
      </c>
      <c r="R31" s="12">
        <f>'TR TUSD'!$R$31*'TR TUSD'!$R$70</f>
        <v>0</v>
      </c>
      <c r="S31" s="12">
        <f>'TR TUSD'!$S$31*'TR TUSD'!$S$70</f>
        <v>0</v>
      </c>
      <c r="T31" s="12">
        <f ca="1">SUM($L$31:$S$31)</f>
        <v>4.5274631808342454</v>
      </c>
      <c r="U31" s="12">
        <f>'TR TUSD'!$U$31*'TR TUSD'!$U$70</f>
        <v>0</v>
      </c>
      <c r="V31" s="12">
        <f>'TR TUSD'!$V$31*'TR TUSD'!$V$70</f>
        <v>0</v>
      </c>
      <c r="W31" s="12">
        <f>'TR TUSD'!$W$31*'TR TUSD'!$W$70</f>
        <v>0</v>
      </c>
      <c r="X31" s="12">
        <f>'TR TUSD'!$X$31*'TR TUSD'!$X$70</f>
        <v>0</v>
      </c>
      <c r="Y31" s="12">
        <f>'TR TUSD'!$Y$31*'TR TUSD'!$Y$70</f>
        <v>77.972004090262317</v>
      </c>
      <c r="Z31" s="12">
        <f>'TR TUSD'!$Z$31</f>
        <v>0</v>
      </c>
      <c r="AA31" s="12">
        <f>'TR TUSD'!$AA$31</f>
        <v>0</v>
      </c>
      <c r="AB31" s="12">
        <f>SUM($U$31:$AA$31)</f>
        <v>77.972004090262317</v>
      </c>
      <c r="AC31" s="12">
        <f>'TR TUSD'!$AC$31*'TR TUSD'!$AC$70</f>
        <v>134.41270927013517</v>
      </c>
      <c r="AD31" s="12">
        <f>SUM($AC$31:$AC$31)</f>
        <v>134.41270927013517</v>
      </c>
      <c r="AE31" s="12">
        <v>0</v>
      </c>
      <c r="AF31" s="12">
        <v>0</v>
      </c>
      <c r="AG31" s="12">
        <f>SUM($AE$31:$AF$31)</f>
        <v>0</v>
      </c>
      <c r="AH31" s="12">
        <f>'TR TUSD'!$AH$31*'TR TUSD'!$AH$70</f>
        <v>16.403553421542888</v>
      </c>
      <c r="AI31" s="12">
        <f>'TR TUSD'!$AI$31*'TR TUSD'!$AI$70</f>
        <v>0.60282035665919287</v>
      </c>
      <c r="AJ31" s="12">
        <f ca="1">'TR TUSD'!$AJ$31*'TR TUSD'!$AJ$70</f>
        <v>1.7902479123203165</v>
      </c>
      <c r="AK31" s="12">
        <f ca="1">'TR TUSD'!$AK$31*'TR TUSD'!$AK$70</f>
        <v>0.32269658326571482</v>
      </c>
      <c r="AL31" s="12">
        <f ca="1">SUM($AH$31:$AK$31)</f>
        <v>19.119318273788114</v>
      </c>
      <c r="AM31" s="12">
        <f ca="1">SUMIF($L$4:$AL$4,"SUBTOTAL",$L$31:$AL$31)</f>
        <v>236.03149481501984</v>
      </c>
      <c r="AP31" s="12">
        <f>IF((1 - CUSTOS!$M$24)&lt;&gt;0,1/(1 - CUSTOS!$M$24),1)</f>
        <v>1</v>
      </c>
    </row>
    <row r="32" spans="1:42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f>'TR TUSD'!$L$32*'TR TUSD'!$L$70</f>
        <v>0</v>
      </c>
      <c r="M32" s="12">
        <f>'TR TUSD'!$M$32*'TR TUSD'!$M$70</f>
        <v>0.59709875049299321</v>
      </c>
      <c r="N32" s="12">
        <f ca="1">'TR TUSD'!$N$32*'TR TUSD'!$N$70</f>
        <v>3.9303644303412524</v>
      </c>
      <c r="O32" s="12">
        <f>'TR TUSD'!$O$32*'TR TUSD'!$O$70</f>
        <v>0</v>
      </c>
      <c r="P32" s="12">
        <f>'TR TUSD'!$P$32*'TR TUSD'!$P$70</f>
        <v>0</v>
      </c>
      <c r="Q32" s="12">
        <f>'TR TUSD'!$Q$32*'TR TUSD'!$Q$70</f>
        <v>0</v>
      </c>
      <c r="R32" s="12">
        <f>'TR TUSD'!$R$32*'TR TUSD'!$R$70</f>
        <v>0</v>
      </c>
      <c r="S32" s="12">
        <f>'TR TUSD'!$S$32*'TR TUSD'!$S$70</f>
        <v>0</v>
      </c>
      <c r="T32" s="12">
        <f ca="1">SUM($L$32:$S$32)</f>
        <v>4.5274631808342454</v>
      </c>
      <c r="U32" s="12">
        <f>'TR TUSD'!$U$32*'TR TUSD'!$U$70</f>
        <v>0</v>
      </c>
      <c r="V32" s="12">
        <f>'TR TUSD'!$V$32*'TR TUSD'!$V$70</f>
        <v>0</v>
      </c>
      <c r="W32" s="12">
        <f>'TR TUSD'!$W$32*'TR TUSD'!$W$70</f>
        <v>0</v>
      </c>
      <c r="X32" s="12">
        <f>'TR TUSD'!$X$32*'TR TUSD'!$X$70</f>
        <v>0</v>
      </c>
      <c r="Y32" s="12">
        <f>'TR TUSD'!$Y$32*'TR TUSD'!$Y$70</f>
        <v>77.972004090262317</v>
      </c>
      <c r="Z32" s="12">
        <f>'TR TUSD'!$Z$32</f>
        <v>0</v>
      </c>
      <c r="AA32" s="12">
        <f>'TR TUSD'!$AA$32</f>
        <v>0</v>
      </c>
      <c r="AB32" s="12">
        <f>SUM($U$32:$AA$32)</f>
        <v>77.972004090262317</v>
      </c>
      <c r="AC32" s="12">
        <f>'TR TUSD'!$AC$32*'TR TUSD'!$AC$70</f>
        <v>134.41270927013517</v>
      </c>
      <c r="AD32" s="12">
        <f>SUM($AC$32:$AC$32)</f>
        <v>134.41270927013517</v>
      </c>
      <c r="AE32" s="12">
        <v>0</v>
      </c>
      <c r="AF32" s="12">
        <v>0</v>
      </c>
      <c r="AG32" s="12">
        <f>SUM($AE$32:$AF$32)</f>
        <v>0</v>
      </c>
      <c r="AH32" s="12">
        <f>'TR TUSD'!$AH$32*'TR TUSD'!$AH$70</f>
        <v>16.403553421542888</v>
      </c>
      <c r="AI32" s="12">
        <f>'TR TUSD'!$AI$32*'TR TUSD'!$AI$70</f>
        <v>0.60282035665919287</v>
      </c>
      <c r="AJ32" s="12">
        <f ca="1">'TR TUSD'!$AJ$32*'TR TUSD'!$AJ$70</f>
        <v>1.7902479123203165</v>
      </c>
      <c r="AK32" s="12">
        <f ca="1">'TR TUSD'!$AK$32*'TR TUSD'!$AK$70</f>
        <v>0.32269658326571482</v>
      </c>
      <c r="AL32" s="12">
        <f ca="1">SUM($AH$32:$AK$32)</f>
        <v>19.119318273788114</v>
      </c>
      <c r="AM32" s="12">
        <f ca="1">SUMIF($L$4:$AL$4,"SUBTOTAL",$L$32:$AL$32)</f>
        <v>236.03149481501984</v>
      </c>
      <c r="AP32" s="12">
        <f>IF((1 - CUSTOS!$M$25)&lt;&gt;0,1/(1 - CUSTOS!$M$25),1)</f>
        <v>1</v>
      </c>
    </row>
    <row r="33" spans="1:42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f>'TR TUSD'!$L$33*'TR TUSD'!$L$70</f>
        <v>0</v>
      </c>
      <c r="M33" s="12">
        <f>'TR TUSD'!$M$33*'TR TUSD'!$M$70</f>
        <v>0.59709875049299321</v>
      </c>
      <c r="N33" s="12">
        <f ca="1">'TR TUSD'!$N$33*'TR TUSD'!$N$70</f>
        <v>3.9303644303412524</v>
      </c>
      <c r="O33" s="12">
        <f>'TR TUSD'!$O$33*'TR TUSD'!$O$70</f>
        <v>0</v>
      </c>
      <c r="P33" s="12">
        <f>'TR TUSD'!$P$33*'TR TUSD'!$P$70</f>
        <v>0</v>
      </c>
      <c r="Q33" s="12">
        <f>'TR TUSD'!$Q$33*'TR TUSD'!$Q$70</f>
        <v>0</v>
      </c>
      <c r="R33" s="12">
        <f>'TR TUSD'!$R$33*'TR TUSD'!$R$70</f>
        <v>0</v>
      </c>
      <c r="S33" s="12">
        <f>'TR TUSD'!$S$33*'TR TUSD'!$S$70</f>
        <v>0</v>
      </c>
      <c r="T33" s="12">
        <f ca="1">SUM($L$33:$S$33)</f>
        <v>4.5274631808342454</v>
      </c>
      <c r="U33" s="12">
        <f>'TR TUSD'!$U$33*'TR TUSD'!$U$70</f>
        <v>0</v>
      </c>
      <c r="V33" s="12">
        <f>'TR TUSD'!$V$33*'TR TUSD'!$V$70</f>
        <v>0</v>
      </c>
      <c r="W33" s="12">
        <f>'TR TUSD'!$W$33*'TR TUSD'!$W$70</f>
        <v>0</v>
      </c>
      <c r="X33" s="12">
        <f>'TR TUSD'!$X$33*'TR TUSD'!$X$70</f>
        <v>0</v>
      </c>
      <c r="Y33" s="12">
        <f>'TR TUSD'!$Y$33*'TR TUSD'!$Y$70</f>
        <v>77.972004090262317</v>
      </c>
      <c r="Z33" s="12">
        <f>'TR TUSD'!$Z$33</f>
        <v>0</v>
      </c>
      <c r="AA33" s="12">
        <f>'TR TUSD'!$AA$33</f>
        <v>0</v>
      </c>
      <c r="AB33" s="12">
        <f>SUM($U$33:$AA$33)</f>
        <v>77.972004090262317</v>
      </c>
      <c r="AC33" s="12">
        <f>'TR TUSD'!$AC$33*'TR TUSD'!$AC$70</f>
        <v>134.41270927013517</v>
      </c>
      <c r="AD33" s="12">
        <f>SUM($AC$33:$AC$33)</f>
        <v>134.41270927013517</v>
      </c>
      <c r="AE33" s="12">
        <v>0</v>
      </c>
      <c r="AF33" s="12">
        <v>0</v>
      </c>
      <c r="AG33" s="12">
        <f>SUM($AE$33:$AF$33)</f>
        <v>0</v>
      </c>
      <c r="AH33" s="12">
        <f>'TR TUSD'!$AH$33*'TR TUSD'!$AH$70</f>
        <v>16.403553421542888</v>
      </c>
      <c r="AI33" s="12">
        <f>'TR TUSD'!$AI$33*'TR TUSD'!$AI$70</f>
        <v>0.60282035665919287</v>
      </c>
      <c r="AJ33" s="12">
        <f ca="1">'TR TUSD'!$AJ$33*'TR TUSD'!$AJ$70</f>
        <v>1.7902479123203165</v>
      </c>
      <c r="AK33" s="12">
        <f ca="1">'TR TUSD'!$AK$33*'TR TUSD'!$AK$70</f>
        <v>0.32269658326571482</v>
      </c>
      <c r="AL33" s="12">
        <f ca="1">SUM($AH$33:$AK$33)</f>
        <v>19.119318273788114</v>
      </c>
      <c r="AM33" s="12">
        <f ca="1">SUMIF($L$4:$AL$4,"SUBTOTAL",$L$33:$AL$33)</f>
        <v>236.03149481501984</v>
      </c>
      <c r="AP33" s="12">
        <f>IF((1 - CUSTOS!$M$26)&lt;&gt;0,1/(1 - CUSTOS!$M$26),1)</f>
        <v>1</v>
      </c>
    </row>
    <row r="34" spans="1:42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f>'TR TUSD'!$L$34*'TR TUSD'!$L$70</f>
        <v>0</v>
      </c>
      <c r="M34" s="12">
        <f>'TR TUSD'!$M$34*'TR TUSD'!$M$70</f>
        <v>0.59709875049299321</v>
      </c>
      <c r="N34" s="12">
        <f ca="1">'TR TUSD'!$N$34*'TR TUSD'!$N$70</f>
        <v>3.9303644303412524</v>
      </c>
      <c r="O34" s="12">
        <f>'TR TUSD'!$O$34*'TR TUSD'!$O$70</f>
        <v>0</v>
      </c>
      <c r="P34" s="12">
        <f>'TR TUSD'!$P$34*'TR TUSD'!$P$70</f>
        <v>0</v>
      </c>
      <c r="Q34" s="12">
        <f>'TR TUSD'!$Q$34*'TR TUSD'!$Q$70</f>
        <v>0</v>
      </c>
      <c r="R34" s="12">
        <f>'TR TUSD'!$R$34*'TR TUSD'!$R$70</f>
        <v>0</v>
      </c>
      <c r="S34" s="12">
        <f>'TR TUSD'!$S$34*'TR TUSD'!$S$70</f>
        <v>0</v>
      </c>
      <c r="T34" s="12">
        <f ca="1">SUM($L$34:$S$34)</f>
        <v>4.5274631808342454</v>
      </c>
      <c r="U34" s="12">
        <f>'TR TUSD'!$U$34*'TR TUSD'!$U$70</f>
        <v>0</v>
      </c>
      <c r="V34" s="12">
        <f>'TR TUSD'!$V$34*'TR TUSD'!$V$70</f>
        <v>0</v>
      </c>
      <c r="W34" s="12">
        <f>'TR TUSD'!$W$34*'TR TUSD'!$W$70</f>
        <v>0</v>
      </c>
      <c r="X34" s="12">
        <f>'TR TUSD'!$X$34*'TR TUSD'!$X$70</f>
        <v>0</v>
      </c>
      <c r="Y34" s="12">
        <f>'TR TUSD'!$Y$34*'TR TUSD'!$Y$70</f>
        <v>77.972004090262317</v>
      </c>
      <c r="Z34" s="12">
        <f>'TR TUSD'!$Z$34</f>
        <v>0</v>
      </c>
      <c r="AA34" s="12">
        <f>'TR TUSD'!$AA$34</f>
        <v>0</v>
      </c>
      <c r="AB34" s="12">
        <f>SUM($U$34:$AA$34)</f>
        <v>77.972004090262317</v>
      </c>
      <c r="AC34" s="12">
        <f>'TR TUSD'!$AC$34*'TR TUSD'!$AC$70</f>
        <v>134.41270927013517</v>
      </c>
      <c r="AD34" s="12">
        <f>SUM($AC$34:$AC$34)</f>
        <v>134.41270927013517</v>
      </c>
      <c r="AE34" s="12">
        <v>0</v>
      </c>
      <c r="AF34" s="12">
        <v>0</v>
      </c>
      <c r="AG34" s="12">
        <f>SUM($AE$34:$AF$34)</f>
        <v>0</v>
      </c>
      <c r="AH34" s="12">
        <f>'TR TUSD'!$AH$34*'TR TUSD'!$AH$70</f>
        <v>16.403553421542888</v>
      </c>
      <c r="AI34" s="12">
        <f>'TR TUSD'!$AI$34*'TR TUSD'!$AI$70</f>
        <v>0.60282035665919287</v>
      </c>
      <c r="AJ34" s="12">
        <f ca="1">'TR TUSD'!$AJ$34*'TR TUSD'!$AJ$70</f>
        <v>1.7902479123203165</v>
      </c>
      <c r="AK34" s="12">
        <f ca="1">'TR TUSD'!$AK$34*'TR TUSD'!$AK$70</f>
        <v>0.32269658326571482</v>
      </c>
      <c r="AL34" s="12">
        <f ca="1">SUM($AH$34:$AK$34)</f>
        <v>19.119318273788114</v>
      </c>
      <c r="AM34" s="12">
        <f ca="1">SUMIF($L$4:$AL$4,"SUBTOTAL",$L$34:$AL$34)</f>
        <v>236.03149481501984</v>
      </c>
      <c r="AP34" s="12">
        <f>IF((1 - CUSTOS!$M$27)&lt;&gt;0,1/(1 - CUSTOS!$M$27),1)</f>
        <v>1</v>
      </c>
    </row>
    <row r="35" spans="1:42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'TR TUSD'!$L$35*'TR TUSD'!$L$70</f>
        <v>2.3026870940148982</v>
      </c>
      <c r="M35" s="12">
        <f>'TR TUSD'!$M$35*'TR TUSD'!$M$70</f>
        <v>0.59709875049299321</v>
      </c>
      <c r="N35" s="12">
        <f ca="1">'TR TUSD'!$N$35*'TR TUSD'!$N$70</f>
        <v>3.9484346395008014</v>
      </c>
      <c r="O35" s="12">
        <f>'TR TUSD'!$O$35*'TR TUSD'!$O$70</f>
        <v>0</v>
      </c>
      <c r="P35" s="12">
        <f>'TR TUSD'!$P$35*'TR TUSD'!$P$70</f>
        <v>0</v>
      </c>
      <c r="Q35" s="12">
        <f>'TR TUSD'!$Q$35*'TR TUSD'!$Q$70</f>
        <v>90.525215020273237</v>
      </c>
      <c r="R35" s="12">
        <f>'TR TUSD'!$R$35*'TR TUSD'!$R$70</f>
        <v>14.350908048983545</v>
      </c>
      <c r="S35" s="12">
        <f>'TR TUSD'!$S$35*'TR TUSD'!$S$70</f>
        <v>0</v>
      </c>
      <c r="T35" s="12">
        <f ca="1">SUM($L$35:$S$35)</f>
        <v>111.72434355326547</v>
      </c>
      <c r="U35" s="12">
        <f>'TR TUSD'!$U$35*'TR TUSD'!$U$70</f>
        <v>0</v>
      </c>
      <c r="V35" s="12">
        <f>'TR TUSD'!$V$35*'TR TUSD'!$V$70</f>
        <v>0</v>
      </c>
      <c r="W35" s="12">
        <f>'TR TUSD'!$W$35*'TR TUSD'!$W$70</f>
        <v>0</v>
      </c>
      <c r="X35" s="12">
        <f>'TR TUSD'!$X$35*'TR TUSD'!$X$70</f>
        <v>0</v>
      </c>
      <c r="Y35" s="12">
        <f>'TR TUSD'!$Y$35*'TR TUSD'!$Y$70</f>
        <v>77.972004090262317</v>
      </c>
      <c r="Z35" s="12">
        <f>'TR TUSD'!$Z$35</f>
        <v>0</v>
      </c>
      <c r="AA35" s="12">
        <f>'TR TUSD'!$AA$35</f>
        <v>0</v>
      </c>
      <c r="AB35" s="12">
        <f>SUM($U$35:$AA$35)</f>
        <v>77.972004090262317</v>
      </c>
      <c r="AC35" s="12">
        <f>'TR TUSD'!$AC$35*'TR TUSD'!$AC$70</f>
        <v>134.41270927013517</v>
      </c>
      <c r="AD35" s="12">
        <f>SUM($AC$35:$AC$35)</f>
        <v>134.41270927013517</v>
      </c>
      <c r="AE35" s="12">
        <v>0</v>
      </c>
      <c r="AF35" s="12">
        <v>0</v>
      </c>
      <c r="AG35" s="12">
        <f>SUM($AE$35:$AF$35)</f>
        <v>0</v>
      </c>
      <c r="AH35" s="12">
        <f>'TR TUSD'!$AH$35*'TR TUSD'!$AH$70</f>
        <v>16.403553421542888</v>
      </c>
      <c r="AI35" s="12">
        <f>'TR TUSD'!$AI$35*'TR TUSD'!$AI$70</f>
        <v>0.60282035665919287</v>
      </c>
      <c r="AJ35" s="12">
        <f ca="1">'TR TUSD'!$AJ$35*'TR TUSD'!$AJ$70</f>
        <v>1.7902479123203165</v>
      </c>
      <c r="AK35" s="12">
        <f ca="1">'TR TUSD'!$AK$35*'TR TUSD'!$AK$70</f>
        <v>0.32269658326571482</v>
      </c>
      <c r="AL35" s="12">
        <f ca="1">SUM($AH$35:$AK$35)</f>
        <v>19.119318273788114</v>
      </c>
      <c r="AM35" s="12">
        <f ca="1">SUMIF($L$4:$AL$4,"SUBTOTAL",$L$35:$AL$35)</f>
        <v>343.22837518745104</v>
      </c>
      <c r="AP35" s="12">
        <v>1</v>
      </c>
    </row>
    <row r="36" spans="1:42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f>'TR TUSD'!$L$36*'TR TUSD'!$L$70</f>
        <v>0</v>
      </c>
      <c r="M36" s="12">
        <f>'TR TUSD'!$M$36*'TR TUSD'!$M$70</f>
        <v>0.59709875049299321</v>
      </c>
      <c r="N36" s="12">
        <f ca="1">'TR TUSD'!$N$36*'TR TUSD'!$N$70</f>
        <v>3.9303644303412524</v>
      </c>
      <c r="O36" s="12">
        <f>'TR TUSD'!$O$36*'TR TUSD'!$O$70</f>
        <v>0</v>
      </c>
      <c r="P36" s="12">
        <f>'TR TUSD'!$P$36*'TR TUSD'!$P$70</f>
        <v>0</v>
      </c>
      <c r="Q36" s="12">
        <f>'TR TUSD'!$Q$36*'TR TUSD'!$Q$70</f>
        <v>0</v>
      </c>
      <c r="R36" s="12">
        <f>'TR TUSD'!$R$36*'TR TUSD'!$R$70</f>
        <v>0</v>
      </c>
      <c r="S36" s="12">
        <f>'TR TUSD'!$S$36*'TR TUSD'!$S$70</f>
        <v>0</v>
      </c>
      <c r="T36" s="12">
        <f ca="1">SUM($L$36:$S$36)</f>
        <v>4.5274631808342454</v>
      </c>
      <c r="U36" s="12">
        <f>'TR TUSD'!$U$36*'TR TUSD'!$U$70</f>
        <v>0</v>
      </c>
      <c r="V36" s="12">
        <f>'TR TUSD'!$V$36*'TR TUSD'!$V$70</f>
        <v>0</v>
      </c>
      <c r="W36" s="12">
        <f>'TR TUSD'!$W$36*'TR TUSD'!$W$70</f>
        <v>0</v>
      </c>
      <c r="X36" s="12">
        <f>'TR TUSD'!$X$36*'TR TUSD'!$X$70</f>
        <v>0</v>
      </c>
      <c r="Y36" s="12">
        <f>'TR TUSD'!$Y$36*'TR TUSD'!$Y$70</f>
        <v>77.972004090262317</v>
      </c>
      <c r="Z36" s="12">
        <f>'TR TUSD'!$Z$36</f>
        <v>0</v>
      </c>
      <c r="AA36" s="12">
        <f>'TR TUSD'!$AA$36</f>
        <v>0</v>
      </c>
      <c r="AB36" s="12">
        <f>SUM($U$36:$AA$36)</f>
        <v>77.972004090262317</v>
      </c>
      <c r="AC36" s="12">
        <f>'TR TUSD'!$AC$36*'TR TUSD'!$AC$70</f>
        <v>134.41270927013517</v>
      </c>
      <c r="AD36" s="12">
        <f>SUM($AC$36:$AC$36)</f>
        <v>134.41270927013517</v>
      </c>
      <c r="AE36" s="12">
        <v>0</v>
      </c>
      <c r="AF36" s="12">
        <v>0</v>
      </c>
      <c r="AG36" s="12">
        <f>SUM($AE$36:$AF$36)</f>
        <v>0</v>
      </c>
      <c r="AH36" s="12">
        <f>'TR TUSD'!$AH$36*'TR TUSD'!$AH$70</f>
        <v>16.403553421542888</v>
      </c>
      <c r="AI36" s="12">
        <f>'TR TUSD'!$AI$36*'TR TUSD'!$AI$70</f>
        <v>0.60282035665919287</v>
      </c>
      <c r="AJ36" s="12">
        <f ca="1">'TR TUSD'!$AJ$36*'TR TUSD'!$AJ$70</f>
        <v>1.7902479123203165</v>
      </c>
      <c r="AK36" s="12">
        <f ca="1">'TR TUSD'!$AK$36*'TR TUSD'!$AK$70</f>
        <v>0.32269658326571482</v>
      </c>
      <c r="AL36" s="12">
        <f ca="1">SUM($AH$36:$AK$36)</f>
        <v>19.119318273788114</v>
      </c>
      <c r="AM36" s="12">
        <f ca="1">SUMIF($L$4:$AL$4,"SUBTOTAL",$L$36:$AL$36)</f>
        <v>236.03149481501984</v>
      </c>
      <c r="AP36" s="12">
        <f>IF((1 - CUSTOS!$M$24)&lt;&gt;0,1/(1 - CUSTOS!$M$24),1)</f>
        <v>1</v>
      </c>
    </row>
    <row r="37" spans="1:42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f>'TR TUSD'!$L$37*'TR TUSD'!$L$70</f>
        <v>0</v>
      </c>
      <c r="M37" s="12">
        <f>'TR TUSD'!$M$37*'TR TUSD'!$M$70</f>
        <v>0.59709875049299321</v>
      </c>
      <c r="N37" s="12">
        <f ca="1">'TR TUSD'!$N$37*'TR TUSD'!$N$70</f>
        <v>3.9303644303412524</v>
      </c>
      <c r="O37" s="12">
        <f>'TR TUSD'!$O$37*'TR TUSD'!$O$70</f>
        <v>0</v>
      </c>
      <c r="P37" s="12">
        <f>'TR TUSD'!$P$37*'TR TUSD'!$P$70</f>
        <v>0</v>
      </c>
      <c r="Q37" s="12">
        <f>'TR TUSD'!$Q$37*'TR TUSD'!$Q$70</f>
        <v>0</v>
      </c>
      <c r="R37" s="12">
        <f>'TR TUSD'!$R$37*'TR TUSD'!$R$70</f>
        <v>0</v>
      </c>
      <c r="S37" s="12">
        <f>'TR TUSD'!$S$37*'TR TUSD'!$S$70</f>
        <v>0</v>
      </c>
      <c r="T37" s="12">
        <f ca="1">SUM($L$37:$S$37)</f>
        <v>4.5274631808342454</v>
      </c>
      <c r="U37" s="12">
        <f>'TR TUSD'!$U$37*'TR TUSD'!$U$70</f>
        <v>0</v>
      </c>
      <c r="V37" s="12">
        <f>'TR TUSD'!$V$37*'TR TUSD'!$V$70</f>
        <v>0</v>
      </c>
      <c r="W37" s="12">
        <f>'TR TUSD'!$W$37*'TR TUSD'!$W$70</f>
        <v>0</v>
      </c>
      <c r="X37" s="12">
        <f>'TR TUSD'!$X$37*'TR TUSD'!$X$70</f>
        <v>0</v>
      </c>
      <c r="Y37" s="12">
        <f>'TR TUSD'!$Y$37*'TR TUSD'!$Y$70</f>
        <v>77.972004090262317</v>
      </c>
      <c r="Z37" s="12">
        <f>'TR TUSD'!$Z$37</f>
        <v>0</v>
      </c>
      <c r="AA37" s="12">
        <f>'TR TUSD'!$AA$37</f>
        <v>0</v>
      </c>
      <c r="AB37" s="12">
        <f>SUM($U$37:$AA$37)</f>
        <v>77.972004090262317</v>
      </c>
      <c r="AC37" s="12">
        <f>'TR TUSD'!$AC$37*'TR TUSD'!$AC$70</f>
        <v>134.41270927013517</v>
      </c>
      <c r="AD37" s="12">
        <f>SUM($AC$37:$AC$37)</f>
        <v>134.41270927013517</v>
      </c>
      <c r="AE37" s="12">
        <v>0</v>
      </c>
      <c r="AF37" s="12">
        <v>0</v>
      </c>
      <c r="AG37" s="12">
        <f>SUM($AE$37:$AF$37)</f>
        <v>0</v>
      </c>
      <c r="AH37" s="12">
        <f>'TR TUSD'!$AH$37*'TR TUSD'!$AH$70</f>
        <v>16.403553421542888</v>
      </c>
      <c r="AI37" s="12">
        <f>'TR TUSD'!$AI$37*'TR TUSD'!$AI$70</f>
        <v>0.60282035665919287</v>
      </c>
      <c r="AJ37" s="12">
        <f ca="1">'TR TUSD'!$AJ$37*'TR TUSD'!$AJ$70</f>
        <v>1.7902479123203165</v>
      </c>
      <c r="AK37" s="12">
        <f ca="1">'TR TUSD'!$AK$37*'TR TUSD'!$AK$70</f>
        <v>0.32269658326571482</v>
      </c>
      <c r="AL37" s="12">
        <f ca="1">SUM($AH$37:$AK$37)</f>
        <v>19.119318273788114</v>
      </c>
      <c r="AM37" s="12">
        <f ca="1">SUMIF($L$4:$AL$4,"SUBTOTAL",$L$37:$AL$37)</f>
        <v>236.03149481501984</v>
      </c>
      <c r="AP37" s="12">
        <f>IF((1 - CUSTOS!$M$25)&lt;&gt;0,1/(1 - CUSTOS!$M$25),1)</f>
        <v>1</v>
      </c>
    </row>
    <row r="38" spans="1:42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f>'TR TUSD'!$L$38*'TR TUSD'!$L$70</f>
        <v>0</v>
      </c>
      <c r="M38" s="12">
        <f>'TR TUSD'!$M$38*'TR TUSD'!$M$70</f>
        <v>0.59709875049299321</v>
      </c>
      <c r="N38" s="12">
        <f ca="1">'TR TUSD'!$N$38*'TR TUSD'!$N$70</f>
        <v>3.9303644303412524</v>
      </c>
      <c r="O38" s="12">
        <f>'TR TUSD'!$O$38*'TR TUSD'!$O$70</f>
        <v>0</v>
      </c>
      <c r="P38" s="12">
        <f>'TR TUSD'!$P$38*'TR TUSD'!$P$70</f>
        <v>0</v>
      </c>
      <c r="Q38" s="12">
        <f>'TR TUSD'!$Q$38*'TR TUSD'!$Q$70</f>
        <v>0</v>
      </c>
      <c r="R38" s="12">
        <f>'TR TUSD'!$R$38*'TR TUSD'!$R$70</f>
        <v>0</v>
      </c>
      <c r="S38" s="12">
        <f>'TR TUSD'!$S$38*'TR TUSD'!$S$70</f>
        <v>0</v>
      </c>
      <c r="T38" s="12">
        <f ca="1">SUM($L$38:$S$38)</f>
        <v>4.5274631808342454</v>
      </c>
      <c r="U38" s="12">
        <f>'TR TUSD'!$U$38*'TR TUSD'!$U$70</f>
        <v>0</v>
      </c>
      <c r="V38" s="12">
        <f>'TR TUSD'!$V$38*'TR TUSD'!$V$70</f>
        <v>0</v>
      </c>
      <c r="W38" s="12">
        <f>'TR TUSD'!$W$38*'TR TUSD'!$W$70</f>
        <v>0</v>
      </c>
      <c r="X38" s="12">
        <f>'TR TUSD'!$X$38*'TR TUSD'!$X$70</f>
        <v>0</v>
      </c>
      <c r="Y38" s="12">
        <f>'TR TUSD'!$Y$38*'TR TUSD'!$Y$70</f>
        <v>77.972004090262317</v>
      </c>
      <c r="Z38" s="12">
        <f>'TR TUSD'!$Z$38</f>
        <v>0</v>
      </c>
      <c r="AA38" s="12">
        <f>'TR TUSD'!$AA$38</f>
        <v>0</v>
      </c>
      <c r="AB38" s="12">
        <f>SUM($U$38:$AA$38)</f>
        <v>77.972004090262317</v>
      </c>
      <c r="AC38" s="12">
        <f>'TR TUSD'!$AC$38*'TR TUSD'!$AC$70</f>
        <v>134.41270927013517</v>
      </c>
      <c r="AD38" s="12">
        <f>SUM($AC$38:$AC$38)</f>
        <v>134.41270927013517</v>
      </c>
      <c r="AE38" s="12">
        <v>0</v>
      </c>
      <c r="AF38" s="12">
        <v>0</v>
      </c>
      <c r="AG38" s="12">
        <f>SUM($AE$38:$AF$38)</f>
        <v>0</v>
      </c>
      <c r="AH38" s="12">
        <f>'TR TUSD'!$AH$38*'TR TUSD'!$AH$70</f>
        <v>16.403553421542888</v>
      </c>
      <c r="AI38" s="12">
        <f>'TR TUSD'!$AI$38*'TR TUSD'!$AI$70</f>
        <v>0.60282035665919287</v>
      </c>
      <c r="AJ38" s="12">
        <f ca="1">'TR TUSD'!$AJ$38*'TR TUSD'!$AJ$70</f>
        <v>1.7902479123203165</v>
      </c>
      <c r="AK38" s="12">
        <f ca="1">'TR TUSD'!$AK$38*'TR TUSD'!$AK$70</f>
        <v>0.32269658326571482</v>
      </c>
      <c r="AL38" s="12">
        <f ca="1">SUM($AH$38:$AK$38)</f>
        <v>19.119318273788114</v>
      </c>
      <c r="AM38" s="12">
        <f ca="1">SUMIF($L$4:$AL$4,"SUBTOTAL",$L$38:$AL$38)</f>
        <v>236.03149481501984</v>
      </c>
      <c r="AP38" s="12">
        <f>IF((1 - CUSTOS!$M$26)&lt;&gt;0,1/(1 - CUSTOS!$M$26),1)</f>
        <v>1</v>
      </c>
    </row>
    <row r="39" spans="1:42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f>'TR TUSD'!$L$39*'TR TUSD'!$L$70</f>
        <v>0</v>
      </c>
      <c r="M39" s="12">
        <f>'TR TUSD'!$M$39*'TR TUSD'!$M$70</f>
        <v>0.59709875049299321</v>
      </c>
      <c r="N39" s="12">
        <f ca="1">'TR TUSD'!$N$39*'TR TUSD'!$N$70</f>
        <v>3.9303644303412524</v>
      </c>
      <c r="O39" s="12">
        <f>'TR TUSD'!$O$39*'TR TUSD'!$O$70</f>
        <v>0</v>
      </c>
      <c r="P39" s="12">
        <f>'TR TUSD'!$P$39*'TR TUSD'!$P$70</f>
        <v>0</v>
      </c>
      <c r="Q39" s="12">
        <f>'TR TUSD'!$Q$39*'TR TUSD'!$Q$70</f>
        <v>0</v>
      </c>
      <c r="R39" s="12">
        <f>'TR TUSD'!$R$39*'TR TUSD'!$R$70</f>
        <v>0</v>
      </c>
      <c r="S39" s="12">
        <f>'TR TUSD'!$S$39*'TR TUSD'!$S$70</f>
        <v>0</v>
      </c>
      <c r="T39" s="12">
        <f ca="1">SUM($L$39:$S$39)</f>
        <v>4.5274631808342454</v>
      </c>
      <c r="U39" s="12">
        <f>'TR TUSD'!$U$39*'TR TUSD'!$U$70</f>
        <v>0</v>
      </c>
      <c r="V39" s="12">
        <f>'TR TUSD'!$V$39*'TR TUSD'!$V$70</f>
        <v>0</v>
      </c>
      <c r="W39" s="12">
        <f>'TR TUSD'!$W$39*'TR TUSD'!$W$70</f>
        <v>0</v>
      </c>
      <c r="X39" s="12">
        <f>'TR TUSD'!$X$39*'TR TUSD'!$X$70</f>
        <v>0</v>
      </c>
      <c r="Y39" s="12">
        <f>'TR TUSD'!$Y$39*'TR TUSD'!$Y$70</f>
        <v>77.972004090262317</v>
      </c>
      <c r="Z39" s="12">
        <f>'TR TUSD'!$Z$39</f>
        <v>0</v>
      </c>
      <c r="AA39" s="12">
        <f>'TR TUSD'!$AA$39</f>
        <v>0</v>
      </c>
      <c r="AB39" s="12">
        <f>SUM($U$39:$AA$39)</f>
        <v>77.972004090262317</v>
      </c>
      <c r="AC39" s="12">
        <f>'TR TUSD'!$AC$39*'TR TUSD'!$AC$70</f>
        <v>134.41270927013517</v>
      </c>
      <c r="AD39" s="12">
        <f>SUM($AC$39:$AC$39)</f>
        <v>134.41270927013517</v>
      </c>
      <c r="AE39" s="12">
        <v>0</v>
      </c>
      <c r="AF39" s="12">
        <v>0</v>
      </c>
      <c r="AG39" s="12">
        <f>SUM($AE$39:$AF$39)</f>
        <v>0</v>
      </c>
      <c r="AH39" s="12">
        <f>'TR TUSD'!$AH$39*'TR TUSD'!$AH$70</f>
        <v>16.403553421542888</v>
      </c>
      <c r="AI39" s="12">
        <f>'TR TUSD'!$AI$39*'TR TUSD'!$AI$70</f>
        <v>0.60282035665919287</v>
      </c>
      <c r="AJ39" s="12">
        <f ca="1">'TR TUSD'!$AJ$39*'TR TUSD'!$AJ$70</f>
        <v>1.7902479123203165</v>
      </c>
      <c r="AK39" s="12">
        <f ca="1">'TR TUSD'!$AK$39*'TR TUSD'!$AK$70</f>
        <v>0.32269658326571482</v>
      </c>
      <c r="AL39" s="12">
        <f ca="1">SUM($AH$39:$AK$39)</f>
        <v>19.119318273788114</v>
      </c>
      <c r="AM39" s="12">
        <f ca="1">SUMIF($L$4:$AL$4,"SUBTOTAL",$L$39:$AL$39)</f>
        <v>236.03149481501984</v>
      </c>
      <c r="AP39" s="12">
        <f>IF((1 - CUSTOS!$M$27)&lt;&gt;0,1/(1 - CUSTOS!$M$27),1)</f>
        <v>1</v>
      </c>
    </row>
    <row r="40" spans="1:42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'TR TUSD'!$L$40*'TR TUSD'!$L$70</f>
        <v>2.3026870940148982</v>
      </c>
      <c r="M40" s="12">
        <f>'TR TUSD'!$M$40*'TR TUSD'!$M$70</f>
        <v>0.59709875049299321</v>
      </c>
      <c r="N40" s="12">
        <f ca="1">'TR TUSD'!$N$40*'TR TUSD'!$N$70</f>
        <v>18.143697059211128</v>
      </c>
      <c r="O40" s="12">
        <f>'TR TUSD'!$O$40*'TR TUSD'!$O$70</f>
        <v>0</v>
      </c>
      <c r="P40" s="12">
        <f>'TR TUSD'!$P$40*'TR TUSD'!$P$70</f>
        <v>0</v>
      </c>
      <c r="Q40" s="12">
        <f>'TR TUSD'!$Q$40*'TR TUSD'!$Q$70</f>
        <v>90.525215020273237</v>
      </c>
      <c r="R40" s="12">
        <f>'TR TUSD'!$R$40*'TR TUSD'!$R$70</f>
        <v>14.350908048983545</v>
      </c>
      <c r="S40" s="12">
        <f>'TR TUSD'!$S$40*'TR TUSD'!$S$70</f>
        <v>0</v>
      </c>
      <c r="T40" s="12">
        <f ca="1">SUM($L$40:$S$40)</f>
        <v>125.9196059729758</v>
      </c>
      <c r="U40" s="12">
        <f>'TR TUSD'!$U$40*'TR TUSD'!$U$70</f>
        <v>0</v>
      </c>
      <c r="V40" s="12">
        <f>'TR TUSD'!$V$40*'TR TUSD'!$V$70</f>
        <v>0</v>
      </c>
      <c r="W40" s="12">
        <f>'TR TUSD'!$W$40*'TR TUSD'!$W$70</f>
        <v>0</v>
      </c>
      <c r="X40" s="12">
        <f>'TR TUSD'!$X$40*'TR TUSD'!$X$70</f>
        <v>0</v>
      </c>
      <c r="Y40" s="12">
        <f>'TR TUSD'!$Y$40*'TR TUSD'!$Y$70</f>
        <v>421.04867526891246</v>
      </c>
      <c r="Z40" s="12">
        <f>'TR TUSD'!$Z$40</f>
        <v>0</v>
      </c>
      <c r="AA40" s="12">
        <f>'TR TUSD'!$AA$40</f>
        <v>0</v>
      </c>
      <c r="AB40" s="12">
        <f>SUM($U$40:$AA$40)</f>
        <v>421.04867526891246</v>
      </c>
      <c r="AC40" s="12">
        <f>'TR TUSD'!$AC$40*'TR TUSD'!$AC$70</f>
        <v>725.82891104279736</v>
      </c>
      <c r="AD40" s="12">
        <f>SUM($AC$40:$AC$40)</f>
        <v>725.82891104279736</v>
      </c>
      <c r="AE40" s="12">
        <v>0</v>
      </c>
      <c r="AF40" s="12">
        <v>0</v>
      </c>
      <c r="AG40" s="12">
        <f>SUM($AE$40:$AF$40)</f>
        <v>0</v>
      </c>
      <c r="AH40" s="12">
        <f>'TR TUSD'!$AH$40*'TR TUSD'!$AH$70</f>
        <v>16.403553421542888</v>
      </c>
      <c r="AI40" s="12">
        <f>'TR TUSD'!$AI$40*'TR TUSD'!$AI$70</f>
        <v>0.60282035665919287</v>
      </c>
      <c r="AJ40" s="12">
        <f ca="1">'TR TUSD'!$AJ$40*'TR TUSD'!$AJ$70</f>
        <v>1.7902479123203165</v>
      </c>
      <c r="AK40" s="12">
        <f ca="1">'TR TUSD'!$AK$40*'TR TUSD'!$AK$70</f>
        <v>0.32269658326571482</v>
      </c>
      <c r="AL40" s="12">
        <f ca="1">SUM($AH$40:$AK$40)</f>
        <v>19.119318273788114</v>
      </c>
      <c r="AM40" s="12">
        <f ca="1">SUMIF($L$4:$AL$4,"SUBTOTAL",$L$40:$AL$40)</f>
        <v>1291.9165105584736</v>
      </c>
      <c r="AP40" s="12">
        <f>IF((1 - CUSTOS!$M$28)&lt;&gt;0,1/(1 - CUSTOS!$M$28),1)</f>
        <v>1</v>
      </c>
    </row>
    <row r="41" spans="1:42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'TR TUSD'!$L$41*'TR TUSD'!$L$70</f>
        <v>2.3026870940148982</v>
      </c>
      <c r="M41" s="12">
        <f>'TR TUSD'!$M$41*'TR TUSD'!$M$70</f>
        <v>0.59709875049299321</v>
      </c>
      <c r="N41" s="12">
        <f ca="1">'TR TUSD'!$N$41*'TR TUSD'!$N$70</f>
        <v>5.9486766879569792</v>
      </c>
      <c r="O41" s="12">
        <f>'TR TUSD'!$O$41*'TR TUSD'!$O$70</f>
        <v>0</v>
      </c>
      <c r="P41" s="12">
        <f>'TR TUSD'!$P$41*'TR TUSD'!$P$70</f>
        <v>0</v>
      </c>
      <c r="Q41" s="12">
        <f>'TR TUSD'!$Q$41*'TR TUSD'!$Q$70</f>
        <v>90.525215020273237</v>
      </c>
      <c r="R41" s="12">
        <f>'TR TUSD'!$R$41*'TR TUSD'!$R$70</f>
        <v>14.350908048983545</v>
      </c>
      <c r="S41" s="12">
        <f>'TR TUSD'!$S$41*'TR TUSD'!$S$70</f>
        <v>0</v>
      </c>
      <c r="T41" s="12">
        <f ca="1">SUM($L$41:$S$41)</f>
        <v>113.72458560172166</v>
      </c>
      <c r="U41" s="12">
        <f>'TR TUSD'!$U$41*'TR TUSD'!$U$70</f>
        <v>0</v>
      </c>
      <c r="V41" s="12">
        <f>'TR TUSD'!$V$41*'TR TUSD'!$V$70</f>
        <v>0</v>
      </c>
      <c r="W41" s="12">
        <f>'TR TUSD'!$W$41*'TR TUSD'!$W$70</f>
        <v>0</v>
      </c>
      <c r="X41" s="12">
        <f>'TR TUSD'!$X$41*'TR TUSD'!$X$70</f>
        <v>0</v>
      </c>
      <c r="Y41" s="12">
        <f>'TR TUSD'!$Y$41*'TR TUSD'!$Y$70</f>
        <v>126.31456587604771</v>
      </c>
      <c r="Z41" s="12">
        <f>'TR TUSD'!$Z$41</f>
        <v>0</v>
      </c>
      <c r="AA41" s="12">
        <f>'TR TUSD'!$AA$41</f>
        <v>0</v>
      </c>
      <c r="AB41" s="12">
        <f>SUM($U$41:$AA$41)</f>
        <v>126.31456587604771</v>
      </c>
      <c r="AC41" s="12">
        <f>'TR TUSD'!$AC$41*'TR TUSD'!$AC$70</f>
        <v>217.74872014351712</v>
      </c>
      <c r="AD41" s="12">
        <f>SUM($AC$41:$AC$41)</f>
        <v>217.74872014351712</v>
      </c>
      <c r="AE41" s="12">
        <v>0</v>
      </c>
      <c r="AF41" s="12">
        <v>0</v>
      </c>
      <c r="AG41" s="12">
        <f>SUM($AE$41:$AF$41)</f>
        <v>0</v>
      </c>
      <c r="AH41" s="12">
        <f>'TR TUSD'!$AH$41*'TR TUSD'!$AH$70</f>
        <v>16.403553421542888</v>
      </c>
      <c r="AI41" s="12">
        <f>'TR TUSD'!$AI$41*'TR TUSD'!$AI$70</f>
        <v>0.60282035665919287</v>
      </c>
      <c r="AJ41" s="12">
        <f ca="1">'TR TUSD'!$AJ$41*'TR TUSD'!$AJ$70</f>
        <v>1.7902479123203165</v>
      </c>
      <c r="AK41" s="12">
        <f ca="1">'TR TUSD'!$AK$41*'TR TUSD'!$AK$70</f>
        <v>0.32269658326571482</v>
      </c>
      <c r="AL41" s="12">
        <f ca="1">SUM($AH$41:$AK$41)</f>
        <v>19.119318273788114</v>
      </c>
      <c r="AM41" s="12">
        <f ca="1">SUMIF($L$4:$AL$4,"SUBTOTAL",$L$41:$AL$41)</f>
        <v>476.90718989507462</v>
      </c>
      <c r="AP41" s="12">
        <f>IF((1 - CUSTOS!$M$28)&lt;&gt;0,1/(1 - CUSTOS!$M$28),1)</f>
        <v>1</v>
      </c>
    </row>
    <row r="42" spans="1:42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'TR TUSD'!$L$42*'TR TUSD'!$L$70</f>
        <v>2.3026870940148982</v>
      </c>
      <c r="M42" s="12">
        <f>'TR TUSD'!$M$42*'TR TUSD'!$M$70</f>
        <v>0.59709875049299321</v>
      </c>
      <c r="N42" s="12">
        <f ca="1">'TR TUSD'!$N$42*'TR TUSD'!$N$70</f>
        <v>2.4643843788753985</v>
      </c>
      <c r="O42" s="12">
        <f>'TR TUSD'!$O$42*'TR TUSD'!$O$70</f>
        <v>0</v>
      </c>
      <c r="P42" s="12">
        <f>'TR TUSD'!$P$42*'TR TUSD'!$P$70</f>
        <v>0</v>
      </c>
      <c r="Q42" s="12">
        <f>'TR TUSD'!$Q$42*'TR TUSD'!$Q$70</f>
        <v>90.525215020273237</v>
      </c>
      <c r="R42" s="12">
        <f>'TR TUSD'!$R$42*'TR TUSD'!$R$70</f>
        <v>14.350908048983545</v>
      </c>
      <c r="S42" s="12">
        <f>'TR TUSD'!$S$42*'TR TUSD'!$S$70</f>
        <v>0</v>
      </c>
      <c r="T42" s="12">
        <f ca="1">SUM($L$42:$S$42)</f>
        <v>110.24029329264008</v>
      </c>
      <c r="U42" s="12">
        <f>'TR TUSD'!$U$42*'TR TUSD'!$U$70</f>
        <v>0</v>
      </c>
      <c r="V42" s="12">
        <f>'TR TUSD'!$V$42*'TR TUSD'!$V$70</f>
        <v>0</v>
      </c>
      <c r="W42" s="12">
        <f>'TR TUSD'!$W$42*'TR TUSD'!$W$70</f>
        <v>0</v>
      </c>
      <c r="X42" s="12">
        <f>'TR TUSD'!$X$42*'TR TUSD'!$X$70</f>
        <v>0</v>
      </c>
      <c r="Y42" s="12">
        <f>'TR TUSD'!$Y$42*'TR TUSD'!$Y$70</f>
        <v>42.104855292015905</v>
      </c>
      <c r="Z42" s="12">
        <f>'TR TUSD'!$Z$42</f>
        <v>0</v>
      </c>
      <c r="AA42" s="12">
        <f>'TR TUSD'!$AA$42</f>
        <v>0</v>
      </c>
      <c r="AB42" s="12">
        <f>SUM($U$42:$AA$42)</f>
        <v>42.104855292015905</v>
      </c>
      <c r="AC42" s="12">
        <f>'TR TUSD'!$AC$42*'TR TUSD'!$AC$70</f>
        <v>72.58286768894078</v>
      </c>
      <c r="AD42" s="12">
        <f>SUM($AC$42:$AC$42)</f>
        <v>72.58286768894078</v>
      </c>
      <c r="AE42" s="12">
        <v>0</v>
      </c>
      <c r="AF42" s="12">
        <v>0</v>
      </c>
      <c r="AG42" s="12">
        <f>SUM($AE$42:$AF$42)</f>
        <v>0</v>
      </c>
      <c r="AH42" s="12">
        <f>'TR TUSD'!$AH$42*'TR TUSD'!$AH$70</f>
        <v>16.403553421542888</v>
      </c>
      <c r="AI42" s="12">
        <f>'TR TUSD'!$AI$42*'TR TUSD'!$AI$70</f>
        <v>0.60282035665919287</v>
      </c>
      <c r="AJ42" s="12">
        <f ca="1">'TR TUSD'!$AJ$42*'TR TUSD'!$AJ$70</f>
        <v>1.7902479123203165</v>
      </c>
      <c r="AK42" s="12">
        <f ca="1">'TR TUSD'!$AK$42*'TR TUSD'!$AK$70</f>
        <v>0.32269658326571482</v>
      </c>
      <c r="AL42" s="12">
        <f ca="1">SUM($AH$42:$AK$42)</f>
        <v>19.119318273788114</v>
      </c>
      <c r="AM42" s="12">
        <f ca="1">SUMIF($L$4:$AL$4,"SUBTOTAL",$L$42:$AL$42)</f>
        <v>244.04733454738488</v>
      </c>
      <c r="AP42" s="12">
        <f>IF((1 - CUSTOS!$M$28)&lt;&gt;0,1/(1 - CUSTOS!$M$28),1)</f>
        <v>1</v>
      </c>
    </row>
    <row r="43" spans="1:42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'TR TUSD'!$L$43*'TR TUSD'!$L$70</f>
        <v>2.3026870940148982</v>
      </c>
      <c r="M43" s="12">
        <f>'TR TUSD'!$M$43*'TR TUSD'!$M$70</f>
        <v>0.59709875049299321</v>
      </c>
      <c r="N43" s="12">
        <f ca="1">'TR TUSD'!$N$43*'TR TUSD'!$N$70</f>
        <v>3.9484346395008014</v>
      </c>
      <c r="O43" s="12">
        <f>'TR TUSD'!$O$43*'TR TUSD'!$O$70</f>
        <v>0</v>
      </c>
      <c r="P43" s="12">
        <f>'TR TUSD'!$P$43*'TR TUSD'!$P$70</f>
        <v>0</v>
      </c>
      <c r="Q43" s="12">
        <f>'TR TUSD'!$Q$43*'TR TUSD'!$Q$70</f>
        <v>90.525215020273237</v>
      </c>
      <c r="R43" s="12">
        <f>'TR TUSD'!$R$43*'TR TUSD'!$R$70</f>
        <v>14.350908048983545</v>
      </c>
      <c r="S43" s="12">
        <f>'TR TUSD'!$S$43*'TR TUSD'!$S$70</f>
        <v>0</v>
      </c>
      <c r="T43" s="12">
        <f ca="1">SUM($L$43:$S$43)</f>
        <v>111.72434355326547</v>
      </c>
      <c r="U43" s="12">
        <f>'TR TUSD'!$U$43*'TR TUSD'!$U$70</f>
        <v>0</v>
      </c>
      <c r="V43" s="12">
        <f>'TR TUSD'!$V$43*'TR TUSD'!$V$70</f>
        <v>0</v>
      </c>
      <c r="W43" s="12">
        <f>'TR TUSD'!$W$43*'TR TUSD'!$W$70</f>
        <v>0</v>
      </c>
      <c r="X43" s="12">
        <f>'TR TUSD'!$X$43*'TR TUSD'!$X$70</f>
        <v>0</v>
      </c>
      <c r="Y43" s="12">
        <f>'TR TUSD'!$Y$43*'TR TUSD'!$Y$70</f>
        <v>77.972004090262317</v>
      </c>
      <c r="Z43" s="12">
        <f>'TR TUSD'!$Z$43</f>
        <v>0</v>
      </c>
      <c r="AA43" s="12">
        <f>'TR TUSD'!$AA$43</f>
        <v>0</v>
      </c>
      <c r="AB43" s="12">
        <f>SUM($U$43:$AA$43)</f>
        <v>77.972004090262317</v>
      </c>
      <c r="AC43" s="12">
        <f>'TR TUSD'!$AC$43*'TR TUSD'!$AC$70</f>
        <v>134.41270927013517</v>
      </c>
      <c r="AD43" s="12">
        <f>SUM($AC$43:$AC$43)</f>
        <v>134.41270927013517</v>
      </c>
      <c r="AE43" s="12">
        <v>0</v>
      </c>
      <c r="AF43" s="12">
        <v>0</v>
      </c>
      <c r="AG43" s="12">
        <f>SUM($AE$43:$AF$43)</f>
        <v>0</v>
      </c>
      <c r="AH43" s="12">
        <f>'TR TUSD'!$AH$43*'TR TUSD'!$AH$70</f>
        <v>16.403553421542888</v>
      </c>
      <c r="AI43" s="12">
        <f>'TR TUSD'!$AI$43*'TR TUSD'!$AI$70</f>
        <v>0.60282035665919287</v>
      </c>
      <c r="AJ43" s="12">
        <f ca="1">'TR TUSD'!$AJ$43*'TR TUSD'!$AJ$70</f>
        <v>1.7902479123203165</v>
      </c>
      <c r="AK43" s="12">
        <f ca="1">'TR TUSD'!$AK$43*'TR TUSD'!$AK$70</f>
        <v>0.32269658326571482</v>
      </c>
      <c r="AL43" s="12">
        <f ca="1">SUM($AH$43:$AK$43)</f>
        <v>19.119318273788114</v>
      </c>
      <c r="AM43" s="12">
        <f ca="1">SUMIF($L$4:$AL$4,"SUBTOTAL",$L$43:$AL$43)</f>
        <v>343.22837518745104</v>
      </c>
      <c r="AP43" s="12">
        <f>IF((1 - CUSTOS!$M$28)&lt;&gt;0,1/(1 - CUSTOS!$M$28),1)</f>
        <v>1</v>
      </c>
    </row>
    <row r="44" spans="1:42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'TR TUSD'!$L$44*'TR TUSD'!$L$70</f>
        <v>2.3026870940148982</v>
      </c>
      <c r="M44" s="12">
        <f>'TR TUSD'!$M$44*'TR TUSD'!$M$70</f>
        <v>0.59709875049299321</v>
      </c>
      <c r="N44" s="12">
        <f ca="1">'TR TUSD'!$N$44*'TR TUSD'!$N$70</f>
        <v>18.143697059211128</v>
      </c>
      <c r="O44" s="12">
        <f>'TR TUSD'!$O$44*'TR TUSD'!$O$70</f>
        <v>0</v>
      </c>
      <c r="P44" s="12">
        <f>'TR TUSD'!$P$44*'TR TUSD'!$P$70</f>
        <v>0</v>
      </c>
      <c r="Q44" s="12">
        <f>'TR TUSD'!$Q$44*'TR TUSD'!$Q$70</f>
        <v>90.525215020273237</v>
      </c>
      <c r="R44" s="12">
        <f>'TR TUSD'!$R$44*'TR TUSD'!$R$70</f>
        <v>14.350908048983545</v>
      </c>
      <c r="S44" s="12">
        <f>'TR TUSD'!$S$44*'TR TUSD'!$S$70</f>
        <v>0</v>
      </c>
      <c r="T44" s="12">
        <f ca="1">SUM($L$44:$S$44)</f>
        <v>125.9196059729758</v>
      </c>
      <c r="U44" s="12">
        <f>'TR TUSD'!$U$44*'TR TUSD'!$U$70</f>
        <v>0</v>
      </c>
      <c r="V44" s="12">
        <f>'TR TUSD'!$V$44*'TR TUSD'!$V$70</f>
        <v>0</v>
      </c>
      <c r="W44" s="12">
        <f>'TR TUSD'!$W$44*'TR TUSD'!$W$70</f>
        <v>0</v>
      </c>
      <c r="X44" s="12">
        <f>'TR TUSD'!$X$44*'TR TUSD'!$X$70</f>
        <v>0</v>
      </c>
      <c r="Y44" s="12">
        <f>'TR TUSD'!$Y$44*'TR TUSD'!$Y$70</f>
        <v>421.04867526891246</v>
      </c>
      <c r="Z44" s="12">
        <f>'TR TUSD'!$Z$44</f>
        <v>0</v>
      </c>
      <c r="AA44" s="12">
        <f>'TR TUSD'!$AA$44</f>
        <v>0</v>
      </c>
      <c r="AB44" s="12">
        <f>SUM($U$44:$AA$44)</f>
        <v>421.04867526891246</v>
      </c>
      <c r="AC44" s="12">
        <f>'TR TUSD'!$AC$44*'TR TUSD'!$AC$70</f>
        <v>725.82891104279736</v>
      </c>
      <c r="AD44" s="12">
        <f>SUM($AC$44:$AC$44)</f>
        <v>725.82891104279736</v>
      </c>
      <c r="AE44" s="12">
        <v>0</v>
      </c>
      <c r="AF44" s="12">
        <v>0</v>
      </c>
      <c r="AG44" s="12">
        <f>SUM($AE$44:$AF$44)</f>
        <v>0</v>
      </c>
      <c r="AH44" s="12">
        <f>'TR TUSD'!$AH$44*'TR TUSD'!$AH$70</f>
        <v>16.403553421542888</v>
      </c>
      <c r="AI44" s="12">
        <f>'TR TUSD'!$AI$44*'TR TUSD'!$AI$70</f>
        <v>0.60282035665919287</v>
      </c>
      <c r="AJ44" s="12">
        <f ca="1">'TR TUSD'!$AJ$44*'TR TUSD'!$AJ$70</f>
        <v>1.7902479123203165</v>
      </c>
      <c r="AK44" s="12">
        <f ca="1">'TR TUSD'!$AK$44*'TR TUSD'!$AK$70</f>
        <v>0.32269658326571482</v>
      </c>
      <c r="AL44" s="12">
        <f ca="1">SUM($AH$44:$AK$44)</f>
        <v>19.119318273788114</v>
      </c>
      <c r="AM44" s="12">
        <f ca="1">SUMIF($L$4:$AL$4,"SUBTOTAL",$L$44:$AL$44)</f>
        <v>1291.9165105584736</v>
      </c>
      <c r="AP44" s="12">
        <f>IF((1 - CUSTOS!$M$29)&lt;&gt;0,1/(1 - CUSTOS!$M$29),1)</f>
        <v>1</v>
      </c>
    </row>
    <row r="45" spans="1:42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'TR TUSD'!$L$45*'TR TUSD'!$L$70</f>
        <v>2.3026870940148982</v>
      </c>
      <c r="M45" s="12">
        <f>'TR TUSD'!$M$45*'TR TUSD'!$M$70</f>
        <v>0.59709875049299321</v>
      </c>
      <c r="N45" s="12">
        <f ca="1">'TR TUSD'!$N$45*'TR TUSD'!$N$70</f>
        <v>5.9486766879569792</v>
      </c>
      <c r="O45" s="12">
        <f>'TR TUSD'!$O$45*'TR TUSD'!$O$70</f>
        <v>0</v>
      </c>
      <c r="P45" s="12">
        <f>'TR TUSD'!$P$45*'TR TUSD'!$P$70</f>
        <v>0</v>
      </c>
      <c r="Q45" s="12">
        <f>'TR TUSD'!$Q$45*'TR TUSD'!$Q$70</f>
        <v>90.525215020273237</v>
      </c>
      <c r="R45" s="12">
        <f>'TR TUSD'!$R$45*'TR TUSD'!$R$70</f>
        <v>14.350908048983545</v>
      </c>
      <c r="S45" s="12">
        <f>'TR TUSD'!$S$45*'TR TUSD'!$S$70</f>
        <v>0</v>
      </c>
      <c r="T45" s="12">
        <f ca="1">SUM($L$45:$S$45)</f>
        <v>113.72458560172166</v>
      </c>
      <c r="U45" s="12">
        <f>'TR TUSD'!$U$45*'TR TUSD'!$U$70</f>
        <v>0</v>
      </c>
      <c r="V45" s="12">
        <f>'TR TUSD'!$V$45*'TR TUSD'!$V$70</f>
        <v>0</v>
      </c>
      <c r="W45" s="12">
        <f>'TR TUSD'!$W$45*'TR TUSD'!$W$70</f>
        <v>0</v>
      </c>
      <c r="X45" s="12">
        <f>'TR TUSD'!$X$45*'TR TUSD'!$X$70</f>
        <v>0</v>
      </c>
      <c r="Y45" s="12">
        <f>'TR TUSD'!$Y$45*'TR TUSD'!$Y$70</f>
        <v>126.31456587604771</v>
      </c>
      <c r="Z45" s="12">
        <f>'TR TUSD'!$Z$45</f>
        <v>0</v>
      </c>
      <c r="AA45" s="12">
        <f>'TR TUSD'!$AA$45</f>
        <v>0</v>
      </c>
      <c r="AB45" s="12">
        <f>SUM($U$45:$AA$45)</f>
        <v>126.31456587604771</v>
      </c>
      <c r="AC45" s="12">
        <f>'TR TUSD'!$AC$45*'TR TUSD'!$AC$70</f>
        <v>217.74872014351712</v>
      </c>
      <c r="AD45" s="12">
        <f>SUM($AC$45:$AC$45)</f>
        <v>217.74872014351712</v>
      </c>
      <c r="AE45" s="12">
        <v>0</v>
      </c>
      <c r="AF45" s="12">
        <v>0</v>
      </c>
      <c r="AG45" s="12">
        <f>SUM($AE$45:$AF$45)</f>
        <v>0</v>
      </c>
      <c r="AH45" s="12">
        <f>'TR TUSD'!$AH$45*'TR TUSD'!$AH$70</f>
        <v>16.403553421542888</v>
      </c>
      <c r="AI45" s="12">
        <f>'TR TUSD'!$AI$45*'TR TUSD'!$AI$70</f>
        <v>0.60282035665919287</v>
      </c>
      <c r="AJ45" s="12">
        <f ca="1">'TR TUSD'!$AJ$45*'TR TUSD'!$AJ$70</f>
        <v>1.7902479123203165</v>
      </c>
      <c r="AK45" s="12">
        <f ca="1">'TR TUSD'!$AK$45*'TR TUSD'!$AK$70</f>
        <v>0.32269658326571482</v>
      </c>
      <c r="AL45" s="12">
        <f ca="1">SUM($AH$45:$AK$45)</f>
        <v>19.119318273788114</v>
      </c>
      <c r="AM45" s="12">
        <f ca="1">SUMIF($L$4:$AL$4,"SUBTOTAL",$L$45:$AL$45)</f>
        <v>476.90718989507462</v>
      </c>
      <c r="AP45" s="12">
        <f>IF((1 - CUSTOS!$M$29)&lt;&gt;0,1/(1 - CUSTOS!$M$29),1)</f>
        <v>1</v>
      </c>
    </row>
    <row r="46" spans="1:42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'TR TUSD'!$L$46*'TR TUSD'!$L$70</f>
        <v>2.3026870940148982</v>
      </c>
      <c r="M46" s="12">
        <f>'TR TUSD'!$M$46*'TR TUSD'!$M$70</f>
        <v>0.59709875049299321</v>
      </c>
      <c r="N46" s="12">
        <f ca="1">'TR TUSD'!$N$46*'TR TUSD'!$N$70</f>
        <v>2.4643843788753985</v>
      </c>
      <c r="O46" s="12">
        <f>'TR TUSD'!$O$46*'TR TUSD'!$O$70</f>
        <v>0</v>
      </c>
      <c r="P46" s="12">
        <f>'TR TUSD'!$P$46*'TR TUSD'!$P$70</f>
        <v>0</v>
      </c>
      <c r="Q46" s="12">
        <f>'TR TUSD'!$Q$46*'TR TUSD'!$Q$70</f>
        <v>90.525215020273237</v>
      </c>
      <c r="R46" s="12">
        <f>'TR TUSD'!$R$46*'TR TUSD'!$R$70</f>
        <v>14.350908048983545</v>
      </c>
      <c r="S46" s="12">
        <f>'TR TUSD'!$S$46*'TR TUSD'!$S$70</f>
        <v>0</v>
      </c>
      <c r="T46" s="12">
        <f ca="1">SUM($L$46:$S$46)</f>
        <v>110.24029329264008</v>
      </c>
      <c r="U46" s="12">
        <f>'TR TUSD'!$U$46*'TR TUSD'!$U$70</f>
        <v>0</v>
      </c>
      <c r="V46" s="12">
        <f>'TR TUSD'!$V$46*'TR TUSD'!$V$70</f>
        <v>0</v>
      </c>
      <c r="W46" s="12">
        <f>'TR TUSD'!$W$46*'TR TUSD'!$W$70</f>
        <v>0</v>
      </c>
      <c r="X46" s="12">
        <f>'TR TUSD'!$X$46*'TR TUSD'!$X$70</f>
        <v>0</v>
      </c>
      <c r="Y46" s="12">
        <f>'TR TUSD'!$Y$46*'TR TUSD'!$Y$70</f>
        <v>42.104855292015905</v>
      </c>
      <c r="Z46" s="12">
        <f>'TR TUSD'!$Z$46</f>
        <v>0</v>
      </c>
      <c r="AA46" s="12">
        <f>'TR TUSD'!$AA$46</f>
        <v>0</v>
      </c>
      <c r="AB46" s="12">
        <f>SUM($U$46:$AA$46)</f>
        <v>42.104855292015905</v>
      </c>
      <c r="AC46" s="12">
        <f>'TR TUSD'!$AC$46*'TR TUSD'!$AC$70</f>
        <v>72.58286768894078</v>
      </c>
      <c r="AD46" s="12">
        <f>SUM($AC$46:$AC$46)</f>
        <v>72.58286768894078</v>
      </c>
      <c r="AE46" s="12">
        <v>0</v>
      </c>
      <c r="AF46" s="12">
        <v>0</v>
      </c>
      <c r="AG46" s="12">
        <f>SUM($AE$46:$AF$46)</f>
        <v>0</v>
      </c>
      <c r="AH46" s="12">
        <f>'TR TUSD'!$AH$46*'TR TUSD'!$AH$70</f>
        <v>16.403553421542888</v>
      </c>
      <c r="AI46" s="12">
        <f>'TR TUSD'!$AI$46*'TR TUSD'!$AI$70</f>
        <v>0.60282035665919287</v>
      </c>
      <c r="AJ46" s="12">
        <f ca="1">'TR TUSD'!$AJ$46*'TR TUSD'!$AJ$70</f>
        <v>1.7902479123203165</v>
      </c>
      <c r="AK46" s="12">
        <f ca="1">'TR TUSD'!$AK$46*'TR TUSD'!$AK$70</f>
        <v>0.32269658326571482</v>
      </c>
      <c r="AL46" s="12">
        <f ca="1">SUM($AH$46:$AK$46)</f>
        <v>19.119318273788114</v>
      </c>
      <c r="AM46" s="12">
        <f ca="1">SUMIF($L$4:$AL$4,"SUBTOTAL",$L$46:$AL$46)</f>
        <v>244.04733454738488</v>
      </c>
      <c r="AP46" s="12">
        <f>IF((1 - CUSTOS!$M$29)&lt;&gt;0,1/(1 - CUSTOS!$M$29),1)</f>
        <v>1</v>
      </c>
    </row>
    <row r="47" spans="1:42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'TR TUSD'!$L$47*'TR TUSD'!$L$70</f>
        <v>2.3026870940148982</v>
      </c>
      <c r="M47" s="12">
        <f>'TR TUSD'!$M$47*'TR TUSD'!$M$70</f>
        <v>0.59709875049299321</v>
      </c>
      <c r="N47" s="12">
        <f ca="1">'TR TUSD'!$N$47*'TR TUSD'!$N$70</f>
        <v>3.9484346395008014</v>
      </c>
      <c r="O47" s="12">
        <f>'TR TUSD'!$O$47*'TR TUSD'!$O$70</f>
        <v>0</v>
      </c>
      <c r="P47" s="12">
        <f>'TR TUSD'!$P$47*'TR TUSD'!$P$70</f>
        <v>0</v>
      </c>
      <c r="Q47" s="12">
        <f>'TR TUSD'!$Q$47*'TR TUSD'!$Q$70</f>
        <v>90.525215020273237</v>
      </c>
      <c r="R47" s="12">
        <f>'TR TUSD'!$R$47*'TR TUSD'!$R$70</f>
        <v>14.350908048983545</v>
      </c>
      <c r="S47" s="12">
        <f>'TR TUSD'!$S$47*'TR TUSD'!$S$70</f>
        <v>0</v>
      </c>
      <c r="T47" s="12">
        <f ca="1">SUM($L$47:$S$47)</f>
        <v>111.72434355326547</v>
      </c>
      <c r="U47" s="12">
        <f>'TR TUSD'!$U$47*'TR TUSD'!$U$70</f>
        <v>0</v>
      </c>
      <c r="V47" s="12">
        <f>'TR TUSD'!$V$47*'TR TUSD'!$V$70</f>
        <v>0</v>
      </c>
      <c r="W47" s="12">
        <f>'TR TUSD'!$W$47*'TR TUSD'!$W$70</f>
        <v>0</v>
      </c>
      <c r="X47" s="12">
        <f>'TR TUSD'!$X$47*'TR TUSD'!$X$70</f>
        <v>0</v>
      </c>
      <c r="Y47" s="12">
        <f>'TR TUSD'!$Y$47*'TR TUSD'!$Y$70</f>
        <v>77.972004090262317</v>
      </c>
      <c r="Z47" s="12">
        <f>'TR TUSD'!$Z$47</f>
        <v>0</v>
      </c>
      <c r="AA47" s="12">
        <f>'TR TUSD'!$AA$47</f>
        <v>0</v>
      </c>
      <c r="AB47" s="12">
        <f>SUM($U$47:$AA$47)</f>
        <v>77.972004090262317</v>
      </c>
      <c r="AC47" s="12">
        <f>'TR TUSD'!$AC$47*'TR TUSD'!$AC$70</f>
        <v>134.41270927013517</v>
      </c>
      <c r="AD47" s="12">
        <f>SUM($AC$47:$AC$47)</f>
        <v>134.41270927013517</v>
      </c>
      <c r="AE47" s="12">
        <v>0</v>
      </c>
      <c r="AF47" s="12">
        <v>0</v>
      </c>
      <c r="AG47" s="12">
        <f>SUM($AE$47:$AF$47)</f>
        <v>0</v>
      </c>
      <c r="AH47" s="12">
        <f>'TR TUSD'!$AH$47*'TR TUSD'!$AH$70</f>
        <v>16.403553421542888</v>
      </c>
      <c r="AI47" s="12">
        <f>'TR TUSD'!$AI$47*'TR TUSD'!$AI$70</f>
        <v>0.60282035665919287</v>
      </c>
      <c r="AJ47" s="12">
        <f ca="1">'TR TUSD'!$AJ$47*'TR TUSD'!$AJ$70</f>
        <v>1.7902479123203165</v>
      </c>
      <c r="AK47" s="12">
        <f ca="1">'TR TUSD'!$AK$47*'TR TUSD'!$AK$70</f>
        <v>0.32269658326571482</v>
      </c>
      <c r="AL47" s="12">
        <f ca="1">SUM($AH$47:$AK$47)</f>
        <v>19.119318273788114</v>
      </c>
      <c r="AM47" s="12">
        <f ca="1">SUMIF($L$4:$AL$4,"SUBTOTAL",$L$47:$AL$47)</f>
        <v>343.22837518745104</v>
      </c>
      <c r="AP47" s="12">
        <f>IF((1 - CUSTOS!$M$29)&lt;&gt;0,1/(1 - CUSTOS!$M$29),1)</f>
        <v>1</v>
      </c>
    </row>
    <row r="48" spans="1:42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'TR TUSD'!$L$48*'TR TUSD'!$L$70</f>
        <v>2.3026870940148982</v>
      </c>
      <c r="M48" s="12">
        <f>'TR TUSD'!$M$48*'TR TUSD'!$M$70</f>
        <v>0.59709875049299321</v>
      </c>
      <c r="N48" s="12">
        <f ca="1">'TR TUSD'!$N$48*'TR TUSD'!$N$70</f>
        <v>18.143697059211128</v>
      </c>
      <c r="O48" s="12">
        <f>'TR TUSD'!$O$48*'TR TUSD'!$O$70</f>
        <v>0</v>
      </c>
      <c r="P48" s="12">
        <f>'TR TUSD'!$P$48*'TR TUSD'!$P$70</f>
        <v>0</v>
      </c>
      <c r="Q48" s="12">
        <f>'TR TUSD'!$Q$48*'TR TUSD'!$Q$70</f>
        <v>90.525215020273237</v>
      </c>
      <c r="R48" s="12">
        <f>'TR TUSD'!$R$48*'TR TUSD'!$R$70</f>
        <v>14.350908048983545</v>
      </c>
      <c r="S48" s="12">
        <f>'TR TUSD'!$S$48*'TR TUSD'!$S$70</f>
        <v>0</v>
      </c>
      <c r="T48" s="12">
        <f ca="1">SUM($L$48:$S$48)</f>
        <v>125.9196059729758</v>
      </c>
      <c r="U48" s="12">
        <f>'TR TUSD'!$U$48*'TR TUSD'!$U$70</f>
        <v>0</v>
      </c>
      <c r="V48" s="12">
        <f>'TR TUSD'!$V$48*'TR TUSD'!$V$70</f>
        <v>0</v>
      </c>
      <c r="W48" s="12">
        <f>'TR TUSD'!$W$48*'TR TUSD'!$W$70</f>
        <v>0</v>
      </c>
      <c r="X48" s="12">
        <f>'TR TUSD'!$X$48*'TR TUSD'!$X$70</f>
        <v>0</v>
      </c>
      <c r="Y48" s="12">
        <f>'TR TUSD'!$Y$48*'TR TUSD'!$Y$70</f>
        <v>421.04867526891246</v>
      </c>
      <c r="Z48" s="12">
        <f>'TR TUSD'!$Z$48</f>
        <v>0</v>
      </c>
      <c r="AA48" s="12">
        <f>'TR TUSD'!$AA$48</f>
        <v>0</v>
      </c>
      <c r="AB48" s="12">
        <f>SUM($U$48:$AA$48)</f>
        <v>421.04867526891246</v>
      </c>
      <c r="AC48" s="12">
        <f>'TR TUSD'!$AC$48*'TR TUSD'!$AC$70</f>
        <v>725.82891104279736</v>
      </c>
      <c r="AD48" s="12">
        <f>SUM($AC$48:$AC$48)</f>
        <v>725.82891104279736</v>
      </c>
      <c r="AE48" s="12">
        <v>0</v>
      </c>
      <c r="AF48" s="12">
        <v>0</v>
      </c>
      <c r="AG48" s="12">
        <f>SUM($AE$48:$AF$48)</f>
        <v>0</v>
      </c>
      <c r="AH48" s="12">
        <f>'TR TUSD'!$AH$48*'TR TUSD'!$AH$70</f>
        <v>16.403553421542888</v>
      </c>
      <c r="AI48" s="12">
        <f>'TR TUSD'!$AI$48*'TR TUSD'!$AI$70</f>
        <v>0.60282035665919287</v>
      </c>
      <c r="AJ48" s="12">
        <f ca="1">'TR TUSD'!$AJ$48*'TR TUSD'!$AJ$70</f>
        <v>1.7902479123203165</v>
      </c>
      <c r="AK48" s="12">
        <f ca="1">'TR TUSD'!$AK$48*'TR TUSD'!$AK$70</f>
        <v>0.32269658326571482</v>
      </c>
      <c r="AL48" s="12">
        <f ca="1">SUM($AH$48:$AK$48)</f>
        <v>19.119318273788114</v>
      </c>
      <c r="AM48" s="12">
        <f ca="1">SUMIF($L$4:$AL$4,"SUBTOTAL",$L$48:$AL$48)</f>
        <v>1291.9165105584736</v>
      </c>
      <c r="AP48" s="12">
        <f>IF((1 - CUSTOS!$M$30)&lt;&gt;0,1/(1 - CUSTOS!$M$30),1)</f>
        <v>1</v>
      </c>
    </row>
    <row r="49" spans="1:42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'TR TUSD'!$L$49*'TR TUSD'!$L$70</f>
        <v>2.3026870940148982</v>
      </c>
      <c r="M49" s="12">
        <f>'TR TUSD'!$M$49*'TR TUSD'!$M$70</f>
        <v>0.59709875049299321</v>
      </c>
      <c r="N49" s="12">
        <f ca="1">'TR TUSD'!$N$49*'TR TUSD'!$N$70</f>
        <v>5.9486766879569792</v>
      </c>
      <c r="O49" s="12">
        <f>'TR TUSD'!$O$49*'TR TUSD'!$O$70</f>
        <v>0</v>
      </c>
      <c r="P49" s="12">
        <f>'TR TUSD'!$P$49*'TR TUSD'!$P$70</f>
        <v>0</v>
      </c>
      <c r="Q49" s="12">
        <f>'TR TUSD'!$Q$49*'TR TUSD'!$Q$70</f>
        <v>90.525215020273237</v>
      </c>
      <c r="R49" s="12">
        <f>'TR TUSD'!$R$49*'TR TUSD'!$R$70</f>
        <v>14.350908048983545</v>
      </c>
      <c r="S49" s="12">
        <f>'TR TUSD'!$S$49*'TR TUSD'!$S$70</f>
        <v>0</v>
      </c>
      <c r="T49" s="12">
        <f ca="1">SUM($L$49:$S$49)</f>
        <v>113.72458560172166</v>
      </c>
      <c r="U49" s="12">
        <f>'TR TUSD'!$U$49*'TR TUSD'!$U$70</f>
        <v>0</v>
      </c>
      <c r="V49" s="12">
        <f>'TR TUSD'!$V$49*'TR TUSD'!$V$70</f>
        <v>0</v>
      </c>
      <c r="W49" s="12">
        <f>'TR TUSD'!$W$49*'TR TUSD'!$W$70</f>
        <v>0</v>
      </c>
      <c r="X49" s="12">
        <f>'TR TUSD'!$X$49*'TR TUSD'!$X$70</f>
        <v>0</v>
      </c>
      <c r="Y49" s="12">
        <f>'TR TUSD'!$Y$49*'TR TUSD'!$Y$70</f>
        <v>126.31456587604771</v>
      </c>
      <c r="Z49" s="12">
        <f>'TR TUSD'!$Z$49</f>
        <v>0</v>
      </c>
      <c r="AA49" s="12">
        <f>'TR TUSD'!$AA$49</f>
        <v>0</v>
      </c>
      <c r="AB49" s="12">
        <f>SUM($U$49:$AA$49)</f>
        <v>126.31456587604771</v>
      </c>
      <c r="AC49" s="12">
        <f>'TR TUSD'!$AC$49*'TR TUSD'!$AC$70</f>
        <v>217.74872014351712</v>
      </c>
      <c r="AD49" s="12">
        <f>SUM($AC$49:$AC$49)</f>
        <v>217.74872014351712</v>
      </c>
      <c r="AE49" s="12">
        <v>0</v>
      </c>
      <c r="AF49" s="12">
        <v>0</v>
      </c>
      <c r="AG49" s="12">
        <f>SUM($AE$49:$AF$49)</f>
        <v>0</v>
      </c>
      <c r="AH49" s="12">
        <f>'TR TUSD'!$AH$49*'TR TUSD'!$AH$70</f>
        <v>16.403553421542888</v>
      </c>
      <c r="AI49" s="12">
        <f>'TR TUSD'!$AI$49*'TR TUSD'!$AI$70</f>
        <v>0.60282035665919287</v>
      </c>
      <c r="AJ49" s="12">
        <f ca="1">'TR TUSD'!$AJ$49*'TR TUSD'!$AJ$70</f>
        <v>1.7902479123203165</v>
      </c>
      <c r="AK49" s="12">
        <f ca="1">'TR TUSD'!$AK$49*'TR TUSD'!$AK$70</f>
        <v>0.32269658326571482</v>
      </c>
      <c r="AL49" s="12">
        <f ca="1">SUM($AH$49:$AK$49)</f>
        <v>19.119318273788114</v>
      </c>
      <c r="AM49" s="12">
        <f ca="1">SUMIF($L$4:$AL$4,"SUBTOTAL",$L$49:$AL$49)</f>
        <v>476.90718989507462</v>
      </c>
      <c r="AP49" s="12">
        <f>IF((1 - CUSTOS!$M$30)&lt;&gt;0,1/(1 - CUSTOS!$M$30),1)</f>
        <v>1</v>
      </c>
    </row>
    <row r="50" spans="1:42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'TR TUSD'!$L$50*'TR TUSD'!$L$70</f>
        <v>2.3026870940148982</v>
      </c>
      <c r="M50" s="12">
        <f>'TR TUSD'!$M$50*'TR TUSD'!$M$70</f>
        <v>0.59709875049299321</v>
      </c>
      <c r="N50" s="12">
        <f ca="1">'TR TUSD'!$N$50*'TR TUSD'!$N$70</f>
        <v>2.4643843788753985</v>
      </c>
      <c r="O50" s="12">
        <f>'TR TUSD'!$O$50*'TR TUSD'!$O$70</f>
        <v>0</v>
      </c>
      <c r="P50" s="12">
        <f>'TR TUSD'!$P$50*'TR TUSD'!$P$70</f>
        <v>0</v>
      </c>
      <c r="Q50" s="12">
        <f>'TR TUSD'!$Q$50*'TR TUSD'!$Q$70</f>
        <v>90.525215020273237</v>
      </c>
      <c r="R50" s="12">
        <f>'TR TUSD'!$R$50*'TR TUSD'!$R$70</f>
        <v>14.350908048983545</v>
      </c>
      <c r="S50" s="12">
        <f>'TR TUSD'!$S$50*'TR TUSD'!$S$70</f>
        <v>0</v>
      </c>
      <c r="T50" s="12">
        <f ca="1">SUM($L$50:$S$50)</f>
        <v>110.24029329264008</v>
      </c>
      <c r="U50" s="12">
        <f>'TR TUSD'!$U$50*'TR TUSD'!$U$70</f>
        <v>0</v>
      </c>
      <c r="V50" s="12">
        <f>'TR TUSD'!$V$50*'TR TUSD'!$V$70</f>
        <v>0</v>
      </c>
      <c r="W50" s="12">
        <f>'TR TUSD'!$W$50*'TR TUSD'!$W$70</f>
        <v>0</v>
      </c>
      <c r="X50" s="12">
        <f>'TR TUSD'!$X$50*'TR TUSD'!$X$70</f>
        <v>0</v>
      </c>
      <c r="Y50" s="12">
        <f>'TR TUSD'!$Y$50*'TR TUSD'!$Y$70</f>
        <v>42.104855292015905</v>
      </c>
      <c r="Z50" s="12">
        <f>'TR TUSD'!$Z$50</f>
        <v>0</v>
      </c>
      <c r="AA50" s="12">
        <f>'TR TUSD'!$AA$50</f>
        <v>0</v>
      </c>
      <c r="AB50" s="12">
        <f>SUM($U$50:$AA$50)</f>
        <v>42.104855292015905</v>
      </c>
      <c r="AC50" s="12">
        <f>'TR TUSD'!$AC$50*'TR TUSD'!$AC$70</f>
        <v>72.58286768894078</v>
      </c>
      <c r="AD50" s="12">
        <f>SUM($AC$50:$AC$50)</f>
        <v>72.58286768894078</v>
      </c>
      <c r="AE50" s="12">
        <v>0</v>
      </c>
      <c r="AF50" s="12">
        <v>0</v>
      </c>
      <c r="AG50" s="12">
        <f>SUM($AE$50:$AF$50)</f>
        <v>0</v>
      </c>
      <c r="AH50" s="12">
        <f>'TR TUSD'!$AH$50*'TR TUSD'!$AH$70</f>
        <v>16.403553421542888</v>
      </c>
      <c r="AI50" s="12">
        <f>'TR TUSD'!$AI$50*'TR TUSD'!$AI$70</f>
        <v>0.60282035665919287</v>
      </c>
      <c r="AJ50" s="12">
        <f ca="1">'TR TUSD'!$AJ$50*'TR TUSD'!$AJ$70</f>
        <v>1.7902479123203165</v>
      </c>
      <c r="AK50" s="12">
        <f ca="1">'TR TUSD'!$AK$50*'TR TUSD'!$AK$70</f>
        <v>0.32269658326571482</v>
      </c>
      <c r="AL50" s="12">
        <f ca="1">SUM($AH$50:$AK$50)</f>
        <v>19.119318273788114</v>
      </c>
      <c r="AM50" s="12">
        <f ca="1">SUMIF($L$4:$AL$4,"SUBTOTAL",$L$50:$AL$50)</f>
        <v>244.04733454738488</v>
      </c>
      <c r="AP50" s="12">
        <f>IF((1 - CUSTOS!$M$30)&lt;&gt;0,1/(1 - CUSTOS!$M$30),1)</f>
        <v>1</v>
      </c>
    </row>
    <row r="51" spans="1:42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'TR TUSD'!$L$51*'TR TUSD'!$L$70</f>
        <v>2.3026870940148982</v>
      </c>
      <c r="M51" s="12">
        <f>'TR TUSD'!$M$51*'TR TUSD'!$M$70</f>
        <v>0.59709875049299321</v>
      </c>
      <c r="N51" s="12">
        <f ca="1">'TR TUSD'!$N$51*'TR TUSD'!$N$70</f>
        <v>3.9484346395008014</v>
      </c>
      <c r="O51" s="12">
        <f>'TR TUSD'!$O$51*'TR TUSD'!$O$70</f>
        <v>0</v>
      </c>
      <c r="P51" s="12">
        <f>'TR TUSD'!$P$51*'TR TUSD'!$P$70</f>
        <v>0</v>
      </c>
      <c r="Q51" s="12">
        <f>'TR TUSD'!$Q$51*'TR TUSD'!$Q$70</f>
        <v>90.525215020273237</v>
      </c>
      <c r="R51" s="12">
        <f>'TR TUSD'!$R$51*'TR TUSD'!$R$70</f>
        <v>14.350908048983545</v>
      </c>
      <c r="S51" s="12">
        <f>'TR TUSD'!$S$51*'TR TUSD'!$S$70</f>
        <v>0</v>
      </c>
      <c r="T51" s="12">
        <f ca="1">SUM($L$51:$S$51)</f>
        <v>111.72434355326547</v>
      </c>
      <c r="U51" s="12">
        <f>'TR TUSD'!$U$51*'TR TUSD'!$U$70</f>
        <v>0</v>
      </c>
      <c r="V51" s="12">
        <f>'TR TUSD'!$V$51*'TR TUSD'!$V$70</f>
        <v>0</v>
      </c>
      <c r="W51" s="12">
        <f>'TR TUSD'!$W$51*'TR TUSD'!$W$70</f>
        <v>0</v>
      </c>
      <c r="X51" s="12">
        <f>'TR TUSD'!$X$51*'TR TUSD'!$X$70</f>
        <v>0</v>
      </c>
      <c r="Y51" s="12">
        <f>'TR TUSD'!$Y$51*'TR TUSD'!$Y$70</f>
        <v>77.972004090262317</v>
      </c>
      <c r="Z51" s="12">
        <f>'TR TUSD'!$Z$51</f>
        <v>0</v>
      </c>
      <c r="AA51" s="12">
        <f>'TR TUSD'!$AA$51</f>
        <v>0</v>
      </c>
      <c r="AB51" s="12">
        <f>SUM($U$51:$AA$51)</f>
        <v>77.972004090262317</v>
      </c>
      <c r="AC51" s="12">
        <f>'TR TUSD'!$AC$51*'TR TUSD'!$AC$70</f>
        <v>134.41270927013517</v>
      </c>
      <c r="AD51" s="12">
        <f>SUM($AC$51:$AC$51)</f>
        <v>134.41270927013517</v>
      </c>
      <c r="AE51" s="12">
        <v>0</v>
      </c>
      <c r="AF51" s="12">
        <v>0</v>
      </c>
      <c r="AG51" s="12">
        <f>SUM($AE$51:$AF$51)</f>
        <v>0</v>
      </c>
      <c r="AH51" s="12">
        <f>'TR TUSD'!$AH$51*'TR TUSD'!$AH$70</f>
        <v>16.403553421542888</v>
      </c>
      <c r="AI51" s="12">
        <f>'TR TUSD'!$AI$51*'TR TUSD'!$AI$70</f>
        <v>0.60282035665919287</v>
      </c>
      <c r="AJ51" s="12">
        <f ca="1">'TR TUSD'!$AJ$51*'TR TUSD'!$AJ$70</f>
        <v>1.7902479123203165</v>
      </c>
      <c r="AK51" s="12">
        <f ca="1">'TR TUSD'!$AK$51*'TR TUSD'!$AK$70</f>
        <v>0.32269658326571482</v>
      </c>
      <c r="AL51" s="12">
        <f ca="1">SUM($AH$51:$AK$51)</f>
        <v>19.119318273788114</v>
      </c>
      <c r="AM51" s="12">
        <f ca="1">SUMIF($L$4:$AL$4,"SUBTOTAL",$L$51:$AL$51)</f>
        <v>343.22837518745104</v>
      </c>
      <c r="AP51" s="12">
        <f>IF((1 - CUSTOS!$M$30)&lt;&gt;0,1/(1 - CUSTOS!$M$30),1)</f>
        <v>1</v>
      </c>
    </row>
    <row r="52" spans="1:42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'TR TUSD'!$L$52*'TR TUSD'!$L$70</f>
        <v>2.3026870940148982</v>
      </c>
      <c r="M52" s="12">
        <f>'TR TUSD'!$M$52*'TR TUSD'!$M$70</f>
        <v>0.59709875049299321</v>
      </c>
      <c r="N52" s="12">
        <f ca="1">'TR TUSD'!$N$52*'TR TUSD'!$N$70</f>
        <v>3.9484346395008014</v>
      </c>
      <c r="O52" s="12">
        <f>'TR TUSD'!$O$52*'TR TUSD'!$O$70</f>
        <v>0</v>
      </c>
      <c r="P52" s="12">
        <f>'TR TUSD'!$P$52*'TR TUSD'!$P$70</f>
        <v>0</v>
      </c>
      <c r="Q52" s="12">
        <f>'TR TUSD'!$Q$52*'TR TUSD'!$Q$70</f>
        <v>90.525215020273237</v>
      </c>
      <c r="R52" s="12">
        <f>'TR TUSD'!$R$52*'TR TUSD'!$R$70</f>
        <v>14.350908048983545</v>
      </c>
      <c r="S52" s="12">
        <f>'TR TUSD'!$S$52*'TR TUSD'!$S$70</f>
        <v>0</v>
      </c>
      <c r="T52" s="12">
        <f ca="1">SUM($L$52:$S$52)</f>
        <v>111.72434355326547</v>
      </c>
      <c r="U52" s="12">
        <f>'TR TUSD'!$U$52*'TR TUSD'!$U$70</f>
        <v>0</v>
      </c>
      <c r="V52" s="12">
        <f>'TR TUSD'!$V$52*'TR TUSD'!$V$70</f>
        <v>0</v>
      </c>
      <c r="W52" s="12">
        <f>'TR TUSD'!$W$52*'TR TUSD'!$W$70</f>
        <v>0</v>
      </c>
      <c r="X52" s="12">
        <f>'TR TUSD'!$X$52*'TR TUSD'!$X$70</f>
        <v>0</v>
      </c>
      <c r="Y52" s="12">
        <f>'TR TUSD'!$Y$52*'TR TUSD'!$Y$70</f>
        <v>77.972004090262317</v>
      </c>
      <c r="Z52" s="12">
        <f>'TR TUSD'!$Z$52</f>
        <v>0</v>
      </c>
      <c r="AA52" s="12">
        <f>'TR TUSD'!$AA$52</f>
        <v>0</v>
      </c>
      <c r="AB52" s="12">
        <f>SUM($U$52:$AA$52)</f>
        <v>77.972004090262317</v>
      </c>
      <c r="AC52" s="12">
        <f>'TR TUSD'!$AC$52*'TR TUSD'!$AC$70</f>
        <v>134.41270927013517</v>
      </c>
      <c r="AD52" s="12">
        <f>SUM($AC$52:$AC$52)</f>
        <v>134.41270927013517</v>
      </c>
      <c r="AE52" s="12">
        <v>0</v>
      </c>
      <c r="AF52" s="12">
        <v>0</v>
      </c>
      <c r="AG52" s="12">
        <f>SUM($AE$52:$AF$52)</f>
        <v>0</v>
      </c>
      <c r="AH52" s="12">
        <f>'TR TUSD'!$AH$52*'TR TUSD'!$AH$70</f>
        <v>16.403553421542888</v>
      </c>
      <c r="AI52" s="12">
        <f>'TR TUSD'!$AI$52*'TR TUSD'!$AI$70</f>
        <v>0.60282035665919287</v>
      </c>
      <c r="AJ52" s="12">
        <f ca="1">'TR TUSD'!$AJ$52*'TR TUSD'!$AJ$70</f>
        <v>1.7902479123203165</v>
      </c>
      <c r="AK52" s="12">
        <f ca="1">'TR TUSD'!$AK$52*'TR TUSD'!$AK$70</f>
        <v>0.32269658326571482</v>
      </c>
      <c r="AL52" s="12">
        <f ca="1">SUM($AH$52:$AK$52)</f>
        <v>19.119318273788114</v>
      </c>
      <c r="AM52" s="12">
        <f ca="1">SUMIF($L$4:$AL$4,"SUBTOTAL",$L$52:$AL$52)</f>
        <v>343.22837518745104</v>
      </c>
      <c r="AP52" s="12">
        <f>IF((1 - CUSTOS!$M$28)&lt;&gt;0,1/(1 - CUSTOS!$M$28),1)</f>
        <v>1</v>
      </c>
    </row>
    <row r="53" spans="1:42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'TR TUSD'!$L$53*'TR TUSD'!$L$70</f>
        <v>2.3026870940148982</v>
      </c>
      <c r="M53" s="12">
        <f>'TR TUSD'!$M$53*'TR TUSD'!$M$70</f>
        <v>0.59709875049299321</v>
      </c>
      <c r="N53" s="12">
        <f ca="1">'TR TUSD'!$N$53*'TR TUSD'!$N$70</f>
        <v>3.9484346395008014</v>
      </c>
      <c r="O53" s="12">
        <f>'TR TUSD'!$O$53*'TR TUSD'!$O$70</f>
        <v>0</v>
      </c>
      <c r="P53" s="12">
        <f>'TR TUSD'!$P$53*'TR TUSD'!$P$70</f>
        <v>0</v>
      </c>
      <c r="Q53" s="12">
        <f>'TR TUSD'!$Q$53*'TR TUSD'!$Q$70</f>
        <v>90.525215020273237</v>
      </c>
      <c r="R53" s="12">
        <f>'TR TUSD'!$R$53*'TR TUSD'!$R$70</f>
        <v>14.350908048983545</v>
      </c>
      <c r="S53" s="12">
        <f>'TR TUSD'!$S$53*'TR TUSD'!$S$70</f>
        <v>0</v>
      </c>
      <c r="T53" s="12">
        <f ca="1">SUM($L$53:$S$53)</f>
        <v>111.72434355326547</v>
      </c>
      <c r="U53" s="12">
        <f>'TR TUSD'!$U$53*'TR TUSD'!$U$70</f>
        <v>0</v>
      </c>
      <c r="V53" s="12">
        <f>'TR TUSD'!$V$53*'TR TUSD'!$V$70</f>
        <v>0</v>
      </c>
      <c r="W53" s="12">
        <f>'TR TUSD'!$W$53*'TR TUSD'!$W$70</f>
        <v>0</v>
      </c>
      <c r="X53" s="12">
        <f>'TR TUSD'!$X$53*'TR TUSD'!$X$70</f>
        <v>0</v>
      </c>
      <c r="Y53" s="12">
        <f>'TR TUSD'!$Y$53*'TR TUSD'!$Y$70</f>
        <v>77.972004090262317</v>
      </c>
      <c r="Z53" s="12">
        <f>'TR TUSD'!$Z$53</f>
        <v>0</v>
      </c>
      <c r="AA53" s="12">
        <f>'TR TUSD'!$AA$53</f>
        <v>0</v>
      </c>
      <c r="AB53" s="12">
        <f>SUM($U$53:$AA$53)</f>
        <v>77.972004090262317</v>
      </c>
      <c r="AC53" s="12">
        <f>'TR TUSD'!$AC$53*'TR TUSD'!$AC$70</f>
        <v>134.41270927013517</v>
      </c>
      <c r="AD53" s="12">
        <f>SUM($AC$53:$AC$53)</f>
        <v>134.41270927013517</v>
      </c>
      <c r="AE53" s="12">
        <v>0</v>
      </c>
      <c r="AF53" s="12">
        <v>0</v>
      </c>
      <c r="AG53" s="12">
        <f>SUM($AE$53:$AF$53)</f>
        <v>0</v>
      </c>
      <c r="AH53" s="12">
        <f>'TR TUSD'!$AH$53*'TR TUSD'!$AH$70</f>
        <v>16.403553421542888</v>
      </c>
      <c r="AI53" s="12">
        <f>'TR TUSD'!$AI$53*'TR TUSD'!$AI$70</f>
        <v>0.60282035665919287</v>
      </c>
      <c r="AJ53" s="12">
        <f ca="1">'TR TUSD'!$AJ$53*'TR TUSD'!$AJ$70</f>
        <v>1.7902479123203165</v>
      </c>
      <c r="AK53" s="12">
        <f ca="1">'TR TUSD'!$AK$53*'TR TUSD'!$AK$70</f>
        <v>0.32269658326571482</v>
      </c>
      <c r="AL53" s="12">
        <f ca="1">SUM($AH$53:$AK$53)</f>
        <v>19.119318273788114</v>
      </c>
      <c r="AM53" s="12">
        <f ca="1">SUMIF($L$4:$AL$4,"SUBTOTAL",$L$53:$AL$53)</f>
        <v>343.22837518745104</v>
      </c>
      <c r="AP53" s="12">
        <f>IF((1 - CUSTOS!$M$29)&lt;&gt;0,1/(1 - CUSTOS!$M$29),1)</f>
        <v>1</v>
      </c>
    </row>
    <row r="54" spans="1:42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'TR TUSD'!$L$54*'TR TUSD'!$L$70</f>
        <v>2.3026870940148982</v>
      </c>
      <c r="M54" s="12">
        <f>'TR TUSD'!$M$54*'TR TUSD'!$M$70</f>
        <v>0.59709875049299321</v>
      </c>
      <c r="N54" s="12">
        <f ca="1">'TR TUSD'!$N$54*'TR TUSD'!$N$70</f>
        <v>3.9484346395008014</v>
      </c>
      <c r="O54" s="12">
        <f>'TR TUSD'!$O$54*'TR TUSD'!$O$70</f>
        <v>0</v>
      </c>
      <c r="P54" s="12">
        <f>'TR TUSD'!$P$54*'TR TUSD'!$P$70</f>
        <v>0</v>
      </c>
      <c r="Q54" s="12">
        <f>'TR TUSD'!$Q$54*'TR TUSD'!$Q$70</f>
        <v>90.525215020273237</v>
      </c>
      <c r="R54" s="12">
        <f>'TR TUSD'!$R$54*'TR TUSD'!$R$70</f>
        <v>14.350908048983545</v>
      </c>
      <c r="S54" s="12">
        <f>'TR TUSD'!$S$54*'TR TUSD'!$S$70</f>
        <v>0</v>
      </c>
      <c r="T54" s="12">
        <f ca="1">SUM($L$54:$S$54)</f>
        <v>111.72434355326547</v>
      </c>
      <c r="U54" s="12">
        <f>'TR TUSD'!$U$54*'TR TUSD'!$U$70</f>
        <v>0</v>
      </c>
      <c r="V54" s="12">
        <f>'TR TUSD'!$V$54*'TR TUSD'!$V$70</f>
        <v>0</v>
      </c>
      <c r="W54" s="12">
        <f>'TR TUSD'!$W$54*'TR TUSD'!$W$70</f>
        <v>0</v>
      </c>
      <c r="X54" s="12">
        <f>'TR TUSD'!$X$54*'TR TUSD'!$X$70</f>
        <v>0</v>
      </c>
      <c r="Y54" s="12">
        <f>'TR TUSD'!$Y$54*'TR TUSD'!$Y$70</f>
        <v>77.972004090262317</v>
      </c>
      <c r="Z54" s="12">
        <f>'TR TUSD'!$Z$54</f>
        <v>0</v>
      </c>
      <c r="AA54" s="12">
        <f>'TR TUSD'!$AA$54</f>
        <v>0</v>
      </c>
      <c r="AB54" s="12">
        <f>SUM($U$54:$AA$54)</f>
        <v>77.972004090262317</v>
      </c>
      <c r="AC54" s="12">
        <f>'TR TUSD'!$AC$54*'TR TUSD'!$AC$70</f>
        <v>134.41270927013517</v>
      </c>
      <c r="AD54" s="12">
        <f>SUM($AC$54:$AC$54)</f>
        <v>134.41270927013517</v>
      </c>
      <c r="AE54" s="12">
        <v>0</v>
      </c>
      <c r="AF54" s="12">
        <v>0</v>
      </c>
      <c r="AG54" s="12">
        <f>SUM($AE$54:$AF$54)</f>
        <v>0</v>
      </c>
      <c r="AH54" s="12">
        <f>'TR TUSD'!$AH$54*'TR TUSD'!$AH$70</f>
        <v>16.403553421542888</v>
      </c>
      <c r="AI54" s="12">
        <f>'TR TUSD'!$AI$54*'TR TUSD'!$AI$70</f>
        <v>0.60282035665919287</v>
      </c>
      <c r="AJ54" s="12">
        <f ca="1">'TR TUSD'!$AJ$54*'TR TUSD'!$AJ$70</f>
        <v>1.7902479123203165</v>
      </c>
      <c r="AK54" s="12">
        <f ca="1">'TR TUSD'!$AK$54*'TR TUSD'!$AK$70</f>
        <v>0.32269658326571482</v>
      </c>
      <c r="AL54" s="12">
        <f ca="1">SUM($AH$54:$AK$54)</f>
        <v>19.119318273788114</v>
      </c>
      <c r="AM54" s="12">
        <f ca="1">SUMIF($L$4:$AL$4,"SUBTOTAL",$L$54:$AL$54)</f>
        <v>343.22837518745104</v>
      </c>
      <c r="AP54" s="12">
        <f>IF((1 - CUSTOS!$M$30)&lt;&gt;0,1/(1 - CUSTOS!$M$30),1)</f>
        <v>1</v>
      </c>
    </row>
    <row r="55" spans="1:42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'TR TUSD'!$L$55*'TR TUSD'!$L$70</f>
        <v>2.3026870940148982</v>
      </c>
      <c r="M55" s="12">
        <f>'TR TUSD'!$M$55*'TR TUSD'!$M$70</f>
        <v>0.59709875049299321</v>
      </c>
      <c r="N55" s="12">
        <f ca="1">'TR TUSD'!$N$55*'TR TUSD'!$N$70</f>
        <v>12.01392612917151</v>
      </c>
      <c r="O55" s="12">
        <f>'TR TUSD'!$O$55*'TR TUSD'!$O$70</f>
        <v>0</v>
      </c>
      <c r="P55" s="12">
        <f>'TR TUSD'!$P$55*'TR TUSD'!$P$70</f>
        <v>0</v>
      </c>
      <c r="Q55" s="12">
        <f>'TR TUSD'!$Q$55*'TR TUSD'!$Q$70</f>
        <v>90.525215020273237</v>
      </c>
      <c r="R55" s="12">
        <f>'TR TUSD'!$R$55*'TR TUSD'!$R$70</f>
        <v>14.350908048983545</v>
      </c>
      <c r="S55" s="12">
        <f>'TR TUSD'!$S$55*'TR TUSD'!$S$70</f>
        <v>0</v>
      </c>
      <c r="T55" s="12">
        <f ca="1">SUM($L$55:$S$55)</f>
        <v>119.78983504293618</v>
      </c>
      <c r="U55" s="12">
        <f>'TR TUSD'!$U$55*'TR TUSD'!$U$70</f>
        <v>0</v>
      </c>
      <c r="V55" s="12">
        <f>'TR TUSD'!$V$55*'TR TUSD'!$V$70</f>
        <v>0</v>
      </c>
      <c r="W55" s="12">
        <f>'TR TUSD'!$W$55*'TR TUSD'!$W$70</f>
        <v>0</v>
      </c>
      <c r="X55" s="12">
        <f>'TR TUSD'!$X$55*'TR TUSD'!$X$70</f>
        <v>0</v>
      </c>
      <c r="Y55" s="12">
        <f>'TR TUSD'!$Y$55*'TR TUSD'!$Y$70</f>
        <v>272.90195314154141</v>
      </c>
      <c r="Z55" s="12">
        <f>'TR TUSD'!$Z$55</f>
        <v>0</v>
      </c>
      <c r="AA55" s="12">
        <f>'TR TUSD'!$AA$55</f>
        <v>0</v>
      </c>
      <c r="AB55" s="12">
        <f>SUM($U$55:$AA$55)</f>
        <v>272.90195314154141</v>
      </c>
      <c r="AC55" s="12">
        <f>'TR TUSD'!$AC$55*'TR TUSD'!$AC$70</f>
        <v>470.44471659886261</v>
      </c>
      <c r="AD55" s="12">
        <f>SUM($AC$55:$AC$55)</f>
        <v>470.44471659886261</v>
      </c>
      <c r="AE55" s="12">
        <v>0</v>
      </c>
      <c r="AF55" s="12">
        <v>0</v>
      </c>
      <c r="AG55" s="12">
        <f>SUM($AE$55:$AF$55)</f>
        <v>0</v>
      </c>
      <c r="AH55" s="12">
        <f>'TR TUSD'!$AH$55*'TR TUSD'!$AH$70</f>
        <v>16.403553421542888</v>
      </c>
      <c r="AI55" s="12">
        <f>'TR TUSD'!$AI$55*'TR TUSD'!$AI$70</f>
        <v>0.60282035665919287</v>
      </c>
      <c r="AJ55" s="12">
        <f ca="1">'TR TUSD'!$AJ$55*'TR TUSD'!$AJ$70</f>
        <v>1.7902479123203165</v>
      </c>
      <c r="AK55" s="12">
        <f ca="1">'TR TUSD'!$AK$55*'TR TUSD'!$AK$70</f>
        <v>0.32269658326571482</v>
      </c>
      <c r="AL55" s="12">
        <f ca="1">SUM($AH$55:$AK$55)</f>
        <v>19.119318273788114</v>
      </c>
      <c r="AM55" s="12">
        <f ca="1">SUMIF($L$4:$AL$4,"SUBTOTAL",$L$55:$AL$55)</f>
        <v>882.25582305712828</v>
      </c>
      <c r="AP55" s="12">
        <f>IF((1 - CUSTOS!$M$31)&lt;&gt;0,1/(1 - CUSTOS!$M$31),1)</f>
        <v>1</v>
      </c>
    </row>
    <row r="56" spans="1:42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'TR TUSD'!$L$56*'TR TUSD'!$L$70</f>
        <v>2.3026870940148982</v>
      </c>
      <c r="M56" s="12">
        <f>'TR TUSD'!$M$56*'TR TUSD'!$M$70</f>
        <v>0.59709875049299321</v>
      </c>
      <c r="N56" s="12">
        <f ca="1">'TR TUSD'!$N$56*'TR TUSD'!$N$70</f>
        <v>2.9805761667061734</v>
      </c>
      <c r="O56" s="12">
        <f>'TR TUSD'!$O$56*'TR TUSD'!$O$70</f>
        <v>0</v>
      </c>
      <c r="P56" s="12">
        <f>'TR TUSD'!$P$56*'TR TUSD'!$P$70</f>
        <v>0</v>
      </c>
      <c r="Q56" s="12">
        <f>'TR TUSD'!$Q$56*'TR TUSD'!$Q$70</f>
        <v>90.525215020273237</v>
      </c>
      <c r="R56" s="12">
        <f>'TR TUSD'!$R$56*'TR TUSD'!$R$70</f>
        <v>14.350908048983545</v>
      </c>
      <c r="S56" s="12">
        <f>'TR TUSD'!$S$56*'TR TUSD'!$S$70</f>
        <v>0</v>
      </c>
      <c r="T56" s="12">
        <f ca="1">SUM($L$56:$S$56)</f>
        <v>110.75648508047084</v>
      </c>
      <c r="U56" s="12">
        <f>'TR TUSD'!$U$56*'TR TUSD'!$U$70</f>
        <v>0</v>
      </c>
      <c r="V56" s="12">
        <f>'TR TUSD'!$V$56*'TR TUSD'!$V$70</f>
        <v>0</v>
      </c>
      <c r="W56" s="12">
        <f>'TR TUSD'!$W$56*'TR TUSD'!$W$70</f>
        <v>0</v>
      </c>
      <c r="X56" s="12">
        <f>'TR TUSD'!$X$56*'TR TUSD'!$X$70</f>
        <v>0</v>
      </c>
      <c r="Y56" s="12">
        <f>'TR TUSD'!$Y$56*'TR TUSD'!$Y$70</f>
        <v>54.580390628308287</v>
      </c>
      <c r="Z56" s="12">
        <f>'TR TUSD'!$Z$56</f>
        <v>0</v>
      </c>
      <c r="AA56" s="12">
        <f>'TR TUSD'!$AA$56</f>
        <v>0</v>
      </c>
      <c r="AB56" s="12">
        <f>SUM($U$56:$AA$56)</f>
        <v>54.580390628308287</v>
      </c>
      <c r="AC56" s="12">
        <f>'TR TUSD'!$AC$56*'TR TUSD'!$AC$70</f>
        <v>94.088919904433581</v>
      </c>
      <c r="AD56" s="12">
        <f>SUM($AC$56:$AC$56)</f>
        <v>94.088919904433581</v>
      </c>
      <c r="AE56" s="12">
        <v>0</v>
      </c>
      <c r="AF56" s="12">
        <v>0</v>
      </c>
      <c r="AG56" s="12">
        <f>SUM($AE$56:$AF$56)</f>
        <v>0</v>
      </c>
      <c r="AH56" s="12">
        <f>'TR TUSD'!$AH$56*'TR TUSD'!$AH$70</f>
        <v>16.403553421542888</v>
      </c>
      <c r="AI56" s="12">
        <f>'TR TUSD'!$AI$56*'TR TUSD'!$AI$70</f>
        <v>0.60282035665919287</v>
      </c>
      <c r="AJ56" s="12">
        <f ca="1">'TR TUSD'!$AJ$56*'TR TUSD'!$AJ$70</f>
        <v>1.7902479123203165</v>
      </c>
      <c r="AK56" s="12">
        <f ca="1">'TR TUSD'!$AK$56*'TR TUSD'!$AK$70</f>
        <v>0.32269658326571482</v>
      </c>
      <c r="AL56" s="12">
        <f ca="1">SUM($AH$56:$AK$56)</f>
        <v>19.119318273788114</v>
      </c>
      <c r="AM56" s="12">
        <f ca="1">SUMIF($L$4:$AL$4,"SUBTOTAL",$L$56:$AL$56)</f>
        <v>278.54511388700081</v>
      </c>
      <c r="AP56" s="12">
        <f>IF((1 - CUSTOS!$M$31)&lt;&gt;0,1/(1 - CUSTOS!$M$31),1)</f>
        <v>1</v>
      </c>
    </row>
    <row r="57" spans="1:42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'TR TUSD'!$L$57*'TR TUSD'!$L$70</f>
        <v>2.3026870940148982</v>
      </c>
      <c r="M57" s="12">
        <f>'TR TUSD'!$M$57*'TR TUSD'!$M$70</f>
        <v>0.59709875049299321</v>
      </c>
      <c r="N57" s="12">
        <f ca="1">'TR TUSD'!$N$57*'TR TUSD'!$N$70</f>
        <v>2.9805761667061734</v>
      </c>
      <c r="O57" s="12">
        <f>'TR TUSD'!$O$57*'TR TUSD'!$O$70</f>
        <v>0</v>
      </c>
      <c r="P57" s="12">
        <f>'TR TUSD'!$P$57*'TR TUSD'!$P$70</f>
        <v>0</v>
      </c>
      <c r="Q57" s="12">
        <f>'TR TUSD'!$Q$57*'TR TUSD'!$Q$70</f>
        <v>90.525215020273237</v>
      </c>
      <c r="R57" s="12">
        <f>'TR TUSD'!$R$57*'TR TUSD'!$R$70</f>
        <v>14.350908048983545</v>
      </c>
      <c r="S57" s="12">
        <f>'TR TUSD'!$S$57*'TR TUSD'!$S$70</f>
        <v>0</v>
      </c>
      <c r="T57" s="12">
        <f ca="1">SUM($L$57:$S$57)</f>
        <v>110.75648508047084</v>
      </c>
      <c r="U57" s="12">
        <f>'TR TUSD'!$U$57*'TR TUSD'!$U$70</f>
        <v>0</v>
      </c>
      <c r="V57" s="12">
        <f>'TR TUSD'!$V$57*'TR TUSD'!$V$70</f>
        <v>0</v>
      </c>
      <c r="W57" s="12">
        <f>'TR TUSD'!$W$57*'TR TUSD'!$W$70</f>
        <v>0</v>
      </c>
      <c r="X57" s="12">
        <f>'TR TUSD'!$X$57*'TR TUSD'!$X$70</f>
        <v>0</v>
      </c>
      <c r="Y57" s="12">
        <f>'TR TUSD'!$Y$57*'TR TUSD'!$Y$70</f>
        <v>54.580390628308287</v>
      </c>
      <c r="Z57" s="12">
        <f>'TR TUSD'!$Z$57</f>
        <v>0</v>
      </c>
      <c r="AA57" s="12">
        <f>'TR TUSD'!$AA$57</f>
        <v>0</v>
      </c>
      <c r="AB57" s="12">
        <f>SUM($U$57:$AA$57)</f>
        <v>54.580390628308287</v>
      </c>
      <c r="AC57" s="12">
        <f>'TR TUSD'!$AC$57*'TR TUSD'!$AC$70</f>
        <v>94.088919904433581</v>
      </c>
      <c r="AD57" s="12">
        <f>SUM($AC$57:$AC$57)</f>
        <v>94.088919904433581</v>
      </c>
      <c r="AE57" s="12">
        <v>0</v>
      </c>
      <c r="AF57" s="12">
        <v>0</v>
      </c>
      <c r="AG57" s="12">
        <f>SUM($AE$57:$AF$57)</f>
        <v>0</v>
      </c>
      <c r="AH57" s="12">
        <f>'TR TUSD'!$AH$57*'TR TUSD'!$AH$70</f>
        <v>16.403553421542888</v>
      </c>
      <c r="AI57" s="12">
        <f>'TR TUSD'!$AI$57*'TR TUSD'!$AI$70</f>
        <v>0.60282035665919287</v>
      </c>
      <c r="AJ57" s="12">
        <f ca="1">'TR TUSD'!$AJ$57*'TR TUSD'!$AJ$70</f>
        <v>1.7902479123203165</v>
      </c>
      <c r="AK57" s="12">
        <f ca="1">'TR TUSD'!$AK$57*'TR TUSD'!$AK$70</f>
        <v>0.32269658326571482</v>
      </c>
      <c r="AL57" s="12">
        <f ca="1">SUM($AH$57:$AK$57)</f>
        <v>19.119318273788114</v>
      </c>
      <c r="AM57" s="12">
        <f ca="1">SUMIF($L$4:$AL$4,"SUBTOTAL",$L$57:$AL$57)</f>
        <v>278.54511388700081</v>
      </c>
      <c r="AP57" s="12">
        <f>IF((1 - CUSTOS!$M$31)&lt;&gt;0,1/(1 - CUSTOS!$M$31),1)</f>
        <v>1</v>
      </c>
    </row>
    <row r="58" spans="1:42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'TR TUSD'!$L$58*'TR TUSD'!$L$70</f>
        <v>2.3026870940148982</v>
      </c>
      <c r="M58" s="12">
        <f>'TR TUSD'!$M$58*'TR TUSD'!$M$70</f>
        <v>0.59709875049299321</v>
      </c>
      <c r="N58" s="12">
        <f ca="1">'TR TUSD'!$N$58*'TR TUSD'!$N$70</f>
        <v>3.9484346395008014</v>
      </c>
      <c r="O58" s="12">
        <f>'TR TUSD'!$O$58*'TR TUSD'!$O$70</f>
        <v>0</v>
      </c>
      <c r="P58" s="12">
        <f>'TR TUSD'!$P$58*'TR TUSD'!$P$70</f>
        <v>0</v>
      </c>
      <c r="Q58" s="12">
        <f>'TR TUSD'!$Q$58*'TR TUSD'!$Q$70</f>
        <v>90.525215020273237</v>
      </c>
      <c r="R58" s="12">
        <f>'TR TUSD'!$R$58*'TR TUSD'!$R$70</f>
        <v>14.350908048983545</v>
      </c>
      <c r="S58" s="12">
        <f>'TR TUSD'!$S$58*'TR TUSD'!$S$70</f>
        <v>0</v>
      </c>
      <c r="T58" s="12">
        <f ca="1">SUM($L$58:$S$58)</f>
        <v>111.72434355326547</v>
      </c>
      <c r="U58" s="12">
        <f>'TR TUSD'!$U$58*'TR TUSD'!$U$70</f>
        <v>0</v>
      </c>
      <c r="V58" s="12">
        <f>'TR TUSD'!$V$58*'TR TUSD'!$V$70</f>
        <v>0</v>
      </c>
      <c r="W58" s="12">
        <f>'TR TUSD'!$W$58*'TR TUSD'!$W$70</f>
        <v>0</v>
      </c>
      <c r="X58" s="12">
        <f>'TR TUSD'!$X$58*'TR TUSD'!$X$70</f>
        <v>0</v>
      </c>
      <c r="Y58" s="12">
        <f>'TR TUSD'!$Y$58*'TR TUSD'!$Y$70</f>
        <v>77.972004090262317</v>
      </c>
      <c r="Z58" s="12">
        <f>'TR TUSD'!$Z$58</f>
        <v>0</v>
      </c>
      <c r="AA58" s="12">
        <f>'TR TUSD'!$AA$58</f>
        <v>0</v>
      </c>
      <c r="AB58" s="12">
        <f>SUM($U$58:$AA$58)</f>
        <v>77.972004090262317</v>
      </c>
      <c r="AC58" s="12">
        <f>'TR TUSD'!$AC$58*'TR TUSD'!$AC$70</f>
        <v>134.41270927013517</v>
      </c>
      <c r="AD58" s="12">
        <f>SUM($AC$58:$AC$58)</f>
        <v>134.41270927013517</v>
      </c>
      <c r="AE58" s="12">
        <v>0</v>
      </c>
      <c r="AF58" s="12">
        <v>0</v>
      </c>
      <c r="AG58" s="12">
        <f>SUM($AE$58:$AF$58)</f>
        <v>0</v>
      </c>
      <c r="AH58" s="12">
        <f>'TR TUSD'!$AH$58*'TR TUSD'!$AH$70</f>
        <v>16.403553421542888</v>
      </c>
      <c r="AI58" s="12">
        <f>'TR TUSD'!$AI$58*'TR TUSD'!$AI$70</f>
        <v>0.60282035665919287</v>
      </c>
      <c r="AJ58" s="12">
        <f ca="1">'TR TUSD'!$AJ$58*'TR TUSD'!$AJ$70</f>
        <v>1.7902479123203165</v>
      </c>
      <c r="AK58" s="12">
        <f ca="1">'TR TUSD'!$AK$58*'TR TUSD'!$AK$70</f>
        <v>0.32269658326571482</v>
      </c>
      <c r="AL58" s="12">
        <f ca="1">SUM($AH$58:$AK$58)</f>
        <v>19.119318273788114</v>
      </c>
      <c r="AM58" s="12">
        <f ca="1">SUMIF($L$4:$AL$4,"SUBTOTAL",$L$58:$AL$58)</f>
        <v>343.22837518745104</v>
      </c>
      <c r="AP58" s="12">
        <f>IF((1 - CUSTOS!$M$31)&lt;&gt;0,1/(1 - CUSTOS!$M$31),1)</f>
        <v>1</v>
      </c>
    </row>
    <row r="59" spans="1:42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'TR TUSD'!$L$59*'TR TUSD'!$L$70</f>
        <v>2.3026870940148982</v>
      </c>
      <c r="M59" s="12">
        <f>'TR TUSD'!$M$59*'TR TUSD'!$M$70</f>
        <v>0.59709875049299321</v>
      </c>
      <c r="N59" s="12">
        <f ca="1">'TR TUSD'!$N$59*'TR TUSD'!$N$70</f>
        <v>3.9484346395008014</v>
      </c>
      <c r="O59" s="12">
        <f>'TR TUSD'!$O$59*'TR TUSD'!$O$70</f>
        <v>0</v>
      </c>
      <c r="P59" s="12">
        <f>'TR TUSD'!$P$59*'TR TUSD'!$P$70</f>
        <v>0</v>
      </c>
      <c r="Q59" s="12">
        <f>'TR TUSD'!$Q$59*'TR TUSD'!$Q$70</f>
        <v>90.525215020273237</v>
      </c>
      <c r="R59" s="12">
        <f>'TR TUSD'!$R$59*'TR TUSD'!$R$70</f>
        <v>14.350908048983545</v>
      </c>
      <c r="S59" s="12">
        <f>'TR TUSD'!$S$59*'TR TUSD'!$S$70</f>
        <v>0</v>
      </c>
      <c r="T59" s="12">
        <f ca="1">SUM($L$59:$S$59)</f>
        <v>111.72434355326547</v>
      </c>
      <c r="U59" s="12">
        <f>'TR TUSD'!$U$59*'TR TUSD'!$U$70</f>
        <v>0</v>
      </c>
      <c r="V59" s="12">
        <f>'TR TUSD'!$V$59*'TR TUSD'!$V$70</f>
        <v>0</v>
      </c>
      <c r="W59" s="12">
        <f>'TR TUSD'!$W$59*'TR TUSD'!$W$70</f>
        <v>0</v>
      </c>
      <c r="X59" s="12">
        <f>'TR TUSD'!$X$59*'TR TUSD'!$X$70</f>
        <v>0</v>
      </c>
      <c r="Y59" s="12">
        <f>'TR TUSD'!$Y$59*'TR TUSD'!$Y$70</f>
        <v>77.972004090262317</v>
      </c>
      <c r="Z59" s="12">
        <f>'TR TUSD'!$Z$59</f>
        <v>0</v>
      </c>
      <c r="AA59" s="12">
        <f>'TR TUSD'!$AA$59</f>
        <v>0</v>
      </c>
      <c r="AB59" s="12">
        <f>SUM($U$59:$AA$59)</f>
        <v>77.972004090262317</v>
      </c>
      <c r="AC59" s="12">
        <f>'TR TUSD'!$AC$59*'TR TUSD'!$AC$70</f>
        <v>134.41270927013517</v>
      </c>
      <c r="AD59" s="12">
        <f>SUM($AC$59:$AC$59)</f>
        <v>134.41270927013517</v>
      </c>
      <c r="AE59" s="12">
        <v>0</v>
      </c>
      <c r="AF59" s="12">
        <v>0</v>
      </c>
      <c r="AG59" s="12">
        <f>SUM($AE$59:$AF$59)</f>
        <v>0</v>
      </c>
      <c r="AH59" s="12">
        <f>'TR TUSD'!$AH$59*'TR TUSD'!$AH$70</f>
        <v>16.403553421542888</v>
      </c>
      <c r="AI59" s="12">
        <f>'TR TUSD'!$AI$59*'TR TUSD'!$AI$70</f>
        <v>0.60282035665919287</v>
      </c>
      <c r="AJ59" s="12">
        <f ca="1">'TR TUSD'!$AJ$59*'TR TUSD'!$AJ$70</f>
        <v>1.7902479123203165</v>
      </c>
      <c r="AK59" s="12">
        <f ca="1">'TR TUSD'!$AK$59*'TR TUSD'!$AK$70</f>
        <v>0.32269658326571482</v>
      </c>
      <c r="AL59" s="12">
        <f ca="1">SUM($AH$59:$AK$59)</f>
        <v>19.119318273788114</v>
      </c>
      <c r="AM59" s="12">
        <f ca="1">SUMIF($L$4:$AL$4,"SUBTOTAL",$L$59:$AL$59)</f>
        <v>343.22837518745104</v>
      </c>
      <c r="AP59" s="12">
        <f>IF((1 - CUSTOS!$M$31)&lt;&gt;0,1/(1 - CUSTOS!$M$31),1)</f>
        <v>1</v>
      </c>
    </row>
    <row r="60" spans="1:42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'TR TUSD'!$L$60*'TR TUSD'!$L$70</f>
        <v>1.2664779017081942</v>
      </c>
      <c r="M60" s="12">
        <f>'TR TUSD'!$M$60*'TR TUSD'!$M$70</f>
        <v>0.32840431277114629</v>
      </c>
      <c r="N60" s="12">
        <f ca="1">'TR TUSD'!$N$60*'TR TUSD'!$N$70</f>
        <v>2.1716390517254407</v>
      </c>
      <c r="O60" s="12">
        <f>'TR TUSD'!$O$60*'TR TUSD'!$O$70</f>
        <v>0</v>
      </c>
      <c r="P60" s="12">
        <f>'TR TUSD'!$P$60*'TR TUSD'!$P$70</f>
        <v>0</v>
      </c>
      <c r="Q60" s="12">
        <f>'TR TUSD'!$Q$60*'TR TUSD'!$Q$70</f>
        <v>49.788868261150284</v>
      </c>
      <c r="R60" s="12">
        <f>'TR TUSD'!$R$60*'TR TUSD'!$R$70</f>
        <v>7.8929994269409507</v>
      </c>
      <c r="S60" s="12">
        <f>'TR TUSD'!$S$60*'TR TUSD'!$S$70</f>
        <v>0</v>
      </c>
      <c r="T60" s="12">
        <f ca="1">SUM($L$60:$S$60)</f>
        <v>61.448388954296021</v>
      </c>
      <c r="U60" s="12">
        <f>'TR TUSD'!$U$60*'TR TUSD'!$U$70</f>
        <v>0</v>
      </c>
      <c r="V60" s="12">
        <f>'TR TUSD'!$V$60*'TR TUSD'!$V$70</f>
        <v>0</v>
      </c>
      <c r="W60" s="12">
        <f>'TR TUSD'!$W$60*'TR TUSD'!$W$70</f>
        <v>0</v>
      </c>
      <c r="X60" s="12">
        <f>'TR TUSD'!$X$60*'TR TUSD'!$X$70</f>
        <v>0</v>
      </c>
      <c r="Y60" s="12">
        <f>'TR TUSD'!$Y$60*'TR TUSD'!$Y$70</f>
        <v>42.884602249644274</v>
      </c>
      <c r="Z60" s="12">
        <f>'TR TUSD'!$Z$60</f>
        <v>0</v>
      </c>
      <c r="AA60" s="12">
        <f>'TR TUSD'!$AA$60</f>
        <v>0</v>
      </c>
      <c r="AB60" s="12">
        <f>SUM($U$60:$AA$60)</f>
        <v>42.884602249644274</v>
      </c>
      <c r="AC60" s="12">
        <f>'TR TUSD'!$AC$60*'TR TUSD'!$AC$70</f>
        <v>73.92699009857435</v>
      </c>
      <c r="AD60" s="12">
        <f>SUM($AC$60:$AC$60)</f>
        <v>73.92699009857435</v>
      </c>
      <c r="AE60" s="12">
        <v>0</v>
      </c>
      <c r="AF60" s="12">
        <v>0</v>
      </c>
      <c r="AG60" s="12">
        <f>SUM($AE$60:$AF$60)</f>
        <v>0</v>
      </c>
      <c r="AH60" s="12">
        <f>'TR TUSD'!$AH$60*'TR TUSD'!$AH$70</f>
        <v>9.0219543818485892</v>
      </c>
      <c r="AI60" s="12">
        <f>'TR TUSD'!$AI$60*'TR TUSD'!$AI$70</f>
        <v>0.33155119616255607</v>
      </c>
      <c r="AJ60" s="12">
        <f ca="1">'TR TUSD'!$AJ$60*'TR TUSD'!$AJ$70</f>
        <v>0.98463635177617415</v>
      </c>
      <c r="AK60" s="12">
        <f ca="1">'TR TUSD'!$AK$60*'TR TUSD'!$AK$70</f>
        <v>0.17748312079614317</v>
      </c>
      <c r="AL60" s="12">
        <f ca="1">SUM($AH$60:$AK$60)</f>
        <v>10.515625050583463</v>
      </c>
      <c r="AM60" s="12">
        <f ca="1">SUMIF($L$4:$AL$4,"SUBTOTAL",$L$60:$AL$60)</f>
        <v>188.77560635309808</v>
      </c>
      <c r="AP60" s="12">
        <f>IF((1 - CUSTOS!$M$32)&lt;&gt;0,1/(1 - CUSTOS!$M$32),1)</f>
        <v>1.8181818181818181</v>
      </c>
    </row>
    <row r="61" spans="1:42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'TR TUSD'!$L$61*'TR TUSD'!$L$70</f>
        <v>1.3816122564089388</v>
      </c>
      <c r="M61" s="12">
        <f>'TR TUSD'!$M$61*'TR TUSD'!$M$70</f>
        <v>0.35825925029579592</v>
      </c>
      <c r="N61" s="12">
        <f ca="1">'TR TUSD'!$N$61*'TR TUSD'!$N$70</f>
        <v>2.3690607837004802</v>
      </c>
      <c r="O61" s="12">
        <f>'TR TUSD'!$O$61*'TR TUSD'!$O$70</f>
        <v>0</v>
      </c>
      <c r="P61" s="12">
        <f>'TR TUSD'!$P$61*'TR TUSD'!$P$70</f>
        <v>0</v>
      </c>
      <c r="Q61" s="12">
        <f>'TR TUSD'!$Q$61*'TR TUSD'!$Q$70</f>
        <v>54.315129012163943</v>
      </c>
      <c r="R61" s="12">
        <f>'TR TUSD'!$R$61*'TR TUSD'!$R$70</f>
        <v>8.6105448293901272</v>
      </c>
      <c r="S61" s="12">
        <f>'TR TUSD'!$S$61*'TR TUSD'!$S$70</f>
        <v>0</v>
      </c>
      <c r="T61" s="12">
        <f ca="1">SUM($L$61:$S$61)</f>
        <v>67.034606131959279</v>
      </c>
      <c r="U61" s="12">
        <f>'TR TUSD'!$U$61*'TR TUSD'!$U$70</f>
        <v>0</v>
      </c>
      <c r="V61" s="12">
        <f>'TR TUSD'!$V$61*'TR TUSD'!$V$70</f>
        <v>0</v>
      </c>
      <c r="W61" s="12">
        <f>'TR TUSD'!$W$61*'TR TUSD'!$W$70</f>
        <v>0</v>
      </c>
      <c r="X61" s="12">
        <f>'TR TUSD'!$X$61*'TR TUSD'!$X$70</f>
        <v>0</v>
      </c>
      <c r="Y61" s="12">
        <f>'TR TUSD'!$Y$61*'TR TUSD'!$Y$70</f>
        <v>46.78320245415739</v>
      </c>
      <c r="Z61" s="12">
        <f>'TR TUSD'!$Z$61</f>
        <v>0</v>
      </c>
      <c r="AA61" s="12">
        <f>'TR TUSD'!$AA$61</f>
        <v>0</v>
      </c>
      <c r="AB61" s="12">
        <f>SUM($U$61:$AA$61)</f>
        <v>46.78320245415739</v>
      </c>
      <c r="AC61" s="12">
        <f>'TR TUSD'!$AC$61*'TR TUSD'!$AC$70</f>
        <v>80.647625562081103</v>
      </c>
      <c r="AD61" s="12">
        <f>SUM($AC$61:$AC$61)</f>
        <v>80.647625562081103</v>
      </c>
      <c r="AE61" s="12">
        <v>0</v>
      </c>
      <c r="AF61" s="12">
        <v>0</v>
      </c>
      <c r="AG61" s="12">
        <f>SUM($AE$61:$AF$61)</f>
        <v>0</v>
      </c>
      <c r="AH61" s="12">
        <f>'TR TUSD'!$AH$61*'TR TUSD'!$AH$70</f>
        <v>9.8421320529257343</v>
      </c>
      <c r="AI61" s="12">
        <f>'TR TUSD'!$AI$61*'TR TUSD'!$AI$70</f>
        <v>0.36169221399551571</v>
      </c>
      <c r="AJ61" s="12">
        <f ca="1">'TR TUSD'!$AJ$61*'TR TUSD'!$AJ$70</f>
        <v>1.0741487473921898</v>
      </c>
      <c r="AK61" s="12">
        <f ca="1">'TR TUSD'!$AK$61*'TR TUSD'!$AK$70</f>
        <v>0.19361794995942888</v>
      </c>
      <c r="AL61" s="12">
        <f ca="1">SUM($AH$61:$AK$61)</f>
        <v>11.471590964272869</v>
      </c>
      <c r="AM61" s="12">
        <f ca="1">SUMIF($L$4:$AL$4,"SUBTOTAL",$L$61:$AL$61)</f>
        <v>205.93702511247065</v>
      </c>
      <c r="AP61" s="12">
        <f>IF((1 - CUSTOS!$M$33)&lt;&gt;0,1/(1 - CUSTOS!$M$33),1)</f>
        <v>1.6666666666666667</v>
      </c>
    </row>
    <row r="63" spans="1:42" ht="11.25" customHeight="1" x14ac:dyDescent="0.25">
      <c r="K63" s="16" t="s">
        <v>691</v>
      </c>
      <c r="L63" s="12">
        <f>SUMPRODUCT($I$5:$I61,$L$5:$L61)</f>
        <v>697442.17467197927</v>
      </c>
      <c r="M63" s="12">
        <f>SUMPRODUCT($I$5:$I61,$M$5:$M61)</f>
        <v>124119.17919688004</v>
      </c>
      <c r="N63" s="12">
        <f ca="1">SUMPRODUCT($I$5:$I61,$N$5:$N61)</f>
        <v>703144.23757571739</v>
      </c>
      <c r="O63" s="12">
        <f>SUMPRODUCT($I$5:$I61,$O$5:$O61)</f>
        <v>0</v>
      </c>
      <c r="P63" s="12">
        <f>SUMPRODUCT($I$5:$I61,$P$5:$P61)</f>
        <v>0</v>
      </c>
      <c r="Q63" s="12">
        <f>SUMPRODUCT($I$5:$I61,$Q$5:$Q61)</f>
        <v>27418446.470860094</v>
      </c>
      <c r="R63" s="12">
        <f>SUMPRODUCT($I$5:$I61,$R$5:$R61)</f>
        <v>4828803.3032447295</v>
      </c>
      <c r="S63" s="12">
        <f>SUMPRODUCT($I$5:$I61,$S$5:$S61)</f>
        <v>0</v>
      </c>
      <c r="T63" s="12">
        <f ca="1">SUMPRODUCT($I$5:$I61,$T$5:$T61)</f>
        <v>33771955.365549393</v>
      </c>
      <c r="U63" s="12">
        <f>SUMPRODUCT($I$5:$I61,$U$5:$U61)</f>
        <v>0</v>
      </c>
      <c r="V63" s="12">
        <f>SUMPRODUCT($I$5:$I61,$V$5:$V61)</f>
        <v>0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25961487.078740012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25961487.078740012</v>
      </c>
      <c r="AC63" s="12">
        <f>SUMPRODUCT($I$5:$I61,$AC$5:$AC61)</f>
        <v>27932230.133610271</v>
      </c>
      <c r="AD63" s="12">
        <f>SUMPRODUCT($I$5:$I61,$AD$5:$AD61)</f>
        <v>27932230.133610271</v>
      </c>
      <c r="AE63" s="12">
        <f>SUMPRODUCT($I$5:$I61,$AE$5:$AE61)</f>
        <v>0</v>
      </c>
      <c r="AF63" s="12">
        <f>SUMPRODUCT($I$5:$I61,$AF$5:$AF61)</f>
        <v>0</v>
      </c>
      <c r="AG63" s="12">
        <f>SUMPRODUCT($I$5:$I61,$AG$5:$AG61)</f>
        <v>0</v>
      </c>
      <c r="AH63" s="12">
        <f>SUMPRODUCT($I$5:$I61,$AH$5:$AH61)</f>
        <v>3205620.5271767345</v>
      </c>
      <c r="AI63" s="12">
        <f>SUMPRODUCT($I$5:$I61,$AI$5:$AI61)</f>
        <v>117804.55489411576</v>
      </c>
      <c r="AJ63" s="12">
        <f ca="1">SUMPRODUCT($I$5:$I61,$AJ$5:$AJ61)</f>
        <v>496305.13370735297</v>
      </c>
      <c r="AK63" s="12">
        <f ca="1">SUMPRODUCT($I$5:$I61,$AK$5:$AK61)</f>
        <v>89460.219337455099</v>
      </c>
      <c r="AL63" s="12">
        <f ca="1">SUMPRODUCT($I$5:$I61,$AL$5:$AL61)</f>
        <v>3909190.4351156591</v>
      </c>
      <c r="AM63" s="12">
        <f ca="1">SUMPRODUCT($I$5:$I61,$AM$5:$AM61)</f>
        <v>91574863.01301533</v>
      </c>
    </row>
    <row r="64" spans="1:42" ht="11.25" customHeight="1" x14ac:dyDescent="0.25">
      <c r="K64" s="16" t="s">
        <v>623</v>
      </c>
      <c r="L64" s="12">
        <f>'TR TUSD'!$L$66</f>
        <v>697442.17467197916</v>
      </c>
      <c r="M64" s="12">
        <f>'TR TUSD'!$M$66</f>
        <v>124119.17919688004</v>
      </c>
      <c r="N64" s="12">
        <f>'TR TUSD'!$N$66</f>
        <v>703144.23757571727</v>
      </c>
      <c r="O64" s="12">
        <f>'TR TUSD'!$O$66</f>
        <v>0</v>
      </c>
      <c r="P64" s="12">
        <f>'TR TUSD'!$P$66</f>
        <v>0</v>
      </c>
      <c r="Q64" s="12">
        <f>'TR TUSD'!$Q$66</f>
        <v>27418446.470860098</v>
      </c>
      <c r="R64" s="12">
        <f>'TR TUSD'!$R$66</f>
        <v>4828803.3032447295</v>
      </c>
      <c r="S64" s="12">
        <f>'TR TUSD'!$S$66</f>
        <v>0</v>
      </c>
      <c r="T64" s="12">
        <f>'TR TUSD'!$T$66</f>
        <v>33771955.365549408</v>
      </c>
      <c r="U64" s="12">
        <f>'TR TUSD'!$U$66</f>
        <v>0</v>
      </c>
      <c r="V64" s="12">
        <f>'TR TUSD'!$V$66</f>
        <v>0</v>
      </c>
      <c r="W64" s="12">
        <f>'TR TUSD'!$W$66</f>
        <v>0</v>
      </c>
      <c r="X64" s="12">
        <f>'TR TUSD'!$X$66</f>
        <v>0</v>
      </c>
      <c r="Y64" s="12">
        <f>'TR TUSD'!$Y$66</f>
        <v>25961487.078740001</v>
      </c>
      <c r="Z64" s="12">
        <f>'TR TUSD'!$Z$66</f>
        <v>0</v>
      </c>
      <c r="AA64" s="12">
        <f>'TR TUSD'!$AA$66</f>
        <v>0</v>
      </c>
      <c r="AB64" s="12">
        <f>'TR TUSD'!$AB$66</f>
        <v>25961487.078740001</v>
      </c>
      <c r="AC64" s="12">
        <f>'TR TUSD'!$AC$66</f>
        <v>27932230.133610278</v>
      </c>
      <c r="AD64" s="12">
        <f>'TR TUSD'!$AD$66</f>
        <v>27932230.133610278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3205620.5271767355</v>
      </c>
      <c r="AI64" s="12">
        <f>'TR TUSD'!$AI$66</f>
        <v>117804.55489411573</v>
      </c>
      <c r="AJ64" s="12">
        <f>'TR TUSD'!$AJ$66</f>
        <v>496305.13370735297</v>
      </c>
      <c r="AK64" s="12">
        <f>'TR TUSD'!$AK$66</f>
        <v>89460.219337455084</v>
      </c>
      <c r="AL64" s="12">
        <f>'TR TUSD'!$AL$66</f>
        <v>3909190.4351156591</v>
      </c>
      <c r="AM64" s="12">
        <f>CUSTOS!$D$29</f>
        <v>91574863.01301536</v>
      </c>
    </row>
    <row r="65" spans="11:39" ht="11.25" customHeight="1" x14ac:dyDescent="0.25">
      <c r="K65" s="16" t="s">
        <v>624</v>
      </c>
      <c r="L65" s="12">
        <f>CUSTOS!$E$2</f>
        <v>-357318.81649529445</v>
      </c>
      <c r="M65" s="12">
        <f>CUSTOS!$E$3</f>
        <v>-3228.9092881405668</v>
      </c>
      <c r="N65" s="12">
        <f>CUSTOS!$E$4</f>
        <v>3.1154783332886529E-2</v>
      </c>
      <c r="O65" s="12">
        <f>CUSTOS!$E$5</f>
        <v>0</v>
      </c>
      <c r="P65" s="12">
        <f>CUSTOS!$E$6</f>
        <v>0</v>
      </c>
      <c r="Q65" s="12">
        <f>CUSTOS!$E$7</f>
        <v>-552044.3899621875</v>
      </c>
      <c r="R65" s="12">
        <f>CUSTOS!$E$8</f>
        <v>-93681.673491500784</v>
      </c>
      <c r="S65" s="12">
        <f>CUSTOS!$E$9</f>
        <v>0</v>
      </c>
      <c r="T65" s="12">
        <f>CUSTOS!$E$10</f>
        <v>-1006273.75808234</v>
      </c>
      <c r="U65" s="12">
        <f>CUSTOS!$E$11</f>
        <v>0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1584254.3842446101</v>
      </c>
      <c r="Z65" s="12">
        <f>CUSTOS!$E$16</f>
        <v>0</v>
      </c>
      <c r="AA65" s="12">
        <f>CUSTOS!$E$17</f>
        <v>0</v>
      </c>
      <c r="AB65" s="12">
        <f>CUSTOS!$E$18</f>
        <v>1584254.3842446101</v>
      </c>
      <c r="AC65" s="12">
        <f>CUSTOS!$E$19</f>
        <v>0</v>
      </c>
      <c r="AD65" s="12">
        <f>CUSTOS!$E$20</f>
        <v>0</v>
      </c>
      <c r="AE65" s="12">
        <f>CUSTOS!$E$21</f>
        <v>0</v>
      </c>
      <c r="AF65" s="12">
        <f>CUSTOS!$E$22</f>
        <v>0</v>
      </c>
      <c r="AG65" s="12">
        <f>CUSTOS!$E$23</f>
        <v>0</v>
      </c>
      <c r="AH65" s="12">
        <f>CUSTOS!$E$24</f>
        <v>-231560.95070354312</v>
      </c>
      <c r="AI65" s="12">
        <f>CUSTOS!$E$25</f>
        <v>-8509.7205041029483</v>
      </c>
      <c r="AJ65" s="12">
        <f>CUSTOS!$E$26</f>
        <v>-35851.058360154915</v>
      </c>
      <c r="AK65" s="12">
        <f>CUSTOS!$E$27</f>
        <v>6776.0694727427945</v>
      </c>
      <c r="AL65" s="12">
        <f>CUSTOS!$E$28</f>
        <v>-269145.66009505821</v>
      </c>
      <c r="AM65" s="12">
        <f>CUSTOS!$E$29</f>
        <v>308834.96606721188</v>
      </c>
    </row>
    <row r="66" spans="11:39" ht="11.25" customHeight="1" x14ac:dyDescent="0.25">
      <c r="K66" s="16" t="s">
        <v>625</v>
      </c>
      <c r="L66" s="12">
        <f>CUSTOS!$F$2</f>
        <v>62582.817979041516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3987683.0594000001</v>
      </c>
      <c r="R66" s="12">
        <f>CUSTOS!$F$8</f>
        <v>1069650.2378</v>
      </c>
      <c r="S66" s="12">
        <f>CUSTOS!$F$9</f>
        <v>0</v>
      </c>
      <c r="T66" s="12">
        <f>CUSTOS!$F$10</f>
        <v>5119916.1151790414</v>
      </c>
      <c r="U66" s="12">
        <f>CUSTOS!$F$11</f>
        <v>0</v>
      </c>
      <c r="V66" s="12">
        <f>CUSTOS!$F$12</f>
        <v>0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0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439928.63631860464</v>
      </c>
      <c r="AI66" s="12">
        <f>CUSTOS!$F$25</f>
        <v>16167.102982813924</v>
      </c>
      <c r="AJ66" s="12">
        <f>CUSTOS!$F$26</f>
        <v>68111.256094961005</v>
      </c>
      <c r="AK66" s="12">
        <f>CUSTOS!$F$27</f>
        <v>0</v>
      </c>
      <c r="AL66" s="12">
        <f>CUSTOS!$F$28</f>
        <v>524206.99539637956</v>
      </c>
      <c r="AM66" s="12">
        <f>CUSTOS!$F$29</f>
        <v>5644123.1105754208</v>
      </c>
    </row>
    <row r="67" spans="11:39" ht="11.25" customHeight="1" x14ac:dyDescent="0.25">
      <c r="K67" s="16" t="s">
        <v>688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f>SUM($L$67:$S$67)</f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f>SUM($U$67:$AA$67)</f>
        <v>0</v>
      </c>
      <c r="AC67" s="12">
        <v>0</v>
      </c>
      <c r="AD67" s="12">
        <f>SUM($AC$67:$AC$67)</f>
        <v>0</v>
      </c>
      <c r="AE67" s="12">
        <v>0</v>
      </c>
      <c r="AF67" s="12">
        <v>0</v>
      </c>
      <c r="AG67" s="12">
        <f>SUM($AE$67:$AF$67)</f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f>SUM($AH$67:$AK$67)</f>
        <v>0</v>
      </c>
      <c r="AM67" s="12">
        <f>SUMIF($L$4:$AL$4,"SUBTOTAL",$L$67:$AL$67)</f>
        <v>0</v>
      </c>
    </row>
    <row r="68" spans="11:39" ht="11.25" customHeight="1" x14ac:dyDescent="0.25">
      <c r="K68" s="16" t="s">
        <v>692</v>
      </c>
      <c r="L68" s="12">
        <f t="shared" ref="L68:R68" si="0">IF((L63-(0))&lt;&gt;0,(L65)/(L63-(0)),0)</f>
        <v>-0.51232751541494959</v>
      </c>
      <c r="M68" s="12">
        <f t="shared" si="0"/>
        <v>-2.6014587826260226E-2</v>
      </c>
      <c r="N68" s="12">
        <f t="shared" ca="1" si="0"/>
        <v>4.4307812918016917E-8</v>
      </c>
      <c r="O68" s="12">
        <f t="shared" si="0"/>
        <v>0</v>
      </c>
      <c r="P68" s="12">
        <f t="shared" si="0"/>
        <v>0</v>
      </c>
      <c r="Q68" s="12">
        <f t="shared" si="0"/>
        <v>-2.0134050649036291E-2</v>
      </c>
      <c r="R68" s="12">
        <f t="shared" si="0"/>
        <v>-1.9400598369486512E-2</v>
      </c>
      <c r="S68" s="12">
        <f>IF((R63-(0)&lt;&gt;0),(S65)/(R63-(0)),0)</f>
        <v>0</v>
      </c>
      <c r="T68" s="12"/>
      <c r="U68" s="12">
        <f t="shared" ref="U68:AA68" si="1">IF((U63-(0))&lt;&gt;0,(U65)/(U63-(0)),0)</f>
        <v>0</v>
      </c>
      <c r="V68" s="12">
        <f t="shared" si="1"/>
        <v>0</v>
      </c>
      <c r="W68" s="12">
        <f t="shared" si="1"/>
        <v>0</v>
      </c>
      <c r="X68" s="12">
        <f t="shared" si="1"/>
        <v>0</v>
      </c>
      <c r="Y68" s="12">
        <f t="shared" si="1"/>
        <v>6.1023252614137179E-2</v>
      </c>
      <c r="Z68" s="12">
        <f t="shared" si="1"/>
        <v>0</v>
      </c>
      <c r="AA68" s="12">
        <f t="shared" si="1"/>
        <v>0</v>
      </c>
      <c r="AB68" s="12"/>
      <c r="AC68" s="12">
        <f>IF((AC63-(0))&lt;&gt;0,(AC65)/(AC63-(0)),0)</f>
        <v>0</v>
      </c>
      <c r="AD68" s="12"/>
      <c r="AE68" s="12">
        <f ca="1">IF(($AM63-(0))&lt;&gt;0,(AE65)/($AM63-(0)),0)</f>
        <v>0</v>
      </c>
      <c r="AF68" s="12">
        <f ca="1">IF(($AM63-(0))&lt;&gt;0,(AF65)/($AM63-(0)),0)</f>
        <v>0</v>
      </c>
      <c r="AG68" s="12"/>
      <c r="AH68" s="12">
        <f>IF((AH63-(0))&lt;&gt;0,(AH65)/(AH63-(0)),0)</f>
        <v>-7.2235920858506705E-2</v>
      </c>
      <c r="AI68" s="12">
        <f>IF((AI63-(0))&lt;&gt;0,(AI65)/(AI63-(0)),0)</f>
        <v>-7.223592085850665E-2</v>
      </c>
      <c r="AJ68" s="12">
        <f ca="1">IF((AJ63-(0))&lt;&gt;0,(AJ65)/(AJ63-(0)),0)</f>
        <v>-7.2235920858506664E-2</v>
      </c>
      <c r="AK68" s="12">
        <f ca="1">IF((AK63-(0))&lt;&gt;0,(AK65)/(AK63-(0)),0)</f>
        <v>7.5743939853116338E-2</v>
      </c>
      <c r="AL68" s="12"/>
      <c r="AM68" s="12"/>
    </row>
  </sheetData>
  <mergeCells count="86">
    <mergeCell ref="E55:E57"/>
    <mergeCell ref="F55:F57"/>
    <mergeCell ref="A60:A61"/>
    <mergeCell ref="B60:B61"/>
    <mergeCell ref="C60:C61"/>
    <mergeCell ref="D55:D57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J1:J4"/>
    <mergeCell ref="L1:AM1"/>
    <mergeCell ref="A1:A4"/>
    <mergeCell ref="E20:E22"/>
    <mergeCell ref="C10:C14"/>
    <mergeCell ref="D10:D14"/>
    <mergeCell ref="E10:E12"/>
    <mergeCell ref="F10:F12"/>
    <mergeCell ref="E13:E14"/>
    <mergeCell ref="F13:F14"/>
    <mergeCell ref="F20:F22"/>
    <mergeCell ref="F5:F7"/>
    <mergeCell ref="B10:B14"/>
    <mergeCell ref="G1:G4"/>
    <mergeCell ref="H1:H4"/>
    <mergeCell ref="I1:I4"/>
    <mergeCell ref="A5:A14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63">
    <cfRule type="cellIs" dxfId="1111" priority="55" operator="notEqual">
      <formula>$L$64-$L$67</formula>
    </cfRule>
    <cfRule type="cellIs" dxfId="1110" priority="56" operator="equal">
      <formula>$L$64-$L$67</formula>
    </cfRule>
  </conditionalFormatting>
  <conditionalFormatting sqref="M63">
    <cfRule type="cellIs" dxfId="1109" priority="53" operator="notEqual">
      <formula>$M$64-$M$67</formula>
    </cfRule>
    <cfRule type="cellIs" dxfId="1108" priority="54" operator="equal">
      <formula>$M$64-$M$67</formula>
    </cfRule>
  </conditionalFormatting>
  <conditionalFormatting sqref="N63">
    <cfRule type="cellIs" dxfId="1107" priority="51" operator="notEqual">
      <formula>$N$64-$N$67</formula>
    </cfRule>
    <cfRule type="cellIs" dxfId="1106" priority="52" operator="equal">
      <formula>$N$64-$N$67</formula>
    </cfRule>
  </conditionalFormatting>
  <conditionalFormatting sqref="O63">
    <cfRule type="cellIs" dxfId="1105" priority="49" operator="notEqual">
      <formula>$O$64-$O$67</formula>
    </cfRule>
    <cfRule type="cellIs" dxfId="1104" priority="50" operator="equal">
      <formula>$O$64-$O$67</formula>
    </cfRule>
  </conditionalFormatting>
  <conditionalFormatting sqref="P63">
    <cfRule type="cellIs" dxfId="1103" priority="47" operator="notEqual">
      <formula>$P$64-$P$67</formula>
    </cfRule>
    <cfRule type="cellIs" dxfId="1102" priority="48" operator="equal">
      <formula>$P$64-$P$67</formula>
    </cfRule>
  </conditionalFormatting>
  <conditionalFormatting sqref="Q63">
    <cfRule type="cellIs" dxfId="1101" priority="45" operator="notEqual">
      <formula>$Q$64-$Q$67</formula>
    </cfRule>
    <cfRule type="cellIs" dxfId="1100" priority="46" operator="equal">
      <formula>$Q$64-$Q$67</formula>
    </cfRule>
  </conditionalFormatting>
  <conditionalFormatting sqref="R63">
    <cfRule type="cellIs" dxfId="1099" priority="43" operator="notEqual">
      <formula>$R$64-$R$67</formula>
    </cfRule>
    <cfRule type="cellIs" dxfId="1098" priority="44" operator="equal">
      <formula>$R$64-$R$67</formula>
    </cfRule>
  </conditionalFormatting>
  <conditionalFormatting sqref="S63">
    <cfRule type="cellIs" dxfId="1097" priority="41" operator="notEqual">
      <formula>$S$64-$S$67</formula>
    </cfRule>
    <cfRule type="cellIs" dxfId="1096" priority="42" operator="equal">
      <formula>$S$64-$S$67</formula>
    </cfRule>
  </conditionalFormatting>
  <conditionalFormatting sqref="T63">
    <cfRule type="cellIs" dxfId="1095" priority="39" operator="notEqual">
      <formula>$T$64-$T$67</formula>
    </cfRule>
    <cfRule type="cellIs" dxfId="1094" priority="40" operator="equal">
      <formula>$T$64-$T$67</formula>
    </cfRule>
  </conditionalFormatting>
  <conditionalFormatting sqref="U63">
    <cfRule type="cellIs" dxfId="1093" priority="37" operator="notEqual">
      <formula>$U$64-$U$67</formula>
    </cfRule>
    <cfRule type="cellIs" dxfId="1092" priority="38" operator="equal">
      <formula>$U$64-$U$67</formula>
    </cfRule>
  </conditionalFormatting>
  <conditionalFormatting sqref="V63">
    <cfRule type="cellIs" dxfId="1091" priority="35" operator="notEqual">
      <formula>$V$64-$V$67</formula>
    </cfRule>
    <cfRule type="cellIs" dxfId="1090" priority="36" operator="equal">
      <formula>$V$64-$V$67</formula>
    </cfRule>
  </conditionalFormatting>
  <conditionalFormatting sqref="W63">
    <cfRule type="cellIs" dxfId="1089" priority="33" operator="notEqual">
      <formula>$W$64-$W$67</formula>
    </cfRule>
    <cfRule type="cellIs" dxfId="1088" priority="34" operator="equal">
      <formula>$W$64-$W$67</formula>
    </cfRule>
  </conditionalFormatting>
  <conditionalFormatting sqref="X63">
    <cfRule type="cellIs" dxfId="1087" priority="31" operator="notEqual">
      <formula>$X$64-$X$67</formula>
    </cfRule>
    <cfRule type="cellIs" dxfId="1086" priority="32" operator="equal">
      <formula>$X$64-$X$67</formula>
    </cfRule>
  </conditionalFormatting>
  <conditionalFormatting sqref="Y63">
    <cfRule type="cellIs" dxfId="1085" priority="29" operator="notEqual">
      <formula>$Y$64-$Y$67</formula>
    </cfRule>
    <cfRule type="cellIs" dxfId="1084" priority="30" operator="equal">
      <formula>$Y$64-$Y$67</formula>
    </cfRule>
  </conditionalFormatting>
  <conditionalFormatting sqref="Z63">
    <cfRule type="cellIs" dxfId="1083" priority="27" operator="notEqual">
      <formula>$Z$64-$Z$67</formula>
    </cfRule>
    <cfRule type="cellIs" dxfId="1082" priority="28" operator="equal">
      <formula>$Z$64-$Z$67</formula>
    </cfRule>
  </conditionalFormatting>
  <conditionalFormatting sqref="AA63">
    <cfRule type="cellIs" dxfId="1081" priority="25" operator="notEqual">
      <formula>$AA$64-$AA$67</formula>
    </cfRule>
    <cfRule type="cellIs" dxfId="1080" priority="26" operator="equal">
      <formula>$AA$64-$AA$67</formula>
    </cfRule>
  </conditionalFormatting>
  <conditionalFormatting sqref="AB63">
    <cfRule type="cellIs" dxfId="1079" priority="23" operator="notEqual">
      <formula>$AB$64-$AB$67</formula>
    </cfRule>
    <cfRule type="cellIs" dxfId="1078" priority="24" operator="equal">
      <formula>$AB$64-$AB$67</formula>
    </cfRule>
  </conditionalFormatting>
  <conditionalFormatting sqref="AC63">
    <cfRule type="cellIs" dxfId="1077" priority="21" operator="notEqual">
      <formula>$AC$64-$AC$67</formula>
    </cfRule>
    <cfRule type="cellIs" dxfId="1076" priority="22" operator="equal">
      <formula>$AC$64-$AC$67</formula>
    </cfRule>
  </conditionalFormatting>
  <conditionalFormatting sqref="AD63">
    <cfRule type="cellIs" dxfId="1075" priority="19" operator="notEqual">
      <formula>$AD$64-$AD$67</formula>
    </cfRule>
    <cfRule type="cellIs" dxfId="1074" priority="20" operator="equal">
      <formula>$AD$64-$AD$67</formula>
    </cfRule>
  </conditionalFormatting>
  <conditionalFormatting sqref="AE63">
    <cfRule type="cellIs" dxfId="1073" priority="17" operator="notEqual">
      <formula>$AE$64-$AE$67</formula>
    </cfRule>
    <cfRule type="cellIs" dxfId="1072" priority="18" operator="equal">
      <formula>$AE$64-$AE$67</formula>
    </cfRule>
  </conditionalFormatting>
  <conditionalFormatting sqref="AF63">
    <cfRule type="cellIs" dxfId="1071" priority="16" operator="equal">
      <formula>$AF$64-$AF$67</formula>
    </cfRule>
  </conditionalFormatting>
  <conditionalFormatting sqref="AF63">
    <cfRule type="cellIs" dxfId="1070" priority="15" operator="notEqual">
      <formula>$AF$64-$AF$67</formula>
    </cfRule>
  </conditionalFormatting>
  <conditionalFormatting sqref="AG63">
    <cfRule type="cellIs" dxfId="1069" priority="14" operator="equal">
      <formula>$AG$64-$AG$67</formula>
    </cfRule>
  </conditionalFormatting>
  <conditionalFormatting sqref="AG63">
    <cfRule type="cellIs" dxfId="1068" priority="13" operator="notEqual">
      <formula>$AG$64-$AG$67</formula>
    </cfRule>
  </conditionalFormatting>
  <conditionalFormatting sqref="AH63">
    <cfRule type="cellIs" dxfId="1067" priority="12" operator="equal">
      <formula>$AH$64-$AH$67</formula>
    </cfRule>
  </conditionalFormatting>
  <conditionalFormatting sqref="AH63">
    <cfRule type="cellIs" dxfId="1066" priority="11" operator="notEqual">
      <formula>$AH$64-$AH$67</formula>
    </cfRule>
  </conditionalFormatting>
  <conditionalFormatting sqref="AI63">
    <cfRule type="cellIs" dxfId="1065" priority="10" operator="equal">
      <formula>$AI$64-$AI$67</formula>
    </cfRule>
  </conditionalFormatting>
  <conditionalFormatting sqref="AI63">
    <cfRule type="cellIs" dxfId="1064" priority="9" operator="notEqual">
      <formula>$AI$64-$AI$67</formula>
    </cfRule>
  </conditionalFormatting>
  <conditionalFormatting sqref="AJ63">
    <cfRule type="cellIs" dxfId="1063" priority="8" operator="equal">
      <formula>$AJ$64-$AJ$67</formula>
    </cfRule>
  </conditionalFormatting>
  <conditionalFormatting sqref="AJ63">
    <cfRule type="cellIs" dxfId="1062" priority="7" operator="notEqual">
      <formula>$AJ$64-$AJ$67</formula>
    </cfRule>
  </conditionalFormatting>
  <conditionalFormatting sqref="AK63">
    <cfRule type="cellIs" dxfId="1061" priority="6" operator="equal">
      <formula>$AK$64-$AK$67</formula>
    </cfRule>
  </conditionalFormatting>
  <conditionalFormatting sqref="AK63">
    <cfRule type="cellIs" dxfId="1060" priority="5" operator="notEqual">
      <formula>$AK$64-$AK$67</formula>
    </cfRule>
  </conditionalFormatting>
  <conditionalFormatting sqref="AL63">
    <cfRule type="cellIs" dxfId="1059" priority="4" operator="equal">
      <formula>$AL$64-$AL$67</formula>
    </cfRule>
  </conditionalFormatting>
  <conditionalFormatting sqref="AL63">
    <cfRule type="cellIs" dxfId="1058" priority="3" operator="notEqual">
      <formula>$AL$64-$AL$67</formula>
    </cfRule>
  </conditionalFormatting>
  <conditionalFormatting sqref="AM63">
    <cfRule type="cellIs" dxfId="1057" priority="2" operator="equal">
      <formula>$AM$64-$AM$67</formula>
    </cfRule>
  </conditionalFormatting>
  <conditionalFormatting sqref="AM63">
    <cfRule type="cellIs" dxfId="1056" priority="1" operator="notEqual">
      <formula>$AM$64-$AM$67</formula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8212-03A9-420C-9A65-845963421EF8}">
  <dimension ref="A1:AP68"/>
  <sheetViews>
    <sheetView showGridLines="0" topLeftCell="AB1" workbookViewId="0">
      <selection activeCell="AO63" sqref="AO63:AP6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699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O1" s="20"/>
      <c r="AP1" s="151" t="s">
        <v>684</v>
      </c>
    </row>
    <row r="2" spans="1:42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O2" s="20"/>
      <c r="AP2" s="152"/>
    </row>
    <row r="3" spans="1:42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O3" s="20"/>
      <c r="AP3" s="152"/>
    </row>
    <row r="4" spans="1:42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O4" s="21" t="s">
        <v>701</v>
      </c>
      <c r="AP4" s="153"/>
    </row>
    <row r="5" spans="1:42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f>'TUSD BE'!$L$5*'TUSD BE'!$L$68</f>
        <v>0</v>
      </c>
      <c r="M5" s="12">
        <f>'TUSD BE'!$M$5*'TUSD BE'!$M$68</f>
        <v>0</v>
      </c>
      <c r="N5" s="12">
        <f ca="1">'TUSD BE'!$N$5*'TUSD BE'!$N$68</f>
        <v>0</v>
      </c>
      <c r="O5" s="12">
        <f>'TUSD BE'!$O$5*'TUSD BE'!$O$68</f>
        <v>0</v>
      </c>
      <c r="P5" s="12">
        <f>'TUSD BE'!$P$5*'TUSD BE'!$P$68</f>
        <v>0</v>
      </c>
      <c r="Q5" s="12">
        <f>'TUSD BE'!$Q$5*'TUSD BE'!$Q$68</f>
        <v>0</v>
      </c>
      <c r="R5" s="12">
        <f>'TUSD BE'!$R$5*'TUSD BE'!$R$68</f>
        <v>0</v>
      </c>
      <c r="S5" s="12">
        <f>'TUSD BE'!$R$5*'TUSD BE'!$S$68</f>
        <v>0</v>
      </c>
      <c r="T5" s="12">
        <f ca="1">SUM($L$5:$S$5)</f>
        <v>0</v>
      </c>
      <c r="U5" s="12">
        <f>'TUSD BE'!$U$5*'TUSD BE'!$U$68</f>
        <v>0</v>
      </c>
      <c r="V5" s="12">
        <f>'TUSD BE'!$V$5*'TUSD BE'!$V$68</f>
        <v>0</v>
      </c>
      <c r="W5" s="12">
        <f>'TUSD BE'!$W$5*'TUSD BE'!$W$68</f>
        <v>0</v>
      </c>
      <c r="X5" s="12">
        <f>'TUSD BE'!$X$5*'TUSD BE'!$X$68</f>
        <v>0</v>
      </c>
      <c r="Y5" s="12">
        <f>'TUSD BE'!$Y$5*'TUSD BE'!$Y$68</f>
        <v>1.4515180368633354</v>
      </c>
      <c r="Z5" s="12">
        <f>'TUSD BE'!$Z$5*'TUSD BE'!$Z$68</f>
        <v>0</v>
      </c>
      <c r="AA5" s="12">
        <f>'TUSD BE'!$AA$5*'TUSD BE'!$AA$68</f>
        <v>0</v>
      </c>
      <c r="AB5" s="12">
        <f>SUM($U$5:$AA$5)</f>
        <v>1.4515180368633354</v>
      </c>
      <c r="AC5" s="12">
        <f>'TUSD BE'!$AC$5*'TUSD BE'!$AC$68</f>
        <v>0</v>
      </c>
      <c r="AD5" s="12">
        <f>SUM($AC$5:$AC$5)</f>
        <v>0</v>
      </c>
      <c r="AE5" s="12">
        <f ca="1">$AO$5*$AO$65</f>
        <v>0</v>
      </c>
      <c r="AF5" s="12">
        <f ca="1">$AP$5*$AP$65</f>
        <v>0</v>
      </c>
      <c r="AG5" s="12">
        <f ca="1">SUM($AE$5:$AF$5)</f>
        <v>0</v>
      </c>
      <c r="AH5" s="12">
        <f>'TUSD BE'!$AH$5*'TUSD BE'!$AH$68</f>
        <v>0</v>
      </c>
      <c r="AI5" s="12">
        <f>'TUSD BE'!$AI$5*'TUSD BE'!$AI$68</f>
        <v>0</v>
      </c>
      <c r="AJ5" s="12">
        <f ca="1">'TUSD BE'!$AJ$5*'TUSD BE'!$AJ$68</f>
        <v>0</v>
      </c>
      <c r="AK5" s="12">
        <f ca="1">'TUSD BE'!$AK$5*'TUSD BE'!$AK$68</f>
        <v>0</v>
      </c>
      <c r="AL5" s="12">
        <f ca="1">SUM($AH$5:$AK$5)</f>
        <v>0</v>
      </c>
      <c r="AM5" s="12">
        <f ca="1">SUMIF($L$4:$AL$4,"SUBTOTAL",$L$5:$AL$5)</f>
        <v>1.4515180368633354</v>
      </c>
      <c r="AO5" s="20">
        <f ca="1">+'TUSD BE'!$T$5+'TUSD BE'!$AB$5+'TUSD BE'!$AD$5+'TUSD BE'!$AL$5</f>
        <v>40.973169332448101</v>
      </c>
      <c r="AP5" s="20">
        <f ca="1">+'TUSD BE'!$T$5+'TUSD BE'!$AB$5+'TUSD BE'!$AD$5+'TUSD BE'!$AL$5</f>
        <v>40.973169332448101</v>
      </c>
    </row>
    <row r="6" spans="1:42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f>'TUSD BE'!$L$6*'TUSD BE'!$L$68</f>
        <v>0</v>
      </c>
      <c r="M6" s="12">
        <f>'TUSD BE'!$M$6*'TUSD BE'!$M$68</f>
        <v>0</v>
      </c>
      <c r="N6" s="12">
        <f ca="1">'TUSD BE'!$N$6*'TUSD BE'!$N$68</f>
        <v>0</v>
      </c>
      <c r="O6" s="12">
        <f>'TUSD BE'!$O$6*'TUSD BE'!$O$68</f>
        <v>0</v>
      </c>
      <c r="P6" s="12">
        <f>'TUSD BE'!$P$6*'TUSD BE'!$P$68</f>
        <v>0</v>
      </c>
      <c r="Q6" s="12">
        <f>'TUSD BE'!$Q$6*'TUSD BE'!$Q$68</f>
        <v>0</v>
      </c>
      <c r="R6" s="12">
        <f>'TUSD BE'!$R$6*'TUSD BE'!$R$68</f>
        <v>0</v>
      </c>
      <c r="S6" s="12">
        <f>'TUSD BE'!$R$6*'TUSD BE'!$S$68</f>
        <v>0</v>
      </c>
      <c r="T6" s="12">
        <f ca="1">SUM($L$6:$S$6)</f>
        <v>0</v>
      </c>
      <c r="U6" s="12">
        <f>'TUSD BE'!$U$6*'TUSD BE'!$U$68</f>
        <v>0</v>
      </c>
      <c r="V6" s="12">
        <f>'TUSD BE'!$V$6*'TUSD BE'!$V$68</f>
        <v>0</v>
      </c>
      <c r="W6" s="12">
        <f>'TUSD BE'!$W$6*'TUSD BE'!$W$68</f>
        <v>0</v>
      </c>
      <c r="X6" s="12">
        <f>'TUSD BE'!$X$6*'TUSD BE'!$X$68</f>
        <v>0</v>
      </c>
      <c r="Y6" s="12">
        <f>'TUSD BE'!$Y$6*'TUSD BE'!$Y$68</f>
        <v>0.63320900873608033</v>
      </c>
      <c r="Z6" s="12">
        <f>'TUSD BE'!$Z$6*'TUSD BE'!$Z$68</f>
        <v>0</v>
      </c>
      <c r="AA6" s="12">
        <f>'TUSD BE'!$AA$6*'TUSD BE'!$AA$68</f>
        <v>0</v>
      </c>
      <c r="AB6" s="12">
        <f>SUM($U$6:$AA$6)</f>
        <v>0.63320900873608033</v>
      </c>
      <c r="AC6" s="12">
        <f>'TUSD BE'!$AC$6*'TUSD BE'!$AC$68</f>
        <v>0</v>
      </c>
      <c r="AD6" s="12">
        <f>SUM($AC$6:$AC$6)</f>
        <v>0</v>
      </c>
      <c r="AE6" s="12">
        <f ca="1">$AO$6*$AO$65</f>
        <v>0</v>
      </c>
      <c r="AF6" s="12">
        <f ca="1">$AP$6*$AP$65</f>
        <v>0</v>
      </c>
      <c r="AG6" s="12">
        <f ca="1">SUM($AE$6:$AF$6)</f>
        <v>0</v>
      </c>
      <c r="AH6" s="12">
        <f>'TUSD BE'!$AH$6*'TUSD BE'!$AH$68</f>
        <v>0</v>
      </c>
      <c r="AI6" s="12">
        <f>'TUSD BE'!$AI$6*'TUSD BE'!$AI$68</f>
        <v>0</v>
      </c>
      <c r="AJ6" s="12">
        <f ca="1">'TUSD BE'!$AJ$6*'TUSD BE'!$AJ$68</f>
        <v>0</v>
      </c>
      <c r="AK6" s="12">
        <f ca="1">'TUSD BE'!$AK$6*'TUSD BE'!$AK$68</f>
        <v>0</v>
      </c>
      <c r="AL6" s="12">
        <f ca="1">SUM($AH$6:$AK$6)</f>
        <v>0</v>
      </c>
      <c r="AM6" s="12">
        <f ca="1">SUMIF($L$4:$AL$4,"SUBTOTAL",$L$6:$AL$6)</f>
        <v>0.63320900873608033</v>
      </c>
      <c r="AO6" s="20">
        <f ca="1">+'TUSD BE'!$T$6+'TUSD BE'!$AB$6+'TUSD BE'!$AD$6+'TUSD BE'!$AL$6</f>
        <v>15.885095688811361</v>
      </c>
      <c r="AP6" s="20">
        <f ca="1">+'TUSD BE'!$T$6+'TUSD BE'!$AB$6+'TUSD BE'!$AD$6+'TUSD BE'!$AL$6</f>
        <v>15.885095688811361</v>
      </c>
    </row>
    <row r="7" spans="1:42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'TUSD BE'!$L$7*'TUSD BE'!$L$68</f>
        <v>-0.99097316442996741</v>
      </c>
      <c r="M7" s="12">
        <f>'TUSD BE'!$M$7*'TUSD BE'!$M$68</f>
        <v>-5.4622281001096302E-3</v>
      </c>
      <c r="N7" s="12">
        <f ca="1">'TUSD BE'!$N$7*'TUSD BE'!$N$68</f>
        <v>1.1611840073394573E-8</v>
      </c>
      <c r="O7" s="12">
        <f>'TUSD BE'!$O$7*'TUSD BE'!$O$68</f>
        <v>0</v>
      </c>
      <c r="P7" s="12">
        <f>'TUSD BE'!$P$7*'TUSD BE'!$P$68</f>
        <v>0</v>
      </c>
      <c r="Q7" s="12">
        <f>'TUSD BE'!$Q$7*'TUSD BE'!$Q$68</f>
        <v>-1.5310169819557888</v>
      </c>
      <c r="R7" s="12">
        <f>'TUSD BE'!$R$7*'TUSD BE'!$R$68</f>
        <v>-0.278416203295761</v>
      </c>
      <c r="S7" s="12">
        <f>'TUSD BE'!$R$7*'TUSD BE'!$S$68</f>
        <v>0</v>
      </c>
      <c r="T7" s="12">
        <f ca="1">SUM($L$7:$S$7)</f>
        <v>-2.8058685661697869</v>
      </c>
      <c r="U7" s="12">
        <f>'TUSD BE'!$U$7*'TUSD BE'!$U$68</f>
        <v>0</v>
      </c>
      <c r="V7" s="12">
        <f>'TUSD BE'!$V$7*'TUSD BE'!$V$68</f>
        <v>0</v>
      </c>
      <c r="W7" s="12">
        <f>'TUSD BE'!$W$7*'TUSD BE'!$W$68</f>
        <v>0</v>
      </c>
      <c r="X7" s="12">
        <f>'TUSD BE'!$X$7*'TUSD BE'!$X$68</f>
        <v>0</v>
      </c>
      <c r="Y7" s="12">
        <f>'TUSD BE'!$Y$7*'TUSD BE'!$Y$68</f>
        <v>0</v>
      </c>
      <c r="Z7" s="12">
        <f>'TUSD BE'!$Z$7*'TUSD BE'!$Z$68</f>
        <v>0</v>
      </c>
      <c r="AA7" s="12">
        <f>'TUSD BE'!$AA$7*'TUSD BE'!$AA$68</f>
        <v>0</v>
      </c>
      <c r="AB7" s="12">
        <f>SUM($U$7:$AA$7)</f>
        <v>0</v>
      </c>
      <c r="AC7" s="12">
        <f>'TUSD BE'!$AC$7*'TUSD BE'!$AC$68</f>
        <v>0</v>
      </c>
      <c r="AD7" s="12">
        <f>SUM($AC$7:$AC$7)</f>
        <v>0</v>
      </c>
      <c r="AE7" s="12">
        <f ca="1">$AO$7*$AO$65</f>
        <v>0</v>
      </c>
      <c r="AF7" s="12">
        <f ca="1">$AP$7*$AP$65</f>
        <v>0</v>
      </c>
      <c r="AG7" s="12">
        <f ca="1">SUM($AE$7:$AF$7)</f>
        <v>0</v>
      </c>
      <c r="AH7" s="12">
        <f>'TUSD BE'!$AH$7*'TUSD BE'!$AH$68</f>
        <v>-0.34643438611626243</v>
      </c>
      <c r="AI7" s="12">
        <f>'TUSD BE'!$AI$7*'TUSD BE'!$AI$68</f>
        <v>-1.2731247604153003E-2</v>
      </c>
      <c r="AJ7" s="12">
        <f ca="1">'TUSD BE'!$AJ$7*'TUSD BE'!$AJ$68</f>
        <v>-8.8187080587236469E-2</v>
      </c>
      <c r="AK7" s="12">
        <f ca="1">'TUSD BE'!$AK$7*'TUSD BE'!$AK$68</f>
        <v>1.6667898020037684E-2</v>
      </c>
      <c r="AL7" s="12">
        <f ca="1">SUM($AH$7:$AK$7)</f>
        <v>-0.43068481628761418</v>
      </c>
      <c r="AM7" s="12">
        <f ca="1">SUMIF($L$4:$AL$4,"SUBTOTAL",$L$7:$AL$7)</f>
        <v>-3.2365533824574011</v>
      </c>
      <c r="AO7" s="20">
        <f ca="1">+'TUSD BE'!$T$7+'TUSD BE'!$AB$7+'TUSD BE'!$AD$7+'TUSD BE'!$AL$7</f>
        <v>99.211381512720507</v>
      </c>
      <c r="AP7" s="20">
        <f ca="1">+'TUSD BE'!$T$7+'TUSD BE'!$AB$7+'TUSD BE'!$AD$7+'TUSD BE'!$AL$7</f>
        <v>99.211381512720507</v>
      </c>
    </row>
    <row r="8" spans="1:42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f>'TUSD BE'!$L$8*'TUSD BE'!$L$68</f>
        <v>0</v>
      </c>
      <c r="M8" s="12">
        <f>'TUSD BE'!$M$8*'TUSD BE'!$M$68</f>
        <v>-5.4622281001096302E-3</v>
      </c>
      <c r="N8" s="12">
        <f ca="1">'TUSD BE'!$N$8*'TUSD BE'!$N$68</f>
        <v>1.0811188626563819E-8</v>
      </c>
      <c r="O8" s="12">
        <f>'TUSD BE'!$O$8*'TUSD BE'!$O$68</f>
        <v>0</v>
      </c>
      <c r="P8" s="12">
        <f>'TUSD BE'!$P$8*'TUSD BE'!$P$68</f>
        <v>0</v>
      </c>
      <c r="Q8" s="12">
        <f>'TUSD BE'!$Q$8*'TUSD BE'!$Q$68</f>
        <v>0</v>
      </c>
      <c r="R8" s="12">
        <f>'TUSD BE'!$R$8*'TUSD BE'!$R$68</f>
        <v>0</v>
      </c>
      <c r="S8" s="12">
        <f>'TUSD BE'!$R$8*'TUSD BE'!$S$68</f>
        <v>0</v>
      </c>
      <c r="T8" s="12">
        <f ca="1">SUM($L$8:$S$8)</f>
        <v>-5.4622172889210036E-3</v>
      </c>
      <c r="U8" s="12">
        <f>'TUSD BE'!$U$8*'TUSD BE'!$U$68</f>
        <v>0</v>
      </c>
      <c r="V8" s="12">
        <f>'TUSD BE'!$V$8*'TUSD BE'!$V$68</f>
        <v>0</v>
      </c>
      <c r="W8" s="12">
        <f>'TUSD BE'!$W$8*'TUSD BE'!$W$68</f>
        <v>0</v>
      </c>
      <c r="X8" s="12">
        <f>'TUSD BE'!$X$8*'TUSD BE'!$X$68</f>
        <v>0</v>
      </c>
      <c r="Y8" s="12">
        <f>'TUSD BE'!$Y$8*'TUSD BE'!$Y$68</f>
        <v>0</v>
      </c>
      <c r="Z8" s="12">
        <f>'TUSD BE'!$Z$8*'TUSD BE'!$Z$68</f>
        <v>0</v>
      </c>
      <c r="AA8" s="12">
        <f>'TUSD BE'!$AA$8*'TUSD BE'!$AA$68</f>
        <v>0</v>
      </c>
      <c r="AB8" s="12">
        <f>SUM($U$8:$AA$8)</f>
        <v>0</v>
      </c>
      <c r="AC8" s="12">
        <f>'TUSD BE'!$AC$8*'TUSD BE'!$AC$68</f>
        <v>0</v>
      </c>
      <c r="AD8" s="12">
        <f>SUM($AC$8:$AC$8)</f>
        <v>0</v>
      </c>
      <c r="AE8" s="12">
        <f ca="1">$AO$8*$AO$65</f>
        <v>0</v>
      </c>
      <c r="AF8" s="12">
        <f ca="1">$AP$8*$AP$65</f>
        <v>0</v>
      </c>
      <c r="AG8" s="12">
        <f ca="1">SUM($AE$8:$AF$8)</f>
        <v>0</v>
      </c>
      <c r="AH8" s="12">
        <f>'TUSD BE'!$AH$8*'TUSD BE'!$AH$68</f>
        <v>-0.34643438611626243</v>
      </c>
      <c r="AI8" s="12">
        <f>'TUSD BE'!$AI$8*'TUSD BE'!$AI$68</f>
        <v>-1.2731247604153003E-2</v>
      </c>
      <c r="AJ8" s="12">
        <f ca="1">'TUSD BE'!$AJ$8*'TUSD BE'!$AJ$68</f>
        <v>-8.8187080587236469E-2</v>
      </c>
      <c r="AK8" s="12">
        <f ca="1">'TUSD BE'!$AK$8*'TUSD BE'!$AK$68</f>
        <v>1.6667898020037684E-2</v>
      </c>
      <c r="AL8" s="12">
        <f ca="1">SUM($AH$8:$AK$8)</f>
        <v>-0.43068481628761418</v>
      </c>
      <c r="AM8" s="12">
        <f ca="1">SUMIF($L$4:$AL$4,"SUBTOTAL",$L$8:$AL$8)</f>
        <v>-0.43614703357653517</v>
      </c>
      <c r="AO8" s="20">
        <f ca="1">+'TUSD BE'!$T$8+'TUSD BE'!$AB$8+'TUSD BE'!$AD$8+'TUSD BE'!$AL$8</f>
        <v>6.8669654785753922</v>
      </c>
      <c r="AP8" s="20">
        <f ca="1">+'TUSD BE'!$T$8+'TUSD BE'!$AB$8+'TUSD BE'!$AD$8+'TUSD BE'!$AL$8</f>
        <v>6.8669654785753922</v>
      </c>
    </row>
    <row r="9" spans="1:42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f>'TUSD BE'!$L$9*'TUSD BE'!$L$68</f>
        <v>0</v>
      </c>
      <c r="M9" s="12">
        <f>'TUSD BE'!$M$9*'TUSD BE'!$M$68</f>
        <v>-5.1801257885230353E-4</v>
      </c>
      <c r="N9" s="12">
        <f ca="1">'TUSD BE'!$N$9*'TUSD BE'!$N$68</f>
        <v>3.8911660315974605E-9</v>
      </c>
      <c r="O9" s="12">
        <f>'TUSD BE'!$O$9*'TUSD BE'!$O$68</f>
        <v>0</v>
      </c>
      <c r="P9" s="12">
        <f>'TUSD BE'!$P$9*'TUSD BE'!$P$68</f>
        <v>0</v>
      </c>
      <c r="Q9" s="12">
        <f>'TUSD BE'!$Q$9*'TUSD BE'!$Q$68</f>
        <v>0</v>
      </c>
      <c r="R9" s="12">
        <f>'TUSD BE'!$R$9*'TUSD BE'!$R$68</f>
        <v>0</v>
      </c>
      <c r="S9" s="12">
        <f>'TUSD BE'!$R$9*'TUSD BE'!$S$68</f>
        <v>0</v>
      </c>
      <c r="T9" s="12">
        <f ca="1">SUM($L$9:$S$9)</f>
        <v>-5.1800868768627189E-4</v>
      </c>
      <c r="U9" s="12">
        <f>'TUSD BE'!$U$9*'TUSD BE'!$U$68</f>
        <v>0</v>
      </c>
      <c r="V9" s="12">
        <f>'TUSD BE'!$V$9*'TUSD BE'!$V$68</f>
        <v>0</v>
      </c>
      <c r="W9" s="12">
        <f>'TUSD BE'!$W$9*'TUSD BE'!$W$68</f>
        <v>0</v>
      </c>
      <c r="X9" s="12">
        <f>'TUSD BE'!$X$9*'TUSD BE'!$X$68</f>
        <v>0</v>
      </c>
      <c r="Y9" s="12">
        <f>'TUSD BE'!$Y$9*'TUSD BE'!$Y$68</f>
        <v>0</v>
      </c>
      <c r="Z9" s="12">
        <f>'TUSD BE'!$Z$9*'TUSD BE'!$Z$68</f>
        <v>0</v>
      </c>
      <c r="AA9" s="12">
        <f>'TUSD BE'!$AA$9*'TUSD BE'!$AA$68</f>
        <v>0</v>
      </c>
      <c r="AB9" s="12">
        <f>SUM($U$9:$AA$9)</f>
        <v>0</v>
      </c>
      <c r="AC9" s="12">
        <f>'TUSD BE'!$AC$9*'TUSD BE'!$AC$68</f>
        <v>0</v>
      </c>
      <c r="AD9" s="12">
        <f>SUM($AC$9:$AC$9)</f>
        <v>0</v>
      </c>
      <c r="AE9" s="12">
        <f ca="1">$AO$9*$AO$65</f>
        <v>0</v>
      </c>
      <c r="AF9" s="12">
        <f ca="1">$AP$9*$AP$65</f>
        <v>0</v>
      </c>
      <c r="AG9" s="12">
        <f ca="1">SUM($AE$9:$AF$9)</f>
        <v>0</v>
      </c>
      <c r="AH9" s="12">
        <f>'TUSD BE'!$AH$9*'TUSD BE'!$AH$68</f>
        <v>0</v>
      </c>
      <c r="AI9" s="12">
        <f>'TUSD BE'!$AI$9*'TUSD BE'!$AI$68</f>
        <v>0</v>
      </c>
      <c r="AJ9" s="12">
        <f ca="1">'TUSD BE'!$AJ$9*'TUSD BE'!$AJ$68</f>
        <v>0</v>
      </c>
      <c r="AK9" s="12">
        <f ca="1">'TUSD BE'!$AK$9*'TUSD BE'!$AK$68</f>
        <v>0</v>
      </c>
      <c r="AL9" s="12">
        <f ca="1">SUM($AH$9:$AK$9)</f>
        <v>0</v>
      </c>
      <c r="AM9" s="12">
        <f ca="1">SUMIF($L$4:$AL$4,"SUBTOTAL",$L$9:$AL$9)</f>
        <v>-5.1800868768627189E-4</v>
      </c>
      <c r="AO9" s="20">
        <f ca="1">+'TUSD BE'!$T$9+'TUSD BE'!$AB$9+'TUSD BE'!$AD$9+'TUSD BE'!$AL$9</f>
        <v>5.7777579326507871</v>
      </c>
      <c r="AP9" s="20">
        <f ca="1">+'TUSD BE'!$T$9+'TUSD BE'!$AB$9+'TUSD BE'!$AD$9+'TUSD BE'!$AL$9</f>
        <v>5.7777579326507871</v>
      </c>
    </row>
    <row r="10" spans="1:42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f>'TUSD BE'!$L$10*'TUSD BE'!$L$68</f>
        <v>0</v>
      </c>
      <c r="M10" s="12">
        <f>'TUSD BE'!$M$10*'TUSD BE'!$M$68</f>
        <v>0</v>
      </c>
      <c r="N10" s="12">
        <f ca="1">'TUSD BE'!$N$10*'TUSD BE'!$N$68</f>
        <v>0</v>
      </c>
      <c r="O10" s="12">
        <f>'TUSD BE'!$O$10*'TUSD BE'!$O$68</f>
        <v>0</v>
      </c>
      <c r="P10" s="12">
        <f>'TUSD BE'!$P$10*'TUSD BE'!$P$68</f>
        <v>0</v>
      </c>
      <c r="Q10" s="12">
        <f>'TUSD BE'!$Q$10*'TUSD BE'!$Q$68</f>
        <v>0</v>
      </c>
      <c r="R10" s="12">
        <f>'TUSD BE'!$R$10*'TUSD BE'!$R$68</f>
        <v>0</v>
      </c>
      <c r="S10" s="12">
        <f>'TUSD BE'!$R$10*'TUSD BE'!$S$68</f>
        <v>0</v>
      </c>
      <c r="T10" s="12">
        <f ca="1">SUM($L$10:$S$10)</f>
        <v>0</v>
      </c>
      <c r="U10" s="12">
        <f>'TUSD BE'!$U$10*'TUSD BE'!$U$68</f>
        <v>0</v>
      </c>
      <c r="V10" s="12">
        <f>'TUSD BE'!$V$10*'TUSD BE'!$V$68</f>
        <v>0</v>
      </c>
      <c r="W10" s="12">
        <f>'TUSD BE'!$W$10*'TUSD BE'!$W$68</f>
        <v>0</v>
      </c>
      <c r="X10" s="12">
        <f>'TUSD BE'!$X$10*'TUSD BE'!$X$68</f>
        <v>0</v>
      </c>
      <c r="Y10" s="12">
        <f>'TUSD BE'!$Y$10*'TUSD BE'!$Y$68</f>
        <v>0.63320900873608033</v>
      </c>
      <c r="Z10" s="12">
        <f>'TUSD BE'!$Z$10*'TUSD BE'!$Z$68</f>
        <v>0</v>
      </c>
      <c r="AA10" s="12">
        <f>'TUSD BE'!$AA$10*'TUSD BE'!$AA$68</f>
        <v>0</v>
      </c>
      <c r="AB10" s="12">
        <f>SUM($U$10:$AA$10)</f>
        <v>0.63320900873608033</v>
      </c>
      <c r="AC10" s="12">
        <f>'TUSD BE'!$AC$10*'TUSD BE'!$AC$68</f>
        <v>0</v>
      </c>
      <c r="AD10" s="12">
        <f>SUM($AC$10:$AC$10)</f>
        <v>0</v>
      </c>
      <c r="AE10" s="12">
        <f ca="1">$AO$10*$AO$65</f>
        <v>0</v>
      </c>
      <c r="AF10" s="12">
        <f ca="1">$AP$10*$AP$65</f>
        <v>0</v>
      </c>
      <c r="AG10" s="12">
        <f ca="1">SUM($AE$10:$AF$10)</f>
        <v>0</v>
      </c>
      <c r="AH10" s="12">
        <f>'TUSD BE'!$AH$10*'TUSD BE'!$AH$68</f>
        <v>0</v>
      </c>
      <c r="AI10" s="12">
        <f>'TUSD BE'!$AI$10*'TUSD BE'!$AI$68</f>
        <v>0</v>
      </c>
      <c r="AJ10" s="12">
        <f ca="1">'TUSD BE'!$AJ$10*'TUSD BE'!$AJ$68</f>
        <v>0</v>
      </c>
      <c r="AK10" s="12">
        <f ca="1">'TUSD BE'!$AK$10*'TUSD BE'!$AK$68</f>
        <v>0</v>
      </c>
      <c r="AL10" s="12">
        <f ca="1">SUM($AH$10:$AK$10)</f>
        <v>0</v>
      </c>
      <c r="AM10" s="12">
        <f ca="1">SUMIF($L$4:$AL$4,"SUBTOTAL",$L$10:$AL$10)</f>
        <v>0.63320900873608033</v>
      </c>
      <c r="AO10" s="20">
        <f ca="1">+'TUSD BE'!$T$10+'TUSD BE'!$AB$10+'TUSD BE'!$AD$10+'TUSD BE'!$AL$10</f>
        <v>15.885095688811361</v>
      </c>
      <c r="AP10" s="20">
        <f ca="1">+'TUSD BE'!$T$10+'TUSD BE'!$AB$10+'TUSD BE'!$AD$10+'TUSD BE'!$AL$10</f>
        <v>15.885095688811361</v>
      </c>
    </row>
    <row r="11" spans="1:42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'TUSD BE'!$L$11*'TUSD BE'!$L$68</f>
        <v>-0.99097316442996741</v>
      </c>
      <c r="M11" s="12">
        <f>'TUSD BE'!$M$11*'TUSD BE'!$M$68</f>
        <v>-5.4622281001096302E-3</v>
      </c>
      <c r="N11" s="12">
        <f ca="1">'TUSD BE'!$N$11*'TUSD BE'!$N$68</f>
        <v>6.6864291076251553E-7</v>
      </c>
      <c r="O11" s="12">
        <f>'TUSD BE'!$O$11*'TUSD BE'!$O$68</f>
        <v>0</v>
      </c>
      <c r="P11" s="12">
        <f>'TUSD BE'!$P$11*'TUSD BE'!$P$68</f>
        <v>0</v>
      </c>
      <c r="Q11" s="12">
        <f>'TUSD BE'!$Q$11*'TUSD BE'!$Q$68</f>
        <v>-1.5310169819557888</v>
      </c>
      <c r="R11" s="12">
        <f>'TUSD BE'!$R$11*'TUSD BE'!$R$68</f>
        <v>-0.278416203295761</v>
      </c>
      <c r="S11" s="12">
        <f>'TUSD BE'!$R$11*'TUSD BE'!$S$68</f>
        <v>0</v>
      </c>
      <c r="T11" s="12">
        <f ca="1">SUM($L$11:$S$11)</f>
        <v>-2.805867909138716</v>
      </c>
      <c r="U11" s="12">
        <f>'TUSD BE'!$U$11*'TUSD BE'!$U$68</f>
        <v>0</v>
      </c>
      <c r="V11" s="12">
        <f>'TUSD BE'!$V$11*'TUSD BE'!$V$68</f>
        <v>0</v>
      </c>
      <c r="W11" s="12">
        <f>'TUSD BE'!$W$11*'TUSD BE'!$W$68</f>
        <v>0</v>
      </c>
      <c r="X11" s="12">
        <f>'TUSD BE'!$X$11*'TUSD BE'!$X$68</f>
        <v>0</v>
      </c>
      <c r="Y11" s="12">
        <f>'TUSD BE'!$Y$11*'TUSD BE'!$Y$68</f>
        <v>34.909025958636647</v>
      </c>
      <c r="Z11" s="12">
        <f>'TUSD BE'!$Z$11*'TUSD BE'!$Z$68</f>
        <v>0</v>
      </c>
      <c r="AA11" s="12">
        <f>'TUSD BE'!$AA$11*'TUSD BE'!$AA$68</f>
        <v>0</v>
      </c>
      <c r="AB11" s="12">
        <f>SUM($U$11:$AA$11)</f>
        <v>34.909025958636647</v>
      </c>
      <c r="AC11" s="12">
        <f>'TUSD BE'!$AC$11*'TUSD BE'!$AC$68</f>
        <v>0</v>
      </c>
      <c r="AD11" s="12">
        <f>SUM($AC$11:$AC$11)</f>
        <v>0</v>
      </c>
      <c r="AE11" s="12">
        <f ca="1">$AO$11*$AO$65</f>
        <v>0</v>
      </c>
      <c r="AF11" s="12">
        <f ca="1">$AP$11*$AP$65</f>
        <v>0</v>
      </c>
      <c r="AG11" s="12">
        <f ca="1">SUM($AE$11:$AF$11)</f>
        <v>0</v>
      </c>
      <c r="AH11" s="12">
        <f>'TUSD BE'!$AH$11*'TUSD BE'!$AH$68</f>
        <v>-0.34643438611626243</v>
      </c>
      <c r="AI11" s="12">
        <f>'TUSD BE'!$AI$11*'TUSD BE'!$AI$68</f>
        <v>-1.2731247604153003E-2</v>
      </c>
      <c r="AJ11" s="12">
        <f ca="1">'TUSD BE'!$AJ$11*'TUSD BE'!$AJ$68</f>
        <v>-8.8187080587236469E-2</v>
      </c>
      <c r="AK11" s="12">
        <f ca="1">'TUSD BE'!$AK$11*'TUSD BE'!$AK$68</f>
        <v>1.6667898020037684E-2</v>
      </c>
      <c r="AL11" s="12">
        <f ca="1">SUM($AH$11:$AK$11)</f>
        <v>-0.43068481628761418</v>
      </c>
      <c r="AM11" s="12">
        <f ca="1">SUMIF($L$4:$AL$4,"SUBTOTAL",$L$11:$AL$11)</f>
        <v>31.672473233210315</v>
      </c>
      <c r="AO11" s="20">
        <f ca="1">+'TUSD BE'!$T$11+'TUSD BE'!$AB$11+'TUSD BE'!$AD$11+'TUSD BE'!$AL$11</f>
        <v>1099.4459907797286</v>
      </c>
      <c r="AP11" s="20">
        <f ca="1">+'TUSD BE'!$T$11+'TUSD BE'!$AB$11+'TUSD BE'!$AD$11+'TUSD BE'!$AL$11</f>
        <v>1099.4459907797286</v>
      </c>
    </row>
    <row r="12" spans="1:42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'TUSD BE'!$L$12*'TUSD BE'!$L$68</f>
        <v>-0.99097316442996741</v>
      </c>
      <c r="M12" s="12">
        <f>'TUSD BE'!$M$12*'TUSD BE'!$M$68</f>
        <v>-5.4622281001096302E-3</v>
      </c>
      <c r="N12" s="12">
        <f ca="1">'TUSD BE'!$N$12*'TUSD BE'!$N$68</f>
        <v>1.1611840073394573E-8</v>
      </c>
      <c r="O12" s="12">
        <f>'TUSD BE'!$O$12*'TUSD BE'!$O$68</f>
        <v>0</v>
      </c>
      <c r="P12" s="12">
        <f>'TUSD BE'!$P$12*'TUSD BE'!$P$68</f>
        <v>0</v>
      </c>
      <c r="Q12" s="12">
        <f>'TUSD BE'!$Q$12*'TUSD BE'!$Q$68</f>
        <v>-1.5310169819557888</v>
      </c>
      <c r="R12" s="12">
        <f>'TUSD BE'!$R$12*'TUSD BE'!$R$68</f>
        <v>-0.278416203295761</v>
      </c>
      <c r="S12" s="12">
        <f>'TUSD BE'!$R$12*'TUSD BE'!$S$68</f>
        <v>0</v>
      </c>
      <c r="T12" s="12">
        <f ca="1">SUM($L$12:$S$12)</f>
        <v>-2.8058685661697869</v>
      </c>
      <c r="U12" s="12">
        <f>'TUSD BE'!$U$12*'TUSD BE'!$U$68</f>
        <v>0</v>
      </c>
      <c r="V12" s="12">
        <f>'TUSD BE'!$V$12*'TUSD BE'!$V$68</f>
        <v>0</v>
      </c>
      <c r="W12" s="12">
        <f>'TUSD BE'!$W$12*'TUSD BE'!$W$68</f>
        <v>0</v>
      </c>
      <c r="X12" s="12">
        <f>'TUSD BE'!$X$12*'TUSD BE'!$X$68</f>
        <v>0</v>
      </c>
      <c r="Y12" s="12">
        <f>'TUSD BE'!$Y$12*'TUSD BE'!$Y$68</f>
        <v>0</v>
      </c>
      <c r="Z12" s="12">
        <f>'TUSD BE'!$Z$12*'TUSD BE'!$Z$68</f>
        <v>0</v>
      </c>
      <c r="AA12" s="12">
        <f>'TUSD BE'!$AA$12*'TUSD BE'!$AA$68</f>
        <v>0</v>
      </c>
      <c r="AB12" s="12">
        <f>SUM($U$12:$AA$12)</f>
        <v>0</v>
      </c>
      <c r="AC12" s="12">
        <f>'TUSD BE'!$AC$12*'TUSD BE'!$AC$68</f>
        <v>0</v>
      </c>
      <c r="AD12" s="12">
        <f>SUM($AC$12:$AC$12)</f>
        <v>0</v>
      </c>
      <c r="AE12" s="12">
        <f ca="1">$AO$12*$AO$65</f>
        <v>0</v>
      </c>
      <c r="AF12" s="12">
        <f ca="1">$AP$12*$AP$65</f>
        <v>0</v>
      </c>
      <c r="AG12" s="12">
        <f ca="1">SUM($AE$12:$AF$12)</f>
        <v>0</v>
      </c>
      <c r="AH12" s="12">
        <f>'TUSD BE'!$AH$12*'TUSD BE'!$AH$68</f>
        <v>-0.34643438611626243</v>
      </c>
      <c r="AI12" s="12">
        <f>'TUSD BE'!$AI$12*'TUSD BE'!$AI$68</f>
        <v>-1.2731247604153003E-2</v>
      </c>
      <c r="AJ12" s="12">
        <f ca="1">'TUSD BE'!$AJ$12*'TUSD BE'!$AJ$68</f>
        <v>-8.8187080587236469E-2</v>
      </c>
      <c r="AK12" s="12">
        <f ca="1">'TUSD BE'!$AK$12*'TUSD BE'!$AK$68</f>
        <v>1.6667898020037684E-2</v>
      </c>
      <c r="AL12" s="12">
        <f ca="1">SUM($AH$12:$AK$12)</f>
        <v>-0.43068481628761418</v>
      </c>
      <c r="AM12" s="12">
        <f ca="1">SUMIF($L$4:$AL$4,"SUBTOTAL",$L$12:$AL$12)</f>
        <v>-3.2365533824574011</v>
      </c>
      <c r="AO12" s="20">
        <f ca="1">+'TUSD BE'!$T$12+'TUSD BE'!$AB$12+'TUSD BE'!$AD$12+'TUSD BE'!$AL$12</f>
        <v>99.211381512720507</v>
      </c>
      <c r="AP12" s="20">
        <f ca="1">+'TUSD BE'!$T$12+'TUSD BE'!$AB$12+'TUSD BE'!$AD$12+'TUSD BE'!$AL$12</f>
        <v>99.211381512720507</v>
      </c>
    </row>
    <row r="13" spans="1:42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f>'TUSD BE'!$L$13*'TUSD BE'!$L$68</f>
        <v>0</v>
      </c>
      <c r="M13" s="12">
        <f>'TUSD BE'!$M$13*'TUSD BE'!$M$68</f>
        <v>-5.4622281001096302E-3</v>
      </c>
      <c r="N13" s="12">
        <f ca="1">'TUSD BE'!$N$13*'TUSD BE'!$N$68</f>
        <v>6.6784225931568459E-7</v>
      </c>
      <c r="O13" s="12">
        <f>'TUSD BE'!$O$13*'TUSD BE'!$O$68</f>
        <v>0</v>
      </c>
      <c r="P13" s="12">
        <f>'TUSD BE'!$P$13*'TUSD BE'!$P$68</f>
        <v>0</v>
      </c>
      <c r="Q13" s="12">
        <f>'TUSD BE'!$Q$13*'TUSD BE'!$Q$68</f>
        <v>0</v>
      </c>
      <c r="R13" s="12">
        <f>'TUSD BE'!$R$13*'TUSD BE'!$R$68</f>
        <v>0</v>
      </c>
      <c r="S13" s="12">
        <f>'TUSD BE'!$R$13*'TUSD BE'!$S$68</f>
        <v>0</v>
      </c>
      <c r="T13" s="12">
        <f ca="1">SUM($L$13:$S$13)</f>
        <v>-5.4615602578503147E-3</v>
      </c>
      <c r="U13" s="12">
        <f>'TUSD BE'!$U$13*'TUSD BE'!$U$68</f>
        <v>0</v>
      </c>
      <c r="V13" s="12">
        <f>'TUSD BE'!$V$13*'TUSD BE'!$V$68</f>
        <v>0</v>
      </c>
      <c r="W13" s="12">
        <f>'TUSD BE'!$W$13*'TUSD BE'!$W$68</f>
        <v>0</v>
      </c>
      <c r="X13" s="12">
        <f>'TUSD BE'!$X$13*'TUSD BE'!$X$68</f>
        <v>0</v>
      </c>
      <c r="Y13" s="12">
        <f>'TUSD BE'!$Y$13*'TUSD BE'!$Y$68</f>
        <v>34.909025958636647</v>
      </c>
      <c r="Z13" s="12">
        <f>'TUSD BE'!$Z$13*'TUSD BE'!$Z$68</f>
        <v>0</v>
      </c>
      <c r="AA13" s="12">
        <f>'TUSD BE'!$AA$13*'TUSD BE'!$AA$68</f>
        <v>0</v>
      </c>
      <c r="AB13" s="12">
        <f>SUM($U$13:$AA$13)</f>
        <v>34.909025958636647</v>
      </c>
      <c r="AC13" s="12">
        <f>'TUSD BE'!$AC$13*'TUSD BE'!$AC$68</f>
        <v>0</v>
      </c>
      <c r="AD13" s="12">
        <f>SUM($AC$13:$AC$13)</f>
        <v>0</v>
      </c>
      <c r="AE13" s="12">
        <f ca="1">$AO$13*$AO$65</f>
        <v>0</v>
      </c>
      <c r="AF13" s="12">
        <f ca="1">$AP$13*$AP$65</f>
        <v>0</v>
      </c>
      <c r="AG13" s="12">
        <f ca="1">SUM($AE$13:$AF$13)</f>
        <v>0</v>
      </c>
      <c r="AH13" s="12">
        <f>'TUSD BE'!$AH$13*'TUSD BE'!$AH$68</f>
        <v>-0.34643438611626243</v>
      </c>
      <c r="AI13" s="12">
        <f>'TUSD BE'!$AI$13*'TUSD BE'!$AI$68</f>
        <v>-1.2731247604153003E-2</v>
      </c>
      <c r="AJ13" s="12">
        <f ca="1">'TUSD BE'!$AJ$13*'TUSD BE'!$AJ$68</f>
        <v>-8.8187080587236469E-2</v>
      </c>
      <c r="AK13" s="12">
        <f ca="1">'TUSD BE'!$AK$13*'TUSD BE'!$AK$68</f>
        <v>1.6667898020037684E-2</v>
      </c>
      <c r="AL13" s="12">
        <f ca="1">SUM($AH$13:$AK$13)</f>
        <v>-0.43068481628761418</v>
      </c>
      <c r="AM13" s="12">
        <f ca="1">SUMIF($L$4:$AL$4,"SUBTOTAL",$L$13:$AL$13)</f>
        <v>34.472879582091181</v>
      </c>
      <c r="AO13" s="20">
        <f ca="1">+'TUSD BE'!$T$13+'TUSD BE'!$AB$13+'TUSD BE'!$AD$13+'TUSD BE'!$AL$13</f>
        <v>1007.1015747455834</v>
      </c>
      <c r="AP13" s="20">
        <f ca="1">+'TUSD BE'!$T$13+'TUSD BE'!$AB$13+'TUSD BE'!$AD$13+'TUSD BE'!$AL$13</f>
        <v>1007.1015747455834</v>
      </c>
    </row>
    <row r="14" spans="1:42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f>'TUSD BE'!$L$14*'TUSD BE'!$L$68</f>
        <v>0</v>
      </c>
      <c r="M14" s="12">
        <f>'TUSD BE'!$M$14*'TUSD BE'!$M$68</f>
        <v>-5.4622281001096302E-3</v>
      </c>
      <c r="N14" s="12">
        <f ca="1">'TUSD BE'!$N$14*'TUSD BE'!$N$68</f>
        <v>1.0811188626563819E-8</v>
      </c>
      <c r="O14" s="12">
        <f>'TUSD BE'!$O$14*'TUSD BE'!$O$68</f>
        <v>0</v>
      </c>
      <c r="P14" s="12">
        <f>'TUSD BE'!$P$14*'TUSD BE'!$P$68</f>
        <v>0</v>
      </c>
      <c r="Q14" s="12">
        <f>'TUSD BE'!$Q$14*'TUSD BE'!$Q$68</f>
        <v>0</v>
      </c>
      <c r="R14" s="12">
        <f>'TUSD BE'!$R$14*'TUSD BE'!$R$68</f>
        <v>0</v>
      </c>
      <c r="S14" s="12">
        <f>'TUSD BE'!$R$14*'TUSD BE'!$S$68</f>
        <v>0</v>
      </c>
      <c r="T14" s="12">
        <f ca="1">SUM($L$14:$S$14)</f>
        <v>-5.4622172889210036E-3</v>
      </c>
      <c r="U14" s="12">
        <f>'TUSD BE'!$U$14*'TUSD BE'!$U$68</f>
        <v>0</v>
      </c>
      <c r="V14" s="12">
        <f>'TUSD BE'!$V$14*'TUSD BE'!$V$68</f>
        <v>0</v>
      </c>
      <c r="W14" s="12">
        <f>'TUSD BE'!$W$14*'TUSD BE'!$W$68</f>
        <v>0</v>
      </c>
      <c r="X14" s="12">
        <f>'TUSD BE'!$X$14*'TUSD BE'!$X$68</f>
        <v>0</v>
      </c>
      <c r="Y14" s="12">
        <f>'TUSD BE'!$Y$14*'TUSD BE'!$Y$68</f>
        <v>0</v>
      </c>
      <c r="Z14" s="12">
        <f>'TUSD BE'!$Z$14*'TUSD BE'!$Z$68</f>
        <v>0</v>
      </c>
      <c r="AA14" s="12">
        <f>'TUSD BE'!$AA$14*'TUSD BE'!$AA$68</f>
        <v>0</v>
      </c>
      <c r="AB14" s="12">
        <f>SUM($U$14:$AA$14)</f>
        <v>0</v>
      </c>
      <c r="AC14" s="12">
        <f>'TUSD BE'!$AC$14*'TUSD BE'!$AC$68</f>
        <v>0</v>
      </c>
      <c r="AD14" s="12">
        <f>SUM($AC$14:$AC$14)</f>
        <v>0</v>
      </c>
      <c r="AE14" s="12">
        <f ca="1">$AO$14*$AO$65</f>
        <v>0</v>
      </c>
      <c r="AF14" s="12">
        <f ca="1">$AP$14*$AP$65</f>
        <v>0</v>
      </c>
      <c r="AG14" s="12">
        <f ca="1">SUM($AE$14:$AF$14)</f>
        <v>0</v>
      </c>
      <c r="AH14" s="12">
        <f>'TUSD BE'!$AH$14*'TUSD BE'!$AH$68</f>
        <v>-0.34643438611626243</v>
      </c>
      <c r="AI14" s="12">
        <f>'TUSD BE'!$AI$14*'TUSD BE'!$AI$68</f>
        <v>-1.2731247604153003E-2</v>
      </c>
      <c r="AJ14" s="12">
        <f ca="1">'TUSD BE'!$AJ$14*'TUSD BE'!$AJ$68</f>
        <v>-8.8187080587236469E-2</v>
      </c>
      <c r="AK14" s="12">
        <f ca="1">'TUSD BE'!$AK$14*'TUSD BE'!$AK$68</f>
        <v>1.6667898020037684E-2</v>
      </c>
      <c r="AL14" s="12">
        <f ca="1">SUM($AH$14:$AK$14)</f>
        <v>-0.43068481628761418</v>
      </c>
      <c r="AM14" s="12">
        <f ca="1">SUMIF($L$4:$AL$4,"SUBTOTAL",$L$14:$AL$14)</f>
        <v>-0.43614703357653517</v>
      </c>
      <c r="AO14" s="20">
        <f ca="1">+'TUSD BE'!$T$14+'TUSD BE'!$AB$14+'TUSD BE'!$AD$14+'TUSD BE'!$AL$14</f>
        <v>6.8669654785753922</v>
      </c>
      <c r="AP14" s="20">
        <f ca="1">+'TUSD BE'!$T$14+'TUSD BE'!$AB$14+'TUSD BE'!$AD$14+'TUSD BE'!$AL$14</f>
        <v>6.8669654785753922</v>
      </c>
    </row>
    <row r="15" spans="1:42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f>'TUSD BE'!$L$15*'TUSD BE'!$L$68</f>
        <v>0</v>
      </c>
      <c r="M15" s="12">
        <f>'TUSD BE'!$M$15*'TUSD BE'!$M$68</f>
        <v>0</v>
      </c>
      <c r="N15" s="12">
        <f ca="1">'TUSD BE'!$N$15*'TUSD BE'!$N$68</f>
        <v>0</v>
      </c>
      <c r="O15" s="12">
        <f>'TUSD BE'!$O$15*'TUSD BE'!$O$68</f>
        <v>0</v>
      </c>
      <c r="P15" s="12">
        <f>'TUSD BE'!$P$15*'TUSD BE'!$P$68</f>
        <v>0</v>
      </c>
      <c r="Q15" s="12">
        <f>'TUSD BE'!$Q$15*'TUSD BE'!$Q$68</f>
        <v>0</v>
      </c>
      <c r="R15" s="12">
        <f>'TUSD BE'!$R$15*'TUSD BE'!$R$68</f>
        <v>0</v>
      </c>
      <c r="S15" s="12">
        <f>'TUSD BE'!$R$15*'TUSD BE'!$S$68</f>
        <v>0</v>
      </c>
      <c r="T15" s="12">
        <f ca="1">SUM($L$15:$S$15)</f>
        <v>0</v>
      </c>
      <c r="U15" s="12">
        <f>'TUSD BE'!$U$15*'TUSD BE'!$U$68</f>
        <v>0</v>
      </c>
      <c r="V15" s="12">
        <f>'TUSD BE'!$V$15*'TUSD BE'!$V$68</f>
        <v>0</v>
      </c>
      <c r="W15" s="12">
        <f>'TUSD BE'!$W$15*'TUSD BE'!$W$68</f>
        <v>0</v>
      </c>
      <c r="X15" s="12">
        <f>'TUSD BE'!$X$15*'TUSD BE'!$X$68</f>
        <v>0</v>
      </c>
      <c r="Y15" s="12">
        <f>'TUSD BE'!$Y$15*'TUSD BE'!$Y$68</f>
        <v>1.4515180368633354</v>
      </c>
      <c r="Z15" s="12">
        <f>'TUSD BE'!$Z$15*'TUSD BE'!$Z$68</f>
        <v>0</v>
      </c>
      <c r="AA15" s="12">
        <f>'TUSD BE'!$AA$15*'TUSD BE'!$AA$68</f>
        <v>0</v>
      </c>
      <c r="AB15" s="12">
        <f>SUM($U$15:$AA$15)</f>
        <v>1.4515180368633354</v>
      </c>
      <c r="AC15" s="12">
        <f>'TUSD BE'!$AC$15*'TUSD BE'!$AC$68</f>
        <v>0</v>
      </c>
      <c r="AD15" s="12">
        <f>SUM($AC$15:$AC$15)</f>
        <v>0</v>
      </c>
      <c r="AE15" s="12">
        <f ca="1">$AO$15*$AO$65</f>
        <v>0</v>
      </c>
      <c r="AF15" s="12">
        <f ca="1">$AP$15*$AP$65</f>
        <v>0</v>
      </c>
      <c r="AG15" s="12">
        <f ca="1">SUM($AE$15:$AF$15)</f>
        <v>0</v>
      </c>
      <c r="AH15" s="12">
        <f>'TUSD BE'!$AH$15*'TUSD BE'!$AH$68</f>
        <v>0</v>
      </c>
      <c r="AI15" s="12">
        <f>'TUSD BE'!$AI$15*'TUSD BE'!$AI$68</f>
        <v>0</v>
      </c>
      <c r="AJ15" s="12">
        <f ca="1">'TUSD BE'!$AJ$15*'TUSD BE'!$AJ$68</f>
        <v>0</v>
      </c>
      <c r="AK15" s="12">
        <f ca="1">'TUSD BE'!$AK$15*'TUSD BE'!$AK$68</f>
        <v>0</v>
      </c>
      <c r="AL15" s="12">
        <f ca="1">SUM($AH$15:$AK$15)</f>
        <v>0</v>
      </c>
      <c r="AM15" s="12">
        <f ca="1">SUMIF($L$4:$AL$4,"SUBTOTAL",$L$15:$AL$15)</f>
        <v>1.4515180368633354</v>
      </c>
      <c r="AO15" s="20">
        <f ca="1">+'TUSD BE'!$T$15+'TUSD BE'!$AB$15+'TUSD BE'!$AD$15+'TUSD BE'!$AL$15</f>
        <v>40.973169332448101</v>
      </c>
      <c r="AP15" s="20">
        <f ca="1">+'TUSD BE'!$T$15+'TUSD BE'!$AB$15+'TUSD BE'!$AD$15+'TUSD BE'!$AL$15</f>
        <v>40.973169332448101</v>
      </c>
    </row>
    <row r="16" spans="1:42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f>'TUSD BE'!$L$16*'TUSD BE'!$L$68</f>
        <v>0</v>
      </c>
      <c r="M16" s="12">
        <f>'TUSD BE'!$M$16*'TUSD BE'!$M$68</f>
        <v>0</v>
      </c>
      <c r="N16" s="12">
        <f ca="1">'TUSD BE'!$N$16*'TUSD BE'!$N$68</f>
        <v>0</v>
      </c>
      <c r="O16" s="12">
        <f>'TUSD BE'!$O$16*'TUSD BE'!$O$68</f>
        <v>0</v>
      </c>
      <c r="P16" s="12">
        <f>'TUSD BE'!$P$16*'TUSD BE'!$P$68</f>
        <v>0</v>
      </c>
      <c r="Q16" s="12">
        <f>'TUSD BE'!$Q$16*'TUSD BE'!$Q$68</f>
        <v>0</v>
      </c>
      <c r="R16" s="12">
        <f>'TUSD BE'!$R$16*'TUSD BE'!$R$68</f>
        <v>0</v>
      </c>
      <c r="S16" s="12">
        <f>'TUSD BE'!$R$16*'TUSD BE'!$S$68</f>
        <v>0</v>
      </c>
      <c r="T16" s="12">
        <f ca="1">SUM($L$16:$S$16)</f>
        <v>0</v>
      </c>
      <c r="U16" s="12">
        <f>'TUSD BE'!$U$16*'TUSD BE'!$U$68</f>
        <v>0</v>
      </c>
      <c r="V16" s="12">
        <f>'TUSD BE'!$V$16*'TUSD BE'!$V$68</f>
        <v>0</v>
      </c>
      <c r="W16" s="12">
        <f>'TUSD BE'!$W$16*'TUSD BE'!$W$68</f>
        <v>0</v>
      </c>
      <c r="X16" s="12">
        <f>'TUSD BE'!$X$16*'TUSD BE'!$X$68</f>
        <v>0</v>
      </c>
      <c r="Y16" s="12">
        <f>'TUSD BE'!$Y$16*'TUSD BE'!$Y$68</f>
        <v>0.63320900873608033</v>
      </c>
      <c r="Z16" s="12">
        <f>'TUSD BE'!$Z$16*'TUSD BE'!$Z$68</f>
        <v>0</v>
      </c>
      <c r="AA16" s="12">
        <f>'TUSD BE'!$AA$16*'TUSD BE'!$AA$68</f>
        <v>0</v>
      </c>
      <c r="AB16" s="12">
        <f>SUM($U$16:$AA$16)</f>
        <v>0.63320900873608033</v>
      </c>
      <c r="AC16" s="12">
        <f>'TUSD BE'!$AC$16*'TUSD BE'!$AC$68</f>
        <v>0</v>
      </c>
      <c r="AD16" s="12">
        <f>SUM($AC$16:$AC$16)</f>
        <v>0</v>
      </c>
      <c r="AE16" s="12">
        <f ca="1">$AO$16*$AO$65</f>
        <v>0</v>
      </c>
      <c r="AF16" s="12">
        <f ca="1">$AP$16*$AP$65</f>
        <v>0</v>
      </c>
      <c r="AG16" s="12">
        <f ca="1">SUM($AE$16:$AF$16)</f>
        <v>0</v>
      </c>
      <c r="AH16" s="12">
        <f>'TUSD BE'!$AH$16*'TUSD BE'!$AH$68</f>
        <v>0</v>
      </c>
      <c r="AI16" s="12">
        <f>'TUSD BE'!$AI$16*'TUSD BE'!$AI$68</f>
        <v>0</v>
      </c>
      <c r="AJ16" s="12">
        <f ca="1">'TUSD BE'!$AJ$16*'TUSD BE'!$AJ$68</f>
        <v>0</v>
      </c>
      <c r="AK16" s="12">
        <f ca="1">'TUSD BE'!$AK$16*'TUSD BE'!$AK$68</f>
        <v>0</v>
      </c>
      <c r="AL16" s="12">
        <f ca="1">SUM($AH$16:$AK$16)</f>
        <v>0</v>
      </c>
      <c r="AM16" s="12">
        <f ca="1">SUMIF($L$4:$AL$4,"SUBTOTAL",$L$16:$AL$16)</f>
        <v>0.63320900873608033</v>
      </c>
      <c r="AO16" s="20">
        <f ca="1">+'TUSD BE'!$T$16+'TUSD BE'!$AB$16+'TUSD BE'!$AD$16+'TUSD BE'!$AL$16</f>
        <v>15.885095688811361</v>
      </c>
      <c r="AP16" s="20">
        <f ca="1">+'TUSD BE'!$T$16+'TUSD BE'!$AB$16+'TUSD BE'!$AD$16+'TUSD BE'!$AL$16</f>
        <v>15.885095688811361</v>
      </c>
    </row>
    <row r="17" spans="1:42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'TUSD BE'!$L$17*'TUSD BE'!$L$68</f>
        <v>-0.99097316442996741</v>
      </c>
      <c r="M17" s="12">
        <f>'TUSD BE'!$M$17*'TUSD BE'!$M$68</f>
        <v>-5.4622281001096302E-3</v>
      </c>
      <c r="N17" s="12">
        <f ca="1">'TUSD BE'!$N$17*'TUSD BE'!$N$68</f>
        <v>1.1611840073394573E-8</v>
      </c>
      <c r="O17" s="12">
        <f>'TUSD BE'!$O$17*'TUSD BE'!$O$68</f>
        <v>0</v>
      </c>
      <c r="P17" s="12">
        <f>'TUSD BE'!$P$17*'TUSD BE'!$P$68</f>
        <v>0</v>
      </c>
      <c r="Q17" s="12">
        <f>'TUSD BE'!$Q$17*'TUSD BE'!$Q$68</f>
        <v>-1.5310169819557888</v>
      </c>
      <c r="R17" s="12">
        <f>'TUSD BE'!$R$17*'TUSD BE'!$R$68</f>
        <v>-0.278416203295761</v>
      </c>
      <c r="S17" s="12">
        <f>'TUSD BE'!$R$17*'TUSD BE'!$S$68</f>
        <v>0</v>
      </c>
      <c r="T17" s="12">
        <f ca="1">SUM($L$17:$S$17)</f>
        <v>-2.8058685661697869</v>
      </c>
      <c r="U17" s="12">
        <f>'TUSD BE'!$U$17*'TUSD BE'!$U$68</f>
        <v>0</v>
      </c>
      <c r="V17" s="12">
        <f>'TUSD BE'!$V$17*'TUSD BE'!$V$68</f>
        <v>0</v>
      </c>
      <c r="W17" s="12">
        <f>'TUSD BE'!$W$17*'TUSD BE'!$W$68</f>
        <v>0</v>
      </c>
      <c r="X17" s="12">
        <f>'TUSD BE'!$X$17*'TUSD BE'!$X$68</f>
        <v>0</v>
      </c>
      <c r="Y17" s="12">
        <f>'TUSD BE'!$Y$17*'TUSD BE'!$Y$68</f>
        <v>0</v>
      </c>
      <c r="Z17" s="12">
        <f>'TUSD BE'!$Z$17*'TUSD BE'!$Z$68</f>
        <v>0</v>
      </c>
      <c r="AA17" s="12">
        <f>'TUSD BE'!$AA$17*'TUSD BE'!$AA$68</f>
        <v>0</v>
      </c>
      <c r="AB17" s="12">
        <f>SUM($U$17:$AA$17)</f>
        <v>0</v>
      </c>
      <c r="AC17" s="12">
        <f>'TUSD BE'!$AC$17*'TUSD BE'!$AC$68</f>
        <v>0</v>
      </c>
      <c r="AD17" s="12">
        <f>SUM($AC$17:$AC$17)</f>
        <v>0</v>
      </c>
      <c r="AE17" s="12">
        <f ca="1">$AO$17*$AO$65</f>
        <v>0</v>
      </c>
      <c r="AF17" s="12">
        <f ca="1">$AP$17*$AP$65</f>
        <v>0</v>
      </c>
      <c r="AG17" s="12">
        <f ca="1">SUM($AE$17:$AF$17)</f>
        <v>0</v>
      </c>
      <c r="AH17" s="12">
        <f>'TUSD BE'!$AH$17*'TUSD BE'!$AH$68</f>
        <v>-0.34643438611626243</v>
      </c>
      <c r="AI17" s="12">
        <f>'TUSD BE'!$AI$17*'TUSD BE'!$AI$68</f>
        <v>-1.2731247604153003E-2</v>
      </c>
      <c r="AJ17" s="12">
        <f ca="1">'TUSD BE'!$AJ$17*'TUSD BE'!$AJ$68</f>
        <v>-8.8187080587236469E-2</v>
      </c>
      <c r="AK17" s="12">
        <f ca="1">'TUSD BE'!$AK$17*'TUSD BE'!$AK$68</f>
        <v>1.6667898020037684E-2</v>
      </c>
      <c r="AL17" s="12">
        <f ca="1">SUM($AH$17:$AK$17)</f>
        <v>-0.43068481628761418</v>
      </c>
      <c r="AM17" s="12">
        <f ca="1">SUMIF($L$4:$AL$4,"SUBTOTAL",$L$17:$AL$17)</f>
        <v>-3.2365533824574011</v>
      </c>
      <c r="AO17" s="20">
        <f ca="1">+'TUSD BE'!$T$17+'TUSD BE'!$AB$17+'TUSD BE'!$AD$17+'TUSD BE'!$AL$17</f>
        <v>99.211381512720507</v>
      </c>
      <c r="AP17" s="20">
        <f ca="1">+'TUSD BE'!$T$17+'TUSD BE'!$AB$17+'TUSD BE'!$AD$17+'TUSD BE'!$AL$17</f>
        <v>99.211381512720507</v>
      </c>
    </row>
    <row r="18" spans="1:42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f>'TUSD BE'!$L$18*'TUSD BE'!$L$68</f>
        <v>0</v>
      </c>
      <c r="M18" s="12">
        <f>'TUSD BE'!$M$18*'TUSD BE'!$M$68</f>
        <v>-5.4622281001096302E-3</v>
      </c>
      <c r="N18" s="12">
        <f ca="1">'TUSD BE'!$N$18*'TUSD BE'!$N$68</f>
        <v>1.0811188626563819E-8</v>
      </c>
      <c r="O18" s="12">
        <f>'TUSD BE'!$O$18*'TUSD BE'!$O$68</f>
        <v>0</v>
      </c>
      <c r="P18" s="12">
        <f>'TUSD BE'!$P$18*'TUSD BE'!$P$68</f>
        <v>0</v>
      </c>
      <c r="Q18" s="12">
        <f>'TUSD BE'!$Q$18*'TUSD BE'!$Q$68</f>
        <v>0</v>
      </c>
      <c r="R18" s="12">
        <f>'TUSD BE'!$R$18*'TUSD BE'!$R$68</f>
        <v>0</v>
      </c>
      <c r="S18" s="12">
        <f>'TUSD BE'!$R$18*'TUSD BE'!$S$68</f>
        <v>0</v>
      </c>
      <c r="T18" s="12">
        <f ca="1">SUM($L$18:$S$18)</f>
        <v>-5.4622172889210036E-3</v>
      </c>
      <c r="U18" s="12">
        <f>'TUSD BE'!$U$18*'TUSD BE'!$U$68</f>
        <v>0</v>
      </c>
      <c r="V18" s="12">
        <f>'TUSD BE'!$V$18*'TUSD BE'!$V$68</f>
        <v>0</v>
      </c>
      <c r="W18" s="12">
        <f>'TUSD BE'!$W$18*'TUSD BE'!$W$68</f>
        <v>0</v>
      </c>
      <c r="X18" s="12">
        <f>'TUSD BE'!$X$18*'TUSD BE'!$X$68</f>
        <v>0</v>
      </c>
      <c r="Y18" s="12">
        <f>'TUSD BE'!$Y$18*'TUSD BE'!$Y$68</f>
        <v>0</v>
      </c>
      <c r="Z18" s="12">
        <f>'TUSD BE'!$Z$18*'TUSD BE'!$Z$68</f>
        <v>0</v>
      </c>
      <c r="AA18" s="12">
        <f>'TUSD BE'!$AA$18*'TUSD BE'!$AA$68</f>
        <v>0</v>
      </c>
      <c r="AB18" s="12">
        <f>SUM($U$18:$AA$18)</f>
        <v>0</v>
      </c>
      <c r="AC18" s="12">
        <f>'TUSD BE'!$AC$18*'TUSD BE'!$AC$68</f>
        <v>0</v>
      </c>
      <c r="AD18" s="12">
        <f>SUM($AC$18:$AC$18)</f>
        <v>0</v>
      </c>
      <c r="AE18" s="12">
        <f ca="1">$AO$18*$AO$65</f>
        <v>0</v>
      </c>
      <c r="AF18" s="12">
        <f ca="1">$AP$18*$AP$65</f>
        <v>0</v>
      </c>
      <c r="AG18" s="12">
        <f ca="1">SUM($AE$18:$AF$18)</f>
        <v>0</v>
      </c>
      <c r="AH18" s="12">
        <f>'TUSD BE'!$AH$18*'TUSD BE'!$AH$68</f>
        <v>-0.34643438611626243</v>
      </c>
      <c r="AI18" s="12">
        <f>'TUSD BE'!$AI$18*'TUSD BE'!$AI$68</f>
        <v>-1.2731247604153003E-2</v>
      </c>
      <c r="AJ18" s="12">
        <f ca="1">'TUSD BE'!$AJ$18*'TUSD BE'!$AJ$68</f>
        <v>-8.8187080587236469E-2</v>
      </c>
      <c r="AK18" s="12">
        <f ca="1">'TUSD BE'!$AK$18*'TUSD BE'!$AK$68</f>
        <v>1.6667898020037684E-2</v>
      </c>
      <c r="AL18" s="12">
        <f ca="1">SUM($AH$18:$AK$18)</f>
        <v>-0.43068481628761418</v>
      </c>
      <c r="AM18" s="12">
        <f ca="1">SUMIF($L$4:$AL$4,"SUBTOTAL",$L$18:$AL$18)</f>
        <v>-0.43614703357653517</v>
      </c>
      <c r="AO18" s="20">
        <f ca="1">+'TUSD BE'!$T$18+'TUSD BE'!$AB$18+'TUSD BE'!$AD$18+'TUSD BE'!$AL$18</f>
        <v>6.8669654785753922</v>
      </c>
      <c r="AP18" s="20">
        <f ca="1">+'TUSD BE'!$T$18+'TUSD BE'!$AB$18+'TUSD BE'!$AD$18+'TUSD BE'!$AL$18</f>
        <v>6.8669654785753922</v>
      </c>
    </row>
    <row r="19" spans="1:42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f>'TUSD BE'!$L$19*'TUSD BE'!$L$68</f>
        <v>0</v>
      </c>
      <c r="M19" s="12">
        <f>'TUSD BE'!$M$19*'TUSD BE'!$M$68</f>
        <v>-5.1801257885230353E-4</v>
      </c>
      <c r="N19" s="12">
        <f ca="1">'TUSD BE'!$N$19*'TUSD BE'!$N$68</f>
        <v>3.8911660315974605E-9</v>
      </c>
      <c r="O19" s="12">
        <f>'TUSD BE'!$O$19*'TUSD BE'!$O$68</f>
        <v>0</v>
      </c>
      <c r="P19" s="12">
        <f>'TUSD BE'!$P$19*'TUSD BE'!$P$68</f>
        <v>0</v>
      </c>
      <c r="Q19" s="12">
        <f>'TUSD BE'!$Q$19*'TUSD BE'!$Q$68</f>
        <v>0</v>
      </c>
      <c r="R19" s="12">
        <f>'TUSD BE'!$R$19*'TUSD BE'!$R$68</f>
        <v>0</v>
      </c>
      <c r="S19" s="12">
        <f>'TUSD BE'!$R$19*'TUSD BE'!$S$68</f>
        <v>0</v>
      </c>
      <c r="T19" s="12">
        <f ca="1">SUM($L$19:$S$19)</f>
        <v>-5.1800868768627189E-4</v>
      </c>
      <c r="U19" s="12">
        <f>'TUSD BE'!$U$19*'TUSD BE'!$U$68</f>
        <v>0</v>
      </c>
      <c r="V19" s="12">
        <f>'TUSD BE'!$V$19*'TUSD BE'!$V$68</f>
        <v>0</v>
      </c>
      <c r="W19" s="12">
        <f>'TUSD BE'!$W$19*'TUSD BE'!$W$68</f>
        <v>0</v>
      </c>
      <c r="X19" s="12">
        <f>'TUSD BE'!$X$19*'TUSD BE'!$X$68</f>
        <v>0</v>
      </c>
      <c r="Y19" s="12">
        <f>'TUSD BE'!$Y$19*'TUSD BE'!$Y$68</f>
        <v>0</v>
      </c>
      <c r="Z19" s="12">
        <f>'TUSD BE'!$Z$19*'TUSD BE'!$Z$68</f>
        <v>0</v>
      </c>
      <c r="AA19" s="12">
        <f>'TUSD BE'!$AA$19*'TUSD BE'!$AA$68</f>
        <v>0</v>
      </c>
      <c r="AB19" s="12">
        <f>SUM($U$19:$AA$19)</f>
        <v>0</v>
      </c>
      <c r="AC19" s="12">
        <f>'TUSD BE'!$AC$19*'TUSD BE'!$AC$68</f>
        <v>0</v>
      </c>
      <c r="AD19" s="12">
        <f>SUM($AC$19:$AC$19)</f>
        <v>0</v>
      </c>
      <c r="AE19" s="12">
        <f ca="1">$AO$19*$AO$65</f>
        <v>0</v>
      </c>
      <c r="AF19" s="12">
        <f ca="1">$AP$19*$AP$65</f>
        <v>0</v>
      </c>
      <c r="AG19" s="12">
        <f ca="1">SUM($AE$19:$AF$19)</f>
        <v>0</v>
      </c>
      <c r="AH19" s="12">
        <f>'TUSD BE'!$AH$19*'TUSD BE'!$AH$68</f>
        <v>0</v>
      </c>
      <c r="AI19" s="12">
        <f>'TUSD BE'!$AI$19*'TUSD BE'!$AI$68</f>
        <v>0</v>
      </c>
      <c r="AJ19" s="12">
        <f ca="1">'TUSD BE'!$AJ$19*'TUSD BE'!$AJ$68</f>
        <v>0</v>
      </c>
      <c r="AK19" s="12">
        <f ca="1">'TUSD BE'!$AK$19*'TUSD BE'!$AK$68</f>
        <v>0</v>
      </c>
      <c r="AL19" s="12">
        <f ca="1">SUM($AH$19:$AK$19)</f>
        <v>0</v>
      </c>
      <c r="AM19" s="12">
        <f ca="1">SUMIF($L$4:$AL$4,"SUBTOTAL",$L$19:$AL$19)</f>
        <v>-5.1800868768627189E-4</v>
      </c>
      <c r="AO19" s="20">
        <f ca="1">+'TUSD BE'!$T$19+'TUSD BE'!$AB$19+'TUSD BE'!$AD$19+'TUSD BE'!$AL$19</f>
        <v>5.7777579326507871</v>
      </c>
      <c r="AP19" s="20">
        <f ca="1">+'TUSD BE'!$T$19+'TUSD BE'!$AB$19+'TUSD BE'!$AD$19+'TUSD BE'!$AL$19</f>
        <v>5.7777579326507871</v>
      </c>
    </row>
    <row r="20" spans="1:42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f>'TUSD BE'!$L$20*'TUSD BE'!$L$68</f>
        <v>0</v>
      </c>
      <c r="M20" s="12">
        <f>'TUSD BE'!$M$20*'TUSD BE'!$M$68</f>
        <v>0</v>
      </c>
      <c r="N20" s="12">
        <f ca="1">'TUSD BE'!$N$20*'TUSD BE'!$N$68</f>
        <v>0</v>
      </c>
      <c r="O20" s="12">
        <f>'TUSD BE'!$O$20*'TUSD BE'!$O$68</f>
        <v>0</v>
      </c>
      <c r="P20" s="12">
        <f>'TUSD BE'!$P$20*'TUSD BE'!$P$68</f>
        <v>0</v>
      </c>
      <c r="Q20" s="12">
        <f>'TUSD BE'!$Q$20*'TUSD BE'!$Q$68</f>
        <v>0</v>
      </c>
      <c r="R20" s="12">
        <f>'TUSD BE'!$R$20*'TUSD BE'!$R$68</f>
        <v>0</v>
      </c>
      <c r="S20" s="12">
        <f>'TUSD BE'!$R$20*'TUSD BE'!$S$68</f>
        <v>0</v>
      </c>
      <c r="T20" s="12">
        <f ca="1">SUM($L$20:$S$20)</f>
        <v>0</v>
      </c>
      <c r="U20" s="12">
        <f>'TUSD BE'!$U$20*'TUSD BE'!$U$68</f>
        <v>0</v>
      </c>
      <c r="V20" s="12">
        <f>'TUSD BE'!$V$20*'TUSD BE'!$V$68</f>
        <v>0</v>
      </c>
      <c r="W20" s="12">
        <f>'TUSD BE'!$W$20*'TUSD BE'!$W$68</f>
        <v>0</v>
      </c>
      <c r="X20" s="12">
        <f>'TUSD BE'!$X$20*'TUSD BE'!$X$68</f>
        <v>0</v>
      </c>
      <c r="Y20" s="12">
        <f>'TUSD BE'!$Y$20*'TUSD BE'!$Y$68</f>
        <v>0.63320900873608033</v>
      </c>
      <c r="Z20" s="12">
        <f>'TUSD BE'!$Z$20*'TUSD BE'!$Z$68</f>
        <v>0</v>
      </c>
      <c r="AA20" s="12">
        <f>'TUSD BE'!$AA$20*'TUSD BE'!$AA$68</f>
        <v>0</v>
      </c>
      <c r="AB20" s="12">
        <f>SUM($U$20:$AA$20)</f>
        <v>0.63320900873608033</v>
      </c>
      <c r="AC20" s="12">
        <f>'TUSD BE'!$AC$20*'TUSD BE'!$AC$68</f>
        <v>0</v>
      </c>
      <c r="AD20" s="12">
        <f>SUM($AC$20:$AC$20)</f>
        <v>0</v>
      </c>
      <c r="AE20" s="12">
        <f ca="1">$AO$20*$AO$65</f>
        <v>0</v>
      </c>
      <c r="AF20" s="12">
        <f ca="1">$AP$20*$AP$65</f>
        <v>0</v>
      </c>
      <c r="AG20" s="12">
        <f ca="1">SUM($AE$20:$AF$20)</f>
        <v>0</v>
      </c>
      <c r="AH20" s="12">
        <f>'TUSD BE'!$AH$20*'TUSD BE'!$AH$68</f>
        <v>0</v>
      </c>
      <c r="AI20" s="12">
        <f>'TUSD BE'!$AI$20*'TUSD BE'!$AI$68</f>
        <v>0</v>
      </c>
      <c r="AJ20" s="12">
        <f ca="1">'TUSD BE'!$AJ$20*'TUSD BE'!$AJ$68</f>
        <v>0</v>
      </c>
      <c r="AK20" s="12">
        <f ca="1">'TUSD BE'!$AK$20*'TUSD BE'!$AK$68</f>
        <v>0</v>
      </c>
      <c r="AL20" s="12">
        <f ca="1">SUM($AH$20:$AK$20)</f>
        <v>0</v>
      </c>
      <c r="AM20" s="12">
        <f ca="1">SUMIF($L$4:$AL$4,"SUBTOTAL",$L$20:$AL$20)</f>
        <v>0.63320900873608033</v>
      </c>
      <c r="AO20" s="20">
        <f ca="1">+'TUSD BE'!$T$20+'TUSD BE'!$AB$20+'TUSD BE'!$AD$20+'TUSD BE'!$AL$20</f>
        <v>15.885095688811361</v>
      </c>
      <c r="AP20" s="20">
        <f ca="1">+'TUSD BE'!$T$20+'TUSD BE'!$AB$20+'TUSD BE'!$AD$20+'TUSD BE'!$AL$20</f>
        <v>15.885095688811361</v>
      </c>
    </row>
    <row r="21" spans="1:42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'TUSD BE'!$L$21*'TUSD BE'!$L$68</f>
        <v>-0.99097316442996741</v>
      </c>
      <c r="M21" s="12">
        <f>'TUSD BE'!$M$21*'TUSD BE'!$M$68</f>
        <v>-5.4622281001096302E-3</v>
      </c>
      <c r="N21" s="12">
        <f ca="1">'TUSD BE'!$N$21*'TUSD BE'!$N$68</f>
        <v>6.6864291076251553E-7</v>
      </c>
      <c r="O21" s="12">
        <f>'TUSD BE'!$O$21*'TUSD BE'!$O$68</f>
        <v>0</v>
      </c>
      <c r="P21" s="12">
        <f>'TUSD BE'!$P$21*'TUSD BE'!$P$68</f>
        <v>0</v>
      </c>
      <c r="Q21" s="12">
        <f>'TUSD BE'!$Q$21*'TUSD BE'!$Q$68</f>
        <v>-1.5310169819557888</v>
      </c>
      <c r="R21" s="12">
        <f>'TUSD BE'!$R$21*'TUSD BE'!$R$68</f>
        <v>-0.278416203295761</v>
      </c>
      <c r="S21" s="12">
        <f>'TUSD BE'!$R$21*'TUSD BE'!$S$68</f>
        <v>0</v>
      </c>
      <c r="T21" s="12">
        <f ca="1">SUM($L$21:$S$21)</f>
        <v>-2.805867909138716</v>
      </c>
      <c r="U21" s="12">
        <f>'TUSD BE'!$U$21*'TUSD BE'!$U$68</f>
        <v>0</v>
      </c>
      <c r="V21" s="12">
        <f>'TUSD BE'!$V$21*'TUSD BE'!$V$68</f>
        <v>0</v>
      </c>
      <c r="W21" s="12">
        <f>'TUSD BE'!$W$21*'TUSD BE'!$W$68</f>
        <v>0</v>
      </c>
      <c r="X21" s="12">
        <f>'TUSD BE'!$X$21*'TUSD BE'!$X$68</f>
        <v>0</v>
      </c>
      <c r="Y21" s="12">
        <f>'TUSD BE'!$Y$21*'TUSD BE'!$Y$68</f>
        <v>34.909025958636647</v>
      </c>
      <c r="Z21" s="12">
        <f>'TUSD BE'!$Z$21*'TUSD BE'!$Z$68</f>
        <v>0</v>
      </c>
      <c r="AA21" s="12">
        <f>'TUSD BE'!$AA$21*'TUSD BE'!$AA$68</f>
        <v>0</v>
      </c>
      <c r="AB21" s="12">
        <f>SUM($U$21:$AA$21)</f>
        <v>34.909025958636647</v>
      </c>
      <c r="AC21" s="12">
        <f>'TUSD BE'!$AC$21*'TUSD BE'!$AC$68</f>
        <v>0</v>
      </c>
      <c r="AD21" s="12">
        <f>SUM($AC$21:$AC$21)</f>
        <v>0</v>
      </c>
      <c r="AE21" s="12">
        <f ca="1">$AO$21*$AO$65</f>
        <v>0</v>
      </c>
      <c r="AF21" s="12">
        <f ca="1">$AP$21*$AP$65</f>
        <v>0</v>
      </c>
      <c r="AG21" s="12">
        <f ca="1">SUM($AE$21:$AF$21)</f>
        <v>0</v>
      </c>
      <c r="AH21" s="12">
        <f>'TUSD BE'!$AH$21*'TUSD BE'!$AH$68</f>
        <v>-0.34643438611626243</v>
      </c>
      <c r="AI21" s="12">
        <f>'TUSD BE'!$AI$21*'TUSD BE'!$AI$68</f>
        <v>-1.2731247604153003E-2</v>
      </c>
      <c r="AJ21" s="12">
        <f ca="1">'TUSD BE'!$AJ$21*'TUSD BE'!$AJ$68</f>
        <v>-8.8187080587236469E-2</v>
      </c>
      <c r="AK21" s="12">
        <f ca="1">'TUSD BE'!$AK$21*'TUSD BE'!$AK$68</f>
        <v>1.6667898020037684E-2</v>
      </c>
      <c r="AL21" s="12">
        <f ca="1">SUM($AH$21:$AK$21)</f>
        <v>-0.43068481628761418</v>
      </c>
      <c r="AM21" s="12">
        <f ca="1">SUMIF($L$4:$AL$4,"SUBTOTAL",$L$21:$AL$21)</f>
        <v>31.672473233210315</v>
      </c>
      <c r="AO21" s="20">
        <f ca="1">+'TUSD BE'!$T$21+'TUSD BE'!$AB$21+'TUSD BE'!$AD$21+'TUSD BE'!$AL$21</f>
        <v>1099.4459907797286</v>
      </c>
      <c r="AP21" s="20">
        <f ca="1">+'TUSD BE'!$T$21+'TUSD BE'!$AB$21+'TUSD BE'!$AD$21+'TUSD BE'!$AL$21</f>
        <v>1099.4459907797286</v>
      </c>
    </row>
    <row r="22" spans="1:42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'TUSD BE'!$L$22*'TUSD BE'!$L$68</f>
        <v>-0.99097316442996741</v>
      </c>
      <c r="M22" s="12">
        <f>'TUSD BE'!$M$22*'TUSD BE'!$M$68</f>
        <v>-5.4622281001096302E-3</v>
      </c>
      <c r="N22" s="12">
        <f ca="1">'TUSD BE'!$N$22*'TUSD BE'!$N$68</f>
        <v>1.1611840073394573E-8</v>
      </c>
      <c r="O22" s="12">
        <f>'TUSD BE'!$O$22*'TUSD BE'!$O$68</f>
        <v>0</v>
      </c>
      <c r="P22" s="12">
        <f>'TUSD BE'!$P$22*'TUSD BE'!$P$68</f>
        <v>0</v>
      </c>
      <c r="Q22" s="12">
        <f>'TUSD BE'!$Q$22*'TUSD BE'!$Q$68</f>
        <v>-1.5310169819557888</v>
      </c>
      <c r="R22" s="12">
        <f>'TUSD BE'!$R$22*'TUSD BE'!$R$68</f>
        <v>-0.278416203295761</v>
      </c>
      <c r="S22" s="12">
        <f>'TUSD BE'!$R$22*'TUSD BE'!$S$68</f>
        <v>0</v>
      </c>
      <c r="T22" s="12">
        <f ca="1">SUM($L$22:$S$22)</f>
        <v>-2.8058685661697869</v>
      </c>
      <c r="U22" s="12">
        <f>'TUSD BE'!$U$22*'TUSD BE'!$U$68</f>
        <v>0</v>
      </c>
      <c r="V22" s="12">
        <f>'TUSD BE'!$V$22*'TUSD BE'!$V$68</f>
        <v>0</v>
      </c>
      <c r="W22" s="12">
        <f>'TUSD BE'!$W$22*'TUSD BE'!$W$68</f>
        <v>0</v>
      </c>
      <c r="X22" s="12">
        <f>'TUSD BE'!$X$22*'TUSD BE'!$X$68</f>
        <v>0</v>
      </c>
      <c r="Y22" s="12">
        <f>'TUSD BE'!$Y$22*'TUSD BE'!$Y$68</f>
        <v>0</v>
      </c>
      <c r="Z22" s="12">
        <f>'TUSD BE'!$Z$22*'TUSD BE'!$Z$68</f>
        <v>0</v>
      </c>
      <c r="AA22" s="12">
        <f>'TUSD BE'!$AA$22*'TUSD BE'!$AA$68</f>
        <v>0</v>
      </c>
      <c r="AB22" s="12">
        <f>SUM($U$22:$AA$22)</f>
        <v>0</v>
      </c>
      <c r="AC22" s="12">
        <f>'TUSD BE'!$AC$22*'TUSD BE'!$AC$68</f>
        <v>0</v>
      </c>
      <c r="AD22" s="12">
        <f>SUM($AC$22:$AC$22)</f>
        <v>0</v>
      </c>
      <c r="AE22" s="12">
        <f ca="1">$AO$22*$AO$65</f>
        <v>0</v>
      </c>
      <c r="AF22" s="12">
        <f ca="1">$AP$22*$AP$65</f>
        <v>0</v>
      </c>
      <c r="AG22" s="12">
        <f ca="1">SUM($AE$22:$AF$22)</f>
        <v>0</v>
      </c>
      <c r="AH22" s="12">
        <f>'TUSD BE'!$AH$22*'TUSD BE'!$AH$68</f>
        <v>-0.34643438611626243</v>
      </c>
      <c r="AI22" s="12">
        <f>'TUSD BE'!$AI$22*'TUSD BE'!$AI$68</f>
        <v>-1.2731247604153003E-2</v>
      </c>
      <c r="AJ22" s="12">
        <f ca="1">'TUSD BE'!$AJ$22*'TUSD BE'!$AJ$68</f>
        <v>-8.8187080587236469E-2</v>
      </c>
      <c r="AK22" s="12">
        <f ca="1">'TUSD BE'!$AK$22*'TUSD BE'!$AK$68</f>
        <v>1.6667898020037684E-2</v>
      </c>
      <c r="AL22" s="12">
        <f ca="1">SUM($AH$22:$AK$22)</f>
        <v>-0.43068481628761418</v>
      </c>
      <c r="AM22" s="12">
        <f ca="1">SUMIF($L$4:$AL$4,"SUBTOTAL",$L$22:$AL$22)</f>
        <v>-3.2365533824574011</v>
      </c>
      <c r="AO22" s="20">
        <f ca="1">+'TUSD BE'!$T$22+'TUSD BE'!$AB$22+'TUSD BE'!$AD$22+'TUSD BE'!$AL$22</f>
        <v>99.211381512720507</v>
      </c>
      <c r="AP22" s="20">
        <f ca="1">+'TUSD BE'!$T$22+'TUSD BE'!$AB$22+'TUSD BE'!$AD$22+'TUSD BE'!$AL$22</f>
        <v>99.211381512720507</v>
      </c>
    </row>
    <row r="23" spans="1:42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f>'TUSD BE'!$L$23*'TUSD BE'!$L$68</f>
        <v>0</v>
      </c>
      <c r="M23" s="12">
        <f>'TUSD BE'!$M$23*'TUSD BE'!$M$68</f>
        <v>-5.4622281001096302E-3</v>
      </c>
      <c r="N23" s="12">
        <f ca="1">'TUSD BE'!$N$23*'TUSD BE'!$N$68</f>
        <v>6.6784225931568459E-7</v>
      </c>
      <c r="O23" s="12">
        <f>'TUSD BE'!$O$23*'TUSD BE'!$O$68</f>
        <v>0</v>
      </c>
      <c r="P23" s="12">
        <f>'TUSD BE'!$P$23*'TUSD BE'!$P$68</f>
        <v>0</v>
      </c>
      <c r="Q23" s="12">
        <f>'TUSD BE'!$Q$23*'TUSD BE'!$Q$68</f>
        <v>0</v>
      </c>
      <c r="R23" s="12">
        <f>'TUSD BE'!$R$23*'TUSD BE'!$R$68</f>
        <v>0</v>
      </c>
      <c r="S23" s="12">
        <f>'TUSD BE'!$R$23*'TUSD BE'!$S$68</f>
        <v>0</v>
      </c>
      <c r="T23" s="12">
        <f ca="1">SUM($L$23:$S$23)</f>
        <v>-5.4615602578503147E-3</v>
      </c>
      <c r="U23" s="12">
        <f>'TUSD BE'!$U$23*'TUSD BE'!$U$68</f>
        <v>0</v>
      </c>
      <c r="V23" s="12">
        <f>'TUSD BE'!$V$23*'TUSD BE'!$V$68</f>
        <v>0</v>
      </c>
      <c r="W23" s="12">
        <f>'TUSD BE'!$W$23*'TUSD BE'!$W$68</f>
        <v>0</v>
      </c>
      <c r="X23" s="12">
        <f>'TUSD BE'!$X$23*'TUSD BE'!$X$68</f>
        <v>0</v>
      </c>
      <c r="Y23" s="12">
        <f>'TUSD BE'!$Y$23*'TUSD BE'!$Y$68</f>
        <v>34.909025958636647</v>
      </c>
      <c r="Z23" s="12">
        <f>'TUSD BE'!$Z$23*'TUSD BE'!$Z$68</f>
        <v>0</v>
      </c>
      <c r="AA23" s="12">
        <f>'TUSD BE'!$AA$23*'TUSD BE'!$AA$68</f>
        <v>0</v>
      </c>
      <c r="AB23" s="12">
        <f>SUM($U$23:$AA$23)</f>
        <v>34.909025958636647</v>
      </c>
      <c r="AC23" s="12">
        <f>'TUSD BE'!$AC$23*'TUSD BE'!$AC$68</f>
        <v>0</v>
      </c>
      <c r="AD23" s="12">
        <f>SUM($AC$23:$AC$23)</f>
        <v>0</v>
      </c>
      <c r="AE23" s="12">
        <f ca="1">$AO$23*$AO$65</f>
        <v>0</v>
      </c>
      <c r="AF23" s="12">
        <f ca="1">$AP$23*$AP$65</f>
        <v>0</v>
      </c>
      <c r="AG23" s="12">
        <f ca="1">SUM($AE$23:$AF$23)</f>
        <v>0</v>
      </c>
      <c r="AH23" s="12">
        <f>'TUSD BE'!$AH$23*'TUSD BE'!$AH$68</f>
        <v>-0.34643438611626243</v>
      </c>
      <c r="AI23" s="12">
        <f>'TUSD BE'!$AI$23*'TUSD BE'!$AI$68</f>
        <v>-1.2731247604153003E-2</v>
      </c>
      <c r="AJ23" s="12">
        <f ca="1">'TUSD BE'!$AJ$23*'TUSD BE'!$AJ$68</f>
        <v>-8.8187080587236469E-2</v>
      </c>
      <c r="AK23" s="12">
        <f ca="1">'TUSD BE'!$AK$23*'TUSD BE'!$AK$68</f>
        <v>1.6667898020037684E-2</v>
      </c>
      <c r="AL23" s="12">
        <f ca="1">SUM($AH$23:$AK$23)</f>
        <v>-0.43068481628761418</v>
      </c>
      <c r="AM23" s="12">
        <f ca="1">SUMIF($L$4:$AL$4,"SUBTOTAL",$L$23:$AL$23)</f>
        <v>34.472879582091181</v>
      </c>
      <c r="AO23" s="20">
        <f ca="1">+'TUSD BE'!$T$23+'TUSD BE'!$AB$23+'TUSD BE'!$AD$23+'TUSD BE'!$AL$23</f>
        <v>1007.1015747455834</v>
      </c>
      <c r="AP23" s="20">
        <f ca="1">+'TUSD BE'!$T$23+'TUSD BE'!$AB$23+'TUSD BE'!$AD$23+'TUSD BE'!$AL$23</f>
        <v>1007.1015747455834</v>
      </c>
    </row>
    <row r="24" spans="1:42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f>'TUSD BE'!$L$24*'TUSD BE'!$L$68</f>
        <v>0</v>
      </c>
      <c r="M24" s="12">
        <f>'TUSD BE'!$M$24*'TUSD BE'!$M$68</f>
        <v>-5.4622281001096302E-3</v>
      </c>
      <c r="N24" s="12">
        <f ca="1">'TUSD BE'!$N$24*'TUSD BE'!$N$68</f>
        <v>1.0811188626563819E-8</v>
      </c>
      <c r="O24" s="12">
        <f>'TUSD BE'!$O$24*'TUSD BE'!$O$68</f>
        <v>0</v>
      </c>
      <c r="P24" s="12">
        <f>'TUSD BE'!$P$24*'TUSD BE'!$P$68</f>
        <v>0</v>
      </c>
      <c r="Q24" s="12">
        <f>'TUSD BE'!$Q$24*'TUSD BE'!$Q$68</f>
        <v>0</v>
      </c>
      <c r="R24" s="12">
        <f>'TUSD BE'!$R$24*'TUSD BE'!$R$68</f>
        <v>0</v>
      </c>
      <c r="S24" s="12">
        <f>'TUSD BE'!$R$24*'TUSD BE'!$S$68</f>
        <v>0</v>
      </c>
      <c r="T24" s="12">
        <f ca="1">SUM($L$24:$S$24)</f>
        <v>-5.4622172889210036E-3</v>
      </c>
      <c r="U24" s="12">
        <f>'TUSD BE'!$U$24*'TUSD BE'!$U$68</f>
        <v>0</v>
      </c>
      <c r="V24" s="12">
        <f>'TUSD BE'!$V$24*'TUSD BE'!$V$68</f>
        <v>0</v>
      </c>
      <c r="W24" s="12">
        <f>'TUSD BE'!$W$24*'TUSD BE'!$W$68</f>
        <v>0</v>
      </c>
      <c r="X24" s="12">
        <f>'TUSD BE'!$X$24*'TUSD BE'!$X$68</f>
        <v>0</v>
      </c>
      <c r="Y24" s="12">
        <f>'TUSD BE'!$Y$24*'TUSD BE'!$Y$68</f>
        <v>0</v>
      </c>
      <c r="Z24" s="12">
        <f>'TUSD BE'!$Z$24*'TUSD BE'!$Z$68</f>
        <v>0</v>
      </c>
      <c r="AA24" s="12">
        <f>'TUSD BE'!$AA$24*'TUSD BE'!$AA$68</f>
        <v>0</v>
      </c>
      <c r="AB24" s="12">
        <f>SUM($U$24:$AA$24)</f>
        <v>0</v>
      </c>
      <c r="AC24" s="12">
        <f>'TUSD BE'!$AC$24*'TUSD BE'!$AC$68</f>
        <v>0</v>
      </c>
      <c r="AD24" s="12">
        <f>SUM($AC$24:$AC$24)</f>
        <v>0</v>
      </c>
      <c r="AE24" s="12">
        <f ca="1">$AO$24*$AO$65</f>
        <v>0</v>
      </c>
      <c r="AF24" s="12">
        <f ca="1">$AP$24*$AP$65</f>
        <v>0</v>
      </c>
      <c r="AG24" s="12">
        <f ca="1">SUM($AE$24:$AF$24)</f>
        <v>0</v>
      </c>
      <c r="AH24" s="12">
        <f>'TUSD BE'!$AH$24*'TUSD BE'!$AH$68</f>
        <v>-0.34643438611626243</v>
      </c>
      <c r="AI24" s="12">
        <f>'TUSD BE'!$AI$24*'TUSD BE'!$AI$68</f>
        <v>-1.2731247604153003E-2</v>
      </c>
      <c r="AJ24" s="12">
        <f ca="1">'TUSD BE'!$AJ$24*'TUSD BE'!$AJ$68</f>
        <v>-8.8187080587236469E-2</v>
      </c>
      <c r="AK24" s="12">
        <f ca="1">'TUSD BE'!$AK$24*'TUSD BE'!$AK$68</f>
        <v>1.6667898020037684E-2</v>
      </c>
      <c r="AL24" s="12">
        <f ca="1">SUM($AH$24:$AK$24)</f>
        <v>-0.43068481628761418</v>
      </c>
      <c r="AM24" s="12">
        <f ca="1">SUMIF($L$4:$AL$4,"SUBTOTAL",$L$24:$AL$24)</f>
        <v>-0.43614703357653517</v>
      </c>
      <c r="AO24" s="20">
        <f ca="1">+'TUSD BE'!$T$24+'TUSD BE'!$AB$24+'TUSD BE'!$AD$24+'TUSD BE'!$AL$24</f>
        <v>6.8669654785753922</v>
      </c>
      <c r="AP24" s="20">
        <f ca="1">+'TUSD BE'!$T$24+'TUSD BE'!$AB$24+'TUSD BE'!$AD$24+'TUSD BE'!$AL$24</f>
        <v>6.8669654785753922</v>
      </c>
    </row>
    <row r="25" spans="1:42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f>'TUSD BE'!$L$25*'TUSD BE'!$L$68</f>
        <v>0</v>
      </c>
      <c r="M25" s="12">
        <f>'TUSD BE'!$M$25*'TUSD BE'!$M$68</f>
        <v>-2.883781366806638E-4</v>
      </c>
      <c r="N25" s="12">
        <f ca="1">'TUSD BE'!$N$25*'TUSD BE'!$N$68</f>
        <v>2.1617589064430333E-9</v>
      </c>
      <c r="O25" s="12">
        <f>'TUSD BE'!$O$25*'TUSD BE'!$O$68</f>
        <v>0</v>
      </c>
      <c r="P25" s="12">
        <f>'TUSD BE'!$P$25*'TUSD BE'!$P$68</f>
        <v>0</v>
      </c>
      <c r="Q25" s="12">
        <f>'TUSD BE'!$Q$25*'TUSD BE'!$Q$68</f>
        <v>0</v>
      </c>
      <c r="R25" s="12">
        <f>'TUSD BE'!$R$25*'TUSD BE'!$R$68</f>
        <v>0</v>
      </c>
      <c r="S25" s="12">
        <f>'TUSD BE'!$R$25*'TUSD BE'!$S$68</f>
        <v>0</v>
      </c>
      <c r="T25" s="12">
        <f ca="1">SUM($L$25:$S$25)</f>
        <v>-2.8837597492175737E-4</v>
      </c>
      <c r="U25" s="12">
        <f>'TUSD BE'!$U$25*'TUSD BE'!$U$68</f>
        <v>0</v>
      </c>
      <c r="V25" s="12">
        <f>'TUSD BE'!$V$25*'TUSD BE'!$V$68</f>
        <v>0</v>
      </c>
      <c r="W25" s="12">
        <f>'TUSD BE'!$W$25*'TUSD BE'!$W$68</f>
        <v>0</v>
      </c>
      <c r="X25" s="12">
        <f>'TUSD BE'!$X$25*'TUSD BE'!$X$68</f>
        <v>0</v>
      </c>
      <c r="Y25" s="12">
        <f>'TUSD BE'!$Y$25*'TUSD BE'!$Y$68</f>
        <v>0</v>
      </c>
      <c r="Z25" s="12">
        <f>'TUSD BE'!$Z$25*'TUSD BE'!$Z$68</f>
        <v>0</v>
      </c>
      <c r="AA25" s="12">
        <f>'TUSD BE'!$AA$25*'TUSD BE'!$AA$68</f>
        <v>0</v>
      </c>
      <c r="AB25" s="12">
        <f>SUM($U$25:$AA$25)</f>
        <v>0</v>
      </c>
      <c r="AC25" s="12">
        <f>'TUSD BE'!$AC$25*'TUSD BE'!$AC$68</f>
        <v>0</v>
      </c>
      <c r="AD25" s="12">
        <f>SUM($AC$25:$AC$25)</f>
        <v>0</v>
      </c>
      <c r="AE25" s="12">
        <f ca="1">$AO$25*$AO$65</f>
        <v>0</v>
      </c>
      <c r="AF25" s="12">
        <f ca="1">$AP$25*$AP$65</f>
        <v>0</v>
      </c>
      <c r="AG25" s="12">
        <f ca="1">SUM($AE$25:$AF$25)</f>
        <v>0</v>
      </c>
      <c r="AH25" s="12">
        <f>'TUSD BE'!$AH$25*'TUSD BE'!$AH$68</f>
        <v>0</v>
      </c>
      <c r="AI25" s="12">
        <f>'TUSD BE'!$AI$25*'TUSD BE'!$AI$68</f>
        <v>0</v>
      </c>
      <c r="AJ25" s="12">
        <f ca="1">'TUSD BE'!$AJ$25*'TUSD BE'!$AJ$68</f>
        <v>0</v>
      </c>
      <c r="AK25" s="12">
        <f ca="1">'TUSD BE'!$AK$25*'TUSD BE'!$AK$68</f>
        <v>0</v>
      </c>
      <c r="AL25" s="12">
        <f ca="1">SUM($AH$25:$AK$25)</f>
        <v>0</v>
      </c>
      <c r="AM25" s="12">
        <f ca="1">SUMIF($L$4:$AL$4,"SUBTOTAL",$L$25:$AL$25)</f>
        <v>-2.8837597492175737E-4</v>
      </c>
      <c r="AO25" s="20">
        <f ca="1">+'TUSD BE'!$T$25+'TUSD BE'!$AB$25+'TUSD BE'!$AD$25+'TUSD BE'!$AL$25</f>
        <v>3.2111111283241827</v>
      </c>
      <c r="AP25" s="20">
        <f ca="1">+'TUSD BE'!$T$25+'TUSD BE'!$AB$25+'TUSD BE'!$AD$25+'TUSD BE'!$AL$25</f>
        <v>3.2111111283241827</v>
      </c>
    </row>
    <row r="26" spans="1:42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f>'TUSD BE'!$L$26*'TUSD BE'!$L$68</f>
        <v>0</v>
      </c>
      <c r="M26" s="12">
        <f>'TUSD BE'!$M$26*'TUSD BE'!$M$68</f>
        <v>-2.883781366806638E-4</v>
      </c>
      <c r="N26" s="12">
        <f ca="1">'TUSD BE'!$N$26*'TUSD BE'!$N$68</f>
        <v>2.1617589064430333E-9</v>
      </c>
      <c r="O26" s="12">
        <f>'TUSD BE'!$O$26*'TUSD BE'!$O$68</f>
        <v>0</v>
      </c>
      <c r="P26" s="12">
        <f>'TUSD BE'!$P$26*'TUSD BE'!$P$68</f>
        <v>0</v>
      </c>
      <c r="Q26" s="12">
        <f>'TUSD BE'!$Q$26*'TUSD BE'!$Q$68</f>
        <v>0</v>
      </c>
      <c r="R26" s="12">
        <f>'TUSD BE'!$R$26*'TUSD BE'!$R$68</f>
        <v>0</v>
      </c>
      <c r="S26" s="12">
        <f>'TUSD BE'!$R$26*'TUSD BE'!$S$68</f>
        <v>0</v>
      </c>
      <c r="T26" s="12">
        <f ca="1">SUM($L$26:$S$26)</f>
        <v>-2.8837597492175737E-4</v>
      </c>
      <c r="U26" s="12">
        <f>'TUSD BE'!$U$26*'TUSD BE'!$U$68</f>
        <v>0</v>
      </c>
      <c r="V26" s="12">
        <f>'TUSD BE'!$V$26*'TUSD BE'!$V$68</f>
        <v>0</v>
      </c>
      <c r="W26" s="12">
        <f>'TUSD BE'!$W$26*'TUSD BE'!$W$68</f>
        <v>0</v>
      </c>
      <c r="X26" s="12">
        <f>'TUSD BE'!$X$26*'TUSD BE'!$X$68</f>
        <v>0</v>
      </c>
      <c r="Y26" s="12">
        <f>'TUSD BE'!$Y$26*'TUSD BE'!$Y$68</f>
        <v>0</v>
      </c>
      <c r="Z26" s="12">
        <f>'TUSD BE'!$Z$26*'TUSD BE'!$Z$68</f>
        <v>0</v>
      </c>
      <c r="AA26" s="12">
        <f>'TUSD BE'!$AA$26*'TUSD BE'!$AA$68</f>
        <v>0</v>
      </c>
      <c r="AB26" s="12">
        <f>SUM($U$26:$AA$26)</f>
        <v>0</v>
      </c>
      <c r="AC26" s="12">
        <f>'TUSD BE'!$AC$26*'TUSD BE'!$AC$68</f>
        <v>0</v>
      </c>
      <c r="AD26" s="12">
        <f>SUM($AC$26:$AC$26)</f>
        <v>0</v>
      </c>
      <c r="AE26" s="12">
        <f ca="1">$AO$26*$AO$65</f>
        <v>0</v>
      </c>
      <c r="AF26" s="12">
        <f ca="1">$AP$26*$AP$65</f>
        <v>0</v>
      </c>
      <c r="AG26" s="12">
        <f ca="1">SUM($AE$26:$AF$26)</f>
        <v>0</v>
      </c>
      <c r="AH26" s="12">
        <f>'TUSD BE'!$AH$26*'TUSD BE'!$AH$68</f>
        <v>0</v>
      </c>
      <c r="AI26" s="12">
        <f>'TUSD BE'!$AI$26*'TUSD BE'!$AI$68</f>
        <v>0</v>
      </c>
      <c r="AJ26" s="12">
        <f ca="1">'TUSD BE'!$AJ$26*'TUSD BE'!$AJ$68</f>
        <v>0</v>
      </c>
      <c r="AK26" s="12">
        <f ca="1">'TUSD BE'!$AK$26*'TUSD BE'!$AK$68</f>
        <v>0</v>
      </c>
      <c r="AL26" s="12">
        <f ca="1">SUM($AH$26:$AK$26)</f>
        <v>0</v>
      </c>
      <c r="AM26" s="12">
        <f ca="1">SUMIF($L$4:$AL$4,"SUBTOTAL",$L$26:$AL$26)</f>
        <v>-2.8837597492175737E-4</v>
      </c>
      <c r="AO26" s="20">
        <f ca="1">+'TUSD BE'!$T$26+'TUSD BE'!$AB$26+'TUSD BE'!$AD$26+'TUSD BE'!$AL$26</f>
        <v>10.480520183221309</v>
      </c>
      <c r="AP26" s="20">
        <f ca="1">+'TUSD BE'!$T$26+'TUSD BE'!$AB$26+'TUSD BE'!$AD$26+'TUSD BE'!$AL$26</f>
        <v>10.480520183221309</v>
      </c>
    </row>
    <row r="27" spans="1:42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'TUSD BE'!$L$27*'TUSD BE'!$L$68</f>
        <v>-1.1797299576547233</v>
      </c>
      <c r="M27" s="12">
        <f>'TUSD BE'!$M$27*'TUSD BE'!$M$68</f>
        <v>-1.5533277885650213E-2</v>
      </c>
      <c r="N27" s="12">
        <f ca="1">'TUSD BE'!$N$27*'TUSD BE'!$N$68</f>
        <v>8.0390753494070034E-7</v>
      </c>
      <c r="O27" s="12">
        <f>'TUSD BE'!$O$27*'TUSD BE'!$O$68</f>
        <v>0</v>
      </c>
      <c r="P27" s="12">
        <f>'TUSD BE'!$P$27*'TUSD BE'!$P$68</f>
        <v>0</v>
      </c>
      <c r="Q27" s="12">
        <f>'TUSD BE'!$Q$27*'TUSD BE'!$Q$68</f>
        <v>-1.8226392642330822</v>
      </c>
      <c r="R27" s="12">
        <f>'TUSD BE'!$R$27*'TUSD BE'!$R$68</f>
        <v>-0.278416203295761</v>
      </c>
      <c r="S27" s="12">
        <f>'TUSD BE'!$R$27*'TUSD BE'!$S$68</f>
        <v>0</v>
      </c>
      <c r="T27" s="12">
        <f ca="1">SUM($L$27:$S$27)</f>
        <v>-3.2963178991616817</v>
      </c>
      <c r="U27" s="12">
        <f>'TUSD BE'!$U$27*'TUSD BE'!$U$68</f>
        <v>0</v>
      </c>
      <c r="V27" s="12">
        <f>'TUSD BE'!$V$27*'TUSD BE'!$V$68</f>
        <v>0</v>
      </c>
      <c r="W27" s="12">
        <f>'TUSD BE'!$W$27*'TUSD BE'!$W$68</f>
        <v>0</v>
      </c>
      <c r="X27" s="12">
        <f>'TUSD BE'!$X$27*'TUSD BE'!$X$68</f>
        <v>0</v>
      </c>
      <c r="Y27" s="12">
        <f>'TUSD BE'!$Y$27*'TUSD BE'!$Y$68</f>
        <v>25.693759673782658</v>
      </c>
      <c r="Z27" s="12">
        <f>'TUSD BE'!$Z$27*'TUSD BE'!$Z$68</f>
        <v>0</v>
      </c>
      <c r="AA27" s="12">
        <f>'TUSD BE'!$AA$27*'TUSD BE'!$AA$68</f>
        <v>0</v>
      </c>
      <c r="AB27" s="12">
        <f>SUM($U$27:$AA$27)</f>
        <v>25.693759673782658</v>
      </c>
      <c r="AC27" s="12">
        <f>'TUSD BE'!$AC$27*'TUSD BE'!$AC$68</f>
        <v>0</v>
      </c>
      <c r="AD27" s="12">
        <f>SUM($AC$27:$AC$27)</f>
        <v>0</v>
      </c>
      <c r="AE27" s="12">
        <f ca="1">$AO$27*$AO$65</f>
        <v>0</v>
      </c>
      <c r="AF27" s="12">
        <f ca="1">$AP$27*$AP$65</f>
        <v>0</v>
      </c>
      <c r="AG27" s="12">
        <f ca="1">SUM($AE$27:$AF$27)</f>
        <v>0</v>
      </c>
      <c r="AH27" s="12">
        <f>'TUSD BE'!$AH$27*'TUSD BE'!$AH$68</f>
        <v>-1.184925786756859</v>
      </c>
      <c r="AI27" s="12">
        <f>'TUSD BE'!$AI$27*'TUSD BE'!$AI$68</f>
        <v>-4.3545283575530211E-2</v>
      </c>
      <c r="AJ27" s="12">
        <f ca="1">'TUSD BE'!$AJ$27*'TUSD BE'!$AJ$68</f>
        <v>-0.12932020651147716</v>
      </c>
      <c r="AK27" s="12">
        <f ca="1">'TUSD BE'!$AK$27*'TUSD BE'!$AK$68</f>
        <v>2.4442310593684451E-2</v>
      </c>
      <c r="AL27" s="12">
        <f ca="1">SUM($AH$27:$AK$27)</f>
        <v>-1.3333489662501818</v>
      </c>
      <c r="AM27" s="12">
        <f ca="1">SUMIF($L$4:$AL$4,"SUBTOTAL",$L$27:$AL$27)</f>
        <v>21.064092808370795</v>
      </c>
      <c r="AO27" s="20">
        <f ca="1">+'TUSD BE'!$T$27+'TUSD BE'!$AB$27+'TUSD BE'!$AD$27+'TUSD BE'!$AL$27</f>
        <v>1291.9165105584736</v>
      </c>
      <c r="AP27" s="20">
        <f ca="1">+'TUSD BE'!$T$27+'TUSD BE'!$AB$27+'TUSD BE'!$AD$27+'TUSD BE'!$AL$27</f>
        <v>1291.9165105584736</v>
      </c>
    </row>
    <row r="28" spans="1:42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'TUSD BE'!$L$28*'TUSD BE'!$L$68</f>
        <v>-1.1797299576547233</v>
      </c>
      <c r="M28" s="12">
        <f>'TUSD BE'!$M$28*'TUSD BE'!$M$68</f>
        <v>-1.5533277885650213E-2</v>
      </c>
      <c r="N28" s="12">
        <f ca="1">'TUSD BE'!$N$28*'TUSD BE'!$N$68</f>
        <v>2.2497753087043457E-7</v>
      </c>
      <c r="O28" s="12">
        <f>'TUSD BE'!$O$28*'TUSD BE'!$O$68</f>
        <v>0</v>
      </c>
      <c r="P28" s="12">
        <f>'TUSD BE'!$P$28*'TUSD BE'!$P$68</f>
        <v>0</v>
      </c>
      <c r="Q28" s="12">
        <f>'TUSD BE'!$Q$28*'TUSD BE'!$Q$68</f>
        <v>-1.8226392642330822</v>
      </c>
      <c r="R28" s="12">
        <f>'TUSD BE'!$R$28*'TUSD BE'!$R$68</f>
        <v>-0.278416203295761</v>
      </c>
      <c r="S28" s="12">
        <f>'TUSD BE'!$R$28*'TUSD BE'!$S$68</f>
        <v>0</v>
      </c>
      <c r="T28" s="12">
        <f ca="1">SUM($L$28:$S$28)</f>
        <v>-3.2963184780916861</v>
      </c>
      <c r="U28" s="12">
        <f>'TUSD BE'!$U$28*'TUSD BE'!$U$68</f>
        <v>0</v>
      </c>
      <c r="V28" s="12">
        <f>'TUSD BE'!$V$28*'TUSD BE'!$V$68</f>
        <v>0</v>
      </c>
      <c r="W28" s="12">
        <f>'TUSD BE'!$W$28*'TUSD BE'!$W$68</f>
        <v>0</v>
      </c>
      <c r="X28" s="12">
        <f>'TUSD BE'!$X$28*'TUSD BE'!$X$68</f>
        <v>0</v>
      </c>
      <c r="Y28" s="12">
        <f>'TUSD BE'!$Y$28*'TUSD BE'!$Y$68</f>
        <v>6.4234380519159426</v>
      </c>
      <c r="Z28" s="12">
        <f>'TUSD BE'!$Z$28*'TUSD BE'!$Z$68</f>
        <v>0</v>
      </c>
      <c r="AA28" s="12">
        <f>'TUSD BE'!$AA$28*'TUSD BE'!$AA$68</f>
        <v>0</v>
      </c>
      <c r="AB28" s="12">
        <f>SUM($U$28:$AA$28)</f>
        <v>6.4234380519159426</v>
      </c>
      <c r="AC28" s="12">
        <f>'TUSD BE'!$AC$28*'TUSD BE'!$AC$68</f>
        <v>0</v>
      </c>
      <c r="AD28" s="12">
        <f>SUM($AC$28:$AC$28)</f>
        <v>0</v>
      </c>
      <c r="AE28" s="12">
        <f ca="1">$AO$28*$AO$65</f>
        <v>0</v>
      </c>
      <c r="AF28" s="12">
        <f ca="1">$AP$28*$AP$65</f>
        <v>0</v>
      </c>
      <c r="AG28" s="12">
        <f ca="1">SUM($AE$28:$AF$28)</f>
        <v>0</v>
      </c>
      <c r="AH28" s="12">
        <f>'TUSD BE'!$AH$28*'TUSD BE'!$AH$68</f>
        <v>-1.184925786756859</v>
      </c>
      <c r="AI28" s="12">
        <f>'TUSD BE'!$AI$28*'TUSD BE'!$AI$68</f>
        <v>-4.3545283575530211E-2</v>
      </c>
      <c r="AJ28" s="12">
        <f ca="1">'TUSD BE'!$AJ$28*'TUSD BE'!$AJ$68</f>
        <v>-0.12932020651147716</v>
      </c>
      <c r="AK28" s="12">
        <f ca="1">'TUSD BE'!$AK$28*'TUSD BE'!$AK$68</f>
        <v>2.4442310593684451E-2</v>
      </c>
      <c r="AL28" s="12">
        <f ca="1">SUM($AH$28:$AK$28)</f>
        <v>-1.3333489662501818</v>
      </c>
      <c r="AM28" s="12">
        <f ca="1">SUMIF($L$4:$AL$4,"SUBTOTAL",$L$28:$AL$28)</f>
        <v>1.7937706075740747</v>
      </c>
      <c r="AO28" s="20">
        <f ca="1">+'TUSD BE'!$T$28+'TUSD BE'!$AB$28+'TUSD BE'!$AD$28+'TUSD BE'!$AL$28</f>
        <v>418.69225577908111</v>
      </c>
      <c r="AP28" s="20">
        <f ca="1">+'TUSD BE'!$T$28+'TUSD BE'!$AB$28+'TUSD BE'!$AD$28+'TUSD BE'!$AL$28</f>
        <v>418.69225577908111</v>
      </c>
    </row>
    <row r="29" spans="1:42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'TUSD BE'!$L$29*'TUSD BE'!$L$68</f>
        <v>-1.1797299576547233</v>
      </c>
      <c r="M29" s="12">
        <f>'TUSD BE'!$M$29*'TUSD BE'!$M$68</f>
        <v>-1.5533277885650213E-2</v>
      </c>
      <c r="N29" s="12">
        <f ca="1">'TUSD BE'!$N$29*'TUSD BE'!$N$68</f>
        <v>7.0596159087962717E-8</v>
      </c>
      <c r="O29" s="12">
        <f>'TUSD BE'!$O$29*'TUSD BE'!$O$68</f>
        <v>0</v>
      </c>
      <c r="P29" s="12">
        <f>'TUSD BE'!$P$29*'TUSD BE'!$P$68</f>
        <v>0</v>
      </c>
      <c r="Q29" s="12">
        <f>'TUSD BE'!$Q$29*'TUSD BE'!$Q$68</f>
        <v>-1.8226392642330822</v>
      </c>
      <c r="R29" s="12">
        <f>'TUSD BE'!$R$29*'TUSD BE'!$R$68</f>
        <v>-0.278416203295761</v>
      </c>
      <c r="S29" s="12">
        <f>'TUSD BE'!$R$29*'TUSD BE'!$S$68</f>
        <v>0</v>
      </c>
      <c r="T29" s="12">
        <f ca="1">SUM($L$29:$S$29)</f>
        <v>-3.2963186324730578</v>
      </c>
      <c r="U29" s="12">
        <f>'TUSD BE'!$U$29*'TUSD BE'!$U$68</f>
        <v>0</v>
      </c>
      <c r="V29" s="12">
        <f>'TUSD BE'!$V$29*'TUSD BE'!$V$68</f>
        <v>0</v>
      </c>
      <c r="W29" s="12">
        <f>'TUSD BE'!$W$29*'TUSD BE'!$W$68</f>
        <v>0</v>
      </c>
      <c r="X29" s="12">
        <f>'TUSD BE'!$X$29*'TUSD BE'!$X$68</f>
        <v>0</v>
      </c>
      <c r="Y29" s="12">
        <f>'TUSD BE'!$Y$29*'TUSD BE'!$Y$68</f>
        <v>1.2846876103831886</v>
      </c>
      <c r="Z29" s="12">
        <f>'TUSD BE'!$Z$29*'TUSD BE'!$Z$68</f>
        <v>0</v>
      </c>
      <c r="AA29" s="12">
        <f>'TUSD BE'!$AA$29*'TUSD BE'!$AA$68</f>
        <v>0</v>
      </c>
      <c r="AB29" s="12">
        <f>SUM($U$29:$AA$29)</f>
        <v>1.2846876103831886</v>
      </c>
      <c r="AC29" s="12">
        <f>'TUSD BE'!$AC$29*'TUSD BE'!$AC$68</f>
        <v>0</v>
      </c>
      <c r="AD29" s="12">
        <f>SUM($AC$29:$AC$29)</f>
        <v>0</v>
      </c>
      <c r="AE29" s="12">
        <f ca="1">$AO$29*$AO$65</f>
        <v>0</v>
      </c>
      <c r="AF29" s="12">
        <f ca="1">$AP$29*$AP$65</f>
        <v>0</v>
      </c>
      <c r="AG29" s="12">
        <f ca="1">SUM($AE$29:$AF$29)</f>
        <v>0</v>
      </c>
      <c r="AH29" s="12">
        <f>'TUSD BE'!$AH$29*'TUSD BE'!$AH$68</f>
        <v>-1.184925786756859</v>
      </c>
      <c r="AI29" s="12">
        <f>'TUSD BE'!$AI$29*'TUSD BE'!$AI$68</f>
        <v>-4.3545283575530211E-2</v>
      </c>
      <c r="AJ29" s="12">
        <f ca="1">'TUSD BE'!$AJ$29*'TUSD BE'!$AJ$68</f>
        <v>-0.12932020651147716</v>
      </c>
      <c r="AK29" s="12">
        <f ca="1">'TUSD BE'!$AK$29*'TUSD BE'!$AK$68</f>
        <v>2.4442310593684451E-2</v>
      </c>
      <c r="AL29" s="12">
        <f ca="1">SUM($AH$29:$AK$29)</f>
        <v>-1.3333489662501818</v>
      </c>
      <c r="AM29" s="12">
        <f ca="1">SUMIF($L$4:$AL$4,"SUBTOTAL",$L$29:$AL$29)</f>
        <v>-3.3449799883400511</v>
      </c>
      <c r="AO29" s="20">
        <f ca="1">+'TUSD BE'!$T$29+'TUSD BE'!$AB$29+'TUSD BE'!$AD$29+'TUSD BE'!$AL$29</f>
        <v>185.83240043139136</v>
      </c>
      <c r="AP29" s="20">
        <f ca="1">+'TUSD BE'!$T$29+'TUSD BE'!$AB$29+'TUSD BE'!$AD$29+'TUSD BE'!$AL$29</f>
        <v>185.83240043139136</v>
      </c>
    </row>
    <row r="30" spans="1:42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'TUSD BE'!$L$30*'TUSD BE'!$L$68</f>
        <v>-1.1797299576547233</v>
      </c>
      <c r="M30" s="12">
        <f>'TUSD BE'!$M$30*'TUSD BE'!$M$68</f>
        <v>-1.5533277885650213E-2</v>
      </c>
      <c r="N30" s="12">
        <f ca="1">'TUSD BE'!$N$30*'TUSD BE'!$N$68</f>
        <v>1.7494650332601907E-7</v>
      </c>
      <c r="O30" s="12">
        <f>'TUSD BE'!$O$30*'TUSD BE'!$O$68</f>
        <v>0</v>
      </c>
      <c r="P30" s="12">
        <f>'TUSD BE'!$P$30*'TUSD BE'!$P$68</f>
        <v>0</v>
      </c>
      <c r="Q30" s="12">
        <f>'TUSD BE'!$Q$30*'TUSD BE'!$Q$68</f>
        <v>-1.8226392642330822</v>
      </c>
      <c r="R30" s="12">
        <f>'TUSD BE'!$R$30*'TUSD BE'!$R$68</f>
        <v>-0.278416203295761</v>
      </c>
      <c r="S30" s="12">
        <f>'TUSD BE'!$R$30*'TUSD BE'!$S$68</f>
        <v>0</v>
      </c>
      <c r="T30" s="12">
        <f ca="1">SUM($L$30:$S$30)</f>
        <v>-3.2963185281227134</v>
      </c>
      <c r="U30" s="12">
        <f>'TUSD BE'!$U$30*'TUSD BE'!$U$68</f>
        <v>0</v>
      </c>
      <c r="V30" s="12">
        <f>'TUSD BE'!$V$30*'TUSD BE'!$V$68</f>
        <v>0</v>
      </c>
      <c r="W30" s="12">
        <f>'TUSD BE'!$W$30*'TUSD BE'!$W$68</f>
        <v>0</v>
      </c>
      <c r="X30" s="12">
        <f>'TUSD BE'!$X$30*'TUSD BE'!$X$68</f>
        <v>0</v>
      </c>
      <c r="Y30" s="12">
        <f>'TUSD BE'!$Y$30*'TUSD BE'!$Y$68</f>
        <v>4.7581053024306144</v>
      </c>
      <c r="Z30" s="12">
        <f>'TUSD BE'!$Z$30*'TUSD BE'!$Z$68</f>
        <v>0</v>
      </c>
      <c r="AA30" s="12">
        <f>'TUSD BE'!$AA$30*'TUSD BE'!$AA$68</f>
        <v>0</v>
      </c>
      <c r="AB30" s="12">
        <f>SUM($U$30:$AA$30)</f>
        <v>4.7581053024306144</v>
      </c>
      <c r="AC30" s="12">
        <f>'TUSD BE'!$AC$30*'TUSD BE'!$AC$68</f>
        <v>0</v>
      </c>
      <c r="AD30" s="12">
        <f>SUM($AC$30:$AC$30)</f>
        <v>0</v>
      </c>
      <c r="AE30" s="12">
        <f ca="1">$AO$30*$AO$65</f>
        <v>0</v>
      </c>
      <c r="AF30" s="12">
        <f ca="1">$AP$30*$AP$65</f>
        <v>0</v>
      </c>
      <c r="AG30" s="12">
        <f ca="1">SUM($AE$30:$AF$30)</f>
        <v>0</v>
      </c>
      <c r="AH30" s="12">
        <f>'TUSD BE'!$AH$30*'TUSD BE'!$AH$68</f>
        <v>-1.184925786756859</v>
      </c>
      <c r="AI30" s="12">
        <f>'TUSD BE'!$AI$30*'TUSD BE'!$AI$68</f>
        <v>-4.3545283575530211E-2</v>
      </c>
      <c r="AJ30" s="12">
        <f ca="1">'TUSD BE'!$AJ$30*'TUSD BE'!$AJ$68</f>
        <v>-0.12932020651147716</v>
      </c>
      <c r="AK30" s="12">
        <f ca="1">'TUSD BE'!$AK$30*'TUSD BE'!$AK$68</f>
        <v>2.4442310593684451E-2</v>
      </c>
      <c r="AL30" s="12">
        <f ca="1">SUM($AH$30:$AK$30)</f>
        <v>-1.3333489662501818</v>
      </c>
      <c r="AM30" s="12">
        <f ca="1">SUMIF($L$4:$AL$4,"SUBTOTAL",$L$30:$AL$30)</f>
        <v>0.12843780805771909</v>
      </c>
      <c r="AO30" s="20">
        <f ca="1">+'TUSD BE'!$T$30+'TUSD BE'!$AB$30+'TUSD BE'!$AD$30+'TUSD BE'!$AL$30</f>
        <v>343.22837518745104</v>
      </c>
      <c r="AP30" s="20">
        <f ca="1">+'TUSD BE'!$T$30+'TUSD BE'!$AB$30+'TUSD BE'!$AD$30+'TUSD BE'!$AL$30</f>
        <v>343.22837518745104</v>
      </c>
    </row>
    <row r="31" spans="1:42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f>'TUSD BE'!$L$31*'TUSD BE'!$L$68</f>
        <v>0</v>
      </c>
      <c r="M31" s="12">
        <f>'TUSD BE'!$M$31*'TUSD BE'!$M$68</f>
        <v>-1.5533277885650213E-2</v>
      </c>
      <c r="N31" s="12">
        <f ca="1">'TUSD BE'!$N$31*'TUSD BE'!$N$68</f>
        <v>1.7414585187918835E-7</v>
      </c>
      <c r="O31" s="12">
        <f>'TUSD BE'!$O$31*'TUSD BE'!$O$68</f>
        <v>0</v>
      </c>
      <c r="P31" s="12">
        <f>'TUSD BE'!$P$31*'TUSD BE'!$P$68</f>
        <v>0</v>
      </c>
      <c r="Q31" s="12">
        <f>'TUSD BE'!$Q$31*'TUSD BE'!$Q$68</f>
        <v>0</v>
      </c>
      <c r="R31" s="12">
        <f>'TUSD BE'!$R$31*'TUSD BE'!$R$68</f>
        <v>0</v>
      </c>
      <c r="S31" s="12">
        <f>'TUSD BE'!$R$31*'TUSD BE'!$S$68</f>
        <v>0</v>
      </c>
      <c r="T31" s="12">
        <f ca="1">SUM($L$31:$S$31)</f>
        <v>-1.5533103739798333E-2</v>
      </c>
      <c r="U31" s="12">
        <f>'TUSD BE'!$U$31*'TUSD BE'!$U$68</f>
        <v>0</v>
      </c>
      <c r="V31" s="12">
        <f>'TUSD BE'!$V$31*'TUSD BE'!$V$68</f>
        <v>0</v>
      </c>
      <c r="W31" s="12">
        <f>'TUSD BE'!$W$31*'TUSD BE'!$W$68</f>
        <v>0</v>
      </c>
      <c r="X31" s="12">
        <f>'TUSD BE'!$X$31*'TUSD BE'!$X$68</f>
        <v>0</v>
      </c>
      <c r="Y31" s="12">
        <f>'TUSD BE'!$Y$31*'TUSD BE'!$Y$68</f>
        <v>4.7581053024306144</v>
      </c>
      <c r="Z31" s="12">
        <f>'TUSD BE'!$Z$31*'TUSD BE'!$Z$68</f>
        <v>0</v>
      </c>
      <c r="AA31" s="12">
        <f>'TUSD BE'!$AA$31*'TUSD BE'!$AA$68</f>
        <v>0</v>
      </c>
      <c r="AB31" s="12">
        <f>SUM($U$31:$AA$31)</f>
        <v>4.7581053024306144</v>
      </c>
      <c r="AC31" s="12">
        <f>'TUSD BE'!$AC$31*'TUSD BE'!$AC$68</f>
        <v>0</v>
      </c>
      <c r="AD31" s="12">
        <f>SUM($AC$31:$AC$31)</f>
        <v>0</v>
      </c>
      <c r="AE31" s="12">
        <f ca="1">$AO$31*$AO$65</f>
        <v>0</v>
      </c>
      <c r="AF31" s="12">
        <f ca="1">$AP$31*$AP$65</f>
        <v>0</v>
      </c>
      <c r="AG31" s="12">
        <f ca="1">SUM($AE$31:$AF$31)</f>
        <v>0</v>
      </c>
      <c r="AH31" s="12">
        <f>'TUSD BE'!$AH$31*'TUSD BE'!$AH$68</f>
        <v>-1.184925786756859</v>
      </c>
      <c r="AI31" s="12">
        <f>'TUSD BE'!$AI$31*'TUSD BE'!$AI$68</f>
        <v>-4.3545283575530211E-2</v>
      </c>
      <c r="AJ31" s="12">
        <f ca="1">'TUSD BE'!$AJ$31*'TUSD BE'!$AJ$68</f>
        <v>-0.12932020651147716</v>
      </c>
      <c r="AK31" s="12">
        <f ca="1">'TUSD BE'!$AK$31*'TUSD BE'!$AK$68</f>
        <v>2.4442310593684451E-2</v>
      </c>
      <c r="AL31" s="12">
        <f ca="1">SUM($AH$31:$AK$31)</f>
        <v>-1.3333489662501818</v>
      </c>
      <c r="AM31" s="12">
        <f ca="1">SUMIF($L$4:$AL$4,"SUBTOTAL",$L$31:$AL$31)</f>
        <v>3.4092232324406337</v>
      </c>
      <c r="AO31" s="20">
        <f ca="1">+'TUSD BE'!$T$31+'TUSD BE'!$AB$31+'TUSD BE'!$AD$31+'TUSD BE'!$AL$31</f>
        <v>236.03149481501984</v>
      </c>
      <c r="AP31" s="20">
        <f ca="1">+'TUSD BE'!$T$31+'TUSD BE'!$AB$31+'TUSD BE'!$AD$31+'TUSD BE'!$AL$31</f>
        <v>236.03149481501984</v>
      </c>
    </row>
    <row r="32" spans="1:42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f>'TUSD BE'!$L$32*'TUSD BE'!$L$68</f>
        <v>0</v>
      </c>
      <c r="M32" s="12">
        <f>'TUSD BE'!$M$32*'TUSD BE'!$M$68</f>
        <v>-1.5533277885650213E-2</v>
      </c>
      <c r="N32" s="12">
        <f ca="1">'TUSD BE'!$N$32*'TUSD BE'!$N$68</f>
        <v>1.7414585187918835E-7</v>
      </c>
      <c r="O32" s="12">
        <f>'TUSD BE'!$O$32*'TUSD BE'!$O$68</f>
        <v>0</v>
      </c>
      <c r="P32" s="12">
        <f>'TUSD BE'!$P$32*'TUSD BE'!$P$68</f>
        <v>0</v>
      </c>
      <c r="Q32" s="12">
        <f>'TUSD BE'!$Q$32*'TUSD BE'!$Q$68</f>
        <v>0</v>
      </c>
      <c r="R32" s="12">
        <f>'TUSD BE'!$R$32*'TUSD BE'!$R$68</f>
        <v>0</v>
      </c>
      <c r="S32" s="12">
        <f>'TUSD BE'!$R$32*'TUSD BE'!$S$68</f>
        <v>0</v>
      </c>
      <c r="T32" s="12">
        <f ca="1">SUM($L$32:$S$32)</f>
        <v>-1.5533103739798333E-2</v>
      </c>
      <c r="U32" s="12">
        <f>'TUSD BE'!$U$32*'TUSD BE'!$U$68</f>
        <v>0</v>
      </c>
      <c r="V32" s="12">
        <f>'TUSD BE'!$V$32*'TUSD BE'!$V$68</f>
        <v>0</v>
      </c>
      <c r="W32" s="12">
        <f>'TUSD BE'!$W$32*'TUSD BE'!$W$68</f>
        <v>0</v>
      </c>
      <c r="X32" s="12">
        <f>'TUSD BE'!$X$32*'TUSD BE'!$X$68</f>
        <v>0</v>
      </c>
      <c r="Y32" s="12">
        <f>'TUSD BE'!$Y$32*'TUSD BE'!$Y$68</f>
        <v>4.7581053024306144</v>
      </c>
      <c r="Z32" s="12">
        <f>'TUSD BE'!$Z$32*'TUSD BE'!$Z$68</f>
        <v>0</v>
      </c>
      <c r="AA32" s="12">
        <f>'TUSD BE'!$AA$32*'TUSD BE'!$AA$68</f>
        <v>0</v>
      </c>
      <c r="AB32" s="12">
        <f>SUM($U$32:$AA$32)</f>
        <v>4.7581053024306144</v>
      </c>
      <c r="AC32" s="12">
        <f>'TUSD BE'!$AC$32*'TUSD BE'!$AC$68</f>
        <v>0</v>
      </c>
      <c r="AD32" s="12">
        <f>SUM($AC$32:$AC$32)</f>
        <v>0</v>
      </c>
      <c r="AE32" s="12">
        <f ca="1">$AO$32*$AO$65</f>
        <v>0</v>
      </c>
      <c r="AF32" s="12">
        <f ca="1">$AP$32*$AP$65</f>
        <v>0</v>
      </c>
      <c r="AG32" s="12">
        <f ca="1">SUM($AE$32:$AF$32)</f>
        <v>0</v>
      </c>
      <c r="AH32" s="12">
        <f>'TUSD BE'!$AH$32*'TUSD BE'!$AH$68</f>
        <v>-1.184925786756859</v>
      </c>
      <c r="AI32" s="12">
        <f>'TUSD BE'!$AI$32*'TUSD BE'!$AI$68</f>
        <v>-4.3545283575530211E-2</v>
      </c>
      <c r="AJ32" s="12">
        <f ca="1">'TUSD BE'!$AJ$32*'TUSD BE'!$AJ$68</f>
        <v>-0.12932020651147716</v>
      </c>
      <c r="AK32" s="12">
        <f ca="1">'TUSD BE'!$AK$32*'TUSD BE'!$AK$68</f>
        <v>2.4442310593684451E-2</v>
      </c>
      <c r="AL32" s="12">
        <f ca="1">SUM($AH$32:$AK$32)</f>
        <v>-1.3333489662501818</v>
      </c>
      <c r="AM32" s="12">
        <f ca="1">SUMIF($L$4:$AL$4,"SUBTOTAL",$L$32:$AL$32)</f>
        <v>3.4092232324406337</v>
      </c>
      <c r="AO32" s="20">
        <f ca="1">+'TUSD BE'!$T$32+'TUSD BE'!$AB$32+'TUSD BE'!$AD$32+'TUSD BE'!$AL$32</f>
        <v>236.03149481501984</v>
      </c>
      <c r="AP32" s="20">
        <f ca="1">+'TUSD BE'!$T$32+'TUSD BE'!$AB$32+'TUSD BE'!$AD$32+'TUSD BE'!$AL$32</f>
        <v>236.03149481501984</v>
      </c>
    </row>
    <row r="33" spans="1:42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f>'TUSD BE'!$L$33*'TUSD BE'!$L$68</f>
        <v>0</v>
      </c>
      <c r="M33" s="12">
        <f>'TUSD BE'!$M$33*'TUSD BE'!$M$68</f>
        <v>-1.5533277885650213E-2</v>
      </c>
      <c r="N33" s="12">
        <f ca="1">'TUSD BE'!$N$33*'TUSD BE'!$N$68</f>
        <v>1.7414585187918835E-7</v>
      </c>
      <c r="O33" s="12">
        <f>'TUSD BE'!$O$33*'TUSD BE'!$O$68</f>
        <v>0</v>
      </c>
      <c r="P33" s="12">
        <f>'TUSD BE'!$P$33*'TUSD BE'!$P$68</f>
        <v>0</v>
      </c>
      <c r="Q33" s="12">
        <f>'TUSD BE'!$Q$33*'TUSD BE'!$Q$68</f>
        <v>0</v>
      </c>
      <c r="R33" s="12">
        <f>'TUSD BE'!$R$33*'TUSD BE'!$R$68</f>
        <v>0</v>
      </c>
      <c r="S33" s="12">
        <f>'TUSD BE'!$R$33*'TUSD BE'!$S$68</f>
        <v>0</v>
      </c>
      <c r="T33" s="12">
        <f ca="1">SUM($L$33:$S$33)</f>
        <v>-1.5533103739798333E-2</v>
      </c>
      <c r="U33" s="12">
        <f>'TUSD BE'!$U$33*'TUSD BE'!$U$68</f>
        <v>0</v>
      </c>
      <c r="V33" s="12">
        <f>'TUSD BE'!$V$33*'TUSD BE'!$V$68</f>
        <v>0</v>
      </c>
      <c r="W33" s="12">
        <f>'TUSD BE'!$W$33*'TUSD BE'!$W$68</f>
        <v>0</v>
      </c>
      <c r="X33" s="12">
        <f>'TUSD BE'!$X$33*'TUSD BE'!$X$68</f>
        <v>0</v>
      </c>
      <c r="Y33" s="12">
        <f>'TUSD BE'!$Y$33*'TUSD BE'!$Y$68</f>
        <v>4.7581053024306144</v>
      </c>
      <c r="Z33" s="12">
        <f>'TUSD BE'!$Z$33*'TUSD BE'!$Z$68</f>
        <v>0</v>
      </c>
      <c r="AA33" s="12">
        <f>'TUSD BE'!$AA$33*'TUSD BE'!$AA$68</f>
        <v>0</v>
      </c>
      <c r="AB33" s="12">
        <f>SUM($U$33:$AA$33)</f>
        <v>4.7581053024306144</v>
      </c>
      <c r="AC33" s="12">
        <f>'TUSD BE'!$AC$33*'TUSD BE'!$AC$68</f>
        <v>0</v>
      </c>
      <c r="AD33" s="12">
        <f>SUM($AC$33:$AC$33)</f>
        <v>0</v>
      </c>
      <c r="AE33" s="12">
        <f ca="1">$AO$33*$AO$65</f>
        <v>0</v>
      </c>
      <c r="AF33" s="12">
        <f ca="1">$AP$33*$AP$65</f>
        <v>0</v>
      </c>
      <c r="AG33" s="12">
        <f ca="1">SUM($AE$33:$AF$33)</f>
        <v>0</v>
      </c>
      <c r="AH33" s="12">
        <f>'TUSD BE'!$AH$33*'TUSD BE'!$AH$68</f>
        <v>-1.184925786756859</v>
      </c>
      <c r="AI33" s="12">
        <f>'TUSD BE'!$AI$33*'TUSD BE'!$AI$68</f>
        <v>-4.3545283575530211E-2</v>
      </c>
      <c r="AJ33" s="12">
        <f ca="1">'TUSD BE'!$AJ$33*'TUSD BE'!$AJ$68</f>
        <v>-0.12932020651147716</v>
      </c>
      <c r="AK33" s="12">
        <f ca="1">'TUSD BE'!$AK$33*'TUSD BE'!$AK$68</f>
        <v>2.4442310593684451E-2</v>
      </c>
      <c r="AL33" s="12">
        <f ca="1">SUM($AH$33:$AK$33)</f>
        <v>-1.3333489662501818</v>
      </c>
      <c r="AM33" s="12">
        <f ca="1">SUMIF($L$4:$AL$4,"SUBTOTAL",$L$33:$AL$33)</f>
        <v>3.4092232324406337</v>
      </c>
      <c r="AO33" s="20">
        <f ca="1">+'TUSD BE'!$T$33+'TUSD BE'!$AB$33+'TUSD BE'!$AD$33+'TUSD BE'!$AL$33</f>
        <v>236.03149481501984</v>
      </c>
      <c r="AP33" s="20">
        <f ca="1">+'TUSD BE'!$T$33+'TUSD BE'!$AB$33+'TUSD BE'!$AD$33+'TUSD BE'!$AL$33</f>
        <v>236.03149481501984</v>
      </c>
    </row>
    <row r="34" spans="1:42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f>'TUSD BE'!$L$34*'TUSD BE'!$L$68</f>
        <v>0</v>
      </c>
      <c r="M34" s="12">
        <f>'TUSD BE'!$M$34*'TUSD BE'!$M$68</f>
        <v>-1.5533277885650213E-2</v>
      </c>
      <c r="N34" s="12">
        <f ca="1">'TUSD BE'!$N$34*'TUSD BE'!$N$68</f>
        <v>1.7414585187918835E-7</v>
      </c>
      <c r="O34" s="12">
        <f>'TUSD BE'!$O$34*'TUSD BE'!$O$68</f>
        <v>0</v>
      </c>
      <c r="P34" s="12">
        <f>'TUSD BE'!$P$34*'TUSD BE'!$P$68</f>
        <v>0</v>
      </c>
      <c r="Q34" s="12">
        <f>'TUSD BE'!$Q$34*'TUSD BE'!$Q$68</f>
        <v>0</v>
      </c>
      <c r="R34" s="12">
        <f>'TUSD BE'!$R$34*'TUSD BE'!$R$68</f>
        <v>0</v>
      </c>
      <c r="S34" s="12">
        <f>'TUSD BE'!$R$34*'TUSD BE'!$S$68</f>
        <v>0</v>
      </c>
      <c r="T34" s="12">
        <f ca="1">SUM($L$34:$S$34)</f>
        <v>-1.5533103739798333E-2</v>
      </c>
      <c r="U34" s="12">
        <f>'TUSD BE'!$U$34*'TUSD BE'!$U$68</f>
        <v>0</v>
      </c>
      <c r="V34" s="12">
        <f>'TUSD BE'!$V$34*'TUSD BE'!$V$68</f>
        <v>0</v>
      </c>
      <c r="W34" s="12">
        <f>'TUSD BE'!$W$34*'TUSD BE'!$W$68</f>
        <v>0</v>
      </c>
      <c r="X34" s="12">
        <f>'TUSD BE'!$X$34*'TUSD BE'!$X$68</f>
        <v>0</v>
      </c>
      <c r="Y34" s="12">
        <f>'TUSD BE'!$Y$34*'TUSD BE'!$Y$68</f>
        <v>4.7581053024306144</v>
      </c>
      <c r="Z34" s="12">
        <f>'TUSD BE'!$Z$34*'TUSD BE'!$Z$68</f>
        <v>0</v>
      </c>
      <c r="AA34" s="12">
        <f>'TUSD BE'!$AA$34*'TUSD BE'!$AA$68</f>
        <v>0</v>
      </c>
      <c r="AB34" s="12">
        <f>SUM($U$34:$AA$34)</f>
        <v>4.7581053024306144</v>
      </c>
      <c r="AC34" s="12">
        <f>'TUSD BE'!$AC$34*'TUSD BE'!$AC$68</f>
        <v>0</v>
      </c>
      <c r="AD34" s="12">
        <f>SUM($AC$34:$AC$34)</f>
        <v>0</v>
      </c>
      <c r="AE34" s="12">
        <f ca="1">$AO$34*$AO$65</f>
        <v>0</v>
      </c>
      <c r="AF34" s="12">
        <f ca="1">$AP$34*$AP$65</f>
        <v>0</v>
      </c>
      <c r="AG34" s="12">
        <f ca="1">SUM($AE$34:$AF$34)</f>
        <v>0</v>
      </c>
      <c r="AH34" s="12">
        <f>'TUSD BE'!$AH$34*'TUSD BE'!$AH$68</f>
        <v>-1.184925786756859</v>
      </c>
      <c r="AI34" s="12">
        <f>'TUSD BE'!$AI$34*'TUSD BE'!$AI$68</f>
        <v>-4.3545283575530211E-2</v>
      </c>
      <c r="AJ34" s="12">
        <f ca="1">'TUSD BE'!$AJ$34*'TUSD BE'!$AJ$68</f>
        <v>-0.12932020651147716</v>
      </c>
      <c r="AK34" s="12">
        <f ca="1">'TUSD BE'!$AK$34*'TUSD BE'!$AK$68</f>
        <v>2.4442310593684451E-2</v>
      </c>
      <c r="AL34" s="12">
        <f ca="1">SUM($AH$34:$AK$34)</f>
        <v>-1.3333489662501818</v>
      </c>
      <c r="AM34" s="12">
        <f ca="1">SUMIF($L$4:$AL$4,"SUBTOTAL",$L$34:$AL$34)</f>
        <v>3.4092232324406337</v>
      </c>
      <c r="AO34" s="20">
        <f ca="1">+'TUSD BE'!$T$34+'TUSD BE'!$AB$34+'TUSD BE'!$AD$34+'TUSD BE'!$AL$34</f>
        <v>236.03149481501984</v>
      </c>
      <c r="AP34" s="20">
        <f ca="1">+'TUSD BE'!$T$34+'TUSD BE'!$AB$34+'TUSD BE'!$AD$34+'TUSD BE'!$AL$34</f>
        <v>236.03149481501984</v>
      </c>
    </row>
    <row r="35" spans="1:42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'TUSD BE'!$L$35*'TUSD BE'!$L$68</f>
        <v>-1.1797299576547233</v>
      </c>
      <c r="M35" s="12">
        <f>'TUSD BE'!$M$35*'TUSD BE'!$M$68</f>
        <v>-1.5533277885650213E-2</v>
      </c>
      <c r="N35" s="12">
        <f ca="1">'TUSD BE'!$N$35*'TUSD BE'!$N$68</f>
        <v>1.7494650332601907E-7</v>
      </c>
      <c r="O35" s="12">
        <f>'TUSD BE'!$O$35*'TUSD BE'!$O$68</f>
        <v>0</v>
      </c>
      <c r="P35" s="12">
        <f>'TUSD BE'!$P$35*'TUSD BE'!$P$68</f>
        <v>0</v>
      </c>
      <c r="Q35" s="12">
        <f>'TUSD BE'!$Q$35*'TUSD BE'!$Q$68</f>
        <v>-1.8226392642330822</v>
      </c>
      <c r="R35" s="12">
        <f>'TUSD BE'!$R$35*'TUSD BE'!$R$68</f>
        <v>-0.278416203295761</v>
      </c>
      <c r="S35" s="12">
        <f>'TUSD BE'!$R$35*'TUSD BE'!$S$68</f>
        <v>0</v>
      </c>
      <c r="T35" s="12">
        <f ca="1">SUM($L$35:$S$35)</f>
        <v>-3.2963185281227134</v>
      </c>
      <c r="U35" s="12">
        <f>'TUSD BE'!$U$35*'TUSD BE'!$U$68</f>
        <v>0</v>
      </c>
      <c r="V35" s="12">
        <f>'TUSD BE'!$V$35*'TUSD BE'!$V$68</f>
        <v>0</v>
      </c>
      <c r="W35" s="12">
        <f>'TUSD BE'!$W$35*'TUSD BE'!$W$68</f>
        <v>0</v>
      </c>
      <c r="X35" s="12">
        <f>'TUSD BE'!$X$35*'TUSD BE'!$X$68</f>
        <v>0</v>
      </c>
      <c r="Y35" s="12">
        <f>'TUSD BE'!$Y$35*'TUSD BE'!$Y$68</f>
        <v>4.7581053024306144</v>
      </c>
      <c r="Z35" s="12">
        <f>'TUSD BE'!$Z$35*'TUSD BE'!$Z$68</f>
        <v>0</v>
      </c>
      <c r="AA35" s="12">
        <f>'TUSD BE'!$AA$35*'TUSD BE'!$AA$68</f>
        <v>0</v>
      </c>
      <c r="AB35" s="12">
        <f>SUM($U$35:$AA$35)</f>
        <v>4.7581053024306144</v>
      </c>
      <c r="AC35" s="12">
        <f>'TUSD BE'!$AC$35*'TUSD BE'!$AC$68</f>
        <v>0</v>
      </c>
      <c r="AD35" s="12">
        <f>SUM($AC$35:$AC$35)</f>
        <v>0</v>
      </c>
      <c r="AE35" s="12">
        <f ca="1">$AO$35*$AO$65</f>
        <v>0</v>
      </c>
      <c r="AF35" s="12">
        <f ca="1">$AP$35*$AP$65</f>
        <v>0</v>
      </c>
      <c r="AG35" s="12">
        <f ca="1">SUM($AE$35:$AF$35)</f>
        <v>0</v>
      </c>
      <c r="AH35" s="12">
        <f>'TUSD BE'!$AH$35*'TUSD BE'!$AH$68</f>
        <v>-1.184925786756859</v>
      </c>
      <c r="AI35" s="12">
        <f>'TUSD BE'!$AI$35*'TUSD BE'!$AI$68</f>
        <v>-4.3545283575530211E-2</v>
      </c>
      <c r="AJ35" s="12">
        <f ca="1">'TUSD BE'!$AJ$35*'TUSD BE'!$AJ$68</f>
        <v>-0.12932020651147716</v>
      </c>
      <c r="AK35" s="12">
        <f ca="1">'TUSD BE'!$AK$35*'TUSD BE'!$AK$68</f>
        <v>2.4442310593684451E-2</v>
      </c>
      <c r="AL35" s="12">
        <f ca="1">SUM($AH$35:$AK$35)</f>
        <v>-1.3333489662501818</v>
      </c>
      <c r="AM35" s="12">
        <f ca="1">SUMIF($L$4:$AL$4,"SUBTOTAL",$L$35:$AL$35)</f>
        <v>0.12843780805771909</v>
      </c>
      <c r="AO35" s="20">
        <f ca="1">+'TUSD BE'!$T$35+'TUSD BE'!$AB$35+'TUSD BE'!$AD$35+'TUSD BE'!$AL$35</f>
        <v>343.22837518745104</v>
      </c>
      <c r="AP35" s="20">
        <f ca="1">+'TUSD BE'!$T$35+'TUSD BE'!$AB$35+'TUSD BE'!$AD$35+'TUSD BE'!$AL$35</f>
        <v>343.22837518745104</v>
      </c>
    </row>
    <row r="36" spans="1:42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f>'TUSD BE'!$L$36*'TUSD BE'!$L$68</f>
        <v>0</v>
      </c>
      <c r="M36" s="12">
        <f>'TUSD BE'!$M$36*'TUSD BE'!$M$68</f>
        <v>-1.5533277885650213E-2</v>
      </c>
      <c r="N36" s="12">
        <f ca="1">'TUSD BE'!$N$36*'TUSD BE'!$N$68</f>
        <v>1.7414585187918835E-7</v>
      </c>
      <c r="O36" s="12">
        <f>'TUSD BE'!$O$36*'TUSD BE'!$O$68</f>
        <v>0</v>
      </c>
      <c r="P36" s="12">
        <f>'TUSD BE'!$P$36*'TUSD BE'!$P$68</f>
        <v>0</v>
      </c>
      <c r="Q36" s="12">
        <f>'TUSD BE'!$Q$36*'TUSD BE'!$Q$68</f>
        <v>0</v>
      </c>
      <c r="R36" s="12">
        <f>'TUSD BE'!$R$36*'TUSD BE'!$R$68</f>
        <v>0</v>
      </c>
      <c r="S36" s="12">
        <f>'TUSD BE'!$R$36*'TUSD BE'!$S$68</f>
        <v>0</v>
      </c>
      <c r="T36" s="12">
        <f ca="1">SUM($L$36:$S$36)</f>
        <v>-1.5533103739798333E-2</v>
      </c>
      <c r="U36" s="12">
        <f>'TUSD BE'!$U$36*'TUSD BE'!$U$68</f>
        <v>0</v>
      </c>
      <c r="V36" s="12">
        <f>'TUSD BE'!$V$36*'TUSD BE'!$V$68</f>
        <v>0</v>
      </c>
      <c r="W36" s="12">
        <f>'TUSD BE'!$W$36*'TUSD BE'!$W$68</f>
        <v>0</v>
      </c>
      <c r="X36" s="12">
        <f>'TUSD BE'!$X$36*'TUSD BE'!$X$68</f>
        <v>0</v>
      </c>
      <c r="Y36" s="12">
        <f>'TUSD BE'!$Y$36*'TUSD BE'!$Y$68</f>
        <v>4.7581053024306144</v>
      </c>
      <c r="Z36" s="12">
        <f>'TUSD BE'!$Z$36*'TUSD BE'!$Z$68</f>
        <v>0</v>
      </c>
      <c r="AA36" s="12">
        <f>'TUSD BE'!$AA$36*'TUSD BE'!$AA$68</f>
        <v>0</v>
      </c>
      <c r="AB36" s="12">
        <f>SUM($U$36:$AA$36)</f>
        <v>4.7581053024306144</v>
      </c>
      <c r="AC36" s="12">
        <f>'TUSD BE'!$AC$36*'TUSD BE'!$AC$68</f>
        <v>0</v>
      </c>
      <c r="AD36" s="12">
        <f>SUM($AC$36:$AC$36)</f>
        <v>0</v>
      </c>
      <c r="AE36" s="12">
        <f ca="1">$AO$36*$AO$65</f>
        <v>0</v>
      </c>
      <c r="AF36" s="12">
        <f ca="1">$AP$36*$AP$65</f>
        <v>0</v>
      </c>
      <c r="AG36" s="12">
        <f ca="1">SUM($AE$36:$AF$36)</f>
        <v>0</v>
      </c>
      <c r="AH36" s="12">
        <f>'TUSD BE'!$AH$36*'TUSD BE'!$AH$68</f>
        <v>-1.184925786756859</v>
      </c>
      <c r="AI36" s="12">
        <f>'TUSD BE'!$AI$36*'TUSD BE'!$AI$68</f>
        <v>-4.3545283575530211E-2</v>
      </c>
      <c r="AJ36" s="12">
        <f ca="1">'TUSD BE'!$AJ$36*'TUSD BE'!$AJ$68</f>
        <v>-0.12932020651147716</v>
      </c>
      <c r="AK36" s="12">
        <f ca="1">'TUSD BE'!$AK$36*'TUSD BE'!$AK$68</f>
        <v>2.4442310593684451E-2</v>
      </c>
      <c r="AL36" s="12">
        <f ca="1">SUM($AH$36:$AK$36)</f>
        <v>-1.3333489662501818</v>
      </c>
      <c r="AM36" s="12">
        <f ca="1">SUMIF($L$4:$AL$4,"SUBTOTAL",$L$36:$AL$36)</f>
        <v>3.4092232324406337</v>
      </c>
      <c r="AO36" s="20">
        <f ca="1">+'TUSD BE'!$T$36+'TUSD BE'!$AB$36+'TUSD BE'!$AD$36+'TUSD BE'!$AL$36</f>
        <v>236.03149481501984</v>
      </c>
      <c r="AP36" s="20">
        <f ca="1">+'TUSD BE'!$T$36+'TUSD BE'!$AB$36+'TUSD BE'!$AD$36+'TUSD BE'!$AL$36</f>
        <v>236.03149481501984</v>
      </c>
    </row>
    <row r="37" spans="1:42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f>'TUSD BE'!$L$37*'TUSD BE'!$L$68</f>
        <v>0</v>
      </c>
      <c r="M37" s="12">
        <f>'TUSD BE'!$M$37*'TUSD BE'!$M$68</f>
        <v>-1.5533277885650213E-2</v>
      </c>
      <c r="N37" s="12">
        <f ca="1">'TUSD BE'!$N$37*'TUSD BE'!$N$68</f>
        <v>1.7414585187918835E-7</v>
      </c>
      <c r="O37" s="12">
        <f>'TUSD BE'!$O$37*'TUSD BE'!$O$68</f>
        <v>0</v>
      </c>
      <c r="P37" s="12">
        <f>'TUSD BE'!$P$37*'TUSD BE'!$P$68</f>
        <v>0</v>
      </c>
      <c r="Q37" s="12">
        <f>'TUSD BE'!$Q$37*'TUSD BE'!$Q$68</f>
        <v>0</v>
      </c>
      <c r="R37" s="12">
        <f>'TUSD BE'!$R$37*'TUSD BE'!$R$68</f>
        <v>0</v>
      </c>
      <c r="S37" s="12">
        <f>'TUSD BE'!$R$37*'TUSD BE'!$S$68</f>
        <v>0</v>
      </c>
      <c r="T37" s="12">
        <f ca="1">SUM($L$37:$S$37)</f>
        <v>-1.5533103739798333E-2</v>
      </c>
      <c r="U37" s="12">
        <f>'TUSD BE'!$U$37*'TUSD BE'!$U$68</f>
        <v>0</v>
      </c>
      <c r="V37" s="12">
        <f>'TUSD BE'!$V$37*'TUSD BE'!$V$68</f>
        <v>0</v>
      </c>
      <c r="W37" s="12">
        <f>'TUSD BE'!$W$37*'TUSD BE'!$W$68</f>
        <v>0</v>
      </c>
      <c r="X37" s="12">
        <f>'TUSD BE'!$X$37*'TUSD BE'!$X$68</f>
        <v>0</v>
      </c>
      <c r="Y37" s="12">
        <f>'TUSD BE'!$Y$37*'TUSD BE'!$Y$68</f>
        <v>4.7581053024306144</v>
      </c>
      <c r="Z37" s="12">
        <f>'TUSD BE'!$Z$37*'TUSD BE'!$Z$68</f>
        <v>0</v>
      </c>
      <c r="AA37" s="12">
        <f>'TUSD BE'!$AA$37*'TUSD BE'!$AA$68</f>
        <v>0</v>
      </c>
      <c r="AB37" s="12">
        <f>SUM($U$37:$AA$37)</f>
        <v>4.7581053024306144</v>
      </c>
      <c r="AC37" s="12">
        <f>'TUSD BE'!$AC$37*'TUSD BE'!$AC$68</f>
        <v>0</v>
      </c>
      <c r="AD37" s="12">
        <f>SUM($AC$37:$AC$37)</f>
        <v>0</v>
      </c>
      <c r="AE37" s="12">
        <f ca="1">$AO$37*$AO$65</f>
        <v>0</v>
      </c>
      <c r="AF37" s="12">
        <f ca="1">$AP$37*$AP$65</f>
        <v>0</v>
      </c>
      <c r="AG37" s="12">
        <f ca="1">SUM($AE$37:$AF$37)</f>
        <v>0</v>
      </c>
      <c r="AH37" s="12">
        <f>'TUSD BE'!$AH$37*'TUSD BE'!$AH$68</f>
        <v>-1.184925786756859</v>
      </c>
      <c r="AI37" s="12">
        <f>'TUSD BE'!$AI$37*'TUSD BE'!$AI$68</f>
        <v>-4.3545283575530211E-2</v>
      </c>
      <c r="AJ37" s="12">
        <f ca="1">'TUSD BE'!$AJ$37*'TUSD BE'!$AJ$68</f>
        <v>-0.12932020651147716</v>
      </c>
      <c r="AK37" s="12">
        <f ca="1">'TUSD BE'!$AK$37*'TUSD BE'!$AK$68</f>
        <v>2.4442310593684451E-2</v>
      </c>
      <c r="AL37" s="12">
        <f ca="1">SUM($AH$37:$AK$37)</f>
        <v>-1.3333489662501818</v>
      </c>
      <c r="AM37" s="12">
        <f ca="1">SUMIF($L$4:$AL$4,"SUBTOTAL",$L$37:$AL$37)</f>
        <v>3.4092232324406337</v>
      </c>
      <c r="AO37" s="20">
        <f ca="1">+'TUSD BE'!$T$37+'TUSD BE'!$AB$37+'TUSD BE'!$AD$37+'TUSD BE'!$AL$37</f>
        <v>236.03149481501984</v>
      </c>
      <c r="AP37" s="20">
        <f ca="1">+'TUSD BE'!$T$37+'TUSD BE'!$AB$37+'TUSD BE'!$AD$37+'TUSD BE'!$AL$37</f>
        <v>236.03149481501984</v>
      </c>
    </row>
    <row r="38" spans="1:42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f>'TUSD BE'!$L$38*'TUSD BE'!$L$68</f>
        <v>0</v>
      </c>
      <c r="M38" s="12">
        <f>'TUSD BE'!$M$38*'TUSD BE'!$M$68</f>
        <v>-1.5533277885650213E-2</v>
      </c>
      <c r="N38" s="12">
        <f ca="1">'TUSD BE'!$N$38*'TUSD BE'!$N$68</f>
        <v>1.7414585187918835E-7</v>
      </c>
      <c r="O38" s="12">
        <f>'TUSD BE'!$O$38*'TUSD BE'!$O$68</f>
        <v>0</v>
      </c>
      <c r="P38" s="12">
        <f>'TUSD BE'!$P$38*'TUSD BE'!$P$68</f>
        <v>0</v>
      </c>
      <c r="Q38" s="12">
        <f>'TUSD BE'!$Q$38*'TUSD BE'!$Q$68</f>
        <v>0</v>
      </c>
      <c r="R38" s="12">
        <f>'TUSD BE'!$R$38*'TUSD BE'!$R$68</f>
        <v>0</v>
      </c>
      <c r="S38" s="12">
        <f>'TUSD BE'!$R$38*'TUSD BE'!$S$68</f>
        <v>0</v>
      </c>
      <c r="T38" s="12">
        <f ca="1">SUM($L$38:$S$38)</f>
        <v>-1.5533103739798333E-2</v>
      </c>
      <c r="U38" s="12">
        <f>'TUSD BE'!$U$38*'TUSD BE'!$U$68</f>
        <v>0</v>
      </c>
      <c r="V38" s="12">
        <f>'TUSD BE'!$V$38*'TUSD BE'!$V$68</f>
        <v>0</v>
      </c>
      <c r="W38" s="12">
        <f>'TUSD BE'!$W$38*'TUSD BE'!$W$68</f>
        <v>0</v>
      </c>
      <c r="X38" s="12">
        <f>'TUSD BE'!$X$38*'TUSD BE'!$X$68</f>
        <v>0</v>
      </c>
      <c r="Y38" s="12">
        <f>'TUSD BE'!$Y$38*'TUSD BE'!$Y$68</f>
        <v>4.7581053024306144</v>
      </c>
      <c r="Z38" s="12">
        <f>'TUSD BE'!$Z$38*'TUSD BE'!$Z$68</f>
        <v>0</v>
      </c>
      <c r="AA38" s="12">
        <f>'TUSD BE'!$AA$38*'TUSD BE'!$AA$68</f>
        <v>0</v>
      </c>
      <c r="AB38" s="12">
        <f>SUM($U$38:$AA$38)</f>
        <v>4.7581053024306144</v>
      </c>
      <c r="AC38" s="12">
        <f>'TUSD BE'!$AC$38*'TUSD BE'!$AC$68</f>
        <v>0</v>
      </c>
      <c r="AD38" s="12">
        <f>SUM($AC$38:$AC$38)</f>
        <v>0</v>
      </c>
      <c r="AE38" s="12">
        <f ca="1">$AO$38*$AO$65</f>
        <v>0</v>
      </c>
      <c r="AF38" s="12">
        <f ca="1">$AP$38*$AP$65</f>
        <v>0</v>
      </c>
      <c r="AG38" s="12">
        <f ca="1">SUM($AE$38:$AF$38)</f>
        <v>0</v>
      </c>
      <c r="AH38" s="12">
        <f>'TUSD BE'!$AH$38*'TUSD BE'!$AH$68</f>
        <v>-1.184925786756859</v>
      </c>
      <c r="AI38" s="12">
        <f>'TUSD BE'!$AI$38*'TUSD BE'!$AI$68</f>
        <v>-4.3545283575530211E-2</v>
      </c>
      <c r="AJ38" s="12">
        <f ca="1">'TUSD BE'!$AJ$38*'TUSD BE'!$AJ$68</f>
        <v>-0.12932020651147716</v>
      </c>
      <c r="AK38" s="12">
        <f ca="1">'TUSD BE'!$AK$38*'TUSD BE'!$AK$68</f>
        <v>2.4442310593684451E-2</v>
      </c>
      <c r="AL38" s="12">
        <f ca="1">SUM($AH$38:$AK$38)</f>
        <v>-1.3333489662501818</v>
      </c>
      <c r="AM38" s="12">
        <f ca="1">SUMIF($L$4:$AL$4,"SUBTOTAL",$L$38:$AL$38)</f>
        <v>3.4092232324406337</v>
      </c>
      <c r="AO38" s="20">
        <f ca="1">+'TUSD BE'!$T$38+'TUSD BE'!$AB$38+'TUSD BE'!$AD$38+'TUSD BE'!$AL$38</f>
        <v>236.03149481501984</v>
      </c>
      <c r="AP38" s="20">
        <f ca="1">+'TUSD BE'!$T$38+'TUSD BE'!$AB$38+'TUSD BE'!$AD$38+'TUSD BE'!$AL$38</f>
        <v>236.03149481501984</v>
      </c>
    </row>
    <row r="39" spans="1:42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f>'TUSD BE'!$L$39*'TUSD BE'!$L$68</f>
        <v>0</v>
      </c>
      <c r="M39" s="12">
        <f>'TUSD BE'!$M$39*'TUSD BE'!$M$68</f>
        <v>-1.5533277885650213E-2</v>
      </c>
      <c r="N39" s="12">
        <f ca="1">'TUSD BE'!$N$39*'TUSD BE'!$N$68</f>
        <v>1.7414585187918835E-7</v>
      </c>
      <c r="O39" s="12">
        <f>'TUSD BE'!$O$39*'TUSD BE'!$O$68</f>
        <v>0</v>
      </c>
      <c r="P39" s="12">
        <f>'TUSD BE'!$P$39*'TUSD BE'!$P$68</f>
        <v>0</v>
      </c>
      <c r="Q39" s="12">
        <f>'TUSD BE'!$Q$39*'TUSD BE'!$Q$68</f>
        <v>0</v>
      </c>
      <c r="R39" s="12">
        <f>'TUSD BE'!$R$39*'TUSD BE'!$R$68</f>
        <v>0</v>
      </c>
      <c r="S39" s="12">
        <f>'TUSD BE'!$R$39*'TUSD BE'!$S$68</f>
        <v>0</v>
      </c>
      <c r="T39" s="12">
        <f ca="1">SUM($L$39:$S$39)</f>
        <v>-1.5533103739798333E-2</v>
      </c>
      <c r="U39" s="12">
        <f>'TUSD BE'!$U$39*'TUSD BE'!$U$68</f>
        <v>0</v>
      </c>
      <c r="V39" s="12">
        <f>'TUSD BE'!$V$39*'TUSD BE'!$V$68</f>
        <v>0</v>
      </c>
      <c r="W39" s="12">
        <f>'TUSD BE'!$W$39*'TUSD BE'!$W$68</f>
        <v>0</v>
      </c>
      <c r="X39" s="12">
        <f>'TUSD BE'!$X$39*'TUSD BE'!$X$68</f>
        <v>0</v>
      </c>
      <c r="Y39" s="12">
        <f>'TUSD BE'!$Y$39*'TUSD BE'!$Y$68</f>
        <v>4.7581053024306144</v>
      </c>
      <c r="Z39" s="12">
        <f>'TUSD BE'!$Z$39*'TUSD BE'!$Z$68</f>
        <v>0</v>
      </c>
      <c r="AA39" s="12">
        <f>'TUSD BE'!$AA$39*'TUSD BE'!$AA$68</f>
        <v>0</v>
      </c>
      <c r="AB39" s="12">
        <f>SUM($U$39:$AA$39)</f>
        <v>4.7581053024306144</v>
      </c>
      <c r="AC39" s="12">
        <f>'TUSD BE'!$AC$39*'TUSD BE'!$AC$68</f>
        <v>0</v>
      </c>
      <c r="AD39" s="12">
        <f>SUM($AC$39:$AC$39)</f>
        <v>0</v>
      </c>
      <c r="AE39" s="12">
        <f ca="1">$AO$39*$AO$65</f>
        <v>0</v>
      </c>
      <c r="AF39" s="12">
        <f ca="1">$AP$39*$AP$65</f>
        <v>0</v>
      </c>
      <c r="AG39" s="12">
        <f ca="1">SUM($AE$39:$AF$39)</f>
        <v>0</v>
      </c>
      <c r="AH39" s="12">
        <f>'TUSD BE'!$AH$39*'TUSD BE'!$AH$68</f>
        <v>-1.184925786756859</v>
      </c>
      <c r="AI39" s="12">
        <f>'TUSD BE'!$AI$39*'TUSD BE'!$AI$68</f>
        <v>-4.3545283575530211E-2</v>
      </c>
      <c r="AJ39" s="12">
        <f ca="1">'TUSD BE'!$AJ$39*'TUSD BE'!$AJ$68</f>
        <v>-0.12932020651147716</v>
      </c>
      <c r="AK39" s="12">
        <f ca="1">'TUSD BE'!$AK$39*'TUSD BE'!$AK$68</f>
        <v>2.4442310593684451E-2</v>
      </c>
      <c r="AL39" s="12">
        <f ca="1">SUM($AH$39:$AK$39)</f>
        <v>-1.3333489662501818</v>
      </c>
      <c r="AM39" s="12">
        <f ca="1">SUMIF($L$4:$AL$4,"SUBTOTAL",$L$39:$AL$39)</f>
        <v>3.4092232324406337</v>
      </c>
      <c r="AO39" s="20">
        <f ca="1">+'TUSD BE'!$T$39+'TUSD BE'!$AB$39+'TUSD BE'!$AD$39+'TUSD BE'!$AL$39</f>
        <v>236.03149481501984</v>
      </c>
      <c r="AP39" s="20">
        <f ca="1">+'TUSD BE'!$T$39+'TUSD BE'!$AB$39+'TUSD BE'!$AD$39+'TUSD BE'!$AL$39</f>
        <v>236.03149481501984</v>
      </c>
    </row>
    <row r="40" spans="1:42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'TUSD BE'!$L$40*'TUSD BE'!$L$68</f>
        <v>-1.1797299576547233</v>
      </c>
      <c r="M40" s="12">
        <f>'TUSD BE'!$M$40*'TUSD BE'!$M$68</f>
        <v>-1.5533277885650213E-2</v>
      </c>
      <c r="N40" s="12">
        <f ca="1">'TUSD BE'!$N$40*'TUSD BE'!$N$68</f>
        <v>8.0390753494070034E-7</v>
      </c>
      <c r="O40" s="12">
        <f>'TUSD BE'!$O$40*'TUSD BE'!$O$68</f>
        <v>0</v>
      </c>
      <c r="P40" s="12">
        <f>'TUSD BE'!$P$40*'TUSD BE'!$P$68</f>
        <v>0</v>
      </c>
      <c r="Q40" s="12">
        <f>'TUSD BE'!$Q$40*'TUSD BE'!$Q$68</f>
        <v>-1.8226392642330822</v>
      </c>
      <c r="R40" s="12">
        <f>'TUSD BE'!$R$40*'TUSD BE'!$R$68</f>
        <v>-0.278416203295761</v>
      </c>
      <c r="S40" s="12">
        <f>'TUSD BE'!$R$40*'TUSD BE'!$S$68</f>
        <v>0</v>
      </c>
      <c r="T40" s="12">
        <f ca="1">SUM($L$40:$S$40)</f>
        <v>-3.2963178991616817</v>
      </c>
      <c r="U40" s="12">
        <f>'TUSD BE'!$U$40*'TUSD BE'!$U$68</f>
        <v>0</v>
      </c>
      <c r="V40" s="12">
        <f>'TUSD BE'!$V$40*'TUSD BE'!$V$68</f>
        <v>0</v>
      </c>
      <c r="W40" s="12">
        <f>'TUSD BE'!$W$40*'TUSD BE'!$W$68</f>
        <v>0</v>
      </c>
      <c r="X40" s="12">
        <f>'TUSD BE'!$X$40*'TUSD BE'!$X$68</f>
        <v>0</v>
      </c>
      <c r="Y40" s="12">
        <f>'TUSD BE'!$Y$40*'TUSD BE'!$Y$68</f>
        <v>25.693759673782658</v>
      </c>
      <c r="Z40" s="12">
        <f>'TUSD BE'!$Z$40*'TUSD BE'!$Z$68</f>
        <v>0</v>
      </c>
      <c r="AA40" s="12">
        <f>'TUSD BE'!$AA$40*'TUSD BE'!$AA$68</f>
        <v>0</v>
      </c>
      <c r="AB40" s="12">
        <f>SUM($U$40:$AA$40)</f>
        <v>25.693759673782658</v>
      </c>
      <c r="AC40" s="12">
        <f>'TUSD BE'!$AC$40*'TUSD BE'!$AC$68</f>
        <v>0</v>
      </c>
      <c r="AD40" s="12">
        <f>SUM($AC$40:$AC$40)</f>
        <v>0</v>
      </c>
      <c r="AE40" s="12">
        <f ca="1">$AO$40*$AO$65</f>
        <v>0</v>
      </c>
      <c r="AF40" s="12">
        <f ca="1">$AP$40*$AP$65</f>
        <v>0</v>
      </c>
      <c r="AG40" s="12">
        <f ca="1">SUM($AE$40:$AF$40)</f>
        <v>0</v>
      </c>
      <c r="AH40" s="12">
        <f>'TUSD BE'!$AH$40*'TUSD BE'!$AH$68</f>
        <v>-1.184925786756859</v>
      </c>
      <c r="AI40" s="12">
        <f>'TUSD BE'!$AI$40*'TUSD BE'!$AI$68</f>
        <v>-4.3545283575530211E-2</v>
      </c>
      <c r="AJ40" s="12">
        <f ca="1">'TUSD BE'!$AJ$40*'TUSD BE'!$AJ$68</f>
        <v>-0.12932020651147716</v>
      </c>
      <c r="AK40" s="12">
        <f ca="1">'TUSD BE'!$AK$40*'TUSD BE'!$AK$68</f>
        <v>2.4442310593684451E-2</v>
      </c>
      <c r="AL40" s="12">
        <f ca="1">SUM($AH$40:$AK$40)</f>
        <v>-1.3333489662501818</v>
      </c>
      <c r="AM40" s="12">
        <f ca="1">SUMIF($L$4:$AL$4,"SUBTOTAL",$L$40:$AL$40)</f>
        <v>21.064092808370795</v>
      </c>
      <c r="AO40" s="20">
        <f ca="1">+'TUSD BE'!$T$40+'TUSD BE'!$AB$40+'TUSD BE'!$AD$40+'TUSD BE'!$AL$40</f>
        <v>1291.9165105584736</v>
      </c>
      <c r="AP40" s="20">
        <f ca="1">+'TUSD BE'!$T$40+'TUSD BE'!$AB$40+'TUSD BE'!$AD$40+'TUSD BE'!$AL$40</f>
        <v>1291.9165105584736</v>
      </c>
    </row>
    <row r="41" spans="1:42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'TUSD BE'!$L$41*'TUSD BE'!$L$68</f>
        <v>-1.1797299576547233</v>
      </c>
      <c r="M41" s="12">
        <f>'TUSD BE'!$M$41*'TUSD BE'!$M$68</f>
        <v>-1.5533277885650213E-2</v>
      </c>
      <c r="N41" s="12">
        <f ca="1">'TUSD BE'!$N$41*'TUSD BE'!$N$68</f>
        <v>2.6357285379976633E-7</v>
      </c>
      <c r="O41" s="12">
        <f>'TUSD BE'!$O$41*'TUSD BE'!$O$68</f>
        <v>0</v>
      </c>
      <c r="P41" s="12">
        <f>'TUSD BE'!$P$41*'TUSD BE'!$P$68</f>
        <v>0</v>
      </c>
      <c r="Q41" s="12">
        <f>'TUSD BE'!$Q$41*'TUSD BE'!$Q$68</f>
        <v>-1.8226392642330822</v>
      </c>
      <c r="R41" s="12">
        <f>'TUSD BE'!$R$41*'TUSD BE'!$R$68</f>
        <v>-0.278416203295761</v>
      </c>
      <c r="S41" s="12">
        <f>'TUSD BE'!$R$41*'TUSD BE'!$S$68</f>
        <v>0</v>
      </c>
      <c r="T41" s="12">
        <f ca="1">SUM($L$41:$S$41)</f>
        <v>-3.2963184394963632</v>
      </c>
      <c r="U41" s="12">
        <f>'TUSD BE'!$U$41*'TUSD BE'!$U$68</f>
        <v>0</v>
      </c>
      <c r="V41" s="12">
        <f>'TUSD BE'!$V$41*'TUSD BE'!$V$68</f>
        <v>0</v>
      </c>
      <c r="W41" s="12">
        <f>'TUSD BE'!$W$41*'TUSD BE'!$W$68</f>
        <v>0</v>
      </c>
      <c r="X41" s="12">
        <f>'TUSD BE'!$X$41*'TUSD BE'!$X$68</f>
        <v>0</v>
      </c>
      <c r="Y41" s="12">
        <f>'TUSD BE'!$Y$41*'TUSD BE'!$Y$68</f>
        <v>7.708125662299131</v>
      </c>
      <c r="Z41" s="12">
        <f>'TUSD BE'!$Z$41*'TUSD BE'!$Z$68</f>
        <v>0</v>
      </c>
      <c r="AA41" s="12">
        <f>'TUSD BE'!$AA$41*'TUSD BE'!$AA$68</f>
        <v>0</v>
      </c>
      <c r="AB41" s="12">
        <f>SUM($U$41:$AA$41)</f>
        <v>7.708125662299131</v>
      </c>
      <c r="AC41" s="12">
        <f>'TUSD BE'!$AC$41*'TUSD BE'!$AC$68</f>
        <v>0</v>
      </c>
      <c r="AD41" s="12">
        <f>SUM($AC$41:$AC$41)</f>
        <v>0</v>
      </c>
      <c r="AE41" s="12">
        <f ca="1">$AO$41*$AO$65</f>
        <v>0</v>
      </c>
      <c r="AF41" s="12">
        <f ca="1">$AP$41*$AP$65</f>
        <v>0</v>
      </c>
      <c r="AG41" s="12">
        <f ca="1">SUM($AE$41:$AF$41)</f>
        <v>0</v>
      </c>
      <c r="AH41" s="12">
        <f>'TUSD BE'!$AH$41*'TUSD BE'!$AH$68</f>
        <v>-1.184925786756859</v>
      </c>
      <c r="AI41" s="12">
        <f>'TUSD BE'!$AI$41*'TUSD BE'!$AI$68</f>
        <v>-4.3545283575530211E-2</v>
      </c>
      <c r="AJ41" s="12">
        <f ca="1">'TUSD BE'!$AJ$41*'TUSD BE'!$AJ$68</f>
        <v>-0.12932020651147716</v>
      </c>
      <c r="AK41" s="12">
        <f ca="1">'TUSD BE'!$AK$41*'TUSD BE'!$AK$68</f>
        <v>2.4442310593684451E-2</v>
      </c>
      <c r="AL41" s="12">
        <f ca="1">SUM($AH$41:$AK$41)</f>
        <v>-1.3333489662501818</v>
      </c>
      <c r="AM41" s="12">
        <f ca="1">SUMIF($L$4:$AL$4,"SUBTOTAL",$L$41:$AL$41)</f>
        <v>3.0784582565525858</v>
      </c>
      <c r="AO41" s="20">
        <f ca="1">+'TUSD BE'!$T$41+'TUSD BE'!$AB$41+'TUSD BE'!$AD$41+'TUSD BE'!$AL$41</f>
        <v>476.90718989507462</v>
      </c>
      <c r="AP41" s="20">
        <f ca="1">+'TUSD BE'!$T$41+'TUSD BE'!$AB$41+'TUSD BE'!$AD$41+'TUSD BE'!$AL$41</f>
        <v>476.90718989507462</v>
      </c>
    </row>
    <row r="42" spans="1:42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'TUSD BE'!$L$42*'TUSD BE'!$L$68</f>
        <v>-1.1797299576547233</v>
      </c>
      <c r="M42" s="12">
        <f>'TUSD BE'!$M$42*'TUSD BE'!$M$68</f>
        <v>-1.5533277885650213E-2</v>
      </c>
      <c r="N42" s="12">
        <f ca="1">'TUSD BE'!$N$42*'TUSD BE'!$N$68</f>
        <v>1.0919148201729448E-7</v>
      </c>
      <c r="O42" s="12">
        <f>'TUSD BE'!$O$42*'TUSD BE'!$O$68</f>
        <v>0</v>
      </c>
      <c r="P42" s="12">
        <f>'TUSD BE'!$P$42*'TUSD BE'!$P$68</f>
        <v>0</v>
      </c>
      <c r="Q42" s="12">
        <f>'TUSD BE'!$Q$42*'TUSD BE'!$Q$68</f>
        <v>-1.8226392642330822</v>
      </c>
      <c r="R42" s="12">
        <f>'TUSD BE'!$R$42*'TUSD BE'!$R$68</f>
        <v>-0.278416203295761</v>
      </c>
      <c r="S42" s="12">
        <f>'TUSD BE'!$R$42*'TUSD BE'!$S$68</f>
        <v>0</v>
      </c>
      <c r="T42" s="12">
        <f ca="1">SUM($L$42:$S$42)</f>
        <v>-3.2963185938777348</v>
      </c>
      <c r="U42" s="12">
        <f>'TUSD BE'!$U$42*'TUSD BE'!$U$68</f>
        <v>0</v>
      </c>
      <c r="V42" s="12">
        <f>'TUSD BE'!$V$42*'TUSD BE'!$V$68</f>
        <v>0</v>
      </c>
      <c r="W42" s="12">
        <f>'TUSD BE'!$W$42*'TUSD BE'!$W$68</f>
        <v>0</v>
      </c>
      <c r="X42" s="12">
        <f>'TUSD BE'!$X$42*'TUSD BE'!$X$68</f>
        <v>0</v>
      </c>
      <c r="Y42" s="12">
        <f>'TUSD BE'!$Y$42*'TUSD BE'!$Y$68</f>
        <v>2.5693752207663771</v>
      </c>
      <c r="Z42" s="12">
        <f>'TUSD BE'!$Z$42*'TUSD BE'!$Z$68</f>
        <v>0</v>
      </c>
      <c r="AA42" s="12">
        <f>'TUSD BE'!$AA$42*'TUSD BE'!$AA$68</f>
        <v>0</v>
      </c>
      <c r="AB42" s="12">
        <f>SUM($U$42:$AA$42)</f>
        <v>2.5693752207663771</v>
      </c>
      <c r="AC42" s="12">
        <f>'TUSD BE'!$AC$42*'TUSD BE'!$AC$68</f>
        <v>0</v>
      </c>
      <c r="AD42" s="12">
        <f>SUM($AC$42:$AC$42)</f>
        <v>0</v>
      </c>
      <c r="AE42" s="12">
        <f ca="1">$AO$42*$AO$65</f>
        <v>0</v>
      </c>
      <c r="AF42" s="12">
        <f ca="1">$AP$42*$AP$65</f>
        <v>0</v>
      </c>
      <c r="AG42" s="12">
        <f ca="1">SUM($AE$42:$AF$42)</f>
        <v>0</v>
      </c>
      <c r="AH42" s="12">
        <f>'TUSD BE'!$AH$42*'TUSD BE'!$AH$68</f>
        <v>-1.184925786756859</v>
      </c>
      <c r="AI42" s="12">
        <f>'TUSD BE'!$AI$42*'TUSD BE'!$AI$68</f>
        <v>-4.3545283575530211E-2</v>
      </c>
      <c r="AJ42" s="12">
        <f ca="1">'TUSD BE'!$AJ$42*'TUSD BE'!$AJ$68</f>
        <v>-0.12932020651147716</v>
      </c>
      <c r="AK42" s="12">
        <f ca="1">'TUSD BE'!$AK$42*'TUSD BE'!$AK$68</f>
        <v>2.4442310593684451E-2</v>
      </c>
      <c r="AL42" s="12">
        <f ca="1">SUM($AH$42:$AK$42)</f>
        <v>-1.3333489662501818</v>
      </c>
      <c r="AM42" s="12">
        <f ca="1">SUMIF($L$4:$AL$4,"SUBTOTAL",$L$42:$AL$42)</f>
        <v>-2.0602923393615393</v>
      </c>
      <c r="AO42" s="20">
        <f ca="1">+'TUSD BE'!$T$42+'TUSD BE'!$AB$42+'TUSD BE'!$AD$42+'TUSD BE'!$AL$42</f>
        <v>244.04733454738488</v>
      </c>
      <c r="AP42" s="20">
        <f ca="1">+'TUSD BE'!$T$42+'TUSD BE'!$AB$42+'TUSD BE'!$AD$42+'TUSD BE'!$AL$42</f>
        <v>244.04733454738488</v>
      </c>
    </row>
    <row r="43" spans="1:42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'TUSD BE'!$L$43*'TUSD BE'!$L$68</f>
        <v>-1.1797299576547233</v>
      </c>
      <c r="M43" s="12">
        <f>'TUSD BE'!$M$43*'TUSD BE'!$M$68</f>
        <v>-1.5533277885650213E-2</v>
      </c>
      <c r="N43" s="12">
        <f ca="1">'TUSD BE'!$N$43*'TUSD BE'!$N$68</f>
        <v>1.7494650332601907E-7</v>
      </c>
      <c r="O43" s="12">
        <f>'TUSD BE'!$O$43*'TUSD BE'!$O$68</f>
        <v>0</v>
      </c>
      <c r="P43" s="12">
        <f>'TUSD BE'!$P$43*'TUSD BE'!$P$68</f>
        <v>0</v>
      </c>
      <c r="Q43" s="12">
        <f>'TUSD BE'!$Q$43*'TUSD BE'!$Q$68</f>
        <v>-1.8226392642330822</v>
      </c>
      <c r="R43" s="12">
        <f>'TUSD BE'!$R$43*'TUSD BE'!$R$68</f>
        <v>-0.278416203295761</v>
      </c>
      <c r="S43" s="12">
        <f>'TUSD BE'!$R$43*'TUSD BE'!$S$68</f>
        <v>0</v>
      </c>
      <c r="T43" s="12">
        <f ca="1">SUM($L$43:$S$43)</f>
        <v>-3.2963185281227134</v>
      </c>
      <c r="U43" s="12">
        <f>'TUSD BE'!$U$43*'TUSD BE'!$U$68</f>
        <v>0</v>
      </c>
      <c r="V43" s="12">
        <f>'TUSD BE'!$V$43*'TUSD BE'!$V$68</f>
        <v>0</v>
      </c>
      <c r="W43" s="12">
        <f>'TUSD BE'!$W$43*'TUSD BE'!$W$68</f>
        <v>0</v>
      </c>
      <c r="X43" s="12">
        <f>'TUSD BE'!$X$43*'TUSD BE'!$X$68</f>
        <v>0</v>
      </c>
      <c r="Y43" s="12">
        <f>'TUSD BE'!$Y$43*'TUSD BE'!$Y$68</f>
        <v>4.7581053024306144</v>
      </c>
      <c r="Z43" s="12">
        <f>'TUSD BE'!$Z$43*'TUSD BE'!$Z$68</f>
        <v>0</v>
      </c>
      <c r="AA43" s="12">
        <f>'TUSD BE'!$AA$43*'TUSD BE'!$AA$68</f>
        <v>0</v>
      </c>
      <c r="AB43" s="12">
        <f>SUM($U$43:$AA$43)</f>
        <v>4.7581053024306144</v>
      </c>
      <c r="AC43" s="12">
        <f>'TUSD BE'!$AC$43*'TUSD BE'!$AC$68</f>
        <v>0</v>
      </c>
      <c r="AD43" s="12">
        <f>SUM($AC$43:$AC$43)</f>
        <v>0</v>
      </c>
      <c r="AE43" s="12">
        <f ca="1">$AO$43*$AO$65</f>
        <v>0</v>
      </c>
      <c r="AF43" s="12">
        <f ca="1">$AP$43*$AP$65</f>
        <v>0</v>
      </c>
      <c r="AG43" s="12">
        <f ca="1">SUM($AE$43:$AF$43)</f>
        <v>0</v>
      </c>
      <c r="AH43" s="12">
        <f>'TUSD BE'!$AH$43*'TUSD BE'!$AH$68</f>
        <v>-1.184925786756859</v>
      </c>
      <c r="AI43" s="12">
        <f>'TUSD BE'!$AI$43*'TUSD BE'!$AI$68</f>
        <v>-4.3545283575530211E-2</v>
      </c>
      <c r="AJ43" s="12">
        <f ca="1">'TUSD BE'!$AJ$43*'TUSD BE'!$AJ$68</f>
        <v>-0.12932020651147716</v>
      </c>
      <c r="AK43" s="12">
        <f ca="1">'TUSD BE'!$AK$43*'TUSD BE'!$AK$68</f>
        <v>2.4442310593684451E-2</v>
      </c>
      <c r="AL43" s="12">
        <f ca="1">SUM($AH$43:$AK$43)</f>
        <v>-1.3333489662501818</v>
      </c>
      <c r="AM43" s="12">
        <f ca="1">SUMIF($L$4:$AL$4,"SUBTOTAL",$L$43:$AL$43)</f>
        <v>0.12843780805771909</v>
      </c>
      <c r="AO43" s="20">
        <f ca="1">+'TUSD BE'!$T$43+'TUSD BE'!$AB$43+'TUSD BE'!$AD$43+'TUSD BE'!$AL$43</f>
        <v>343.22837518745104</v>
      </c>
      <c r="AP43" s="20">
        <f ca="1">+'TUSD BE'!$T$43+'TUSD BE'!$AB$43+'TUSD BE'!$AD$43+'TUSD BE'!$AL$43</f>
        <v>343.22837518745104</v>
      </c>
    </row>
    <row r="44" spans="1:42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'TUSD BE'!$L$44*'TUSD BE'!$L$68</f>
        <v>-1.1797299576547233</v>
      </c>
      <c r="M44" s="12">
        <f>'TUSD BE'!$M$44*'TUSD BE'!$M$68</f>
        <v>-1.5533277885650213E-2</v>
      </c>
      <c r="N44" s="12">
        <f ca="1">'TUSD BE'!$N$44*'TUSD BE'!$N$68</f>
        <v>8.0390753494070034E-7</v>
      </c>
      <c r="O44" s="12">
        <f>'TUSD BE'!$O$44*'TUSD BE'!$O$68</f>
        <v>0</v>
      </c>
      <c r="P44" s="12">
        <f>'TUSD BE'!$P$44*'TUSD BE'!$P$68</f>
        <v>0</v>
      </c>
      <c r="Q44" s="12">
        <f>'TUSD BE'!$Q$44*'TUSD BE'!$Q$68</f>
        <v>-1.8226392642330822</v>
      </c>
      <c r="R44" s="12">
        <f>'TUSD BE'!$R$44*'TUSD BE'!$R$68</f>
        <v>-0.278416203295761</v>
      </c>
      <c r="S44" s="12">
        <f>'TUSD BE'!$R$44*'TUSD BE'!$S$68</f>
        <v>0</v>
      </c>
      <c r="T44" s="12">
        <f ca="1">SUM($L$44:$S$44)</f>
        <v>-3.2963178991616817</v>
      </c>
      <c r="U44" s="12">
        <f>'TUSD BE'!$U$44*'TUSD BE'!$U$68</f>
        <v>0</v>
      </c>
      <c r="V44" s="12">
        <f>'TUSD BE'!$V$44*'TUSD BE'!$V$68</f>
        <v>0</v>
      </c>
      <c r="W44" s="12">
        <f>'TUSD BE'!$W$44*'TUSD BE'!$W$68</f>
        <v>0</v>
      </c>
      <c r="X44" s="12">
        <f>'TUSD BE'!$X$44*'TUSD BE'!$X$68</f>
        <v>0</v>
      </c>
      <c r="Y44" s="12">
        <f>'TUSD BE'!$Y$44*'TUSD BE'!$Y$68</f>
        <v>25.693759673782658</v>
      </c>
      <c r="Z44" s="12">
        <f>'TUSD BE'!$Z$44*'TUSD BE'!$Z$68</f>
        <v>0</v>
      </c>
      <c r="AA44" s="12">
        <f>'TUSD BE'!$AA$44*'TUSD BE'!$AA$68</f>
        <v>0</v>
      </c>
      <c r="AB44" s="12">
        <f>SUM($U$44:$AA$44)</f>
        <v>25.693759673782658</v>
      </c>
      <c r="AC44" s="12">
        <f>'TUSD BE'!$AC$44*'TUSD BE'!$AC$68</f>
        <v>0</v>
      </c>
      <c r="AD44" s="12">
        <f>SUM($AC$44:$AC$44)</f>
        <v>0</v>
      </c>
      <c r="AE44" s="12">
        <f ca="1">$AO$44*$AO$65</f>
        <v>0</v>
      </c>
      <c r="AF44" s="12">
        <f ca="1">$AP$44*$AP$65</f>
        <v>0</v>
      </c>
      <c r="AG44" s="12">
        <f ca="1">SUM($AE$44:$AF$44)</f>
        <v>0</v>
      </c>
      <c r="AH44" s="12">
        <f>'TUSD BE'!$AH$44*'TUSD BE'!$AH$68</f>
        <v>-1.184925786756859</v>
      </c>
      <c r="AI44" s="12">
        <f>'TUSD BE'!$AI$44*'TUSD BE'!$AI$68</f>
        <v>-4.3545283575530211E-2</v>
      </c>
      <c r="AJ44" s="12">
        <f ca="1">'TUSD BE'!$AJ$44*'TUSD BE'!$AJ$68</f>
        <v>-0.12932020651147716</v>
      </c>
      <c r="AK44" s="12">
        <f ca="1">'TUSD BE'!$AK$44*'TUSD BE'!$AK$68</f>
        <v>2.4442310593684451E-2</v>
      </c>
      <c r="AL44" s="12">
        <f ca="1">SUM($AH$44:$AK$44)</f>
        <v>-1.3333489662501818</v>
      </c>
      <c r="AM44" s="12">
        <f ca="1">SUMIF($L$4:$AL$4,"SUBTOTAL",$L$44:$AL$44)</f>
        <v>21.064092808370795</v>
      </c>
      <c r="AO44" s="20">
        <f ca="1">+'TUSD BE'!$T$44+'TUSD BE'!$AB$44+'TUSD BE'!$AD$44+'TUSD BE'!$AL$44</f>
        <v>1291.9165105584736</v>
      </c>
      <c r="AP44" s="20">
        <f ca="1">+'TUSD BE'!$T$44+'TUSD BE'!$AB$44+'TUSD BE'!$AD$44+'TUSD BE'!$AL$44</f>
        <v>1291.9165105584736</v>
      </c>
    </row>
    <row r="45" spans="1:42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'TUSD BE'!$L$45*'TUSD BE'!$L$68</f>
        <v>-1.1797299576547233</v>
      </c>
      <c r="M45" s="12">
        <f>'TUSD BE'!$M$45*'TUSD BE'!$M$68</f>
        <v>-1.5533277885650213E-2</v>
      </c>
      <c r="N45" s="12">
        <f ca="1">'TUSD BE'!$N$45*'TUSD BE'!$N$68</f>
        <v>2.6357285379976633E-7</v>
      </c>
      <c r="O45" s="12">
        <f>'TUSD BE'!$O$45*'TUSD BE'!$O$68</f>
        <v>0</v>
      </c>
      <c r="P45" s="12">
        <f>'TUSD BE'!$P$45*'TUSD BE'!$P$68</f>
        <v>0</v>
      </c>
      <c r="Q45" s="12">
        <f>'TUSD BE'!$Q$45*'TUSD BE'!$Q$68</f>
        <v>-1.8226392642330822</v>
      </c>
      <c r="R45" s="12">
        <f>'TUSD BE'!$R$45*'TUSD BE'!$R$68</f>
        <v>-0.278416203295761</v>
      </c>
      <c r="S45" s="12">
        <f>'TUSD BE'!$R$45*'TUSD BE'!$S$68</f>
        <v>0</v>
      </c>
      <c r="T45" s="12">
        <f ca="1">SUM($L$45:$S$45)</f>
        <v>-3.2963184394963632</v>
      </c>
      <c r="U45" s="12">
        <f>'TUSD BE'!$U$45*'TUSD BE'!$U$68</f>
        <v>0</v>
      </c>
      <c r="V45" s="12">
        <f>'TUSD BE'!$V$45*'TUSD BE'!$V$68</f>
        <v>0</v>
      </c>
      <c r="W45" s="12">
        <f>'TUSD BE'!$W$45*'TUSD BE'!$W$68</f>
        <v>0</v>
      </c>
      <c r="X45" s="12">
        <f>'TUSD BE'!$X$45*'TUSD BE'!$X$68</f>
        <v>0</v>
      </c>
      <c r="Y45" s="12">
        <f>'TUSD BE'!$Y$45*'TUSD BE'!$Y$68</f>
        <v>7.708125662299131</v>
      </c>
      <c r="Z45" s="12">
        <f>'TUSD BE'!$Z$45*'TUSD BE'!$Z$68</f>
        <v>0</v>
      </c>
      <c r="AA45" s="12">
        <f>'TUSD BE'!$AA$45*'TUSD BE'!$AA$68</f>
        <v>0</v>
      </c>
      <c r="AB45" s="12">
        <f>SUM($U$45:$AA$45)</f>
        <v>7.708125662299131</v>
      </c>
      <c r="AC45" s="12">
        <f>'TUSD BE'!$AC$45*'TUSD BE'!$AC$68</f>
        <v>0</v>
      </c>
      <c r="AD45" s="12">
        <f>SUM($AC$45:$AC$45)</f>
        <v>0</v>
      </c>
      <c r="AE45" s="12">
        <f ca="1">$AO$45*$AO$65</f>
        <v>0</v>
      </c>
      <c r="AF45" s="12">
        <f ca="1">$AP$45*$AP$65</f>
        <v>0</v>
      </c>
      <c r="AG45" s="12">
        <f ca="1">SUM($AE$45:$AF$45)</f>
        <v>0</v>
      </c>
      <c r="AH45" s="12">
        <f>'TUSD BE'!$AH$45*'TUSD BE'!$AH$68</f>
        <v>-1.184925786756859</v>
      </c>
      <c r="AI45" s="12">
        <f>'TUSD BE'!$AI$45*'TUSD BE'!$AI$68</f>
        <v>-4.3545283575530211E-2</v>
      </c>
      <c r="AJ45" s="12">
        <f ca="1">'TUSD BE'!$AJ$45*'TUSD BE'!$AJ$68</f>
        <v>-0.12932020651147716</v>
      </c>
      <c r="AK45" s="12">
        <f ca="1">'TUSD BE'!$AK$45*'TUSD BE'!$AK$68</f>
        <v>2.4442310593684451E-2</v>
      </c>
      <c r="AL45" s="12">
        <f ca="1">SUM($AH$45:$AK$45)</f>
        <v>-1.3333489662501818</v>
      </c>
      <c r="AM45" s="12">
        <f ca="1">SUMIF($L$4:$AL$4,"SUBTOTAL",$L$45:$AL$45)</f>
        <v>3.0784582565525858</v>
      </c>
      <c r="AO45" s="20">
        <f ca="1">+'TUSD BE'!$T$45+'TUSD BE'!$AB$45+'TUSD BE'!$AD$45+'TUSD BE'!$AL$45</f>
        <v>476.90718989507462</v>
      </c>
      <c r="AP45" s="20">
        <f ca="1">+'TUSD BE'!$T$45+'TUSD BE'!$AB$45+'TUSD BE'!$AD$45+'TUSD BE'!$AL$45</f>
        <v>476.90718989507462</v>
      </c>
    </row>
    <row r="46" spans="1:42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'TUSD BE'!$L$46*'TUSD BE'!$L$68</f>
        <v>-1.1797299576547233</v>
      </c>
      <c r="M46" s="12">
        <f>'TUSD BE'!$M$46*'TUSD BE'!$M$68</f>
        <v>-1.5533277885650213E-2</v>
      </c>
      <c r="N46" s="12">
        <f ca="1">'TUSD BE'!$N$46*'TUSD BE'!$N$68</f>
        <v>1.0919148201729448E-7</v>
      </c>
      <c r="O46" s="12">
        <f>'TUSD BE'!$O$46*'TUSD BE'!$O$68</f>
        <v>0</v>
      </c>
      <c r="P46" s="12">
        <f>'TUSD BE'!$P$46*'TUSD BE'!$P$68</f>
        <v>0</v>
      </c>
      <c r="Q46" s="12">
        <f>'TUSD BE'!$Q$46*'TUSD BE'!$Q$68</f>
        <v>-1.8226392642330822</v>
      </c>
      <c r="R46" s="12">
        <f>'TUSD BE'!$R$46*'TUSD BE'!$R$68</f>
        <v>-0.278416203295761</v>
      </c>
      <c r="S46" s="12">
        <f>'TUSD BE'!$R$46*'TUSD BE'!$S$68</f>
        <v>0</v>
      </c>
      <c r="T46" s="12">
        <f ca="1">SUM($L$46:$S$46)</f>
        <v>-3.2963185938777348</v>
      </c>
      <c r="U46" s="12">
        <f>'TUSD BE'!$U$46*'TUSD BE'!$U$68</f>
        <v>0</v>
      </c>
      <c r="V46" s="12">
        <f>'TUSD BE'!$V$46*'TUSD BE'!$V$68</f>
        <v>0</v>
      </c>
      <c r="W46" s="12">
        <f>'TUSD BE'!$W$46*'TUSD BE'!$W$68</f>
        <v>0</v>
      </c>
      <c r="X46" s="12">
        <f>'TUSD BE'!$X$46*'TUSD BE'!$X$68</f>
        <v>0</v>
      </c>
      <c r="Y46" s="12">
        <f>'TUSD BE'!$Y$46*'TUSD BE'!$Y$68</f>
        <v>2.5693752207663771</v>
      </c>
      <c r="Z46" s="12">
        <f>'TUSD BE'!$Z$46*'TUSD BE'!$Z$68</f>
        <v>0</v>
      </c>
      <c r="AA46" s="12">
        <f>'TUSD BE'!$AA$46*'TUSD BE'!$AA$68</f>
        <v>0</v>
      </c>
      <c r="AB46" s="12">
        <f>SUM($U$46:$AA$46)</f>
        <v>2.5693752207663771</v>
      </c>
      <c r="AC46" s="12">
        <f>'TUSD BE'!$AC$46*'TUSD BE'!$AC$68</f>
        <v>0</v>
      </c>
      <c r="AD46" s="12">
        <f>SUM($AC$46:$AC$46)</f>
        <v>0</v>
      </c>
      <c r="AE46" s="12">
        <f ca="1">$AO$46*$AO$65</f>
        <v>0</v>
      </c>
      <c r="AF46" s="12">
        <f ca="1">$AP$46*$AP$65</f>
        <v>0</v>
      </c>
      <c r="AG46" s="12">
        <f ca="1">SUM($AE$46:$AF$46)</f>
        <v>0</v>
      </c>
      <c r="AH46" s="12">
        <f>'TUSD BE'!$AH$46*'TUSD BE'!$AH$68</f>
        <v>-1.184925786756859</v>
      </c>
      <c r="AI46" s="12">
        <f>'TUSD BE'!$AI$46*'TUSD BE'!$AI$68</f>
        <v>-4.3545283575530211E-2</v>
      </c>
      <c r="AJ46" s="12">
        <f ca="1">'TUSD BE'!$AJ$46*'TUSD BE'!$AJ$68</f>
        <v>-0.12932020651147716</v>
      </c>
      <c r="AK46" s="12">
        <f ca="1">'TUSD BE'!$AK$46*'TUSD BE'!$AK$68</f>
        <v>2.4442310593684451E-2</v>
      </c>
      <c r="AL46" s="12">
        <f ca="1">SUM($AH$46:$AK$46)</f>
        <v>-1.3333489662501818</v>
      </c>
      <c r="AM46" s="12">
        <f ca="1">SUMIF($L$4:$AL$4,"SUBTOTAL",$L$46:$AL$46)</f>
        <v>-2.0602923393615393</v>
      </c>
      <c r="AO46" s="20">
        <f ca="1">+'TUSD BE'!$T$46+'TUSD BE'!$AB$46+'TUSD BE'!$AD$46+'TUSD BE'!$AL$46</f>
        <v>244.04733454738488</v>
      </c>
      <c r="AP46" s="20">
        <f ca="1">+'TUSD BE'!$T$46+'TUSD BE'!$AB$46+'TUSD BE'!$AD$46+'TUSD BE'!$AL$46</f>
        <v>244.04733454738488</v>
      </c>
    </row>
    <row r="47" spans="1:42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'TUSD BE'!$L$47*'TUSD BE'!$L$68</f>
        <v>-1.1797299576547233</v>
      </c>
      <c r="M47" s="12">
        <f>'TUSD BE'!$M$47*'TUSD BE'!$M$68</f>
        <v>-1.5533277885650213E-2</v>
      </c>
      <c r="N47" s="12">
        <f ca="1">'TUSD BE'!$N$47*'TUSD BE'!$N$68</f>
        <v>1.7494650332601907E-7</v>
      </c>
      <c r="O47" s="12">
        <f>'TUSD BE'!$O$47*'TUSD BE'!$O$68</f>
        <v>0</v>
      </c>
      <c r="P47" s="12">
        <f>'TUSD BE'!$P$47*'TUSD BE'!$P$68</f>
        <v>0</v>
      </c>
      <c r="Q47" s="12">
        <f>'TUSD BE'!$Q$47*'TUSD BE'!$Q$68</f>
        <v>-1.8226392642330822</v>
      </c>
      <c r="R47" s="12">
        <f>'TUSD BE'!$R$47*'TUSD BE'!$R$68</f>
        <v>-0.278416203295761</v>
      </c>
      <c r="S47" s="12">
        <f>'TUSD BE'!$R$47*'TUSD BE'!$S$68</f>
        <v>0</v>
      </c>
      <c r="T47" s="12">
        <f ca="1">SUM($L$47:$S$47)</f>
        <v>-3.2963185281227134</v>
      </c>
      <c r="U47" s="12">
        <f>'TUSD BE'!$U$47*'TUSD BE'!$U$68</f>
        <v>0</v>
      </c>
      <c r="V47" s="12">
        <f>'TUSD BE'!$V$47*'TUSD BE'!$V$68</f>
        <v>0</v>
      </c>
      <c r="W47" s="12">
        <f>'TUSD BE'!$W$47*'TUSD BE'!$W$68</f>
        <v>0</v>
      </c>
      <c r="X47" s="12">
        <f>'TUSD BE'!$X$47*'TUSD BE'!$X$68</f>
        <v>0</v>
      </c>
      <c r="Y47" s="12">
        <f>'TUSD BE'!$Y$47*'TUSD BE'!$Y$68</f>
        <v>4.7581053024306144</v>
      </c>
      <c r="Z47" s="12">
        <f>'TUSD BE'!$Z$47*'TUSD BE'!$Z$68</f>
        <v>0</v>
      </c>
      <c r="AA47" s="12">
        <f>'TUSD BE'!$AA$47*'TUSD BE'!$AA$68</f>
        <v>0</v>
      </c>
      <c r="AB47" s="12">
        <f>SUM($U$47:$AA$47)</f>
        <v>4.7581053024306144</v>
      </c>
      <c r="AC47" s="12">
        <f>'TUSD BE'!$AC$47*'TUSD BE'!$AC$68</f>
        <v>0</v>
      </c>
      <c r="AD47" s="12">
        <f>SUM($AC$47:$AC$47)</f>
        <v>0</v>
      </c>
      <c r="AE47" s="12">
        <f ca="1">$AO$47*$AO$65</f>
        <v>0</v>
      </c>
      <c r="AF47" s="12">
        <f ca="1">$AP$47*$AP$65</f>
        <v>0</v>
      </c>
      <c r="AG47" s="12">
        <f ca="1">SUM($AE$47:$AF$47)</f>
        <v>0</v>
      </c>
      <c r="AH47" s="12">
        <f>'TUSD BE'!$AH$47*'TUSD BE'!$AH$68</f>
        <v>-1.184925786756859</v>
      </c>
      <c r="AI47" s="12">
        <f>'TUSD BE'!$AI$47*'TUSD BE'!$AI$68</f>
        <v>-4.3545283575530211E-2</v>
      </c>
      <c r="AJ47" s="12">
        <f ca="1">'TUSD BE'!$AJ$47*'TUSD BE'!$AJ$68</f>
        <v>-0.12932020651147716</v>
      </c>
      <c r="AK47" s="12">
        <f ca="1">'TUSD BE'!$AK$47*'TUSD BE'!$AK$68</f>
        <v>2.4442310593684451E-2</v>
      </c>
      <c r="AL47" s="12">
        <f ca="1">SUM($AH$47:$AK$47)</f>
        <v>-1.3333489662501818</v>
      </c>
      <c r="AM47" s="12">
        <f ca="1">SUMIF($L$4:$AL$4,"SUBTOTAL",$L$47:$AL$47)</f>
        <v>0.12843780805771909</v>
      </c>
      <c r="AO47" s="20">
        <f ca="1">+'TUSD BE'!$T$47+'TUSD BE'!$AB$47+'TUSD BE'!$AD$47+'TUSD BE'!$AL$47</f>
        <v>343.22837518745104</v>
      </c>
      <c r="AP47" s="20">
        <f ca="1">+'TUSD BE'!$T$47+'TUSD BE'!$AB$47+'TUSD BE'!$AD$47+'TUSD BE'!$AL$47</f>
        <v>343.22837518745104</v>
      </c>
    </row>
    <row r="48" spans="1:42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'TUSD BE'!$L$48*'TUSD BE'!$L$68</f>
        <v>-1.1797299576547233</v>
      </c>
      <c r="M48" s="12">
        <f>'TUSD BE'!$M$48*'TUSD BE'!$M$68</f>
        <v>-1.5533277885650213E-2</v>
      </c>
      <c r="N48" s="12">
        <f ca="1">'TUSD BE'!$N$48*'TUSD BE'!$N$68</f>
        <v>8.0390753494070034E-7</v>
      </c>
      <c r="O48" s="12">
        <f>'TUSD BE'!$O$48*'TUSD BE'!$O$68</f>
        <v>0</v>
      </c>
      <c r="P48" s="12">
        <f>'TUSD BE'!$P$48*'TUSD BE'!$P$68</f>
        <v>0</v>
      </c>
      <c r="Q48" s="12">
        <f>'TUSD BE'!$Q$48*'TUSD BE'!$Q$68</f>
        <v>-1.8226392642330822</v>
      </c>
      <c r="R48" s="12">
        <f>'TUSD BE'!$R$48*'TUSD BE'!$R$68</f>
        <v>-0.278416203295761</v>
      </c>
      <c r="S48" s="12">
        <f>'TUSD BE'!$R$48*'TUSD BE'!$S$68</f>
        <v>0</v>
      </c>
      <c r="T48" s="12">
        <f ca="1">SUM($L$48:$S$48)</f>
        <v>-3.2963178991616817</v>
      </c>
      <c r="U48" s="12">
        <f>'TUSD BE'!$U$48*'TUSD BE'!$U$68</f>
        <v>0</v>
      </c>
      <c r="V48" s="12">
        <f>'TUSD BE'!$V$48*'TUSD BE'!$V$68</f>
        <v>0</v>
      </c>
      <c r="W48" s="12">
        <f>'TUSD BE'!$W$48*'TUSD BE'!$W$68</f>
        <v>0</v>
      </c>
      <c r="X48" s="12">
        <f>'TUSD BE'!$X$48*'TUSD BE'!$X$68</f>
        <v>0</v>
      </c>
      <c r="Y48" s="12">
        <f>'TUSD BE'!$Y$48*'TUSD BE'!$Y$68</f>
        <v>25.693759673782658</v>
      </c>
      <c r="Z48" s="12">
        <f>'TUSD BE'!$Z$48*'TUSD BE'!$Z$68</f>
        <v>0</v>
      </c>
      <c r="AA48" s="12">
        <f>'TUSD BE'!$AA$48*'TUSD BE'!$AA$68</f>
        <v>0</v>
      </c>
      <c r="AB48" s="12">
        <f>SUM($U$48:$AA$48)</f>
        <v>25.693759673782658</v>
      </c>
      <c r="AC48" s="12">
        <f>'TUSD BE'!$AC$48*'TUSD BE'!$AC$68</f>
        <v>0</v>
      </c>
      <c r="AD48" s="12">
        <f>SUM($AC$48:$AC$48)</f>
        <v>0</v>
      </c>
      <c r="AE48" s="12">
        <f ca="1">$AO$48*$AO$65</f>
        <v>0</v>
      </c>
      <c r="AF48" s="12">
        <f ca="1">$AP$48*$AP$65</f>
        <v>0</v>
      </c>
      <c r="AG48" s="12">
        <f ca="1">SUM($AE$48:$AF$48)</f>
        <v>0</v>
      </c>
      <c r="AH48" s="12">
        <f>'TUSD BE'!$AH$48*'TUSD BE'!$AH$68</f>
        <v>-1.184925786756859</v>
      </c>
      <c r="AI48" s="12">
        <f>'TUSD BE'!$AI$48*'TUSD BE'!$AI$68</f>
        <v>-4.3545283575530211E-2</v>
      </c>
      <c r="AJ48" s="12">
        <f ca="1">'TUSD BE'!$AJ$48*'TUSD BE'!$AJ$68</f>
        <v>-0.12932020651147716</v>
      </c>
      <c r="AK48" s="12">
        <f ca="1">'TUSD BE'!$AK$48*'TUSD BE'!$AK$68</f>
        <v>2.4442310593684451E-2</v>
      </c>
      <c r="AL48" s="12">
        <f ca="1">SUM($AH$48:$AK$48)</f>
        <v>-1.3333489662501818</v>
      </c>
      <c r="AM48" s="12">
        <f ca="1">SUMIF($L$4:$AL$4,"SUBTOTAL",$L$48:$AL$48)</f>
        <v>21.064092808370795</v>
      </c>
      <c r="AO48" s="20">
        <f ca="1">+'TUSD BE'!$T$48+'TUSD BE'!$AB$48+'TUSD BE'!$AD$48+'TUSD BE'!$AL$48</f>
        <v>1291.9165105584736</v>
      </c>
      <c r="AP48" s="20">
        <f ca="1">+'TUSD BE'!$T$48+'TUSD BE'!$AB$48+'TUSD BE'!$AD$48+'TUSD BE'!$AL$48</f>
        <v>1291.9165105584736</v>
      </c>
    </row>
    <row r="49" spans="1:42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'TUSD BE'!$L$49*'TUSD BE'!$L$68</f>
        <v>-1.1797299576547233</v>
      </c>
      <c r="M49" s="12">
        <f>'TUSD BE'!$M$49*'TUSD BE'!$M$68</f>
        <v>-1.5533277885650213E-2</v>
      </c>
      <c r="N49" s="12">
        <f ca="1">'TUSD BE'!$N$49*'TUSD BE'!$N$68</f>
        <v>2.6357285379976633E-7</v>
      </c>
      <c r="O49" s="12">
        <f>'TUSD BE'!$O$49*'TUSD BE'!$O$68</f>
        <v>0</v>
      </c>
      <c r="P49" s="12">
        <f>'TUSD BE'!$P$49*'TUSD BE'!$P$68</f>
        <v>0</v>
      </c>
      <c r="Q49" s="12">
        <f>'TUSD BE'!$Q$49*'TUSD BE'!$Q$68</f>
        <v>-1.8226392642330822</v>
      </c>
      <c r="R49" s="12">
        <f>'TUSD BE'!$R$49*'TUSD BE'!$R$68</f>
        <v>-0.278416203295761</v>
      </c>
      <c r="S49" s="12">
        <f>'TUSD BE'!$R$49*'TUSD BE'!$S$68</f>
        <v>0</v>
      </c>
      <c r="T49" s="12">
        <f ca="1">SUM($L$49:$S$49)</f>
        <v>-3.2963184394963632</v>
      </c>
      <c r="U49" s="12">
        <f>'TUSD BE'!$U$49*'TUSD BE'!$U$68</f>
        <v>0</v>
      </c>
      <c r="V49" s="12">
        <f>'TUSD BE'!$V$49*'TUSD BE'!$V$68</f>
        <v>0</v>
      </c>
      <c r="W49" s="12">
        <f>'TUSD BE'!$W$49*'TUSD BE'!$W$68</f>
        <v>0</v>
      </c>
      <c r="X49" s="12">
        <f>'TUSD BE'!$X$49*'TUSD BE'!$X$68</f>
        <v>0</v>
      </c>
      <c r="Y49" s="12">
        <f>'TUSD BE'!$Y$49*'TUSD BE'!$Y$68</f>
        <v>7.708125662299131</v>
      </c>
      <c r="Z49" s="12">
        <f>'TUSD BE'!$Z$49*'TUSD BE'!$Z$68</f>
        <v>0</v>
      </c>
      <c r="AA49" s="12">
        <f>'TUSD BE'!$AA$49*'TUSD BE'!$AA$68</f>
        <v>0</v>
      </c>
      <c r="AB49" s="12">
        <f>SUM($U$49:$AA$49)</f>
        <v>7.708125662299131</v>
      </c>
      <c r="AC49" s="12">
        <f>'TUSD BE'!$AC$49*'TUSD BE'!$AC$68</f>
        <v>0</v>
      </c>
      <c r="AD49" s="12">
        <f>SUM($AC$49:$AC$49)</f>
        <v>0</v>
      </c>
      <c r="AE49" s="12">
        <f ca="1">$AO$49*$AO$65</f>
        <v>0</v>
      </c>
      <c r="AF49" s="12">
        <f ca="1">$AP$49*$AP$65</f>
        <v>0</v>
      </c>
      <c r="AG49" s="12">
        <f ca="1">SUM($AE$49:$AF$49)</f>
        <v>0</v>
      </c>
      <c r="AH49" s="12">
        <f>'TUSD BE'!$AH$49*'TUSD BE'!$AH$68</f>
        <v>-1.184925786756859</v>
      </c>
      <c r="AI49" s="12">
        <f>'TUSD BE'!$AI$49*'TUSD BE'!$AI$68</f>
        <v>-4.3545283575530211E-2</v>
      </c>
      <c r="AJ49" s="12">
        <f ca="1">'TUSD BE'!$AJ$49*'TUSD BE'!$AJ$68</f>
        <v>-0.12932020651147716</v>
      </c>
      <c r="AK49" s="12">
        <f ca="1">'TUSD BE'!$AK$49*'TUSD BE'!$AK$68</f>
        <v>2.4442310593684451E-2</v>
      </c>
      <c r="AL49" s="12">
        <f ca="1">SUM($AH$49:$AK$49)</f>
        <v>-1.3333489662501818</v>
      </c>
      <c r="AM49" s="12">
        <f ca="1">SUMIF($L$4:$AL$4,"SUBTOTAL",$L$49:$AL$49)</f>
        <v>3.0784582565525858</v>
      </c>
      <c r="AO49" s="20">
        <f ca="1">+'TUSD BE'!$T$49+'TUSD BE'!$AB$49+'TUSD BE'!$AD$49+'TUSD BE'!$AL$49</f>
        <v>476.90718989507462</v>
      </c>
      <c r="AP49" s="20">
        <f ca="1">+'TUSD BE'!$T$49+'TUSD BE'!$AB$49+'TUSD BE'!$AD$49+'TUSD BE'!$AL$49</f>
        <v>476.90718989507462</v>
      </c>
    </row>
    <row r="50" spans="1:42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'TUSD BE'!$L$50*'TUSD BE'!$L$68</f>
        <v>-1.1797299576547233</v>
      </c>
      <c r="M50" s="12">
        <f>'TUSD BE'!$M$50*'TUSD BE'!$M$68</f>
        <v>-1.5533277885650213E-2</v>
      </c>
      <c r="N50" s="12">
        <f ca="1">'TUSD BE'!$N$50*'TUSD BE'!$N$68</f>
        <v>1.0919148201729448E-7</v>
      </c>
      <c r="O50" s="12">
        <f>'TUSD BE'!$O$50*'TUSD BE'!$O$68</f>
        <v>0</v>
      </c>
      <c r="P50" s="12">
        <f>'TUSD BE'!$P$50*'TUSD BE'!$P$68</f>
        <v>0</v>
      </c>
      <c r="Q50" s="12">
        <f>'TUSD BE'!$Q$50*'TUSD BE'!$Q$68</f>
        <v>-1.8226392642330822</v>
      </c>
      <c r="R50" s="12">
        <f>'TUSD BE'!$R$50*'TUSD BE'!$R$68</f>
        <v>-0.278416203295761</v>
      </c>
      <c r="S50" s="12">
        <f>'TUSD BE'!$R$50*'TUSD BE'!$S$68</f>
        <v>0</v>
      </c>
      <c r="T50" s="12">
        <f ca="1">SUM($L$50:$S$50)</f>
        <v>-3.2963185938777348</v>
      </c>
      <c r="U50" s="12">
        <f>'TUSD BE'!$U$50*'TUSD BE'!$U$68</f>
        <v>0</v>
      </c>
      <c r="V50" s="12">
        <f>'TUSD BE'!$V$50*'TUSD BE'!$V$68</f>
        <v>0</v>
      </c>
      <c r="W50" s="12">
        <f>'TUSD BE'!$W$50*'TUSD BE'!$W$68</f>
        <v>0</v>
      </c>
      <c r="X50" s="12">
        <f>'TUSD BE'!$X$50*'TUSD BE'!$X$68</f>
        <v>0</v>
      </c>
      <c r="Y50" s="12">
        <f>'TUSD BE'!$Y$50*'TUSD BE'!$Y$68</f>
        <v>2.5693752207663771</v>
      </c>
      <c r="Z50" s="12">
        <f>'TUSD BE'!$Z$50*'TUSD BE'!$Z$68</f>
        <v>0</v>
      </c>
      <c r="AA50" s="12">
        <f>'TUSD BE'!$AA$50*'TUSD BE'!$AA$68</f>
        <v>0</v>
      </c>
      <c r="AB50" s="12">
        <f>SUM($U$50:$AA$50)</f>
        <v>2.5693752207663771</v>
      </c>
      <c r="AC50" s="12">
        <f>'TUSD BE'!$AC$50*'TUSD BE'!$AC$68</f>
        <v>0</v>
      </c>
      <c r="AD50" s="12">
        <f>SUM($AC$50:$AC$50)</f>
        <v>0</v>
      </c>
      <c r="AE50" s="12">
        <f ca="1">$AO$50*$AO$65</f>
        <v>0</v>
      </c>
      <c r="AF50" s="12">
        <f ca="1">$AP$50*$AP$65</f>
        <v>0</v>
      </c>
      <c r="AG50" s="12">
        <f ca="1">SUM($AE$50:$AF$50)</f>
        <v>0</v>
      </c>
      <c r="AH50" s="12">
        <f>'TUSD BE'!$AH$50*'TUSD BE'!$AH$68</f>
        <v>-1.184925786756859</v>
      </c>
      <c r="AI50" s="12">
        <f>'TUSD BE'!$AI$50*'TUSD BE'!$AI$68</f>
        <v>-4.3545283575530211E-2</v>
      </c>
      <c r="AJ50" s="12">
        <f ca="1">'TUSD BE'!$AJ$50*'TUSD BE'!$AJ$68</f>
        <v>-0.12932020651147716</v>
      </c>
      <c r="AK50" s="12">
        <f ca="1">'TUSD BE'!$AK$50*'TUSD BE'!$AK$68</f>
        <v>2.4442310593684451E-2</v>
      </c>
      <c r="AL50" s="12">
        <f ca="1">SUM($AH$50:$AK$50)</f>
        <v>-1.3333489662501818</v>
      </c>
      <c r="AM50" s="12">
        <f ca="1">SUMIF($L$4:$AL$4,"SUBTOTAL",$L$50:$AL$50)</f>
        <v>-2.0602923393615393</v>
      </c>
      <c r="AO50" s="20">
        <f ca="1">+'TUSD BE'!$T$50+'TUSD BE'!$AB$50+'TUSD BE'!$AD$50+'TUSD BE'!$AL$50</f>
        <v>244.04733454738488</v>
      </c>
      <c r="AP50" s="20">
        <f ca="1">+'TUSD BE'!$T$50+'TUSD BE'!$AB$50+'TUSD BE'!$AD$50+'TUSD BE'!$AL$50</f>
        <v>244.04733454738488</v>
      </c>
    </row>
    <row r="51" spans="1:42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'TUSD BE'!$L$51*'TUSD BE'!$L$68</f>
        <v>-1.1797299576547233</v>
      </c>
      <c r="M51" s="12">
        <f>'TUSD BE'!$M$51*'TUSD BE'!$M$68</f>
        <v>-1.5533277885650213E-2</v>
      </c>
      <c r="N51" s="12">
        <f ca="1">'TUSD BE'!$N$51*'TUSD BE'!$N$68</f>
        <v>1.7494650332601907E-7</v>
      </c>
      <c r="O51" s="12">
        <f>'TUSD BE'!$O$51*'TUSD BE'!$O$68</f>
        <v>0</v>
      </c>
      <c r="P51" s="12">
        <f>'TUSD BE'!$P$51*'TUSD BE'!$P$68</f>
        <v>0</v>
      </c>
      <c r="Q51" s="12">
        <f>'TUSD BE'!$Q$51*'TUSD BE'!$Q$68</f>
        <v>-1.8226392642330822</v>
      </c>
      <c r="R51" s="12">
        <f>'TUSD BE'!$R$51*'TUSD BE'!$R$68</f>
        <v>-0.278416203295761</v>
      </c>
      <c r="S51" s="12">
        <f>'TUSD BE'!$R$51*'TUSD BE'!$S$68</f>
        <v>0</v>
      </c>
      <c r="T51" s="12">
        <f ca="1">SUM($L$51:$S$51)</f>
        <v>-3.2963185281227134</v>
      </c>
      <c r="U51" s="12">
        <f>'TUSD BE'!$U$51*'TUSD BE'!$U$68</f>
        <v>0</v>
      </c>
      <c r="V51" s="12">
        <f>'TUSD BE'!$V$51*'TUSD BE'!$V$68</f>
        <v>0</v>
      </c>
      <c r="W51" s="12">
        <f>'TUSD BE'!$W$51*'TUSD BE'!$W$68</f>
        <v>0</v>
      </c>
      <c r="X51" s="12">
        <f>'TUSD BE'!$X$51*'TUSD BE'!$X$68</f>
        <v>0</v>
      </c>
      <c r="Y51" s="12">
        <f>'TUSD BE'!$Y$51*'TUSD BE'!$Y$68</f>
        <v>4.7581053024306144</v>
      </c>
      <c r="Z51" s="12">
        <f>'TUSD BE'!$Z$51*'TUSD BE'!$Z$68</f>
        <v>0</v>
      </c>
      <c r="AA51" s="12">
        <f>'TUSD BE'!$AA$51*'TUSD BE'!$AA$68</f>
        <v>0</v>
      </c>
      <c r="AB51" s="12">
        <f>SUM($U$51:$AA$51)</f>
        <v>4.7581053024306144</v>
      </c>
      <c r="AC51" s="12">
        <f>'TUSD BE'!$AC$51*'TUSD BE'!$AC$68</f>
        <v>0</v>
      </c>
      <c r="AD51" s="12">
        <f>SUM($AC$51:$AC$51)</f>
        <v>0</v>
      </c>
      <c r="AE51" s="12">
        <f ca="1">$AO$51*$AO$65</f>
        <v>0</v>
      </c>
      <c r="AF51" s="12">
        <f ca="1">$AP$51*$AP$65</f>
        <v>0</v>
      </c>
      <c r="AG51" s="12">
        <f ca="1">SUM($AE$51:$AF$51)</f>
        <v>0</v>
      </c>
      <c r="AH51" s="12">
        <f>'TUSD BE'!$AH$51*'TUSD BE'!$AH$68</f>
        <v>-1.184925786756859</v>
      </c>
      <c r="AI51" s="12">
        <f>'TUSD BE'!$AI$51*'TUSD BE'!$AI$68</f>
        <v>-4.3545283575530211E-2</v>
      </c>
      <c r="AJ51" s="12">
        <f ca="1">'TUSD BE'!$AJ$51*'TUSD BE'!$AJ$68</f>
        <v>-0.12932020651147716</v>
      </c>
      <c r="AK51" s="12">
        <f ca="1">'TUSD BE'!$AK$51*'TUSD BE'!$AK$68</f>
        <v>2.4442310593684451E-2</v>
      </c>
      <c r="AL51" s="12">
        <f ca="1">SUM($AH$51:$AK$51)</f>
        <v>-1.3333489662501818</v>
      </c>
      <c r="AM51" s="12">
        <f ca="1">SUMIF($L$4:$AL$4,"SUBTOTAL",$L$51:$AL$51)</f>
        <v>0.12843780805771909</v>
      </c>
      <c r="AO51" s="20">
        <f ca="1">+'TUSD BE'!$T$51+'TUSD BE'!$AB$51+'TUSD BE'!$AD$51+'TUSD BE'!$AL$51</f>
        <v>343.22837518745104</v>
      </c>
      <c r="AP51" s="20">
        <f ca="1">+'TUSD BE'!$T$51+'TUSD BE'!$AB$51+'TUSD BE'!$AD$51+'TUSD BE'!$AL$51</f>
        <v>343.22837518745104</v>
      </c>
    </row>
    <row r="52" spans="1:42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'TUSD BE'!$L$52*'TUSD BE'!$L$68</f>
        <v>-1.1797299576547233</v>
      </c>
      <c r="M52" s="12">
        <f>'TUSD BE'!$M$52*'TUSD BE'!$M$68</f>
        <v>-1.5533277885650213E-2</v>
      </c>
      <c r="N52" s="12">
        <f ca="1">'TUSD BE'!$N$52*'TUSD BE'!$N$68</f>
        <v>1.7494650332601907E-7</v>
      </c>
      <c r="O52" s="12">
        <f>'TUSD BE'!$O$52*'TUSD BE'!$O$68</f>
        <v>0</v>
      </c>
      <c r="P52" s="12">
        <f>'TUSD BE'!$P$52*'TUSD BE'!$P$68</f>
        <v>0</v>
      </c>
      <c r="Q52" s="12">
        <f>'TUSD BE'!$Q$52*'TUSD BE'!$Q$68</f>
        <v>-1.8226392642330822</v>
      </c>
      <c r="R52" s="12">
        <f>'TUSD BE'!$R$52*'TUSD BE'!$R$68</f>
        <v>-0.278416203295761</v>
      </c>
      <c r="S52" s="12">
        <f>'TUSD BE'!$R$52*'TUSD BE'!$S$68</f>
        <v>0</v>
      </c>
      <c r="T52" s="12">
        <f ca="1">SUM($L$52:$S$52)</f>
        <v>-3.2963185281227134</v>
      </c>
      <c r="U52" s="12">
        <f>'TUSD BE'!$U$52*'TUSD BE'!$U$68</f>
        <v>0</v>
      </c>
      <c r="V52" s="12">
        <f>'TUSD BE'!$V$52*'TUSD BE'!$V$68</f>
        <v>0</v>
      </c>
      <c r="W52" s="12">
        <f>'TUSD BE'!$W$52*'TUSD BE'!$W$68</f>
        <v>0</v>
      </c>
      <c r="X52" s="12">
        <f>'TUSD BE'!$X$52*'TUSD BE'!$X$68</f>
        <v>0</v>
      </c>
      <c r="Y52" s="12">
        <f>'TUSD BE'!$Y$52*'TUSD BE'!$Y$68</f>
        <v>4.7581053024306144</v>
      </c>
      <c r="Z52" s="12">
        <f>'TUSD BE'!$Z$52*'TUSD BE'!$Z$68</f>
        <v>0</v>
      </c>
      <c r="AA52" s="12">
        <f>'TUSD BE'!$AA$52*'TUSD BE'!$AA$68</f>
        <v>0</v>
      </c>
      <c r="AB52" s="12">
        <f>SUM($U$52:$AA$52)</f>
        <v>4.7581053024306144</v>
      </c>
      <c r="AC52" s="12">
        <f>'TUSD BE'!$AC$52*'TUSD BE'!$AC$68</f>
        <v>0</v>
      </c>
      <c r="AD52" s="12">
        <f>SUM($AC$52:$AC$52)</f>
        <v>0</v>
      </c>
      <c r="AE52" s="12">
        <f ca="1">$AO$52*$AO$65</f>
        <v>0</v>
      </c>
      <c r="AF52" s="12">
        <f ca="1">$AP$52*$AP$65</f>
        <v>0</v>
      </c>
      <c r="AG52" s="12">
        <f ca="1">SUM($AE$52:$AF$52)</f>
        <v>0</v>
      </c>
      <c r="AH52" s="12">
        <f>'TUSD BE'!$AH$52*'TUSD BE'!$AH$68</f>
        <v>-1.184925786756859</v>
      </c>
      <c r="AI52" s="12">
        <f>'TUSD BE'!$AI$52*'TUSD BE'!$AI$68</f>
        <v>-4.3545283575530211E-2</v>
      </c>
      <c r="AJ52" s="12">
        <f ca="1">'TUSD BE'!$AJ$52*'TUSD BE'!$AJ$68</f>
        <v>-0.12932020651147716</v>
      </c>
      <c r="AK52" s="12">
        <f ca="1">'TUSD BE'!$AK$52*'TUSD BE'!$AK$68</f>
        <v>2.4442310593684451E-2</v>
      </c>
      <c r="AL52" s="12">
        <f ca="1">SUM($AH$52:$AK$52)</f>
        <v>-1.3333489662501818</v>
      </c>
      <c r="AM52" s="12">
        <f ca="1">SUMIF($L$4:$AL$4,"SUBTOTAL",$L$52:$AL$52)</f>
        <v>0.12843780805771909</v>
      </c>
      <c r="AO52" s="20">
        <f ca="1">+'TUSD BE'!$T$52+'TUSD BE'!$AB$52+'TUSD BE'!$AD$52+'TUSD BE'!$AL$52</f>
        <v>343.22837518745104</v>
      </c>
      <c r="AP52" s="20">
        <f ca="1">+'TUSD BE'!$T$52+'TUSD BE'!$AB$52+'TUSD BE'!$AD$52+'TUSD BE'!$AL$52</f>
        <v>343.22837518745104</v>
      </c>
    </row>
    <row r="53" spans="1:42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'TUSD BE'!$L$53*'TUSD BE'!$L$68</f>
        <v>-1.1797299576547233</v>
      </c>
      <c r="M53" s="12">
        <f>'TUSD BE'!$M$53*'TUSD BE'!$M$68</f>
        <v>-1.5533277885650213E-2</v>
      </c>
      <c r="N53" s="12">
        <f ca="1">'TUSD BE'!$N$53*'TUSD BE'!$N$68</f>
        <v>1.7494650332601907E-7</v>
      </c>
      <c r="O53" s="12">
        <f>'TUSD BE'!$O$53*'TUSD BE'!$O$68</f>
        <v>0</v>
      </c>
      <c r="P53" s="12">
        <f>'TUSD BE'!$P$53*'TUSD BE'!$P$68</f>
        <v>0</v>
      </c>
      <c r="Q53" s="12">
        <f>'TUSD BE'!$Q$53*'TUSD BE'!$Q$68</f>
        <v>-1.8226392642330822</v>
      </c>
      <c r="R53" s="12">
        <f>'TUSD BE'!$R$53*'TUSD BE'!$R$68</f>
        <v>-0.278416203295761</v>
      </c>
      <c r="S53" s="12">
        <f>'TUSD BE'!$R$53*'TUSD BE'!$S$68</f>
        <v>0</v>
      </c>
      <c r="T53" s="12">
        <f ca="1">SUM($L$53:$S$53)</f>
        <v>-3.2963185281227134</v>
      </c>
      <c r="U53" s="12">
        <f>'TUSD BE'!$U$53*'TUSD BE'!$U$68</f>
        <v>0</v>
      </c>
      <c r="V53" s="12">
        <f>'TUSD BE'!$V$53*'TUSD BE'!$V$68</f>
        <v>0</v>
      </c>
      <c r="W53" s="12">
        <f>'TUSD BE'!$W$53*'TUSD BE'!$W$68</f>
        <v>0</v>
      </c>
      <c r="X53" s="12">
        <f>'TUSD BE'!$X$53*'TUSD BE'!$X$68</f>
        <v>0</v>
      </c>
      <c r="Y53" s="12">
        <f>'TUSD BE'!$Y$53*'TUSD BE'!$Y$68</f>
        <v>4.7581053024306144</v>
      </c>
      <c r="Z53" s="12">
        <f>'TUSD BE'!$Z$53*'TUSD BE'!$Z$68</f>
        <v>0</v>
      </c>
      <c r="AA53" s="12">
        <f>'TUSD BE'!$AA$53*'TUSD BE'!$AA$68</f>
        <v>0</v>
      </c>
      <c r="AB53" s="12">
        <f>SUM($U$53:$AA$53)</f>
        <v>4.7581053024306144</v>
      </c>
      <c r="AC53" s="12">
        <f>'TUSD BE'!$AC$53*'TUSD BE'!$AC$68</f>
        <v>0</v>
      </c>
      <c r="AD53" s="12">
        <f>SUM($AC$53:$AC$53)</f>
        <v>0</v>
      </c>
      <c r="AE53" s="12">
        <f ca="1">$AO$53*$AO$65</f>
        <v>0</v>
      </c>
      <c r="AF53" s="12">
        <f ca="1">$AP$53*$AP$65</f>
        <v>0</v>
      </c>
      <c r="AG53" s="12">
        <f ca="1">SUM($AE$53:$AF$53)</f>
        <v>0</v>
      </c>
      <c r="AH53" s="12">
        <f>'TUSD BE'!$AH$53*'TUSD BE'!$AH$68</f>
        <v>-1.184925786756859</v>
      </c>
      <c r="AI53" s="12">
        <f>'TUSD BE'!$AI$53*'TUSD BE'!$AI$68</f>
        <v>-4.3545283575530211E-2</v>
      </c>
      <c r="AJ53" s="12">
        <f ca="1">'TUSD BE'!$AJ$53*'TUSD BE'!$AJ$68</f>
        <v>-0.12932020651147716</v>
      </c>
      <c r="AK53" s="12">
        <f ca="1">'TUSD BE'!$AK$53*'TUSD BE'!$AK$68</f>
        <v>2.4442310593684451E-2</v>
      </c>
      <c r="AL53" s="12">
        <f ca="1">SUM($AH$53:$AK$53)</f>
        <v>-1.3333489662501818</v>
      </c>
      <c r="AM53" s="12">
        <f ca="1">SUMIF($L$4:$AL$4,"SUBTOTAL",$L$53:$AL$53)</f>
        <v>0.12843780805771909</v>
      </c>
      <c r="AO53" s="20">
        <f ca="1">+'TUSD BE'!$T$53+'TUSD BE'!$AB$53+'TUSD BE'!$AD$53+'TUSD BE'!$AL$53</f>
        <v>343.22837518745104</v>
      </c>
      <c r="AP53" s="20">
        <f ca="1">+'TUSD BE'!$T$53+'TUSD BE'!$AB$53+'TUSD BE'!$AD$53+'TUSD BE'!$AL$53</f>
        <v>343.22837518745104</v>
      </c>
    </row>
    <row r="54" spans="1:42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'TUSD BE'!$L$54*'TUSD BE'!$L$68</f>
        <v>-1.1797299576547233</v>
      </c>
      <c r="M54" s="12">
        <f>'TUSD BE'!$M$54*'TUSD BE'!$M$68</f>
        <v>-1.5533277885650213E-2</v>
      </c>
      <c r="N54" s="12">
        <f ca="1">'TUSD BE'!$N$54*'TUSD BE'!$N$68</f>
        <v>1.7494650332601907E-7</v>
      </c>
      <c r="O54" s="12">
        <f>'TUSD BE'!$O$54*'TUSD BE'!$O$68</f>
        <v>0</v>
      </c>
      <c r="P54" s="12">
        <f>'TUSD BE'!$P$54*'TUSD BE'!$P$68</f>
        <v>0</v>
      </c>
      <c r="Q54" s="12">
        <f>'TUSD BE'!$Q$54*'TUSD BE'!$Q$68</f>
        <v>-1.8226392642330822</v>
      </c>
      <c r="R54" s="12">
        <f>'TUSD BE'!$R$54*'TUSD BE'!$R$68</f>
        <v>-0.278416203295761</v>
      </c>
      <c r="S54" s="12">
        <f>'TUSD BE'!$R$54*'TUSD BE'!$S$68</f>
        <v>0</v>
      </c>
      <c r="T54" s="12">
        <f ca="1">SUM($L$54:$S$54)</f>
        <v>-3.2963185281227134</v>
      </c>
      <c r="U54" s="12">
        <f>'TUSD BE'!$U$54*'TUSD BE'!$U$68</f>
        <v>0</v>
      </c>
      <c r="V54" s="12">
        <f>'TUSD BE'!$V$54*'TUSD BE'!$V$68</f>
        <v>0</v>
      </c>
      <c r="W54" s="12">
        <f>'TUSD BE'!$W$54*'TUSD BE'!$W$68</f>
        <v>0</v>
      </c>
      <c r="X54" s="12">
        <f>'TUSD BE'!$X$54*'TUSD BE'!$X$68</f>
        <v>0</v>
      </c>
      <c r="Y54" s="12">
        <f>'TUSD BE'!$Y$54*'TUSD BE'!$Y$68</f>
        <v>4.7581053024306144</v>
      </c>
      <c r="Z54" s="12">
        <f>'TUSD BE'!$Z$54*'TUSD BE'!$Z$68</f>
        <v>0</v>
      </c>
      <c r="AA54" s="12">
        <f>'TUSD BE'!$AA$54*'TUSD BE'!$AA$68</f>
        <v>0</v>
      </c>
      <c r="AB54" s="12">
        <f>SUM($U$54:$AA$54)</f>
        <v>4.7581053024306144</v>
      </c>
      <c r="AC54" s="12">
        <f>'TUSD BE'!$AC$54*'TUSD BE'!$AC$68</f>
        <v>0</v>
      </c>
      <c r="AD54" s="12">
        <f>SUM($AC$54:$AC$54)</f>
        <v>0</v>
      </c>
      <c r="AE54" s="12">
        <f ca="1">$AO$54*$AO$65</f>
        <v>0</v>
      </c>
      <c r="AF54" s="12">
        <f ca="1">$AP$54*$AP$65</f>
        <v>0</v>
      </c>
      <c r="AG54" s="12">
        <f ca="1">SUM($AE$54:$AF$54)</f>
        <v>0</v>
      </c>
      <c r="AH54" s="12">
        <f>'TUSD BE'!$AH$54*'TUSD BE'!$AH$68</f>
        <v>-1.184925786756859</v>
      </c>
      <c r="AI54" s="12">
        <f>'TUSD BE'!$AI$54*'TUSD BE'!$AI$68</f>
        <v>-4.3545283575530211E-2</v>
      </c>
      <c r="AJ54" s="12">
        <f ca="1">'TUSD BE'!$AJ$54*'TUSD BE'!$AJ$68</f>
        <v>-0.12932020651147716</v>
      </c>
      <c r="AK54" s="12">
        <f ca="1">'TUSD BE'!$AK$54*'TUSD BE'!$AK$68</f>
        <v>2.4442310593684451E-2</v>
      </c>
      <c r="AL54" s="12">
        <f ca="1">SUM($AH$54:$AK$54)</f>
        <v>-1.3333489662501818</v>
      </c>
      <c r="AM54" s="12">
        <f ca="1">SUMIF($L$4:$AL$4,"SUBTOTAL",$L$54:$AL$54)</f>
        <v>0.12843780805771909</v>
      </c>
      <c r="AO54" s="20">
        <f ca="1">+'TUSD BE'!$T$54+'TUSD BE'!$AB$54+'TUSD BE'!$AD$54+'TUSD BE'!$AL$54</f>
        <v>343.22837518745104</v>
      </c>
      <c r="AP54" s="20">
        <f ca="1">+'TUSD BE'!$T$54+'TUSD BE'!$AB$54+'TUSD BE'!$AD$54+'TUSD BE'!$AL$54</f>
        <v>343.22837518745104</v>
      </c>
    </row>
    <row r="55" spans="1:42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'TUSD BE'!$L$55*'TUSD BE'!$L$68</f>
        <v>-1.1797299576547233</v>
      </c>
      <c r="M55" s="12">
        <f>'TUSD BE'!$M$55*'TUSD BE'!$M$68</f>
        <v>-1.5533277885650213E-2</v>
      </c>
      <c r="N55" s="12">
        <f ca="1">'TUSD BE'!$N$55*'TUSD BE'!$N$68</f>
        <v>5.3231079134220644E-7</v>
      </c>
      <c r="O55" s="12">
        <f>'TUSD BE'!$O$55*'TUSD BE'!$O$68</f>
        <v>0</v>
      </c>
      <c r="P55" s="12">
        <f>'TUSD BE'!$P$55*'TUSD BE'!$P$68</f>
        <v>0</v>
      </c>
      <c r="Q55" s="12">
        <f>'TUSD BE'!$Q$55*'TUSD BE'!$Q$68</f>
        <v>-1.8226392642330822</v>
      </c>
      <c r="R55" s="12">
        <f>'TUSD BE'!$R$55*'TUSD BE'!$R$68</f>
        <v>-0.278416203295761</v>
      </c>
      <c r="S55" s="12">
        <f>'TUSD BE'!$R$55*'TUSD BE'!$S$68</f>
        <v>0</v>
      </c>
      <c r="T55" s="12">
        <f ca="1">SUM($L$55:$S$55)</f>
        <v>-3.2963181707584255</v>
      </c>
      <c r="U55" s="12">
        <f>'TUSD BE'!$U$55*'TUSD BE'!$U$68</f>
        <v>0</v>
      </c>
      <c r="V55" s="12">
        <f>'TUSD BE'!$V$55*'TUSD BE'!$V$68</f>
        <v>0</v>
      </c>
      <c r="W55" s="12">
        <f>'TUSD BE'!$W$55*'TUSD BE'!$W$68</f>
        <v>0</v>
      </c>
      <c r="X55" s="12">
        <f>'TUSD BE'!$X$55*'TUSD BE'!$X$68</f>
        <v>0</v>
      </c>
      <c r="Y55" s="12">
        <f>'TUSD BE'!$Y$55*'TUSD BE'!$Y$68</f>
        <v>16.65336482544771</v>
      </c>
      <c r="Z55" s="12">
        <f>'TUSD BE'!$Z$55*'TUSD BE'!$Z$68</f>
        <v>0</v>
      </c>
      <c r="AA55" s="12">
        <f>'TUSD BE'!$AA$55*'TUSD BE'!$AA$68</f>
        <v>0</v>
      </c>
      <c r="AB55" s="12">
        <f>SUM($U$55:$AA$55)</f>
        <v>16.65336482544771</v>
      </c>
      <c r="AC55" s="12">
        <f>'TUSD BE'!$AC$55*'TUSD BE'!$AC$68</f>
        <v>0</v>
      </c>
      <c r="AD55" s="12">
        <f>SUM($AC$55:$AC$55)</f>
        <v>0</v>
      </c>
      <c r="AE55" s="12">
        <f ca="1">$AO$55*$AO$65</f>
        <v>0</v>
      </c>
      <c r="AF55" s="12">
        <f ca="1">$AP$55*$AP$65</f>
        <v>0</v>
      </c>
      <c r="AG55" s="12">
        <f ca="1">SUM($AE$55:$AF$55)</f>
        <v>0</v>
      </c>
      <c r="AH55" s="12">
        <f>'TUSD BE'!$AH$55*'TUSD BE'!$AH$68</f>
        <v>-1.184925786756859</v>
      </c>
      <c r="AI55" s="12">
        <f>'TUSD BE'!$AI$55*'TUSD BE'!$AI$68</f>
        <v>-4.3545283575530211E-2</v>
      </c>
      <c r="AJ55" s="12">
        <f ca="1">'TUSD BE'!$AJ$55*'TUSD BE'!$AJ$68</f>
        <v>-0.12932020651147716</v>
      </c>
      <c r="AK55" s="12">
        <f ca="1">'TUSD BE'!$AK$55*'TUSD BE'!$AK$68</f>
        <v>2.4442310593684451E-2</v>
      </c>
      <c r="AL55" s="12">
        <f ca="1">SUM($AH$55:$AK$55)</f>
        <v>-1.3333489662501818</v>
      </c>
      <c r="AM55" s="12">
        <f ca="1">SUMIF($L$4:$AL$4,"SUBTOTAL",$L$55:$AL$55)</f>
        <v>12.023697688439103</v>
      </c>
      <c r="AO55" s="20">
        <f ca="1">+'TUSD BE'!$T$55+'TUSD BE'!$AB$55+'TUSD BE'!$AD$55+'TUSD BE'!$AL$55</f>
        <v>882.25582305712828</v>
      </c>
      <c r="AP55" s="20">
        <f ca="1">+'TUSD BE'!$T$55+'TUSD BE'!$AB$55+'TUSD BE'!$AD$55+'TUSD BE'!$AL$55</f>
        <v>882.25582305712828</v>
      </c>
    </row>
    <row r="56" spans="1:42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'TUSD BE'!$L$56*'TUSD BE'!$L$68</f>
        <v>-1.1797299576547233</v>
      </c>
      <c r="M56" s="12">
        <f>'TUSD BE'!$M$56*'TUSD BE'!$M$68</f>
        <v>-1.5533277885650213E-2</v>
      </c>
      <c r="N56" s="12">
        <f ca="1">'TUSD BE'!$N$56*'TUSD BE'!$N$68</f>
        <v>1.3206281118231713E-7</v>
      </c>
      <c r="O56" s="12">
        <f>'TUSD BE'!$O$56*'TUSD BE'!$O$68</f>
        <v>0</v>
      </c>
      <c r="P56" s="12">
        <f>'TUSD BE'!$P$56*'TUSD BE'!$P$68</f>
        <v>0</v>
      </c>
      <c r="Q56" s="12">
        <f>'TUSD BE'!$Q$56*'TUSD BE'!$Q$68</f>
        <v>-1.8226392642330822</v>
      </c>
      <c r="R56" s="12">
        <f>'TUSD BE'!$R$56*'TUSD BE'!$R$68</f>
        <v>-0.278416203295761</v>
      </c>
      <c r="S56" s="12">
        <f>'TUSD BE'!$R$56*'TUSD BE'!$S$68</f>
        <v>0</v>
      </c>
      <c r="T56" s="12">
        <f ca="1">SUM($L$56:$S$56)</f>
        <v>-3.2963185710064056</v>
      </c>
      <c r="U56" s="12">
        <f>'TUSD BE'!$U$56*'TUSD BE'!$U$68</f>
        <v>0</v>
      </c>
      <c r="V56" s="12">
        <f>'TUSD BE'!$V$56*'TUSD BE'!$V$68</f>
        <v>0</v>
      </c>
      <c r="W56" s="12">
        <f>'TUSD BE'!$W$56*'TUSD BE'!$W$68</f>
        <v>0</v>
      </c>
      <c r="X56" s="12">
        <f>'TUSD BE'!$X$56*'TUSD BE'!$X$68</f>
        <v>0</v>
      </c>
      <c r="Y56" s="12">
        <f>'TUSD BE'!$Y$56*'TUSD BE'!$Y$68</f>
        <v>3.3306729650895419</v>
      </c>
      <c r="Z56" s="12">
        <f>'TUSD BE'!$Z$56*'TUSD BE'!$Z$68</f>
        <v>0</v>
      </c>
      <c r="AA56" s="12">
        <f>'TUSD BE'!$AA$56*'TUSD BE'!$AA$68</f>
        <v>0</v>
      </c>
      <c r="AB56" s="12">
        <f>SUM($U$56:$AA$56)</f>
        <v>3.3306729650895419</v>
      </c>
      <c r="AC56" s="12">
        <f>'TUSD BE'!$AC$56*'TUSD BE'!$AC$68</f>
        <v>0</v>
      </c>
      <c r="AD56" s="12">
        <f>SUM($AC$56:$AC$56)</f>
        <v>0</v>
      </c>
      <c r="AE56" s="12">
        <f ca="1">$AO$56*$AO$65</f>
        <v>0</v>
      </c>
      <c r="AF56" s="12">
        <f ca="1">$AP$56*$AP$65</f>
        <v>0</v>
      </c>
      <c r="AG56" s="12">
        <f ca="1">SUM($AE$56:$AF$56)</f>
        <v>0</v>
      </c>
      <c r="AH56" s="12">
        <f>'TUSD BE'!$AH$56*'TUSD BE'!$AH$68</f>
        <v>-1.184925786756859</v>
      </c>
      <c r="AI56" s="12">
        <f>'TUSD BE'!$AI$56*'TUSD BE'!$AI$68</f>
        <v>-4.3545283575530211E-2</v>
      </c>
      <c r="AJ56" s="12">
        <f ca="1">'TUSD BE'!$AJ$56*'TUSD BE'!$AJ$68</f>
        <v>-0.12932020651147716</v>
      </c>
      <c r="AK56" s="12">
        <f ca="1">'TUSD BE'!$AK$56*'TUSD BE'!$AK$68</f>
        <v>2.4442310593684451E-2</v>
      </c>
      <c r="AL56" s="12">
        <f ca="1">SUM($AH$56:$AK$56)</f>
        <v>-1.3333489662501818</v>
      </c>
      <c r="AM56" s="12">
        <f ca="1">SUMIF($L$4:$AL$4,"SUBTOTAL",$L$56:$AL$56)</f>
        <v>-1.2989945721670455</v>
      </c>
      <c r="AO56" s="20">
        <f ca="1">+'TUSD BE'!$T$56+'TUSD BE'!$AB$56+'TUSD BE'!$AD$56+'TUSD BE'!$AL$56</f>
        <v>278.54511388700081</v>
      </c>
      <c r="AP56" s="20">
        <f ca="1">+'TUSD BE'!$T$56+'TUSD BE'!$AB$56+'TUSD BE'!$AD$56+'TUSD BE'!$AL$56</f>
        <v>278.54511388700081</v>
      </c>
    </row>
    <row r="57" spans="1:42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'TUSD BE'!$L$57*'TUSD BE'!$L$68</f>
        <v>-1.1797299576547233</v>
      </c>
      <c r="M57" s="12">
        <f>'TUSD BE'!$M$57*'TUSD BE'!$M$68</f>
        <v>-1.5533277885650213E-2</v>
      </c>
      <c r="N57" s="12">
        <f ca="1">'TUSD BE'!$N$57*'TUSD BE'!$N$68</f>
        <v>1.3206281118231713E-7</v>
      </c>
      <c r="O57" s="12">
        <f>'TUSD BE'!$O$57*'TUSD BE'!$O$68</f>
        <v>0</v>
      </c>
      <c r="P57" s="12">
        <f>'TUSD BE'!$P$57*'TUSD BE'!$P$68</f>
        <v>0</v>
      </c>
      <c r="Q57" s="12">
        <f>'TUSD BE'!$Q$57*'TUSD BE'!$Q$68</f>
        <v>-1.8226392642330822</v>
      </c>
      <c r="R57" s="12">
        <f>'TUSD BE'!$R$57*'TUSD BE'!$R$68</f>
        <v>-0.278416203295761</v>
      </c>
      <c r="S57" s="12">
        <f>'TUSD BE'!$R$57*'TUSD BE'!$S$68</f>
        <v>0</v>
      </c>
      <c r="T57" s="12">
        <f ca="1">SUM($L$57:$S$57)</f>
        <v>-3.2963185710064056</v>
      </c>
      <c r="U57" s="12">
        <f>'TUSD BE'!$U$57*'TUSD BE'!$U$68</f>
        <v>0</v>
      </c>
      <c r="V57" s="12">
        <f>'TUSD BE'!$V$57*'TUSD BE'!$V$68</f>
        <v>0</v>
      </c>
      <c r="W57" s="12">
        <f>'TUSD BE'!$W$57*'TUSD BE'!$W$68</f>
        <v>0</v>
      </c>
      <c r="X57" s="12">
        <f>'TUSD BE'!$X$57*'TUSD BE'!$X$68</f>
        <v>0</v>
      </c>
      <c r="Y57" s="12">
        <f>'TUSD BE'!$Y$57*'TUSD BE'!$Y$68</f>
        <v>3.3306729650895419</v>
      </c>
      <c r="Z57" s="12">
        <f>'TUSD BE'!$Z$57*'TUSD BE'!$Z$68</f>
        <v>0</v>
      </c>
      <c r="AA57" s="12">
        <f>'TUSD BE'!$AA$57*'TUSD BE'!$AA$68</f>
        <v>0</v>
      </c>
      <c r="AB57" s="12">
        <f>SUM($U$57:$AA$57)</f>
        <v>3.3306729650895419</v>
      </c>
      <c r="AC57" s="12">
        <f>'TUSD BE'!$AC$57*'TUSD BE'!$AC$68</f>
        <v>0</v>
      </c>
      <c r="AD57" s="12">
        <f>SUM($AC$57:$AC$57)</f>
        <v>0</v>
      </c>
      <c r="AE57" s="12">
        <f ca="1">$AO$57*$AO$65</f>
        <v>0</v>
      </c>
      <c r="AF57" s="12">
        <f ca="1">$AP$57*$AP$65</f>
        <v>0</v>
      </c>
      <c r="AG57" s="12">
        <f ca="1">SUM($AE$57:$AF$57)</f>
        <v>0</v>
      </c>
      <c r="AH57" s="12">
        <f>'TUSD BE'!$AH$57*'TUSD BE'!$AH$68</f>
        <v>-1.184925786756859</v>
      </c>
      <c r="AI57" s="12">
        <f>'TUSD BE'!$AI$57*'TUSD BE'!$AI$68</f>
        <v>-4.3545283575530211E-2</v>
      </c>
      <c r="AJ57" s="12">
        <f ca="1">'TUSD BE'!$AJ$57*'TUSD BE'!$AJ$68</f>
        <v>-0.12932020651147716</v>
      </c>
      <c r="AK57" s="12">
        <f ca="1">'TUSD BE'!$AK$57*'TUSD BE'!$AK$68</f>
        <v>2.4442310593684451E-2</v>
      </c>
      <c r="AL57" s="12">
        <f ca="1">SUM($AH$57:$AK$57)</f>
        <v>-1.3333489662501818</v>
      </c>
      <c r="AM57" s="12">
        <f ca="1">SUMIF($L$4:$AL$4,"SUBTOTAL",$L$57:$AL$57)</f>
        <v>-1.2989945721670455</v>
      </c>
      <c r="AO57" s="20">
        <f ca="1">+'TUSD BE'!$T$57+'TUSD BE'!$AB$57+'TUSD BE'!$AD$57+'TUSD BE'!$AL$57</f>
        <v>278.54511388700081</v>
      </c>
      <c r="AP57" s="20">
        <f ca="1">+'TUSD BE'!$T$57+'TUSD BE'!$AB$57+'TUSD BE'!$AD$57+'TUSD BE'!$AL$57</f>
        <v>278.54511388700081</v>
      </c>
    </row>
    <row r="58" spans="1:42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'TUSD BE'!$L$58*'TUSD BE'!$L$68</f>
        <v>-1.1797299576547233</v>
      </c>
      <c r="M58" s="12">
        <f>'TUSD BE'!$M$58*'TUSD BE'!$M$68</f>
        <v>-1.5533277885650213E-2</v>
      </c>
      <c r="N58" s="12">
        <f ca="1">'TUSD BE'!$N$58*'TUSD BE'!$N$68</f>
        <v>1.7494650332601907E-7</v>
      </c>
      <c r="O58" s="12">
        <f>'TUSD BE'!$O$58*'TUSD BE'!$O$68</f>
        <v>0</v>
      </c>
      <c r="P58" s="12">
        <f>'TUSD BE'!$P$58*'TUSD BE'!$P$68</f>
        <v>0</v>
      </c>
      <c r="Q58" s="12">
        <f>'TUSD BE'!$Q$58*'TUSD BE'!$Q$68</f>
        <v>-1.8226392642330822</v>
      </c>
      <c r="R58" s="12">
        <f>'TUSD BE'!$R$58*'TUSD BE'!$R$68</f>
        <v>-0.278416203295761</v>
      </c>
      <c r="S58" s="12">
        <f>'TUSD BE'!$R$58*'TUSD BE'!$S$68</f>
        <v>0</v>
      </c>
      <c r="T58" s="12">
        <f ca="1">SUM($L$58:$S$58)</f>
        <v>-3.2963185281227134</v>
      </c>
      <c r="U58" s="12">
        <f>'TUSD BE'!$U$58*'TUSD BE'!$U$68</f>
        <v>0</v>
      </c>
      <c r="V58" s="12">
        <f>'TUSD BE'!$V$58*'TUSD BE'!$V$68</f>
        <v>0</v>
      </c>
      <c r="W58" s="12">
        <f>'TUSD BE'!$W$58*'TUSD BE'!$W$68</f>
        <v>0</v>
      </c>
      <c r="X58" s="12">
        <f>'TUSD BE'!$X$58*'TUSD BE'!$X$68</f>
        <v>0</v>
      </c>
      <c r="Y58" s="12">
        <f>'TUSD BE'!$Y$58*'TUSD BE'!$Y$68</f>
        <v>4.7581053024306144</v>
      </c>
      <c r="Z58" s="12">
        <f>'TUSD BE'!$Z$58*'TUSD BE'!$Z$68</f>
        <v>0</v>
      </c>
      <c r="AA58" s="12">
        <f>'TUSD BE'!$AA$58*'TUSD BE'!$AA$68</f>
        <v>0</v>
      </c>
      <c r="AB58" s="12">
        <f>SUM($U$58:$AA$58)</f>
        <v>4.7581053024306144</v>
      </c>
      <c r="AC58" s="12">
        <f>'TUSD BE'!$AC$58*'TUSD BE'!$AC$68</f>
        <v>0</v>
      </c>
      <c r="AD58" s="12">
        <f>SUM($AC$58:$AC$58)</f>
        <v>0</v>
      </c>
      <c r="AE58" s="12">
        <f ca="1">$AO$58*$AO$65</f>
        <v>0</v>
      </c>
      <c r="AF58" s="12">
        <f ca="1">$AP$58*$AP$65</f>
        <v>0</v>
      </c>
      <c r="AG58" s="12">
        <f ca="1">SUM($AE$58:$AF$58)</f>
        <v>0</v>
      </c>
      <c r="AH58" s="12">
        <f>'TUSD BE'!$AH$58*'TUSD BE'!$AH$68</f>
        <v>-1.184925786756859</v>
      </c>
      <c r="AI58" s="12">
        <f>'TUSD BE'!$AI$58*'TUSD BE'!$AI$68</f>
        <v>-4.3545283575530211E-2</v>
      </c>
      <c r="AJ58" s="12">
        <f ca="1">'TUSD BE'!$AJ$58*'TUSD BE'!$AJ$68</f>
        <v>-0.12932020651147716</v>
      </c>
      <c r="AK58" s="12">
        <f ca="1">'TUSD BE'!$AK$58*'TUSD BE'!$AK$68</f>
        <v>2.4442310593684451E-2</v>
      </c>
      <c r="AL58" s="12">
        <f ca="1">SUM($AH$58:$AK$58)</f>
        <v>-1.3333489662501818</v>
      </c>
      <c r="AM58" s="12">
        <f ca="1">SUMIF($L$4:$AL$4,"SUBTOTAL",$L$58:$AL$58)</f>
        <v>0.12843780805771909</v>
      </c>
      <c r="AO58" s="20">
        <f ca="1">+'TUSD BE'!$T$58+'TUSD BE'!$AB$58+'TUSD BE'!$AD$58+'TUSD BE'!$AL$58</f>
        <v>343.22837518745104</v>
      </c>
      <c r="AP58" s="20">
        <f ca="1">+'TUSD BE'!$T$58+'TUSD BE'!$AB$58+'TUSD BE'!$AD$58+'TUSD BE'!$AL$58</f>
        <v>343.22837518745104</v>
      </c>
    </row>
    <row r="59" spans="1:42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'TUSD BE'!$L$59*'TUSD BE'!$L$68</f>
        <v>-1.1797299576547233</v>
      </c>
      <c r="M59" s="12">
        <f>'TUSD BE'!$M$59*'TUSD BE'!$M$68</f>
        <v>-1.5533277885650213E-2</v>
      </c>
      <c r="N59" s="12">
        <f ca="1">'TUSD BE'!$N$59*'TUSD BE'!$N$68</f>
        <v>1.7494650332601907E-7</v>
      </c>
      <c r="O59" s="12">
        <f>'TUSD BE'!$O$59*'TUSD BE'!$O$68</f>
        <v>0</v>
      </c>
      <c r="P59" s="12">
        <f>'TUSD BE'!$P$59*'TUSD BE'!$P$68</f>
        <v>0</v>
      </c>
      <c r="Q59" s="12">
        <f>'TUSD BE'!$Q$59*'TUSD BE'!$Q$68</f>
        <v>-1.8226392642330822</v>
      </c>
      <c r="R59" s="12">
        <f>'TUSD BE'!$R$59*'TUSD BE'!$R$68</f>
        <v>-0.278416203295761</v>
      </c>
      <c r="S59" s="12">
        <f>'TUSD BE'!$R$59*'TUSD BE'!$S$68</f>
        <v>0</v>
      </c>
      <c r="T59" s="12">
        <f ca="1">SUM($L$59:$S$59)</f>
        <v>-3.2963185281227134</v>
      </c>
      <c r="U59" s="12">
        <f>'TUSD BE'!$U$59*'TUSD BE'!$U$68</f>
        <v>0</v>
      </c>
      <c r="V59" s="12">
        <f>'TUSD BE'!$V$59*'TUSD BE'!$V$68</f>
        <v>0</v>
      </c>
      <c r="W59" s="12">
        <f>'TUSD BE'!$W$59*'TUSD BE'!$W$68</f>
        <v>0</v>
      </c>
      <c r="X59" s="12">
        <f>'TUSD BE'!$X$59*'TUSD BE'!$X$68</f>
        <v>0</v>
      </c>
      <c r="Y59" s="12">
        <f>'TUSD BE'!$Y$59*'TUSD BE'!$Y$68</f>
        <v>4.7581053024306144</v>
      </c>
      <c r="Z59" s="12">
        <f>'TUSD BE'!$Z$59*'TUSD BE'!$Z$68</f>
        <v>0</v>
      </c>
      <c r="AA59" s="12">
        <f>'TUSD BE'!$AA$59*'TUSD BE'!$AA$68</f>
        <v>0</v>
      </c>
      <c r="AB59" s="12">
        <f>SUM($U$59:$AA$59)</f>
        <v>4.7581053024306144</v>
      </c>
      <c r="AC59" s="12">
        <f>'TUSD BE'!$AC$59*'TUSD BE'!$AC$68</f>
        <v>0</v>
      </c>
      <c r="AD59" s="12">
        <f>SUM($AC$59:$AC$59)</f>
        <v>0</v>
      </c>
      <c r="AE59" s="12">
        <f ca="1">$AO$59*$AO$65</f>
        <v>0</v>
      </c>
      <c r="AF59" s="12">
        <f ca="1">$AP$59*$AP$65</f>
        <v>0</v>
      </c>
      <c r="AG59" s="12">
        <f ca="1">SUM($AE$59:$AF$59)</f>
        <v>0</v>
      </c>
      <c r="AH59" s="12">
        <f>'TUSD BE'!$AH$59*'TUSD BE'!$AH$68</f>
        <v>-1.184925786756859</v>
      </c>
      <c r="AI59" s="12">
        <f>'TUSD BE'!$AI$59*'TUSD BE'!$AI$68</f>
        <v>-4.3545283575530211E-2</v>
      </c>
      <c r="AJ59" s="12">
        <f ca="1">'TUSD BE'!$AJ$59*'TUSD BE'!$AJ$68</f>
        <v>-0.12932020651147716</v>
      </c>
      <c r="AK59" s="12">
        <f ca="1">'TUSD BE'!$AK$59*'TUSD BE'!$AK$68</f>
        <v>2.4442310593684451E-2</v>
      </c>
      <c r="AL59" s="12">
        <f ca="1">SUM($AH$59:$AK$59)</f>
        <v>-1.3333489662501818</v>
      </c>
      <c r="AM59" s="12">
        <f ca="1">SUMIF($L$4:$AL$4,"SUBTOTAL",$L$59:$AL$59)</f>
        <v>0.12843780805771909</v>
      </c>
      <c r="AO59" s="20">
        <f ca="1">+'TUSD BE'!$T$59+'TUSD BE'!$AB$59+'TUSD BE'!$AD$59+'TUSD BE'!$AL$59</f>
        <v>343.22837518745104</v>
      </c>
      <c r="AP59" s="20">
        <f ca="1">+'TUSD BE'!$T$59+'TUSD BE'!$AB$59+'TUSD BE'!$AD$59+'TUSD BE'!$AL$59</f>
        <v>343.22837518745104</v>
      </c>
    </row>
    <row r="60" spans="1:42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'TUSD BE'!$L$60*'TUSD BE'!$L$68</f>
        <v>-0.64885147671009791</v>
      </c>
      <c r="M60" s="12">
        <f>'TUSD BE'!$M$60*'TUSD BE'!$M$68</f>
        <v>-8.5433028371076185E-3</v>
      </c>
      <c r="N60" s="12">
        <f ca="1">'TUSD BE'!$N$60*'TUSD BE'!$N$68</f>
        <v>9.6220576829310486E-8</v>
      </c>
      <c r="O60" s="12">
        <f>'TUSD BE'!$O$60*'TUSD BE'!$O$68</f>
        <v>0</v>
      </c>
      <c r="P60" s="12">
        <f>'TUSD BE'!$P$60*'TUSD BE'!$P$68</f>
        <v>0</v>
      </c>
      <c r="Q60" s="12">
        <f>'TUSD BE'!$Q$60*'TUSD BE'!$Q$68</f>
        <v>-1.0024515953281952</v>
      </c>
      <c r="R60" s="12">
        <f>'TUSD BE'!$R$60*'TUSD BE'!$R$68</f>
        <v>-0.15312891181266858</v>
      </c>
      <c r="S60" s="12">
        <f>'TUSD BE'!$R$60*'TUSD BE'!$S$68</f>
        <v>0</v>
      </c>
      <c r="T60" s="12">
        <f ca="1">SUM($L$60:$S$60)</f>
        <v>-1.8129751904674924</v>
      </c>
      <c r="U60" s="12">
        <f>'TUSD BE'!$U$60*'TUSD BE'!$U$68</f>
        <v>0</v>
      </c>
      <c r="V60" s="12">
        <f>'TUSD BE'!$V$60*'TUSD BE'!$V$68</f>
        <v>0</v>
      </c>
      <c r="W60" s="12">
        <f>'TUSD BE'!$W$60*'TUSD BE'!$W$68</f>
        <v>0</v>
      </c>
      <c r="X60" s="12">
        <f>'TUSD BE'!$X$60*'TUSD BE'!$X$68</f>
        <v>0</v>
      </c>
      <c r="Y60" s="12">
        <f>'TUSD BE'!$Y$60*'TUSD BE'!$Y$68</f>
        <v>2.6169579163368382</v>
      </c>
      <c r="Z60" s="12">
        <f>'TUSD BE'!$Z$60*'TUSD BE'!$Z$68</f>
        <v>0</v>
      </c>
      <c r="AA60" s="12">
        <f>'TUSD BE'!$AA$60*'TUSD BE'!$AA$68</f>
        <v>0</v>
      </c>
      <c r="AB60" s="12">
        <f>SUM($U$60:$AA$60)</f>
        <v>2.6169579163368382</v>
      </c>
      <c r="AC60" s="12">
        <f>'TUSD BE'!$AC$60*'TUSD BE'!$AC$68</f>
        <v>0</v>
      </c>
      <c r="AD60" s="12">
        <f>SUM($AC$60:$AC$60)</f>
        <v>0</v>
      </c>
      <c r="AE60" s="12">
        <f ca="1">$AO$60*$AO$65</f>
        <v>0</v>
      </c>
      <c r="AF60" s="12">
        <f ca="1">$AP$60*$AP$65</f>
        <v>0</v>
      </c>
      <c r="AG60" s="12">
        <f ca="1">SUM($AE$60:$AF$60)</f>
        <v>0</v>
      </c>
      <c r="AH60" s="12">
        <f>'TUSD BE'!$AH$60*'TUSD BE'!$AH$68</f>
        <v>-0.65170918271627243</v>
      </c>
      <c r="AI60" s="12">
        <f>'TUSD BE'!$AI$60*'TUSD BE'!$AI$68</f>
        <v>-2.3949905966541615E-2</v>
      </c>
      <c r="AJ60" s="12">
        <f ca="1">'TUSD BE'!$AJ$60*'TUSD BE'!$AJ$68</f>
        <v>-7.1126113581312447E-2</v>
      </c>
      <c r="AK60" s="12">
        <f ca="1">'TUSD BE'!$AK$60*'TUSD BE'!$AK$68</f>
        <v>1.344327082652645E-2</v>
      </c>
      <c r="AL60" s="12">
        <f ca="1">SUM($AH$60:$AK$60)</f>
        <v>-0.73334193143760007</v>
      </c>
      <c r="AM60" s="12">
        <f ca="1">SUMIF($L$4:$AL$4,"SUBTOTAL",$L$60:$AL$60)</f>
        <v>7.0640794431745646E-2</v>
      </c>
      <c r="AO60" s="20">
        <f ca="1">+'TUSD BE'!$T$60+'TUSD BE'!$AB$60+'TUSD BE'!$AD$60+'TUSD BE'!$AL$60</f>
        <v>188.77560635309808</v>
      </c>
      <c r="AP60" s="20">
        <f ca="1">+'TUSD BE'!$T$60+'TUSD BE'!$AB$60+'TUSD BE'!$AD$60+'TUSD BE'!$AL$60</f>
        <v>188.77560635309808</v>
      </c>
    </row>
    <row r="61" spans="1:42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'TUSD BE'!$L$61*'TUSD BE'!$L$68</f>
        <v>-0.70783797459283393</v>
      </c>
      <c r="M61" s="12">
        <f>'TUSD BE'!$M$61*'TUSD BE'!$M$68</f>
        <v>-9.319966731390128E-3</v>
      </c>
      <c r="N61" s="12">
        <f ca="1">'TUSD BE'!$N$61*'TUSD BE'!$N$68</f>
        <v>1.0496790199561142E-7</v>
      </c>
      <c r="O61" s="12">
        <f>'TUSD BE'!$O$61*'TUSD BE'!$O$68</f>
        <v>0</v>
      </c>
      <c r="P61" s="12">
        <f>'TUSD BE'!$P$61*'TUSD BE'!$P$68</f>
        <v>0</v>
      </c>
      <c r="Q61" s="12">
        <f>'TUSD BE'!$Q$61*'TUSD BE'!$Q$68</f>
        <v>-1.0935835585398492</v>
      </c>
      <c r="R61" s="12">
        <f>'TUSD BE'!$R$61*'TUSD BE'!$R$68</f>
        <v>-0.16704972197745663</v>
      </c>
      <c r="S61" s="12">
        <f>'TUSD BE'!$R$61*'TUSD BE'!$S$68</f>
        <v>0</v>
      </c>
      <c r="T61" s="12">
        <f ca="1">SUM($L$61:$S$61)</f>
        <v>-1.977791116873628</v>
      </c>
      <c r="U61" s="12">
        <f>'TUSD BE'!$U$61*'TUSD BE'!$U$68</f>
        <v>0</v>
      </c>
      <c r="V61" s="12">
        <f>'TUSD BE'!$V$61*'TUSD BE'!$V$68</f>
        <v>0</v>
      </c>
      <c r="W61" s="12">
        <f>'TUSD BE'!$W$61*'TUSD BE'!$W$68</f>
        <v>0</v>
      </c>
      <c r="X61" s="12">
        <f>'TUSD BE'!$X$61*'TUSD BE'!$X$68</f>
        <v>0</v>
      </c>
      <c r="Y61" s="12">
        <f>'TUSD BE'!$Y$61*'TUSD BE'!$Y$68</f>
        <v>2.8548631814583687</v>
      </c>
      <c r="Z61" s="12">
        <f>'TUSD BE'!$Z$61*'TUSD BE'!$Z$68</f>
        <v>0</v>
      </c>
      <c r="AA61" s="12">
        <f>'TUSD BE'!$AA$61*'TUSD BE'!$AA$68</f>
        <v>0</v>
      </c>
      <c r="AB61" s="12">
        <f>SUM($U$61:$AA$61)</f>
        <v>2.8548631814583687</v>
      </c>
      <c r="AC61" s="12">
        <f>'TUSD BE'!$AC$61*'TUSD BE'!$AC$68</f>
        <v>0</v>
      </c>
      <c r="AD61" s="12">
        <f>SUM($AC$61:$AC$61)</f>
        <v>0</v>
      </c>
      <c r="AE61" s="12">
        <f ca="1">$AO$61*$AO$65</f>
        <v>0</v>
      </c>
      <c r="AF61" s="12">
        <f ca="1">$AP$61*$AP$65</f>
        <v>0</v>
      </c>
      <c r="AG61" s="12">
        <f ca="1">SUM($AE$61:$AF$61)</f>
        <v>0</v>
      </c>
      <c r="AH61" s="12">
        <f>'TUSD BE'!$AH$61*'TUSD BE'!$AH$68</f>
        <v>-0.71095547205411547</v>
      </c>
      <c r="AI61" s="12">
        <f>'TUSD BE'!$AI$61*'TUSD BE'!$AI$68</f>
        <v>-2.6127170145318124E-2</v>
      </c>
      <c r="AJ61" s="12">
        <f ca="1">'TUSD BE'!$AJ$61*'TUSD BE'!$AJ$68</f>
        <v>-7.7592123906886287E-2</v>
      </c>
      <c r="AK61" s="12">
        <f ca="1">'TUSD BE'!$AK$61*'TUSD BE'!$AK$68</f>
        <v>1.4665386356210669E-2</v>
      </c>
      <c r="AL61" s="12">
        <f ca="1">SUM($AH$61:$AK$61)</f>
        <v>-0.80000937975010933</v>
      </c>
      <c r="AM61" s="12">
        <f ca="1">SUMIF($L$4:$AL$4,"SUBTOTAL",$L$61:$AL$61)</f>
        <v>7.7062684834631412E-2</v>
      </c>
      <c r="AO61" s="20">
        <f ca="1">+'TUSD BE'!$T$61+'TUSD BE'!$AB$61+'TUSD BE'!$AD$61+'TUSD BE'!$AL$61</f>
        <v>205.93702511247065</v>
      </c>
      <c r="AP61" s="20">
        <f ca="1">+'TUSD BE'!$T$61+'TUSD BE'!$AB$61+'TUSD BE'!$AD$61+'TUSD BE'!$AL$61</f>
        <v>205.93702511247065</v>
      </c>
    </row>
    <row r="63" spans="1:42" ht="11.25" customHeight="1" x14ac:dyDescent="0.25">
      <c r="K63" s="16" t="s">
        <v>691</v>
      </c>
      <c r="L63" s="12">
        <f>SUMPRODUCT($I$5:$I61,$L$5:$L61)</f>
        <v>-357318.81649529439</v>
      </c>
      <c r="M63" s="12">
        <f>SUMPRODUCT($I$5:$I61,$M$5:$M61)</f>
        <v>-3228.9092881405677</v>
      </c>
      <c r="N63" s="12">
        <f ca="1">SUMPRODUCT($I$5:$I61,$N$5:$N61)</f>
        <v>3.1154783332886526E-2</v>
      </c>
      <c r="O63" s="12">
        <f>SUMPRODUCT($I$5:$I61,$O$5:$O61)</f>
        <v>0</v>
      </c>
      <c r="P63" s="12">
        <f>SUMPRODUCT($I$5:$I61,$P$5:$P61)</f>
        <v>0</v>
      </c>
      <c r="Q63" s="12">
        <f>SUMPRODUCT($I$5:$I61,$Q$5:$Q61)</f>
        <v>-552044.38996218762</v>
      </c>
      <c r="R63" s="12">
        <f>SUMPRODUCT($I$5:$I61,$R$5:$R61)</f>
        <v>-93681.673491500769</v>
      </c>
      <c r="S63" s="12">
        <f>SUMPRODUCT($I$5:$I61,$S$5:$S61)</f>
        <v>0</v>
      </c>
      <c r="T63" s="12">
        <f ca="1">SUMPRODUCT($I$5:$I61,$T$5:$T61)</f>
        <v>-1006273.7580823399</v>
      </c>
      <c r="U63" s="12">
        <f>SUMPRODUCT($I$5:$I61,$U$5:$U61)</f>
        <v>0</v>
      </c>
      <c r="V63" s="12">
        <f>SUMPRODUCT($I$5:$I61,$V$5:$V61)</f>
        <v>0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1584254.3842446099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1584254.3842446099</v>
      </c>
      <c r="AC63" s="12">
        <f>SUMPRODUCT($I$5:$I61,$AC$5:$AC61)</f>
        <v>0</v>
      </c>
      <c r="AD63" s="12">
        <f>SUMPRODUCT($I$5:$I61,$AD$5:$AD61)</f>
        <v>0</v>
      </c>
      <c r="AE63" s="12">
        <f ca="1">SUMPRODUCT($I$5:$I61,$AE$5:$AE61)</f>
        <v>0</v>
      </c>
      <c r="AF63" s="12">
        <f ca="1">SUMPRODUCT($I$5:$I61,$AF$5:$AF61)</f>
        <v>0</v>
      </c>
      <c r="AG63" s="12">
        <f ca="1">SUMPRODUCT($I$5:$I61,$AG$5:$AG61)</f>
        <v>0</v>
      </c>
      <c r="AH63" s="12">
        <f>SUMPRODUCT($I$5:$I61,$AH$5:$AH61)</f>
        <v>-231560.95070354312</v>
      </c>
      <c r="AI63" s="12">
        <f>SUMPRODUCT($I$5:$I61,$AI$5:$AI61)</f>
        <v>-8509.7205041029483</v>
      </c>
      <c r="AJ63" s="12">
        <f ca="1">SUMPRODUCT($I$5:$I61,$AJ$5:$AJ61)</f>
        <v>-35851.058360154922</v>
      </c>
      <c r="AK63" s="12">
        <f ca="1">SUMPRODUCT($I$5:$I61,$AK$5:$AK61)</f>
        <v>6776.0694727427926</v>
      </c>
      <c r="AL63" s="12">
        <f ca="1">SUMPRODUCT($I$5:$I61,$AL$5:$AL61)</f>
        <v>-269145.66009505827</v>
      </c>
      <c r="AM63" s="12">
        <f ca="1">SUMPRODUCT($I$5:$I61,$AM$5:$AM61)</f>
        <v>308834.96606721147</v>
      </c>
      <c r="AO63" s="17">
        <f ca="1">SUMPRODUCT($I$5:$I61,$AO$5:$AO61)</f>
        <v>91574863.01301533</v>
      </c>
      <c r="AP63" s="17">
        <f ca="1">SUMPRODUCT($I$5:$I61,$AP$5:$AP61)</f>
        <v>91574863.01301533</v>
      </c>
    </row>
    <row r="64" spans="1:42" ht="11.25" customHeight="1" x14ac:dyDescent="0.25">
      <c r="K64" s="16" t="s">
        <v>623</v>
      </c>
      <c r="L64" s="12">
        <f>'TR TUSD'!$L$66</f>
        <v>697442.17467197916</v>
      </c>
      <c r="M64" s="12">
        <f>'TR TUSD'!$M$66</f>
        <v>124119.17919688004</v>
      </c>
      <c r="N64" s="12">
        <f>'TR TUSD'!$N$66</f>
        <v>703144.23757571727</v>
      </c>
      <c r="O64" s="12">
        <f>'TR TUSD'!$O$66</f>
        <v>0</v>
      </c>
      <c r="P64" s="12">
        <f>'TR TUSD'!$P$66</f>
        <v>0</v>
      </c>
      <c r="Q64" s="12">
        <f>'TR TUSD'!$Q$66</f>
        <v>27418446.470860098</v>
      </c>
      <c r="R64" s="12">
        <f>'TR TUSD'!$R$66</f>
        <v>4828803.3032447295</v>
      </c>
      <c r="S64" s="12">
        <f>'TR TUSD'!$S$66</f>
        <v>0</v>
      </c>
      <c r="T64" s="12">
        <f>'TR TUSD'!$T$66</f>
        <v>33771955.365549408</v>
      </c>
      <c r="U64" s="12">
        <f>'TR TUSD'!$U$66</f>
        <v>0</v>
      </c>
      <c r="V64" s="12">
        <f>'TR TUSD'!$V$66</f>
        <v>0</v>
      </c>
      <c r="W64" s="12">
        <f>'TR TUSD'!$W$66</f>
        <v>0</v>
      </c>
      <c r="X64" s="12">
        <f>'TR TUSD'!$X$66</f>
        <v>0</v>
      </c>
      <c r="Y64" s="12">
        <f>'TR TUSD'!$Y$66</f>
        <v>25961487.078740001</v>
      </c>
      <c r="Z64" s="12">
        <f>'TR TUSD'!$Z$66</f>
        <v>0</v>
      </c>
      <c r="AA64" s="12">
        <f>'TR TUSD'!$AA$66</f>
        <v>0</v>
      </c>
      <c r="AB64" s="12">
        <f>'TR TUSD'!$AB$66</f>
        <v>25961487.078740001</v>
      </c>
      <c r="AC64" s="12">
        <f>'TR TUSD'!$AC$66</f>
        <v>27932230.133610278</v>
      </c>
      <c r="AD64" s="12">
        <f>'TR TUSD'!$AD$66</f>
        <v>27932230.133610278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3205620.5271767355</v>
      </c>
      <c r="AI64" s="12">
        <f>'TR TUSD'!$AI$66</f>
        <v>117804.55489411573</v>
      </c>
      <c r="AJ64" s="12">
        <f>'TR TUSD'!$AJ$66</f>
        <v>496305.13370735297</v>
      </c>
      <c r="AK64" s="12">
        <f>'TR TUSD'!$AK$66</f>
        <v>89460.219337455084</v>
      </c>
      <c r="AL64" s="12">
        <f>'TR TUSD'!$AL$66</f>
        <v>3909190.4351156591</v>
      </c>
      <c r="AM64" s="12">
        <f>'TUSD BE'!$AM$64</f>
        <v>91574863.01301536</v>
      </c>
      <c r="AO64" s="17">
        <f>$AE$65</f>
        <v>0</v>
      </c>
      <c r="AP64" s="17">
        <f>$AF$65</f>
        <v>0</v>
      </c>
    </row>
    <row r="65" spans="11:42" ht="11.25" customHeight="1" x14ac:dyDescent="0.25">
      <c r="K65" s="16" t="s">
        <v>624</v>
      </c>
      <c r="L65" s="12">
        <f>CUSTOS!$E$2</f>
        <v>-357318.81649529445</v>
      </c>
      <c r="M65" s="12">
        <f>CUSTOS!$E$3</f>
        <v>-3228.9092881405668</v>
      </c>
      <c r="N65" s="12">
        <f>CUSTOS!$E$4</f>
        <v>3.1154783332886529E-2</v>
      </c>
      <c r="O65" s="12">
        <f>CUSTOS!$E$5</f>
        <v>0</v>
      </c>
      <c r="P65" s="12">
        <f>CUSTOS!$E$6</f>
        <v>0</v>
      </c>
      <c r="Q65" s="12">
        <f>CUSTOS!$E$7</f>
        <v>-552044.3899621875</v>
      </c>
      <c r="R65" s="12">
        <f>CUSTOS!$E$8</f>
        <v>-93681.673491500784</v>
      </c>
      <c r="S65" s="12">
        <f>CUSTOS!$E$9</f>
        <v>0</v>
      </c>
      <c r="T65" s="12">
        <f>CUSTOS!$E$10</f>
        <v>-1006273.75808234</v>
      </c>
      <c r="U65" s="12">
        <f>CUSTOS!$E$11</f>
        <v>0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1584254.3842446101</v>
      </c>
      <c r="Z65" s="12">
        <f>CUSTOS!$E$16</f>
        <v>0</v>
      </c>
      <c r="AA65" s="12">
        <f>CUSTOS!$E$17</f>
        <v>0</v>
      </c>
      <c r="AB65" s="12">
        <f>CUSTOS!$E$18</f>
        <v>1584254.3842446101</v>
      </c>
      <c r="AC65" s="12">
        <f>CUSTOS!$E$19</f>
        <v>0</v>
      </c>
      <c r="AD65" s="12">
        <f>CUSTOS!$E$20</f>
        <v>0</v>
      </c>
      <c r="AE65" s="12">
        <f>CUSTOS!$E$21</f>
        <v>0</v>
      </c>
      <c r="AF65" s="12">
        <f>CUSTOS!$E$22</f>
        <v>0</v>
      </c>
      <c r="AG65" s="12">
        <f>CUSTOS!$E$23</f>
        <v>0</v>
      </c>
      <c r="AH65" s="12">
        <f>CUSTOS!$E$24</f>
        <v>-231560.95070354312</v>
      </c>
      <c r="AI65" s="12">
        <f>CUSTOS!$E$25</f>
        <v>-8509.7205041029483</v>
      </c>
      <c r="AJ65" s="12">
        <f>CUSTOS!$E$26</f>
        <v>-35851.058360154915</v>
      </c>
      <c r="AK65" s="12">
        <f>CUSTOS!$E$27</f>
        <v>6776.0694727427945</v>
      </c>
      <c r="AL65" s="12">
        <f>CUSTOS!$E$28</f>
        <v>-269145.66009505821</v>
      </c>
      <c r="AM65" s="12">
        <f>CUSTOS!$E$29</f>
        <v>308834.96606721188</v>
      </c>
      <c r="AO65" s="17">
        <f ca="1">IF(AO63&lt;&gt;0,AO64/AO63,0)</f>
        <v>0</v>
      </c>
      <c r="AP65" s="17">
        <f ca="1">IF(AP63&lt;&gt;0,AP64/AP63,0)</f>
        <v>0</v>
      </c>
    </row>
    <row r="66" spans="11:42" ht="11.25" customHeight="1" x14ac:dyDescent="0.25">
      <c r="K66" s="16" t="s">
        <v>625</v>
      </c>
      <c r="L66" s="12">
        <f>CUSTOS!$F$2</f>
        <v>62582.817979041516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3987683.0594000001</v>
      </c>
      <c r="R66" s="12">
        <f>CUSTOS!$F$8</f>
        <v>1069650.2378</v>
      </c>
      <c r="S66" s="12">
        <f>CUSTOS!$F$9</f>
        <v>0</v>
      </c>
      <c r="T66" s="12">
        <f>CUSTOS!$F$10</f>
        <v>5119916.1151790414</v>
      </c>
      <c r="U66" s="12">
        <f>CUSTOS!$F$11</f>
        <v>0</v>
      </c>
      <c r="V66" s="12">
        <f>CUSTOS!$F$12</f>
        <v>0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0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439928.63631860464</v>
      </c>
      <c r="AI66" s="12">
        <f>CUSTOS!$F$25</f>
        <v>16167.102982813924</v>
      </c>
      <c r="AJ66" s="12">
        <f>CUSTOS!$F$26</f>
        <v>68111.256094961005</v>
      </c>
      <c r="AK66" s="12">
        <f>CUSTOS!$F$27</f>
        <v>0</v>
      </c>
      <c r="AL66" s="12">
        <f>CUSTOS!$F$28</f>
        <v>524206.99539637956</v>
      </c>
      <c r="AM66" s="12">
        <f>CUSTOS!$F$29</f>
        <v>5644123.1105754208</v>
      </c>
    </row>
    <row r="67" spans="11:42" ht="11.25" customHeight="1" x14ac:dyDescent="0.25">
      <c r="K67" s="16" t="s">
        <v>688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f>SUM($L$67:$S$67)</f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f>SUM($U$67:$AA$67)</f>
        <v>0</v>
      </c>
      <c r="AC67" s="12">
        <v>0</v>
      </c>
      <c r="AD67" s="12">
        <f>SUM($AC$67:$AC$67)</f>
        <v>0</v>
      </c>
      <c r="AE67" s="12">
        <v>0</v>
      </c>
      <c r="AF67" s="12">
        <v>0</v>
      </c>
      <c r="AG67" s="12">
        <f>SUM($AE$67:$AF$67)</f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f>SUM($AH$67:$AK$67)</f>
        <v>0</v>
      </c>
      <c r="AM67" s="12"/>
    </row>
    <row r="68" spans="11:42" ht="11.25" customHeight="1" x14ac:dyDescent="0.25">
      <c r="K68" s="16" t="s">
        <v>700</v>
      </c>
      <c r="L68" s="12">
        <f t="shared" ref="L68:R68" si="0">IF((L64-(0))&lt;&gt;0,(L66)/(L64-(0)),0)</f>
        <v>8.9731909327788295E-2</v>
      </c>
      <c r="M68" s="12">
        <f t="shared" si="0"/>
        <v>0</v>
      </c>
      <c r="N68" s="12">
        <f t="shared" si="0"/>
        <v>0</v>
      </c>
      <c r="O68" s="12">
        <f t="shared" si="0"/>
        <v>0</v>
      </c>
      <c r="P68" s="12">
        <f t="shared" si="0"/>
        <v>0</v>
      </c>
      <c r="Q68" s="12">
        <f t="shared" si="0"/>
        <v>0.14543796504437434</v>
      </c>
      <c r="R68" s="12">
        <f t="shared" si="0"/>
        <v>0.22151455974221299</v>
      </c>
      <c r="S68" s="12">
        <f>IF((R63-(0)&lt;&gt;0),(S65)/(R63-(0)),0)</f>
        <v>0</v>
      </c>
      <c r="T68" s="12"/>
      <c r="U68" s="12">
        <f t="shared" ref="U68:AA68" si="1">IF((U64-(0))&lt;&gt;0,(U66)/(U64-(0)),0)</f>
        <v>0</v>
      </c>
      <c r="V68" s="12">
        <f t="shared" si="1"/>
        <v>0</v>
      </c>
      <c r="W68" s="12">
        <f t="shared" si="1"/>
        <v>0</v>
      </c>
      <c r="X68" s="12">
        <f t="shared" si="1"/>
        <v>0</v>
      </c>
      <c r="Y68" s="12">
        <f t="shared" si="1"/>
        <v>0</v>
      </c>
      <c r="Z68" s="12">
        <f t="shared" si="1"/>
        <v>0</v>
      </c>
      <c r="AA68" s="12">
        <f t="shared" si="1"/>
        <v>0</v>
      </c>
      <c r="AB68" s="12"/>
      <c r="AC68" s="12">
        <f>IF((AC64-(0))&lt;&gt;0,(AC66)/(AC64-(0)),0)</f>
        <v>0</v>
      </c>
      <c r="AD68" s="12"/>
      <c r="AE68" s="12">
        <f ca="1">IF(($AM63-(0))&lt;&gt;0,(AE65)/($AM63-(0)),0)</f>
        <v>0</v>
      </c>
      <c r="AF68" s="12">
        <f ca="1">IF(($AM63-(0))&lt;&gt;0,(AF65)/($AM63-(0)),0)</f>
        <v>0</v>
      </c>
      <c r="AG68" s="12"/>
      <c r="AH68" s="12">
        <f>IF((AH64-(0))&lt;&gt;0,(AH66)/(AH64-(0)),0)</f>
        <v>0.13723665436659155</v>
      </c>
      <c r="AI68" s="12">
        <f>IF((AI64-(0))&lt;&gt;0,(AI66)/(AI64-(0)),0)</f>
        <v>0.13723665436659158</v>
      </c>
      <c r="AJ68" s="12">
        <f>IF((AJ64-(0))&lt;&gt;0,(AJ66)/(AJ64-(0)),0)</f>
        <v>0.13723665436659155</v>
      </c>
      <c r="AK68" s="12">
        <f>IF((AK64-(0))&lt;&gt;0,(AK66)/(AK64-(0)),0)</f>
        <v>0</v>
      </c>
      <c r="AL68" s="12"/>
      <c r="AM68" s="12"/>
    </row>
  </sheetData>
  <mergeCells count="86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A5:A14"/>
    <mergeCell ref="B5:B8"/>
    <mergeCell ref="C5:C8"/>
    <mergeCell ref="D5:D8"/>
    <mergeCell ref="E5:E7"/>
    <mergeCell ref="J1:J4"/>
    <mergeCell ref="L1:AM1"/>
    <mergeCell ref="A1:A4"/>
    <mergeCell ref="E20:E22"/>
    <mergeCell ref="C10:C14"/>
    <mergeCell ref="D10:D14"/>
    <mergeCell ref="E10:E12"/>
    <mergeCell ref="F10:F12"/>
    <mergeCell ref="E13:E14"/>
    <mergeCell ref="F13:F14"/>
    <mergeCell ref="F20:F22"/>
    <mergeCell ref="F5:F7"/>
    <mergeCell ref="B10:B14"/>
    <mergeCell ref="G1:G4"/>
    <mergeCell ref="H1:H4"/>
    <mergeCell ref="I1:I4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F27:F29"/>
    <mergeCell ref="B30:B34"/>
    <mergeCell ref="C30:C34"/>
    <mergeCell ref="B35:B39"/>
    <mergeCell ref="C35:C39"/>
    <mergeCell ref="A27:A39"/>
    <mergeCell ref="B27:B29"/>
    <mergeCell ref="C27:C29"/>
    <mergeCell ref="D27:D29"/>
    <mergeCell ref="E27:E29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E55:E57"/>
    <mergeCell ref="F55:F57"/>
    <mergeCell ref="A60:A61"/>
    <mergeCell ref="B60:B61"/>
    <mergeCell ref="C60:C61"/>
    <mergeCell ref="D55:D57"/>
  </mergeCells>
  <conditionalFormatting sqref="L63">
    <cfRule type="cellIs" dxfId="1055" priority="55" operator="notEqual">
      <formula>$L$65</formula>
    </cfRule>
    <cfRule type="cellIs" dxfId="1054" priority="56" operator="equal">
      <formula>$L$65</formula>
    </cfRule>
  </conditionalFormatting>
  <conditionalFormatting sqref="M63">
    <cfRule type="cellIs" dxfId="1053" priority="53" operator="notEqual">
      <formula>$M$65</formula>
    </cfRule>
    <cfRule type="cellIs" dxfId="1052" priority="54" operator="equal">
      <formula>$M$65</formula>
    </cfRule>
  </conditionalFormatting>
  <conditionalFormatting sqref="N63">
    <cfRule type="cellIs" dxfId="1051" priority="51" operator="notEqual">
      <formula>$N$65</formula>
    </cfRule>
    <cfRule type="cellIs" dxfId="1050" priority="52" operator="equal">
      <formula>$N$65</formula>
    </cfRule>
  </conditionalFormatting>
  <conditionalFormatting sqref="O63">
    <cfRule type="cellIs" dxfId="1049" priority="49" operator="notEqual">
      <formula>$O$65</formula>
    </cfRule>
    <cfRule type="cellIs" dxfId="1048" priority="50" operator="equal">
      <formula>$O$65</formula>
    </cfRule>
  </conditionalFormatting>
  <conditionalFormatting sqref="P63">
    <cfRule type="cellIs" dxfId="1047" priority="47" operator="notEqual">
      <formula>$P$65</formula>
    </cfRule>
    <cfRule type="cellIs" dxfId="1046" priority="48" operator="equal">
      <formula>$P$65</formula>
    </cfRule>
  </conditionalFormatting>
  <conditionalFormatting sqref="Q63">
    <cfRule type="cellIs" dxfId="1045" priority="45" operator="notEqual">
      <formula>$Q$65</formula>
    </cfRule>
    <cfRule type="cellIs" dxfId="1044" priority="46" operator="equal">
      <formula>$Q$65</formula>
    </cfRule>
  </conditionalFormatting>
  <conditionalFormatting sqref="R63">
    <cfRule type="cellIs" dxfId="1043" priority="43" operator="notEqual">
      <formula>$R$65</formula>
    </cfRule>
    <cfRule type="cellIs" dxfId="1042" priority="44" operator="equal">
      <formula>$R$65</formula>
    </cfRule>
  </conditionalFormatting>
  <conditionalFormatting sqref="S63">
    <cfRule type="cellIs" dxfId="1041" priority="41" operator="notEqual">
      <formula>$S$65</formula>
    </cfRule>
    <cfRule type="cellIs" dxfId="1040" priority="42" operator="equal">
      <formula>$S$65</formula>
    </cfRule>
  </conditionalFormatting>
  <conditionalFormatting sqref="T63">
    <cfRule type="cellIs" dxfId="1039" priority="39" operator="notEqual">
      <formula>$T$65</formula>
    </cfRule>
    <cfRule type="cellIs" dxfId="1038" priority="40" operator="equal">
      <formula>$T$65</formula>
    </cfRule>
  </conditionalFormatting>
  <conditionalFormatting sqref="U63">
    <cfRule type="cellIs" dxfId="1037" priority="37" operator="notEqual">
      <formula>$U$65</formula>
    </cfRule>
    <cfRule type="cellIs" dxfId="1036" priority="38" operator="equal">
      <formula>$U$65</formula>
    </cfRule>
  </conditionalFormatting>
  <conditionalFormatting sqref="V63">
    <cfRule type="cellIs" dxfId="1035" priority="35" operator="notEqual">
      <formula>$V$65</formula>
    </cfRule>
    <cfRule type="cellIs" dxfId="1034" priority="36" operator="equal">
      <formula>$V$65</formula>
    </cfRule>
  </conditionalFormatting>
  <conditionalFormatting sqref="W63">
    <cfRule type="cellIs" dxfId="1033" priority="33" operator="notEqual">
      <formula>$W$65</formula>
    </cfRule>
    <cfRule type="cellIs" dxfId="1032" priority="34" operator="equal">
      <formula>$W$65</formula>
    </cfRule>
  </conditionalFormatting>
  <conditionalFormatting sqref="X63">
    <cfRule type="cellIs" dxfId="1031" priority="31" operator="notEqual">
      <formula>$X$65</formula>
    </cfRule>
    <cfRule type="cellIs" dxfId="1030" priority="32" operator="equal">
      <formula>$X$65</formula>
    </cfRule>
  </conditionalFormatting>
  <conditionalFormatting sqref="Y63">
    <cfRule type="cellIs" dxfId="1029" priority="29" operator="notEqual">
      <formula>$Y$65</formula>
    </cfRule>
    <cfRule type="cellIs" dxfId="1028" priority="30" operator="equal">
      <formula>$Y$65</formula>
    </cfRule>
  </conditionalFormatting>
  <conditionalFormatting sqref="Z63">
    <cfRule type="cellIs" dxfId="1027" priority="27" operator="notEqual">
      <formula>$Z$65</formula>
    </cfRule>
    <cfRule type="cellIs" dxfId="1026" priority="28" operator="equal">
      <formula>$Z$65</formula>
    </cfRule>
  </conditionalFormatting>
  <conditionalFormatting sqref="AA63">
    <cfRule type="cellIs" dxfId="1025" priority="25" operator="notEqual">
      <formula>$AA$65</formula>
    </cfRule>
    <cfRule type="cellIs" dxfId="1024" priority="26" operator="equal">
      <formula>$AA$65</formula>
    </cfRule>
  </conditionalFormatting>
  <conditionalFormatting sqref="AB63">
    <cfRule type="cellIs" dxfId="1023" priority="23" operator="notEqual">
      <formula>$AB$65</formula>
    </cfRule>
    <cfRule type="cellIs" dxfId="1022" priority="24" operator="equal">
      <formula>$AB$65</formula>
    </cfRule>
  </conditionalFormatting>
  <conditionalFormatting sqref="AC63">
    <cfRule type="cellIs" dxfId="1021" priority="21" operator="notEqual">
      <formula>$AC$65</formula>
    </cfRule>
    <cfRule type="cellIs" dxfId="1020" priority="22" operator="equal">
      <formula>$AC$65</formula>
    </cfRule>
  </conditionalFormatting>
  <conditionalFormatting sqref="AD63">
    <cfRule type="cellIs" dxfId="1019" priority="19" operator="notEqual">
      <formula>$AD$65</formula>
    </cfRule>
    <cfRule type="cellIs" dxfId="1018" priority="20" operator="equal">
      <formula>$AD$65</formula>
    </cfRule>
  </conditionalFormatting>
  <conditionalFormatting sqref="AE63">
    <cfRule type="cellIs" dxfId="1017" priority="17" operator="notEqual">
      <formula>$AE$65</formula>
    </cfRule>
    <cfRule type="cellIs" dxfId="1016" priority="18" operator="equal">
      <formula>$AE$65</formula>
    </cfRule>
  </conditionalFormatting>
  <conditionalFormatting sqref="AF63">
    <cfRule type="cellIs" dxfId="1015" priority="16" operator="equal">
      <formula>$AF$65</formula>
    </cfRule>
  </conditionalFormatting>
  <conditionalFormatting sqref="AF63">
    <cfRule type="cellIs" dxfId="1014" priority="15" operator="notEqual">
      <formula>$AF$65</formula>
    </cfRule>
  </conditionalFormatting>
  <conditionalFormatting sqref="AG63">
    <cfRule type="cellIs" dxfId="1013" priority="14" operator="equal">
      <formula>$AG$65</formula>
    </cfRule>
  </conditionalFormatting>
  <conditionalFormatting sqref="AG63">
    <cfRule type="cellIs" dxfId="1012" priority="13" operator="notEqual">
      <formula>$AG$65</formula>
    </cfRule>
  </conditionalFormatting>
  <conditionalFormatting sqref="AH63">
    <cfRule type="cellIs" dxfId="1011" priority="12" operator="equal">
      <formula>$AH$65</formula>
    </cfRule>
  </conditionalFormatting>
  <conditionalFormatting sqref="AH63">
    <cfRule type="cellIs" dxfId="1010" priority="11" operator="notEqual">
      <formula>$AH$65</formula>
    </cfRule>
  </conditionalFormatting>
  <conditionalFormatting sqref="AI63">
    <cfRule type="cellIs" dxfId="1009" priority="10" operator="equal">
      <formula>$AI$65</formula>
    </cfRule>
  </conditionalFormatting>
  <conditionalFormatting sqref="AI63">
    <cfRule type="cellIs" dxfId="1008" priority="9" operator="notEqual">
      <formula>$AI$65</formula>
    </cfRule>
  </conditionalFormatting>
  <conditionalFormatting sqref="AJ63">
    <cfRule type="cellIs" dxfId="1007" priority="8" operator="equal">
      <formula>$AJ$65</formula>
    </cfRule>
  </conditionalFormatting>
  <conditionalFormatting sqref="AJ63">
    <cfRule type="cellIs" dxfId="1006" priority="7" operator="notEqual">
      <formula>$AJ$65</formula>
    </cfRule>
  </conditionalFormatting>
  <conditionalFormatting sqref="AK63">
    <cfRule type="cellIs" dxfId="1005" priority="6" operator="equal">
      <formula>$AK$65</formula>
    </cfRule>
  </conditionalFormatting>
  <conditionalFormatting sqref="AK63">
    <cfRule type="cellIs" dxfId="1004" priority="5" operator="notEqual">
      <formula>$AK$65</formula>
    </cfRule>
  </conditionalFormatting>
  <conditionalFormatting sqref="AL63">
    <cfRule type="cellIs" dxfId="1003" priority="4" operator="equal">
      <formula>$AL$65</formula>
    </cfRule>
  </conditionalFormatting>
  <conditionalFormatting sqref="AL63">
    <cfRule type="cellIs" dxfId="1002" priority="3" operator="notEqual">
      <formula>$AL$65</formula>
    </cfRule>
  </conditionalFormatting>
  <conditionalFormatting sqref="AM63">
    <cfRule type="cellIs" dxfId="1001" priority="2" operator="equal">
      <formula>$AM$65</formula>
    </cfRule>
  </conditionalFormatting>
  <conditionalFormatting sqref="AM63">
    <cfRule type="cellIs" dxfId="1000" priority="1" operator="notEqual">
      <formula>$AM$65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35F8-FE19-48C3-963E-840E28AB6343}">
  <sheetPr>
    <tabColor theme="8" tint="-0.249977111117893"/>
  </sheetPr>
  <dimension ref="A1:AW68"/>
  <sheetViews>
    <sheetView showGridLines="0" topLeftCell="A13" workbookViewId="0">
      <pane xSplit="9" topLeftCell="AK1" activePane="topRight" state="frozen"/>
      <selection pane="topRight" activeCell="AU43" sqref="AU4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43" width="9.140625" style="9"/>
    <col min="44" max="44" width="7.85546875" style="9" customWidth="1"/>
    <col min="45" max="45" width="10.28515625" style="9" customWidth="1"/>
    <col min="46" max="46" width="10.28515625" style="9" bestFit="1" customWidth="1"/>
    <col min="47" max="47" width="13.85546875" style="9" bestFit="1" customWidth="1"/>
    <col min="48" max="48" width="9.140625" style="9"/>
    <col min="49" max="49" width="13.5703125" style="9" bestFit="1" customWidth="1"/>
    <col min="50" max="16384" width="9.140625" style="9"/>
  </cols>
  <sheetData>
    <row r="1" spans="1:49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699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O1" s="20"/>
      <c r="AP1" s="151" t="s">
        <v>684</v>
      </c>
      <c r="AR1" s="154" t="s">
        <v>1288</v>
      </c>
      <c r="AS1" s="154" t="s">
        <v>1289</v>
      </c>
      <c r="AT1" s="154" t="s">
        <v>1333</v>
      </c>
      <c r="AU1" s="154" t="s">
        <v>1290</v>
      </c>
      <c r="AV1" s="154" t="s">
        <v>1334</v>
      </c>
      <c r="AW1" s="154" t="s">
        <v>1335</v>
      </c>
    </row>
    <row r="2" spans="1:49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O2" s="20"/>
      <c r="AP2" s="152"/>
      <c r="AR2" s="154"/>
      <c r="AS2" s="154"/>
      <c r="AT2" s="154"/>
      <c r="AU2" s="154"/>
      <c r="AV2" s="154"/>
      <c r="AW2" s="154"/>
    </row>
    <row r="3" spans="1:49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O3" s="20"/>
      <c r="AP3" s="152"/>
      <c r="AR3" s="154"/>
      <c r="AS3" s="154"/>
      <c r="AT3" s="154"/>
      <c r="AU3" s="154"/>
      <c r="AV3" s="154"/>
      <c r="AW3" s="154"/>
    </row>
    <row r="4" spans="1:49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O4" s="21" t="s">
        <v>701</v>
      </c>
      <c r="AP4" s="153"/>
      <c r="AR4" s="154"/>
      <c r="AS4" s="154"/>
      <c r="AT4" s="154"/>
      <c r="AU4" s="154"/>
      <c r="AV4" s="154"/>
      <c r="AW4" s="154"/>
    </row>
    <row r="5" spans="1:49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f>'TUSD BE'!$L$5*'TUSD BE'!$L$68</f>
        <v>0</v>
      </c>
      <c r="M5" s="12">
        <f>'TUSD BE'!$M$5*'TUSD BE'!$M$68</f>
        <v>0</v>
      </c>
      <c r="N5" s="12">
        <f ca="1">'TUSD BE'!$N$5*'TUSD BE'!$N$68</f>
        <v>0</v>
      </c>
      <c r="O5" s="12">
        <f>'TUSD BE'!$O$5*'TUSD BE'!$O$68</f>
        <v>0</v>
      </c>
      <c r="P5" s="12">
        <f>'TUSD BE'!$P$5*'TUSD BE'!$P$68</f>
        <v>0</v>
      </c>
      <c r="Q5" s="12">
        <f>'TUSD BE'!$Q$5*'TUSD BE'!$Q$68</f>
        <v>0</v>
      </c>
      <c r="R5" s="12">
        <f>'TUSD BE'!$R$5*'TUSD BE'!$R$68</f>
        <v>0</v>
      </c>
      <c r="S5" s="12">
        <f>'TUSD BE'!$R$5*'TUSD BE'!$S$68</f>
        <v>0</v>
      </c>
      <c r="T5" s="12">
        <f ca="1">SUM($L$5:$S$5)</f>
        <v>0</v>
      </c>
      <c r="U5" s="12">
        <f>'TUSD BE'!$U$5*'TUSD BE'!$U$68</f>
        <v>0</v>
      </c>
      <c r="V5" s="12">
        <f>'TUSD BE'!$V$5*'TUSD BE'!$V$68</f>
        <v>0</v>
      </c>
      <c r="W5" s="12">
        <f>'TUSD BE'!$W$5*'TUSD BE'!$W$68</f>
        <v>0</v>
      </c>
      <c r="X5" s="12">
        <f>'TUSD BE'!$X$5*'TUSD BE'!$X$68</f>
        <v>0</v>
      </c>
      <c r="Y5" s="12">
        <f>'TUSD BE'!$Y$5*'TUSD BE'!$Y$68</f>
        <v>1.4515180368633354</v>
      </c>
      <c r="Z5" s="12">
        <f>'TUSD BE'!$Z$5*'TUSD BE'!$Z$68</f>
        <v>0</v>
      </c>
      <c r="AA5" s="12">
        <f>'TUSD BE'!$AA$5*'TUSD BE'!$AA$68</f>
        <v>0</v>
      </c>
      <c r="AB5" s="12">
        <f>SUM($U$5:$AA$5)</f>
        <v>1.4515180368633354</v>
      </c>
      <c r="AC5" s="12">
        <f>'TUSD BE'!$AC$5*'TUSD BE'!$AC$68</f>
        <v>0</v>
      </c>
      <c r="AD5" s="12">
        <f>SUM($AC$5:$AC$5)</f>
        <v>0</v>
      </c>
      <c r="AE5" s="12">
        <f ca="1">$AO$5*$AO$65</f>
        <v>0</v>
      </c>
      <c r="AF5" s="12">
        <f ca="1">$AP$5*$AP$65</f>
        <v>0</v>
      </c>
      <c r="AG5" s="12">
        <f ca="1">SUM($AE$5:$AF$5)</f>
        <v>0</v>
      </c>
      <c r="AH5" s="12">
        <f>'TUSD BE'!$AH$5*'TUSD BE'!$AH$68</f>
        <v>0</v>
      </c>
      <c r="AI5" s="12">
        <f>'TUSD BE'!$AI$5*'TUSD BE'!$AI$68</f>
        <v>0</v>
      </c>
      <c r="AJ5" s="12">
        <f ca="1">'TUSD BE'!$AJ$5*'TUSD BE'!$AJ$68</f>
        <v>0</v>
      </c>
      <c r="AK5" s="12">
        <f ca="1">'TUSD BE'!$AK$5*'TUSD BE'!$AK$68</f>
        <v>0</v>
      </c>
      <c r="AL5" s="12">
        <f ca="1">SUM($AH$5:$AK$5)</f>
        <v>0</v>
      </c>
      <c r="AM5" s="12">
        <f ca="1">SUMIF($L$4:$AL$4,"SUBTOTAL",L5:AL5)+AV5</f>
        <v>-3.2031693324480965</v>
      </c>
      <c r="AO5" s="20">
        <f ca="1">+'TUSD BE'!$T$5+'TUSD BE'!$AB$5+'TUSD BE'!$AD$5+'TUSD BE'!$AL$5</f>
        <v>40.973169332448101</v>
      </c>
      <c r="AP5" s="20">
        <f ca="1">+'TUSD BE'!$T$5+'TUSD BE'!$AB$5+'TUSD BE'!$AD$5+'TUSD BE'!$AL$5</f>
        <v>40.973169332448101</v>
      </c>
      <c r="AQ5" s="15" t="str">
        <f>B5</f>
        <v>Azul</v>
      </c>
      <c r="AR5" s="9">
        <f>IF(OR(AQ5="Geração",AQ5="Distribuição"),0,1)</f>
        <v>1</v>
      </c>
      <c r="AS5" s="9">
        <f ca="1">IFERROR(VLOOKUP(A5,TarifaMedia!$C$37:$E$42,2,0),AS1)</f>
        <v>1</v>
      </c>
      <c r="AT5" s="15">
        <f ca="1">'TUSD BE'!AM5+'TUSD BF'!AM5+'TUSD CVA'!AM5</f>
        <v>42.424687369311435</v>
      </c>
      <c r="AU5" s="15">
        <f>'TABELAS REH COPEL'!E68</f>
        <v>37.770000000000003</v>
      </c>
      <c r="AV5" s="15">
        <f ca="1">(AU5-AT5)*AR5*AS5</f>
        <v>-4.6546873693114321</v>
      </c>
      <c r="AW5" s="107">
        <f ca="1">-AV5*I5</f>
        <v>0</v>
      </c>
    </row>
    <row r="6" spans="1:49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f>'TUSD BE'!$L$6*'TUSD BE'!$L$68</f>
        <v>0</v>
      </c>
      <c r="M6" s="12">
        <f>'TUSD BE'!$M$6*'TUSD BE'!$M$68</f>
        <v>0</v>
      </c>
      <c r="N6" s="12">
        <f ca="1">'TUSD BE'!$N$6*'TUSD BE'!$N$68</f>
        <v>0</v>
      </c>
      <c r="O6" s="12">
        <f>'TUSD BE'!$O$6*'TUSD BE'!$O$68</f>
        <v>0</v>
      </c>
      <c r="P6" s="12">
        <f>'TUSD BE'!$P$6*'TUSD BE'!$P$68</f>
        <v>0</v>
      </c>
      <c r="Q6" s="12">
        <f>'TUSD BE'!$Q$6*'TUSD BE'!$Q$68</f>
        <v>0</v>
      </c>
      <c r="R6" s="12">
        <f>'TUSD BE'!$R$6*'TUSD BE'!$R$68</f>
        <v>0</v>
      </c>
      <c r="S6" s="12">
        <f>'TUSD BE'!$R$6*'TUSD BE'!$S$68</f>
        <v>0</v>
      </c>
      <c r="T6" s="12">
        <f ca="1">SUM($L$6:$S$6)</f>
        <v>0</v>
      </c>
      <c r="U6" s="12">
        <f>'TUSD BE'!$U$6*'TUSD BE'!$U$68</f>
        <v>0</v>
      </c>
      <c r="V6" s="12">
        <f>'TUSD BE'!$V$6*'TUSD BE'!$V$68</f>
        <v>0</v>
      </c>
      <c r="W6" s="12">
        <f>'TUSD BE'!$W$6*'TUSD BE'!$W$68</f>
        <v>0</v>
      </c>
      <c r="X6" s="12">
        <f>'TUSD BE'!$X$6*'TUSD BE'!$X$68</f>
        <v>0</v>
      </c>
      <c r="Y6" s="12">
        <f>'TUSD BE'!$Y$6*'TUSD BE'!$Y$68</f>
        <v>0.63320900873608033</v>
      </c>
      <c r="Z6" s="12">
        <f>'TUSD BE'!$Z$6*'TUSD BE'!$Z$68</f>
        <v>0</v>
      </c>
      <c r="AA6" s="12">
        <f>'TUSD BE'!$AA$6*'TUSD BE'!$AA$68</f>
        <v>0</v>
      </c>
      <c r="AB6" s="12">
        <f>SUM($U$6:$AA$6)</f>
        <v>0.63320900873608033</v>
      </c>
      <c r="AC6" s="12">
        <f>'TUSD BE'!$AC$6*'TUSD BE'!$AC$68</f>
        <v>0</v>
      </c>
      <c r="AD6" s="12">
        <f>SUM($AC$6:$AC$6)</f>
        <v>0</v>
      </c>
      <c r="AE6" s="12">
        <f ca="1">$AO$6*$AO$65</f>
        <v>0</v>
      </c>
      <c r="AF6" s="12">
        <f ca="1">$AP$6*$AP$65</f>
        <v>0</v>
      </c>
      <c r="AG6" s="12">
        <f ca="1">SUM($AE$6:$AF$6)</f>
        <v>0</v>
      </c>
      <c r="AH6" s="12">
        <f>'TUSD BE'!$AH$6*'TUSD BE'!$AH$68</f>
        <v>0</v>
      </c>
      <c r="AI6" s="12">
        <f>'TUSD BE'!$AI$6*'TUSD BE'!$AI$68</f>
        <v>0</v>
      </c>
      <c r="AJ6" s="12">
        <f ca="1">'TUSD BE'!$AJ$6*'TUSD BE'!$AJ$68</f>
        <v>0</v>
      </c>
      <c r="AK6" s="12">
        <f ca="1">'TUSD BE'!$AK$6*'TUSD BE'!$AK$68</f>
        <v>0</v>
      </c>
      <c r="AL6" s="12">
        <f ca="1">SUM($AH$6:$AK$6)</f>
        <v>0</v>
      </c>
      <c r="AM6" s="12">
        <f t="shared" ref="AM6:AM34" ca="1" si="0">SUMIF($L$4:$AL$4,"SUBTOTAL",L6:AL6)+AV6</f>
        <v>1.6949043111886359</v>
      </c>
      <c r="AO6" s="20">
        <f ca="1">+'TUSD BE'!$T$6+'TUSD BE'!$AB$6+'TUSD BE'!$AD$6+'TUSD BE'!$AL$6</f>
        <v>15.885095688811361</v>
      </c>
      <c r="AP6" s="20">
        <f ca="1">+'TUSD BE'!$T$6+'TUSD BE'!$AB$6+'TUSD BE'!$AD$6+'TUSD BE'!$AL$6</f>
        <v>15.885095688811361</v>
      </c>
      <c r="AQ6" s="15">
        <f t="shared" ref="AQ6:AQ8" si="1">B6</f>
        <v>0</v>
      </c>
      <c r="AR6" s="9">
        <f t="shared" ref="AR6:AR61" si="2">IF(OR(AQ6="Geração",AQ6="Distribuição"),0,1)</f>
        <v>1</v>
      </c>
      <c r="AS6" s="9">
        <f ca="1">IFERROR(VLOOKUP(A6,TarifaMedia!$C$37:$E$42,2,0),AS5)</f>
        <v>1</v>
      </c>
      <c r="AT6" s="15">
        <f ca="1">'TUSD BE'!AM6+'TUSD BF'!AM6+'TUSD CVA'!AM6</f>
        <v>16.518304697547443</v>
      </c>
      <c r="AU6" s="15">
        <f>'TABELAS REH COPEL'!E69</f>
        <v>17.579999999999998</v>
      </c>
      <c r="AV6" s="15">
        <f t="shared" ref="AV6:AV61" ca="1" si="3">(AU6-AT6)*AR6*AS6</f>
        <v>1.0616953024525557</v>
      </c>
      <c r="AW6" s="107">
        <f t="shared" ref="AW6:AW61" ca="1" si="4">-AV6*I6</f>
        <v>0</v>
      </c>
    </row>
    <row r="7" spans="1:49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'TUSD BE'!$L$7*'TUSD BE'!$L$68</f>
        <v>-0.99097316442996741</v>
      </c>
      <c r="M7" s="12">
        <f>'TUSD BE'!$M$7*'TUSD BE'!$M$68</f>
        <v>-5.4622281001096302E-3</v>
      </c>
      <c r="N7" s="12">
        <f ca="1">'TUSD BE'!$N$7*'TUSD BE'!$N$68</f>
        <v>1.1611840073394573E-8</v>
      </c>
      <c r="O7" s="12">
        <f>'TUSD BE'!$O$7*'TUSD BE'!$O$68</f>
        <v>0</v>
      </c>
      <c r="P7" s="12">
        <f>'TUSD BE'!$P$7*'TUSD BE'!$P$68</f>
        <v>0</v>
      </c>
      <c r="Q7" s="12">
        <f>'TUSD BE'!$Q$7*'TUSD BE'!$Q$68</f>
        <v>-1.5310169819557888</v>
      </c>
      <c r="R7" s="12">
        <f>'TUSD BE'!$R$7*'TUSD BE'!$R$68</f>
        <v>-0.278416203295761</v>
      </c>
      <c r="S7" s="12">
        <f>'TUSD BE'!$R$7*'TUSD BE'!$S$68</f>
        <v>0</v>
      </c>
      <c r="T7" s="12">
        <f ca="1">SUM($L$7:$S$7)</f>
        <v>-2.8058685661697869</v>
      </c>
      <c r="U7" s="12">
        <f>'TUSD BE'!$U$7*'TUSD BE'!$U$68</f>
        <v>0</v>
      </c>
      <c r="V7" s="12">
        <f>'TUSD BE'!$V$7*'TUSD BE'!$V$68</f>
        <v>0</v>
      </c>
      <c r="W7" s="12">
        <f>'TUSD BE'!$W$7*'TUSD BE'!$W$68</f>
        <v>0</v>
      </c>
      <c r="X7" s="12">
        <f>'TUSD BE'!$X$7*'TUSD BE'!$X$68</f>
        <v>0</v>
      </c>
      <c r="Y7" s="12">
        <f>'TUSD BE'!$Y$7*'TUSD BE'!$Y$68</f>
        <v>0</v>
      </c>
      <c r="Z7" s="12">
        <f>'TUSD BE'!$Z$7*'TUSD BE'!$Z$68</f>
        <v>0</v>
      </c>
      <c r="AA7" s="12">
        <f>'TUSD BE'!$AA$7*'TUSD BE'!$AA$68</f>
        <v>0</v>
      </c>
      <c r="AB7" s="12">
        <f>SUM($U$7:$AA$7)</f>
        <v>0</v>
      </c>
      <c r="AC7" s="12">
        <f>'TUSD BE'!$AC$7*'TUSD BE'!$AC$68</f>
        <v>0</v>
      </c>
      <c r="AD7" s="12">
        <f>SUM($AC$7:$AC$7)</f>
        <v>0</v>
      </c>
      <c r="AE7" s="12">
        <f ca="1">$AO$7*$AO$65</f>
        <v>0</v>
      </c>
      <c r="AF7" s="12">
        <f ca="1">$AP$7*$AP$65</f>
        <v>0</v>
      </c>
      <c r="AG7" s="12">
        <f ca="1">SUM($AE$7:$AF$7)</f>
        <v>0</v>
      </c>
      <c r="AH7" s="12">
        <f>'TUSD BE'!$AH$7*'TUSD BE'!$AH$68</f>
        <v>-0.34643438611626243</v>
      </c>
      <c r="AI7" s="12">
        <f>'TUSD BE'!$AI$7*'TUSD BE'!$AI$68</f>
        <v>-1.2731247604153003E-2</v>
      </c>
      <c r="AJ7" s="12">
        <f ca="1">'TUSD BE'!$AJ$7*'TUSD BE'!$AJ$68</f>
        <v>-8.8187080587236469E-2</v>
      </c>
      <c r="AK7" s="12">
        <f ca="1">'TUSD BE'!$AK$7*'TUSD BE'!$AK$68</f>
        <v>1.6667898020037684E-2</v>
      </c>
      <c r="AL7" s="12">
        <f ca="1">SUM($AH$7:$AK$7)</f>
        <v>-0.43068481628761418</v>
      </c>
      <c r="AM7" s="12">
        <f t="shared" ca="1" si="0"/>
        <v>-3.6230540960184068</v>
      </c>
      <c r="AO7" s="20">
        <f ca="1">+'TUSD BE'!$T$7+'TUSD BE'!$AB$7+'TUSD BE'!$AD$7+'TUSD BE'!$AL$7</f>
        <v>99.211381512720507</v>
      </c>
      <c r="AP7" s="20">
        <f ca="1">+'TUSD BE'!$T$7+'TUSD BE'!$AB$7+'TUSD BE'!$AD$7+'TUSD BE'!$AL$7</f>
        <v>99.211381512720507</v>
      </c>
      <c r="AQ7" s="15">
        <f t="shared" si="1"/>
        <v>0</v>
      </c>
      <c r="AR7" s="9">
        <f t="shared" si="2"/>
        <v>1</v>
      </c>
      <c r="AS7" s="9">
        <f ca="1">IFERROR(VLOOKUP(A7,TarifaMedia!$C$37:$E$42,2,0),AS6)</f>
        <v>1</v>
      </c>
      <c r="AT7" s="15">
        <f ca="1">'TUSD BE'!AM7+'TUSD BF'!AM7+'TUSD CVA'!AM7</f>
        <v>111.236500713561</v>
      </c>
      <c r="AU7" s="129">
        <f>'TABELAS REH COPEL'!F69</f>
        <v>110.85</v>
      </c>
      <c r="AV7" s="15">
        <f t="shared" ca="1" si="3"/>
        <v>-0.38650071356100568</v>
      </c>
      <c r="AW7" s="107">
        <f t="shared" ca="1" si="4"/>
        <v>0</v>
      </c>
    </row>
    <row r="8" spans="1:49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f>'TUSD BE'!$L$8*'TUSD BE'!$L$68</f>
        <v>0</v>
      </c>
      <c r="M8" s="12">
        <f>'TUSD BE'!$M$8*'TUSD BE'!$M$68</f>
        <v>-5.4622281001096302E-3</v>
      </c>
      <c r="N8" s="12">
        <f ca="1">'TUSD BE'!$N$8*'TUSD BE'!$N$68</f>
        <v>1.0811188626563819E-8</v>
      </c>
      <c r="O8" s="12">
        <f>'TUSD BE'!$O$8*'TUSD BE'!$O$68</f>
        <v>0</v>
      </c>
      <c r="P8" s="12">
        <f>'TUSD BE'!$P$8*'TUSD BE'!$P$68</f>
        <v>0</v>
      </c>
      <c r="Q8" s="12">
        <f>'TUSD BE'!$Q$8*'TUSD BE'!$Q$68</f>
        <v>0</v>
      </c>
      <c r="R8" s="12">
        <f>'TUSD BE'!$R$8*'TUSD BE'!$R$68</f>
        <v>0</v>
      </c>
      <c r="S8" s="12">
        <f>'TUSD BE'!$R$8*'TUSD BE'!$S$68</f>
        <v>0</v>
      </c>
      <c r="T8" s="12">
        <f ca="1">SUM($L$8:$S$8)</f>
        <v>-5.4622172889210036E-3</v>
      </c>
      <c r="U8" s="12">
        <f>'TUSD BE'!$U$8*'TUSD BE'!$U$68</f>
        <v>0</v>
      </c>
      <c r="V8" s="12">
        <f>'TUSD BE'!$V$8*'TUSD BE'!$V$68</f>
        <v>0</v>
      </c>
      <c r="W8" s="12">
        <f>'TUSD BE'!$W$8*'TUSD BE'!$W$68</f>
        <v>0</v>
      </c>
      <c r="X8" s="12">
        <f>'TUSD BE'!$X$8*'TUSD BE'!$X$68</f>
        <v>0</v>
      </c>
      <c r="Y8" s="12">
        <f>'TUSD BE'!$Y$8*'TUSD BE'!$Y$68</f>
        <v>0</v>
      </c>
      <c r="Z8" s="12">
        <f>'TUSD BE'!$Z$8*'TUSD BE'!$Z$68</f>
        <v>0</v>
      </c>
      <c r="AA8" s="12">
        <f>'TUSD BE'!$AA$8*'TUSD BE'!$AA$68</f>
        <v>0</v>
      </c>
      <c r="AB8" s="12">
        <f>SUM($U$8:$AA$8)</f>
        <v>0</v>
      </c>
      <c r="AC8" s="12">
        <f>'TUSD BE'!$AC$8*'TUSD BE'!$AC$68</f>
        <v>0</v>
      </c>
      <c r="AD8" s="12">
        <f>SUM($AC$8:$AC$8)</f>
        <v>0</v>
      </c>
      <c r="AE8" s="12">
        <f ca="1">$AO$8*$AO$65</f>
        <v>0</v>
      </c>
      <c r="AF8" s="12">
        <f ca="1">$AP$8*$AP$65</f>
        <v>0</v>
      </c>
      <c r="AG8" s="12">
        <f ca="1">SUM($AE$8:$AF$8)</f>
        <v>0</v>
      </c>
      <c r="AH8" s="12">
        <f>'TUSD BE'!$AH$8*'TUSD BE'!$AH$68</f>
        <v>-0.34643438611626243</v>
      </c>
      <c r="AI8" s="12">
        <f>'TUSD BE'!$AI$8*'TUSD BE'!$AI$68</f>
        <v>-1.2731247604153003E-2</v>
      </c>
      <c r="AJ8" s="12">
        <f ca="1">'TUSD BE'!$AJ$8*'TUSD BE'!$AJ$68</f>
        <v>-8.8187080587236469E-2</v>
      </c>
      <c r="AK8" s="12">
        <f ca="1">'TUSD BE'!$AK$8*'TUSD BE'!$AK$68</f>
        <v>1.6667898020037684E-2</v>
      </c>
      <c r="AL8" s="12">
        <f ca="1">SUM($AH$8:$AK$8)</f>
        <v>-0.43068481628761418</v>
      </c>
      <c r="AM8" s="12">
        <f t="shared" ca="1" si="0"/>
        <v>8.183136173016333</v>
      </c>
      <c r="AO8" s="20">
        <f ca="1">+'TUSD BE'!$T$8+'TUSD BE'!$AB$8+'TUSD BE'!$AD$8+'TUSD BE'!$AL$8</f>
        <v>6.8669654785753922</v>
      </c>
      <c r="AP8" s="20">
        <f ca="1">+'TUSD BE'!$T$8+'TUSD BE'!$AB$8+'TUSD BE'!$AD$8+'TUSD BE'!$AL$8</f>
        <v>6.8669654785753922</v>
      </c>
      <c r="AQ8" s="15">
        <f t="shared" si="1"/>
        <v>0</v>
      </c>
      <c r="AR8" s="9">
        <f t="shared" si="2"/>
        <v>1</v>
      </c>
      <c r="AS8" s="9">
        <f ca="1">IFERROR(VLOOKUP(A8,TarifaMedia!$C$37:$E$42,2,0),AS7)</f>
        <v>1</v>
      </c>
      <c r="AT8" s="15">
        <f ca="1">'TUSD BE'!AM8+'TUSD BF'!AM8+'TUSD CVA'!AM8</f>
        <v>7.2807167934071328</v>
      </c>
      <c r="AU8" s="129">
        <f>'TABELAS REH COPEL'!F70</f>
        <v>15.9</v>
      </c>
      <c r="AV8" s="15">
        <f t="shared" ca="1" si="3"/>
        <v>8.6192832065928684</v>
      </c>
      <c r="AW8" s="107">
        <f t="shared" ca="1" si="4"/>
        <v>0</v>
      </c>
    </row>
    <row r="9" spans="1:49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f>'TUSD BE'!$L$9*'TUSD BE'!$L$68</f>
        <v>0</v>
      </c>
      <c r="M9" s="12">
        <f>'TUSD BE'!$M$9*'TUSD BE'!$M$68</f>
        <v>-5.1801257885230353E-4</v>
      </c>
      <c r="N9" s="12">
        <f ca="1">'TUSD BE'!$N$9*'TUSD BE'!$N$68</f>
        <v>3.8911660315974605E-9</v>
      </c>
      <c r="O9" s="12">
        <f>'TUSD BE'!$O$9*'TUSD BE'!$O$68</f>
        <v>0</v>
      </c>
      <c r="P9" s="12">
        <f>'TUSD BE'!$P$9*'TUSD BE'!$P$68</f>
        <v>0</v>
      </c>
      <c r="Q9" s="12">
        <f>'TUSD BE'!$Q$9*'TUSD BE'!$Q$68</f>
        <v>0</v>
      </c>
      <c r="R9" s="12">
        <f>'TUSD BE'!$R$9*'TUSD BE'!$R$68</f>
        <v>0</v>
      </c>
      <c r="S9" s="12">
        <f>'TUSD BE'!$R$9*'TUSD BE'!$S$68</f>
        <v>0</v>
      </c>
      <c r="T9" s="12">
        <f ca="1">SUM($L$9:$S$9)</f>
        <v>-5.1800868768627189E-4</v>
      </c>
      <c r="U9" s="12">
        <f>'TUSD BE'!$U$9*'TUSD BE'!$U$68</f>
        <v>0</v>
      </c>
      <c r="V9" s="12">
        <f>'TUSD BE'!$V$9*'TUSD BE'!$V$68</f>
        <v>0</v>
      </c>
      <c r="W9" s="12">
        <f>'TUSD BE'!$W$9*'TUSD BE'!$W$68</f>
        <v>0</v>
      </c>
      <c r="X9" s="12">
        <f>'TUSD BE'!$X$9*'TUSD BE'!$X$68</f>
        <v>0</v>
      </c>
      <c r="Y9" s="12">
        <f>'TUSD BE'!$Y$9*'TUSD BE'!$Y$68</f>
        <v>0</v>
      </c>
      <c r="Z9" s="12">
        <f>'TUSD BE'!$Z$9*'TUSD BE'!$Z$68</f>
        <v>0</v>
      </c>
      <c r="AA9" s="12">
        <f>'TUSD BE'!$AA$9*'TUSD BE'!$AA$68</f>
        <v>0</v>
      </c>
      <c r="AB9" s="12">
        <f>SUM($U$9:$AA$9)</f>
        <v>0</v>
      </c>
      <c r="AC9" s="12">
        <f>'TUSD BE'!$AC$9*'TUSD BE'!$AC$68</f>
        <v>0</v>
      </c>
      <c r="AD9" s="12">
        <f>SUM($AC$9:$AC$9)</f>
        <v>0</v>
      </c>
      <c r="AE9" s="12">
        <f ca="1">$AO$9*$AO$65</f>
        <v>0</v>
      </c>
      <c r="AF9" s="12">
        <f ca="1">$AP$9*$AP$65</f>
        <v>0</v>
      </c>
      <c r="AG9" s="12">
        <f ca="1">SUM($AE$9:$AF$9)</f>
        <v>0</v>
      </c>
      <c r="AH9" s="12">
        <f>'TUSD BE'!$AH$9*'TUSD BE'!$AH$68</f>
        <v>0</v>
      </c>
      <c r="AI9" s="12">
        <f>'TUSD BE'!$AI$9*'TUSD BE'!$AI$68</f>
        <v>0</v>
      </c>
      <c r="AJ9" s="12">
        <f ca="1">'TUSD BE'!$AJ$9*'TUSD BE'!$AJ$68</f>
        <v>0</v>
      </c>
      <c r="AK9" s="12">
        <f ca="1">'TUSD BE'!$AK$9*'TUSD BE'!$AK$68</f>
        <v>0</v>
      </c>
      <c r="AL9" s="12">
        <f ca="1">SUM($AH$9:$AK$9)</f>
        <v>0</v>
      </c>
      <c r="AM9" s="12">
        <f t="shared" ca="1" si="0"/>
        <v>-5.1800868768627189E-4</v>
      </c>
      <c r="AO9" s="20">
        <f ca="1">+'TUSD BE'!$T$9+'TUSD BE'!$AB$9+'TUSD BE'!$AD$9+'TUSD BE'!$AL$9</f>
        <v>5.7777579326507871</v>
      </c>
      <c r="AP9" s="20">
        <f ca="1">+'TUSD BE'!$T$9+'TUSD BE'!$AB$9+'TUSD BE'!$AD$9+'TUSD BE'!$AL$9</f>
        <v>5.7777579326507871</v>
      </c>
      <c r="AQ9" s="15" t="str">
        <f t="shared" ref="AQ9:AQ61" si="5">B9</f>
        <v>Geração</v>
      </c>
      <c r="AR9" s="9">
        <f t="shared" si="2"/>
        <v>0</v>
      </c>
      <c r="AS9" s="9">
        <f ca="1">IFERROR(VLOOKUP(A9,TarifaMedia!$C$37:$E$42,2,0),AS8)</f>
        <v>1</v>
      </c>
      <c r="AT9" s="15">
        <f ca="1">'TUSD BE'!AM9+'TUSD BF'!AM9+'TUSD CVA'!AM9</f>
        <v>5.7772399239631005</v>
      </c>
      <c r="AU9" s="129">
        <f>'TABELAS REH COPEL'!E90</f>
        <v>6.47</v>
      </c>
      <c r="AV9" s="15">
        <f t="shared" ca="1" si="3"/>
        <v>0</v>
      </c>
      <c r="AW9" s="107">
        <f t="shared" ca="1" si="4"/>
        <v>0</v>
      </c>
    </row>
    <row r="10" spans="1:49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f>'TUSD BE'!$L$10*'TUSD BE'!$L$68</f>
        <v>0</v>
      </c>
      <c r="M10" s="12">
        <f>'TUSD BE'!$M$10*'TUSD BE'!$M$68</f>
        <v>0</v>
      </c>
      <c r="N10" s="12">
        <f ca="1">'TUSD BE'!$N$10*'TUSD BE'!$N$68</f>
        <v>0</v>
      </c>
      <c r="O10" s="12">
        <f>'TUSD BE'!$O$10*'TUSD BE'!$O$68</f>
        <v>0</v>
      </c>
      <c r="P10" s="12">
        <f>'TUSD BE'!$P$10*'TUSD BE'!$P$68</f>
        <v>0</v>
      </c>
      <c r="Q10" s="12">
        <f>'TUSD BE'!$Q$10*'TUSD BE'!$Q$68</f>
        <v>0</v>
      </c>
      <c r="R10" s="12">
        <f>'TUSD BE'!$R$10*'TUSD BE'!$R$68</f>
        <v>0</v>
      </c>
      <c r="S10" s="12">
        <f>'TUSD BE'!$R$10*'TUSD BE'!$S$68</f>
        <v>0</v>
      </c>
      <c r="T10" s="12">
        <f ca="1">SUM($L$10:$S$10)</f>
        <v>0</v>
      </c>
      <c r="U10" s="12">
        <f>'TUSD BE'!$U$10*'TUSD BE'!$U$68</f>
        <v>0</v>
      </c>
      <c r="V10" s="12">
        <f>'TUSD BE'!$V$10*'TUSD BE'!$V$68</f>
        <v>0</v>
      </c>
      <c r="W10" s="12">
        <f>'TUSD BE'!$W$10*'TUSD BE'!$W$68</f>
        <v>0</v>
      </c>
      <c r="X10" s="12">
        <f>'TUSD BE'!$X$10*'TUSD BE'!$X$68</f>
        <v>0</v>
      </c>
      <c r="Y10" s="12">
        <f>'TUSD BE'!$Y$10*'TUSD BE'!$Y$68</f>
        <v>0.63320900873608033</v>
      </c>
      <c r="Z10" s="12">
        <f>'TUSD BE'!$Z$10*'TUSD BE'!$Z$68</f>
        <v>0</v>
      </c>
      <c r="AA10" s="12">
        <f>'TUSD BE'!$AA$10*'TUSD BE'!$AA$68</f>
        <v>0</v>
      </c>
      <c r="AB10" s="12">
        <f>SUM($U$10:$AA$10)</f>
        <v>0.63320900873608033</v>
      </c>
      <c r="AC10" s="12">
        <f>'TUSD BE'!$AC$10*'TUSD BE'!$AC$68</f>
        <v>0</v>
      </c>
      <c r="AD10" s="12">
        <f>SUM($AC$10:$AC$10)</f>
        <v>0</v>
      </c>
      <c r="AE10" s="12">
        <f ca="1">$AO$10*$AO$65</f>
        <v>0</v>
      </c>
      <c r="AF10" s="12">
        <f ca="1">$AP$10*$AP$65</f>
        <v>0</v>
      </c>
      <c r="AG10" s="12">
        <f ca="1">SUM($AE$10:$AF$10)</f>
        <v>0</v>
      </c>
      <c r="AH10" s="12">
        <f>'TUSD BE'!$AH$10*'TUSD BE'!$AH$68</f>
        <v>0</v>
      </c>
      <c r="AI10" s="12">
        <f>'TUSD BE'!$AI$10*'TUSD BE'!$AI$68</f>
        <v>0</v>
      </c>
      <c r="AJ10" s="12">
        <f ca="1">'TUSD BE'!$AJ$10*'TUSD BE'!$AJ$68</f>
        <v>0</v>
      </c>
      <c r="AK10" s="12">
        <f ca="1">'TUSD BE'!$AK$10*'TUSD BE'!$AK$68</f>
        <v>0</v>
      </c>
      <c r="AL10" s="12">
        <f ca="1">SUM($AH$10:$AK$10)</f>
        <v>0</v>
      </c>
      <c r="AM10" s="12">
        <f t="shared" ca="1" si="0"/>
        <v>1.6949043111886359</v>
      </c>
      <c r="AO10" s="20">
        <f ca="1">+'TUSD BE'!$T$10+'TUSD BE'!$AB$10+'TUSD BE'!$AD$10+'TUSD BE'!$AL$10</f>
        <v>15.885095688811361</v>
      </c>
      <c r="AP10" s="20">
        <f ca="1">+'TUSD BE'!$T$10+'TUSD BE'!$AB$10+'TUSD BE'!$AD$10+'TUSD BE'!$AL$10</f>
        <v>15.885095688811361</v>
      </c>
      <c r="AQ10" s="15" t="str">
        <f t="shared" si="5"/>
        <v>Verde</v>
      </c>
      <c r="AR10" s="9">
        <f t="shared" si="2"/>
        <v>1</v>
      </c>
      <c r="AS10" s="9">
        <f ca="1">IFERROR(VLOOKUP(A10,TarifaMedia!$C$37:$E$42,2,0),AS9)</f>
        <v>1</v>
      </c>
      <c r="AT10" s="15">
        <f ca="1">'TUSD BE'!AM10+'TUSD BF'!AM10+'TUSD CVA'!AM10</f>
        <v>16.518304697547443</v>
      </c>
      <c r="AU10" s="15">
        <f>'TABELAS REH COPEL'!E72</f>
        <v>17.579999999999998</v>
      </c>
      <c r="AV10" s="15">
        <f t="shared" ca="1" si="3"/>
        <v>1.0616953024525557</v>
      </c>
      <c r="AW10" s="107">
        <f t="shared" ca="1" si="4"/>
        <v>-53912.887458540783</v>
      </c>
    </row>
    <row r="11" spans="1:49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'TUSD BE'!$L$11*'TUSD BE'!$L$68</f>
        <v>-0.99097316442996741</v>
      </c>
      <c r="M11" s="12">
        <f>'TUSD BE'!$M$11*'TUSD BE'!$M$68</f>
        <v>-5.4622281001096302E-3</v>
      </c>
      <c r="N11" s="12">
        <f ca="1">'TUSD BE'!$N$11*'TUSD BE'!$N$68</f>
        <v>6.6864291076251553E-7</v>
      </c>
      <c r="O11" s="12">
        <f>'TUSD BE'!$O$11*'TUSD BE'!$O$68</f>
        <v>0</v>
      </c>
      <c r="P11" s="12">
        <f>'TUSD BE'!$P$11*'TUSD BE'!$P$68</f>
        <v>0</v>
      </c>
      <c r="Q11" s="12">
        <f>'TUSD BE'!$Q$11*'TUSD BE'!$Q$68</f>
        <v>-1.5310169819557888</v>
      </c>
      <c r="R11" s="12">
        <f>'TUSD BE'!$R$11*'TUSD BE'!$R$68</f>
        <v>-0.278416203295761</v>
      </c>
      <c r="S11" s="12">
        <f>'TUSD BE'!$R$11*'TUSD BE'!$S$68</f>
        <v>0</v>
      </c>
      <c r="T11" s="12">
        <f ca="1">SUM($L$11:$S$11)</f>
        <v>-2.805867909138716</v>
      </c>
      <c r="U11" s="12">
        <f>'TUSD BE'!$U$11*'TUSD BE'!$U$68</f>
        <v>0</v>
      </c>
      <c r="V11" s="12">
        <f>'TUSD BE'!$V$11*'TUSD BE'!$V$68</f>
        <v>0</v>
      </c>
      <c r="W11" s="12">
        <f>'TUSD BE'!$W$11*'TUSD BE'!$W$68</f>
        <v>0</v>
      </c>
      <c r="X11" s="12">
        <f>'TUSD BE'!$X$11*'TUSD BE'!$X$68</f>
        <v>0</v>
      </c>
      <c r="Y11" s="12">
        <f>'TUSD BE'!$Y$11*'TUSD BE'!$Y$68</f>
        <v>34.909025958636647</v>
      </c>
      <c r="Z11" s="12">
        <f>'TUSD BE'!$Z$11*'TUSD BE'!$Z$68</f>
        <v>0</v>
      </c>
      <c r="AA11" s="12">
        <f>'TUSD BE'!$AA$11*'TUSD BE'!$AA$68</f>
        <v>0</v>
      </c>
      <c r="AB11" s="12">
        <f>SUM($U$11:$AA$11)</f>
        <v>34.909025958636647</v>
      </c>
      <c r="AC11" s="12">
        <f>'TUSD BE'!$AC$11*'TUSD BE'!$AC$68</f>
        <v>0</v>
      </c>
      <c r="AD11" s="12">
        <f>SUM($AC$11:$AC$11)</f>
        <v>0</v>
      </c>
      <c r="AE11" s="12">
        <f ca="1">$AO$11*$AO$65</f>
        <v>0</v>
      </c>
      <c r="AF11" s="12">
        <f ca="1">$AP$11*$AP$65</f>
        <v>0</v>
      </c>
      <c r="AG11" s="12">
        <f ca="1">SUM($AE$11:$AF$11)</f>
        <v>0</v>
      </c>
      <c r="AH11" s="12">
        <f>'TUSD BE'!$AH$11*'TUSD BE'!$AH$68</f>
        <v>-0.34643438611626243</v>
      </c>
      <c r="AI11" s="12">
        <f>'TUSD BE'!$AI$11*'TUSD BE'!$AI$68</f>
        <v>-1.2731247604153003E-2</v>
      </c>
      <c r="AJ11" s="12">
        <f ca="1">'TUSD BE'!$AJ$11*'TUSD BE'!$AJ$68</f>
        <v>-8.8187080587236469E-2</v>
      </c>
      <c r="AK11" s="12">
        <f ca="1">'TUSD BE'!$AK$11*'TUSD BE'!$AK$68</f>
        <v>1.6667898020037684E-2</v>
      </c>
      <c r="AL11" s="12">
        <f ca="1">SUM($AH$11:$AK$11)</f>
        <v>-0.43068481628761418</v>
      </c>
      <c r="AM11" s="12">
        <f t="shared" ca="1" si="0"/>
        <v>-87.247663363026405</v>
      </c>
      <c r="AO11" s="20">
        <f ca="1">+'TUSD BE'!$T$11+'TUSD BE'!$AB$11+'TUSD BE'!$AD$11+'TUSD BE'!$AL$11</f>
        <v>1099.4459907797286</v>
      </c>
      <c r="AP11" s="20">
        <f ca="1">+'TUSD BE'!$T$11+'TUSD BE'!$AB$11+'TUSD BE'!$AD$11+'TUSD BE'!$AL$11</f>
        <v>1099.4459907797286</v>
      </c>
      <c r="AQ11" s="15">
        <f t="shared" si="5"/>
        <v>0</v>
      </c>
      <c r="AR11" s="9">
        <f t="shared" si="2"/>
        <v>1</v>
      </c>
      <c r="AS11" s="9">
        <f ca="1">IFERROR(VLOOKUP(A11,TarifaMedia!$C$37:$E$42,2,0),AS10)</f>
        <v>1</v>
      </c>
      <c r="AT11" s="15">
        <f ca="1">'TUSD BE'!AM11+'TUSD BF'!AM11+'TUSD CVA'!AM11</f>
        <v>1146.3801365962368</v>
      </c>
      <c r="AU11" s="15">
        <f>'TABELAS REH COPEL'!F73</f>
        <v>1027.46</v>
      </c>
      <c r="AV11" s="15">
        <f t="shared" ca="1" si="3"/>
        <v>-118.92013659623672</v>
      </c>
      <c r="AW11" s="107">
        <f t="shared" ca="1" si="4"/>
        <v>80685.88563890745</v>
      </c>
    </row>
    <row r="12" spans="1:49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'TUSD BE'!$L$12*'TUSD BE'!$L$68</f>
        <v>-0.99097316442996741</v>
      </c>
      <c r="M12" s="12">
        <f>'TUSD BE'!$M$12*'TUSD BE'!$M$68</f>
        <v>-5.4622281001096302E-3</v>
      </c>
      <c r="N12" s="12">
        <f ca="1">'TUSD BE'!$N$12*'TUSD BE'!$N$68</f>
        <v>1.1611840073394573E-8</v>
      </c>
      <c r="O12" s="12">
        <f>'TUSD BE'!$O$12*'TUSD BE'!$O$68</f>
        <v>0</v>
      </c>
      <c r="P12" s="12">
        <f>'TUSD BE'!$P$12*'TUSD BE'!$P$68</f>
        <v>0</v>
      </c>
      <c r="Q12" s="12">
        <f>'TUSD BE'!$Q$12*'TUSD BE'!$Q$68</f>
        <v>-1.5310169819557888</v>
      </c>
      <c r="R12" s="12">
        <f>'TUSD BE'!$R$12*'TUSD BE'!$R$68</f>
        <v>-0.278416203295761</v>
      </c>
      <c r="S12" s="12">
        <f>'TUSD BE'!$R$12*'TUSD BE'!$S$68</f>
        <v>0</v>
      </c>
      <c r="T12" s="12">
        <f ca="1">SUM($L$12:$S$12)</f>
        <v>-2.8058685661697869</v>
      </c>
      <c r="U12" s="12">
        <f>'TUSD BE'!$U$12*'TUSD BE'!$U$68</f>
        <v>0</v>
      </c>
      <c r="V12" s="12">
        <f>'TUSD BE'!$V$12*'TUSD BE'!$V$68</f>
        <v>0</v>
      </c>
      <c r="W12" s="12">
        <f>'TUSD BE'!$W$12*'TUSD BE'!$W$68</f>
        <v>0</v>
      </c>
      <c r="X12" s="12">
        <f>'TUSD BE'!$X$12*'TUSD BE'!$X$68</f>
        <v>0</v>
      </c>
      <c r="Y12" s="12">
        <f>'TUSD BE'!$Y$12*'TUSD BE'!$Y$68</f>
        <v>0</v>
      </c>
      <c r="Z12" s="12">
        <f>'TUSD BE'!$Z$12*'TUSD BE'!$Z$68</f>
        <v>0</v>
      </c>
      <c r="AA12" s="12">
        <f>'TUSD BE'!$AA$12*'TUSD BE'!$AA$68</f>
        <v>0</v>
      </c>
      <c r="AB12" s="12">
        <f>SUM($U$12:$AA$12)</f>
        <v>0</v>
      </c>
      <c r="AC12" s="12">
        <f>'TUSD BE'!$AC$12*'TUSD BE'!$AC$68</f>
        <v>0</v>
      </c>
      <c r="AD12" s="12">
        <f>SUM($AC$12:$AC$12)</f>
        <v>0</v>
      </c>
      <c r="AE12" s="12">
        <f ca="1">$AO$12*$AO$65</f>
        <v>0</v>
      </c>
      <c r="AF12" s="12">
        <f ca="1">$AP$12*$AP$65</f>
        <v>0</v>
      </c>
      <c r="AG12" s="12">
        <f ca="1">SUM($AE$12:$AF$12)</f>
        <v>0</v>
      </c>
      <c r="AH12" s="12">
        <f>'TUSD BE'!$AH$12*'TUSD BE'!$AH$68</f>
        <v>-0.34643438611626243</v>
      </c>
      <c r="AI12" s="12">
        <f>'TUSD BE'!$AI$12*'TUSD BE'!$AI$68</f>
        <v>-1.2731247604153003E-2</v>
      </c>
      <c r="AJ12" s="12">
        <f ca="1">'TUSD BE'!$AJ$12*'TUSD BE'!$AJ$68</f>
        <v>-8.8187080587236469E-2</v>
      </c>
      <c r="AK12" s="12">
        <f ca="1">'TUSD BE'!$AK$12*'TUSD BE'!$AK$68</f>
        <v>1.6667898020037684E-2</v>
      </c>
      <c r="AL12" s="12">
        <f ca="1">SUM($AH$12:$AK$12)</f>
        <v>-0.43068481628761418</v>
      </c>
      <c r="AM12" s="12">
        <f t="shared" ca="1" si="0"/>
        <v>-3.6230540960184068</v>
      </c>
      <c r="AO12" s="20">
        <f ca="1">+'TUSD BE'!$T$12+'TUSD BE'!$AB$12+'TUSD BE'!$AD$12+'TUSD BE'!$AL$12</f>
        <v>99.211381512720507</v>
      </c>
      <c r="AP12" s="20">
        <f ca="1">+'TUSD BE'!$T$12+'TUSD BE'!$AB$12+'TUSD BE'!$AD$12+'TUSD BE'!$AL$12</f>
        <v>99.211381512720507</v>
      </c>
      <c r="AQ12" s="15">
        <f t="shared" si="5"/>
        <v>0</v>
      </c>
      <c r="AR12" s="9">
        <f t="shared" si="2"/>
        <v>1</v>
      </c>
      <c r="AS12" s="9">
        <f ca="1">IFERROR(VLOOKUP(A12,TarifaMedia!$C$37:$E$42,2,0),AS11)</f>
        <v>1</v>
      </c>
      <c r="AT12" s="15">
        <f ca="1">'TUSD BE'!AM12+'TUSD BF'!AM12+'TUSD CVA'!AM12</f>
        <v>111.236500713561</v>
      </c>
      <c r="AU12" s="15">
        <f>'TABELAS REH COPEL'!F74</f>
        <v>110.85</v>
      </c>
      <c r="AV12" s="15">
        <f t="shared" ca="1" si="3"/>
        <v>-0.38650071356100568</v>
      </c>
      <c r="AW12" s="107">
        <f t="shared" ca="1" si="4"/>
        <v>3293.6554987756563</v>
      </c>
    </row>
    <row r="13" spans="1:49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f>'TUSD BE'!$L$13*'TUSD BE'!$L$68</f>
        <v>0</v>
      </c>
      <c r="M13" s="12">
        <f>'TUSD BE'!$M$13*'TUSD BE'!$M$68</f>
        <v>-5.4622281001096302E-3</v>
      </c>
      <c r="N13" s="12">
        <f ca="1">'TUSD BE'!$N$13*'TUSD BE'!$N$68</f>
        <v>6.6784225931568459E-7</v>
      </c>
      <c r="O13" s="12">
        <f>'TUSD BE'!$O$13*'TUSD BE'!$O$68</f>
        <v>0</v>
      </c>
      <c r="P13" s="12">
        <f>'TUSD BE'!$P$13*'TUSD BE'!$P$68</f>
        <v>0</v>
      </c>
      <c r="Q13" s="12">
        <f>'TUSD BE'!$Q$13*'TUSD BE'!$Q$68</f>
        <v>0</v>
      </c>
      <c r="R13" s="12">
        <f>'TUSD BE'!$R$13*'TUSD BE'!$R$68</f>
        <v>0</v>
      </c>
      <c r="S13" s="12">
        <f>'TUSD BE'!$R$13*'TUSD BE'!$S$68</f>
        <v>0</v>
      </c>
      <c r="T13" s="12">
        <f ca="1">SUM($L$13:$S$13)</f>
        <v>-5.4615602578503147E-3</v>
      </c>
      <c r="U13" s="12">
        <f>'TUSD BE'!$U$13*'TUSD BE'!$U$68</f>
        <v>0</v>
      </c>
      <c r="V13" s="12">
        <f>'TUSD BE'!$V$13*'TUSD BE'!$V$68</f>
        <v>0</v>
      </c>
      <c r="W13" s="12">
        <f>'TUSD BE'!$W$13*'TUSD BE'!$W$68</f>
        <v>0</v>
      </c>
      <c r="X13" s="12">
        <f>'TUSD BE'!$X$13*'TUSD BE'!$X$68</f>
        <v>0</v>
      </c>
      <c r="Y13" s="12">
        <f>'TUSD BE'!$Y$13*'TUSD BE'!$Y$68</f>
        <v>34.909025958636647</v>
      </c>
      <c r="Z13" s="12">
        <f>'TUSD BE'!$Z$13*'TUSD BE'!$Z$68</f>
        <v>0</v>
      </c>
      <c r="AA13" s="12">
        <f>'TUSD BE'!$AA$13*'TUSD BE'!$AA$68</f>
        <v>0</v>
      </c>
      <c r="AB13" s="12">
        <f>SUM($U$13:$AA$13)</f>
        <v>34.909025958636647</v>
      </c>
      <c r="AC13" s="12">
        <f>'TUSD BE'!$AC$13*'TUSD BE'!$AC$68</f>
        <v>0</v>
      </c>
      <c r="AD13" s="12">
        <f>SUM($AC$13:$AC$13)</f>
        <v>0</v>
      </c>
      <c r="AE13" s="12">
        <f ca="1">$AO$13*$AO$65</f>
        <v>0</v>
      </c>
      <c r="AF13" s="12">
        <f ca="1">$AP$13*$AP$65</f>
        <v>0</v>
      </c>
      <c r="AG13" s="12">
        <f ca="1">SUM($AE$13:$AF$13)</f>
        <v>0</v>
      </c>
      <c r="AH13" s="12">
        <f>'TUSD BE'!$AH$13*'TUSD BE'!$AH$68</f>
        <v>-0.34643438611626243</v>
      </c>
      <c r="AI13" s="12">
        <f>'TUSD BE'!$AI$13*'TUSD BE'!$AI$68</f>
        <v>-1.2731247604153003E-2</v>
      </c>
      <c r="AJ13" s="12">
        <f ca="1">'TUSD BE'!$AJ$13*'TUSD BE'!$AJ$68</f>
        <v>-8.8187080587236469E-2</v>
      </c>
      <c r="AK13" s="12">
        <f ca="1">'TUSD BE'!$AK$13*'TUSD BE'!$AK$68</f>
        <v>1.6667898020037684E-2</v>
      </c>
      <c r="AL13" s="12">
        <f ca="1">SUM($AH$13:$AK$13)</f>
        <v>-0.43068481628761418</v>
      </c>
      <c r="AM13" s="12">
        <f t="shared" ca="1" si="0"/>
        <v>-75.441473093991718</v>
      </c>
      <c r="AO13" s="20">
        <f ca="1">+'TUSD BE'!$T$13+'TUSD BE'!$AB$13+'TUSD BE'!$AD$13+'TUSD BE'!$AL$13</f>
        <v>1007.1015747455834</v>
      </c>
      <c r="AP13" s="20">
        <f ca="1">+'TUSD BE'!$T$13+'TUSD BE'!$AB$13+'TUSD BE'!$AD$13+'TUSD BE'!$AL$13</f>
        <v>1007.1015747455834</v>
      </c>
      <c r="AQ13" s="15">
        <f t="shared" si="5"/>
        <v>0</v>
      </c>
      <c r="AR13" s="9">
        <f t="shared" si="2"/>
        <v>1</v>
      </c>
      <c r="AS13" s="9">
        <f ca="1">IFERROR(VLOOKUP(A13,TarifaMedia!$C$37:$E$42,2,0),AS12)</f>
        <v>1</v>
      </c>
      <c r="AT13" s="15">
        <f ca="1">'TUSD BE'!AM13+'TUSD BF'!AM13+'TUSD CVA'!AM13</f>
        <v>1042.4243526760829</v>
      </c>
      <c r="AU13" s="15">
        <f>'TABELAS REH COPEL'!F76</f>
        <v>932.51</v>
      </c>
      <c r="AV13" s="15">
        <f t="shared" ca="1" si="3"/>
        <v>-109.9143526760829</v>
      </c>
      <c r="AW13" s="107">
        <f t="shared" ca="1" si="4"/>
        <v>0</v>
      </c>
    </row>
    <row r="14" spans="1:49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f>'TUSD BE'!$L$14*'TUSD BE'!$L$68</f>
        <v>0</v>
      </c>
      <c r="M14" s="12">
        <f>'TUSD BE'!$M$14*'TUSD BE'!$M$68</f>
        <v>-5.4622281001096302E-3</v>
      </c>
      <c r="N14" s="12">
        <f ca="1">'TUSD BE'!$N$14*'TUSD BE'!$N$68</f>
        <v>1.0811188626563819E-8</v>
      </c>
      <c r="O14" s="12">
        <f>'TUSD BE'!$O$14*'TUSD BE'!$O$68</f>
        <v>0</v>
      </c>
      <c r="P14" s="12">
        <f>'TUSD BE'!$P$14*'TUSD BE'!$P$68</f>
        <v>0</v>
      </c>
      <c r="Q14" s="12">
        <f>'TUSD BE'!$Q$14*'TUSD BE'!$Q$68</f>
        <v>0</v>
      </c>
      <c r="R14" s="12">
        <f>'TUSD BE'!$R$14*'TUSD BE'!$R$68</f>
        <v>0</v>
      </c>
      <c r="S14" s="12">
        <f>'TUSD BE'!$R$14*'TUSD BE'!$S$68</f>
        <v>0</v>
      </c>
      <c r="T14" s="12">
        <f ca="1">SUM($L$14:$S$14)</f>
        <v>-5.4622172889210036E-3</v>
      </c>
      <c r="U14" s="12">
        <f>'TUSD BE'!$U$14*'TUSD BE'!$U$68</f>
        <v>0</v>
      </c>
      <c r="V14" s="12">
        <f>'TUSD BE'!$V$14*'TUSD BE'!$V$68</f>
        <v>0</v>
      </c>
      <c r="W14" s="12">
        <f>'TUSD BE'!$W$14*'TUSD BE'!$W$68</f>
        <v>0</v>
      </c>
      <c r="X14" s="12">
        <f>'TUSD BE'!$X$14*'TUSD BE'!$X$68</f>
        <v>0</v>
      </c>
      <c r="Y14" s="12">
        <f>'TUSD BE'!$Y$14*'TUSD BE'!$Y$68</f>
        <v>0</v>
      </c>
      <c r="Z14" s="12">
        <f>'TUSD BE'!$Z$14*'TUSD BE'!$Z$68</f>
        <v>0</v>
      </c>
      <c r="AA14" s="12">
        <f>'TUSD BE'!$AA$14*'TUSD BE'!$AA$68</f>
        <v>0</v>
      </c>
      <c r="AB14" s="12">
        <f>SUM($U$14:$AA$14)</f>
        <v>0</v>
      </c>
      <c r="AC14" s="12">
        <f>'TUSD BE'!$AC$14*'TUSD BE'!$AC$68</f>
        <v>0</v>
      </c>
      <c r="AD14" s="12">
        <f>SUM($AC$14:$AC$14)</f>
        <v>0</v>
      </c>
      <c r="AE14" s="12">
        <f ca="1">$AO$14*$AO$65</f>
        <v>0</v>
      </c>
      <c r="AF14" s="12">
        <f ca="1">$AP$14*$AP$65</f>
        <v>0</v>
      </c>
      <c r="AG14" s="12">
        <f ca="1">SUM($AE$14:$AF$14)</f>
        <v>0</v>
      </c>
      <c r="AH14" s="12">
        <f>'TUSD BE'!$AH$14*'TUSD BE'!$AH$68</f>
        <v>-0.34643438611626243</v>
      </c>
      <c r="AI14" s="12">
        <f>'TUSD BE'!$AI$14*'TUSD BE'!$AI$68</f>
        <v>-1.2731247604153003E-2</v>
      </c>
      <c r="AJ14" s="12">
        <f ca="1">'TUSD BE'!$AJ$14*'TUSD BE'!$AJ$68</f>
        <v>-8.8187080587236469E-2</v>
      </c>
      <c r="AK14" s="12">
        <f ca="1">'TUSD BE'!$AK$14*'TUSD BE'!$AK$68</f>
        <v>1.6667898020037684E-2</v>
      </c>
      <c r="AL14" s="12">
        <f ca="1">SUM($AH$14:$AK$14)</f>
        <v>-0.43068481628761418</v>
      </c>
      <c r="AM14" s="12">
        <f t="shared" ca="1" si="0"/>
        <v>8.183136173016333</v>
      </c>
      <c r="AO14" s="20">
        <f ca="1">+'TUSD BE'!$T$14+'TUSD BE'!$AB$14+'TUSD BE'!$AD$14+'TUSD BE'!$AL$14</f>
        <v>6.8669654785753922</v>
      </c>
      <c r="AP14" s="20">
        <f ca="1">+'TUSD BE'!$T$14+'TUSD BE'!$AB$14+'TUSD BE'!$AD$14+'TUSD BE'!$AL$14</f>
        <v>6.8669654785753922</v>
      </c>
      <c r="AQ14" s="15">
        <f t="shared" si="5"/>
        <v>0</v>
      </c>
      <c r="AR14" s="9">
        <f t="shared" si="2"/>
        <v>1</v>
      </c>
      <c r="AS14" s="9">
        <f ca="1">IFERROR(VLOOKUP(A14,TarifaMedia!$C$37:$E$42,2,0),AS13)</f>
        <v>1</v>
      </c>
      <c r="AT14" s="15">
        <f ca="1">'TUSD BE'!AM14+'TUSD BF'!AM14+'TUSD CVA'!AM14</f>
        <v>7.2807167934071328</v>
      </c>
      <c r="AU14" s="15">
        <f>'TABELAS REH COPEL'!F77</f>
        <v>15.9</v>
      </c>
      <c r="AV14" s="15">
        <f t="shared" ca="1" si="3"/>
        <v>8.6192832065928684</v>
      </c>
      <c r="AW14" s="107">
        <f t="shared" ca="1" si="4"/>
        <v>0</v>
      </c>
    </row>
    <row r="15" spans="1:49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f>'TUSD BE'!$L$15*'TUSD BE'!$L$68</f>
        <v>0</v>
      </c>
      <c r="M15" s="12">
        <f>'TUSD BE'!$M$15*'TUSD BE'!$M$68</f>
        <v>0</v>
      </c>
      <c r="N15" s="12">
        <f ca="1">'TUSD BE'!$N$15*'TUSD BE'!$N$68</f>
        <v>0</v>
      </c>
      <c r="O15" s="12">
        <f>'TUSD BE'!$O$15*'TUSD BE'!$O$68</f>
        <v>0</v>
      </c>
      <c r="P15" s="12">
        <f>'TUSD BE'!$P$15*'TUSD BE'!$P$68</f>
        <v>0</v>
      </c>
      <c r="Q15" s="12">
        <f>'TUSD BE'!$Q$15*'TUSD BE'!$Q$68</f>
        <v>0</v>
      </c>
      <c r="R15" s="12">
        <f>'TUSD BE'!$R$15*'TUSD BE'!$R$68</f>
        <v>0</v>
      </c>
      <c r="S15" s="12">
        <f>'TUSD BE'!$R$15*'TUSD BE'!$S$68</f>
        <v>0</v>
      </c>
      <c r="T15" s="12">
        <f ca="1">SUM($L$15:$S$15)</f>
        <v>0</v>
      </c>
      <c r="U15" s="12">
        <f>'TUSD BE'!$U$15*'TUSD BE'!$U$68</f>
        <v>0</v>
      </c>
      <c r="V15" s="12">
        <f>'TUSD BE'!$V$15*'TUSD BE'!$V$68</f>
        <v>0</v>
      </c>
      <c r="W15" s="12">
        <f>'TUSD BE'!$W$15*'TUSD BE'!$W$68</f>
        <v>0</v>
      </c>
      <c r="X15" s="12">
        <f>'TUSD BE'!$X$15*'TUSD BE'!$X$68</f>
        <v>0</v>
      </c>
      <c r="Y15" s="12">
        <f>'TUSD BE'!$Y$15*'TUSD BE'!$Y$68</f>
        <v>1.4515180368633354</v>
      </c>
      <c r="Z15" s="12">
        <f>'TUSD BE'!$Z$15*'TUSD BE'!$Z$68</f>
        <v>0</v>
      </c>
      <c r="AA15" s="12">
        <f>'TUSD BE'!$AA$15*'TUSD BE'!$AA$68</f>
        <v>0</v>
      </c>
      <c r="AB15" s="12">
        <f>SUM($U$15:$AA$15)</f>
        <v>1.4515180368633354</v>
      </c>
      <c r="AC15" s="12">
        <f>'TUSD BE'!$AC$15*'TUSD BE'!$AC$68</f>
        <v>0</v>
      </c>
      <c r="AD15" s="12">
        <f>SUM($AC$15:$AC$15)</f>
        <v>0</v>
      </c>
      <c r="AE15" s="12">
        <f ca="1">$AO$15*$AO$65</f>
        <v>0</v>
      </c>
      <c r="AF15" s="12">
        <f ca="1">$AP$15*$AP$65</f>
        <v>0</v>
      </c>
      <c r="AG15" s="12">
        <f ca="1">SUM($AE$15:$AF$15)</f>
        <v>0</v>
      </c>
      <c r="AH15" s="12">
        <f>'TUSD BE'!$AH$15*'TUSD BE'!$AH$68</f>
        <v>0</v>
      </c>
      <c r="AI15" s="12">
        <f>'TUSD BE'!$AI$15*'TUSD BE'!$AI$68</f>
        <v>0</v>
      </c>
      <c r="AJ15" s="12">
        <f ca="1">'TUSD BE'!$AJ$15*'TUSD BE'!$AJ$68</f>
        <v>0</v>
      </c>
      <c r="AK15" s="12">
        <f ca="1">'TUSD BE'!$AK$15*'TUSD BE'!$AK$68</f>
        <v>0</v>
      </c>
      <c r="AL15" s="12">
        <f ca="1">SUM($AH$15:$AK$15)</f>
        <v>0</v>
      </c>
      <c r="AM15" s="12">
        <f t="shared" ca="1" si="0"/>
        <v>-3.2031693324480965</v>
      </c>
      <c r="AO15" s="20">
        <f ca="1">+'TUSD BE'!$T$15+'TUSD BE'!$AB$15+'TUSD BE'!$AD$15+'TUSD BE'!$AL$15</f>
        <v>40.973169332448101</v>
      </c>
      <c r="AP15" s="20">
        <f ca="1">+'TUSD BE'!$T$15+'TUSD BE'!$AB$15+'TUSD BE'!$AD$15+'TUSD BE'!$AL$15</f>
        <v>40.973169332448101</v>
      </c>
      <c r="AQ15" s="15" t="str">
        <f t="shared" si="5"/>
        <v>Azul</v>
      </c>
      <c r="AR15" s="9">
        <f t="shared" si="2"/>
        <v>1</v>
      </c>
      <c r="AS15" s="9">
        <f ca="1">IFERROR(VLOOKUP(A15,TarifaMedia!$C$37:$E$42,2,0),AS14)</f>
        <v>1</v>
      </c>
      <c r="AT15" s="15">
        <f ca="1">'TUSD BE'!AM15+'TUSD BF'!AM15+'TUSD CVA'!AM15</f>
        <v>42.424687369311435</v>
      </c>
      <c r="AU15" s="15">
        <f>'TABELAS REH COPEL'!E91</f>
        <v>37.770000000000003</v>
      </c>
      <c r="AV15" s="15">
        <f t="shared" ca="1" si="3"/>
        <v>-4.6546873693114321</v>
      </c>
      <c r="AW15" s="107">
        <f t="shared" ca="1" si="4"/>
        <v>822134.15660463169</v>
      </c>
    </row>
    <row r="16" spans="1:49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f>'TUSD BE'!$L$16*'TUSD BE'!$L$68</f>
        <v>0</v>
      </c>
      <c r="M16" s="12">
        <f>'TUSD BE'!$M$16*'TUSD BE'!$M$68</f>
        <v>0</v>
      </c>
      <c r="N16" s="12">
        <f ca="1">'TUSD BE'!$N$16*'TUSD BE'!$N$68</f>
        <v>0</v>
      </c>
      <c r="O16" s="12">
        <f>'TUSD BE'!$O$16*'TUSD BE'!$O$68</f>
        <v>0</v>
      </c>
      <c r="P16" s="12">
        <f>'TUSD BE'!$P$16*'TUSD BE'!$P$68</f>
        <v>0</v>
      </c>
      <c r="Q16" s="12">
        <f>'TUSD BE'!$Q$16*'TUSD BE'!$Q$68</f>
        <v>0</v>
      </c>
      <c r="R16" s="12">
        <f>'TUSD BE'!$R$16*'TUSD BE'!$R$68</f>
        <v>0</v>
      </c>
      <c r="S16" s="12">
        <f>'TUSD BE'!$R$16*'TUSD BE'!$S$68</f>
        <v>0</v>
      </c>
      <c r="T16" s="12">
        <f ca="1">SUM($L$16:$S$16)</f>
        <v>0</v>
      </c>
      <c r="U16" s="12">
        <f>'TUSD BE'!$U$16*'TUSD BE'!$U$68</f>
        <v>0</v>
      </c>
      <c r="V16" s="12">
        <f>'TUSD BE'!$V$16*'TUSD BE'!$V$68</f>
        <v>0</v>
      </c>
      <c r="W16" s="12">
        <f>'TUSD BE'!$W$16*'TUSD BE'!$W$68</f>
        <v>0</v>
      </c>
      <c r="X16" s="12">
        <f>'TUSD BE'!$X$16*'TUSD BE'!$X$68</f>
        <v>0</v>
      </c>
      <c r="Y16" s="12">
        <f>'TUSD BE'!$Y$16*'TUSD BE'!$Y$68</f>
        <v>0.63320900873608033</v>
      </c>
      <c r="Z16" s="12">
        <f>'TUSD BE'!$Z$16*'TUSD BE'!$Z$68</f>
        <v>0</v>
      </c>
      <c r="AA16" s="12">
        <f>'TUSD BE'!$AA$16*'TUSD BE'!$AA$68</f>
        <v>0</v>
      </c>
      <c r="AB16" s="12">
        <f>SUM($U$16:$AA$16)</f>
        <v>0.63320900873608033</v>
      </c>
      <c r="AC16" s="12">
        <f>'TUSD BE'!$AC$16*'TUSD BE'!$AC$68</f>
        <v>0</v>
      </c>
      <c r="AD16" s="12">
        <f>SUM($AC$16:$AC$16)</f>
        <v>0</v>
      </c>
      <c r="AE16" s="12">
        <f ca="1">$AO$16*$AO$65</f>
        <v>0</v>
      </c>
      <c r="AF16" s="12">
        <f ca="1">$AP$16*$AP$65</f>
        <v>0</v>
      </c>
      <c r="AG16" s="12">
        <f ca="1">SUM($AE$16:$AF$16)</f>
        <v>0</v>
      </c>
      <c r="AH16" s="12">
        <f>'TUSD BE'!$AH$16*'TUSD BE'!$AH$68</f>
        <v>0</v>
      </c>
      <c r="AI16" s="12">
        <f>'TUSD BE'!$AI$16*'TUSD BE'!$AI$68</f>
        <v>0</v>
      </c>
      <c r="AJ16" s="12">
        <f ca="1">'TUSD BE'!$AJ$16*'TUSD BE'!$AJ$68</f>
        <v>0</v>
      </c>
      <c r="AK16" s="12">
        <f ca="1">'TUSD BE'!$AK$16*'TUSD BE'!$AK$68</f>
        <v>0</v>
      </c>
      <c r="AL16" s="12">
        <f ca="1">SUM($AH$16:$AK$16)</f>
        <v>0</v>
      </c>
      <c r="AM16" s="12">
        <f t="shared" ca="1" si="0"/>
        <v>1.6949043111886359</v>
      </c>
      <c r="AO16" s="20">
        <f ca="1">+'TUSD BE'!$T$16+'TUSD BE'!$AB$16+'TUSD BE'!$AD$16+'TUSD BE'!$AL$16</f>
        <v>15.885095688811361</v>
      </c>
      <c r="AP16" s="20">
        <f ca="1">+'TUSD BE'!$T$16+'TUSD BE'!$AB$16+'TUSD BE'!$AD$16+'TUSD BE'!$AL$16</f>
        <v>15.885095688811361</v>
      </c>
      <c r="AQ16" s="15">
        <f t="shared" si="5"/>
        <v>0</v>
      </c>
      <c r="AR16" s="9">
        <f t="shared" si="2"/>
        <v>1</v>
      </c>
      <c r="AS16" s="9">
        <f ca="1">IFERROR(VLOOKUP(A16,TarifaMedia!$C$37:$E$42,2,0),AS15)</f>
        <v>1</v>
      </c>
      <c r="AT16" s="15">
        <f ca="1">'TUSD BE'!AM16+'TUSD BF'!AM16+'TUSD CVA'!AM16</f>
        <v>16.518304697547443</v>
      </c>
      <c r="AU16" s="15">
        <f>'TABELAS REH COPEL'!E92</f>
        <v>17.579999999999998</v>
      </c>
      <c r="AV16" s="15">
        <f t="shared" ca="1" si="3"/>
        <v>1.0616953024525557</v>
      </c>
      <c r="AW16" s="107">
        <f t="shared" ca="1" si="4"/>
        <v>-199434.15408920034</v>
      </c>
    </row>
    <row r="17" spans="1:49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'TUSD BE'!$L$17*'TUSD BE'!$L$68</f>
        <v>-0.99097316442996741</v>
      </c>
      <c r="M17" s="12">
        <f>'TUSD BE'!$M$17*'TUSD BE'!$M$68</f>
        <v>-5.4622281001096302E-3</v>
      </c>
      <c r="N17" s="12">
        <f ca="1">'TUSD BE'!$N$17*'TUSD BE'!$N$68</f>
        <v>1.1611840073394573E-8</v>
      </c>
      <c r="O17" s="12">
        <f>'TUSD BE'!$O$17*'TUSD BE'!$O$68</f>
        <v>0</v>
      </c>
      <c r="P17" s="12">
        <f>'TUSD BE'!$P$17*'TUSD BE'!$P$68</f>
        <v>0</v>
      </c>
      <c r="Q17" s="12">
        <f>'TUSD BE'!$Q$17*'TUSD BE'!$Q$68</f>
        <v>-1.5310169819557888</v>
      </c>
      <c r="R17" s="12">
        <f>'TUSD BE'!$R$17*'TUSD BE'!$R$68</f>
        <v>-0.278416203295761</v>
      </c>
      <c r="S17" s="12">
        <f>'TUSD BE'!$R$17*'TUSD BE'!$S$68</f>
        <v>0</v>
      </c>
      <c r="T17" s="12">
        <f ca="1">SUM($L$17:$S$17)</f>
        <v>-2.8058685661697869</v>
      </c>
      <c r="U17" s="12">
        <f>'TUSD BE'!$U$17*'TUSD BE'!$U$68</f>
        <v>0</v>
      </c>
      <c r="V17" s="12">
        <f>'TUSD BE'!$V$17*'TUSD BE'!$V$68</f>
        <v>0</v>
      </c>
      <c r="W17" s="12">
        <f>'TUSD BE'!$W$17*'TUSD BE'!$W$68</f>
        <v>0</v>
      </c>
      <c r="X17" s="12">
        <f>'TUSD BE'!$X$17*'TUSD BE'!$X$68</f>
        <v>0</v>
      </c>
      <c r="Y17" s="12">
        <f>'TUSD BE'!$Y$17*'TUSD BE'!$Y$68</f>
        <v>0</v>
      </c>
      <c r="Z17" s="12">
        <f>'TUSD BE'!$Z$17*'TUSD BE'!$Z$68</f>
        <v>0</v>
      </c>
      <c r="AA17" s="12">
        <f>'TUSD BE'!$AA$17*'TUSD BE'!$AA$68</f>
        <v>0</v>
      </c>
      <c r="AB17" s="12">
        <f>SUM($U$17:$AA$17)</f>
        <v>0</v>
      </c>
      <c r="AC17" s="12">
        <f>'TUSD BE'!$AC$17*'TUSD BE'!$AC$68</f>
        <v>0</v>
      </c>
      <c r="AD17" s="12">
        <f>SUM($AC$17:$AC$17)</f>
        <v>0</v>
      </c>
      <c r="AE17" s="12">
        <f ca="1">$AO$17*$AO$65</f>
        <v>0</v>
      </c>
      <c r="AF17" s="12">
        <f ca="1">$AP$17*$AP$65</f>
        <v>0</v>
      </c>
      <c r="AG17" s="12">
        <f ca="1">SUM($AE$17:$AF$17)</f>
        <v>0</v>
      </c>
      <c r="AH17" s="12">
        <f>'TUSD BE'!$AH$17*'TUSD BE'!$AH$68</f>
        <v>-0.34643438611626243</v>
      </c>
      <c r="AI17" s="12">
        <f>'TUSD BE'!$AI$17*'TUSD BE'!$AI$68</f>
        <v>-1.2731247604153003E-2</v>
      </c>
      <c r="AJ17" s="12">
        <f ca="1">'TUSD BE'!$AJ$17*'TUSD BE'!$AJ$68</f>
        <v>-8.8187080587236469E-2</v>
      </c>
      <c r="AK17" s="12">
        <f ca="1">'TUSD BE'!$AK$17*'TUSD BE'!$AK$68</f>
        <v>1.6667898020037684E-2</v>
      </c>
      <c r="AL17" s="12">
        <f ca="1">SUM($AH$17:$AK$17)</f>
        <v>-0.43068481628761418</v>
      </c>
      <c r="AM17" s="12">
        <f t="shared" ca="1" si="0"/>
        <v>-3.6230540960184068</v>
      </c>
      <c r="AO17" s="20">
        <f ca="1">+'TUSD BE'!$T$17+'TUSD BE'!$AB$17+'TUSD BE'!$AD$17+'TUSD BE'!$AL$17</f>
        <v>99.211381512720507</v>
      </c>
      <c r="AP17" s="20">
        <f ca="1">+'TUSD BE'!$T$17+'TUSD BE'!$AB$17+'TUSD BE'!$AD$17+'TUSD BE'!$AL$17</f>
        <v>99.211381512720507</v>
      </c>
      <c r="AQ17" s="15">
        <f t="shared" si="5"/>
        <v>0</v>
      </c>
      <c r="AR17" s="9">
        <f t="shared" si="2"/>
        <v>1</v>
      </c>
      <c r="AS17" s="9">
        <f ca="1">IFERROR(VLOOKUP(A17,TarifaMedia!$C$37:$E$42,2,0),AS16)</f>
        <v>1</v>
      </c>
      <c r="AT17" s="15">
        <f ca="1">'TUSD BE'!AM17+'TUSD BF'!AM17+'TUSD CVA'!AM17</f>
        <v>111.236500713561</v>
      </c>
      <c r="AU17" s="15">
        <f>'TABELAS REH COPEL'!F92</f>
        <v>110.85</v>
      </c>
      <c r="AV17" s="15">
        <f t="shared" ca="1" si="3"/>
        <v>-0.38650071356100568</v>
      </c>
      <c r="AW17" s="107">
        <f t="shared" ca="1" si="4"/>
        <v>39713.689626761945</v>
      </c>
    </row>
    <row r="18" spans="1:49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f>'TUSD BE'!$L$18*'TUSD BE'!$L$68</f>
        <v>0</v>
      </c>
      <c r="M18" s="12">
        <f>'TUSD BE'!$M$18*'TUSD BE'!$M$68</f>
        <v>-5.4622281001096302E-3</v>
      </c>
      <c r="N18" s="12">
        <f ca="1">'TUSD BE'!$N$18*'TUSD BE'!$N$68</f>
        <v>1.0811188626563819E-8</v>
      </c>
      <c r="O18" s="12">
        <f>'TUSD BE'!$O$18*'TUSD BE'!$O$68</f>
        <v>0</v>
      </c>
      <c r="P18" s="12">
        <f>'TUSD BE'!$P$18*'TUSD BE'!$P$68</f>
        <v>0</v>
      </c>
      <c r="Q18" s="12">
        <f>'TUSD BE'!$Q$18*'TUSD BE'!$Q$68</f>
        <v>0</v>
      </c>
      <c r="R18" s="12">
        <f>'TUSD BE'!$R$18*'TUSD BE'!$R$68</f>
        <v>0</v>
      </c>
      <c r="S18" s="12">
        <f>'TUSD BE'!$R$18*'TUSD BE'!$S$68</f>
        <v>0</v>
      </c>
      <c r="T18" s="12">
        <f ca="1">SUM($L$18:$S$18)</f>
        <v>-5.4622172889210036E-3</v>
      </c>
      <c r="U18" s="12">
        <f>'TUSD BE'!$U$18*'TUSD BE'!$U$68</f>
        <v>0</v>
      </c>
      <c r="V18" s="12">
        <f>'TUSD BE'!$V$18*'TUSD BE'!$V$68</f>
        <v>0</v>
      </c>
      <c r="W18" s="12">
        <f>'TUSD BE'!$W$18*'TUSD BE'!$W$68</f>
        <v>0</v>
      </c>
      <c r="X18" s="12">
        <f>'TUSD BE'!$X$18*'TUSD BE'!$X$68</f>
        <v>0</v>
      </c>
      <c r="Y18" s="12">
        <f>'TUSD BE'!$Y$18*'TUSD BE'!$Y$68</f>
        <v>0</v>
      </c>
      <c r="Z18" s="12">
        <f>'TUSD BE'!$Z$18*'TUSD BE'!$Z$68</f>
        <v>0</v>
      </c>
      <c r="AA18" s="12">
        <f>'TUSD BE'!$AA$18*'TUSD BE'!$AA$68</f>
        <v>0</v>
      </c>
      <c r="AB18" s="12">
        <f>SUM($U$18:$AA$18)</f>
        <v>0</v>
      </c>
      <c r="AC18" s="12">
        <f>'TUSD BE'!$AC$18*'TUSD BE'!$AC$68</f>
        <v>0</v>
      </c>
      <c r="AD18" s="12">
        <f>SUM($AC$18:$AC$18)</f>
        <v>0</v>
      </c>
      <c r="AE18" s="12">
        <f ca="1">$AO$18*$AO$65</f>
        <v>0</v>
      </c>
      <c r="AF18" s="12">
        <f ca="1">$AP$18*$AP$65</f>
        <v>0</v>
      </c>
      <c r="AG18" s="12">
        <f ca="1">SUM($AE$18:$AF$18)</f>
        <v>0</v>
      </c>
      <c r="AH18" s="12">
        <f>'TUSD BE'!$AH$18*'TUSD BE'!$AH$68</f>
        <v>-0.34643438611626243</v>
      </c>
      <c r="AI18" s="12">
        <f>'TUSD BE'!$AI$18*'TUSD BE'!$AI$68</f>
        <v>-1.2731247604153003E-2</v>
      </c>
      <c r="AJ18" s="12">
        <f ca="1">'TUSD BE'!$AJ$18*'TUSD BE'!$AJ$68</f>
        <v>-8.8187080587236469E-2</v>
      </c>
      <c r="AK18" s="12">
        <f ca="1">'TUSD BE'!$AK$18*'TUSD BE'!$AK$68</f>
        <v>1.6667898020037684E-2</v>
      </c>
      <c r="AL18" s="12">
        <f ca="1">SUM($AH$18:$AK$18)</f>
        <v>-0.43068481628761418</v>
      </c>
      <c r="AM18" s="12">
        <f t="shared" ca="1" si="0"/>
        <v>8.183136173016333</v>
      </c>
      <c r="AO18" s="20">
        <f ca="1">+'TUSD BE'!$T$18+'TUSD BE'!$AB$18+'TUSD BE'!$AD$18+'TUSD BE'!$AL$18</f>
        <v>6.8669654785753922</v>
      </c>
      <c r="AP18" s="20">
        <f ca="1">+'TUSD BE'!$T$18+'TUSD BE'!$AB$18+'TUSD BE'!$AD$18+'TUSD BE'!$AL$18</f>
        <v>6.8669654785753922</v>
      </c>
      <c r="AQ18" s="15">
        <f t="shared" si="5"/>
        <v>0</v>
      </c>
      <c r="AR18" s="9">
        <f t="shared" si="2"/>
        <v>1</v>
      </c>
      <c r="AS18" s="9">
        <f ca="1">IFERROR(VLOOKUP(A18,TarifaMedia!$C$37:$E$42,2,0),AS17)</f>
        <v>1</v>
      </c>
      <c r="AT18" s="15">
        <f ca="1">'TUSD BE'!AM18+'TUSD BF'!AM18+'TUSD CVA'!AM18</f>
        <v>7.2807167934071328</v>
      </c>
      <c r="AU18" s="15">
        <f>'TABELAS REH COPEL'!F93</f>
        <v>15.9</v>
      </c>
      <c r="AV18" s="15">
        <f t="shared" ca="1" si="3"/>
        <v>8.6192832065928684</v>
      </c>
      <c r="AW18" s="107">
        <f t="shared" ca="1" si="4"/>
        <v>0</v>
      </c>
    </row>
    <row r="19" spans="1:49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f>'TUSD BE'!$L$19*'TUSD BE'!$L$68</f>
        <v>0</v>
      </c>
      <c r="M19" s="12">
        <f>'TUSD BE'!$M$19*'TUSD BE'!$M$68</f>
        <v>-5.1801257885230353E-4</v>
      </c>
      <c r="N19" s="12">
        <f ca="1">'TUSD BE'!$N$19*'TUSD BE'!$N$68</f>
        <v>3.8911660315974605E-9</v>
      </c>
      <c r="O19" s="12">
        <f>'TUSD BE'!$O$19*'TUSD BE'!$O$68</f>
        <v>0</v>
      </c>
      <c r="P19" s="12">
        <f>'TUSD BE'!$P$19*'TUSD BE'!$P$68</f>
        <v>0</v>
      </c>
      <c r="Q19" s="12">
        <f>'TUSD BE'!$Q$19*'TUSD BE'!$Q$68</f>
        <v>0</v>
      </c>
      <c r="R19" s="12">
        <f>'TUSD BE'!$R$19*'TUSD BE'!$R$68</f>
        <v>0</v>
      </c>
      <c r="S19" s="12">
        <f>'TUSD BE'!$R$19*'TUSD BE'!$S$68</f>
        <v>0</v>
      </c>
      <c r="T19" s="12">
        <f ca="1">SUM($L$19:$S$19)</f>
        <v>-5.1800868768627189E-4</v>
      </c>
      <c r="U19" s="12">
        <f>'TUSD BE'!$U$19*'TUSD BE'!$U$68</f>
        <v>0</v>
      </c>
      <c r="V19" s="12">
        <f>'TUSD BE'!$V$19*'TUSD BE'!$V$68</f>
        <v>0</v>
      </c>
      <c r="W19" s="12">
        <f>'TUSD BE'!$W$19*'TUSD BE'!$W$68</f>
        <v>0</v>
      </c>
      <c r="X19" s="12">
        <f>'TUSD BE'!$X$19*'TUSD BE'!$X$68</f>
        <v>0</v>
      </c>
      <c r="Y19" s="12">
        <f>'TUSD BE'!$Y$19*'TUSD BE'!$Y$68</f>
        <v>0</v>
      </c>
      <c r="Z19" s="12">
        <f>'TUSD BE'!$Z$19*'TUSD BE'!$Z$68</f>
        <v>0</v>
      </c>
      <c r="AA19" s="12">
        <f>'TUSD BE'!$AA$19*'TUSD BE'!$AA$68</f>
        <v>0</v>
      </c>
      <c r="AB19" s="12">
        <f>SUM($U$19:$AA$19)</f>
        <v>0</v>
      </c>
      <c r="AC19" s="12">
        <f>'TUSD BE'!$AC$19*'TUSD BE'!$AC$68</f>
        <v>0</v>
      </c>
      <c r="AD19" s="12">
        <f>SUM($AC$19:$AC$19)</f>
        <v>0</v>
      </c>
      <c r="AE19" s="12">
        <f ca="1">$AO$19*$AO$65</f>
        <v>0</v>
      </c>
      <c r="AF19" s="12">
        <f ca="1">$AP$19*$AP$65</f>
        <v>0</v>
      </c>
      <c r="AG19" s="12">
        <f ca="1">SUM($AE$19:$AF$19)</f>
        <v>0</v>
      </c>
      <c r="AH19" s="12">
        <f>'TUSD BE'!$AH$19*'TUSD BE'!$AH$68</f>
        <v>0</v>
      </c>
      <c r="AI19" s="12">
        <f>'TUSD BE'!$AI$19*'TUSD BE'!$AI$68</f>
        <v>0</v>
      </c>
      <c r="AJ19" s="12">
        <f ca="1">'TUSD BE'!$AJ$19*'TUSD BE'!$AJ$68</f>
        <v>0</v>
      </c>
      <c r="AK19" s="12">
        <f ca="1">'TUSD BE'!$AK$19*'TUSD BE'!$AK$68</f>
        <v>0</v>
      </c>
      <c r="AL19" s="12">
        <f ca="1">SUM($AH$19:$AK$19)</f>
        <v>0</v>
      </c>
      <c r="AM19" s="12">
        <f t="shared" ca="1" si="0"/>
        <v>-5.1800868768627189E-4</v>
      </c>
      <c r="AO19" s="20">
        <f ca="1">+'TUSD BE'!$T$19+'TUSD BE'!$AB$19+'TUSD BE'!$AD$19+'TUSD BE'!$AL$19</f>
        <v>5.7777579326507871</v>
      </c>
      <c r="AP19" s="20">
        <f ca="1">+'TUSD BE'!$T$19+'TUSD BE'!$AB$19+'TUSD BE'!$AD$19+'TUSD BE'!$AL$19</f>
        <v>5.7777579326507871</v>
      </c>
      <c r="AQ19" s="15" t="str">
        <f t="shared" si="5"/>
        <v>Geração</v>
      </c>
      <c r="AR19" s="9">
        <f t="shared" si="2"/>
        <v>0</v>
      </c>
      <c r="AS19" s="9">
        <f ca="1">IFERROR(VLOOKUP(A19,TarifaMedia!$C$37:$E$42,2,0),AS18)</f>
        <v>1</v>
      </c>
      <c r="AT19" s="15">
        <f ca="1">'TUSD BE'!AM19+'TUSD BF'!AM19+'TUSD CVA'!AM19</f>
        <v>5.7772399239631005</v>
      </c>
      <c r="AU19" s="129">
        <f>'TABELAS REH COPEL'!E110</f>
        <v>6.47</v>
      </c>
      <c r="AV19" s="15">
        <f t="shared" ca="1" si="3"/>
        <v>0</v>
      </c>
      <c r="AW19" s="107">
        <f t="shared" ca="1" si="4"/>
        <v>0</v>
      </c>
    </row>
    <row r="20" spans="1:49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f>'TUSD BE'!$L$20*'TUSD BE'!$L$68</f>
        <v>0</v>
      </c>
      <c r="M20" s="12">
        <f>'TUSD BE'!$M$20*'TUSD BE'!$M$68</f>
        <v>0</v>
      </c>
      <c r="N20" s="12">
        <f ca="1">'TUSD BE'!$N$20*'TUSD BE'!$N$68</f>
        <v>0</v>
      </c>
      <c r="O20" s="12">
        <f>'TUSD BE'!$O$20*'TUSD BE'!$O$68</f>
        <v>0</v>
      </c>
      <c r="P20" s="12">
        <f>'TUSD BE'!$P$20*'TUSD BE'!$P$68</f>
        <v>0</v>
      </c>
      <c r="Q20" s="12">
        <f>'TUSD BE'!$Q$20*'TUSD BE'!$Q$68</f>
        <v>0</v>
      </c>
      <c r="R20" s="12">
        <f>'TUSD BE'!$R$20*'TUSD BE'!$R$68</f>
        <v>0</v>
      </c>
      <c r="S20" s="12">
        <f>'TUSD BE'!$R$20*'TUSD BE'!$S$68</f>
        <v>0</v>
      </c>
      <c r="T20" s="12">
        <f ca="1">SUM($L$20:$S$20)</f>
        <v>0</v>
      </c>
      <c r="U20" s="12">
        <f>'TUSD BE'!$U$20*'TUSD BE'!$U$68</f>
        <v>0</v>
      </c>
      <c r="V20" s="12">
        <f>'TUSD BE'!$V$20*'TUSD BE'!$V$68</f>
        <v>0</v>
      </c>
      <c r="W20" s="12">
        <f>'TUSD BE'!$W$20*'TUSD BE'!$W$68</f>
        <v>0</v>
      </c>
      <c r="X20" s="12">
        <f>'TUSD BE'!$X$20*'TUSD BE'!$X$68</f>
        <v>0</v>
      </c>
      <c r="Y20" s="12">
        <f>'TUSD BE'!$Y$20*'TUSD BE'!$Y$68</f>
        <v>0.63320900873608033</v>
      </c>
      <c r="Z20" s="12">
        <f>'TUSD BE'!$Z$20*'TUSD BE'!$Z$68</f>
        <v>0</v>
      </c>
      <c r="AA20" s="12">
        <f>'TUSD BE'!$AA$20*'TUSD BE'!$AA$68</f>
        <v>0</v>
      </c>
      <c r="AB20" s="12">
        <f>SUM($U$20:$AA$20)</f>
        <v>0.63320900873608033</v>
      </c>
      <c r="AC20" s="12">
        <f>'TUSD BE'!$AC$20*'TUSD BE'!$AC$68</f>
        <v>0</v>
      </c>
      <c r="AD20" s="12">
        <f>SUM($AC$20:$AC$20)</f>
        <v>0</v>
      </c>
      <c r="AE20" s="12">
        <f ca="1">$AO$20*$AO$65</f>
        <v>0</v>
      </c>
      <c r="AF20" s="12">
        <f ca="1">$AP$20*$AP$65</f>
        <v>0</v>
      </c>
      <c r="AG20" s="12">
        <f ca="1">SUM($AE$20:$AF$20)</f>
        <v>0</v>
      </c>
      <c r="AH20" s="12">
        <f>'TUSD BE'!$AH$20*'TUSD BE'!$AH$68</f>
        <v>0</v>
      </c>
      <c r="AI20" s="12">
        <f>'TUSD BE'!$AI$20*'TUSD BE'!$AI$68</f>
        <v>0</v>
      </c>
      <c r="AJ20" s="12">
        <f ca="1">'TUSD BE'!$AJ$20*'TUSD BE'!$AJ$68</f>
        <v>0</v>
      </c>
      <c r="AK20" s="12">
        <f ca="1">'TUSD BE'!$AK$20*'TUSD BE'!$AK$68</f>
        <v>0</v>
      </c>
      <c r="AL20" s="12">
        <f ca="1">SUM($AH$20:$AK$20)</f>
        <v>0</v>
      </c>
      <c r="AM20" s="12">
        <f t="shared" ca="1" si="0"/>
        <v>1.6949043111886359</v>
      </c>
      <c r="AO20" s="20">
        <f ca="1">+'TUSD BE'!$T$20+'TUSD BE'!$AB$20+'TUSD BE'!$AD$20+'TUSD BE'!$AL$20</f>
        <v>15.885095688811361</v>
      </c>
      <c r="AP20" s="20">
        <f ca="1">+'TUSD BE'!$T$20+'TUSD BE'!$AB$20+'TUSD BE'!$AD$20+'TUSD BE'!$AL$20</f>
        <v>15.885095688811361</v>
      </c>
      <c r="AQ20" s="15" t="str">
        <f t="shared" si="5"/>
        <v>Verde</v>
      </c>
      <c r="AR20" s="9">
        <f t="shared" si="2"/>
        <v>1</v>
      </c>
      <c r="AS20" s="9">
        <f ca="1">IFERROR(VLOOKUP(A20,TarifaMedia!$C$37:$E$42,2,0),AS19)</f>
        <v>1</v>
      </c>
      <c r="AT20" s="15">
        <f ca="1">'TUSD BE'!AM20+'TUSD BF'!AM20+'TUSD CVA'!AM20</f>
        <v>16.518304697547443</v>
      </c>
      <c r="AU20" s="15">
        <f>'TABELAS REH COPEL'!E95</f>
        <v>17.579999999999998</v>
      </c>
      <c r="AV20" s="15">
        <f t="shared" ca="1" si="3"/>
        <v>1.0616953024525557</v>
      </c>
      <c r="AW20" s="107">
        <f t="shared" ca="1" si="4"/>
        <v>-433747.12225457199</v>
      </c>
    </row>
    <row r="21" spans="1:49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'TUSD BE'!$L$21*'TUSD BE'!$L$68</f>
        <v>-0.99097316442996741</v>
      </c>
      <c r="M21" s="12">
        <f>'TUSD BE'!$M$21*'TUSD BE'!$M$68</f>
        <v>-5.4622281001096302E-3</v>
      </c>
      <c r="N21" s="12">
        <f ca="1">'TUSD BE'!$N$21*'TUSD BE'!$N$68</f>
        <v>6.6864291076251553E-7</v>
      </c>
      <c r="O21" s="12">
        <f>'TUSD BE'!$O$21*'TUSD BE'!$O$68</f>
        <v>0</v>
      </c>
      <c r="P21" s="12">
        <f>'TUSD BE'!$P$21*'TUSD BE'!$P$68</f>
        <v>0</v>
      </c>
      <c r="Q21" s="12">
        <f>'TUSD BE'!$Q$21*'TUSD BE'!$Q$68</f>
        <v>-1.5310169819557888</v>
      </c>
      <c r="R21" s="12">
        <f>'TUSD BE'!$R$21*'TUSD BE'!$R$68</f>
        <v>-0.278416203295761</v>
      </c>
      <c r="S21" s="12">
        <f>'TUSD BE'!$R$21*'TUSD BE'!$S$68</f>
        <v>0</v>
      </c>
      <c r="T21" s="12">
        <f ca="1">SUM($L$21:$S$21)</f>
        <v>-2.805867909138716</v>
      </c>
      <c r="U21" s="12">
        <f>'TUSD BE'!$U$21*'TUSD BE'!$U$68</f>
        <v>0</v>
      </c>
      <c r="V21" s="12">
        <f>'TUSD BE'!$V$21*'TUSD BE'!$V$68</f>
        <v>0</v>
      </c>
      <c r="W21" s="12">
        <f>'TUSD BE'!$W$21*'TUSD BE'!$W$68</f>
        <v>0</v>
      </c>
      <c r="X21" s="12">
        <f>'TUSD BE'!$X$21*'TUSD BE'!$X$68</f>
        <v>0</v>
      </c>
      <c r="Y21" s="12">
        <f>'TUSD BE'!$Y$21*'TUSD BE'!$Y$68</f>
        <v>34.909025958636647</v>
      </c>
      <c r="Z21" s="12">
        <f>'TUSD BE'!$Z$21*'TUSD BE'!$Z$68</f>
        <v>0</v>
      </c>
      <c r="AA21" s="12">
        <f>'TUSD BE'!$AA$21*'TUSD BE'!$AA$68</f>
        <v>0</v>
      </c>
      <c r="AB21" s="12">
        <f>SUM($U$21:$AA$21)</f>
        <v>34.909025958636647</v>
      </c>
      <c r="AC21" s="12">
        <f>'TUSD BE'!$AC$21*'TUSD BE'!$AC$68</f>
        <v>0</v>
      </c>
      <c r="AD21" s="12">
        <f>SUM($AC$21:$AC$21)</f>
        <v>0</v>
      </c>
      <c r="AE21" s="12">
        <f ca="1">$AO$21*$AO$65</f>
        <v>0</v>
      </c>
      <c r="AF21" s="12">
        <f ca="1">$AP$21*$AP$65</f>
        <v>0</v>
      </c>
      <c r="AG21" s="12">
        <f ca="1">SUM($AE$21:$AF$21)</f>
        <v>0</v>
      </c>
      <c r="AH21" s="12">
        <f>'TUSD BE'!$AH$21*'TUSD BE'!$AH$68</f>
        <v>-0.34643438611626243</v>
      </c>
      <c r="AI21" s="12">
        <f>'TUSD BE'!$AI$21*'TUSD BE'!$AI$68</f>
        <v>-1.2731247604153003E-2</v>
      </c>
      <c r="AJ21" s="12">
        <f ca="1">'TUSD BE'!$AJ$21*'TUSD BE'!$AJ$68</f>
        <v>-8.8187080587236469E-2</v>
      </c>
      <c r="AK21" s="12">
        <f ca="1">'TUSD BE'!$AK$21*'TUSD BE'!$AK$68</f>
        <v>1.6667898020037684E-2</v>
      </c>
      <c r="AL21" s="12">
        <f ca="1">SUM($AH$21:$AK$21)</f>
        <v>-0.43068481628761418</v>
      </c>
      <c r="AM21" s="12">
        <f t="shared" ca="1" si="0"/>
        <v>-87.247663363026405</v>
      </c>
      <c r="AO21" s="20">
        <f ca="1">+'TUSD BE'!$T$21+'TUSD BE'!$AB$21+'TUSD BE'!$AD$21+'TUSD BE'!$AL$21</f>
        <v>1099.4459907797286</v>
      </c>
      <c r="AP21" s="20">
        <f ca="1">+'TUSD BE'!$T$21+'TUSD BE'!$AB$21+'TUSD BE'!$AD$21+'TUSD BE'!$AL$21</f>
        <v>1099.4459907797286</v>
      </c>
      <c r="AQ21" s="15">
        <f t="shared" si="5"/>
        <v>0</v>
      </c>
      <c r="AR21" s="9">
        <f t="shared" si="2"/>
        <v>1</v>
      </c>
      <c r="AS21" s="9">
        <f ca="1">IFERROR(VLOOKUP(A21,TarifaMedia!$C$37:$E$42,2,0),AS20)</f>
        <v>1</v>
      </c>
      <c r="AT21" s="15">
        <f ca="1">'TUSD BE'!AM21+'TUSD BF'!AM21+'TUSD CVA'!AM21</f>
        <v>1146.3801365962368</v>
      </c>
      <c r="AU21" s="15">
        <f>'TABELAS REH COPEL'!F96</f>
        <v>1027.46</v>
      </c>
      <c r="AV21" s="15">
        <f t="shared" ca="1" si="3"/>
        <v>-118.92013659623672</v>
      </c>
      <c r="AW21" s="107">
        <f t="shared" ca="1" si="4"/>
        <v>875069.66293862707</v>
      </c>
    </row>
    <row r="22" spans="1:49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'TUSD BE'!$L$22*'TUSD BE'!$L$68</f>
        <v>-0.99097316442996741</v>
      </c>
      <c r="M22" s="12">
        <f>'TUSD BE'!$M$22*'TUSD BE'!$M$68</f>
        <v>-5.4622281001096302E-3</v>
      </c>
      <c r="N22" s="12">
        <f ca="1">'TUSD BE'!$N$22*'TUSD BE'!$N$68</f>
        <v>1.1611840073394573E-8</v>
      </c>
      <c r="O22" s="12">
        <f>'TUSD BE'!$O$22*'TUSD BE'!$O$68</f>
        <v>0</v>
      </c>
      <c r="P22" s="12">
        <f>'TUSD BE'!$P$22*'TUSD BE'!$P$68</f>
        <v>0</v>
      </c>
      <c r="Q22" s="12">
        <f>'TUSD BE'!$Q$22*'TUSD BE'!$Q$68</f>
        <v>-1.5310169819557888</v>
      </c>
      <c r="R22" s="12">
        <f>'TUSD BE'!$R$22*'TUSD BE'!$R$68</f>
        <v>-0.278416203295761</v>
      </c>
      <c r="S22" s="12">
        <f>'TUSD BE'!$R$22*'TUSD BE'!$S$68</f>
        <v>0</v>
      </c>
      <c r="T22" s="12">
        <f ca="1">SUM($L$22:$S$22)</f>
        <v>-2.8058685661697869</v>
      </c>
      <c r="U22" s="12">
        <f>'TUSD BE'!$U$22*'TUSD BE'!$U$68</f>
        <v>0</v>
      </c>
      <c r="V22" s="12">
        <f>'TUSD BE'!$V$22*'TUSD BE'!$V$68</f>
        <v>0</v>
      </c>
      <c r="W22" s="12">
        <f>'TUSD BE'!$W$22*'TUSD BE'!$W$68</f>
        <v>0</v>
      </c>
      <c r="X22" s="12">
        <f>'TUSD BE'!$X$22*'TUSD BE'!$X$68</f>
        <v>0</v>
      </c>
      <c r="Y22" s="12">
        <f>'TUSD BE'!$Y$22*'TUSD BE'!$Y$68</f>
        <v>0</v>
      </c>
      <c r="Z22" s="12">
        <f>'TUSD BE'!$Z$22*'TUSD BE'!$Z$68</f>
        <v>0</v>
      </c>
      <c r="AA22" s="12">
        <f>'TUSD BE'!$AA$22*'TUSD BE'!$AA$68</f>
        <v>0</v>
      </c>
      <c r="AB22" s="12">
        <f>SUM($U$22:$AA$22)</f>
        <v>0</v>
      </c>
      <c r="AC22" s="12">
        <f>'TUSD BE'!$AC$22*'TUSD BE'!$AC$68</f>
        <v>0</v>
      </c>
      <c r="AD22" s="12">
        <f>SUM($AC$22:$AC$22)</f>
        <v>0</v>
      </c>
      <c r="AE22" s="12">
        <f ca="1">$AO$22*$AO$65</f>
        <v>0</v>
      </c>
      <c r="AF22" s="12">
        <f ca="1">$AP$22*$AP$65</f>
        <v>0</v>
      </c>
      <c r="AG22" s="12">
        <f ca="1">SUM($AE$22:$AF$22)</f>
        <v>0</v>
      </c>
      <c r="AH22" s="12">
        <f>'TUSD BE'!$AH$22*'TUSD BE'!$AH$68</f>
        <v>-0.34643438611626243</v>
      </c>
      <c r="AI22" s="12">
        <f>'TUSD BE'!$AI$22*'TUSD BE'!$AI$68</f>
        <v>-1.2731247604153003E-2</v>
      </c>
      <c r="AJ22" s="12">
        <f ca="1">'TUSD BE'!$AJ$22*'TUSD BE'!$AJ$68</f>
        <v>-8.8187080587236469E-2</v>
      </c>
      <c r="AK22" s="12">
        <f ca="1">'TUSD BE'!$AK$22*'TUSD BE'!$AK$68</f>
        <v>1.6667898020037684E-2</v>
      </c>
      <c r="AL22" s="12">
        <f ca="1">SUM($AH$22:$AK$22)</f>
        <v>-0.43068481628761418</v>
      </c>
      <c r="AM22" s="12">
        <f t="shared" ca="1" si="0"/>
        <v>-3.6230540960184068</v>
      </c>
      <c r="AO22" s="20">
        <f ca="1">+'TUSD BE'!$T$22+'TUSD BE'!$AB$22+'TUSD BE'!$AD$22+'TUSD BE'!$AL$22</f>
        <v>99.211381512720507</v>
      </c>
      <c r="AP22" s="20">
        <f ca="1">+'TUSD BE'!$T$22+'TUSD BE'!$AB$22+'TUSD BE'!$AD$22+'TUSD BE'!$AL$22</f>
        <v>99.211381512720507</v>
      </c>
      <c r="AQ22" s="15">
        <f t="shared" si="5"/>
        <v>0</v>
      </c>
      <c r="AR22" s="9">
        <f t="shared" si="2"/>
        <v>1</v>
      </c>
      <c r="AS22" s="9">
        <f ca="1">IFERROR(VLOOKUP(A22,TarifaMedia!$C$37:$E$42,2,0),AS21)</f>
        <v>1</v>
      </c>
      <c r="AT22" s="15">
        <f ca="1">'TUSD BE'!AM22+'TUSD BF'!AM22+'TUSD CVA'!AM22</f>
        <v>111.236500713561</v>
      </c>
      <c r="AU22" s="15">
        <f>'TABELAS REH COPEL'!F97</f>
        <v>110.85</v>
      </c>
      <c r="AV22" s="15">
        <f t="shared" ca="1" si="3"/>
        <v>-0.38650071356100568</v>
      </c>
      <c r="AW22" s="107">
        <f t="shared" ca="1" si="4"/>
        <v>35048.641087608434</v>
      </c>
    </row>
    <row r="23" spans="1:49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f>'TUSD BE'!$L$23*'TUSD BE'!$L$68</f>
        <v>0</v>
      </c>
      <c r="M23" s="12">
        <f>'TUSD BE'!$M$23*'TUSD BE'!$M$68</f>
        <v>-5.4622281001096302E-3</v>
      </c>
      <c r="N23" s="12">
        <f ca="1">'TUSD BE'!$N$23*'TUSD BE'!$N$68</f>
        <v>6.6784225931568459E-7</v>
      </c>
      <c r="O23" s="12">
        <f>'TUSD BE'!$O$23*'TUSD BE'!$O$68</f>
        <v>0</v>
      </c>
      <c r="P23" s="12">
        <f>'TUSD BE'!$P$23*'TUSD BE'!$P$68</f>
        <v>0</v>
      </c>
      <c r="Q23" s="12">
        <f>'TUSD BE'!$Q$23*'TUSD BE'!$Q$68</f>
        <v>0</v>
      </c>
      <c r="R23" s="12">
        <f>'TUSD BE'!$R$23*'TUSD BE'!$R$68</f>
        <v>0</v>
      </c>
      <c r="S23" s="12">
        <f>'TUSD BE'!$R$23*'TUSD BE'!$S$68</f>
        <v>0</v>
      </c>
      <c r="T23" s="12">
        <f ca="1">SUM($L$23:$S$23)</f>
        <v>-5.4615602578503147E-3</v>
      </c>
      <c r="U23" s="12">
        <f>'TUSD BE'!$U$23*'TUSD BE'!$U$68</f>
        <v>0</v>
      </c>
      <c r="V23" s="12">
        <f>'TUSD BE'!$V$23*'TUSD BE'!$V$68</f>
        <v>0</v>
      </c>
      <c r="W23" s="12">
        <f>'TUSD BE'!$W$23*'TUSD BE'!$W$68</f>
        <v>0</v>
      </c>
      <c r="X23" s="12">
        <f>'TUSD BE'!$X$23*'TUSD BE'!$X$68</f>
        <v>0</v>
      </c>
      <c r="Y23" s="12">
        <f>'TUSD BE'!$Y$23*'TUSD BE'!$Y$68</f>
        <v>34.909025958636647</v>
      </c>
      <c r="Z23" s="12">
        <f>'TUSD BE'!$Z$23*'TUSD BE'!$Z$68</f>
        <v>0</v>
      </c>
      <c r="AA23" s="12">
        <f>'TUSD BE'!$AA$23*'TUSD BE'!$AA$68</f>
        <v>0</v>
      </c>
      <c r="AB23" s="12">
        <f>SUM($U$23:$AA$23)</f>
        <v>34.909025958636647</v>
      </c>
      <c r="AC23" s="12">
        <f>'TUSD BE'!$AC$23*'TUSD BE'!$AC$68</f>
        <v>0</v>
      </c>
      <c r="AD23" s="12">
        <f>SUM($AC$23:$AC$23)</f>
        <v>0</v>
      </c>
      <c r="AE23" s="12">
        <f ca="1">$AO$23*$AO$65</f>
        <v>0</v>
      </c>
      <c r="AF23" s="12">
        <f ca="1">$AP$23*$AP$65</f>
        <v>0</v>
      </c>
      <c r="AG23" s="12">
        <f ca="1">SUM($AE$23:$AF$23)</f>
        <v>0</v>
      </c>
      <c r="AH23" s="12">
        <f>'TUSD BE'!$AH$23*'TUSD BE'!$AH$68</f>
        <v>-0.34643438611626243</v>
      </c>
      <c r="AI23" s="12">
        <f>'TUSD BE'!$AI$23*'TUSD BE'!$AI$68</f>
        <v>-1.2731247604153003E-2</v>
      </c>
      <c r="AJ23" s="12">
        <f ca="1">'TUSD BE'!$AJ$23*'TUSD BE'!$AJ$68</f>
        <v>-8.8187080587236469E-2</v>
      </c>
      <c r="AK23" s="12">
        <f ca="1">'TUSD BE'!$AK$23*'TUSD BE'!$AK$68</f>
        <v>1.6667898020037684E-2</v>
      </c>
      <c r="AL23" s="12">
        <f ca="1">SUM($AH$23:$AK$23)</f>
        <v>-0.43068481628761418</v>
      </c>
      <c r="AM23" s="12">
        <f t="shared" ca="1" si="0"/>
        <v>-75.441473093991718</v>
      </c>
      <c r="AO23" s="20">
        <f ca="1">+'TUSD BE'!$T$23+'TUSD BE'!$AB$23+'TUSD BE'!$AD$23+'TUSD BE'!$AL$23</f>
        <v>1007.1015747455834</v>
      </c>
      <c r="AP23" s="20">
        <f ca="1">+'TUSD BE'!$T$23+'TUSD BE'!$AB$23+'TUSD BE'!$AD$23+'TUSD BE'!$AL$23</f>
        <v>1007.1015747455834</v>
      </c>
      <c r="AQ23" s="15">
        <f t="shared" si="5"/>
        <v>0</v>
      </c>
      <c r="AR23" s="9">
        <f t="shared" si="2"/>
        <v>1</v>
      </c>
      <c r="AS23" s="9">
        <f ca="1">IFERROR(VLOOKUP(A23,TarifaMedia!$C$37:$E$42,2,0),AS22)</f>
        <v>1</v>
      </c>
      <c r="AT23" s="15">
        <f ca="1">'TUSD BE'!AM23+'TUSD BF'!AM23+'TUSD CVA'!AM23</f>
        <v>1042.4243526760829</v>
      </c>
      <c r="AU23" s="15">
        <f>'TABELAS REH COPEL'!F99</f>
        <v>932.51</v>
      </c>
      <c r="AV23" s="15">
        <f t="shared" ca="1" si="3"/>
        <v>-109.9143526760829</v>
      </c>
      <c r="AW23" s="107">
        <f t="shared" ca="1" si="4"/>
        <v>0</v>
      </c>
    </row>
    <row r="24" spans="1:49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f>'TUSD BE'!$L$24*'TUSD BE'!$L$68</f>
        <v>0</v>
      </c>
      <c r="M24" s="12">
        <f>'TUSD BE'!$M$24*'TUSD BE'!$M$68</f>
        <v>-5.4622281001096302E-3</v>
      </c>
      <c r="N24" s="12">
        <f ca="1">'TUSD BE'!$N$24*'TUSD BE'!$N$68</f>
        <v>1.0811188626563819E-8</v>
      </c>
      <c r="O24" s="12">
        <f>'TUSD BE'!$O$24*'TUSD BE'!$O$68</f>
        <v>0</v>
      </c>
      <c r="P24" s="12">
        <f>'TUSD BE'!$P$24*'TUSD BE'!$P$68</f>
        <v>0</v>
      </c>
      <c r="Q24" s="12">
        <f>'TUSD BE'!$Q$24*'TUSD BE'!$Q$68</f>
        <v>0</v>
      </c>
      <c r="R24" s="12">
        <f>'TUSD BE'!$R$24*'TUSD BE'!$R$68</f>
        <v>0</v>
      </c>
      <c r="S24" s="12">
        <f>'TUSD BE'!$R$24*'TUSD BE'!$S$68</f>
        <v>0</v>
      </c>
      <c r="T24" s="12">
        <f ca="1">SUM($L$24:$S$24)</f>
        <v>-5.4622172889210036E-3</v>
      </c>
      <c r="U24" s="12">
        <f>'TUSD BE'!$U$24*'TUSD BE'!$U$68</f>
        <v>0</v>
      </c>
      <c r="V24" s="12">
        <f>'TUSD BE'!$V$24*'TUSD BE'!$V$68</f>
        <v>0</v>
      </c>
      <c r="W24" s="12">
        <f>'TUSD BE'!$W$24*'TUSD BE'!$W$68</f>
        <v>0</v>
      </c>
      <c r="X24" s="12">
        <f>'TUSD BE'!$X$24*'TUSD BE'!$X$68</f>
        <v>0</v>
      </c>
      <c r="Y24" s="12">
        <f>'TUSD BE'!$Y$24*'TUSD BE'!$Y$68</f>
        <v>0</v>
      </c>
      <c r="Z24" s="12">
        <f>'TUSD BE'!$Z$24*'TUSD BE'!$Z$68</f>
        <v>0</v>
      </c>
      <c r="AA24" s="12">
        <f>'TUSD BE'!$AA$24*'TUSD BE'!$AA$68</f>
        <v>0</v>
      </c>
      <c r="AB24" s="12">
        <f>SUM($U$24:$AA$24)</f>
        <v>0</v>
      </c>
      <c r="AC24" s="12">
        <f>'TUSD BE'!$AC$24*'TUSD BE'!$AC$68</f>
        <v>0</v>
      </c>
      <c r="AD24" s="12">
        <f>SUM($AC$24:$AC$24)</f>
        <v>0</v>
      </c>
      <c r="AE24" s="12">
        <f ca="1">$AO$24*$AO$65</f>
        <v>0</v>
      </c>
      <c r="AF24" s="12">
        <f ca="1">$AP$24*$AP$65</f>
        <v>0</v>
      </c>
      <c r="AG24" s="12">
        <f ca="1">SUM($AE$24:$AF$24)</f>
        <v>0</v>
      </c>
      <c r="AH24" s="12">
        <f>'TUSD BE'!$AH$24*'TUSD BE'!$AH$68</f>
        <v>-0.34643438611626243</v>
      </c>
      <c r="AI24" s="12">
        <f>'TUSD BE'!$AI$24*'TUSD BE'!$AI$68</f>
        <v>-1.2731247604153003E-2</v>
      </c>
      <c r="AJ24" s="12">
        <f ca="1">'TUSD BE'!$AJ$24*'TUSD BE'!$AJ$68</f>
        <v>-8.8187080587236469E-2</v>
      </c>
      <c r="AK24" s="12">
        <f ca="1">'TUSD BE'!$AK$24*'TUSD BE'!$AK$68</f>
        <v>1.6667898020037684E-2</v>
      </c>
      <c r="AL24" s="12">
        <f ca="1">SUM($AH$24:$AK$24)</f>
        <v>-0.43068481628761418</v>
      </c>
      <c r="AM24" s="12">
        <f ca="1">SUMIF($L$4:$AL$4,"SUBTOTAL",L24:AL24)+AV24</f>
        <v>8.183136173016333</v>
      </c>
      <c r="AO24" s="20">
        <f ca="1">+'TUSD BE'!$T$24+'TUSD BE'!$AB$24+'TUSD BE'!$AD$24+'TUSD BE'!$AL$24</f>
        <v>6.8669654785753922</v>
      </c>
      <c r="AP24" s="20">
        <f ca="1">+'TUSD BE'!$T$24+'TUSD BE'!$AB$24+'TUSD BE'!$AD$24+'TUSD BE'!$AL$24</f>
        <v>6.8669654785753922</v>
      </c>
      <c r="AQ24" s="15">
        <f t="shared" si="5"/>
        <v>0</v>
      </c>
      <c r="AR24" s="9">
        <f t="shared" si="2"/>
        <v>1</v>
      </c>
      <c r="AS24" s="9">
        <f ca="1">IFERROR(VLOOKUP(A24,TarifaMedia!$C$37:$E$42,2,0),AS23)</f>
        <v>1</v>
      </c>
      <c r="AT24" s="15">
        <f ca="1">'TUSD BE'!AM24+'TUSD BF'!AM24+'TUSD CVA'!AM24</f>
        <v>7.2807167934071328</v>
      </c>
      <c r="AU24" s="15">
        <f>'TABELAS REH COPEL'!F100</f>
        <v>15.9</v>
      </c>
      <c r="AV24" s="15">
        <f t="shared" ca="1" si="3"/>
        <v>8.6192832065928684</v>
      </c>
      <c r="AW24" s="107">
        <f t="shared" ca="1" si="4"/>
        <v>0</v>
      </c>
    </row>
    <row r="25" spans="1:49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f>'TUSD BE'!$L$25*'TUSD BE'!$L$68</f>
        <v>0</v>
      </c>
      <c r="M25" s="12">
        <f>'TUSD BE'!$M$25*'TUSD BE'!$M$68</f>
        <v>-2.883781366806638E-4</v>
      </c>
      <c r="N25" s="12">
        <f ca="1">'TUSD BE'!$N$25*'TUSD BE'!$N$68</f>
        <v>2.1617589064430333E-9</v>
      </c>
      <c r="O25" s="12">
        <f>'TUSD BE'!$O$25*'TUSD BE'!$O$68</f>
        <v>0</v>
      </c>
      <c r="P25" s="12">
        <f>'TUSD BE'!$P$25*'TUSD BE'!$P$68</f>
        <v>0</v>
      </c>
      <c r="Q25" s="12">
        <f>'TUSD BE'!$Q$25*'TUSD BE'!$Q$68</f>
        <v>0</v>
      </c>
      <c r="R25" s="12">
        <f>'TUSD BE'!$R$25*'TUSD BE'!$R$68</f>
        <v>0</v>
      </c>
      <c r="S25" s="12">
        <f>'TUSD BE'!$R$25*'TUSD BE'!$S$68</f>
        <v>0</v>
      </c>
      <c r="T25" s="12">
        <f ca="1">SUM($L$25:$S$25)</f>
        <v>-2.8837597492175737E-4</v>
      </c>
      <c r="U25" s="12">
        <f>'TUSD BE'!$U$25*'TUSD BE'!$U$68</f>
        <v>0</v>
      </c>
      <c r="V25" s="12">
        <f>'TUSD BE'!$V$25*'TUSD BE'!$V$68</f>
        <v>0</v>
      </c>
      <c r="W25" s="12">
        <f>'TUSD BE'!$W$25*'TUSD BE'!$W$68</f>
        <v>0</v>
      </c>
      <c r="X25" s="12">
        <f>'TUSD BE'!$X$25*'TUSD BE'!$X$68</f>
        <v>0</v>
      </c>
      <c r="Y25" s="12">
        <f>'TUSD BE'!$Y$25*'TUSD BE'!$Y$68</f>
        <v>0</v>
      </c>
      <c r="Z25" s="12">
        <f>'TUSD BE'!$Z$25*'TUSD BE'!$Z$68</f>
        <v>0</v>
      </c>
      <c r="AA25" s="12">
        <f>'TUSD BE'!$AA$25*'TUSD BE'!$AA$68</f>
        <v>0</v>
      </c>
      <c r="AB25" s="12">
        <f>SUM($U$25:$AA$25)</f>
        <v>0</v>
      </c>
      <c r="AC25" s="12">
        <f>'TUSD BE'!$AC$25*'TUSD BE'!$AC$68</f>
        <v>0</v>
      </c>
      <c r="AD25" s="12">
        <f>SUM($AC$25:$AC$25)</f>
        <v>0</v>
      </c>
      <c r="AE25" s="12">
        <f ca="1">$AO$25*$AO$65</f>
        <v>0</v>
      </c>
      <c r="AF25" s="12">
        <f ca="1">$AP$25*$AP$65</f>
        <v>0</v>
      </c>
      <c r="AG25" s="12">
        <f ca="1">SUM($AE$25:$AF$25)</f>
        <v>0</v>
      </c>
      <c r="AH25" s="12">
        <f>'TUSD BE'!$AH$25*'TUSD BE'!$AH$68</f>
        <v>0</v>
      </c>
      <c r="AI25" s="12">
        <f>'TUSD BE'!$AI$25*'TUSD BE'!$AI$68</f>
        <v>0</v>
      </c>
      <c r="AJ25" s="12">
        <f ca="1">'TUSD BE'!$AJ$25*'TUSD BE'!$AJ$68</f>
        <v>0</v>
      </c>
      <c r="AK25" s="12">
        <f ca="1">'TUSD BE'!$AK$25*'TUSD BE'!$AK$68</f>
        <v>0</v>
      </c>
      <c r="AL25" s="12">
        <f ca="1">SUM($AH$25:$AK$25)</f>
        <v>0</v>
      </c>
      <c r="AM25" s="12">
        <f t="shared" ca="1" si="0"/>
        <v>-2.8837597492175737E-4</v>
      </c>
      <c r="AO25" s="20">
        <f ca="1">+'TUSD BE'!$T$25+'TUSD BE'!$AB$25+'TUSD BE'!$AD$25+'TUSD BE'!$AL$25</f>
        <v>3.2111111283241827</v>
      </c>
      <c r="AP25" s="20">
        <f ca="1">+'TUSD BE'!$T$25+'TUSD BE'!$AB$25+'TUSD BE'!$AD$25+'TUSD BE'!$AL$25</f>
        <v>3.2111111283241827</v>
      </c>
      <c r="AQ25" s="15" t="str">
        <f t="shared" si="5"/>
        <v>Geração</v>
      </c>
      <c r="AR25" s="9">
        <f t="shared" si="2"/>
        <v>0</v>
      </c>
      <c r="AS25" s="9">
        <f ca="1">IFERROR(VLOOKUP(A25,TarifaMedia!$C$37:$E$42,2,0),AS24)</f>
        <v>1</v>
      </c>
      <c r="AT25" s="15">
        <f ca="1">'TUSD BE'!AM25+'TUSD BF'!AM25+'TUSD CVA'!AM25</f>
        <v>3.210822752349261</v>
      </c>
      <c r="AU25" s="129">
        <f>'TABELAS REH COPEL'!Q34</f>
        <v>2.52</v>
      </c>
      <c r="AV25" s="15">
        <f t="shared" ca="1" si="3"/>
        <v>0</v>
      </c>
      <c r="AW25" s="107">
        <f t="shared" ca="1" si="4"/>
        <v>0</v>
      </c>
    </row>
    <row r="26" spans="1:49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f>'TUSD BE'!$L$26*'TUSD BE'!$L$68</f>
        <v>0</v>
      </c>
      <c r="M26" s="12">
        <f>'TUSD BE'!$M$26*'TUSD BE'!$M$68</f>
        <v>-2.883781366806638E-4</v>
      </c>
      <c r="N26" s="12">
        <f ca="1">'TUSD BE'!$N$26*'TUSD BE'!$N$68</f>
        <v>2.1617589064430333E-9</v>
      </c>
      <c r="O26" s="12">
        <f>'TUSD BE'!$O$26*'TUSD BE'!$O$68</f>
        <v>0</v>
      </c>
      <c r="P26" s="12">
        <f>'TUSD BE'!$P$26*'TUSD BE'!$P$68</f>
        <v>0</v>
      </c>
      <c r="Q26" s="12">
        <f>'TUSD BE'!$Q$26*'TUSD BE'!$Q$68</f>
        <v>0</v>
      </c>
      <c r="R26" s="12">
        <f>'TUSD BE'!$R$26*'TUSD BE'!$R$68</f>
        <v>0</v>
      </c>
      <c r="S26" s="12">
        <f>'TUSD BE'!$R$26*'TUSD BE'!$S$68</f>
        <v>0</v>
      </c>
      <c r="T26" s="12">
        <f ca="1">SUM($L$26:$S$26)</f>
        <v>-2.8837597492175737E-4</v>
      </c>
      <c r="U26" s="12">
        <f>'TUSD BE'!$U$26*'TUSD BE'!$U$68</f>
        <v>0</v>
      </c>
      <c r="V26" s="12">
        <f>'TUSD BE'!$V$26*'TUSD BE'!$V$68</f>
        <v>0</v>
      </c>
      <c r="W26" s="12">
        <f>'TUSD BE'!$W$26*'TUSD BE'!$W$68</f>
        <v>0</v>
      </c>
      <c r="X26" s="12">
        <f>'TUSD BE'!$X$26*'TUSD BE'!$X$68</f>
        <v>0</v>
      </c>
      <c r="Y26" s="12">
        <f>'TUSD BE'!$Y$26*'TUSD BE'!$Y$68</f>
        <v>0</v>
      </c>
      <c r="Z26" s="12">
        <f>'TUSD BE'!$Z$26*'TUSD BE'!$Z$68</f>
        <v>0</v>
      </c>
      <c r="AA26" s="12">
        <f>'TUSD BE'!$AA$26*'TUSD BE'!$AA$68</f>
        <v>0</v>
      </c>
      <c r="AB26" s="12">
        <f>SUM($U$26:$AA$26)</f>
        <v>0</v>
      </c>
      <c r="AC26" s="12">
        <f>'TUSD BE'!$AC$26*'TUSD BE'!$AC$68</f>
        <v>0</v>
      </c>
      <c r="AD26" s="12">
        <f>SUM($AC$26:$AC$26)</f>
        <v>0</v>
      </c>
      <c r="AE26" s="12">
        <f ca="1">$AO$26*$AO$65</f>
        <v>0</v>
      </c>
      <c r="AF26" s="12">
        <f ca="1">$AP$26*$AP$65</f>
        <v>0</v>
      </c>
      <c r="AG26" s="12">
        <f ca="1">SUM($AE$26:$AF$26)</f>
        <v>0</v>
      </c>
      <c r="AH26" s="12">
        <f>'TUSD BE'!$AH$26*'TUSD BE'!$AH$68</f>
        <v>0</v>
      </c>
      <c r="AI26" s="12">
        <f>'TUSD BE'!$AI$26*'TUSD BE'!$AI$68</f>
        <v>0</v>
      </c>
      <c r="AJ26" s="12">
        <f ca="1">'TUSD BE'!$AJ$26*'TUSD BE'!$AJ$68</f>
        <v>0</v>
      </c>
      <c r="AK26" s="12">
        <f ca="1">'TUSD BE'!$AK$26*'TUSD BE'!$AK$68</f>
        <v>0</v>
      </c>
      <c r="AL26" s="12">
        <f ca="1">SUM($AH$26:$AK$26)</f>
        <v>0</v>
      </c>
      <c r="AM26" s="12">
        <f t="shared" ca="1" si="0"/>
        <v>-2.5405201832213082</v>
      </c>
      <c r="AO26" s="20">
        <f ca="1">+'TUSD BE'!$T$26+'TUSD BE'!$AB$26+'TUSD BE'!$AD$26+'TUSD BE'!$AL$26</f>
        <v>10.480520183221309</v>
      </c>
      <c r="AP26" s="20">
        <f ca="1">+'TUSD BE'!$T$26+'TUSD BE'!$AB$26+'TUSD BE'!$AD$26+'TUSD BE'!$AL$26</f>
        <v>10.480520183221309</v>
      </c>
      <c r="AQ26" s="15">
        <f t="shared" si="5"/>
        <v>0</v>
      </c>
      <c r="AR26" s="9">
        <f t="shared" si="2"/>
        <v>1</v>
      </c>
      <c r="AS26" s="9">
        <f ca="1">IFERROR(VLOOKUP(A26,TarifaMedia!$C$37:$E$42,2,0),AS25)</f>
        <v>1</v>
      </c>
      <c r="AT26" s="15">
        <f ca="1">'TUSD BE'!AM26+'TUSD BF'!AM26+'TUSD CVA'!AM26</f>
        <v>10.480231807246387</v>
      </c>
      <c r="AU26" s="129">
        <f>'TABELAS REH COPEL'!Q35</f>
        <v>7.94</v>
      </c>
      <c r="AV26" s="15">
        <f t="shared" ca="1" si="3"/>
        <v>-2.5402318072463865</v>
      </c>
      <c r="AW26" s="107">
        <f t="shared" ca="1" si="4"/>
        <v>2.5402318072463867E-8</v>
      </c>
    </row>
    <row r="27" spans="1:49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'TUSD BE'!$L$27*'TUSD BE'!$L$68</f>
        <v>-1.1797299576547233</v>
      </c>
      <c r="M27" s="12">
        <f>'TUSD BE'!$M$27*'TUSD BE'!$M$68</f>
        <v>-1.5533277885650213E-2</v>
      </c>
      <c r="N27" s="12">
        <f ca="1">'TUSD BE'!$N$27*'TUSD BE'!$N$68</f>
        <v>8.0390753494070034E-7</v>
      </c>
      <c r="O27" s="12">
        <f>'TUSD BE'!$O$27*'TUSD BE'!$O$68</f>
        <v>0</v>
      </c>
      <c r="P27" s="12">
        <f>'TUSD BE'!$P$27*'TUSD BE'!$P$68</f>
        <v>0</v>
      </c>
      <c r="Q27" s="12">
        <f>'TUSD BE'!$Q$27*'TUSD BE'!$Q$68</f>
        <v>-1.8226392642330822</v>
      </c>
      <c r="R27" s="12">
        <f>'TUSD BE'!$R$27*'TUSD BE'!$R$68</f>
        <v>-0.278416203295761</v>
      </c>
      <c r="S27" s="12">
        <f>'TUSD BE'!$R$27*'TUSD BE'!$S$68</f>
        <v>0</v>
      </c>
      <c r="T27" s="12">
        <f ca="1">SUM($L$27:$S$27)</f>
        <v>-3.2963178991616817</v>
      </c>
      <c r="U27" s="12">
        <f>'TUSD BE'!$U$27*'TUSD BE'!$U$68</f>
        <v>0</v>
      </c>
      <c r="V27" s="12">
        <f>'TUSD BE'!$V$27*'TUSD BE'!$V$68</f>
        <v>0</v>
      </c>
      <c r="W27" s="12">
        <f>'TUSD BE'!$W$27*'TUSD BE'!$W$68</f>
        <v>0</v>
      </c>
      <c r="X27" s="12">
        <f>'TUSD BE'!$X$27*'TUSD BE'!$X$68</f>
        <v>0</v>
      </c>
      <c r="Y27" s="12">
        <f>'TUSD BE'!$Y$27*'TUSD BE'!$Y$68</f>
        <v>25.693759673782658</v>
      </c>
      <c r="Z27" s="12">
        <f>'TUSD BE'!$Z$27*'TUSD BE'!$Z$68</f>
        <v>0</v>
      </c>
      <c r="AA27" s="12">
        <f>'TUSD BE'!$AA$27*'TUSD BE'!$AA$68</f>
        <v>0</v>
      </c>
      <c r="AB27" s="12">
        <f>SUM($U$27:$AA$27)</f>
        <v>25.693759673782658</v>
      </c>
      <c r="AC27" s="12">
        <f>'TUSD BE'!$AC$27*'TUSD BE'!$AC$68</f>
        <v>0</v>
      </c>
      <c r="AD27" s="12">
        <f>SUM($AC$27:$AC$27)</f>
        <v>0</v>
      </c>
      <c r="AE27" s="12">
        <f ca="1">$AO$27*$AO$65</f>
        <v>0</v>
      </c>
      <c r="AF27" s="12">
        <f ca="1">$AP$27*$AP$65</f>
        <v>0</v>
      </c>
      <c r="AG27" s="12">
        <f ca="1">SUM($AE$27:$AF$27)</f>
        <v>0</v>
      </c>
      <c r="AH27" s="12">
        <f>'TUSD BE'!$AH$27*'TUSD BE'!$AH$68</f>
        <v>-1.184925786756859</v>
      </c>
      <c r="AI27" s="12">
        <f>'TUSD BE'!$AI$27*'TUSD BE'!$AI$68</f>
        <v>-4.3545283575530211E-2</v>
      </c>
      <c r="AJ27" s="12">
        <f ca="1">'TUSD BE'!$AJ$27*'TUSD BE'!$AJ$68</f>
        <v>-0.12932020651147716</v>
      </c>
      <c r="AK27" s="12">
        <f ca="1">'TUSD BE'!$AK$27*'TUSD BE'!$AK$68</f>
        <v>2.4442310593684451E-2</v>
      </c>
      <c r="AL27" s="12">
        <f ca="1">SUM($AH$27:$AK$27)</f>
        <v>-1.3333489662501818</v>
      </c>
      <c r="AM27" s="12">
        <f t="shared" ca="1" si="0"/>
        <v>-694.43745867833047</v>
      </c>
      <c r="AO27" s="20">
        <f ca="1">+'TUSD BE'!$T$27+'TUSD BE'!$AB$27+'TUSD BE'!$AD$27+'TUSD BE'!$AL$27</f>
        <v>1291.9165105584736</v>
      </c>
      <c r="AP27" s="20">
        <f ca="1">+'TUSD BE'!$T$27+'TUSD BE'!$AB$27+'TUSD BE'!$AD$27+'TUSD BE'!$AL$27</f>
        <v>1291.9165105584736</v>
      </c>
      <c r="AQ27" s="15" t="str">
        <f t="shared" si="5"/>
        <v>Branca</v>
      </c>
      <c r="AR27" s="9">
        <f t="shared" si="2"/>
        <v>1</v>
      </c>
      <c r="AS27" s="9">
        <f ca="1">IFERROR(VLOOKUP(A27,TarifaMedia!$C$37:$E$42,2,0),AS26)</f>
        <v>1</v>
      </c>
      <c r="AT27" s="15">
        <f ca="1">'TUSD BE'!AM27+'TUSD BF'!AM27+'TUSD CVA'!AM27</f>
        <v>1332.1115514867013</v>
      </c>
      <c r="AU27" s="15">
        <f>'TABELAS REH COPEL'!R5</f>
        <v>616.61</v>
      </c>
      <c r="AV27" s="15">
        <f t="shared" ca="1" si="3"/>
        <v>-715.50155148670126</v>
      </c>
      <c r="AW27" s="107">
        <f t="shared" ca="1" si="4"/>
        <v>1587.69794274899</v>
      </c>
    </row>
    <row r="28" spans="1:49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'TUSD BE'!$L$28*'TUSD BE'!$L$68</f>
        <v>-1.1797299576547233</v>
      </c>
      <c r="M28" s="12">
        <f>'TUSD BE'!$M$28*'TUSD BE'!$M$68</f>
        <v>-1.5533277885650213E-2</v>
      </c>
      <c r="N28" s="12">
        <f ca="1">'TUSD BE'!$N$28*'TUSD BE'!$N$68</f>
        <v>2.2497753087043457E-7</v>
      </c>
      <c r="O28" s="12">
        <f>'TUSD BE'!$O$28*'TUSD BE'!$O$68</f>
        <v>0</v>
      </c>
      <c r="P28" s="12">
        <f>'TUSD BE'!$P$28*'TUSD BE'!$P$68</f>
        <v>0</v>
      </c>
      <c r="Q28" s="12">
        <f>'TUSD BE'!$Q$28*'TUSD BE'!$Q$68</f>
        <v>-1.8226392642330822</v>
      </c>
      <c r="R28" s="12">
        <f>'TUSD BE'!$R$28*'TUSD BE'!$R$68</f>
        <v>-0.278416203295761</v>
      </c>
      <c r="S28" s="12">
        <f>'TUSD BE'!$R$28*'TUSD BE'!$S$68</f>
        <v>0</v>
      </c>
      <c r="T28" s="12">
        <f ca="1">SUM($L$28:$S$28)</f>
        <v>-3.2963184780916861</v>
      </c>
      <c r="U28" s="12">
        <f>'TUSD BE'!$U$28*'TUSD BE'!$U$68</f>
        <v>0</v>
      </c>
      <c r="V28" s="12">
        <f>'TUSD BE'!$V$28*'TUSD BE'!$V$68</f>
        <v>0</v>
      </c>
      <c r="W28" s="12">
        <f>'TUSD BE'!$W$28*'TUSD BE'!$W$68</f>
        <v>0</v>
      </c>
      <c r="X28" s="12">
        <f>'TUSD BE'!$X$28*'TUSD BE'!$X$68</f>
        <v>0</v>
      </c>
      <c r="Y28" s="12">
        <f>'TUSD BE'!$Y$28*'TUSD BE'!$Y$68</f>
        <v>6.4234380519159426</v>
      </c>
      <c r="Z28" s="12">
        <f>'TUSD BE'!$Z$28*'TUSD BE'!$Z$68</f>
        <v>0</v>
      </c>
      <c r="AA28" s="12">
        <f>'TUSD BE'!$AA$28*'TUSD BE'!$AA$68</f>
        <v>0</v>
      </c>
      <c r="AB28" s="12">
        <f>SUM($U$28:$AA$28)</f>
        <v>6.4234380519159426</v>
      </c>
      <c r="AC28" s="12">
        <f>'TUSD BE'!$AC$28*'TUSD BE'!$AC$68</f>
        <v>0</v>
      </c>
      <c r="AD28" s="12">
        <f>SUM($AC$28:$AC$28)</f>
        <v>0</v>
      </c>
      <c r="AE28" s="12">
        <f ca="1">$AO$28*$AO$65</f>
        <v>0</v>
      </c>
      <c r="AF28" s="12">
        <f ca="1">$AP$28*$AP$65</f>
        <v>0</v>
      </c>
      <c r="AG28" s="12">
        <f ca="1">SUM($AE$28:$AF$28)</f>
        <v>0</v>
      </c>
      <c r="AH28" s="12">
        <f>'TUSD BE'!$AH$28*'TUSD BE'!$AH$68</f>
        <v>-1.184925786756859</v>
      </c>
      <c r="AI28" s="12">
        <f>'TUSD BE'!$AI$28*'TUSD BE'!$AI$68</f>
        <v>-4.3545283575530211E-2</v>
      </c>
      <c r="AJ28" s="12">
        <f ca="1">'TUSD BE'!$AJ$28*'TUSD BE'!$AJ$68</f>
        <v>-0.12932020651147716</v>
      </c>
      <c r="AK28" s="12">
        <f ca="1">'TUSD BE'!$AK$28*'TUSD BE'!$AK$68</f>
        <v>2.4442310593684451E-2</v>
      </c>
      <c r="AL28" s="12">
        <f ca="1">SUM($AH$28:$AK$28)</f>
        <v>-1.3333489662501818</v>
      </c>
      <c r="AM28" s="12">
        <f t="shared" ca="1" si="0"/>
        <v>-11.493203898937892</v>
      </c>
      <c r="AO28" s="20">
        <f ca="1">+'TUSD BE'!$T$28+'TUSD BE'!$AB$28+'TUSD BE'!$AD$28+'TUSD BE'!$AL$28</f>
        <v>418.69225577908111</v>
      </c>
      <c r="AP28" s="20">
        <f ca="1">+'TUSD BE'!$T$28+'TUSD BE'!$AB$28+'TUSD BE'!$AD$28+'TUSD BE'!$AL$28</f>
        <v>418.69225577908111</v>
      </c>
      <c r="AQ28" s="15">
        <f t="shared" si="5"/>
        <v>0</v>
      </c>
      <c r="AR28" s="9">
        <f t="shared" si="2"/>
        <v>1</v>
      </c>
      <c r="AS28" s="9">
        <f ca="1">IFERROR(VLOOKUP(A28,TarifaMedia!$C$37:$E$42,2,0),AS27)</f>
        <v>1</v>
      </c>
      <c r="AT28" s="15">
        <f ca="1">'TUSD BE'!AM28+'TUSD BF'!AM28+'TUSD CVA'!AM28</f>
        <v>439.61697450651195</v>
      </c>
      <c r="AU28" s="15">
        <f>'TABELAS REH COPEL'!R6</f>
        <v>426.33</v>
      </c>
      <c r="AV28" s="15">
        <f t="shared" ca="1" si="3"/>
        <v>-13.286974506511967</v>
      </c>
      <c r="AW28" s="107">
        <f t="shared" ca="1" si="4"/>
        <v>35.55594377942603</v>
      </c>
    </row>
    <row r="29" spans="1:49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'TUSD BE'!$L$29*'TUSD BE'!$L$68</f>
        <v>-1.1797299576547233</v>
      </c>
      <c r="M29" s="12">
        <f>'TUSD BE'!$M$29*'TUSD BE'!$M$68</f>
        <v>-1.5533277885650213E-2</v>
      </c>
      <c r="N29" s="12">
        <f ca="1">'TUSD BE'!$N$29*'TUSD BE'!$N$68</f>
        <v>7.0596159087962717E-8</v>
      </c>
      <c r="O29" s="12">
        <f>'TUSD BE'!$O$29*'TUSD BE'!$O$68</f>
        <v>0</v>
      </c>
      <c r="P29" s="12">
        <f>'TUSD BE'!$P$29*'TUSD BE'!$P$68</f>
        <v>0</v>
      </c>
      <c r="Q29" s="12">
        <f>'TUSD BE'!$Q$29*'TUSD BE'!$Q$68</f>
        <v>-1.8226392642330822</v>
      </c>
      <c r="R29" s="12">
        <f>'TUSD BE'!$R$29*'TUSD BE'!$R$68</f>
        <v>-0.278416203295761</v>
      </c>
      <c r="S29" s="12">
        <f>'TUSD BE'!$R$29*'TUSD BE'!$S$68</f>
        <v>0</v>
      </c>
      <c r="T29" s="12">
        <f ca="1">SUM($L$29:$S$29)</f>
        <v>-3.2963186324730578</v>
      </c>
      <c r="U29" s="12">
        <f>'TUSD BE'!$U$29*'TUSD BE'!$U$68</f>
        <v>0</v>
      </c>
      <c r="V29" s="12">
        <f>'TUSD BE'!$V$29*'TUSD BE'!$V$68</f>
        <v>0</v>
      </c>
      <c r="W29" s="12">
        <f>'TUSD BE'!$W$29*'TUSD BE'!$W$68</f>
        <v>0</v>
      </c>
      <c r="X29" s="12">
        <f>'TUSD BE'!$X$29*'TUSD BE'!$X$68</f>
        <v>0</v>
      </c>
      <c r="Y29" s="12">
        <f>'TUSD BE'!$Y$29*'TUSD BE'!$Y$68</f>
        <v>1.2846876103831886</v>
      </c>
      <c r="Z29" s="12">
        <f>'TUSD BE'!$Z$29*'TUSD BE'!$Z$68</f>
        <v>0</v>
      </c>
      <c r="AA29" s="12">
        <f>'TUSD BE'!$AA$29*'TUSD BE'!$AA$68</f>
        <v>0</v>
      </c>
      <c r="AB29" s="12">
        <f>SUM($U$29:$AA$29)</f>
        <v>1.2846876103831886</v>
      </c>
      <c r="AC29" s="12">
        <f>'TUSD BE'!$AC$29*'TUSD BE'!$AC$68</f>
        <v>0</v>
      </c>
      <c r="AD29" s="12">
        <f>SUM($AC$29:$AC$29)</f>
        <v>0</v>
      </c>
      <c r="AE29" s="12">
        <f ca="1">$AO$29*$AO$65</f>
        <v>0</v>
      </c>
      <c r="AF29" s="12">
        <f ca="1">$AP$29*$AP$65</f>
        <v>0</v>
      </c>
      <c r="AG29" s="12">
        <f ca="1">SUM($AE$29:$AF$29)</f>
        <v>0</v>
      </c>
      <c r="AH29" s="12">
        <f>'TUSD BE'!$AH$29*'TUSD BE'!$AH$68</f>
        <v>-1.184925786756859</v>
      </c>
      <c r="AI29" s="12">
        <f>'TUSD BE'!$AI$29*'TUSD BE'!$AI$68</f>
        <v>-4.3545283575530211E-2</v>
      </c>
      <c r="AJ29" s="12">
        <f ca="1">'TUSD BE'!$AJ$29*'TUSD BE'!$AJ$68</f>
        <v>-0.12932020651147716</v>
      </c>
      <c r="AK29" s="12">
        <f ca="1">'TUSD BE'!$AK$29*'TUSD BE'!$AK$68</f>
        <v>2.4442310593684451E-2</v>
      </c>
      <c r="AL29" s="12">
        <f ca="1">SUM($AH$29:$AK$29)</f>
        <v>-1.3333489662501818</v>
      </c>
      <c r="AM29" s="12">
        <f t="shared" ca="1" si="0"/>
        <v>31.086651448751887</v>
      </c>
      <c r="AO29" s="20">
        <f ca="1">+'TUSD BE'!$T$29+'TUSD BE'!$AB$29+'TUSD BE'!$AD$29+'TUSD BE'!$AL$29</f>
        <v>185.83240043139136</v>
      </c>
      <c r="AP29" s="20">
        <f ca="1">+'TUSD BE'!$T$29+'TUSD BE'!$AB$29+'TUSD BE'!$AD$29+'TUSD BE'!$AL$29</f>
        <v>185.83240043139136</v>
      </c>
      <c r="AQ29" s="15">
        <f t="shared" si="5"/>
        <v>0</v>
      </c>
      <c r="AR29" s="9">
        <f t="shared" si="2"/>
        <v>1</v>
      </c>
      <c r="AS29" s="9">
        <f ca="1">IFERROR(VLOOKUP(A29,TarifaMedia!$C$37:$E$42,2,0),AS28)</f>
        <v>1</v>
      </c>
      <c r="AT29" s="15">
        <f ca="1">'TUSD BE'!AM29+'TUSD BF'!AM29+'TUSD CVA'!AM29</f>
        <v>201.61836856290807</v>
      </c>
      <c r="AU29" s="15">
        <f>'TABELAS REH COPEL'!R7</f>
        <v>236.05</v>
      </c>
      <c r="AV29" s="15">
        <f t="shared" ca="1" si="3"/>
        <v>34.431631437091937</v>
      </c>
      <c r="AW29" s="107">
        <f t="shared" ca="1" si="4"/>
        <v>-826.2902912273322</v>
      </c>
    </row>
    <row r="30" spans="1:49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'TUSD BE'!$L$30*'TUSD BE'!$L$68</f>
        <v>-1.1797299576547233</v>
      </c>
      <c r="M30" s="12">
        <f>'TUSD BE'!$M$30*'TUSD BE'!$M$68</f>
        <v>-1.5533277885650213E-2</v>
      </c>
      <c r="N30" s="12">
        <f ca="1">'TUSD BE'!$N$30*'TUSD BE'!$N$68</f>
        <v>1.7494650332601907E-7</v>
      </c>
      <c r="O30" s="12">
        <f>'TUSD BE'!$O$30*'TUSD BE'!$O$68</f>
        <v>0</v>
      </c>
      <c r="P30" s="12">
        <f>'TUSD BE'!$P$30*'TUSD BE'!$P$68</f>
        <v>0</v>
      </c>
      <c r="Q30" s="12">
        <f>'TUSD BE'!$Q$30*'TUSD BE'!$Q$68</f>
        <v>-1.8226392642330822</v>
      </c>
      <c r="R30" s="12">
        <f>'TUSD BE'!$R$30*'TUSD BE'!$R$68</f>
        <v>-0.278416203295761</v>
      </c>
      <c r="S30" s="12">
        <f>'TUSD BE'!$R$30*'TUSD BE'!$S$68</f>
        <v>0</v>
      </c>
      <c r="T30" s="12">
        <f ca="1">SUM($L$30:$S$30)</f>
        <v>-3.2963185281227134</v>
      </c>
      <c r="U30" s="12">
        <f>'TUSD BE'!$U$30*'TUSD BE'!$U$68</f>
        <v>0</v>
      </c>
      <c r="V30" s="12">
        <f>'TUSD BE'!$V$30*'TUSD BE'!$V$68</f>
        <v>0</v>
      </c>
      <c r="W30" s="12">
        <f>'TUSD BE'!$W$30*'TUSD BE'!$W$68</f>
        <v>0</v>
      </c>
      <c r="X30" s="12">
        <f>'TUSD BE'!$X$30*'TUSD BE'!$X$68</f>
        <v>0</v>
      </c>
      <c r="Y30" s="12">
        <f>'TUSD BE'!$Y$30*'TUSD BE'!$Y$68</f>
        <v>4.7581053024306144</v>
      </c>
      <c r="Z30" s="12">
        <f>'TUSD BE'!$Z$30*'TUSD BE'!$Z$68</f>
        <v>0</v>
      </c>
      <c r="AA30" s="12">
        <f>'TUSD BE'!$AA$30*'TUSD BE'!$AA$68</f>
        <v>0</v>
      </c>
      <c r="AB30" s="12">
        <f>SUM($U$30:$AA$30)</f>
        <v>4.7581053024306144</v>
      </c>
      <c r="AC30" s="12">
        <f>'TUSD BE'!$AC$30*'TUSD BE'!$AC$68</f>
        <v>0</v>
      </c>
      <c r="AD30" s="12">
        <f>SUM($AC$30:$AC$30)</f>
        <v>0</v>
      </c>
      <c r="AE30" s="12">
        <f ca="1">$AO$30*$AO$65</f>
        <v>0</v>
      </c>
      <c r="AF30" s="12">
        <f ca="1">$AP$30*$AP$65</f>
        <v>0</v>
      </c>
      <c r="AG30" s="12">
        <f ca="1">SUM($AE$30:$AF$30)</f>
        <v>0</v>
      </c>
      <c r="AH30" s="12">
        <f>'TUSD BE'!$AH$30*'TUSD BE'!$AH$68</f>
        <v>-1.184925786756859</v>
      </c>
      <c r="AI30" s="12">
        <f>'TUSD BE'!$AI$30*'TUSD BE'!$AI$68</f>
        <v>-4.3545283575530211E-2</v>
      </c>
      <c r="AJ30" s="12">
        <f ca="1">'TUSD BE'!$AJ$30*'TUSD BE'!$AJ$68</f>
        <v>-0.12932020651147716</v>
      </c>
      <c r="AK30" s="12">
        <f ca="1">'TUSD BE'!$AK$30*'TUSD BE'!$AK$68</f>
        <v>2.4442310593684451E-2</v>
      </c>
      <c r="AL30" s="12">
        <f ca="1">SUM($AH$30:$AK$30)</f>
        <v>-1.3333489662501818</v>
      </c>
      <c r="AM30" s="12">
        <f t="shared" ca="1" si="0"/>
        <v>-51.559323307307785</v>
      </c>
      <c r="AO30" s="20">
        <f ca="1">+'TUSD BE'!$T$30+'TUSD BE'!$AB$30+'TUSD BE'!$AD$30+'TUSD BE'!$AL$30</f>
        <v>343.22837518745104</v>
      </c>
      <c r="AP30" s="20">
        <f ca="1">+'TUSD BE'!$T$30+'TUSD BE'!$AB$30+'TUSD BE'!$AD$30+'TUSD BE'!$AL$30</f>
        <v>343.22837518745104</v>
      </c>
      <c r="AQ30" s="15" t="str">
        <f t="shared" si="5"/>
        <v>Convencional</v>
      </c>
      <c r="AR30" s="9">
        <f t="shared" si="2"/>
        <v>1</v>
      </c>
      <c r="AS30" s="9">
        <f ca="1">IFERROR(VLOOKUP(A30,TarifaMedia!$C$37:$E$42,2,0),AS29)</f>
        <v>1</v>
      </c>
      <c r="AT30" s="15">
        <f ca="1">'TUSD BE'!AM30+'TUSD BF'!AM30+'TUSD CVA'!AM30</f>
        <v>362.48776111536552</v>
      </c>
      <c r="AU30" s="15">
        <f>'TABELAS REH COPEL'!R8</f>
        <v>310.8</v>
      </c>
      <c r="AV30" s="15">
        <f t="shared" ca="1" si="3"/>
        <v>-51.687761115365504</v>
      </c>
      <c r="AW30" s="107">
        <f t="shared" ca="1" si="4"/>
        <v>4355847.9066119669</v>
      </c>
    </row>
    <row r="31" spans="1:49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f>'TUSD BE'!$L$31*'TUSD BE'!$L$68</f>
        <v>0</v>
      </c>
      <c r="M31" s="12">
        <f>'TUSD BE'!$M$31*'TUSD BE'!$M$68</f>
        <v>-1.5533277885650213E-2</v>
      </c>
      <c r="N31" s="12">
        <f ca="1">'TUSD BE'!$N$31*'TUSD BE'!$N$68</f>
        <v>1.7414585187918835E-7</v>
      </c>
      <c r="O31" s="12">
        <f>'TUSD BE'!$O$31*'TUSD BE'!$O$68</f>
        <v>0</v>
      </c>
      <c r="P31" s="12">
        <f>'TUSD BE'!$P$31*'TUSD BE'!$P$68</f>
        <v>0</v>
      </c>
      <c r="Q31" s="12">
        <f>'TUSD BE'!$Q$31*'TUSD BE'!$Q$68</f>
        <v>0</v>
      </c>
      <c r="R31" s="12">
        <f>'TUSD BE'!$R$31*'TUSD BE'!$R$68</f>
        <v>0</v>
      </c>
      <c r="S31" s="12">
        <f>'TUSD BE'!$R$31*'TUSD BE'!$S$68</f>
        <v>0</v>
      </c>
      <c r="T31" s="12">
        <f ca="1">SUM($L$31:$S$31)</f>
        <v>-1.5533103739798333E-2</v>
      </c>
      <c r="U31" s="12">
        <f>'TUSD BE'!$U$31*'TUSD BE'!$U$68</f>
        <v>0</v>
      </c>
      <c r="V31" s="12">
        <f>'TUSD BE'!$V$31*'TUSD BE'!$V$68</f>
        <v>0</v>
      </c>
      <c r="W31" s="12">
        <f>'TUSD BE'!$W$31*'TUSD BE'!$W$68</f>
        <v>0</v>
      </c>
      <c r="X31" s="12">
        <f>'TUSD BE'!$X$31*'TUSD BE'!$X$68</f>
        <v>0</v>
      </c>
      <c r="Y31" s="12">
        <f>'TUSD BE'!$Y$31*'TUSD BE'!$Y$68</f>
        <v>4.7581053024306144</v>
      </c>
      <c r="Z31" s="12">
        <f>'TUSD BE'!$Z$31*'TUSD BE'!$Z$68</f>
        <v>0</v>
      </c>
      <c r="AA31" s="12">
        <f>'TUSD BE'!$AA$31*'TUSD BE'!$AA$68</f>
        <v>0</v>
      </c>
      <c r="AB31" s="12">
        <f>SUM($U$31:$AA$31)</f>
        <v>4.7581053024306144</v>
      </c>
      <c r="AC31" s="12">
        <f>'TUSD BE'!$AC$31*'TUSD BE'!$AC$68</f>
        <v>0</v>
      </c>
      <c r="AD31" s="12">
        <f>SUM($AC$31:$AC$31)</f>
        <v>0</v>
      </c>
      <c r="AE31" s="12">
        <f ca="1">$AO$31*$AO$65</f>
        <v>0</v>
      </c>
      <c r="AF31" s="12">
        <f ca="1">$AP$31*$AP$65</f>
        <v>0</v>
      </c>
      <c r="AG31" s="12">
        <f ca="1">SUM($AE$31:$AF$31)</f>
        <v>0</v>
      </c>
      <c r="AH31" s="12">
        <f>'TUSD BE'!$AH$31*'TUSD BE'!$AH$68</f>
        <v>-1.184925786756859</v>
      </c>
      <c r="AI31" s="12">
        <f>'TUSD BE'!$AI$31*'TUSD BE'!$AI$68</f>
        <v>-4.3545283575530211E-2</v>
      </c>
      <c r="AJ31" s="12">
        <f ca="1">'TUSD BE'!$AJ$31*'TUSD BE'!$AJ$68</f>
        <v>-0.12932020651147716</v>
      </c>
      <c r="AK31" s="12">
        <f ca="1">'TUSD BE'!$AK$31*'TUSD BE'!$AK$68</f>
        <v>2.4442310593684451E-2</v>
      </c>
      <c r="AL31" s="12">
        <f ca="1">SUM($AH$31:$AK$31)</f>
        <v>-1.3333489662501818</v>
      </c>
      <c r="AM31" s="12">
        <f t="shared" ca="1" si="0"/>
        <v>-37.981080289221644</v>
      </c>
      <c r="AO31" s="20">
        <f ca="1">+'TUSD BE'!$T$31+'TUSD BE'!$AB$31+'TUSD BE'!$AD$31+'TUSD BE'!$AL$31</f>
        <v>236.03149481501984</v>
      </c>
      <c r="AP31" s="20">
        <f ca="1">+'TUSD BE'!$T$31+'TUSD BE'!$AB$31+'TUSD BE'!$AD$31+'TUSD BE'!$AL$31</f>
        <v>236.03149481501984</v>
      </c>
      <c r="AQ31" s="15">
        <f t="shared" si="5"/>
        <v>0</v>
      </c>
      <c r="AR31" s="9">
        <f t="shared" si="2"/>
        <v>1</v>
      </c>
      <c r="AS31" s="9">
        <f ca="1">IFERROR(VLOOKUP(A31,TarifaMedia!$C$37:$E$42,2,0),AS30)</f>
        <v>1</v>
      </c>
      <c r="AT31" s="15">
        <f ca="1">'TUSD BE'!AM31+'TUSD BF'!AM31+'TUSD CVA'!AM31</f>
        <v>242.02030352166227</v>
      </c>
      <c r="AU31" s="15">
        <f>'TABELAS REH COPEL'!$R$10</f>
        <v>200.63</v>
      </c>
      <c r="AV31" s="15">
        <f t="shared" ca="1" si="3"/>
        <v>-41.390303521662275</v>
      </c>
      <c r="AW31" s="107">
        <f t="shared" ca="1" si="4"/>
        <v>71826.663216316621</v>
      </c>
    </row>
    <row r="32" spans="1:49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f>'TUSD BE'!$L$32*'TUSD BE'!$L$68</f>
        <v>0</v>
      </c>
      <c r="M32" s="12">
        <f>'TUSD BE'!$M$32*'TUSD BE'!$M$68</f>
        <v>-1.5533277885650213E-2</v>
      </c>
      <c r="N32" s="12">
        <f ca="1">'TUSD BE'!$N$32*'TUSD BE'!$N$68</f>
        <v>1.7414585187918835E-7</v>
      </c>
      <c r="O32" s="12">
        <f>'TUSD BE'!$O$32*'TUSD BE'!$O$68</f>
        <v>0</v>
      </c>
      <c r="P32" s="12">
        <f>'TUSD BE'!$P$32*'TUSD BE'!$P$68</f>
        <v>0</v>
      </c>
      <c r="Q32" s="12">
        <f>'TUSD BE'!$Q$32*'TUSD BE'!$Q$68</f>
        <v>0</v>
      </c>
      <c r="R32" s="12">
        <f>'TUSD BE'!$R$32*'TUSD BE'!$R$68</f>
        <v>0</v>
      </c>
      <c r="S32" s="12">
        <f>'TUSD BE'!$R$32*'TUSD BE'!$S$68</f>
        <v>0</v>
      </c>
      <c r="T32" s="12">
        <f ca="1">SUM($L$32:$S$32)</f>
        <v>-1.5533103739798333E-2</v>
      </c>
      <c r="U32" s="12">
        <f>'TUSD BE'!$U$32*'TUSD BE'!$U$68</f>
        <v>0</v>
      </c>
      <c r="V32" s="12">
        <f>'TUSD BE'!$V$32*'TUSD BE'!$V$68</f>
        <v>0</v>
      </c>
      <c r="W32" s="12">
        <f>'TUSD BE'!$W$32*'TUSD BE'!$W$68</f>
        <v>0</v>
      </c>
      <c r="X32" s="12">
        <f>'TUSD BE'!$X$32*'TUSD BE'!$X$68</f>
        <v>0</v>
      </c>
      <c r="Y32" s="12">
        <f>'TUSD BE'!$Y$32*'TUSD BE'!$Y$68</f>
        <v>4.7581053024306144</v>
      </c>
      <c r="Z32" s="12">
        <f>'TUSD BE'!$Z$32*'TUSD BE'!$Z$68</f>
        <v>0</v>
      </c>
      <c r="AA32" s="12">
        <f>'TUSD BE'!$AA$32*'TUSD BE'!$AA$68</f>
        <v>0</v>
      </c>
      <c r="AB32" s="12">
        <f>SUM($U$32:$AA$32)</f>
        <v>4.7581053024306144</v>
      </c>
      <c r="AC32" s="12">
        <f>'TUSD BE'!$AC$32*'TUSD BE'!$AC$68</f>
        <v>0</v>
      </c>
      <c r="AD32" s="12">
        <f>SUM($AC$32:$AC$32)</f>
        <v>0</v>
      </c>
      <c r="AE32" s="12">
        <f ca="1">$AO$32*$AO$65</f>
        <v>0</v>
      </c>
      <c r="AF32" s="12">
        <f ca="1">$AP$32*$AP$65</f>
        <v>0</v>
      </c>
      <c r="AG32" s="12">
        <f ca="1">SUM($AE$32:$AF$32)</f>
        <v>0</v>
      </c>
      <c r="AH32" s="12">
        <f>'TUSD BE'!$AH$32*'TUSD BE'!$AH$68</f>
        <v>-1.184925786756859</v>
      </c>
      <c r="AI32" s="12">
        <f>'TUSD BE'!$AI$32*'TUSD BE'!$AI$68</f>
        <v>-4.3545283575530211E-2</v>
      </c>
      <c r="AJ32" s="12">
        <f ca="1">'TUSD BE'!$AJ$32*'TUSD BE'!$AJ$68</f>
        <v>-0.12932020651147716</v>
      </c>
      <c r="AK32" s="12">
        <f ca="1">'TUSD BE'!$AK$32*'TUSD BE'!$AK$68</f>
        <v>2.4442310593684451E-2</v>
      </c>
      <c r="AL32" s="12">
        <f ca="1">SUM($AH$32:$AK$32)</f>
        <v>-1.3333489662501818</v>
      </c>
      <c r="AM32" s="12">
        <f t="shared" ca="1" si="0"/>
        <v>-37.981080289221644</v>
      </c>
      <c r="AO32" s="20">
        <f ca="1">+'TUSD BE'!$T$32+'TUSD BE'!$AB$32+'TUSD BE'!$AD$32+'TUSD BE'!$AL$32</f>
        <v>236.03149481501984</v>
      </c>
      <c r="AP32" s="20">
        <f ca="1">+'TUSD BE'!$T$32+'TUSD BE'!$AB$32+'TUSD BE'!$AD$32+'TUSD BE'!$AL$32</f>
        <v>236.03149481501984</v>
      </c>
      <c r="AQ32" s="15">
        <f t="shared" si="5"/>
        <v>0</v>
      </c>
      <c r="AR32" s="9">
        <f t="shared" si="2"/>
        <v>1</v>
      </c>
      <c r="AS32" s="9">
        <f ca="1">IFERROR(VLOOKUP(A32,TarifaMedia!$C$37:$E$42,2,0),AS31)</f>
        <v>1</v>
      </c>
      <c r="AT32" s="15">
        <f ca="1">'TUSD BE'!AM32+'TUSD BF'!AM32+'TUSD CVA'!AM32</f>
        <v>242.02030352166227</v>
      </c>
      <c r="AU32" s="15">
        <f>'TABELAS REH COPEL'!$R$10</f>
        <v>200.63</v>
      </c>
      <c r="AV32" s="15">
        <f t="shared" ca="1" si="3"/>
        <v>-41.390303521662275</v>
      </c>
      <c r="AW32" s="107">
        <f t="shared" ca="1" si="4"/>
        <v>136866.02029024056</v>
      </c>
    </row>
    <row r="33" spans="1:49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f>'TUSD BE'!$L$33*'TUSD BE'!$L$68</f>
        <v>0</v>
      </c>
      <c r="M33" s="12">
        <f>'TUSD BE'!$M$33*'TUSD BE'!$M$68</f>
        <v>-1.5533277885650213E-2</v>
      </c>
      <c r="N33" s="12">
        <f ca="1">'TUSD BE'!$N$33*'TUSD BE'!$N$68</f>
        <v>1.7414585187918835E-7</v>
      </c>
      <c r="O33" s="12">
        <f>'TUSD BE'!$O$33*'TUSD BE'!$O$68</f>
        <v>0</v>
      </c>
      <c r="P33" s="12">
        <f>'TUSD BE'!$P$33*'TUSD BE'!$P$68</f>
        <v>0</v>
      </c>
      <c r="Q33" s="12">
        <f>'TUSD BE'!$Q$33*'TUSD BE'!$Q$68</f>
        <v>0</v>
      </c>
      <c r="R33" s="12">
        <f>'TUSD BE'!$R$33*'TUSD BE'!$R$68</f>
        <v>0</v>
      </c>
      <c r="S33" s="12">
        <f>'TUSD BE'!$R$33*'TUSD BE'!$S$68</f>
        <v>0</v>
      </c>
      <c r="T33" s="12">
        <f ca="1">SUM($L$33:$S$33)</f>
        <v>-1.5533103739798333E-2</v>
      </c>
      <c r="U33" s="12">
        <f>'TUSD BE'!$U$33*'TUSD BE'!$U$68</f>
        <v>0</v>
      </c>
      <c r="V33" s="12">
        <f>'TUSD BE'!$V$33*'TUSD BE'!$V$68</f>
        <v>0</v>
      </c>
      <c r="W33" s="12">
        <f>'TUSD BE'!$W$33*'TUSD BE'!$W$68</f>
        <v>0</v>
      </c>
      <c r="X33" s="12">
        <f>'TUSD BE'!$X$33*'TUSD BE'!$X$68</f>
        <v>0</v>
      </c>
      <c r="Y33" s="12">
        <f>'TUSD BE'!$Y$33*'TUSD BE'!$Y$68</f>
        <v>4.7581053024306144</v>
      </c>
      <c r="Z33" s="12">
        <f>'TUSD BE'!$Z$33*'TUSD BE'!$Z$68</f>
        <v>0</v>
      </c>
      <c r="AA33" s="12">
        <f>'TUSD BE'!$AA$33*'TUSD BE'!$AA$68</f>
        <v>0</v>
      </c>
      <c r="AB33" s="12">
        <f>SUM($U$33:$AA$33)</f>
        <v>4.7581053024306144</v>
      </c>
      <c r="AC33" s="12">
        <f>'TUSD BE'!$AC$33*'TUSD BE'!$AC$68</f>
        <v>0</v>
      </c>
      <c r="AD33" s="12">
        <f>SUM($AC$33:$AC$33)</f>
        <v>0</v>
      </c>
      <c r="AE33" s="12">
        <f ca="1">$AO$33*$AO$65</f>
        <v>0</v>
      </c>
      <c r="AF33" s="12">
        <f ca="1">$AP$33*$AP$65</f>
        <v>0</v>
      </c>
      <c r="AG33" s="12">
        <f ca="1">SUM($AE$33:$AF$33)</f>
        <v>0</v>
      </c>
      <c r="AH33" s="12">
        <f>'TUSD BE'!$AH$33*'TUSD BE'!$AH$68</f>
        <v>-1.184925786756859</v>
      </c>
      <c r="AI33" s="12">
        <f>'TUSD BE'!$AI$33*'TUSD BE'!$AI$68</f>
        <v>-4.3545283575530211E-2</v>
      </c>
      <c r="AJ33" s="12">
        <f ca="1">'TUSD BE'!$AJ$33*'TUSD BE'!$AJ$68</f>
        <v>-0.12932020651147716</v>
      </c>
      <c r="AK33" s="12">
        <f ca="1">'TUSD BE'!$AK$33*'TUSD BE'!$AK$68</f>
        <v>2.4442310593684451E-2</v>
      </c>
      <c r="AL33" s="12">
        <f ca="1">SUM($AH$33:$AK$33)</f>
        <v>-1.3333489662501818</v>
      </c>
      <c r="AM33" s="12">
        <f t="shared" ca="1" si="0"/>
        <v>-37.981080289221644</v>
      </c>
      <c r="AO33" s="20">
        <f ca="1">+'TUSD BE'!$T$33+'TUSD BE'!$AB$33+'TUSD BE'!$AD$33+'TUSD BE'!$AL$33</f>
        <v>236.03149481501984</v>
      </c>
      <c r="AP33" s="20">
        <f ca="1">+'TUSD BE'!$T$33+'TUSD BE'!$AB$33+'TUSD BE'!$AD$33+'TUSD BE'!$AL$33</f>
        <v>236.03149481501984</v>
      </c>
      <c r="AQ33" s="15">
        <f t="shared" si="5"/>
        <v>0</v>
      </c>
      <c r="AR33" s="9">
        <f t="shared" si="2"/>
        <v>1</v>
      </c>
      <c r="AS33" s="9">
        <f ca="1">IFERROR(VLOOKUP(A33,TarifaMedia!$C$37:$E$42,2,0),AS32)</f>
        <v>1</v>
      </c>
      <c r="AT33" s="15">
        <f ca="1">'TUSD BE'!AM33+'TUSD BF'!AM33+'TUSD CVA'!AM33</f>
        <v>242.02030352166227</v>
      </c>
      <c r="AU33" s="15">
        <f>'TABELAS REH COPEL'!$R$10</f>
        <v>200.63</v>
      </c>
      <c r="AV33" s="15">
        <f t="shared" ca="1" si="3"/>
        <v>-41.390303521662275</v>
      </c>
      <c r="AW33" s="107">
        <f t="shared" ca="1" si="4"/>
        <v>86291.208417121365</v>
      </c>
    </row>
    <row r="34" spans="1:49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f>'TUSD BE'!$L$34*'TUSD BE'!$L$68</f>
        <v>0</v>
      </c>
      <c r="M34" s="12">
        <f>'TUSD BE'!$M$34*'TUSD BE'!$M$68</f>
        <v>-1.5533277885650213E-2</v>
      </c>
      <c r="N34" s="12">
        <f ca="1">'TUSD BE'!$N$34*'TUSD BE'!$N$68</f>
        <v>1.7414585187918835E-7</v>
      </c>
      <c r="O34" s="12">
        <f>'TUSD BE'!$O$34*'TUSD BE'!$O$68</f>
        <v>0</v>
      </c>
      <c r="P34" s="12">
        <f>'TUSD BE'!$P$34*'TUSD BE'!$P$68</f>
        <v>0</v>
      </c>
      <c r="Q34" s="12">
        <f>'TUSD BE'!$Q$34*'TUSD BE'!$Q$68</f>
        <v>0</v>
      </c>
      <c r="R34" s="12">
        <f>'TUSD BE'!$R$34*'TUSD BE'!$R$68</f>
        <v>0</v>
      </c>
      <c r="S34" s="12">
        <f>'TUSD BE'!$R$34*'TUSD BE'!$S$68</f>
        <v>0</v>
      </c>
      <c r="T34" s="12">
        <f ca="1">SUM($L$34:$S$34)</f>
        <v>-1.5533103739798333E-2</v>
      </c>
      <c r="U34" s="12">
        <f>'TUSD BE'!$U$34*'TUSD BE'!$U$68</f>
        <v>0</v>
      </c>
      <c r="V34" s="12">
        <f>'TUSD BE'!$V$34*'TUSD BE'!$V$68</f>
        <v>0</v>
      </c>
      <c r="W34" s="12">
        <f>'TUSD BE'!$W$34*'TUSD BE'!$W$68</f>
        <v>0</v>
      </c>
      <c r="X34" s="12">
        <f>'TUSD BE'!$X$34*'TUSD BE'!$X$68</f>
        <v>0</v>
      </c>
      <c r="Y34" s="12">
        <f>'TUSD BE'!$Y$34*'TUSD BE'!$Y$68</f>
        <v>4.7581053024306144</v>
      </c>
      <c r="Z34" s="12">
        <f>'TUSD BE'!$Z$34*'TUSD BE'!$Z$68</f>
        <v>0</v>
      </c>
      <c r="AA34" s="12">
        <f>'TUSD BE'!$AA$34*'TUSD BE'!$AA$68</f>
        <v>0</v>
      </c>
      <c r="AB34" s="12">
        <f>SUM($U$34:$AA$34)</f>
        <v>4.7581053024306144</v>
      </c>
      <c r="AC34" s="12">
        <f>'TUSD BE'!$AC$34*'TUSD BE'!$AC$68</f>
        <v>0</v>
      </c>
      <c r="AD34" s="12">
        <f>SUM($AC$34:$AC$34)</f>
        <v>0</v>
      </c>
      <c r="AE34" s="12">
        <f ca="1">$AO$34*$AO$65</f>
        <v>0</v>
      </c>
      <c r="AF34" s="12">
        <f ca="1">$AP$34*$AP$65</f>
        <v>0</v>
      </c>
      <c r="AG34" s="12">
        <f ca="1">SUM($AE$34:$AF$34)</f>
        <v>0</v>
      </c>
      <c r="AH34" s="12">
        <f>'TUSD BE'!$AH$34*'TUSD BE'!$AH$68</f>
        <v>-1.184925786756859</v>
      </c>
      <c r="AI34" s="12">
        <f>'TUSD BE'!$AI$34*'TUSD BE'!$AI$68</f>
        <v>-4.3545283575530211E-2</v>
      </c>
      <c r="AJ34" s="12">
        <f ca="1">'TUSD BE'!$AJ$34*'TUSD BE'!$AJ$68</f>
        <v>-0.12932020651147716</v>
      </c>
      <c r="AK34" s="12">
        <f ca="1">'TUSD BE'!$AK$34*'TUSD BE'!$AK$68</f>
        <v>2.4442310593684451E-2</v>
      </c>
      <c r="AL34" s="12">
        <f ca="1">SUM($AH$34:$AK$34)</f>
        <v>-1.3333489662501818</v>
      </c>
      <c r="AM34" s="12">
        <f t="shared" ca="1" si="0"/>
        <v>-37.981080289221644</v>
      </c>
      <c r="AO34" s="20">
        <f ca="1">+'TUSD BE'!$T$34+'TUSD BE'!$AB$34+'TUSD BE'!$AD$34+'TUSD BE'!$AL$34</f>
        <v>236.03149481501984</v>
      </c>
      <c r="AP34" s="20">
        <f ca="1">+'TUSD BE'!$T$34+'TUSD BE'!$AB$34+'TUSD BE'!$AD$34+'TUSD BE'!$AL$34</f>
        <v>236.03149481501984</v>
      </c>
      <c r="AQ34" s="15">
        <f t="shared" si="5"/>
        <v>0</v>
      </c>
      <c r="AR34" s="9">
        <f t="shared" si="2"/>
        <v>1</v>
      </c>
      <c r="AS34" s="9">
        <f ca="1">IFERROR(VLOOKUP(A34,TarifaMedia!$C$37:$E$42,2,0),AS33)</f>
        <v>1</v>
      </c>
      <c r="AT34" s="15">
        <f ca="1">'TUSD BE'!AM34+'TUSD BF'!AM34+'TUSD CVA'!AM34</f>
        <v>242.02030352166227</v>
      </c>
      <c r="AU34" s="15">
        <f>'TABELAS REH COPEL'!$R$10</f>
        <v>200.63</v>
      </c>
      <c r="AV34" s="15">
        <f t="shared" ca="1" si="3"/>
        <v>-41.390303521662275</v>
      </c>
      <c r="AW34" s="107">
        <f t="shared" ca="1" si="4"/>
        <v>17061.662575878494</v>
      </c>
    </row>
    <row r="35" spans="1:49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'TUSD BE'!$L$35*'TUSD BE'!$L$68</f>
        <v>-1.1797299576547233</v>
      </c>
      <c r="M35" s="12">
        <f>'TUSD BE'!$M$35*'TUSD BE'!$M$68</f>
        <v>-1.5533277885650213E-2</v>
      </c>
      <c r="N35" s="12">
        <f ca="1">'TUSD BE'!$N$35*'TUSD BE'!$N$68</f>
        <v>1.7494650332601907E-7</v>
      </c>
      <c r="O35" s="12">
        <f>'TUSD BE'!$O$35*'TUSD BE'!$O$68</f>
        <v>0</v>
      </c>
      <c r="P35" s="12">
        <f>'TUSD BE'!$P$35*'TUSD BE'!$P$68</f>
        <v>0</v>
      </c>
      <c r="Q35" s="12">
        <f>'TUSD BE'!$Q$35*'TUSD BE'!$Q$68</f>
        <v>-1.8226392642330822</v>
      </c>
      <c r="R35" s="12">
        <f>'TUSD BE'!$R$35*'TUSD BE'!$R$68</f>
        <v>-0.278416203295761</v>
      </c>
      <c r="S35" s="12">
        <f>'TUSD BE'!$R$35*'TUSD BE'!$S$68</f>
        <v>0</v>
      </c>
      <c r="T35" s="12">
        <f ca="1">SUM($L$35:$S$35)</f>
        <v>-3.2963185281227134</v>
      </c>
      <c r="U35" s="12">
        <f>'TUSD BE'!$U$35*'TUSD BE'!$U$68</f>
        <v>0</v>
      </c>
      <c r="V35" s="12">
        <f>'TUSD BE'!$V$35*'TUSD BE'!$V$68</f>
        <v>0</v>
      </c>
      <c r="W35" s="12">
        <f>'TUSD BE'!$W$35*'TUSD BE'!$W$68</f>
        <v>0</v>
      </c>
      <c r="X35" s="12">
        <f>'TUSD BE'!$X$35*'TUSD BE'!$X$68</f>
        <v>0</v>
      </c>
      <c r="Y35" s="12">
        <f>'TUSD BE'!$Y$35*'TUSD BE'!$Y$68</f>
        <v>4.7581053024306144</v>
      </c>
      <c r="Z35" s="12">
        <f>'TUSD BE'!$Z$35*'TUSD BE'!$Z$68</f>
        <v>0</v>
      </c>
      <c r="AA35" s="12">
        <f>'TUSD BE'!$AA$35*'TUSD BE'!$AA$68</f>
        <v>0</v>
      </c>
      <c r="AB35" s="12">
        <f>SUM($U$35:$AA$35)</f>
        <v>4.7581053024306144</v>
      </c>
      <c r="AC35" s="12">
        <f>'TUSD BE'!$AC$35*'TUSD BE'!$AC$68</f>
        <v>0</v>
      </c>
      <c r="AD35" s="12">
        <f>SUM($AC$35:$AC$35)</f>
        <v>0</v>
      </c>
      <c r="AE35" s="12">
        <f ca="1">$AO$35*$AO$65</f>
        <v>0</v>
      </c>
      <c r="AF35" s="12">
        <f ca="1">$AP$35*$AP$65</f>
        <v>0</v>
      </c>
      <c r="AG35" s="12">
        <f ca="1">SUM($AE$35:$AF$35)</f>
        <v>0</v>
      </c>
      <c r="AH35" s="12">
        <f>'TUSD BE'!$AH$35*'TUSD BE'!$AH$68</f>
        <v>-1.184925786756859</v>
      </c>
      <c r="AI35" s="12">
        <f>'TUSD BE'!$AI$35*'TUSD BE'!$AI$68</f>
        <v>-4.3545283575530211E-2</v>
      </c>
      <c r="AJ35" s="12">
        <f ca="1">'TUSD BE'!$AJ$35*'TUSD BE'!$AJ$68</f>
        <v>-0.12932020651147716</v>
      </c>
      <c r="AK35" s="12">
        <f ca="1">'TUSD BE'!$AK$35*'TUSD BE'!$AK$68</f>
        <v>2.4442310593684451E-2</v>
      </c>
      <c r="AL35" s="12">
        <f ca="1">SUM($AH$35:$AK$35)</f>
        <v>-1.3333489662501818</v>
      </c>
      <c r="AM35" s="12">
        <f t="shared" ref="AM35:AM61" ca="1" si="6">SUMIF($L$4:$AL$4,"SUBTOTAL",L35:AL35)+AV35</f>
        <v>-51.559323307307785</v>
      </c>
      <c r="AO35" s="20">
        <f ca="1">+'TUSD BE'!$T$35+'TUSD BE'!$AB$35+'TUSD BE'!$AD$35+'TUSD BE'!$AL$35</f>
        <v>343.22837518745104</v>
      </c>
      <c r="AP35" s="20">
        <f ca="1">+'TUSD BE'!$T$35+'TUSD BE'!$AB$35+'TUSD BE'!$AD$35+'TUSD BE'!$AL$35</f>
        <v>343.22837518745104</v>
      </c>
      <c r="AQ35" s="15" t="str">
        <f t="shared" si="5"/>
        <v>Convencional pré-pagamento</v>
      </c>
      <c r="AR35" s="9">
        <f t="shared" si="2"/>
        <v>1</v>
      </c>
      <c r="AS35" s="9">
        <f ca="1">IFERROR(VLOOKUP(A35,TarifaMedia!$C$37:$E$42,2,0),AS34)</f>
        <v>1</v>
      </c>
      <c r="AT35" s="15">
        <f ca="1">'TUSD BE'!AM35+'TUSD BF'!AM35+'TUSD CVA'!AM35</f>
        <v>362.48776111536552</v>
      </c>
      <c r="AU35" s="15">
        <f>AU30</f>
        <v>310.8</v>
      </c>
      <c r="AV35" s="15">
        <f t="shared" ca="1" si="3"/>
        <v>-51.687761115365504</v>
      </c>
      <c r="AW35" s="107">
        <f t="shared" ca="1" si="4"/>
        <v>0</v>
      </c>
    </row>
    <row r="36" spans="1:49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f>'TUSD BE'!$L$36*'TUSD BE'!$L$68</f>
        <v>0</v>
      </c>
      <c r="M36" s="12">
        <f>'TUSD BE'!$M$36*'TUSD BE'!$M$68</f>
        <v>-1.5533277885650213E-2</v>
      </c>
      <c r="N36" s="12">
        <f ca="1">'TUSD BE'!$N$36*'TUSD BE'!$N$68</f>
        <v>1.7414585187918835E-7</v>
      </c>
      <c r="O36" s="12">
        <f>'TUSD BE'!$O$36*'TUSD BE'!$O$68</f>
        <v>0</v>
      </c>
      <c r="P36" s="12">
        <f>'TUSD BE'!$P$36*'TUSD BE'!$P$68</f>
        <v>0</v>
      </c>
      <c r="Q36" s="12">
        <f>'TUSD BE'!$Q$36*'TUSD BE'!$Q$68</f>
        <v>0</v>
      </c>
      <c r="R36" s="12">
        <f>'TUSD BE'!$R$36*'TUSD BE'!$R$68</f>
        <v>0</v>
      </c>
      <c r="S36" s="12">
        <f>'TUSD BE'!$R$36*'TUSD BE'!$S$68</f>
        <v>0</v>
      </c>
      <c r="T36" s="12">
        <f ca="1">SUM($L$36:$S$36)</f>
        <v>-1.5533103739798333E-2</v>
      </c>
      <c r="U36" s="12">
        <f>'TUSD BE'!$U$36*'TUSD BE'!$U$68</f>
        <v>0</v>
      </c>
      <c r="V36" s="12">
        <f>'TUSD BE'!$V$36*'TUSD BE'!$V$68</f>
        <v>0</v>
      </c>
      <c r="W36" s="12">
        <f>'TUSD BE'!$W$36*'TUSD BE'!$W$68</f>
        <v>0</v>
      </c>
      <c r="X36" s="12">
        <f>'TUSD BE'!$X$36*'TUSD BE'!$X$68</f>
        <v>0</v>
      </c>
      <c r="Y36" s="12">
        <f>'TUSD BE'!$Y$36*'TUSD BE'!$Y$68</f>
        <v>4.7581053024306144</v>
      </c>
      <c r="Z36" s="12">
        <f>'TUSD BE'!$Z$36*'TUSD BE'!$Z$68</f>
        <v>0</v>
      </c>
      <c r="AA36" s="12">
        <f>'TUSD BE'!$AA$36*'TUSD BE'!$AA$68</f>
        <v>0</v>
      </c>
      <c r="AB36" s="12">
        <f>SUM($U$36:$AA$36)</f>
        <v>4.7581053024306144</v>
      </c>
      <c r="AC36" s="12">
        <f>'TUSD BE'!$AC$36*'TUSD BE'!$AC$68</f>
        <v>0</v>
      </c>
      <c r="AD36" s="12">
        <f>SUM($AC$36:$AC$36)</f>
        <v>0</v>
      </c>
      <c r="AE36" s="12">
        <f ca="1">$AO$36*$AO$65</f>
        <v>0</v>
      </c>
      <c r="AF36" s="12">
        <f ca="1">$AP$36*$AP$65</f>
        <v>0</v>
      </c>
      <c r="AG36" s="12">
        <f ca="1">SUM($AE$36:$AF$36)</f>
        <v>0</v>
      </c>
      <c r="AH36" s="12">
        <f>'TUSD BE'!$AH$36*'TUSD BE'!$AH$68</f>
        <v>-1.184925786756859</v>
      </c>
      <c r="AI36" s="12">
        <f>'TUSD BE'!$AI$36*'TUSD BE'!$AI$68</f>
        <v>-4.3545283575530211E-2</v>
      </c>
      <c r="AJ36" s="12">
        <f ca="1">'TUSD BE'!$AJ$36*'TUSD BE'!$AJ$68</f>
        <v>-0.12932020651147716</v>
      </c>
      <c r="AK36" s="12">
        <f ca="1">'TUSD BE'!$AK$36*'TUSD BE'!$AK$68</f>
        <v>2.4442310593684451E-2</v>
      </c>
      <c r="AL36" s="12">
        <f ca="1">SUM($AH$36:$AK$36)</f>
        <v>-1.3333489662501818</v>
      </c>
      <c r="AM36" s="12">
        <f t="shared" ca="1" si="6"/>
        <v>-37.981080289221644</v>
      </c>
      <c r="AO36" s="20">
        <f ca="1">+'TUSD BE'!$T$36+'TUSD BE'!$AB$36+'TUSD BE'!$AD$36+'TUSD BE'!$AL$36</f>
        <v>236.03149481501984</v>
      </c>
      <c r="AP36" s="20">
        <f ca="1">+'TUSD BE'!$T$36+'TUSD BE'!$AB$36+'TUSD BE'!$AD$36+'TUSD BE'!$AL$36</f>
        <v>236.03149481501984</v>
      </c>
      <c r="AQ36" s="15">
        <f t="shared" si="5"/>
        <v>0</v>
      </c>
      <c r="AR36" s="9">
        <f t="shared" si="2"/>
        <v>1</v>
      </c>
      <c r="AS36" s="9">
        <f ca="1">IFERROR(VLOOKUP(A36,TarifaMedia!$C$37:$E$42,2,0),AS35)</f>
        <v>1</v>
      </c>
      <c r="AT36" s="15">
        <f ca="1">'TUSD BE'!AM36+'TUSD BF'!AM36+'TUSD CVA'!AM36</f>
        <v>242.02030352166227</v>
      </c>
      <c r="AU36" s="15">
        <f t="shared" ref="AU36:AU39" si="7">AU31</f>
        <v>200.63</v>
      </c>
      <c r="AV36" s="15">
        <f t="shared" ca="1" si="3"/>
        <v>-41.390303521662275</v>
      </c>
      <c r="AW36" s="107">
        <f t="shared" ca="1" si="4"/>
        <v>0</v>
      </c>
    </row>
    <row r="37" spans="1:49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f>'TUSD BE'!$L$37*'TUSD BE'!$L$68</f>
        <v>0</v>
      </c>
      <c r="M37" s="12">
        <f>'TUSD BE'!$M$37*'TUSD BE'!$M$68</f>
        <v>-1.5533277885650213E-2</v>
      </c>
      <c r="N37" s="12">
        <f ca="1">'TUSD BE'!$N$37*'TUSD BE'!$N$68</f>
        <v>1.7414585187918835E-7</v>
      </c>
      <c r="O37" s="12">
        <f>'TUSD BE'!$O$37*'TUSD BE'!$O$68</f>
        <v>0</v>
      </c>
      <c r="P37" s="12">
        <f>'TUSD BE'!$P$37*'TUSD BE'!$P$68</f>
        <v>0</v>
      </c>
      <c r="Q37" s="12">
        <f>'TUSD BE'!$Q$37*'TUSD BE'!$Q$68</f>
        <v>0</v>
      </c>
      <c r="R37" s="12">
        <f>'TUSD BE'!$R$37*'TUSD BE'!$R$68</f>
        <v>0</v>
      </c>
      <c r="S37" s="12">
        <f>'TUSD BE'!$R$37*'TUSD BE'!$S$68</f>
        <v>0</v>
      </c>
      <c r="T37" s="12">
        <f ca="1">SUM($L$37:$S$37)</f>
        <v>-1.5533103739798333E-2</v>
      </c>
      <c r="U37" s="12">
        <f>'TUSD BE'!$U$37*'TUSD BE'!$U$68</f>
        <v>0</v>
      </c>
      <c r="V37" s="12">
        <f>'TUSD BE'!$V$37*'TUSD BE'!$V$68</f>
        <v>0</v>
      </c>
      <c r="W37" s="12">
        <f>'TUSD BE'!$W$37*'TUSD BE'!$W$68</f>
        <v>0</v>
      </c>
      <c r="X37" s="12">
        <f>'TUSD BE'!$X$37*'TUSD BE'!$X$68</f>
        <v>0</v>
      </c>
      <c r="Y37" s="12">
        <f>'TUSD BE'!$Y$37*'TUSD BE'!$Y$68</f>
        <v>4.7581053024306144</v>
      </c>
      <c r="Z37" s="12">
        <f>'TUSD BE'!$Z$37*'TUSD BE'!$Z$68</f>
        <v>0</v>
      </c>
      <c r="AA37" s="12">
        <f>'TUSD BE'!$AA$37*'TUSD BE'!$AA$68</f>
        <v>0</v>
      </c>
      <c r="AB37" s="12">
        <f>SUM($U$37:$AA$37)</f>
        <v>4.7581053024306144</v>
      </c>
      <c r="AC37" s="12">
        <f>'TUSD BE'!$AC$37*'TUSD BE'!$AC$68</f>
        <v>0</v>
      </c>
      <c r="AD37" s="12">
        <f>SUM($AC$37:$AC$37)</f>
        <v>0</v>
      </c>
      <c r="AE37" s="12">
        <f ca="1">$AO$37*$AO$65</f>
        <v>0</v>
      </c>
      <c r="AF37" s="12">
        <f ca="1">$AP$37*$AP$65</f>
        <v>0</v>
      </c>
      <c r="AG37" s="12">
        <f ca="1">SUM($AE$37:$AF$37)</f>
        <v>0</v>
      </c>
      <c r="AH37" s="12">
        <f>'TUSD BE'!$AH$37*'TUSD BE'!$AH$68</f>
        <v>-1.184925786756859</v>
      </c>
      <c r="AI37" s="12">
        <f>'TUSD BE'!$AI$37*'TUSD BE'!$AI$68</f>
        <v>-4.3545283575530211E-2</v>
      </c>
      <c r="AJ37" s="12">
        <f ca="1">'TUSD BE'!$AJ$37*'TUSD BE'!$AJ$68</f>
        <v>-0.12932020651147716</v>
      </c>
      <c r="AK37" s="12">
        <f ca="1">'TUSD BE'!$AK$37*'TUSD BE'!$AK$68</f>
        <v>2.4442310593684451E-2</v>
      </c>
      <c r="AL37" s="12">
        <f ca="1">SUM($AH$37:$AK$37)</f>
        <v>-1.3333489662501818</v>
      </c>
      <c r="AM37" s="12">
        <f t="shared" ca="1" si="6"/>
        <v>-37.981080289221644</v>
      </c>
      <c r="AO37" s="20">
        <f ca="1">+'TUSD BE'!$T$37+'TUSD BE'!$AB$37+'TUSD BE'!$AD$37+'TUSD BE'!$AL$37</f>
        <v>236.03149481501984</v>
      </c>
      <c r="AP37" s="20">
        <f ca="1">+'TUSD BE'!$T$37+'TUSD BE'!$AB$37+'TUSD BE'!$AD$37+'TUSD BE'!$AL$37</f>
        <v>236.03149481501984</v>
      </c>
      <c r="AQ37" s="15">
        <f t="shared" si="5"/>
        <v>0</v>
      </c>
      <c r="AR37" s="9">
        <f t="shared" si="2"/>
        <v>1</v>
      </c>
      <c r="AS37" s="9">
        <f ca="1">IFERROR(VLOOKUP(A37,TarifaMedia!$C$37:$E$42,2,0),AS36)</f>
        <v>1</v>
      </c>
      <c r="AT37" s="15">
        <f ca="1">'TUSD BE'!AM37+'TUSD BF'!AM37+'TUSD CVA'!AM37</f>
        <v>242.02030352166227</v>
      </c>
      <c r="AU37" s="15">
        <f t="shared" si="7"/>
        <v>200.63</v>
      </c>
      <c r="AV37" s="15">
        <f t="shared" ca="1" si="3"/>
        <v>-41.390303521662275</v>
      </c>
      <c r="AW37" s="107">
        <f t="shared" ca="1" si="4"/>
        <v>0</v>
      </c>
    </row>
    <row r="38" spans="1:49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f>'TUSD BE'!$L$38*'TUSD BE'!$L$68</f>
        <v>0</v>
      </c>
      <c r="M38" s="12">
        <f>'TUSD BE'!$M$38*'TUSD BE'!$M$68</f>
        <v>-1.5533277885650213E-2</v>
      </c>
      <c r="N38" s="12">
        <f ca="1">'TUSD BE'!$N$38*'TUSD BE'!$N$68</f>
        <v>1.7414585187918835E-7</v>
      </c>
      <c r="O38" s="12">
        <f>'TUSD BE'!$O$38*'TUSD BE'!$O$68</f>
        <v>0</v>
      </c>
      <c r="P38" s="12">
        <f>'TUSD BE'!$P$38*'TUSD BE'!$P$68</f>
        <v>0</v>
      </c>
      <c r="Q38" s="12">
        <f>'TUSD BE'!$Q$38*'TUSD BE'!$Q$68</f>
        <v>0</v>
      </c>
      <c r="R38" s="12">
        <f>'TUSD BE'!$R$38*'TUSD BE'!$R$68</f>
        <v>0</v>
      </c>
      <c r="S38" s="12">
        <f>'TUSD BE'!$R$38*'TUSD BE'!$S$68</f>
        <v>0</v>
      </c>
      <c r="T38" s="12">
        <f ca="1">SUM($L$38:$S$38)</f>
        <v>-1.5533103739798333E-2</v>
      </c>
      <c r="U38" s="12">
        <f>'TUSD BE'!$U$38*'TUSD BE'!$U$68</f>
        <v>0</v>
      </c>
      <c r="V38" s="12">
        <f>'TUSD BE'!$V$38*'TUSD BE'!$V$68</f>
        <v>0</v>
      </c>
      <c r="W38" s="12">
        <f>'TUSD BE'!$W$38*'TUSD BE'!$W$68</f>
        <v>0</v>
      </c>
      <c r="X38" s="12">
        <f>'TUSD BE'!$X$38*'TUSD BE'!$X$68</f>
        <v>0</v>
      </c>
      <c r="Y38" s="12">
        <f>'TUSD BE'!$Y$38*'TUSD BE'!$Y$68</f>
        <v>4.7581053024306144</v>
      </c>
      <c r="Z38" s="12">
        <f>'TUSD BE'!$Z$38*'TUSD BE'!$Z$68</f>
        <v>0</v>
      </c>
      <c r="AA38" s="12">
        <f>'TUSD BE'!$AA$38*'TUSD BE'!$AA$68</f>
        <v>0</v>
      </c>
      <c r="AB38" s="12">
        <f>SUM($U$38:$AA$38)</f>
        <v>4.7581053024306144</v>
      </c>
      <c r="AC38" s="12">
        <f>'TUSD BE'!$AC$38*'TUSD BE'!$AC$68</f>
        <v>0</v>
      </c>
      <c r="AD38" s="12">
        <f>SUM($AC$38:$AC$38)</f>
        <v>0</v>
      </c>
      <c r="AE38" s="12">
        <f ca="1">$AO$38*$AO$65</f>
        <v>0</v>
      </c>
      <c r="AF38" s="12">
        <f ca="1">$AP$38*$AP$65</f>
        <v>0</v>
      </c>
      <c r="AG38" s="12">
        <f ca="1">SUM($AE$38:$AF$38)</f>
        <v>0</v>
      </c>
      <c r="AH38" s="12">
        <f>'TUSD BE'!$AH$38*'TUSD BE'!$AH$68</f>
        <v>-1.184925786756859</v>
      </c>
      <c r="AI38" s="12">
        <f>'TUSD BE'!$AI$38*'TUSD BE'!$AI$68</f>
        <v>-4.3545283575530211E-2</v>
      </c>
      <c r="AJ38" s="12">
        <f ca="1">'TUSD BE'!$AJ$38*'TUSD BE'!$AJ$68</f>
        <v>-0.12932020651147716</v>
      </c>
      <c r="AK38" s="12">
        <f ca="1">'TUSD BE'!$AK$38*'TUSD BE'!$AK$68</f>
        <v>2.4442310593684451E-2</v>
      </c>
      <c r="AL38" s="12">
        <f ca="1">SUM($AH$38:$AK$38)</f>
        <v>-1.3333489662501818</v>
      </c>
      <c r="AM38" s="12">
        <f t="shared" ca="1" si="6"/>
        <v>-37.981080289221644</v>
      </c>
      <c r="AO38" s="20">
        <f ca="1">+'TUSD BE'!$T$38+'TUSD BE'!$AB$38+'TUSD BE'!$AD$38+'TUSD BE'!$AL$38</f>
        <v>236.03149481501984</v>
      </c>
      <c r="AP38" s="20">
        <f ca="1">+'TUSD BE'!$T$38+'TUSD BE'!$AB$38+'TUSD BE'!$AD$38+'TUSD BE'!$AL$38</f>
        <v>236.03149481501984</v>
      </c>
      <c r="AQ38" s="15">
        <f t="shared" si="5"/>
        <v>0</v>
      </c>
      <c r="AR38" s="9">
        <f t="shared" si="2"/>
        <v>1</v>
      </c>
      <c r="AS38" s="9">
        <f ca="1">IFERROR(VLOOKUP(A38,TarifaMedia!$C$37:$E$42,2,0),AS37)</f>
        <v>1</v>
      </c>
      <c r="AT38" s="15">
        <f ca="1">'TUSD BE'!AM38+'TUSD BF'!AM38+'TUSD CVA'!AM38</f>
        <v>242.02030352166227</v>
      </c>
      <c r="AU38" s="15">
        <f t="shared" si="7"/>
        <v>200.63</v>
      </c>
      <c r="AV38" s="15">
        <f t="shared" ca="1" si="3"/>
        <v>-41.390303521662275</v>
      </c>
      <c r="AW38" s="107">
        <f t="shared" ca="1" si="4"/>
        <v>0</v>
      </c>
    </row>
    <row r="39" spans="1:49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f>'TUSD BE'!$L$39*'TUSD BE'!$L$68</f>
        <v>0</v>
      </c>
      <c r="M39" s="12">
        <f>'TUSD BE'!$M$39*'TUSD BE'!$M$68</f>
        <v>-1.5533277885650213E-2</v>
      </c>
      <c r="N39" s="12">
        <f ca="1">'TUSD BE'!$N$39*'TUSD BE'!$N$68</f>
        <v>1.7414585187918835E-7</v>
      </c>
      <c r="O39" s="12">
        <f>'TUSD BE'!$O$39*'TUSD BE'!$O$68</f>
        <v>0</v>
      </c>
      <c r="P39" s="12">
        <f>'TUSD BE'!$P$39*'TUSD BE'!$P$68</f>
        <v>0</v>
      </c>
      <c r="Q39" s="12">
        <f>'TUSD BE'!$Q$39*'TUSD BE'!$Q$68</f>
        <v>0</v>
      </c>
      <c r="R39" s="12">
        <f>'TUSD BE'!$R$39*'TUSD BE'!$R$68</f>
        <v>0</v>
      </c>
      <c r="S39" s="12">
        <f>'TUSD BE'!$R$39*'TUSD BE'!$S$68</f>
        <v>0</v>
      </c>
      <c r="T39" s="12">
        <f ca="1">SUM($L$39:$S$39)</f>
        <v>-1.5533103739798333E-2</v>
      </c>
      <c r="U39" s="12">
        <f>'TUSD BE'!$U$39*'TUSD BE'!$U$68</f>
        <v>0</v>
      </c>
      <c r="V39" s="12">
        <f>'TUSD BE'!$V$39*'TUSD BE'!$V$68</f>
        <v>0</v>
      </c>
      <c r="W39" s="12">
        <f>'TUSD BE'!$W$39*'TUSD BE'!$W$68</f>
        <v>0</v>
      </c>
      <c r="X39" s="12">
        <f>'TUSD BE'!$X$39*'TUSD BE'!$X$68</f>
        <v>0</v>
      </c>
      <c r="Y39" s="12">
        <f>'TUSD BE'!$Y$39*'TUSD BE'!$Y$68</f>
        <v>4.7581053024306144</v>
      </c>
      <c r="Z39" s="12">
        <f>'TUSD BE'!$Z$39*'TUSD BE'!$Z$68</f>
        <v>0</v>
      </c>
      <c r="AA39" s="12">
        <f>'TUSD BE'!$AA$39*'TUSD BE'!$AA$68</f>
        <v>0</v>
      </c>
      <c r="AB39" s="12">
        <f>SUM($U$39:$AA$39)</f>
        <v>4.7581053024306144</v>
      </c>
      <c r="AC39" s="12">
        <f>'TUSD BE'!$AC$39*'TUSD BE'!$AC$68</f>
        <v>0</v>
      </c>
      <c r="AD39" s="12">
        <f>SUM($AC$39:$AC$39)</f>
        <v>0</v>
      </c>
      <c r="AE39" s="12">
        <f ca="1">$AO$39*$AO$65</f>
        <v>0</v>
      </c>
      <c r="AF39" s="12">
        <f ca="1">$AP$39*$AP$65</f>
        <v>0</v>
      </c>
      <c r="AG39" s="12">
        <f ca="1">SUM($AE$39:$AF$39)</f>
        <v>0</v>
      </c>
      <c r="AH39" s="12">
        <f>'TUSD BE'!$AH$39*'TUSD BE'!$AH$68</f>
        <v>-1.184925786756859</v>
      </c>
      <c r="AI39" s="12">
        <f>'TUSD BE'!$AI$39*'TUSD BE'!$AI$68</f>
        <v>-4.3545283575530211E-2</v>
      </c>
      <c r="AJ39" s="12">
        <f ca="1">'TUSD BE'!$AJ$39*'TUSD BE'!$AJ$68</f>
        <v>-0.12932020651147716</v>
      </c>
      <c r="AK39" s="12">
        <f ca="1">'TUSD BE'!$AK$39*'TUSD BE'!$AK$68</f>
        <v>2.4442310593684451E-2</v>
      </c>
      <c r="AL39" s="12">
        <f ca="1">SUM($AH$39:$AK$39)</f>
        <v>-1.3333489662501818</v>
      </c>
      <c r="AM39" s="12">
        <f t="shared" ca="1" si="6"/>
        <v>-37.981080289221644</v>
      </c>
      <c r="AO39" s="20">
        <f ca="1">+'TUSD BE'!$T$39+'TUSD BE'!$AB$39+'TUSD BE'!$AD$39+'TUSD BE'!$AL$39</f>
        <v>236.03149481501984</v>
      </c>
      <c r="AP39" s="20">
        <f ca="1">+'TUSD BE'!$T$39+'TUSD BE'!$AB$39+'TUSD BE'!$AD$39+'TUSD BE'!$AL$39</f>
        <v>236.03149481501984</v>
      </c>
      <c r="AQ39" s="15">
        <f t="shared" si="5"/>
        <v>0</v>
      </c>
      <c r="AR39" s="9">
        <f t="shared" si="2"/>
        <v>1</v>
      </c>
      <c r="AS39" s="9">
        <f ca="1">IFERROR(VLOOKUP(A39,TarifaMedia!$C$37:$E$42,2,0),AS38)</f>
        <v>1</v>
      </c>
      <c r="AT39" s="15">
        <f ca="1">'TUSD BE'!AM39+'TUSD BF'!AM39+'TUSD CVA'!AM39</f>
        <v>242.02030352166227</v>
      </c>
      <c r="AU39" s="15">
        <f t="shared" si="7"/>
        <v>200.63</v>
      </c>
      <c r="AV39" s="15">
        <f t="shared" ca="1" si="3"/>
        <v>-41.390303521662275</v>
      </c>
      <c r="AW39" s="107">
        <f t="shared" ca="1" si="4"/>
        <v>0</v>
      </c>
    </row>
    <row r="40" spans="1:49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'TUSD BE'!$L$40*'TUSD BE'!$L$68</f>
        <v>-1.1797299576547233</v>
      </c>
      <c r="M40" s="12">
        <f>'TUSD BE'!$M$40*'TUSD BE'!$M$68</f>
        <v>-1.5533277885650213E-2</v>
      </c>
      <c r="N40" s="12">
        <f ca="1">'TUSD BE'!$N$40*'TUSD BE'!$N$68</f>
        <v>8.0390753494070034E-7</v>
      </c>
      <c r="O40" s="12">
        <f>'TUSD BE'!$O$40*'TUSD BE'!$O$68</f>
        <v>0</v>
      </c>
      <c r="P40" s="12">
        <f>'TUSD BE'!$P$40*'TUSD BE'!$P$68</f>
        <v>0</v>
      </c>
      <c r="Q40" s="12">
        <f>'TUSD BE'!$Q$40*'TUSD BE'!$Q$68</f>
        <v>-1.8226392642330822</v>
      </c>
      <c r="R40" s="12">
        <f>'TUSD BE'!$R$40*'TUSD BE'!$R$68</f>
        <v>-0.278416203295761</v>
      </c>
      <c r="S40" s="12">
        <f>'TUSD BE'!$R$40*'TUSD BE'!$S$68</f>
        <v>0</v>
      </c>
      <c r="T40" s="12">
        <f ca="1">SUM($L$40:$S$40)</f>
        <v>-3.2963178991616817</v>
      </c>
      <c r="U40" s="12">
        <f>'TUSD BE'!$U$40*'TUSD BE'!$U$68</f>
        <v>0</v>
      </c>
      <c r="V40" s="12">
        <f>'TUSD BE'!$V$40*'TUSD BE'!$V$68</f>
        <v>0</v>
      </c>
      <c r="W40" s="12">
        <f>'TUSD BE'!$W$40*'TUSD BE'!$W$68</f>
        <v>0</v>
      </c>
      <c r="X40" s="12">
        <f>'TUSD BE'!$X$40*'TUSD BE'!$X$68</f>
        <v>0</v>
      </c>
      <c r="Y40" s="12">
        <f>'TUSD BE'!$Y$40*'TUSD BE'!$Y$68</f>
        <v>25.693759673782658</v>
      </c>
      <c r="Z40" s="12">
        <f>'TUSD BE'!$Z$40*'TUSD BE'!$Z$68</f>
        <v>0</v>
      </c>
      <c r="AA40" s="12">
        <f>'TUSD BE'!$AA$40*'TUSD BE'!$AA$68</f>
        <v>0</v>
      </c>
      <c r="AB40" s="12">
        <f>SUM($U$40:$AA$40)</f>
        <v>25.693759673782658</v>
      </c>
      <c r="AC40" s="12">
        <f>'TUSD BE'!$AC$40*'TUSD BE'!$AC$68</f>
        <v>0</v>
      </c>
      <c r="AD40" s="12">
        <f>SUM($AC$40:$AC$40)</f>
        <v>0</v>
      </c>
      <c r="AE40" s="12">
        <f ca="1">$AO$40*$AO$65</f>
        <v>0</v>
      </c>
      <c r="AF40" s="12">
        <f ca="1">$AP$40*$AP$65</f>
        <v>0</v>
      </c>
      <c r="AG40" s="12">
        <f ca="1">SUM($AE$40:$AF$40)</f>
        <v>0</v>
      </c>
      <c r="AH40" s="12">
        <f>'TUSD BE'!$AH$40*'TUSD BE'!$AH$68</f>
        <v>-1.184925786756859</v>
      </c>
      <c r="AI40" s="12">
        <f>'TUSD BE'!$AI$40*'TUSD BE'!$AI$68</f>
        <v>-4.3545283575530211E-2</v>
      </c>
      <c r="AJ40" s="12">
        <f ca="1">'TUSD BE'!$AJ$40*'TUSD BE'!$AJ$68</f>
        <v>-0.12932020651147716</v>
      </c>
      <c r="AK40" s="12">
        <f ca="1">'TUSD BE'!$AK$40*'TUSD BE'!$AK$68</f>
        <v>2.4442310593684451E-2</v>
      </c>
      <c r="AL40" s="12">
        <f ca="1">SUM($AH$40:$AK$40)</f>
        <v>-1.3333489662501818</v>
      </c>
      <c r="AM40" s="12">
        <f t="shared" ca="1" si="6"/>
        <v>-668.95745867833045</v>
      </c>
      <c r="AO40" s="20">
        <f ca="1">+'TUSD BE'!$T$40+'TUSD BE'!$AB$40+'TUSD BE'!$AD$40+'TUSD BE'!$AL$40</f>
        <v>1291.9165105584736</v>
      </c>
      <c r="AP40" s="20">
        <f ca="1">+'TUSD BE'!$T$40+'TUSD BE'!$AB$40+'TUSD BE'!$AD$40+'TUSD BE'!$AL$40</f>
        <v>1291.9165105584736</v>
      </c>
      <c r="AQ40" s="15" t="str">
        <f t="shared" si="5"/>
        <v>Branca</v>
      </c>
      <c r="AR40" s="9">
        <f t="shared" si="2"/>
        <v>1</v>
      </c>
      <c r="AS40" s="9">
        <f ca="1">IFERROR(VLOOKUP(A40,TarifaMedia!$C$37:$E$42,2,0),AS39)</f>
        <v>1</v>
      </c>
      <c r="AT40" s="15">
        <f ca="1">'TUSD BE'!AM40+'TUSD BF'!AM40+'TUSD CVA'!AM40</f>
        <v>1332.1115514867013</v>
      </c>
      <c r="AU40" s="15">
        <f>'TABELAS REH COPEL'!R12</f>
        <v>642.09</v>
      </c>
      <c r="AV40" s="15">
        <f t="shared" ca="1" si="3"/>
        <v>-690.02155148670124</v>
      </c>
      <c r="AW40" s="107">
        <f t="shared" ca="1" si="4"/>
        <v>0</v>
      </c>
    </row>
    <row r="41" spans="1:49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'TUSD BE'!$L$41*'TUSD BE'!$L$68</f>
        <v>-1.1797299576547233</v>
      </c>
      <c r="M41" s="12">
        <f>'TUSD BE'!$M$41*'TUSD BE'!$M$68</f>
        <v>-1.5533277885650213E-2</v>
      </c>
      <c r="N41" s="12">
        <f ca="1">'TUSD BE'!$N$41*'TUSD BE'!$N$68</f>
        <v>2.6357285379976633E-7</v>
      </c>
      <c r="O41" s="12">
        <f>'TUSD BE'!$O$41*'TUSD BE'!$O$68</f>
        <v>0</v>
      </c>
      <c r="P41" s="12">
        <f>'TUSD BE'!$P$41*'TUSD BE'!$P$68</f>
        <v>0</v>
      </c>
      <c r="Q41" s="12">
        <f>'TUSD BE'!$Q$41*'TUSD BE'!$Q$68</f>
        <v>-1.8226392642330822</v>
      </c>
      <c r="R41" s="12">
        <f>'TUSD BE'!$R$41*'TUSD BE'!$R$68</f>
        <v>-0.278416203295761</v>
      </c>
      <c r="S41" s="12">
        <f>'TUSD BE'!$R$41*'TUSD BE'!$S$68</f>
        <v>0</v>
      </c>
      <c r="T41" s="12">
        <f ca="1">SUM($L$41:$S$41)</f>
        <v>-3.2963184394963632</v>
      </c>
      <c r="U41" s="12">
        <f>'TUSD BE'!$U$41*'TUSD BE'!$U$68</f>
        <v>0</v>
      </c>
      <c r="V41" s="12">
        <f>'TUSD BE'!$V$41*'TUSD BE'!$V$68</f>
        <v>0</v>
      </c>
      <c r="W41" s="12">
        <f>'TUSD BE'!$W$41*'TUSD BE'!$W$68</f>
        <v>0</v>
      </c>
      <c r="X41" s="12">
        <f>'TUSD BE'!$X$41*'TUSD BE'!$X$68</f>
        <v>0</v>
      </c>
      <c r="Y41" s="12">
        <f>'TUSD BE'!$Y$41*'TUSD BE'!$Y$68</f>
        <v>7.708125662299131</v>
      </c>
      <c r="Z41" s="12">
        <f>'TUSD BE'!$Z$41*'TUSD BE'!$Z$68</f>
        <v>0</v>
      </c>
      <c r="AA41" s="12">
        <f>'TUSD BE'!$AA$41*'TUSD BE'!$AA$68</f>
        <v>0</v>
      </c>
      <c r="AB41" s="12">
        <f>SUM($U$41:$AA$41)</f>
        <v>7.708125662299131</v>
      </c>
      <c r="AC41" s="12">
        <f>'TUSD BE'!$AC$41*'TUSD BE'!$AC$68</f>
        <v>0</v>
      </c>
      <c r="AD41" s="12">
        <f>SUM($AC$41:$AC$41)</f>
        <v>0</v>
      </c>
      <c r="AE41" s="12">
        <f ca="1">$AO$41*$AO$65</f>
        <v>0</v>
      </c>
      <c r="AF41" s="12">
        <f ca="1">$AP$41*$AP$65</f>
        <v>0</v>
      </c>
      <c r="AG41" s="12">
        <f ca="1">SUM($AE$41:$AF$41)</f>
        <v>0</v>
      </c>
      <c r="AH41" s="12">
        <f>'TUSD BE'!$AH$41*'TUSD BE'!$AH$68</f>
        <v>-1.184925786756859</v>
      </c>
      <c r="AI41" s="12">
        <f>'TUSD BE'!$AI$41*'TUSD BE'!$AI$68</f>
        <v>-4.3545283575530211E-2</v>
      </c>
      <c r="AJ41" s="12">
        <f ca="1">'TUSD BE'!$AJ$41*'TUSD BE'!$AJ$68</f>
        <v>-0.12932020651147716</v>
      </c>
      <c r="AK41" s="12">
        <f ca="1">'TUSD BE'!$AK$41*'TUSD BE'!$AK$68</f>
        <v>2.4442310593684451E-2</v>
      </c>
      <c r="AL41" s="12">
        <f ca="1">SUM($AH$41:$AK$41)</f>
        <v>-1.3333489662501818</v>
      </c>
      <c r="AM41" s="12">
        <f t="shared" ca="1" si="6"/>
        <v>-54.418138014931422</v>
      </c>
      <c r="AO41" s="20">
        <f ca="1">+'TUSD BE'!$T$41+'TUSD BE'!$AB$41+'TUSD BE'!$AD$41+'TUSD BE'!$AL$41</f>
        <v>476.90718989507462</v>
      </c>
      <c r="AP41" s="20">
        <f ca="1">+'TUSD BE'!$T$41+'TUSD BE'!$AB$41+'TUSD BE'!$AD$41+'TUSD BE'!$AL$41</f>
        <v>476.90718989507462</v>
      </c>
      <c r="AQ41" s="15">
        <f t="shared" si="5"/>
        <v>0</v>
      </c>
      <c r="AR41" s="9">
        <f t="shared" si="2"/>
        <v>1</v>
      </c>
      <c r="AS41" s="9">
        <f ca="1">IFERROR(VLOOKUP(A41,TarifaMedia!$C$37:$E$42,2,0),AS40)</f>
        <v>1</v>
      </c>
      <c r="AT41" s="15">
        <f ca="1">'TUSD BE'!AM41+'TUSD BF'!AM41+'TUSD CVA'!AM41</f>
        <v>499.11659627148401</v>
      </c>
      <c r="AU41" s="15">
        <f>'TABELAS REH COPEL'!R13</f>
        <v>441.62</v>
      </c>
      <c r="AV41" s="15">
        <f t="shared" ca="1" si="3"/>
        <v>-57.496596271484009</v>
      </c>
      <c r="AW41" s="107">
        <f t="shared" ca="1" si="4"/>
        <v>0</v>
      </c>
    </row>
    <row r="42" spans="1:49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'TUSD BE'!$L$42*'TUSD BE'!$L$68</f>
        <v>-1.1797299576547233</v>
      </c>
      <c r="M42" s="12">
        <f>'TUSD BE'!$M$42*'TUSD BE'!$M$68</f>
        <v>-1.5533277885650213E-2</v>
      </c>
      <c r="N42" s="12">
        <f ca="1">'TUSD BE'!$N$42*'TUSD BE'!$N$68</f>
        <v>1.0919148201729448E-7</v>
      </c>
      <c r="O42" s="12">
        <f>'TUSD BE'!$O$42*'TUSD BE'!$O$68</f>
        <v>0</v>
      </c>
      <c r="P42" s="12">
        <f>'TUSD BE'!$P$42*'TUSD BE'!$P$68</f>
        <v>0</v>
      </c>
      <c r="Q42" s="12">
        <f>'TUSD BE'!$Q$42*'TUSD BE'!$Q$68</f>
        <v>-1.8226392642330822</v>
      </c>
      <c r="R42" s="12">
        <f>'TUSD BE'!$R$42*'TUSD BE'!$R$68</f>
        <v>-0.278416203295761</v>
      </c>
      <c r="S42" s="12">
        <f>'TUSD BE'!$R$42*'TUSD BE'!$S$68</f>
        <v>0</v>
      </c>
      <c r="T42" s="12">
        <f ca="1">SUM($L$42:$S$42)</f>
        <v>-3.2963185938777348</v>
      </c>
      <c r="U42" s="12">
        <f>'TUSD BE'!$U$42*'TUSD BE'!$U$68</f>
        <v>0</v>
      </c>
      <c r="V42" s="12">
        <f>'TUSD BE'!$V$42*'TUSD BE'!$V$68</f>
        <v>0</v>
      </c>
      <c r="W42" s="12">
        <f>'TUSD BE'!$W$42*'TUSD BE'!$W$68</f>
        <v>0</v>
      </c>
      <c r="X42" s="12">
        <f>'TUSD BE'!$X$42*'TUSD BE'!$X$68</f>
        <v>0</v>
      </c>
      <c r="Y42" s="12">
        <f>'TUSD BE'!$Y$42*'TUSD BE'!$Y$68</f>
        <v>2.5693752207663771</v>
      </c>
      <c r="Z42" s="12">
        <f>'TUSD BE'!$Z$42*'TUSD BE'!$Z$68</f>
        <v>0</v>
      </c>
      <c r="AA42" s="12">
        <f>'TUSD BE'!$AA$42*'TUSD BE'!$AA$68</f>
        <v>0</v>
      </c>
      <c r="AB42" s="12">
        <f>SUM($U$42:$AA$42)</f>
        <v>2.5693752207663771</v>
      </c>
      <c r="AC42" s="12">
        <f>'TUSD BE'!$AC$42*'TUSD BE'!$AC$68</f>
        <v>0</v>
      </c>
      <c r="AD42" s="12">
        <f>SUM($AC$42:$AC$42)</f>
        <v>0</v>
      </c>
      <c r="AE42" s="12">
        <f ca="1">$AO$42*$AO$65</f>
        <v>0</v>
      </c>
      <c r="AF42" s="12">
        <f ca="1">$AP$42*$AP$65</f>
        <v>0</v>
      </c>
      <c r="AG42" s="12">
        <f ca="1">SUM($AE$42:$AF$42)</f>
        <v>0</v>
      </c>
      <c r="AH42" s="12">
        <f>'TUSD BE'!$AH$42*'TUSD BE'!$AH$68</f>
        <v>-1.184925786756859</v>
      </c>
      <c r="AI42" s="12">
        <f>'TUSD BE'!$AI$42*'TUSD BE'!$AI$68</f>
        <v>-4.3545283575530211E-2</v>
      </c>
      <c r="AJ42" s="12">
        <f ca="1">'TUSD BE'!$AJ$42*'TUSD BE'!$AJ$68</f>
        <v>-0.12932020651147716</v>
      </c>
      <c r="AK42" s="12">
        <f ca="1">'TUSD BE'!$AK$42*'TUSD BE'!$AK$68</f>
        <v>2.4442310593684451E-2</v>
      </c>
      <c r="AL42" s="12">
        <f ca="1">SUM($AH$42:$AK$42)</f>
        <v>-1.3333489662501818</v>
      </c>
      <c r="AM42" s="12">
        <f t="shared" ca="1" si="6"/>
        <v>-22.038282667241631</v>
      </c>
      <c r="AO42" s="20">
        <f ca="1">+'TUSD BE'!$T$42+'TUSD BE'!$AB$42+'TUSD BE'!$AD$42+'TUSD BE'!$AL$42</f>
        <v>244.04733454738488</v>
      </c>
      <c r="AP42" s="20">
        <f ca="1">+'TUSD BE'!$T$42+'TUSD BE'!$AB$42+'TUSD BE'!$AD$42+'TUSD BE'!$AL$42</f>
        <v>244.04733454738488</v>
      </c>
      <c r="AQ42" s="15">
        <f t="shared" si="5"/>
        <v>0</v>
      </c>
      <c r="AR42" s="9">
        <f t="shared" si="2"/>
        <v>1</v>
      </c>
      <c r="AS42" s="9">
        <f ca="1">IFERROR(VLOOKUP(A42,TarifaMedia!$C$37:$E$42,2,0),AS41)</f>
        <v>1</v>
      </c>
      <c r="AT42" s="15">
        <f ca="1">'TUSD BE'!AM42+'TUSD BF'!AM42+'TUSD CVA'!AM42</f>
        <v>261.11799032788008</v>
      </c>
      <c r="AU42" s="15">
        <f>'TABELAS REH COPEL'!R14</f>
        <v>241.14</v>
      </c>
      <c r="AV42" s="15">
        <f t="shared" ca="1" si="3"/>
        <v>-19.977990327880093</v>
      </c>
      <c r="AW42" s="107">
        <f t="shared" ca="1" si="4"/>
        <v>0</v>
      </c>
    </row>
    <row r="43" spans="1:49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'TUSD BE'!$L$43*'TUSD BE'!$L$68</f>
        <v>-1.1797299576547233</v>
      </c>
      <c r="M43" s="12">
        <f>'TUSD BE'!$M$43*'TUSD BE'!$M$68</f>
        <v>-1.5533277885650213E-2</v>
      </c>
      <c r="N43" s="12">
        <f ca="1">'TUSD BE'!$N$43*'TUSD BE'!$N$68</f>
        <v>1.7494650332601907E-7</v>
      </c>
      <c r="O43" s="12">
        <f>'TUSD BE'!$O$43*'TUSD BE'!$O$68</f>
        <v>0</v>
      </c>
      <c r="P43" s="12">
        <f>'TUSD BE'!$P$43*'TUSD BE'!$P$68</f>
        <v>0</v>
      </c>
      <c r="Q43" s="12">
        <f>'TUSD BE'!$Q$43*'TUSD BE'!$Q$68</f>
        <v>-1.8226392642330822</v>
      </c>
      <c r="R43" s="12">
        <f>'TUSD BE'!$R$43*'TUSD BE'!$R$68</f>
        <v>-0.278416203295761</v>
      </c>
      <c r="S43" s="12">
        <f>'TUSD BE'!$R$43*'TUSD BE'!$S$68</f>
        <v>0</v>
      </c>
      <c r="T43" s="12">
        <f ca="1">SUM($L$43:$S$43)</f>
        <v>-3.2963185281227134</v>
      </c>
      <c r="U43" s="12">
        <f>'TUSD BE'!$U$43*'TUSD BE'!$U$68</f>
        <v>0</v>
      </c>
      <c r="V43" s="12">
        <f>'TUSD BE'!$V$43*'TUSD BE'!$V$68</f>
        <v>0</v>
      </c>
      <c r="W43" s="12">
        <f>'TUSD BE'!$W$43*'TUSD BE'!$W$68</f>
        <v>0</v>
      </c>
      <c r="X43" s="12">
        <f>'TUSD BE'!$X$43*'TUSD BE'!$X$68</f>
        <v>0</v>
      </c>
      <c r="Y43" s="12">
        <f>'TUSD BE'!$Y$43*'TUSD BE'!$Y$68</f>
        <v>4.7581053024306144</v>
      </c>
      <c r="Z43" s="12">
        <f>'TUSD BE'!$Z$43*'TUSD BE'!$Z$68</f>
        <v>0</v>
      </c>
      <c r="AA43" s="12">
        <f>'TUSD BE'!$AA$43*'TUSD BE'!$AA$68</f>
        <v>0</v>
      </c>
      <c r="AB43" s="12">
        <f>SUM($U$43:$AA$43)</f>
        <v>4.7581053024306144</v>
      </c>
      <c r="AC43" s="12">
        <f>'TUSD BE'!$AC$43*'TUSD BE'!$AC$68</f>
        <v>0</v>
      </c>
      <c r="AD43" s="12">
        <f>SUM($AC$43:$AC$43)</f>
        <v>0</v>
      </c>
      <c r="AE43" s="12">
        <f ca="1">$AO$43*$AO$65</f>
        <v>0</v>
      </c>
      <c r="AF43" s="12">
        <f ca="1">$AP$43*$AP$65</f>
        <v>0</v>
      </c>
      <c r="AG43" s="12">
        <f ca="1">SUM($AE$43:$AF$43)</f>
        <v>0</v>
      </c>
      <c r="AH43" s="12">
        <f>'TUSD BE'!$AH$43*'TUSD BE'!$AH$68</f>
        <v>-1.184925786756859</v>
      </c>
      <c r="AI43" s="12">
        <f>'TUSD BE'!$AI$43*'TUSD BE'!$AI$68</f>
        <v>-4.3545283575530211E-2</v>
      </c>
      <c r="AJ43" s="12">
        <f ca="1">'TUSD BE'!$AJ$43*'TUSD BE'!$AJ$68</f>
        <v>-0.12932020651147716</v>
      </c>
      <c r="AK43" s="12">
        <f ca="1">'TUSD BE'!$AK$43*'TUSD BE'!$AK$68</f>
        <v>2.4442310593684451E-2</v>
      </c>
      <c r="AL43" s="12">
        <f ca="1">SUM($AH$43:$AK$43)</f>
        <v>-1.3333489662501818</v>
      </c>
      <c r="AM43" s="12">
        <f t="shared" ca="1" si="6"/>
        <v>-51.559323307307785</v>
      </c>
      <c r="AO43" s="20">
        <f ca="1">+'TUSD BE'!$T$43+'TUSD BE'!$AB$43+'TUSD BE'!$AD$43+'TUSD BE'!$AL$43</f>
        <v>343.22837518745104</v>
      </c>
      <c r="AP43" s="20">
        <f ca="1">+'TUSD BE'!$T$43+'TUSD BE'!$AB$43+'TUSD BE'!$AD$43+'TUSD BE'!$AL$43</f>
        <v>343.22837518745104</v>
      </c>
      <c r="AQ43" s="15" t="str">
        <f t="shared" si="5"/>
        <v>Convencional</v>
      </c>
      <c r="AR43" s="9">
        <f t="shared" si="2"/>
        <v>1</v>
      </c>
      <c r="AS43" s="9">
        <f ca="1">IFERROR(VLOOKUP(A43,TarifaMedia!$C$37:$E$42,2,0),AS42)</f>
        <v>1</v>
      </c>
      <c r="AT43" s="15">
        <f ca="1">'TUSD BE'!AM43+'TUSD BF'!AM43+'TUSD CVA'!AM43</f>
        <v>362.48776111536552</v>
      </c>
      <c r="AU43" s="15">
        <f>'TABELAS REH COPEL'!R16</f>
        <v>310.8</v>
      </c>
      <c r="AV43" s="15">
        <f t="shared" ca="1" si="3"/>
        <v>-51.687761115365504</v>
      </c>
      <c r="AW43" s="107">
        <f t="shared" ca="1" si="4"/>
        <v>327926.53942629701</v>
      </c>
    </row>
    <row r="44" spans="1:49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'TUSD BE'!$L$44*'TUSD BE'!$L$68</f>
        <v>-1.1797299576547233</v>
      </c>
      <c r="M44" s="12">
        <f>'TUSD BE'!$M$44*'TUSD BE'!$M$68</f>
        <v>-1.5533277885650213E-2</v>
      </c>
      <c r="N44" s="12">
        <f ca="1">'TUSD BE'!$N$44*'TUSD BE'!$N$68</f>
        <v>8.0390753494070034E-7</v>
      </c>
      <c r="O44" s="12">
        <f>'TUSD BE'!$O$44*'TUSD BE'!$O$68</f>
        <v>0</v>
      </c>
      <c r="P44" s="12">
        <f>'TUSD BE'!$P$44*'TUSD BE'!$P$68</f>
        <v>0</v>
      </c>
      <c r="Q44" s="12">
        <f>'TUSD BE'!$Q$44*'TUSD BE'!$Q$68</f>
        <v>-1.8226392642330822</v>
      </c>
      <c r="R44" s="12">
        <f>'TUSD BE'!$R$44*'TUSD BE'!$R$68</f>
        <v>-0.278416203295761</v>
      </c>
      <c r="S44" s="12">
        <f>'TUSD BE'!$R$44*'TUSD BE'!$S$68</f>
        <v>0</v>
      </c>
      <c r="T44" s="12">
        <f ca="1">SUM($L$44:$S$44)</f>
        <v>-3.2963178991616817</v>
      </c>
      <c r="U44" s="12">
        <f>'TUSD BE'!$U$44*'TUSD BE'!$U$68</f>
        <v>0</v>
      </c>
      <c r="V44" s="12">
        <f>'TUSD BE'!$V$44*'TUSD BE'!$V$68</f>
        <v>0</v>
      </c>
      <c r="W44" s="12">
        <f>'TUSD BE'!$W$44*'TUSD BE'!$W$68</f>
        <v>0</v>
      </c>
      <c r="X44" s="12">
        <f>'TUSD BE'!$X$44*'TUSD BE'!$X$68</f>
        <v>0</v>
      </c>
      <c r="Y44" s="12">
        <f>'TUSD BE'!$Y$44*'TUSD BE'!$Y$68</f>
        <v>25.693759673782658</v>
      </c>
      <c r="Z44" s="12">
        <f>'TUSD BE'!$Z$44*'TUSD BE'!$Z$68</f>
        <v>0</v>
      </c>
      <c r="AA44" s="12">
        <f>'TUSD BE'!$AA$44*'TUSD BE'!$AA$68</f>
        <v>0</v>
      </c>
      <c r="AB44" s="12">
        <f>SUM($U$44:$AA$44)</f>
        <v>25.693759673782658</v>
      </c>
      <c r="AC44" s="12">
        <f>'TUSD BE'!$AC$44*'TUSD BE'!$AC$68</f>
        <v>0</v>
      </c>
      <c r="AD44" s="12">
        <f>SUM($AC$44:$AC$44)</f>
        <v>0</v>
      </c>
      <c r="AE44" s="12">
        <f ca="1">$AO$44*$AO$65</f>
        <v>0</v>
      </c>
      <c r="AF44" s="12">
        <f ca="1">$AP$44*$AP$65</f>
        <v>0</v>
      </c>
      <c r="AG44" s="12">
        <f ca="1">SUM($AE$44:$AF$44)</f>
        <v>0</v>
      </c>
      <c r="AH44" s="12">
        <f>'TUSD BE'!$AH$44*'TUSD BE'!$AH$68</f>
        <v>-1.184925786756859</v>
      </c>
      <c r="AI44" s="12">
        <f>'TUSD BE'!$AI$44*'TUSD BE'!$AI$68</f>
        <v>-4.3545283575530211E-2</v>
      </c>
      <c r="AJ44" s="12">
        <f ca="1">'TUSD BE'!$AJ$44*'TUSD BE'!$AJ$68</f>
        <v>-0.12932020651147716</v>
      </c>
      <c r="AK44" s="12">
        <f ca="1">'TUSD BE'!$AK$44*'TUSD BE'!$AK$68</f>
        <v>2.4442310593684451E-2</v>
      </c>
      <c r="AL44" s="12">
        <f ca="1">SUM($AH$44:$AK$44)</f>
        <v>-1.3333489662501818</v>
      </c>
      <c r="AM44" s="12">
        <f t="shared" ca="1" si="6"/>
        <v>-668.95745867833045</v>
      </c>
      <c r="AO44" s="20">
        <f ca="1">+'TUSD BE'!$T$44+'TUSD BE'!$AB$44+'TUSD BE'!$AD$44+'TUSD BE'!$AL$44</f>
        <v>1291.9165105584736</v>
      </c>
      <c r="AP44" s="20">
        <f ca="1">+'TUSD BE'!$T$44+'TUSD BE'!$AB$44+'TUSD BE'!$AD$44+'TUSD BE'!$AL$44</f>
        <v>1291.9165105584736</v>
      </c>
      <c r="AQ44" s="15" t="str">
        <f t="shared" si="5"/>
        <v>Branca</v>
      </c>
      <c r="AR44" s="9">
        <f t="shared" si="2"/>
        <v>1</v>
      </c>
      <c r="AS44" s="9">
        <f ca="1">IFERROR(VLOOKUP(A44,TarifaMedia!$C$37:$E$42,2,0),AS43)</f>
        <v>1</v>
      </c>
      <c r="AT44" s="15">
        <f ca="1">'TUSD BE'!AM44+'TUSD BF'!AM44+'TUSD CVA'!AM44</f>
        <v>1332.1115514867013</v>
      </c>
      <c r="AU44" s="15">
        <f>'TABELAS REH COPEL'!R17</f>
        <v>642.09</v>
      </c>
      <c r="AV44" s="15">
        <f t="shared" ca="1" si="3"/>
        <v>-690.02155148670124</v>
      </c>
      <c r="AW44" s="107">
        <f t="shared" ca="1" si="4"/>
        <v>0</v>
      </c>
    </row>
    <row r="45" spans="1:49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'TUSD BE'!$L$45*'TUSD BE'!$L$68</f>
        <v>-1.1797299576547233</v>
      </c>
      <c r="M45" s="12">
        <f>'TUSD BE'!$M$45*'TUSD BE'!$M$68</f>
        <v>-1.5533277885650213E-2</v>
      </c>
      <c r="N45" s="12">
        <f ca="1">'TUSD BE'!$N$45*'TUSD BE'!$N$68</f>
        <v>2.6357285379976633E-7</v>
      </c>
      <c r="O45" s="12">
        <f>'TUSD BE'!$O$45*'TUSD BE'!$O$68</f>
        <v>0</v>
      </c>
      <c r="P45" s="12">
        <f>'TUSD BE'!$P$45*'TUSD BE'!$P$68</f>
        <v>0</v>
      </c>
      <c r="Q45" s="12">
        <f>'TUSD BE'!$Q$45*'TUSD BE'!$Q$68</f>
        <v>-1.8226392642330822</v>
      </c>
      <c r="R45" s="12">
        <f>'TUSD BE'!$R$45*'TUSD BE'!$R$68</f>
        <v>-0.278416203295761</v>
      </c>
      <c r="S45" s="12">
        <f>'TUSD BE'!$R$45*'TUSD BE'!$S$68</f>
        <v>0</v>
      </c>
      <c r="T45" s="12">
        <f ca="1">SUM($L$45:$S$45)</f>
        <v>-3.2963184394963632</v>
      </c>
      <c r="U45" s="12">
        <f>'TUSD BE'!$U$45*'TUSD BE'!$U$68</f>
        <v>0</v>
      </c>
      <c r="V45" s="12">
        <f>'TUSD BE'!$V$45*'TUSD BE'!$V$68</f>
        <v>0</v>
      </c>
      <c r="W45" s="12">
        <f>'TUSD BE'!$W$45*'TUSD BE'!$W$68</f>
        <v>0</v>
      </c>
      <c r="X45" s="12">
        <f>'TUSD BE'!$X$45*'TUSD BE'!$X$68</f>
        <v>0</v>
      </c>
      <c r="Y45" s="12">
        <f>'TUSD BE'!$Y$45*'TUSD BE'!$Y$68</f>
        <v>7.708125662299131</v>
      </c>
      <c r="Z45" s="12">
        <f>'TUSD BE'!$Z$45*'TUSD BE'!$Z$68</f>
        <v>0</v>
      </c>
      <c r="AA45" s="12">
        <f>'TUSD BE'!$AA$45*'TUSD BE'!$AA$68</f>
        <v>0</v>
      </c>
      <c r="AB45" s="12">
        <f>SUM($U$45:$AA$45)</f>
        <v>7.708125662299131</v>
      </c>
      <c r="AC45" s="12">
        <f>'TUSD BE'!$AC$45*'TUSD BE'!$AC$68</f>
        <v>0</v>
      </c>
      <c r="AD45" s="12">
        <f>SUM($AC$45:$AC$45)</f>
        <v>0</v>
      </c>
      <c r="AE45" s="12">
        <f ca="1">$AO$45*$AO$65</f>
        <v>0</v>
      </c>
      <c r="AF45" s="12">
        <f ca="1">$AP$45*$AP$65</f>
        <v>0</v>
      </c>
      <c r="AG45" s="12">
        <f ca="1">SUM($AE$45:$AF$45)</f>
        <v>0</v>
      </c>
      <c r="AH45" s="12">
        <f>'TUSD BE'!$AH$45*'TUSD BE'!$AH$68</f>
        <v>-1.184925786756859</v>
      </c>
      <c r="AI45" s="12">
        <f>'TUSD BE'!$AI$45*'TUSD BE'!$AI$68</f>
        <v>-4.3545283575530211E-2</v>
      </c>
      <c r="AJ45" s="12">
        <f ca="1">'TUSD BE'!$AJ$45*'TUSD BE'!$AJ$68</f>
        <v>-0.12932020651147716</v>
      </c>
      <c r="AK45" s="12">
        <f ca="1">'TUSD BE'!$AK$45*'TUSD BE'!$AK$68</f>
        <v>2.4442310593684451E-2</v>
      </c>
      <c r="AL45" s="12">
        <f ca="1">SUM($AH$45:$AK$45)</f>
        <v>-1.3333489662501818</v>
      </c>
      <c r="AM45" s="12">
        <f t="shared" ca="1" si="6"/>
        <v>-54.418138014931422</v>
      </c>
      <c r="AO45" s="20">
        <f ca="1">+'TUSD BE'!$T$45+'TUSD BE'!$AB$45+'TUSD BE'!$AD$45+'TUSD BE'!$AL$45</f>
        <v>476.90718989507462</v>
      </c>
      <c r="AP45" s="20">
        <f ca="1">+'TUSD BE'!$T$45+'TUSD BE'!$AB$45+'TUSD BE'!$AD$45+'TUSD BE'!$AL$45</f>
        <v>476.90718989507462</v>
      </c>
      <c r="AQ45" s="15">
        <f t="shared" si="5"/>
        <v>0</v>
      </c>
      <c r="AR45" s="9">
        <f t="shared" si="2"/>
        <v>1</v>
      </c>
      <c r="AS45" s="9">
        <f ca="1">IFERROR(VLOOKUP(A45,TarifaMedia!$C$37:$E$42,2,0),AS44)</f>
        <v>1</v>
      </c>
      <c r="AT45" s="15">
        <f ca="1">'TUSD BE'!AM45+'TUSD BF'!AM45+'TUSD CVA'!AM45</f>
        <v>499.11659627148401</v>
      </c>
      <c r="AU45" s="15">
        <f>'TABELAS REH COPEL'!R18</f>
        <v>441.62</v>
      </c>
      <c r="AV45" s="15">
        <f t="shared" ca="1" si="3"/>
        <v>-57.496596271484009</v>
      </c>
      <c r="AW45" s="107">
        <f t="shared" ca="1" si="4"/>
        <v>0</v>
      </c>
    </row>
    <row r="46" spans="1:49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'TUSD BE'!$L$46*'TUSD BE'!$L$68</f>
        <v>-1.1797299576547233</v>
      </c>
      <c r="M46" s="12">
        <f>'TUSD BE'!$M$46*'TUSD BE'!$M$68</f>
        <v>-1.5533277885650213E-2</v>
      </c>
      <c r="N46" s="12">
        <f ca="1">'TUSD BE'!$N$46*'TUSD BE'!$N$68</f>
        <v>1.0919148201729448E-7</v>
      </c>
      <c r="O46" s="12">
        <f>'TUSD BE'!$O$46*'TUSD BE'!$O$68</f>
        <v>0</v>
      </c>
      <c r="P46" s="12">
        <f>'TUSD BE'!$P$46*'TUSD BE'!$P$68</f>
        <v>0</v>
      </c>
      <c r="Q46" s="12">
        <f>'TUSD BE'!$Q$46*'TUSD BE'!$Q$68</f>
        <v>-1.8226392642330822</v>
      </c>
      <c r="R46" s="12">
        <f>'TUSD BE'!$R$46*'TUSD BE'!$R$68</f>
        <v>-0.278416203295761</v>
      </c>
      <c r="S46" s="12">
        <f>'TUSD BE'!$R$46*'TUSD BE'!$S$68</f>
        <v>0</v>
      </c>
      <c r="T46" s="12">
        <f ca="1">SUM($L$46:$S$46)</f>
        <v>-3.2963185938777348</v>
      </c>
      <c r="U46" s="12">
        <f>'TUSD BE'!$U$46*'TUSD BE'!$U$68</f>
        <v>0</v>
      </c>
      <c r="V46" s="12">
        <f>'TUSD BE'!$V$46*'TUSD BE'!$V$68</f>
        <v>0</v>
      </c>
      <c r="W46" s="12">
        <f>'TUSD BE'!$W$46*'TUSD BE'!$W$68</f>
        <v>0</v>
      </c>
      <c r="X46" s="12">
        <f>'TUSD BE'!$X$46*'TUSD BE'!$X$68</f>
        <v>0</v>
      </c>
      <c r="Y46" s="12">
        <f>'TUSD BE'!$Y$46*'TUSD BE'!$Y$68</f>
        <v>2.5693752207663771</v>
      </c>
      <c r="Z46" s="12">
        <f>'TUSD BE'!$Z$46*'TUSD BE'!$Z$68</f>
        <v>0</v>
      </c>
      <c r="AA46" s="12">
        <f>'TUSD BE'!$AA$46*'TUSD BE'!$AA$68</f>
        <v>0</v>
      </c>
      <c r="AB46" s="12">
        <f>SUM($U$46:$AA$46)</f>
        <v>2.5693752207663771</v>
      </c>
      <c r="AC46" s="12">
        <f>'TUSD BE'!$AC$46*'TUSD BE'!$AC$68</f>
        <v>0</v>
      </c>
      <c r="AD46" s="12">
        <f>SUM($AC$46:$AC$46)</f>
        <v>0</v>
      </c>
      <c r="AE46" s="12">
        <f ca="1">$AO$46*$AO$65</f>
        <v>0</v>
      </c>
      <c r="AF46" s="12">
        <f ca="1">$AP$46*$AP$65</f>
        <v>0</v>
      </c>
      <c r="AG46" s="12">
        <f ca="1">SUM($AE$46:$AF$46)</f>
        <v>0</v>
      </c>
      <c r="AH46" s="12">
        <f>'TUSD BE'!$AH$46*'TUSD BE'!$AH$68</f>
        <v>-1.184925786756859</v>
      </c>
      <c r="AI46" s="12">
        <f>'TUSD BE'!$AI$46*'TUSD BE'!$AI$68</f>
        <v>-4.3545283575530211E-2</v>
      </c>
      <c r="AJ46" s="12">
        <f ca="1">'TUSD BE'!$AJ$46*'TUSD BE'!$AJ$68</f>
        <v>-0.12932020651147716</v>
      </c>
      <c r="AK46" s="12">
        <f ca="1">'TUSD BE'!$AK$46*'TUSD BE'!$AK$68</f>
        <v>2.4442310593684451E-2</v>
      </c>
      <c r="AL46" s="12">
        <f ca="1">SUM($AH$46:$AK$46)</f>
        <v>-1.3333489662501818</v>
      </c>
      <c r="AM46" s="12">
        <f t="shared" ca="1" si="6"/>
        <v>-22.038282667241631</v>
      </c>
      <c r="AO46" s="20">
        <f ca="1">+'TUSD BE'!$T$46+'TUSD BE'!$AB$46+'TUSD BE'!$AD$46+'TUSD BE'!$AL$46</f>
        <v>244.04733454738488</v>
      </c>
      <c r="AP46" s="20">
        <f ca="1">+'TUSD BE'!$T$46+'TUSD BE'!$AB$46+'TUSD BE'!$AD$46+'TUSD BE'!$AL$46</f>
        <v>244.04733454738488</v>
      </c>
      <c r="AQ46" s="15">
        <f t="shared" si="5"/>
        <v>0</v>
      </c>
      <c r="AR46" s="9">
        <f t="shared" si="2"/>
        <v>1</v>
      </c>
      <c r="AS46" s="9">
        <f ca="1">IFERROR(VLOOKUP(A46,TarifaMedia!$C$37:$E$42,2,0),AS45)</f>
        <v>1</v>
      </c>
      <c r="AT46" s="15">
        <f ca="1">'TUSD BE'!AM46+'TUSD BF'!AM46+'TUSD CVA'!AM46</f>
        <v>261.11799032788008</v>
      </c>
      <c r="AU46" s="15">
        <f>'TABELAS REH COPEL'!R19</f>
        <v>241.14</v>
      </c>
      <c r="AV46" s="15">
        <f t="shared" ca="1" si="3"/>
        <v>-19.977990327880093</v>
      </c>
      <c r="AW46" s="107">
        <f t="shared" ca="1" si="4"/>
        <v>0</v>
      </c>
    </row>
    <row r="47" spans="1:49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'TUSD BE'!$L$47*'TUSD BE'!$L$68</f>
        <v>-1.1797299576547233</v>
      </c>
      <c r="M47" s="12">
        <f>'TUSD BE'!$M$47*'TUSD BE'!$M$68</f>
        <v>-1.5533277885650213E-2</v>
      </c>
      <c r="N47" s="12">
        <f ca="1">'TUSD BE'!$N$47*'TUSD BE'!$N$68</f>
        <v>1.7494650332601907E-7</v>
      </c>
      <c r="O47" s="12">
        <f>'TUSD BE'!$O$47*'TUSD BE'!$O$68</f>
        <v>0</v>
      </c>
      <c r="P47" s="12">
        <f>'TUSD BE'!$P$47*'TUSD BE'!$P$68</f>
        <v>0</v>
      </c>
      <c r="Q47" s="12">
        <f>'TUSD BE'!$Q$47*'TUSD BE'!$Q$68</f>
        <v>-1.8226392642330822</v>
      </c>
      <c r="R47" s="12">
        <f>'TUSD BE'!$R$47*'TUSD BE'!$R$68</f>
        <v>-0.278416203295761</v>
      </c>
      <c r="S47" s="12">
        <f>'TUSD BE'!$R$47*'TUSD BE'!$S$68</f>
        <v>0</v>
      </c>
      <c r="T47" s="12">
        <f ca="1">SUM($L$47:$S$47)</f>
        <v>-3.2963185281227134</v>
      </c>
      <c r="U47" s="12">
        <f>'TUSD BE'!$U$47*'TUSD BE'!$U$68</f>
        <v>0</v>
      </c>
      <c r="V47" s="12">
        <f>'TUSD BE'!$V$47*'TUSD BE'!$V$68</f>
        <v>0</v>
      </c>
      <c r="W47" s="12">
        <f>'TUSD BE'!$W$47*'TUSD BE'!$W$68</f>
        <v>0</v>
      </c>
      <c r="X47" s="12">
        <f>'TUSD BE'!$X$47*'TUSD BE'!$X$68</f>
        <v>0</v>
      </c>
      <c r="Y47" s="12">
        <f>'TUSD BE'!$Y$47*'TUSD BE'!$Y$68</f>
        <v>4.7581053024306144</v>
      </c>
      <c r="Z47" s="12">
        <f>'TUSD BE'!$Z$47*'TUSD BE'!$Z$68</f>
        <v>0</v>
      </c>
      <c r="AA47" s="12">
        <f>'TUSD BE'!$AA$47*'TUSD BE'!$AA$68</f>
        <v>0</v>
      </c>
      <c r="AB47" s="12">
        <f>SUM($U$47:$AA$47)</f>
        <v>4.7581053024306144</v>
      </c>
      <c r="AC47" s="12">
        <f>'TUSD BE'!$AC$47*'TUSD BE'!$AC$68</f>
        <v>0</v>
      </c>
      <c r="AD47" s="12">
        <f>SUM($AC$47:$AC$47)</f>
        <v>0</v>
      </c>
      <c r="AE47" s="12">
        <f ca="1">$AO$47*$AO$65</f>
        <v>0</v>
      </c>
      <c r="AF47" s="12">
        <f ca="1">$AP$47*$AP$65</f>
        <v>0</v>
      </c>
      <c r="AG47" s="12">
        <f ca="1">SUM($AE$47:$AF$47)</f>
        <v>0</v>
      </c>
      <c r="AH47" s="12">
        <f>'TUSD BE'!$AH$47*'TUSD BE'!$AH$68</f>
        <v>-1.184925786756859</v>
      </c>
      <c r="AI47" s="12">
        <f>'TUSD BE'!$AI$47*'TUSD BE'!$AI$68</f>
        <v>-4.3545283575530211E-2</v>
      </c>
      <c r="AJ47" s="12">
        <f ca="1">'TUSD BE'!$AJ$47*'TUSD BE'!$AJ$68</f>
        <v>-0.12932020651147716</v>
      </c>
      <c r="AK47" s="12">
        <f ca="1">'TUSD BE'!$AK$47*'TUSD BE'!$AK$68</f>
        <v>2.4442310593684451E-2</v>
      </c>
      <c r="AL47" s="12">
        <f ca="1">SUM($AH$47:$AK$47)</f>
        <v>-1.3333489662501818</v>
      </c>
      <c r="AM47" s="12">
        <f t="shared" ca="1" si="6"/>
        <v>-51.559323307307785</v>
      </c>
      <c r="AO47" s="20">
        <f ca="1">+'TUSD BE'!$T$47+'TUSD BE'!$AB$47+'TUSD BE'!$AD$47+'TUSD BE'!$AL$47</f>
        <v>343.22837518745104</v>
      </c>
      <c r="AP47" s="20">
        <f ca="1">+'TUSD BE'!$T$47+'TUSD BE'!$AB$47+'TUSD BE'!$AD$47+'TUSD BE'!$AL$47</f>
        <v>343.22837518745104</v>
      </c>
      <c r="AQ47" s="15" t="str">
        <f t="shared" si="5"/>
        <v>Convencional</v>
      </c>
      <c r="AR47" s="9">
        <f t="shared" si="2"/>
        <v>1</v>
      </c>
      <c r="AS47" s="9">
        <f ca="1">IFERROR(VLOOKUP(A47,TarifaMedia!$C$37:$E$42,2,0),AS46)</f>
        <v>1</v>
      </c>
      <c r="AT47" s="15">
        <f ca="1">'TUSD BE'!AM47+'TUSD BF'!AM47+'TUSD CVA'!AM47</f>
        <v>362.48776111536552</v>
      </c>
      <c r="AU47" s="15">
        <f>'TABELAS REH COPEL'!R21</f>
        <v>310.8</v>
      </c>
      <c r="AV47" s="15">
        <f t="shared" ca="1" si="3"/>
        <v>-51.687761115365504</v>
      </c>
      <c r="AW47" s="107">
        <f t="shared" ca="1" si="4"/>
        <v>0</v>
      </c>
    </row>
    <row r="48" spans="1:49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'TUSD BE'!$L$48*'TUSD BE'!$L$68</f>
        <v>-1.1797299576547233</v>
      </c>
      <c r="M48" s="12">
        <f>'TUSD BE'!$M$48*'TUSD BE'!$M$68</f>
        <v>-1.5533277885650213E-2</v>
      </c>
      <c r="N48" s="12">
        <f ca="1">'TUSD BE'!$N$48*'TUSD BE'!$N$68</f>
        <v>8.0390753494070034E-7</v>
      </c>
      <c r="O48" s="12">
        <f>'TUSD BE'!$O$48*'TUSD BE'!$O$68</f>
        <v>0</v>
      </c>
      <c r="P48" s="12">
        <f>'TUSD BE'!$P$48*'TUSD BE'!$P$68</f>
        <v>0</v>
      </c>
      <c r="Q48" s="12">
        <f>'TUSD BE'!$Q$48*'TUSD BE'!$Q$68</f>
        <v>-1.8226392642330822</v>
      </c>
      <c r="R48" s="12">
        <f>'TUSD BE'!$R$48*'TUSD BE'!$R$68</f>
        <v>-0.278416203295761</v>
      </c>
      <c r="S48" s="12">
        <f>'TUSD BE'!$R$48*'TUSD BE'!$S$68</f>
        <v>0</v>
      </c>
      <c r="T48" s="12">
        <f ca="1">SUM($L$48:$S$48)</f>
        <v>-3.2963178991616817</v>
      </c>
      <c r="U48" s="12">
        <f>'TUSD BE'!$U$48*'TUSD BE'!$U$68</f>
        <v>0</v>
      </c>
      <c r="V48" s="12">
        <f>'TUSD BE'!$V$48*'TUSD BE'!$V$68</f>
        <v>0</v>
      </c>
      <c r="W48" s="12">
        <f>'TUSD BE'!$W$48*'TUSD BE'!$W$68</f>
        <v>0</v>
      </c>
      <c r="X48" s="12">
        <f>'TUSD BE'!$X$48*'TUSD BE'!$X$68</f>
        <v>0</v>
      </c>
      <c r="Y48" s="12">
        <f>'TUSD BE'!$Y$48*'TUSD BE'!$Y$68</f>
        <v>25.693759673782658</v>
      </c>
      <c r="Z48" s="12">
        <f>'TUSD BE'!$Z$48*'TUSD BE'!$Z$68</f>
        <v>0</v>
      </c>
      <c r="AA48" s="12">
        <f>'TUSD BE'!$AA$48*'TUSD BE'!$AA$68</f>
        <v>0</v>
      </c>
      <c r="AB48" s="12">
        <f>SUM($U$48:$AA$48)</f>
        <v>25.693759673782658</v>
      </c>
      <c r="AC48" s="12">
        <f>'TUSD BE'!$AC$48*'TUSD BE'!$AC$68</f>
        <v>0</v>
      </c>
      <c r="AD48" s="12">
        <f>SUM($AC$48:$AC$48)</f>
        <v>0</v>
      </c>
      <c r="AE48" s="12">
        <f ca="1">$AO$48*$AO$65</f>
        <v>0</v>
      </c>
      <c r="AF48" s="12">
        <f ca="1">$AP$48*$AP$65</f>
        <v>0</v>
      </c>
      <c r="AG48" s="12">
        <f ca="1">SUM($AE$48:$AF$48)</f>
        <v>0</v>
      </c>
      <c r="AH48" s="12">
        <f>'TUSD BE'!$AH$48*'TUSD BE'!$AH$68</f>
        <v>-1.184925786756859</v>
      </c>
      <c r="AI48" s="12">
        <f>'TUSD BE'!$AI$48*'TUSD BE'!$AI$68</f>
        <v>-4.3545283575530211E-2</v>
      </c>
      <c r="AJ48" s="12">
        <f ca="1">'TUSD BE'!$AJ$48*'TUSD BE'!$AJ$68</f>
        <v>-0.12932020651147716</v>
      </c>
      <c r="AK48" s="12">
        <f ca="1">'TUSD BE'!$AK$48*'TUSD BE'!$AK$68</f>
        <v>2.4442310593684451E-2</v>
      </c>
      <c r="AL48" s="12">
        <f ca="1">SUM($AH$48:$AK$48)</f>
        <v>-1.3333489662501818</v>
      </c>
      <c r="AM48" s="12">
        <f t="shared" ca="1" si="6"/>
        <v>-668.95745867833045</v>
      </c>
      <c r="AO48" s="20">
        <f ca="1">+'TUSD BE'!$T$48+'TUSD BE'!$AB$48+'TUSD BE'!$AD$48+'TUSD BE'!$AL$48</f>
        <v>1291.9165105584736</v>
      </c>
      <c r="AP48" s="20">
        <f ca="1">+'TUSD BE'!$T$48+'TUSD BE'!$AB$48+'TUSD BE'!$AD$48+'TUSD BE'!$AL$48</f>
        <v>1291.9165105584736</v>
      </c>
      <c r="AQ48" s="15" t="str">
        <f t="shared" si="5"/>
        <v>Branca</v>
      </c>
      <c r="AR48" s="9">
        <f t="shared" si="2"/>
        <v>1</v>
      </c>
      <c r="AS48" s="9">
        <f ca="1">IFERROR(VLOOKUP(A48,TarifaMedia!$C$37:$E$42,2,0),AS47)</f>
        <v>1</v>
      </c>
      <c r="AT48" s="15">
        <f ca="1">'TUSD BE'!AM48+'TUSD BF'!AM48+'TUSD CVA'!AM48</f>
        <v>1332.1115514867013</v>
      </c>
      <c r="AU48" s="15">
        <f>'TABELAS REH COPEL'!R22</f>
        <v>642.09</v>
      </c>
      <c r="AV48" s="15">
        <f t="shared" ca="1" si="3"/>
        <v>-690.02155148670124</v>
      </c>
      <c r="AW48" s="107">
        <f t="shared" ca="1" si="4"/>
        <v>0</v>
      </c>
    </row>
    <row r="49" spans="1:49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'TUSD BE'!$L$49*'TUSD BE'!$L$68</f>
        <v>-1.1797299576547233</v>
      </c>
      <c r="M49" s="12">
        <f>'TUSD BE'!$M$49*'TUSD BE'!$M$68</f>
        <v>-1.5533277885650213E-2</v>
      </c>
      <c r="N49" s="12">
        <f ca="1">'TUSD BE'!$N$49*'TUSD BE'!$N$68</f>
        <v>2.6357285379976633E-7</v>
      </c>
      <c r="O49" s="12">
        <f>'TUSD BE'!$O$49*'TUSD BE'!$O$68</f>
        <v>0</v>
      </c>
      <c r="P49" s="12">
        <f>'TUSD BE'!$P$49*'TUSD BE'!$P$68</f>
        <v>0</v>
      </c>
      <c r="Q49" s="12">
        <f>'TUSD BE'!$Q$49*'TUSD BE'!$Q$68</f>
        <v>-1.8226392642330822</v>
      </c>
      <c r="R49" s="12">
        <f>'TUSD BE'!$R$49*'TUSD BE'!$R$68</f>
        <v>-0.278416203295761</v>
      </c>
      <c r="S49" s="12">
        <f>'TUSD BE'!$R$49*'TUSD BE'!$S$68</f>
        <v>0</v>
      </c>
      <c r="T49" s="12">
        <f ca="1">SUM($L$49:$S$49)</f>
        <v>-3.2963184394963632</v>
      </c>
      <c r="U49" s="12">
        <f>'TUSD BE'!$U$49*'TUSD BE'!$U$68</f>
        <v>0</v>
      </c>
      <c r="V49" s="12">
        <f>'TUSD BE'!$V$49*'TUSD BE'!$V$68</f>
        <v>0</v>
      </c>
      <c r="W49" s="12">
        <f>'TUSD BE'!$W$49*'TUSD BE'!$W$68</f>
        <v>0</v>
      </c>
      <c r="X49" s="12">
        <f>'TUSD BE'!$X$49*'TUSD BE'!$X$68</f>
        <v>0</v>
      </c>
      <c r="Y49" s="12">
        <f>'TUSD BE'!$Y$49*'TUSD BE'!$Y$68</f>
        <v>7.708125662299131</v>
      </c>
      <c r="Z49" s="12">
        <f>'TUSD BE'!$Z$49*'TUSD BE'!$Z$68</f>
        <v>0</v>
      </c>
      <c r="AA49" s="12">
        <f>'TUSD BE'!$AA$49*'TUSD BE'!$AA$68</f>
        <v>0</v>
      </c>
      <c r="AB49" s="12">
        <f>SUM($U$49:$AA$49)</f>
        <v>7.708125662299131</v>
      </c>
      <c r="AC49" s="12">
        <f>'TUSD BE'!$AC$49*'TUSD BE'!$AC$68</f>
        <v>0</v>
      </c>
      <c r="AD49" s="12">
        <f>SUM($AC$49:$AC$49)</f>
        <v>0</v>
      </c>
      <c r="AE49" s="12">
        <f ca="1">$AO$49*$AO$65</f>
        <v>0</v>
      </c>
      <c r="AF49" s="12">
        <f ca="1">$AP$49*$AP$65</f>
        <v>0</v>
      </c>
      <c r="AG49" s="12">
        <f ca="1">SUM($AE$49:$AF$49)</f>
        <v>0</v>
      </c>
      <c r="AH49" s="12">
        <f>'TUSD BE'!$AH$49*'TUSD BE'!$AH$68</f>
        <v>-1.184925786756859</v>
      </c>
      <c r="AI49" s="12">
        <f>'TUSD BE'!$AI$49*'TUSD BE'!$AI$68</f>
        <v>-4.3545283575530211E-2</v>
      </c>
      <c r="AJ49" s="12">
        <f ca="1">'TUSD BE'!$AJ$49*'TUSD BE'!$AJ$68</f>
        <v>-0.12932020651147716</v>
      </c>
      <c r="AK49" s="12">
        <f ca="1">'TUSD BE'!$AK$49*'TUSD BE'!$AK$68</f>
        <v>2.4442310593684451E-2</v>
      </c>
      <c r="AL49" s="12">
        <f ca="1">SUM($AH$49:$AK$49)</f>
        <v>-1.3333489662501818</v>
      </c>
      <c r="AM49" s="12">
        <f t="shared" ca="1" si="6"/>
        <v>-54.418138014931422</v>
      </c>
      <c r="AO49" s="20">
        <f ca="1">+'TUSD BE'!$T$49+'TUSD BE'!$AB$49+'TUSD BE'!$AD$49+'TUSD BE'!$AL$49</f>
        <v>476.90718989507462</v>
      </c>
      <c r="AP49" s="20">
        <f ca="1">+'TUSD BE'!$T$49+'TUSD BE'!$AB$49+'TUSD BE'!$AD$49+'TUSD BE'!$AL$49</f>
        <v>476.90718989507462</v>
      </c>
      <c r="AQ49" s="15">
        <f t="shared" si="5"/>
        <v>0</v>
      </c>
      <c r="AR49" s="9">
        <f t="shared" si="2"/>
        <v>1</v>
      </c>
      <c r="AS49" s="9">
        <f ca="1">IFERROR(VLOOKUP(A49,TarifaMedia!$C$37:$E$42,2,0),AS48)</f>
        <v>1</v>
      </c>
      <c r="AT49" s="15">
        <f ca="1">'TUSD BE'!AM49+'TUSD BF'!AM49+'TUSD CVA'!AM49</f>
        <v>499.11659627148401</v>
      </c>
      <c r="AU49" s="15">
        <f>'TABELAS REH COPEL'!R23</f>
        <v>441.62</v>
      </c>
      <c r="AV49" s="15">
        <f t="shared" ca="1" si="3"/>
        <v>-57.496596271484009</v>
      </c>
      <c r="AW49" s="107">
        <f t="shared" ca="1" si="4"/>
        <v>0</v>
      </c>
    </row>
    <row r="50" spans="1:49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'TUSD BE'!$L$50*'TUSD BE'!$L$68</f>
        <v>-1.1797299576547233</v>
      </c>
      <c r="M50" s="12">
        <f>'TUSD BE'!$M$50*'TUSD BE'!$M$68</f>
        <v>-1.5533277885650213E-2</v>
      </c>
      <c r="N50" s="12">
        <f ca="1">'TUSD BE'!$N$50*'TUSD BE'!$N$68</f>
        <v>1.0919148201729448E-7</v>
      </c>
      <c r="O50" s="12">
        <f>'TUSD BE'!$O$50*'TUSD BE'!$O$68</f>
        <v>0</v>
      </c>
      <c r="P50" s="12">
        <f>'TUSD BE'!$P$50*'TUSD BE'!$P$68</f>
        <v>0</v>
      </c>
      <c r="Q50" s="12">
        <f>'TUSD BE'!$Q$50*'TUSD BE'!$Q$68</f>
        <v>-1.8226392642330822</v>
      </c>
      <c r="R50" s="12">
        <f>'TUSD BE'!$R$50*'TUSD BE'!$R$68</f>
        <v>-0.278416203295761</v>
      </c>
      <c r="S50" s="12">
        <f>'TUSD BE'!$R$50*'TUSD BE'!$S$68</f>
        <v>0</v>
      </c>
      <c r="T50" s="12">
        <f ca="1">SUM($L$50:$S$50)</f>
        <v>-3.2963185938777348</v>
      </c>
      <c r="U50" s="12">
        <f>'TUSD BE'!$U$50*'TUSD BE'!$U$68</f>
        <v>0</v>
      </c>
      <c r="V50" s="12">
        <f>'TUSD BE'!$V$50*'TUSD BE'!$V$68</f>
        <v>0</v>
      </c>
      <c r="W50" s="12">
        <f>'TUSD BE'!$W$50*'TUSD BE'!$W$68</f>
        <v>0</v>
      </c>
      <c r="X50" s="12">
        <f>'TUSD BE'!$X$50*'TUSD BE'!$X$68</f>
        <v>0</v>
      </c>
      <c r="Y50" s="12">
        <f>'TUSD BE'!$Y$50*'TUSD BE'!$Y$68</f>
        <v>2.5693752207663771</v>
      </c>
      <c r="Z50" s="12">
        <f>'TUSD BE'!$Z$50*'TUSD BE'!$Z$68</f>
        <v>0</v>
      </c>
      <c r="AA50" s="12">
        <f>'TUSD BE'!$AA$50*'TUSD BE'!$AA$68</f>
        <v>0</v>
      </c>
      <c r="AB50" s="12">
        <f>SUM($U$50:$AA$50)</f>
        <v>2.5693752207663771</v>
      </c>
      <c r="AC50" s="12">
        <f>'TUSD BE'!$AC$50*'TUSD BE'!$AC$68</f>
        <v>0</v>
      </c>
      <c r="AD50" s="12">
        <f>SUM($AC$50:$AC$50)</f>
        <v>0</v>
      </c>
      <c r="AE50" s="12">
        <f ca="1">$AO$50*$AO$65</f>
        <v>0</v>
      </c>
      <c r="AF50" s="12">
        <f ca="1">$AP$50*$AP$65</f>
        <v>0</v>
      </c>
      <c r="AG50" s="12">
        <f ca="1">SUM($AE$50:$AF$50)</f>
        <v>0</v>
      </c>
      <c r="AH50" s="12">
        <f>'TUSD BE'!$AH$50*'TUSD BE'!$AH$68</f>
        <v>-1.184925786756859</v>
      </c>
      <c r="AI50" s="12">
        <f>'TUSD BE'!$AI$50*'TUSD BE'!$AI$68</f>
        <v>-4.3545283575530211E-2</v>
      </c>
      <c r="AJ50" s="12">
        <f ca="1">'TUSD BE'!$AJ$50*'TUSD BE'!$AJ$68</f>
        <v>-0.12932020651147716</v>
      </c>
      <c r="AK50" s="12">
        <f ca="1">'TUSD BE'!$AK$50*'TUSD BE'!$AK$68</f>
        <v>2.4442310593684451E-2</v>
      </c>
      <c r="AL50" s="12">
        <f ca="1">SUM($AH$50:$AK$50)</f>
        <v>-1.3333489662501818</v>
      </c>
      <c r="AM50" s="12">
        <f t="shared" ca="1" si="6"/>
        <v>-22.038282667241631</v>
      </c>
      <c r="AO50" s="20">
        <f ca="1">+'TUSD BE'!$T$50+'TUSD BE'!$AB$50+'TUSD BE'!$AD$50+'TUSD BE'!$AL$50</f>
        <v>244.04733454738488</v>
      </c>
      <c r="AP50" s="20">
        <f ca="1">+'TUSD BE'!$T$50+'TUSD BE'!$AB$50+'TUSD BE'!$AD$50+'TUSD BE'!$AL$50</f>
        <v>244.04733454738488</v>
      </c>
      <c r="AQ50" s="15">
        <f t="shared" si="5"/>
        <v>0</v>
      </c>
      <c r="AR50" s="9">
        <f t="shared" si="2"/>
        <v>1</v>
      </c>
      <c r="AS50" s="9">
        <f ca="1">IFERROR(VLOOKUP(A50,TarifaMedia!$C$37:$E$42,2,0),AS49)</f>
        <v>1</v>
      </c>
      <c r="AT50" s="15">
        <f ca="1">'TUSD BE'!AM50+'TUSD BF'!AM50+'TUSD CVA'!AM50</f>
        <v>261.11799032788008</v>
      </c>
      <c r="AU50" s="15">
        <f>'TABELAS REH COPEL'!R24</f>
        <v>241.14</v>
      </c>
      <c r="AV50" s="15">
        <f t="shared" ca="1" si="3"/>
        <v>-19.977990327880093</v>
      </c>
      <c r="AW50" s="107">
        <f t="shared" ca="1" si="4"/>
        <v>0</v>
      </c>
    </row>
    <row r="51" spans="1:49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'TUSD BE'!$L$51*'TUSD BE'!$L$68</f>
        <v>-1.1797299576547233</v>
      </c>
      <c r="M51" s="12">
        <f>'TUSD BE'!$M$51*'TUSD BE'!$M$68</f>
        <v>-1.5533277885650213E-2</v>
      </c>
      <c r="N51" s="12">
        <f ca="1">'TUSD BE'!$N$51*'TUSD BE'!$N$68</f>
        <v>1.7494650332601907E-7</v>
      </c>
      <c r="O51" s="12">
        <f>'TUSD BE'!$O$51*'TUSD BE'!$O$68</f>
        <v>0</v>
      </c>
      <c r="P51" s="12">
        <f>'TUSD BE'!$P$51*'TUSD BE'!$P$68</f>
        <v>0</v>
      </c>
      <c r="Q51" s="12">
        <f>'TUSD BE'!$Q$51*'TUSD BE'!$Q$68</f>
        <v>-1.8226392642330822</v>
      </c>
      <c r="R51" s="12">
        <f>'TUSD BE'!$R$51*'TUSD BE'!$R$68</f>
        <v>-0.278416203295761</v>
      </c>
      <c r="S51" s="12">
        <f>'TUSD BE'!$R$51*'TUSD BE'!$S$68</f>
        <v>0</v>
      </c>
      <c r="T51" s="12">
        <f ca="1">SUM($L$51:$S$51)</f>
        <v>-3.2963185281227134</v>
      </c>
      <c r="U51" s="12">
        <f>'TUSD BE'!$U$51*'TUSD BE'!$U$68</f>
        <v>0</v>
      </c>
      <c r="V51" s="12">
        <f>'TUSD BE'!$V$51*'TUSD BE'!$V$68</f>
        <v>0</v>
      </c>
      <c r="W51" s="12">
        <f>'TUSD BE'!$W$51*'TUSD BE'!$W$68</f>
        <v>0</v>
      </c>
      <c r="X51" s="12">
        <f>'TUSD BE'!$X$51*'TUSD BE'!$X$68</f>
        <v>0</v>
      </c>
      <c r="Y51" s="12">
        <f>'TUSD BE'!$Y$51*'TUSD BE'!$Y$68</f>
        <v>4.7581053024306144</v>
      </c>
      <c r="Z51" s="12">
        <f>'TUSD BE'!$Z$51*'TUSD BE'!$Z$68</f>
        <v>0</v>
      </c>
      <c r="AA51" s="12">
        <f>'TUSD BE'!$AA$51*'TUSD BE'!$AA$68</f>
        <v>0</v>
      </c>
      <c r="AB51" s="12">
        <f>SUM($U$51:$AA$51)</f>
        <v>4.7581053024306144</v>
      </c>
      <c r="AC51" s="12">
        <f>'TUSD BE'!$AC$51*'TUSD BE'!$AC$68</f>
        <v>0</v>
      </c>
      <c r="AD51" s="12">
        <f>SUM($AC$51:$AC$51)</f>
        <v>0</v>
      </c>
      <c r="AE51" s="12">
        <f ca="1">$AO$51*$AO$65</f>
        <v>0</v>
      </c>
      <c r="AF51" s="12">
        <f ca="1">$AP$51*$AP$65</f>
        <v>0</v>
      </c>
      <c r="AG51" s="12">
        <f ca="1">SUM($AE$51:$AF$51)</f>
        <v>0</v>
      </c>
      <c r="AH51" s="12">
        <f>'TUSD BE'!$AH$51*'TUSD BE'!$AH$68</f>
        <v>-1.184925786756859</v>
      </c>
      <c r="AI51" s="12">
        <f>'TUSD BE'!$AI$51*'TUSD BE'!$AI$68</f>
        <v>-4.3545283575530211E-2</v>
      </c>
      <c r="AJ51" s="12">
        <f ca="1">'TUSD BE'!$AJ$51*'TUSD BE'!$AJ$68</f>
        <v>-0.12932020651147716</v>
      </c>
      <c r="AK51" s="12">
        <f ca="1">'TUSD BE'!$AK$51*'TUSD BE'!$AK$68</f>
        <v>2.4442310593684451E-2</v>
      </c>
      <c r="AL51" s="12">
        <f ca="1">SUM($AH$51:$AK$51)</f>
        <v>-1.3333489662501818</v>
      </c>
      <c r="AM51" s="12">
        <f t="shared" ca="1" si="6"/>
        <v>-51.559323307307785</v>
      </c>
      <c r="AO51" s="20">
        <f ca="1">+'TUSD BE'!$T$51+'TUSD BE'!$AB$51+'TUSD BE'!$AD$51+'TUSD BE'!$AL$51</f>
        <v>343.22837518745104</v>
      </c>
      <c r="AP51" s="20">
        <f ca="1">+'TUSD BE'!$T$51+'TUSD BE'!$AB$51+'TUSD BE'!$AD$51+'TUSD BE'!$AL$51</f>
        <v>343.22837518745104</v>
      </c>
      <c r="AQ51" s="15" t="str">
        <f t="shared" si="5"/>
        <v>Convencional</v>
      </c>
      <c r="AR51" s="9">
        <f t="shared" si="2"/>
        <v>1</v>
      </c>
      <c r="AS51" s="9">
        <f ca="1">IFERROR(VLOOKUP(A51,TarifaMedia!$C$37:$E$42,2,0),AS50)</f>
        <v>1</v>
      </c>
      <c r="AT51" s="15">
        <f ca="1">'TUSD BE'!AM51+'TUSD BF'!AM51+'TUSD CVA'!AM51</f>
        <v>362.48776111536552</v>
      </c>
      <c r="AU51" s="15">
        <f>'TABELAS REH COPEL'!R26</f>
        <v>310.8</v>
      </c>
      <c r="AV51" s="15">
        <f t="shared" ca="1" si="3"/>
        <v>-51.687761115365504</v>
      </c>
      <c r="AW51" s="107">
        <f t="shared" ca="1" si="4"/>
        <v>0</v>
      </c>
    </row>
    <row r="52" spans="1:49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'TUSD BE'!$L$52*'TUSD BE'!$L$68</f>
        <v>-1.1797299576547233</v>
      </c>
      <c r="M52" s="12">
        <f>'TUSD BE'!$M$52*'TUSD BE'!$M$68</f>
        <v>-1.5533277885650213E-2</v>
      </c>
      <c r="N52" s="12">
        <f ca="1">'TUSD BE'!$N$52*'TUSD BE'!$N$68</f>
        <v>1.7494650332601907E-7</v>
      </c>
      <c r="O52" s="12">
        <f>'TUSD BE'!$O$52*'TUSD BE'!$O$68</f>
        <v>0</v>
      </c>
      <c r="P52" s="12">
        <f>'TUSD BE'!$P$52*'TUSD BE'!$P$68</f>
        <v>0</v>
      </c>
      <c r="Q52" s="12">
        <f>'TUSD BE'!$Q$52*'TUSD BE'!$Q$68</f>
        <v>-1.8226392642330822</v>
      </c>
      <c r="R52" s="12">
        <f>'TUSD BE'!$R$52*'TUSD BE'!$R$68</f>
        <v>-0.278416203295761</v>
      </c>
      <c r="S52" s="12">
        <f>'TUSD BE'!$R$52*'TUSD BE'!$S$68</f>
        <v>0</v>
      </c>
      <c r="T52" s="12">
        <f ca="1">SUM($L$52:$S$52)</f>
        <v>-3.2963185281227134</v>
      </c>
      <c r="U52" s="12">
        <f>'TUSD BE'!$U$52*'TUSD BE'!$U$68</f>
        <v>0</v>
      </c>
      <c r="V52" s="12">
        <f>'TUSD BE'!$V$52*'TUSD BE'!$V$68</f>
        <v>0</v>
      </c>
      <c r="W52" s="12">
        <f>'TUSD BE'!$W$52*'TUSD BE'!$W$68</f>
        <v>0</v>
      </c>
      <c r="X52" s="12">
        <f>'TUSD BE'!$X$52*'TUSD BE'!$X$68</f>
        <v>0</v>
      </c>
      <c r="Y52" s="12">
        <f>'TUSD BE'!$Y$52*'TUSD BE'!$Y$68</f>
        <v>4.7581053024306144</v>
      </c>
      <c r="Z52" s="12">
        <f>'TUSD BE'!$Z$52*'TUSD BE'!$Z$68</f>
        <v>0</v>
      </c>
      <c r="AA52" s="12">
        <f>'TUSD BE'!$AA$52*'TUSD BE'!$AA$68</f>
        <v>0</v>
      </c>
      <c r="AB52" s="12">
        <f>SUM($U$52:$AA$52)</f>
        <v>4.7581053024306144</v>
      </c>
      <c r="AC52" s="12">
        <f>'TUSD BE'!$AC$52*'TUSD BE'!$AC$68</f>
        <v>0</v>
      </c>
      <c r="AD52" s="12">
        <f>SUM($AC$52:$AC$52)</f>
        <v>0</v>
      </c>
      <c r="AE52" s="12">
        <f ca="1">$AO$52*$AO$65</f>
        <v>0</v>
      </c>
      <c r="AF52" s="12">
        <f ca="1">$AP$52*$AP$65</f>
        <v>0</v>
      </c>
      <c r="AG52" s="12">
        <f ca="1">SUM($AE$52:$AF$52)</f>
        <v>0</v>
      </c>
      <c r="AH52" s="12">
        <f>'TUSD BE'!$AH$52*'TUSD BE'!$AH$68</f>
        <v>-1.184925786756859</v>
      </c>
      <c r="AI52" s="12">
        <f>'TUSD BE'!$AI$52*'TUSD BE'!$AI$68</f>
        <v>-4.3545283575530211E-2</v>
      </c>
      <c r="AJ52" s="12">
        <f ca="1">'TUSD BE'!$AJ$52*'TUSD BE'!$AJ$68</f>
        <v>-0.12932020651147716</v>
      </c>
      <c r="AK52" s="12">
        <f ca="1">'TUSD BE'!$AK$52*'TUSD BE'!$AK$68</f>
        <v>2.4442310593684451E-2</v>
      </c>
      <c r="AL52" s="12">
        <f ca="1">SUM($AH$52:$AK$52)</f>
        <v>-1.3333489662501818</v>
      </c>
      <c r="AM52" s="12">
        <f t="shared" ca="1" si="6"/>
        <v>-51.559323307307785</v>
      </c>
      <c r="AO52" s="20">
        <f ca="1">+'TUSD BE'!$T$52+'TUSD BE'!$AB$52+'TUSD BE'!$AD$52+'TUSD BE'!$AL$52</f>
        <v>343.22837518745104</v>
      </c>
      <c r="AP52" s="20">
        <f ca="1">+'TUSD BE'!$T$52+'TUSD BE'!$AB$52+'TUSD BE'!$AD$52+'TUSD BE'!$AL$52</f>
        <v>343.22837518745104</v>
      </c>
      <c r="AQ52" s="15" t="str">
        <f t="shared" si="5"/>
        <v>Convencional pré-pagamento</v>
      </c>
      <c r="AR52" s="9">
        <f t="shared" si="2"/>
        <v>1</v>
      </c>
      <c r="AS52" s="9">
        <f ca="1">IFERROR(VLOOKUP(A52,TarifaMedia!$C$37:$E$42,2,0),AS51)</f>
        <v>1</v>
      </c>
      <c r="AT52" s="15">
        <f ca="1">'TUSD BE'!AM52+'TUSD BF'!AM52+'TUSD CVA'!AM52</f>
        <v>362.48776111536552</v>
      </c>
      <c r="AU52" s="15">
        <f>AU51</f>
        <v>310.8</v>
      </c>
      <c r="AV52" s="15">
        <f t="shared" ca="1" si="3"/>
        <v>-51.687761115365504</v>
      </c>
      <c r="AW52" s="107">
        <f t="shared" ca="1" si="4"/>
        <v>0</v>
      </c>
    </row>
    <row r="53" spans="1:49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'TUSD BE'!$L$53*'TUSD BE'!$L$68</f>
        <v>-1.1797299576547233</v>
      </c>
      <c r="M53" s="12">
        <f>'TUSD BE'!$M$53*'TUSD BE'!$M$68</f>
        <v>-1.5533277885650213E-2</v>
      </c>
      <c r="N53" s="12">
        <f ca="1">'TUSD BE'!$N$53*'TUSD BE'!$N$68</f>
        <v>1.7494650332601907E-7</v>
      </c>
      <c r="O53" s="12">
        <f>'TUSD BE'!$O$53*'TUSD BE'!$O$68</f>
        <v>0</v>
      </c>
      <c r="P53" s="12">
        <f>'TUSD BE'!$P$53*'TUSD BE'!$P$68</f>
        <v>0</v>
      </c>
      <c r="Q53" s="12">
        <f>'TUSD BE'!$Q$53*'TUSD BE'!$Q$68</f>
        <v>-1.8226392642330822</v>
      </c>
      <c r="R53" s="12">
        <f>'TUSD BE'!$R$53*'TUSD BE'!$R$68</f>
        <v>-0.278416203295761</v>
      </c>
      <c r="S53" s="12">
        <f>'TUSD BE'!$R$53*'TUSD BE'!$S$68</f>
        <v>0</v>
      </c>
      <c r="T53" s="12">
        <f ca="1">SUM($L$53:$S$53)</f>
        <v>-3.2963185281227134</v>
      </c>
      <c r="U53" s="12">
        <f>'TUSD BE'!$U$53*'TUSD BE'!$U$68</f>
        <v>0</v>
      </c>
      <c r="V53" s="12">
        <f>'TUSD BE'!$V$53*'TUSD BE'!$V$68</f>
        <v>0</v>
      </c>
      <c r="W53" s="12">
        <f>'TUSD BE'!$W$53*'TUSD BE'!$W$68</f>
        <v>0</v>
      </c>
      <c r="X53" s="12">
        <f>'TUSD BE'!$X$53*'TUSD BE'!$X$68</f>
        <v>0</v>
      </c>
      <c r="Y53" s="12">
        <f>'TUSD BE'!$Y$53*'TUSD BE'!$Y$68</f>
        <v>4.7581053024306144</v>
      </c>
      <c r="Z53" s="12">
        <f>'TUSD BE'!$Z$53*'TUSD BE'!$Z$68</f>
        <v>0</v>
      </c>
      <c r="AA53" s="12">
        <f>'TUSD BE'!$AA$53*'TUSD BE'!$AA$68</f>
        <v>0</v>
      </c>
      <c r="AB53" s="12">
        <f>SUM($U$53:$AA$53)</f>
        <v>4.7581053024306144</v>
      </c>
      <c r="AC53" s="12">
        <f>'TUSD BE'!$AC$53*'TUSD BE'!$AC$68</f>
        <v>0</v>
      </c>
      <c r="AD53" s="12">
        <f>SUM($AC$53:$AC$53)</f>
        <v>0</v>
      </c>
      <c r="AE53" s="12">
        <f ca="1">$AO$53*$AO$65</f>
        <v>0</v>
      </c>
      <c r="AF53" s="12">
        <f ca="1">$AP$53*$AP$65</f>
        <v>0</v>
      </c>
      <c r="AG53" s="12">
        <f ca="1">SUM($AE$53:$AF$53)</f>
        <v>0</v>
      </c>
      <c r="AH53" s="12">
        <f>'TUSD BE'!$AH$53*'TUSD BE'!$AH$68</f>
        <v>-1.184925786756859</v>
      </c>
      <c r="AI53" s="12">
        <f>'TUSD BE'!$AI$53*'TUSD BE'!$AI$68</f>
        <v>-4.3545283575530211E-2</v>
      </c>
      <c r="AJ53" s="12">
        <f ca="1">'TUSD BE'!$AJ$53*'TUSD BE'!$AJ$68</f>
        <v>-0.12932020651147716</v>
      </c>
      <c r="AK53" s="12">
        <f ca="1">'TUSD BE'!$AK$53*'TUSD BE'!$AK$68</f>
        <v>2.4442310593684451E-2</v>
      </c>
      <c r="AL53" s="12">
        <f ca="1">SUM($AH$53:$AK$53)</f>
        <v>-1.3333489662501818</v>
      </c>
      <c r="AM53" s="12">
        <f t="shared" ca="1" si="6"/>
        <v>-51.559323307307785</v>
      </c>
      <c r="AO53" s="20">
        <f ca="1">+'TUSD BE'!$T$53+'TUSD BE'!$AB$53+'TUSD BE'!$AD$53+'TUSD BE'!$AL$53</f>
        <v>343.22837518745104</v>
      </c>
      <c r="AP53" s="20">
        <f ca="1">+'TUSD BE'!$T$53+'TUSD BE'!$AB$53+'TUSD BE'!$AD$53+'TUSD BE'!$AL$53</f>
        <v>343.22837518745104</v>
      </c>
      <c r="AQ53" s="15">
        <f t="shared" si="5"/>
        <v>0</v>
      </c>
      <c r="AR53" s="9">
        <f t="shared" si="2"/>
        <v>1</v>
      </c>
      <c r="AS53" s="9">
        <f ca="1">IFERROR(VLOOKUP(A53,TarifaMedia!$C$37:$E$42,2,0),AS52)</f>
        <v>1</v>
      </c>
      <c r="AT53" s="15">
        <f ca="1">'TUSD BE'!AM53+'TUSD BF'!AM53+'TUSD CVA'!AM53</f>
        <v>362.48776111536552</v>
      </c>
      <c r="AU53" s="15">
        <f>AU51</f>
        <v>310.8</v>
      </c>
      <c r="AV53" s="15">
        <f t="shared" ca="1" si="3"/>
        <v>-51.687761115365504</v>
      </c>
      <c r="AW53" s="107">
        <f t="shared" ca="1" si="4"/>
        <v>0</v>
      </c>
    </row>
    <row r="54" spans="1:49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'TUSD BE'!$L$54*'TUSD BE'!$L$68</f>
        <v>-1.1797299576547233</v>
      </c>
      <c r="M54" s="12">
        <f>'TUSD BE'!$M$54*'TUSD BE'!$M$68</f>
        <v>-1.5533277885650213E-2</v>
      </c>
      <c r="N54" s="12">
        <f ca="1">'TUSD BE'!$N$54*'TUSD BE'!$N$68</f>
        <v>1.7494650332601907E-7</v>
      </c>
      <c r="O54" s="12">
        <f>'TUSD BE'!$O$54*'TUSD BE'!$O$68</f>
        <v>0</v>
      </c>
      <c r="P54" s="12">
        <f>'TUSD BE'!$P$54*'TUSD BE'!$P$68</f>
        <v>0</v>
      </c>
      <c r="Q54" s="12">
        <f>'TUSD BE'!$Q$54*'TUSD BE'!$Q$68</f>
        <v>-1.8226392642330822</v>
      </c>
      <c r="R54" s="12">
        <f>'TUSD BE'!$R$54*'TUSD BE'!$R$68</f>
        <v>-0.278416203295761</v>
      </c>
      <c r="S54" s="12">
        <f>'TUSD BE'!$R$54*'TUSD BE'!$S$68</f>
        <v>0</v>
      </c>
      <c r="T54" s="12">
        <f ca="1">SUM($L$54:$S$54)</f>
        <v>-3.2963185281227134</v>
      </c>
      <c r="U54" s="12">
        <f>'TUSD BE'!$U$54*'TUSD BE'!$U$68</f>
        <v>0</v>
      </c>
      <c r="V54" s="12">
        <f>'TUSD BE'!$V$54*'TUSD BE'!$V$68</f>
        <v>0</v>
      </c>
      <c r="W54" s="12">
        <f>'TUSD BE'!$W$54*'TUSD BE'!$W$68</f>
        <v>0</v>
      </c>
      <c r="X54" s="12">
        <f>'TUSD BE'!$X$54*'TUSD BE'!$X$68</f>
        <v>0</v>
      </c>
      <c r="Y54" s="12">
        <f>'TUSD BE'!$Y$54*'TUSD BE'!$Y$68</f>
        <v>4.7581053024306144</v>
      </c>
      <c r="Z54" s="12">
        <f>'TUSD BE'!$Z$54*'TUSD BE'!$Z$68</f>
        <v>0</v>
      </c>
      <c r="AA54" s="12">
        <f>'TUSD BE'!$AA$54*'TUSD BE'!$AA$68</f>
        <v>0</v>
      </c>
      <c r="AB54" s="12">
        <f>SUM($U$54:$AA$54)</f>
        <v>4.7581053024306144</v>
      </c>
      <c r="AC54" s="12">
        <f>'TUSD BE'!$AC$54*'TUSD BE'!$AC$68</f>
        <v>0</v>
      </c>
      <c r="AD54" s="12">
        <f>SUM($AC$54:$AC$54)</f>
        <v>0</v>
      </c>
      <c r="AE54" s="12">
        <f ca="1">$AO$54*$AO$65</f>
        <v>0</v>
      </c>
      <c r="AF54" s="12">
        <f ca="1">$AP$54*$AP$65</f>
        <v>0</v>
      </c>
      <c r="AG54" s="12">
        <f ca="1">SUM($AE$54:$AF$54)</f>
        <v>0</v>
      </c>
      <c r="AH54" s="12">
        <f>'TUSD BE'!$AH$54*'TUSD BE'!$AH$68</f>
        <v>-1.184925786756859</v>
      </c>
      <c r="AI54" s="12">
        <f>'TUSD BE'!$AI$54*'TUSD BE'!$AI$68</f>
        <v>-4.3545283575530211E-2</v>
      </c>
      <c r="AJ54" s="12">
        <f ca="1">'TUSD BE'!$AJ$54*'TUSD BE'!$AJ$68</f>
        <v>-0.12932020651147716</v>
      </c>
      <c r="AK54" s="12">
        <f ca="1">'TUSD BE'!$AK$54*'TUSD BE'!$AK$68</f>
        <v>2.4442310593684451E-2</v>
      </c>
      <c r="AL54" s="12">
        <f ca="1">SUM($AH$54:$AK$54)</f>
        <v>-1.3333489662501818</v>
      </c>
      <c r="AM54" s="12">
        <f t="shared" ca="1" si="6"/>
        <v>-51.559323307307785</v>
      </c>
      <c r="AO54" s="20">
        <f ca="1">+'TUSD BE'!$T$54+'TUSD BE'!$AB$54+'TUSD BE'!$AD$54+'TUSD BE'!$AL$54</f>
        <v>343.22837518745104</v>
      </c>
      <c r="AP54" s="20">
        <f ca="1">+'TUSD BE'!$T$54+'TUSD BE'!$AB$54+'TUSD BE'!$AD$54+'TUSD BE'!$AL$54</f>
        <v>343.22837518745104</v>
      </c>
      <c r="AQ54" s="15">
        <f t="shared" si="5"/>
        <v>0</v>
      </c>
      <c r="AR54" s="9">
        <f t="shared" si="2"/>
        <v>1</v>
      </c>
      <c r="AS54" s="9">
        <f ca="1">IFERROR(VLOOKUP(A54,TarifaMedia!$C$37:$E$42,2,0),AS53)</f>
        <v>1</v>
      </c>
      <c r="AT54" s="15">
        <f ca="1">'TUSD BE'!AM54+'TUSD BF'!AM54+'TUSD CVA'!AM54</f>
        <v>362.48776111536552</v>
      </c>
      <c r="AU54" s="15">
        <f>AU51</f>
        <v>310.8</v>
      </c>
      <c r="AV54" s="15">
        <f t="shared" ca="1" si="3"/>
        <v>-51.687761115365504</v>
      </c>
      <c r="AW54" s="107">
        <f t="shared" ca="1" si="4"/>
        <v>0</v>
      </c>
    </row>
    <row r="55" spans="1:49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'TUSD BE'!$L$55*'TUSD BE'!$L$68</f>
        <v>-1.1797299576547233</v>
      </c>
      <c r="M55" s="12">
        <f>'TUSD BE'!$M$55*'TUSD BE'!$M$68</f>
        <v>-1.5533277885650213E-2</v>
      </c>
      <c r="N55" s="12">
        <f ca="1">'TUSD BE'!$N$55*'TUSD BE'!$N$68</f>
        <v>5.3231079134220644E-7</v>
      </c>
      <c r="O55" s="12">
        <f>'TUSD BE'!$O$55*'TUSD BE'!$O$68</f>
        <v>0</v>
      </c>
      <c r="P55" s="12">
        <f>'TUSD BE'!$P$55*'TUSD BE'!$P$68</f>
        <v>0</v>
      </c>
      <c r="Q55" s="12">
        <f>'TUSD BE'!$Q$55*'TUSD BE'!$Q$68</f>
        <v>-1.8226392642330822</v>
      </c>
      <c r="R55" s="12">
        <f>'TUSD BE'!$R$55*'TUSD BE'!$R$68</f>
        <v>-0.278416203295761</v>
      </c>
      <c r="S55" s="12">
        <f>'TUSD BE'!$R$55*'TUSD BE'!$S$68</f>
        <v>0</v>
      </c>
      <c r="T55" s="12">
        <f ca="1">SUM($L$55:$S$55)</f>
        <v>-3.2963181707584255</v>
      </c>
      <c r="U55" s="12">
        <f>'TUSD BE'!$U$55*'TUSD BE'!$U$68</f>
        <v>0</v>
      </c>
      <c r="V55" s="12">
        <f>'TUSD BE'!$V$55*'TUSD BE'!$V$68</f>
        <v>0</v>
      </c>
      <c r="W55" s="12">
        <f>'TUSD BE'!$W$55*'TUSD BE'!$W$68</f>
        <v>0</v>
      </c>
      <c r="X55" s="12">
        <f>'TUSD BE'!$X$55*'TUSD BE'!$X$68</f>
        <v>0</v>
      </c>
      <c r="Y55" s="12">
        <f>'TUSD BE'!$Y$55*'TUSD BE'!$Y$68</f>
        <v>16.65336482544771</v>
      </c>
      <c r="Z55" s="12">
        <f>'TUSD BE'!$Z$55*'TUSD BE'!$Z$68</f>
        <v>0</v>
      </c>
      <c r="AA55" s="12">
        <f>'TUSD BE'!$AA$55*'TUSD BE'!$AA$68</f>
        <v>0</v>
      </c>
      <c r="AB55" s="12">
        <f>SUM($U$55:$AA$55)</f>
        <v>16.65336482544771</v>
      </c>
      <c r="AC55" s="12">
        <f>'TUSD BE'!$AC$55*'TUSD BE'!$AC$68</f>
        <v>0</v>
      </c>
      <c r="AD55" s="12">
        <f>SUM($AC$55:$AC$55)</f>
        <v>0</v>
      </c>
      <c r="AE55" s="12">
        <f ca="1">$AO$55*$AO$65</f>
        <v>0</v>
      </c>
      <c r="AF55" s="12">
        <f ca="1">$AP$55*$AP$65</f>
        <v>0</v>
      </c>
      <c r="AG55" s="12">
        <f ca="1">SUM($AE$55:$AF$55)</f>
        <v>0</v>
      </c>
      <c r="AH55" s="12">
        <f>'TUSD BE'!$AH$55*'TUSD BE'!$AH$68</f>
        <v>-1.184925786756859</v>
      </c>
      <c r="AI55" s="12">
        <f>'TUSD BE'!$AI$55*'TUSD BE'!$AI$68</f>
        <v>-4.3545283575530211E-2</v>
      </c>
      <c r="AJ55" s="12">
        <f ca="1">'TUSD BE'!$AJ$55*'TUSD BE'!$AJ$68</f>
        <v>-0.12932020651147716</v>
      </c>
      <c r="AK55" s="12">
        <f ca="1">'TUSD BE'!$AK$55*'TUSD BE'!$AK$68</f>
        <v>2.4442310593684451E-2</v>
      </c>
      <c r="AL55" s="12">
        <f ca="1">SUM($AH$55:$AK$55)</f>
        <v>-1.3333489662501818</v>
      </c>
      <c r="AM55" s="12">
        <f t="shared" ca="1" si="6"/>
        <v>-199.83677117698508</v>
      </c>
      <c r="AO55" s="20">
        <f ca="1">+'TUSD BE'!$T$55+'TUSD BE'!$AB$55+'TUSD BE'!$AD$55+'TUSD BE'!$AL$55</f>
        <v>882.25582305712828</v>
      </c>
      <c r="AP55" s="20">
        <f ca="1">+'TUSD BE'!$T$55+'TUSD BE'!$AB$55+'TUSD BE'!$AD$55+'TUSD BE'!$AL$55</f>
        <v>882.25582305712828</v>
      </c>
      <c r="AQ55" s="15" t="str">
        <f t="shared" si="5"/>
        <v>Branca</v>
      </c>
      <c r="AR55" s="9">
        <f t="shared" si="2"/>
        <v>1</v>
      </c>
      <c r="AS55" s="9">
        <f ca="1">IFERROR(VLOOKUP(A55,TarifaMedia!$C$37:$E$42,2,0),AS54)</f>
        <v>1</v>
      </c>
      <c r="AT55" s="15">
        <f ca="1">'TUSD BE'!AM55+'TUSD BF'!AM55+'TUSD CVA'!AM55</f>
        <v>913.41046886542415</v>
      </c>
      <c r="AU55" s="15">
        <f>'TABELAS REH COPEL'!R27</f>
        <v>701.55</v>
      </c>
      <c r="AV55" s="15">
        <f t="shared" ca="1" si="3"/>
        <v>-211.8604688654242</v>
      </c>
      <c r="AW55" s="107">
        <f t="shared" ca="1" si="4"/>
        <v>9159.5755109277507</v>
      </c>
    </row>
    <row r="56" spans="1:49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'TUSD BE'!$L$56*'TUSD BE'!$L$68</f>
        <v>-1.1797299576547233</v>
      </c>
      <c r="M56" s="12">
        <f>'TUSD BE'!$M$56*'TUSD BE'!$M$68</f>
        <v>-1.5533277885650213E-2</v>
      </c>
      <c r="N56" s="12">
        <f ca="1">'TUSD BE'!$N$56*'TUSD BE'!$N$68</f>
        <v>1.3206281118231713E-7</v>
      </c>
      <c r="O56" s="12">
        <f>'TUSD BE'!$O$56*'TUSD BE'!$O$68</f>
        <v>0</v>
      </c>
      <c r="P56" s="12">
        <f>'TUSD BE'!$P$56*'TUSD BE'!$P$68</f>
        <v>0</v>
      </c>
      <c r="Q56" s="12">
        <f>'TUSD BE'!$Q$56*'TUSD BE'!$Q$68</f>
        <v>-1.8226392642330822</v>
      </c>
      <c r="R56" s="12">
        <f>'TUSD BE'!$R$56*'TUSD BE'!$R$68</f>
        <v>-0.278416203295761</v>
      </c>
      <c r="S56" s="12">
        <f>'TUSD BE'!$R$56*'TUSD BE'!$S$68</f>
        <v>0</v>
      </c>
      <c r="T56" s="12">
        <f ca="1">SUM($L$56:$S$56)</f>
        <v>-3.2963185710064056</v>
      </c>
      <c r="U56" s="12">
        <f>'TUSD BE'!$U$56*'TUSD BE'!$U$68</f>
        <v>0</v>
      </c>
      <c r="V56" s="12">
        <f>'TUSD BE'!$V$56*'TUSD BE'!$V$68</f>
        <v>0</v>
      </c>
      <c r="W56" s="12">
        <f>'TUSD BE'!$W$56*'TUSD BE'!$W$68</f>
        <v>0</v>
      </c>
      <c r="X56" s="12">
        <f>'TUSD BE'!$X$56*'TUSD BE'!$X$68</f>
        <v>0</v>
      </c>
      <c r="Y56" s="12">
        <f>'TUSD BE'!$Y$56*'TUSD BE'!$Y$68</f>
        <v>3.3306729650895419</v>
      </c>
      <c r="Z56" s="12">
        <f>'TUSD BE'!$Z$56*'TUSD BE'!$Z$68</f>
        <v>0</v>
      </c>
      <c r="AA56" s="12">
        <f>'TUSD BE'!$AA$56*'TUSD BE'!$AA$68</f>
        <v>0</v>
      </c>
      <c r="AB56" s="12">
        <f>SUM($U$56:$AA$56)</f>
        <v>3.3306729650895419</v>
      </c>
      <c r="AC56" s="12">
        <f>'TUSD BE'!$AC$56*'TUSD BE'!$AC$68</f>
        <v>0</v>
      </c>
      <c r="AD56" s="12">
        <f>SUM($AC$56:$AC$56)</f>
        <v>0</v>
      </c>
      <c r="AE56" s="12">
        <f ca="1">$AO$56*$AO$65</f>
        <v>0</v>
      </c>
      <c r="AF56" s="12">
        <f ca="1">$AP$56*$AP$65</f>
        <v>0</v>
      </c>
      <c r="AG56" s="12">
        <f ca="1">SUM($AE$56:$AF$56)</f>
        <v>0</v>
      </c>
      <c r="AH56" s="12">
        <f>'TUSD BE'!$AH$56*'TUSD BE'!$AH$68</f>
        <v>-1.184925786756859</v>
      </c>
      <c r="AI56" s="12">
        <f>'TUSD BE'!$AI$56*'TUSD BE'!$AI$68</f>
        <v>-4.3545283575530211E-2</v>
      </c>
      <c r="AJ56" s="12">
        <f ca="1">'TUSD BE'!$AJ$56*'TUSD BE'!$AJ$68</f>
        <v>-0.12932020651147716</v>
      </c>
      <c r="AK56" s="12">
        <f ca="1">'TUSD BE'!$AK$56*'TUSD BE'!$AK$68</f>
        <v>2.4442310593684451E-2</v>
      </c>
      <c r="AL56" s="12">
        <f ca="1">SUM($AH$56:$AK$56)</f>
        <v>-1.3333489662501818</v>
      </c>
      <c r="AM56" s="12">
        <f t="shared" ca="1" si="6"/>
        <v>179.61393799314249</v>
      </c>
      <c r="AO56" s="20">
        <f ca="1">+'TUSD BE'!$T$56+'TUSD BE'!$AB$56+'TUSD BE'!$AD$56+'TUSD BE'!$AL$56</f>
        <v>278.54511388700081</v>
      </c>
      <c r="AP56" s="20">
        <f ca="1">+'TUSD BE'!$T$56+'TUSD BE'!$AB$56+'TUSD BE'!$AD$56+'TUSD BE'!$AL$56</f>
        <v>278.54511388700081</v>
      </c>
      <c r="AQ56" s="15">
        <f t="shared" si="5"/>
        <v>0</v>
      </c>
      <c r="AR56" s="9">
        <f t="shared" si="2"/>
        <v>1</v>
      </c>
      <c r="AS56" s="9">
        <f ca="1">IFERROR(VLOOKUP(A56,TarifaMedia!$C$37:$E$42,2,0),AS55)</f>
        <v>1</v>
      </c>
      <c r="AT56" s="15">
        <f ca="1">'TUSD BE'!AM56+'TUSD BF'!AM56+'TUSD CVA'!AM56</f>
        <v>296.3770674346905</v>
      </c>
      <c r="AU56" s="15">
        <f>'TABELAS REH COPEL'!R28</f>
        <v>477.29</v>
      </c>
      <c r="AV56" s="15">
        <f t="shared" ca="1" si="3"/>
        <v>180.91293256530952</v>
      </c>
      <c r="AW56" s="107">
        <f t="shared" ca="1" si="4"/>
        <v>-5216.6244105206997</v>
      </c>
    </row>
    <row r="57" spans="1:49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'TUSD BE'!$L$57*'TUSD BE'!$L$68</f>
        <v>-1.1797299576547233</v>
      </c>
      <c r="M57" s="12">
        <f>'TUSD BE'!$M$57*'TUSD BE'!$M$68</f>
        <v>-1.5533277885650213E-2</v>
      </c>
      <c r="N57" s="12">
        <f ca="1">'TUSD BE'!$N$57*'TUSD BE'!$N$68</f>
        <v>1.3206281118231713E-7</v>
      </c>
      <c r="O57" s="12">
        <f>'TUSD BE'!$O$57*'TUSD BE'!$O$68</f>
        <v>0</v>
      </c>
      <c r="P57" s="12">
        <f>'TUSD BE'!$P$57*'TUSD BE'!$P$68</f>
        <v>0</v>
      </c>
      <c r="Q57" s="12">
        <f>'TUSD BE'!$Q$57*'TUSD BE'!$Q$68</f>
        <v>-1.8226392642330822</v>
      </c>
      <c r="R57" s="12">
        <f>'TUSD BE'!$R$57*'TUSD BE'!$R$68</f>
        <v>-0.278416203295761</v>
      </c>
      <c r="S57" s="12">
        <f>'TUSD BE'!$R$57*'TUSD BE'!$S$68</f>
        <v>0</v>
      </c>
      <c r="T57" s="12">
        <f ca="1">SUM($L$57:$S$57)</f>
        <v>-3.2963185710064056</v>
      </c>
      <c r="U57" s="12">
        <f>'TUSD BE'!$U$57*'TUSD BE'!$U$68</f>
        <v>0</v>
      </c>
      <c r="V57" s="12">
        <f>'TUSD BE'!$V$57*'TUSD BE'!$V$68</f>
        <v>0</v>
      </c>
      <c r="W57" s="12">
        <f>'TUSD BE'!$W$57*'TUSD BE'!$W$68</f>
        <v>0</v>
      </c>
      <c r="X57" s="12">
        <f>'TUSD BE'!$X$57*'TUSD BE'!$X$68</f>
        <v>0</v>
      </c>
      <c r="Y57" s="12">
        <f>'TUSD BE'!$Y$57*'TUSD BE'!$Y$68</f>
        <v>3.3306729650895419</v>
      </c>
      <c r="Z57" s="12">
        <f>'TUSD BE'!$Z$57*'TUSD BE'!$Z$68</f>
        <v>0</v>
      </c>
      <c r="AA57" s="12">
        <f>'TUSD BE'!$AA$57*'TUSD BE'!$AA$68</f>
        <v>0</v>
      </c>
      <c r="AB57" s="12">
        <f>SUM($U$57:$AA$57)</f>
        <v>3.3306729650895419</v>
      </c>
      <c r="AC57" s="12">
        <f>'TUSD BE'!$AC$57*'TUSD BE'!$AC$68</f>
        <v>0</v>
      </c>
      <c r="AD57" s="12">
        <f>SUM($AC$57:$AC$57)</f>
        <v>0</v>
      </c>
      <c r="AE57" s="12">
        <f ca="1">$AO$57*$AO$65</f>
        <v>0</v>
      </c>
      <c r="AF57" s="12">
        <f ca="1">$AP$57*$AP$65</f>
        <v>0</v>
      </c>
      <c r="AG57" s="12">
        <f ca="1">SUM($AE$57:$AF$57)</f>
        <v>0</v>
      </c>
      <c r="AH57" s="12">
        <f>'TUSD BE'!$AH$57*'TUSD BE'!$AH$68</f>
        <v>-1.184925786756859</v>
      </c>
      <c r="AI57" s="12">
        <f>'TUSD BE'!$AI$57*'TUSD BE'!$AI$68</f>
        <v>-4.3545283575530211E-2</v>
      </c>
      <c r="AJ57" s="12">
        <f ca="1">'TUSD BE'!$AJ$57*'TUSD BE'!$AJ$68</f>
        <v>-0.12932020651147716</v>
      </c>
      <c r="AK57" s="12">
        <f ca="1">'TUSD BE'!$AK$57*'TUSD BE'!$AK$68</f>
        <v>2.4442310593684451E-2</v>
      </c>
      <c r="AL57" s="12">
        <f ca="1">SUM($AH$57:$AK$57)</f>
        <v>-1.3333489662501818</v>
      </c>
      <c r="AM57" s="12">
        <f t="shared" ca="1" si="6"/>
        <v>-44.636062006857557</v>
      </c>
      <c r="AO57" s="20">
        <f ca="1">+'TUSD BE'!$T$57+'TUSD BE'!$AB$57+'TUSD BE'!$AD$57+'TUSD BE'!$AL$57</f>
        <v>278.54511388700081</v>
      </c>
      <c r="AP57" s="20">
        <f ca="1">+'TUSD BE'!$T$57+'TUSD BE'!$AB$57+'TUSD BE'!$AD$57+'TUSD BE'!$AL$57</f>
        <v>278.54511388700081</v>
      </c>
      <c r="AQ57" s="15">
        <f t="shared" si="5"/>
        <v>0</v>
      </c>
      <c r="AR57" s="9">
        <f t="shared" si="2"/>
        <v>1</v>
      </c>
      <c r="AS57" s="9">
        <f ca="1">IFERROR(VLOOKUP(A57,TarifaMedia!$C$37:$E$42,2,0),AS56)</f>
        <v>1</v>
      </c>
      <c r="AT57" s="15">
        <f ca="1">'TUSD BE'!AM57+'TUSD BF'!AM57+'TUSD CVA'!AM57</f>
        <v>296.3770674346905</v>
      </c>
      <c r="AU57" s="15">
        <f>'TABELAS REH COPEL'!R29</f>
        <v>253.04</v>
      </c>
      <c r="AV57" s="15">
        <f t="shared" ca="1" si="3"/>
        <v>-43.33706743469051</v>
      </c>
      <c r="AW57" s="107">
        <f t="shared" ca="1" si="4"/>
        <v>19140.855922149498</v>
      </c>
    </row>
    <row r="58" spans="1:49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'TUSD BE'!$L$58*'TUSD BE'!$L$68</f>
        <v>-1.1797299576547233</v>
      </c>
      <c r="M58" s="12">
        <f>'TUSD BE'!$M$58*'TUSD BE'!$M$68</f>
        <v>-1.5533277885650213E-2</v>
      </c>
      <c r="N58" s="12">
        <f ca="1">'TUSD BE'!$N$58*'TUSD BE'!$N$68</f>
        <v>1.7494650332601907E-7</v>
      </c>
      <c r="O58" s="12">
        <f>'TUSD BE'!$O$58*'TUSD BE'!$O$68</f>
        <v>0</v>
      </c>
      <c r="P58" s="12">
        <f>'TUSD BE'!$P$58*'TUSD BE'!$P$68</f>
        <v>0</v>
      </c>
      <c r="Q58" s="12">
        <f>'TUSD BE'!$Q$58*'TUSD BE'!$Q$68</f>
        <v>-1.8226392642330822</v>
      </c>
      <c r="R58" s="12">
        <f>'TUSD BE'!$R$58*'TUSD BE'!$R$68</f>
        <v>-0.278416203295761</v>
      </c>
      <c r="S58" s="12">
        <f>'TUSD BE'!$R$58*'TUSD BE'!$S$68</f>
        <v>0</v>
      </c>
      <c r="T58" s="12">
        <f ca="1">SUM($L$58:$S$58)</f>
        <v>-3.2963185281227134</v>
      </c>
      <c r="U58" s="12">
        <f>'TUSD BE'!$U$58*'TUSD BE'!$U$68</f>
        <v>0</v>
      </c>
      <c r="V58" s="12">
        <f>'TUSD BE'!$V$58*'TUSD BE'!$V$68</f>
        <v>0</v>
      </c>
      <c r="W58" s="12">
        <f>'TUSD BE'!$W$58*'TUSD BE'!$W$68</f>
        <v>0</v>
      </c>
      <c r="X58" s="12">
        <f>'TUSD BE'!$X$58*'TUSD BE'!$X$68</f>
        <v>0</v>
      </c>
      <c r="Y58" s="12">
        <f>'TUSD BE'!$Y$58*'TUSD BE'!$Y$68</f>
        <v>4.7581053024306144</v>
      </c>
      <c r="Z58" s="12">
        <f>'TUSD BE'!$Z$58*'TUSD BE'!$Z$68</f>
        <v>0</v>
      </c>
      <c r="AA58" s="12">
        <f>'TUSD BE'!$AA$58*'TUSD BE'!$AA$68</f>
        <v>0</v>
      </c>
      <c r="AB58" s="12">
        <f>SUM($U$58:$AA$58)</f>
        <v>4.7581053024306144</v>
      </c>
      <c r="AC58" s="12">
        <f>'TUSD BE'!$AC$58*'TUSD BE'!$AC$68</f>
        <v>0</v>
      </c>
      <c r="AD58" s="12">
        <f>SUM($AC$58:$AC$58)</f>
        <v>0</v>
      </c>
      <c r="AE58" s="12">
        <f ca="1">$AO$58*$AO$65</f>
        <v>0</v>
      </c>
      <c r="AF58" s="12">
        <f ca="1">$AP$58*$AP$65</f>
        <v>0</v>
      </c>
      <c r="AG58" s="12">
        <f ca="1">SUM($AE$58:$AF$58)</f>
        <v>0</v>
      </c>
      <c r="AH58" s="12">
        <f>'TUSD BE'!$AH$58*'TUSD BE'!$AH$68</f>
        <v>-1.184925786756859</v>
      </c>
      <c r="AI58" s="12">
        <f>'TUSD BE'!$AI$58*'TUSD BE'!$AI$68</f>
        <v>-4.3545283575530211E-2</v>
      </c>
      <c r="AJ58" s="12">
        <f ca="1">'TUSD BE'!$AJ$58*'TUSD BE'!$AJ$68</f>
        <v>-0.12932020651147716</v>
      </c>
      <c r="AK58" s="12">
        <f ca="1">'TUSD BE'!$AK$58*'TUSD BE'!$AK$68</f>
        <v>2.4442310593684451E-2</v>
      </c>
      <c r="AL58" s="12">
        <f ca="1">SUM($AH$58:$AK$58)</f>
        <v>-1.3333489662501818</v>
      </c>
      <c r="AM58" s="12">
        <f t="shared" ca="1" si="6"/>
        <v>-51.559323307307785</v>
      </c>
      <c r="AO58" s="20">
        <f ca="1">+'TUSD BE'!$T$58+'TUSD BE'!$AB$58+'TUSD BE'!$AD$58+'TUSD BE'!$AL$58</f>
        <v>343.22837518745104</v>
      </c>
      <c r="AP58" s="20">
        <f ca="1">+'TUSD BE'!$T$58+'TUSD BE'!$AB$58+'TUSD BE'!$AD$58+'TUSD BE'!$AL$58</f>
        <v>343.22837518745104</v>
      </c>
      <c r="AQ58" s="15" t="str">
        <f t="shared" si="5"/>
        <v>Convencional</v>
      </c>
      <c r="AR58" s="9">
        <f t="shared" si="2"/>
        <v>1</v>
      </c>
      <c r="AS58" s="9">
        <f ca="1">IFERROR(VLOOKUP(A58,TarifaMedia!$C$37:$E$42,2,0),AS57)</f>
        <v>1</v>
      </c>
      <c r="AT58" s="15">
        <f ca="1">'TUSD BE'!AM58+'TUSD BF'!AM58+'TUSD CVA'!AM58</f>
        <v>362.48776111536552</v>
      </c>
      <c r="AU58" s="15">
        <f>'TABELAS REH COPEL'!R30</f>
        <v>310.8</v>
      </c>
      <c r="AV58" s="15">
        <f t="shared" ca="1" si="3"/>
        <v>-51.687761115365504</v>
      </c>
      <c r="AW58" s="107">
        <f t="shared" ca="1" si="4"/>
        <v>1479226.3982311322</v>
      </c>
    </row>
    <row r="59" spans="1:49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'TUSD BE'!$L$59*'TUSD BE'!$L$68</f>
        <v>-1.1797299576547233</v>
      </c>
      <c r="M59" s="12">
        <f>'TUSD BE'!$M$59*'TUSD BE'!$M$68</f>
        <v>-1.5533277885650213E-2</v>
      </c>
      <c r="N59" s="12">
        <f ca="1">'TUSD BE'!$N$59*'TUSD BE'!$N$68</f>
        <v>1.7494650332601907E-7</v>
      </c>
      <c r="O59" s="12">
        <f>'TUSD BE'!$O$59*'TUSD BE'!$O$68</f>
        <v>0</v>
      </c>
      <c r="P59" s="12">
        <f>'TUSD BE'!$P$59*'TUSD BE'!$P$68</f>
        <v>0</v>
      </c>
      <c r="Q59" s="12">
        <f>'TUSD BE'!$Q$59*'TUSD BE'!$Q$68</f>
        <v>-1.8226392642330822</v>
      </c>
      <c r="R59" s="12">
        <f>'TUSD BE'!$R$59*'TUSD BE'!$R$68</f>
        <v>-0.278416203295761</v>
      </c>
      <c r="S59" s="12">
        <f>'TUSD BE'!$R$59*'TUSD BE'!$S$68</f>
        <v>0</v>
      </c>
      <c r="T59" s="12">
        <f ca="1">SUM($L$59:$S$59)</f>
        <v>-3.2963185281227134</v>
      </c>
      <c r="U59" s="12">
        <f>'TUSD BE'!$U$59*'TUSD BE'!$U$68</f>
        <v>0</v>
      </c>
      <c r="V59" s="12">
        <f>'TUSD BE'!$V$59*'TUSD BE'!$V$68</f>
        <v>0</v>
      </c>
      <c r="W59" s="12">
        <f>'TUSD BE'!$W$59*'TUSD BE'!$W$68</f>
        <v>0</v>
      </c>
      <c r="X59" s="12">
        <f>'TUSD BE'!$X$59*'TUSD BE'!$X$68</f>
        <v>0</v>
      </c>
      <c r="Y59" s="12">
        <f>'TUSD BE'!$Y$59*'TUSD BE'!$Y$68</f>
        <v>4.7581053024306144</v>
      </c>
      <c r="Z59" s="12">
        <f>'TUSD BE'!$Z$59*'TUSD BE'!$Z$68</f>
        <v>0</v>
      </c>
      <c r="AA59" s="12">
        <f>'TUSD BE'!$AA$59*'TUSD BE'!$AA$68</f>
        <v>0</v>
      </c>
      <c r="AB59" s="12">
        <f>SUM($U$59:$AA$59)</f>
        <v>4.7581053024306144</v>
      </c>
      <c r="AC59" s="12">
        <f>'TUSD BE'!$AC$59*'TUSD BE'!$AC$68</f>
        <v>0</v>
      </c>
      <c r="AD59" s="12">
        <f>SUM($AC$59:$AC$59)</f>
        <v>0</v>
      </c>
      <c r="AE59" s="12">
        <f ca="1">$AO$59*$AO$65</f>
        <v>0</v>
      </c>
      <c r="AF59" s="12">
        <f ca="1">$AP$59*$AP$65</f>
        <v>0</v>
      </c>
      <c r="AG59" s="12">
        <f ca="1">SUM($AE$59:$AF$59)</f>
        <v>0</v>
      </c>
      <c r="AH59" s="12">
        <f>'TUSD BE'!$AH$59*'TUSD BE'!$AH$68</f>
        <v>-1.184925786756859</v>
      </c>
      <c r="AI59" s="12">
        <f>'TUSD BE'!$AI$59*'TUSD BE'!$AI$68</f>
        <v>-4.3545283575530211E-2</v>
      </c>
      <c r="AJ59" s="12">
        <f ca="1">'TUSD BE'!$AJ$59*'TUSD BE'!$AJ$68</f>
        <v>-0.12932020651147716</v>
      </c>
      <c r="AK59" s="12">
        <f ca="1">'TUSD BE'!$AK$59*'TUSD BE'!$AK$68</f>
        <v>2.4442310593684451E-2</v>
      </c>
      <c r="AL59" s="12">
        <f ca="1">SUM($AH$59:$AK$59)</f>
        <v>-1.3333489662501818</v>
      </c>
      <c r="AM59" s="12">
        <f t="shared" ca="1" si="6"/>
        <v>-51.559323307307785</v>
      </c>
      <c r="AO59" s="20">
        <f ca="1">+'TUSD BE'!$T$59+'TUSD BE'!$AB$59+'TUSD BE'!$AD$59+'TUSD BE'!$AL$59</f>
        <v>343.22837518745104</v>
      </c>
      <c r="AP59" s="20">
        <f ca="1">+'TUSD BE'!$T$59+'TUSD BE'!$AB$59+'TUSD BE'!$AD$59+'TUSD BE'!$AL$59</f>
        <v>343.22837518745104</v>
      </c>
      <c r="AQ59" s="15" t="str">
        <f t="shared" si="5"/>
        <v>Convencional pré-pagamento</v>
      </c>
      <c r="AR59" s="9">
        <f t="shared" si="2"/>
        <v>1</v>
      </c>
      <c r="AS59" s="9">
        <f ca="1">IFERROR(VLOOKUP(A59,TarifaMedia!$C$37:$E$42,2,0),AS58)</f>
        <v>1</v>
      </c>
      <c r="AT59" s="15">
        <f ca="1">'TUSD BE'!AM59+'TUSD BF'!AM59+'TUSD CVA'!AM59</f>
        <v>362.48776111536552</v>
      </c>
      <c r="AU59" s="15">
        <f>'TABELAS REH COPEL'!R31</f>
        <v>310.8</v>
      </c>
      <c r="AV59" s="15">
        <f t="shared" ca="1" si="3"/>
        <v>-51.687761115365504</v>
      </c>
      <c r="AW59" s="107">
        <f t="shared" ca="1" si="4"/>
        <v>0</v>
      </c>
    </row>
    <row r="60" spans="1:49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'TUSD BE'!$L$60*'TUSD BE'!$L$68</f>
        <v>-0.64885147671009791</v>
      </c>
      <c r="M60" s="12">
        <f>'TUSD BE'!$M$60*'TUSD BE'!$M$68</f>
        <v>-8.5433028371076185E-3</v>
      </c>
      <c r="N60" s="12">
        <f ca="1">'TUSD BE'!$N$60*'TUSD BE'!$N$68</f>
        <v>9.6220576829310486E-8</v>
      </c>
      <c r="O60" s="12">
        <f>'TUSD BE'!$O$60*'TUSD BE'!$O$68</f>
        <v>0</v>
      </c>
      <c r="P60" s="12">
        <f>'TUSD BE'!$P$60*'TUSD BE'!$P$68</f>
        <v>0</v>
      </c>
      <c r="Q60" s="12">
        <f>'TUSD BE'!$Q$60*'TUSD BE'!$Q$68</f>
        <v>-1.0024515953281952</v>
      </c>
      <c r="R60" s="12">
        <f>'TUSD BE'!$R$60*'TUSD BE'!$R$68</f>
        <v>-0.15312891181266858</v>
      </c>
      <c r="S60" s="12">
        <f>'TUSD BE'!$R$60*'TUSD BE'!$S$68</f>
        <v>0</v>
      </c>
      <c r="T60" s="12">
        <f ca="1">SUM($L$60:$S$60)</f>
        <v>-1.8129751904674924</v>
      </c>
      <c r="U60" s="12">
        <f>'TUSD BE'!$U$60*'TUSD BE'!$U$68</f>
        <v>0</v>
      </c>
      <c r="V60" s="12">
        <f>'TUSD BE'!$V$60*'TUSD BE'!$V$68</f>
        <v>0</v>
      </c>
      <c r="W60" s="12">
        <f>'TUSD BE'!$W$60*'TUSD BE'!$W$68</f>
        <v>0</v>
      </c>
      <c r="X60" s="12">
        <f>'TUSD BE'!$X$60*'TUSD BE'!$X$68</f>
        <v>0</v>
      </c>
      <c r="Y60" s="12">
        <f>'TUSD BE'!$Y$60*'TUSD BE'!$Y$68</f>
        <v>2.6169579163368382</v>
      </c>
      <c r="Z60" s="12">
        <f>'TUSD BE'!$Z$60*'TUSD BE'!$Z$68</f>
        <v>0</v>
      </c>
      <c r="AA60" s="12">
        <f>'TUSD BE'!$AA$60*'TUSD BE'!$AA$68</f>
        <v>0</v>
      </c>
      <c r="AB60" s="12">
        <f>SUM($U$60:$AA$60)</f>
        <v>2.6169579163368382</v>
      </c>
      <c r="AC60" s="12">
        <f>'TUSD BE'!$AC$60*'TUSD BE'!$AC$68</f>
        <v>0</v>
      </c>
      <c r="AD60" s="12">
        <f>SUM($AC$60:$AC$60)</f>
        <v>0</v>
      </c>
      <c r="AE60" s="12">
        <f ca="1">$AO$60*$AO$65</f>
        <v>0</v>
      </c>
      <c r="AF60" s="12">
        <f ca="1">$AP$60*$AP$65</f>
        <v>0</v>
      </c>
      <c r="AG60" s="12">
        <f ca="1">SUM($AE$60:$AF$60)</f>
        <v>0</v>
      </c>
      <c r="AH60" s="12">
        <f>'TUSD BE'!$AH$60*'TUSD BE'!$AH$68</f>
        <v>-0.65170918271627243</v>
      </c>
      <c r="AI60" s="12">
        <f>'TUSD BE'!$AI$60*'TUSD BE'!$AI$68</f>
        <v>-2.3949905966541615E-2</v>
      </c>
      <c r="AJ60" s="12">
        <f ca="1">'TUSD BE'!$AJ$60*'TUSD BE'!$AJ$68</f>
        <v>-7.1126113581312447E-2</v>
      </c>
      <c r="AK60" s="12">
        <f ca="1">'TUSD BE'!$AK$60*'TUSD BE'!$AK$68</f>
        <v>1.344327082652645E-2</v>
      </c>
      <c r="AL60" s="12">
        <f ca="1">SUM($AH$60:$AK$60)</f>
        <v>-0.73334193143760007</v>
      </c>
      <c r="AM60" s="12">
        <f t="shared" ca="1" si="6"/>
        <v>-28.357627819019307</v>
      </c>
      <c r="AO60" s="20">
        <f ca="1">+'TUSD BE'!$T$60+'TUSD BE'!$AB$60+'TUSD BE'!$AD$60+'TUSD BE'!$AL$60</f>
        <v>188.77560635309808</v>
      </c>
      <c r="AP60" s="20">
        <f ca="1">+'TUSD BE'!$T$60+'TUSD BE'!$AB$60+'TUSD BE'!$AD$60+'TUSD BE'!$AL$60</f>
        <v>188.77560635309808</v>
      </c>
      <c r="AQ60" s="15" t="str">
        <f t="shared" si="5"/>
        <v>Convencional</v>
      </c>
      <c r="AR60" s="9">
        <f t="shared" si="2"/>
        <v>1</v>
      </c>
      <c r="AS60" s="9">
        <f ca="1">IFERROR(VLOOKUP(A60,TarifaMedia!$C$37:$E$42,2,0),AS59)</f>
        <v>1</v>
      </c>
      <c r="AT60" s="15">
        <f ca="1">'TUSD BE'!AM60+'TUSD BF'!AM60+'TUSD CVA'!AM60</f>
        <v>199.36826861345105</v>
      </c>
      <c r="AU60" s="15">
        <f>'TABELAS REH COPEL'!R32</f>
        <v>170.94</v>
      </c>
      <c r="AV60" s="15">
        <f t="shared" ca="1" si="3"/>
        <v>-28.428268613451053</v>
      </c>
      <c r="AW60" s="107">
        <f t="shared" ca="1" si="4"/>
        <v>346839.26178802131</v>
      </c>
    </row>
    <row r="61" spans="1:49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'TUSD BE'!$L$61*'TUSD BE'!$L$68</f>
        <v>-0.70783797459283393</v>
      </c>
      <c r="M61" s="12">
        <f>'TUSD BE'!$M$61*'TUSD BE'!$M$68</f>
        <v>-9.319966731390128E-3</v>
      </c>
      <c r="N61" s="12">
        <f ca="1">'TUSD BE'!$N$61*'TUSD BE'!$N$68</f>
        <v>1.0496790199561142E-7</v>
      </c>
      <c r="O61" s="12">
        <f>'TUSD BE'!$O$61*'TUSD BE'!$O$68</f>
        <v>0</v>
      </c>
      <c r="P61" s="12">
        <f>'TUSD BE'!$P$61*'TUSD BE'!$P$68</f>
        <v>0</v>
      </c>
      <c r="Q61" s="12">
        <f>'TUSD BE'!$Q$61*'TUSD BE'!$Q$68</f>
        <v>-1.0935835585398492</v>
      </c>
      <c r="R61" s="12">
        <f>'TUSD BE'!$R$61*'TUSD BE'!$R$68</f>
        <v>-0.16704972197745663</v>
      </c>
      <c r="S61" s="12">
        <f>'TUSD BE'!$R$61*'TUSD BE'!$S$68</f>
        <v>0</v>
      </c>
      <c r="T61" s="12">
        <f ca="1">SUM($L$61:$S$61)</f>
        <v>-1.977791116873628</v>
      </c>
      <c r="U61" s="12">
        <f>'TUSD BE'!$U$61*'TUSD BE'!$U$68</f>
        <v>0</v>
      </c>
      <c r="V61" s="12">
        <f>'TUSD BE'!$V$61*'TUSD BE'!$V$68</f>
        <v>0</v>
      </c>
      <c r="W61" s="12">
        <f>'TUSD BE'!$W$61*'TUSD BE'!$W$68</f>
        <v>0</v>
      </c>
      <c r="X61" s="12">
        <f>'TUSD BE'!$X$61*'TUSD BE'!$X$68</f>
        <v>0</v>
      </c>
      <c r="Y61" s="12">
        <f>'TUSD BE'!$Y$61*'TUSD BE'!$Y$68</f>
        <v>2.8548631814583687</v>
      </c>
      <c r="Z61" s="12">
        <f>'TUSD BE'!$Z$61*'TUSD BE'!$Z$68</f>
        <v>0</v>
      </c>
      <c r="AA61" s="12">
        <f>'TUSD BE'!$AA$61*'TUSD BE'!$AA$68</f>
        <v>0</v>
      </c>
      <c r="AB61" s="12">
        <f>SUM($U$61:$AA$61)</f>
        <v>2.8548631814583687</v>
      </c>
      <c r="AC61" s="12">
        <f>'TUSD BE'!$AC$61*'TUSD BE'!$AC$68</f>
        <v>0</v>
      </c>
      <c r="AD61" s="12">
        <f>SUM($AC$61:$AC$61)</f>
        <v>0</v>
      </c>
      <c r="AE61" s="12">
        <f ca="1">$AO$61*$AO$65</f>
        <v>0</v>
      </c>
      <c r="AF61" s="12">
        <f ca="1">$AP$61*$AP$65</f>
        <v>0</v>
      </c>
      <c r="AG61" s="12">
        <f ca="1">SUM($AE$61:$AF$61)</f>
        <v>0</v>
      </c>
      <c r="AH61" s="12">
        <f>'TUSD BE'!$AH$61*'TUSD BE'!$AH$68</f>
        <v>-0.71095547205411547</v>
      </c>
      <c r="AI61" s="12">
        <f>'TUSD BE'!$AI$61*'TUSD BE'!$AI$68</f>
        <v>-2.6127170145318124E-2</v>
      </c>
      <c r="AJ61" s="12">
        <f ca="1">'TUSD BE'!$AJ$61*'TUSD BE'!$AJ$68</f>
        <v>-7.7592123906886287E-2</v>
      </c>
      <c r="AK61" s="12">
        <f ca="1">'TUSD BE'!$AK$61*'TUSD BE'!$AK$68</f>
        <v>1.4665386356210669E-2</v>
      </c>
      <c r="AL61" s="12">
        <f ca="1">SUM($AH$61:$AK$61)</f>
        <v>-0.80000937975010933</v>
      </c>
      <c r="AM61" s="12">
        <f t="shared" ca="1" si="6"/>
        <v>-30.935593984384724</v>
      </c>
      <c r="AO61" s="20">
        <f ca="1">+'TUSD BE'!$T$61+'TUSD BE'!$AB$61+'TUSD BE'!$AD$61+'TUSD BE'!$AL$61</f>
        <v>205.93702511247065</v>
      </c>
      <c r="AP61" s="20">
        <f ca="1">+'TUSD BE'!$T$61+'TUSD BE'!$AB$61+'TUSD BE'!$AD$61+'TUSD BE'!$AL$61</f>
        <v>205.93702511247065</v>
      </c>
      <c r="AQ61" s="15">
        <f t="shared" si="5"/>
        <v>0</v>
      </c>
      <c r="AR61" s="9">
        <f t="shared" si="2"/>
        <v>1</v>
      </c>
      <c r="AS61" s="9">
        <f ca="1">IFERROR(VLOOKUP(A61,TarifaMedia!$C$37:$E$42,2,0),AS60)</f>
        <v>1</v>
      </c>
      <c r="AT61" s="15">
        <f ca="1">'TUSD BE'!AM61+'TUSD BF'!AM61+'TUSD CVA'!AM61</f>
        <v>217.49265666921934</v>
      </c>
      <c r="AU61" s="15">
        <f>'TABELAS REH COPEL'!R33</f>
        <v>186.48</v>
      </c>
      <c r="AV61" s="15">
        <f t="shared" ca="1" si="3"/>
        <v>-31.012656669219353</v>
      </c>
      <c r="AW61" s="107">
        <f t="shared" ca="1" si="4"/>
        <v>0</v>
      </c>
    </row>
    <row r="62" spans="1:49" ht="11.25" customHeight="1" x14ac:dyDescent="0.25">
      <c r="AW62" s="108">
        <f ca="1">SUM(AW5:AW61)</f>
        <v>8014617.9587678574</v>
      </c>
    </row>
    <row r="63" spans="1:49" ht="11.25" customHeight="1" x14ac:dyDescent="0.25">
      <c r="K63" s="16" t="s">
        <v>691</v>
      </c>
      <c r="L63" s="12">
        <f>SUMPRODUCT($I$5:$I61,$L$5:$L61)</f>
        <v>-357318.81649529439</v>
      </c>
      <c r="M63" s="12">
        <f>SUMPRODUCT($I$5:$I61,$M$5:$M61)</f>
        <v>-3228.9092881405677</v>
      </c>
      <c r="N63" s="12">
        <f ca="1">SUMPRODUCT($I$5:$I61,$N$5:$N61)</f>
        <v>3.1154783332886526E-2</v>
      </c>
      <c r="O63" s="12">
        <f>SUMPRODUCT($I$5:$I61,$O$5:$O61)</f>
        <v>0</v>
      </c>
      <c r="P63" s="12">
        <f>SUMPRODUCT($I$5:$I61,$P$5:$P61)</f>
        <v>0</v>
      </c>
      <c r="Q63" s="12">
        <f>SUMPRODUCT($I$5:$I61,$Q$5:$Q61)</f>
        <v>-552044.38996218762</v>
      </c>
      <c r="R63" s="12">
        <f>SUMPRODUCT($I$5:$I61,$R$5:$R61)</f>
        <v>-93681.673491500769</v>
      </c>
      <c r="S63" s="12">
        <f>SUMPRODUCT($I$5:$I61,$S$5:$S61)</f>
        <v>0</v>
      </c>
      <c r="T63" s="12">
        <f ca="1">SUMPRODUCT($I$5:$I61,$T$5:$T61)</f>
        <v>-1006273.7580823399</v>
      </c>
      <c r="U63" s="12">
        <f>SUMPRODUCT($I$5:$I61,$U$5:$U61)</f>
        <v>0</v>
      </c>
      <c r="V63" s="12">
        <f>SUMPRODUCT($I$5:$I61,$V$5:$V61)</f>
        <v>0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1584254.3842446099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1584254.3842446099</v>
      </c>
      <c r="AC63" s="12">
        <f>SUMPRODUCT($I$5:$I61,$AC$5:$AC61)</f>
        <v>0</v>
      </c>
      <c r="AD63" s="12">
        <f>SUMPRODUCT($I$5:$I61,$AD$5:$AD61)</f>
        <v>0</v>
      </c>
      <c r="AE63" s="12">
        <f ca="1">SUMPRODUCT($I$5:$I61,$AE$5:$AE61)</f>
        <v>0</v>
      </c>
      <c r="AF63" s="12">
        <f ca="1">SUMPRODUCT($I$5:$I61,$AF$5:$AF61)</f>
        <v>0</v>
      </c>
      <c r="AG63" s="12">
        <f ca="1">SUMPRODUCT($I$5:$I61,$AG$5:$AG61)</f>
        <v>0</v>
      </c>
      <c r="AH63" s="12">
        <f>SUMPRODUCT($I$5:$I61,$AH$5:$AH61)</f>
        <v>-231560.95070354312</v>
      </c>
      <c r="AI63" s="12">
        <f>SUMPRODUCT($I$5:$I61,$AI$5:$AI61)</f>
        <v>-8509.7205041029483</v>
      </c>
      <c r="AJ63" s="12">
        <f ca="1">SUMPRODUCT($I$5:$I61,$AJ$5:$AJ61)</f>
        <v>-35851.058360154922</v>
      </c>
      <c r="AK63" s="12">
        <f ca="1">SUMPRODUCT($I$5:$I61,$AK$5:$AK61)</f>
        <v>6776.0694727427926</v>
      </c>
      <c r="AL63" s="12">
        <f ca="1">SUMPRODUCT($I$5:$I61,$AL$5:$AL61)</f>
        <v>-269145.66009505827</v>
      </c>
      <c r="AM63" s="12">
        <f ca="1">SUMPRODUCT($I$5:$I61,$AM$5:$AM61)</f>
        <v>-7705782.9927006457</v>
      </c>
      <c r="AO63" s="17">
        <f ca="1">SUMPRODUCT($I$5:$I61,$AO$5:$AO61)</f>
        <v>91574863.01301533</v>
      </c>
      <c r="AP63" s="17">
        <f ca="1">SUMPRODUCT($I$5:$I61,$AP$5:$AP61)</f>
        <v>91574863.01301533</v>
      </c>
    </row>
    <row r="64" spans="1:49" ht="11.25" customHeight="1" x14ac:dyDescent="0.25">
      <c r="K64" s="16" t="s">
        <v>623</v>
      </c>
      <c r="L64" s="12">
        <f>'TR TUSD'!$L$66</f>
        <v>697442.17467197916</v>
      </c>
      <c r="M64" s="12">
        <f>'TR TUSD'!$M$66</f>
        <v>124119.17919688004</v>
      </c>
      <c r="N64" s="12">
        <f>'TR TUSD'!$N$66</f>
        <v>703144.23757571727</v>
      </c>
      <c r="O64" s="12">
        <f>'TR TUSD'!$O$66</f>
        <v>0</v>
      </c>
      <c r="P64" s="12">
        <f>'TR TUSD'!$P$66</f>
        <v>0</v>
      </c>
      <c r="Q64" s="12">
        <f>'TR TUSD'!$Q$66</f>
        <v>27418446.470860098</v>
      </c>
      <c r="R64" s="12">
        <f>'TR TUSD'!$R$66</f>
        <v>4828803.3032447295</v>
      </c>
      <c r="S64" s="12">
        <f>'TR TUSD'!$S$66</f>
        <v>0</v>
      </c>
      <c r="T64" s="12">
        <f>'TR TUSD'!$T$66</f>
        <v>33771955.365549408</v>
      </c>
      <c r="U64" s="12">
        <f>'TR TUSD'!$U$66</f>
        <v>0</v>
      </c>
      <c r="V64" s="12">
        <f>'TR TUSD'!$V$66</f>
        <v>0</v>
      </c>
      <c r="W64" s="12">
        <f>'TR TUSD'!$W$66</f>
        <v>0</v>
      </c>
      <c r="X64" s="12">
        <f>'TR TUSD'!$X$66</f>
        <v>0</v>
      </c>
      <c r="Y64" s="12">
        <f>'TR TUSD'!$Y$66</f>
        <v>25961487.078740001</v>
      </c>
      <c r="Z64" s="12">
        <f>'TR TUSD'!$Z$66</f>
        <v>0</v>
      </c>
      <c r="AA64" s="12">
        <f>'TR TUSD'!$AA$66</f>
        <v>0</v>
      </c>
      <c r="AB64" s="12">
        <f>'TR TUSD'!$AB$66</f>
        <v>25961487.078740001</v>
      </c>
      <c r="AC64" s="12">
        <f>'TR TUSD'!$AC$66</f>
        <v>27932230.133610278</v>
      </c>
      <c r="AD64" s="12">
        <f>'TR TUSD'!$AD$66</f>
        <v>27932230.133610278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3205620.5271767355</v>
      </c>
      <c r="AI64" s="12">
        <f>'TR TUSD'!$AI$66</f>
        <v>117804.55489411573</v>
      </c>
      <c r="AJ64" s="12">
        <f>'TR TUSD'!$AJ$66</f>
        <v>496305.13370735297</v>
      </c>
      <c r="AK64" s="12">
        <f>'TR TUSD'!$AK$66</f>
        <v>89460.219337455084</v>
      </c>
      <c r="AL64" s="12">
        <f>'TR TUSD'!$AL$66</f>
        <v>3909190.4351156591</v>
      </c>
      <c r="AM64" s="12">
        <f>'TUSD BE'!$AM$64</f>
        <v>91574863.01301536</v>
      </c>
      <c r="AO64" s="17">
        <f>$AE$65</f>
        <v>0</v>
      </c>
      <c r="AP64" s="17">
        <f>$AF$65</f>
        <v>0</v>
      </c>
    </row>
    <row r="65" spans="11:42" ht="11.25" customHeight="1" x14ac:dyDescent="0.25">
      <c r="K65" s="16" t="s">
        <v>624</v>
      </c>
      <c r="L65" s="12">
        <f>CUSTOS!$E$2</f>
        <v>-357318.81649529445</v>
      </c>
      <c r="M65" s="12">
        <f>CUSTOS!$E$3</f>
        <v>-3228.9092881405668</v>
      </c>
      <c r="N65" s="12">
        <f>CUSTOS!$E$4</f>
        <v>3.1154783332886529E-2</v>
      </c>
      <c r="O65" s="12">
        <f>CUSTOS!$E$5</f>
        <v>0</v>
      </c>
      <c r="P65" s="12">
        <f>CUSTOS!$E$6</f>
        <v>0</v>
      </c>
      <c r="Q65" s="12">
        <f>CUSTOS!$E$7</f>
        <v>-552044.3899621875</v>
      </c>
      <c r="R65" s="12">
        <f>CUSTOS!$E$8</f>
        <v>-93681.673491500784</v>
      </c>
      <c r="S65" s="12">
        <f>CUSTOS!$E$9</f>
        <v>0</v>
      </c>
      <c r="T65" s="12">
        <f>CUSTOS!$E$10</f>
        <v>-1006273.75808234</v>
      </c>
      <c r="U65" s="12">
        <f>CUSTOS!$E$11</f>
        <v>0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1584254.3842446101</v>
      </c>
      <c r="Z65" s="12">
        <f>CUSTOS!$E$16</f>
        <v>0</v>
      </c>
      <c r="AA65" s="12">
        <f>CUSTOS!$E$17</f>
        <v>0</v>
      </c>
      <c r="AB65" s="12">
        <f>CUSTOS!$E$18</f>
        <v>1584254.3842446101</v>
      </c>
      <c r="AC65" s="12">
        <f>CUSTOS!$E$19</f>
        <v>0</v>
      </c>
      <c r="AD65" s="12">
        <f>CUSTOS!$E$20</f>
        <v>0</v>
      </c>
      <c r="AE65" s="12">
        <f>CUSTOS!$E$21</f>
        <v>0</v>
      </c>
      <c r="AF65" s="12">
        <f>CUSTOS!$E$22</f>
        <v>0</v>
      </c>
      <c r="AG65" s="12">
        <f>CUSTOS!$E$23</f>
        <v>0</v>
      </c>
      <c r="AH65" s="12">
        <f>CUSTOS!$E$24</f>
        <v>-231560.95070354312</v>
      </c>
      <c r="AI65" s="12">
        <f>CUSTOS!$E$25</f>
        <v>-8509.7205041029483</v>
      </c>
      <c r="AJ65" s="12">
        <f>CUSTOS!$E$26</f>
        <v>-35851.058360154915</v>
      </c>
      <c r="AK65" s="12">
        <f>CUSTOS!$E$27</f>
        <v>6776.0694727427945</v>
      </c>
      <c r="AL65" s="12">
        <f>CUSTOS!$E$28</f>
        <v>-269145.66009505821</v>
      </c>
      <c r="AM65" s="12">
        <f>CUSTOS!$E$29</f>
        <v>308834.96606721188</v>
      </c>
      <c r="AO65" s="17">
        <f ca="1">IF(AO63&lt;&gt;0,AO64/AO63,0)</f>
        <v>0</v>
      </c>
      <c r="AP65" s="17">
        <f ca="1">IF(AP63&lt;&gt;0,AP64/AP63,0)</f>
        <v>0</v>
      </c>
    </row>
    <row r="66" spans="11:42" ht="11.25" customHeight="1" x14ac:dyDescent="0.25">
      <c r="K66" s="16" t="s">
        <v>625</v>
      </c>
      <c r="L66" s="12">
        <f>CUSTOS!$F$2</f>
        <v>62582.817979041516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3987683.0594000001</v>
      </c>
      <c r="R66" s="12">
        <f>CUSTOS!$F$8</f>
        <v>1069650.2378</v>
      </c>
      <c r="S66" s="12">
        <f>CUSTOS!$F$9</f>
        <v>0</v>
      </c>
      <c r="T66" s="12">
        <f>CUSTOS!$F$10</f>
        <v>5119916.1151790414</v>
      </c>
      <c r="U66" s="12">
        <f>CUSTOS!$F$11</f>
        <v>0</v>
      </c>
      <c r="V66" s="12">
        <f>CUSTOS!$F$12</f>
        <v>0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0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439928.63631860464</v>
      </c>
      <c r="AI66" s="12">
        <f>CUSTOS!$F$25</f>
        <v>16167.102982813924</v>
      </c>
      <c r="AJ66" s="12">
        <f>CUSTOS!$F$26</f>
        <v>68111.256094961005</v>
      </c>
      <c r="AK66" s="12">
        <f>CUSTOS!$F$27</f>
        <v>0</v>
      </c>
      <c r="AL66" s="12">
        <f>CUSTOS!$F$28</f>
        <v>524206.99539637956</v>
      </c>
      <c r="AM66" s="12">
        <f>CUSTOS!$F$29</f>
        <v>5644123.1105754208</v>
      </c>
    </row>
    <row r="67" spans="11:42" ht="11.25" customHeight="1" x14ac:dyDescent="0.25">
      <c r="K67" s="16" t="s">
        <v>688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f>SUM($L$67:$S$67)</f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f>SUM($U$67:$AA$67)</f>
        <v>0</v>
      </c>
      <c r="AC67" s="12">
        <v>0</v>
      </c>
      <c r="AD67" s="12">
        <f>SUM($AC$67:$AC$67)</f>
        <v>0</v>
      </c>
      <c r="AE67" s="12">
        <v>0</v>
      </c>
      <c r="AF67" s="12">
        <v>0</v>
      </c>
      <c r="AG67" s="12">
        <f>SUM($AE$67:$AF$67)</f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f>SUM($AH$67:$AK$67)</f>
        <v>0</v>
      </c>
      <c r="AM67" s="12"/>
    </row>
    <row r="68" spans="11:42" ht="11.25" customHeight="1" x14ac:dyDescent="0.25">
      <c r="K68" s="16" t="s">
        <v>700</v>
      </c>
      <c r="L68" s="12">
        <f t="shared" ref="L68:R68" si="8">IF((L64-(0))&lt;&gt;0,(L66)/(L64-(0)),0)</f>
        <v>8.9731909327788295E-2</v>
      </c>
      <c r="M68" s="12">
        <f t="shared" si="8"/>
        <v>0</v>
      </c>
      <c r="N68" s="12">
        <f t="shared" si="8"/>
        <v>0</v>
      </c>
      <c r="O68" s="12">
        <f t="shared" si="8"/>
        <v>0</v>
      </c>
      <c r="P68" s="12">
        <f t="shared" si="8"/>
        <v>0</v>
      </c>
      <c r="Q68" s="12">
        <f t="shared" si="8"/>
        <v>0.14543796504437434</v>
      </c>
      <c r="R68" s="12">
        <f t="shared" si="8"/>
        <v>0.22151455974221299</v>
      </c>
      <c r="S68" s="12">
        <f>IF((R63-(0)&lt;&gt;0),(S65)/(R63-(0)),0)</f>
        <v>0</v>
      </c>
      <c r="T68" s="12"/>
      <c r="U68" s="12">
        <f t="shared" ref="U68:AA68" si="9">IF((U64-(0))&lt;&gt;0,(U66)/(U64-(0)),0)</f>
        <v>0</v>
      </c>
      <c r="V68" s="12">
        <f t="shared" si="9"/>
        <v>0</v>
      </c>
      <c r="W68" s="12">
        <f t="shared" si="9"/>
        <v>0</v>
      </c>
      <c r="X68" s="12">
        <f t="shared" si="9"/>
        <v>0</v>
      </c>
      <c r="Y68" s="12">
        <f t="shared" si="9"/>
        <v>0</v>
      </c>
      <c r="Z68" s="12">
        <f t="shared" si="9"/>
        <v>0</v>
      </c>
      <c r="AA68" s="12">
        <f t="shared" si="9"/>
        <v>0</v>
      </c>
      <c r="AB68" s="12"/>
      <c r="AC68" s="12">
        <f>IF((AC64-(0))&lt;&gt;0,(AC66)/(AC64-(0)),0)</f>
        <v>0</v>
      </c>
      <c r="AD68" s="12"/>
      <c r="AE68" s="12">
        <f ca="1">IF(($AM63-(0))&lt;&gt;0,(AE65)/($AM63-(0)),0)</f>
        <v>0</v>
      </c>
      <c r="AF68" s="12">
        <f ca="1">IF(($AM63-(0))&lt;&gt;0,(AF65)/($AM63-(0)),0)</f>
        <v>0</v>
      </c>
      <c r="AG68" s="12"/>
      <c r="AH68" s="12">
        <f>IF((AH64-(0))&lt;&gt;0,(AH66)/(AH64-(0)),0)</f>
        <v>0.13723665436659155</v>
      </c>
      <c r="AI68" s="12">
        <f>IF((AI64-(0))&lt;&gt;0,(AI66)/(AI64-(0)),0)</f>
        <v>0.13723665436659158</v>
      </c>
      <c r="AJ68" s="12">
        <f>IF((AJ64-(0))&lt;&gt;0,(AJ66)/(AJ64-(0)),0)</f>
        <v>0.13723665436659155</v>
      </c>
      <c r="AK68" s="12">
        <f>IF((AK64-(0))&lt;&gt;0,(AK66)/(AK64-(0)),0)</f>
        <v>0</v>
      </c>
      <c r="AL68" s="12"/>
      <c r="AM68" s="12"/>
    </row>
  </sheetData>
  <mergeCells count="92">
    <mergeCell ref="AS1:AS4"/>
    <mergeCell ref="AT1:AT4"/>
    <mergeCell ref="AU1:AU4"/>
    <mergeCell ref="AV1:AV4"/>
    <mergeCell ref="AW1:AW4"/>
    <mergeCell ref="E55:E57"/>
    <mergeCell ref="F55:F57"/>
    <mergeCell ref="A60:A61"/>
    <mergeCell ref="B60:B61"/>
    <mergeCell ref="C60:C61"/>
    <mergeCell ref="AR1:AR4"/>
    <mergeCell ref="B52:B54"/>
    <mergeCell ref="C52:C54"/>
    <mergeCell ref="A55:A59"/>
    <mergeCell ref="B55:B57"/>
    <mergeCell ref="C55:C57"/>
    <mergeCell ref="D55:D57"/>
    <mergeCell ref="F44:F46"/>
    <mergeCell ref="B48:B50"/>
    <mergeCell ref="C48:C50"/>
    <mergeCell ref="D48:D50"/>
    <mergeCell ref="E48:E50"/>
    <mergeCell ref="F48:F50"/>
    <mergeCell ref="A40:A54"/>
    <mergeCell ref="B40:B42"/>
    <mergeCell ref="C40:C42"/>
    <mergeCell ref="D40:D42"/>
    <mergeCell ref="E40:E42"/>
    <mergeCell ref="F40:F42"/>
    <mergeCell ref="B44:B46"/>
    <mergeCell ref="C44:C46"/>
    <mergeCell ref="D44:D46"/>
    <mergeCell ref="E44:E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J1:J4"/>
    <mergeCell ref="L1:AM1"/>
    <mergeCell ref="A1:A4"/>
    <mergeCell ref="E20:E22"/>
    <mergeCell ref="C10:C14"/>
    <mergeCell ref="D10:D14"/>
    <mergeCell ref="E10:E12"/>
    <mergeCell ref="F10:F12"/>
    <mergeCell ref="E13:E14"/>
    <mergeCell ref="F13:F14"/>
    <mergeCell ref="F20:F22"/>
    <mergeCell ref="F5:F7"/>
    <mergeCell ref="B10:B14"/>
    <mergeCell ref="G1:G4"/>
    <mergeCell ref="H1:H4"/>
    <mergeCell ref="I1:I4"/>
    <mergeCell ref="A5:A14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63">
    <cfRule type="cellIs" dxfId="999" priority="55" operator="notEqual">
      <formula>$L$65</formula>
    </cfRule>
    <cfRule type="cellIs" dxfId="998" priority="56" operator="equal">
      <formula>$L$65</formula>
    </cfRule>
  </conditionalFormatting>
  <conditionalFormatting sqref="M63">
    <cfRule type="cellIs" dxfId="997" priority="53" operator="notEqual">
      <formula>$M$65</formula>
    </cfRule>
    <cfRule type="cellIs" dxfId="996" priority="54" operator="equal">
      <formula>$M$65</formula>
    </cfRule>
  </conditionalFormatting>
  <conditionalFormatting sqref="N63">
    <cfRule type="cellIs" dxfId="995" priority="51" operator="notEqual">
      <formula>$N$65</formula>
    </cfRule>
    <cfRule type="cellIs" dxfId="994" priority="52" operator="equal">
      <formula>$N$65</formula>
    </cfRule>
  </conditionalFormatting>
  <conditionalFormatting sqref="O63">
    <cfRule type="cellIs" dxfId="993" priority="49" operator="notEqual">
      <formula>$O$65</formula>
    </cfRule>
    <cfRule type="cellIs" dxfId="992" priority="50" operator="equal">
      <formula>$O$65</formula>
    </cfRule>
  </conditionalFormatting>
  <conditionalFormatting sqref="P63">
    <cfRule type="cellIs" dxfId="991" priority="47" operator="notEqual">
      <formula>$P$65</formula>
    </cfRule>
    <cfRule type="cellIs" dxfId="990" priority="48" operator="equal">
      <formula>$P$65</formula>
    </cfRule>
  </conditionalFormatting>
  <conditionalFormatting sqref="Q63">
    <cfRule type="cellIs" dxfId="989" priority="45" operator="notEqual">
      <formula>$Q$65</formula>
    </cfRule>
    <cfRule type="cellIs" dxfId="988" priority="46" operator="equal">
      <formula>$Q$65</formula>
    </cfRule>
  </conditionalFormatting>
  <conditionalFormatting sqref="R63">
    <cfRule type="cellIs" dxfId="987" priority="43" operator="notEqual">
      <formula>$R$65</formula>
    </cfRule>
    <cfRule type="cellIs" dxfId="986" priority="44" operator="equal">
      <formula>$R$65</formula>
    </cfRule>
  </conditionalFormatting>
  <conditionalFormatting sqref="S63">
    <cfRule type="cellIs" dxfId="985" priority="41" operator="notEqual">
      <formula>$S$65</formula>
    </cfRule>
    <cfRule type="cellIs" dxfId="984" priority="42" operator="equal">
      <formula>$S$65</formula>
    </cfRule>
  </conditionalFormatting>
  <conditionalFormatting sqref="T63">
    <cfRule type="cellIs" dxfId="983" priority="39" operator="notEqual">
      <formula>$T$65</formula>
    </cfRule>
    <cfRule type="cellIs" dxfId="982" priority="40" operator="equal">
      <formula>$T$65</formula>
    </cfRule>
  </conditionalFormatting>
  <conditionalFormatting sqref="U63">
    <cfRule type="cellIs" dxfId="981" priority="37" operator="notEqual">
      <formula>$U$65</formula>
    </cfRule>
    <cfRule type="cellIs" dxfId="980" priority="38" operator="equal">
      <formula>$U$65</formula>
    </cfRule>
  </conditionalFormatting>
  <conditionalFormatting sqref="V63">
    <cfRule type="cellIs" dxfId="979" priority="35" operator="notEqual">
      <formula>$V$65</formula>
    </cfRule>
    <cfRule type="cellIs" dxfId="978" priority="36" operator="equal">
      <formula>$V$65</formula>
    </cfRule>
  </conditionalFormatting>
  <conditionalFormatting sqref="W63">
    <cfRule type="cellIs" dxfId="977" priority="33" operator="notEqual">
      <formula>$W$65</formula>
    </cfRule>
    <cfRule type="cellIs" dxfId="976" priority="34" operator="equal">
      <formula>$W$65</formula>
    </cfRule>
  </conditionalFormatting>
  <conditionalFormatting sqref="X63">
    <cfRule type="cellIs" dxfId="975" priority="31" operator="notEqual">
      <formula>$X$65</formula>
    </cfRule>
    <cfRule type="cellIs" dxfId="974" priority="32" operator="equal">
      <formula>$X$65</formula>
    </cfRule>
  </conditionalFormatting>
  <conditionalFormatting sqref="Y63">
    <cfRule type="cellIs" dxfId="973" priority="29" operator="notEqual">
      <formula>$Y$65</formula>
    </cfRule>
    <cfRule type="cellIs" dxfId="972" priority="30" operator="equal">
      <formula>$Y$65</formula>
    </cfRule>
  </conditionalFormatting>
  <conditionalFormatting sqref="Z63">
    <cfRule type="cellIs" dxfId="971" priority="27" operator="notEqual">
      <formula>$Z$65</formula>
    </cfRule>
    <cfRule type="cellIs" dxfId="970" priority="28" operator="equal">
      <formula>$Z$65</formula>
    </cfRule>
  </conditionalFormatting>
  <conditionalFormatting sqref="AA63">
    <cfRule type="cellIs" dxfId="969" priority="25" operator="notEqual">
      <formula>$AA$65</formula>
    </cfRule>
    <cfRule type="cellIs" dxfId="968" priority="26" operator="equal">
      <formula>$AA$65</formula>
    </cfRule>
  </conditionalFormatting>
  <conditionalFormatting sqref="AB63">
    <cfRule type="cellIs" dxfId="967" priority="23" operator="notEqual">
      <formula>$AB$65</formula>
    </cfRule>
    <cfRule type="cellIs" dxfId="966" priority="24" operator="equal">
      <formula>$AB$65</formula>
    </cfRule>
  </conditionalFormatting>
  <conditionalFormatting sqref="AC63">
    <cfRule type="cellIs" dxfId="965" priority="21" operator="notEqual">
      <formula>$AC$65</formula>
    </cfRule>
    <cfRule type="cellIs" dxfId="964" priority="22" operator="equal">
      <formula>$AC$65</formula>
    </cfRule>
  </conditionalFormatting>
  <conditionalFormatting sqref="AD63">
    <cfRule type="cellIs" dxfId="963" priority="19" operator="notEqual">
      <formula>$AD$65</formula>
    </cfRule>
    <cfRule type="cellIs" dxfId="962" priority="20" operator="equal">
      <formula>$AD$65</formula>
    </cfRule>
  </conditionalFormatting>
  <conditionalFormatting sqref="AE63">
    <cfRule type="cellIs" dxfId="961" priority="17" operator="notEqual">
      <formula>$AE$65</formula>
    </cfRule>
    <cfRule type="cellIs" dxfId="960" priority="18" operator="equal">
      <formula>$AE$65</formula>
    </cfRule>
  </conditionalFormatting>
  <conditionalFormatting sqref="AF63">
    <cfRule type="cellIs" dxfId="959" priority="16" operator="equal">
      <formula>$AF$65</formula>
    </cfRule>
  </conditionalFormatting>
  <conditionalFormatting sqref="AF63">
    <cfRule type="cellIs" dxfId="958" priority="15" operator="notEqual">
      <formula>$AF$65</formula>
    </cfRule>
  </conditionalFormatting>
  <conditionalFormatting sqref="AG63">
    <cfRule type="cellIs" dxfId="957" priority="14" operator="equal">
      <formula>$AG$65</formula>
    </cfRule>
  </conditionalFormatting>
  <conditionalFormatting sqref="AG63">
    <cfRule type="cellIs" dxfId="956" priority="13" operator="notEqual">
      <formula>$AG$65</formula>
    </cfRule>
  </conditionalFormatting>
  <conditionalFormatting sqref="AH63">
    <cfRule type="cellIs" dxfId="955" priority="12" operator="equal">
      <formula>$AH$65</formula>
    </cfRule>
  </conditionalFormatting>
  <conditionalFormatting sqref="AH63">
    <cfRule type="cellIs" dxfId="954" priority="11" operator="notEqual">
      <formula>$AH$65</formula>
    </cfRule>
  </conditionalFormatting>
  <conditionalFormatting sqref="AI63">
    <cfRule type="cellIs" dxfId="953" priority="10" operator="equal">
      <formula>$AI$65</formula>
    </cfRule>
  </conditionalFormatting>
  <conditionalFormatting sqref="AI63">
    <cfRule type="cellIs" dxfId="952" priority="9" operator="notEqual">
      <formula>$AI$65</formula>
    </cfRule>
  </conditionalFormatting>
  <conditionalFormatting sqref="AJ63">
    <cfRule type="cellIs" dxfId="951" priority="8" operator="equal">
      <formula>$AJ$65</formula>
    </cfRule>
  </conditionalFormatting>
  <conditionalFormatting sqref="AJ63">
    <cfRule type="cellIs" dxfId="950" priority="7" operator="notEqual">
      <formula>$AJ$65</formula>
    </cfRule>
  </conditionalFormatting>
  <conditionalFormatting sqref="AK63">
    <cfRule type="cellIs" dxfId="949" priority="6" operator="equal">
      <formula>$AK$65</formula>
    </cfRule>
  </conditionalFormatting>
  <conditionalFormatting sqref="AK63">
    <cfRule type="cellIs" dxfId="948" priority="5" operator="notEqual">
      <formula>$AK$65</formula>
    </cfRule>
  </conditionalFormatting>
  <conditionalFormatting sqref="AL63">
    <cfRule type="cellIs" dxfId="947" priority="4" operator="equal">
      <formula>$AL$65</formula>
    </cfRule>
  </conditionalFormatting>
  <conditionalFormatting sqref="AL63">
    <cfRule type="cellIs" dxfId="946" priority="3" operator="notEqual">
      <formula>$AL$65</formula>
    </cfRule>
  </conditionalFormatting>
  <conditionalFormatting sqref="AM63">
    <cfRule type="cellIs" dxfId="945" priority="2" operator="equal">
      <formula>$AM$65</formula>
    </cfRule>
  </conditionalFormatting>
  <conditionalFormatting sqref="AM63">
    <cfRule type="cellIs" dxfId="944" priority="1" operator="notEqual">
      <formula>$AM$65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3DE2-BEB2-46FC-BC57-3D0F4643106D}">
  <sheetPr>
    <tabColor theme="8" tint="-0.249977111117893"/>
  </sheetPr>
  <dimension ref="A1:V120"/>
  <sheetViews>
    <sheetView showGridLines="0" workbookViewId="0">
      <selection activeCell="R27" sqref="R27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28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40" t="s">
        <v>857</v>
      </c>
      <c r="B1" s="158"/>
      <c r="C1" s="158"/>
      <c r="D1" s="158"/>
      <c r="E1" s="158"/>
      <c r="F1" s="158"/>
      <c r="G1" s="158"/>
      <c r="H1" s="158"/>
      <c r="I1" s="158"/>
      <c r="J1" s="158"/>
      <c r="L1" s="140" t="s">
        <v>867</v>
      </c>
      <c r="M1" s="141"/>
      <c r="N1" s="141"/>
      <c r="O1" s="141"/>
      <c r="P1" s="141"/>
      <c r="Q1" s="141"/>
      <c r="R1" s="141"/>
      <c r="S1" s="141"/>
      <c r="T1" s="141"/>
      <c r="U1" s="141"/>
      <c r="V1" s="141"/>
    </row>
    <row r="2" spans="1:22" ht="11.25" customHeight="1" x14ac:dyDescent="0.25">
      <c r="A2" s="155" t="s">
        <v>61</v>
      </c>
      <c r="B2" s="155" t="s">
        <v>62</v>
      </c>
      <c r="C2" s="155" t="s">
        <v>858</v>
      </c>
      <c r="D2" s="155" t="s">
        <v>67</v>
      </c>
      <c r="E2" s="155" t="s">
        <v>859</v>
      </c>
      <c r="F2" s="157"/>
      <c r="G2" s="157"/>
      <c r="H2" s="155" t="s">
        <v>623</v>
      </c>
      <c r="I2" s="157"/>
      <c r="J2" s="157"/>
      <c r="L2" s="155" t="s">
        <v>61</v>
      </c>
      <c r="M2" s="155" t="s">
        <v>62</v>
      </c>
      <c r="N2" s="155" t="s">
        <v>63</v>
      </c>
      <c r="O2" s="155" t="s">
        <v>64</v>
      </c>
      <c r="P2" s="155" t="s">
        <v>67</v>
      </c>
      <c r="Q2" s="155" t="s">
        <v>859</v>
      </c>
      <c r="R2" s="156"/>
      <c r="S2" s="156"/>
      <c r="T2" s="155" t="s">
        <v>623</v>
      </c>
      <c r="U2" s="156"/>
      <c r="V2" s="156"/>
    </row>
    <row r="3" spans="1:22" ht="11.25" customHeight="1" x14ac:dyDescent="0.25">
      <c r="A3" s="157"/>
      <c r="B3" s="157"/>
      <c r="C3" s="157"/>
      <c r="D3" s="157"/>
      <c r="E3" s="155" t="s">
        <v>581</v>
      </c>
      <c r="F3" s="157"/>
      <c r="G3" s="30" t="s">
        <v>609</v>
      </c>
      <c r="H3" s="155" t="s">
        <v>581</v>
      </c>
      <c r="I3" s="157"/>
      <c r="J3" s="30" t="s">
        <v>609</v>
      </c>
      <c r="L3" s="156"/>
      <c r="M3" s="156"/>
      <c r="N3" s="156"/>
      <c r="O3" s="156"/>
      <c r="P3" s="156"/>
      <c r="Q3" s="155" t="s">
        <v>581</v>
      </c>
      <c r="R3" s="156"/>
      <c r="S3" s="30" t="s">
        <v>609</v>
      </c>
      <c r="T3" s="155" t="s">
        <v>581</v>
      </c>
      <c r="U3" s="156"/>
      <c r="V3" s="30" t="s">
        <v>609</v>
      </c>
    </row>
    <row r="4" spans="1:22" ht="11.25" customHeight="1" x14ac:dyDescent="0.25">
      <c r="A4" s="157"/>
      <c r="B4" s="157"/>
      <c r="C4" s="157"/>
      <c r="D4" s="157"/>
      <c r="E4" s="30" t="s">
        <v>860</v>
      </c>
      <c r="F4" s="30" t="s">
        <v>861</v>
      </c>
      <c r="G4" s="30" t="s">
        <v>861</v>
      </c>
      <c r="H4" s="30" t="s">
        <v>860</v>
      </c>
      <c r="I4" s="30" t="s">
        <v>861</v>
      </c>
      <c r="J4" s="30" t="s">
        <v>861</v>
      </c>
      <c r="L4" s="156"/>
      <c r="M4" s="156"/>
      <c r="N4" s="156"/>
      <c r="O4" s="156"/>
      <c r="P4" s="156"/>
      <c r="Q4" s="30" t="s">
        <v>860</v>
      </c>
      <c r="R4" s="30" t="s">
        <v>861</v>
      </c>
      <c r="S4" s="30" t="s">
        <v>861</v>
      </c>
      <c r="T4" s="30" t="s">
        <v>860</v>
      </c>
      <c r="U4" s="30" t="s">
        <v>861</v>
      </c>
      <c r="V4" s="30" t="s">
        <v>861</v>
      </c>
    </row>
    <row r="5" spans="1:22" ht="11.25" customHeight="1" x14ac:dyDescent="0.25">
      <c r="A5" s="159" t="s">
        <v>835</v>
      </c>
      <c r="B5" s="159" t="s">
        <v>41</v>
      </c>
      <c r="C5" s="159" t="s">
        <v>1291</v>
      </c>
      <c r="D5" s="31" t="s">
        <v>862</v>
      </c>
      <c r="E5" s="29">
        <v>5.8</v>
      </c>
      <c r="F5" s="29">
        <v>76.8</v>
      </c>
      <c r="G5" s="29">
        <v>388.08</v>
      </c>
      <c r="H5" s="29">
        <v>4.97</v>
      </c>
      <c r="I5" s="29">
        <v>77.510000000000005</v>
      </c>
      <c r="J5" s="29">
        <v>404.37</v>
      </c>
      <c r="L5" s="160" t="s">
        <v>22</v>
      </c>
      <c r="M5" s="160" t="s">
        <v>868</v>
      </c>
      <c r="N5" s="160" t="s">
        <v>869</v>
      </c>
      <c r="O5" s="160" t="s">
        <v>869</v>
      </c>
      <c r="P5" s="31" t="s">
        <v>862</v>
      </c>
      <c r="Q5" s="29">
        <v>0</v>
      </c>
      <c r="R5" s="29">
        <v>616.61</v>
      </c>
      <c r="S5" s="29">
        <v>388.08</v>
      </c>
      <c r="T5" s="29">
        <v>0</v>
      </c>
      <c r="U5" s="29">
        <v>659.97</v>
      </c>
      <c r="V5" s="29">
        <v>404.37</v>
      </c>
    </row>
    <row r="6" spans="1:22" ht="11.25" customHeight="1" x14ac:dyDescent="0.25">
      <c r="A6" s="157"/>
      <c r="B6" s="157"/>
      <c r="C6" s="157"/>
      <c r="D6" s="31" t="s">
        <v>863</v>
      </c>
      <c r="E6" s="29">
        <v>6.41</v>
      </c>
      <c r="F6" s="29">
        <v>76.8</v>
      </c>
      <c r="G6" s="29">
        <v>247.2</v>
      </c>
      <c r="H6" s="29">
        <v>5.49</v>
      </c>
      <c r="I6" s="29">
        <v>77.510000000000005</v>
      </c>
      <c r="J6" s="29">
        <v>245.77</v>
      </c>
      <c r="L6" s="161"/>
      <c r="M6" s="161"/>
      <c r="N6" s="161"/>
      <c r="O6" s="161"/>
      <c r="P6" s="31" t="s">
        <v>870</v>
      </c>
      <c r="Q6" s="29">
        <v>0</v>
      </c>
      <c r="R6" s="29">
        <v>426.33</v>
      </c>
      <c r="S6" s="29">
        <v>247.2</v>
      </c>
      <c r="T6" s="29">
        <v>0</v>
      </c>
      <c r="U6" s="29">
        <v>454.25</v>
      </c>
      <c r="V6" s="29">
        <v>245.77</v>
      </c>
    </row>
    <row r="7" spans="1:22" ht="11.25" customHeight="1" x14ac:dyDescent="0.25">
      <c r="A7" s="157"/>
      <c r="B7" s="159" t="s">
        <v>864</v>
      </c>
      <c r="C7" s="159" t="s">
        <v>1291</v>
      </c>
      <c r="D7" s="31" t="s">
        <v>862</v>
      </c>
      <c r="E7" s="29">
        <v>5.8</v>
      </c>
      <c r="F7" s="29">
        <v>2.79</v>
      </c>
      <c r="G7" s="29">
        <v>0</v>
      </c>
      <c r="H7" s="29">
        <v>4.97</v>
      </c>
      <c r="I7" s="29">
        <v>3.03</v>
      </c>
      <c r="J7" s="29">
        <v>0</v>
      </c>
      <c r="L7" s="161"/>
      <c r="M7" s="162"/>
      <c r="N7" s="162"/>
      <c r="O7" s="162"/>
      <c r="P7" s="31" t="s">
        <v>863</v>
      </c>
      <c r="Q7" s="29">
        <v>0</v>
      </c>
      <c r="R7" s="29">
        <v>236.05</v>
      </c>
      <c r="S7" s="29">
        <v>247.2</v>
      </c>
      <c r="T7" s="29">
        <v>0</v>
      </c>
      <c r="U7" s="29">
        <v>248.53</v>
      </c>
      <c r="V7" s="29">
        <v>245.77</v>
      </c>
    </row>
    <row r="8" spans="1:22" ht="11.25" customHeight="1" x14ac:dyDescent="0.25">
      <c r="A8" s="157"/>
      <c r="B8" s="157"/>
      <c r="C8" s="157"/>
      <c r="D8" s="31" t="s">
        <v>863</v>
      </c>
      <c r="E8" s="29">
        <v>6.41</v>
      </c>
      <c r="F8" s="29">
        <v>2.79</v>
      </c>
      <c r="G8" s="29">
        <v>0</v>
      </c>
      <c r="H8" s="29">
        <v>5.49</v>
      </c>
      <c r="I8" s="29">
        <v>3.03</v>
      </c>
      <c r="J8" s="29">
        <v>0</v>
      </c>
      <c r="L8" s="161"/>
      <c r="M8" s="31" t="s">
        <v>871</v>
      </c>
      <c r="N8" s="31" t="s">
        <v>869</v>
      </c>
      <c r="O8" s="31" t="s">
        <v>869</v>
      </c>
      <c r="P8" s="31" t="s">
        <v>865</v>
      </c>
      <c r="Q8" s="29">
        <v>0</v>
      </c>
      <c r="R8" s="29">
        <v>310.8</v>
      </c>
      <c r="S8" s="29">
        <v>258.94</v>
      </c>
      <c r="T8" s="29">
        <v>0</v>
      </c>
      <c r="U8" s="29">
        <v>329.35</v>
      </c>
      <c r="V8" s="29">
        <v>258.99</v>
      </c>
    </row>
    <row r="9" spans="1:22" ht="11.25" customHeight="1" x14ac:dyDescent="0.25">
      <c r="A9" s="157"/>
      <c r="B9" s="159" t="s">
        <v>41</v>
      </c>
      <c r="C9" s="159" t="s">
        <v>1292</v>
      </c>
      <c r="D9" s="31" t="s">
        <v>862</v>
      </c>
      <c r="E9" s="29">
        <v>5.8</v>
      </c>
      <c r="F9" s="29">
        <v>76.8</v>
      </c>
      <c r="G9" s="29">
        <v>388.08</v>
      </c>
      <c r="H9" s="29">
        <v>4.97</v>
      </c>
      <c r="I9" s="29">
        <v>77.510000000000005</v>
      </c>
      <c r="J9" s="29">
        <v>404.37</v>
      </c>
      <c r="L9" s="161"/>
      <c r="M9" s="31" t="s">
        <v>873</v>
      </c>
      <c r="N9" s="31" t="s">
        <v>869</v>
      </c>
      <c r="O9" s="31" t="s">
        <v>869</v>
      </c>
      <c r="P9" s="31" t="s">
        <v>865</v>
      </c>
      <c r="Q9" s="29">
        <v>0</v>
      </c>
      <c r="R9" s="29">
        <v>310.8</v>
      </c>
      <c r="S9" s="29">
        <v>258.94</v>
      </c>
      <c r="T9" s="29">
        <v>0</v>
      </c>
      <c r="U9" s="29">
        <v>329.35</v>
      </c>
      <c r="V9" s="29">
        <v>258.99</v>
      </c>
    </row>
    <row r="10" spans="1:22" ht="11.25" customHeight="1" x14ac:dyDescent="0.25">
      <c r="A10" s="157"/>
      <c r="B10" s="157"/>
      <c r="C10" s="157"/>
      <c r="D10" s="31" t="s">
        <v>863</v>
      </c>
      <c r="E10" s="29">
        <v>6.41</v>
      </c>
      <c r="F10" s="29">
        <v>76.8</v>
      </c>
      <c r="G10" s="29">
        <v>247.2</v>
      </c>
      <c r="H10" s="29">
        <v>5.49</v>
      </c>
      <c r="I10" s="29">
        <v>77.510000000000005</v>
      </c>
      <c r="J10" s="29">
        <v>245.77</v>
      </c>
      <c r="L10" s="161"/>
      <c r="M10" s="31" t="s">
        <v>871</v>
      </c>
      <c r="N10" s="31" t="s">
        <v>869</v>
      </c>
      <c r="O10" s="31" t="s">
        <v>872</v>
      </c>
      <c r="P10" s="31" t="s">
        <v>865</v>
      </c>
      <c r="Q10" s="29">
        <v>0</v>
      </c>
      <c r="R10" s="29">
        <v>200.63</v>
      </c>
      <c r="S10" s="29">
        <v>258.94</v>
      </c>
      <c r="T10" s="29">
        <v>0</v>
      </c>
      <c r="U10" s="29">
        <v>217.96</v>
      </c>
      <c r="V10" s="29">
        <v>258.99</v>
      </c>
    </row>
    <row r="11" spans="1:22" ht="11.25" customHeight="1" x14ac:dyDescent="0.25">
      <c r="A11" s="157"/>
      <c r="B11" s="159" t="s">
        <v>864</v>
      </c>
      <c r="C11" s="159" t="s">
        <v>1292</v>
      </c>
      <c r="D11" s="31" t="s">
        <v>862</v>
      </c>
      <c r="E11" s="29">
        <v>5.8</v>
      </c>
      <c r="F11" s="29">
        <v>2.79</v>
      </c>
      <c r="G11" s="29">
        <v>0</v>
      </c>
      <c r="H11" s="29">
        <v>4.97</v>
      </c>
      <c r="I11" s="29">
        <v>3.03</v>
      </c>
      <c r="J11" s="29">
        <v>0</v>
      </c>
      <c r="L11" s="162"/>
      <c r="M11" s="31" t="s">
        <v>873</v>
      </c>
      <c r="N11" s="31" t="s">
        <v>869</v>
      </c>
      <c r="O11" s="31" t="s">
        <v>872</v>
      </c>
      <c r="P11" s="31" t="s">
        <v>865</v>
      </c>
      <c r="Q11" s="29">
        <v>0</v>
      </c>
      <c r="R11" s="29">
        <v>200.63</v>
      </c>
      <c r="S11" s="29">
        <v>258.94</v>
      </c>
      <c r="T11" s="29">
        <v>0</v>
      </c>
      <c r="U11" s="29">
        <v>217.96</v>
      </c>
      <c r="V11" s="29">
        <v>258.99</v>
      </c>
    </row>
    <row r="12" spans="1:22" ht="11.25" customHeight="1" x14ac:dyDescent="0.25">
      <c r="A12" s="157"/>
      <c r="B12" s="157"/>
      <c r="C12" s="157"/>
      <c r="D12" s="31" t="s">
        <v>863</v>
      </c>
      <c r="E12" s="29">
        <v>6.41</v>
      </c>
      <c r="F12" s="29">
        <v>2.79</v>
      </c>
      <c r="G12" s="29">
        <v>0</v>
      </c>
      <c r="H12" s="29">
        <v>5.49</v>
      </c>
      <c r="I12" s="29">
        <v>3.03</v>
      </c>
      <c r="J12" s="29">
        <v>0</v>
      </c>
      <c r="L12" s="160" t="s">
        <v>44</v>
      </c>
      <c r="M12" s="160" t="s">
        <v>868</v>
      </c>
      <c r="N12" s="160" t="s">
        <v>874</v>
      </c>
      <c r="O12" s="160" t="s">
        <v>875</v>
      </c>
      <c r="P12" s="31" t="s">
        <v>862</v>
      </c>
      <c r="Q12" s="29">
        <v>0</v>
      </c>
      <c r="R12" s="29">
        <v>642.09</v>
      </c>
      <c r="S12" s="29">
        <v>388.08</v>
      </c>
      <c r="T12" s="29">
        <v>0</v>
      </c>
      <c r="U12" s="29">
        <v>646.27</v>
      </c>
      <c r="V12" s="29">
        <v>380.11</v>
      </c>
    </row>
    <row r="13" spans="1:22" ht="11.25" customHeight="1" x14ac:dyDescent="0.25">
      <c r="A13" s="157"/>
      <c r="B13" s="159" t="s">
        <v>41</v>
      </c>
      <c r="C13" s="159" t="s">
        <v>1293</v>
      </c>
      <c r="D13" s="31" t="s">
        <v>862</v>
      </c>
      <c r="E13" s="29">
        <v>5.8</v>
      </c>
      <c r="F13" s="29">
        <v>76.8</v>
      </c>
      <c r="G13" s="29">
        <v>388.08</v>
      </c>
      <c r="H13" s="29">
        <v>4.97</v>
      </c>
      <c r="I13" s="29">
        <v>77.510000000000005</v>
      </c>
      <c r="J13" s="29">
        <v>404.37</v>
      </c>
      <c r="L13" s="161"/>
      <c r="M13" s="161"/>
      <c r="N13" s="161"/>
      <c r="O13" s="161"/>
      <c r="P13" s="31" t="s">
        <v>870</v>
      </c>
      <c r="Q13" s="29">
        <v>0</v>
      </c>
      <c r="R13" s="29">
        <v>441.62</v>
      </c>
      <c r="S13" s="29">
        <v>247.2</v>
      </c>
      <c r="T13" s="29">
        <v>0</v>
      </c>
      <c r="U13" s="29">
        <v>442.53</v>
      </c>
      <c r="V13" s="29">
        <v>231.02</v>
      </c>
    </row>
    <row r="14" spans="1:22" ht="11.25" customHeight="1" x14ac:dyDescent="0.25">
      <c r="A14" s="157"/>
      <c r="B14" s="157"/>
      <c r="C14" s="157"/>
      <c r="D14" s="31" t="s">
        <v>863</v>
      </c>
      <c r="E14" s="29">
        <v>6.41</v>
      </c>
      <c r="F14" s="29">
        <v>76.8</v>
      </c>
      <c r="G14" s="29">
        <v>247.2</v>
      </c>
      <c r="H14" s="29">
        <v>5.49</v>
      </c>
      <c r="I14" s="29">
        <v>77.510000000000005</v>
      </c>
      <c r="J14" s="29">
        <v>245.77</v>
      </c>
      <c r="L14" s="161"/>
      <c r="M14" s="162"/>
      <c r="N14" s="162"/>
      <c r="O14" s="162"/>
      <c r="P14" s="31" t="s">
        <v>863</v>
      </c>
      <c r="Q14" s="29">
        <v>0</v>
      </c>
      <c r="R14" s="29">
        <v>241.14</v>
      </c>
      <c r="S14" s="29">
        <v>247.2</v>
      </c>
      <c r="T14" s="29">
        <v>0</v>
      </c>
      <c r="U14" s="29">
        <v>238.8</v>
      </c>
      <c r="V14" s="29">
        <v>231.02</v>
      </c>
    </row>
    <row r="15" spans="1:22" ht="11.25" customHeight="1" x14ac:dyDescent="0.25">
      <c r="A15" s="157"/>
      <c r="B15" s="159" t="s">
        <v>864</v>
      </c>
      <c r="C15" s="159" t="s">
        <v>1293</v>
      </c>
      <c r="D15" s="31" t="s">
        <v>862</v>
      </c>
      <c r="E15" s="29">
        <v>5.8</v>
      </c>
      <c r="F15" s="29">
        <v>2.79</v>
      </c>
      <c r="G15" s="29">
        <v>0</v>
      </c>
      <c r="H15" s="29">
        <v>4.97</v>
      </c>
      <c r="I15" s="29">
        <v>3.03</v>
      </c>
      <c r="J15" s="29">
        <v>0</v>
      </c>
      <c r="L15" s="161"/>
      <c r="M15" s="31" t="s">
        <v>871</v>
      </c>
      <c r="N15" s="31" t="s">
        <v>874</v>
      </c>
      <c r="O15" s="31" t="s">
        <v>875</v>
      </c>
      <c r="P15" s="31" t="s">
        <v>865</v>
      </c>
      <c r="Q15" s="29">
        <v>0</v>
      </c>
      <c r="R15" s="29">
        <v>310.8</v>
      </c>
      <c r="S15" s="29">
        <v>258.94</v>
      </c>
      <c r="T15" s="29">
        <v>0</v>
      </c>
      <c r="U15" s="29">
        <v>309.58999999999997</v>
      </c>
      <c r="V15" s="29">
        <v>243.45</v>
      </c>
    </row>
    <row r="16" spans="1:22" ht="11.25" customHeight="1" x14ac:dyDescent="0.25">
      <c r="A16" s="157"/>
      <c r="B16" s="157"/>
      <c r="C16" s="157"/>
      <c r="D16" s="31" t="s">
        <v>863</v>
      </c>
      <c r="E16" s="29">
        <v>6.41</v>
      </c>
      <c r="F16" s="29">
        <v>2.79</v>
      </c>
      <c r="G16" s="29">
        <v>0</v>
      </c>
      <c r="H16" s="29">
        <v>5.49</v>
      </c>
      <c r="I16" s="29">
        <v>3.03</v>
      </c>
      <c r="J16" s="29">
        <v>0</v>
      </c>
      <c r="L16" s="161"/>
      <c r="M16" s="31" t="s">
        <v>873</v>
      </c>
      <c r="N16" s="31" t="s">
        <v>874</v>
      </c>
      <c r="O16" s="31" t="s">
        <v>875</v>
      </c>
      <c r="P16" s="31" t="s">
        <v>865</v>
      </c>
      <c r="Q16" s="29">
        <v>0</v>
      </c>
      <c r="R16" s="29">
        <v>310.8</v>
      </c>
      <c r="S16" s="29">
        <v>258.94</v>
      </c>
      <c r="T16" s="29">
        <v>0</v>
      </c>
      <c r="U16" s="29">
        <v>309.58999999999997</v>
      </c>
      <c r="V16" s="29">
        <v>243.45</v>
      </c>
    </row>
    <row r="17" spans="1:22" ht="11.25" customHeight="1" x14ac:dyDescent="0.25">
      <c r="A17" s="157"/>
      <c r="B17" s="159" t="s">
        <v>41</v>
      </c>
      <c r="C17" s="159" t="s">
        <v>1294</v>
      </c>
      <c r="D17" s="31" t="s">
        <v>862</v>
      </c>
      <c r="E17" s="29">
        <v>5.8</v>
      </c>
      <c r="F17" s="29">
        <v>76.8</v>
      </c>
      <c r="G17" s="29">
        <v>388.08</v>
      </c>
      <c r="H17" s="29">
        <v>4.97</v>
      </c>
      <c r="I17" s="29">
        <v>77.510000000000005</v>
      </c>
      <c r="J17" s="29">
        <v>404.37</v>
      </c>
      <c r="L17" s="161"/>
      <c r="M17" s="160" t="s">
        <v>868</v>
      </c>
      <c r="N17" s="160" t="s">
        <v>874</v>
      </c>
      <c r="O17" s="160" t="s">
        <v>876</v>
      </c>
      <c r="P17" s="31" t="s">
        <v>862</v>
      </c>
      <c r="Q17" s="29">
        <v>0</v>
      </c>
      <c r="R17" s="29">
        <v>642.09</v>
      </c>
      <c r="S17" s="29">
        <v>388.08</v>
      </c>
      <c r="T17" s="29">
        <v>0</v>
      </c>
      <c r="U17" s="29">
        <v>637.5</v>
      </c>
      <c r="V17" s="29">
        <v>374.95</v>
      </c>
    </row>
    <row r="18" spans="1:22" ht="11.25" customHeight="1" x14ac:dyDescent="0.25">
      <c r="A18" s="157"/>
      <c r="B18" s="157"/>
      <c r="C18" s="157"/>
      <c r="D18" s="31" t="s">
        <v>863</v>
      </c>
      <c r="E18" s="29">
        <v>6.41</v>
      </c>
      <c r="F18" s="29">
        <v>76.8</v>
      </c>
      <c r="G18" s="29">
        <v>247.2</v>
      </c>
      <c r="H18" s="29">
        <v>5.49</v>
      </c>
      <c r="I18" s="29">
        <v>77.510000000000005</v>
      </c>
      <c r="J18" s="29">
        <v>245.77</v>
      </c>
      <c r="L18" s="161"/>
      <c r="M18" s="161"/>
      <c r="N18" s="161"/>
      <c r="O18" s="161"/>
      <c r="P18" s="31" t="s">
        <v>870</v>
      </c>
      <c r="Q18" s="29">
        <v>0</v>
      </c>
      <c r="R18" s="29">
        <v>441.62</v>
      </c>
      <c r="S18" s="29">
        <v>247.2</v>
      </c>
      <c r="T18" s="29">
        <v>0</v>
      </c>
      <c r="U18" s="29">
        <v>436.53</v>
      </c>
      <c r="V18" s="29">
        <v>227.89</v>
      </c>
    </row>
    <row r="19" spans="1:22" ht="11.25" customHeight="1" x14ac:dyDescent="0.25">
      <c r="A19" s="157"/>
      <c r="B19" s="159" t="s">
        <v>864</v>
      </c>
      <c r="C19" s="159" t="s">
        <v>1294</v>
      </c>
      <c r="D19" s="31" t="s">
        <v>862</v>
      </c>
      <c r="E19" s="29">
        <v>5.8</v>
      </c>
      <c r="F19" s="29">
        <v>2.79</v>
      </c>
      <c r="G19" s="29">
        <v>0</v>
      </c>
      <c r="H19" s="29">
        <v>4.97</v>
      </c>
      <c r="I19" s="29">
        <v>3.03</v>
      </c>
      <c r="J19" s="29">
        <v>0</v>
      </c>
      <c r="L19" s="161"/>
      <c r="M19" s="162"/>
      <c r="N19" s="162"/>
      <c r="O19" s="162"/>
      <c r="P19" s="31" t="s">
        <v>863</v>
      </c>
      <c r="Q19" s="29">
        <v>0</v>
      </c>
      <c r="R19" s="29">
        <v>241.14</v>
      </c>
      <c r="S19" s="29">
        <v>247.2</v>
      </c>
      <c r="T19" s="29">
        <v>0</v>
      </c>
      <c r="U19" s="29">
        <v>235.56</v>
      </c>
      <c r="V19" s="29">
        <v>227.89</v>
      </c>
    </row>
    <row r="20" spans="1:22" ht="11.25" customHeight="1" x14ac:dyDescent="0.25">
      <c r="A20" s="157"/>
      <c r="B20" s="157"/>
      <c r="C20" s="157"/>
      <c r="D20" s="31" t="s">
        <v>863</v>
      </c>
      <c r="E20" s="29">
        <v>6.41</v>
      </c>
      <c r="F20" s="29">
        <v>2.79</v>
      </c>
      <c r="G20" s="29">
        <v>0</v>
      </c>
      <c r="H20" s="29">
        <v>5.49</v>
      </c>
      <c r="I20" s="29">
        <v>3.03</v>
      </c>
      <c r="J20" s="29">
        <v>0</v>
      </c>
      <c r="L20" s="161"/>
      <c r="M20" s="31" t="s">
        <v>871</v>
      </c>
      <c r="N20" s="31" t="s">
        <v>874</v>
      </c>
      <c r="O20" s="31" t="s">
        <v>876</v>
      </c>
      <c r="P20" s="31" t="s">
        <v>865</v>
      </c>
      <c r="Q20" s="29">
        <v>0</v>
      </c>
      <c r="R20" s="29">
        <v>310.8</v>
      </c>
      <c r="S20" s="29">
        <v>258.94</v>
      </c>
      <c r="T20" s="29">
        <v>0</v>
      </c>
      <c r="U20" s="29">
        <v>305.39</v>
      </c>
      <c r="V20" s="29">
        <v>240.15</v>
      </c>
    </row>
    <row r="21" spans="1:22" ht="11.25" customHeight="1" x14ac:dyDescent="0.25">
      <c r="A21" s="159" t="s">
        <v>714</v>
      </c>
      <c r="B21" s="159" t="s">
        <v>41</v>
      </c>
      <c r="C21" s="159" t="s">
        <v>25</v>
      </c>
      <c r="D21" s="31" t="s">
        <v>862</v>
      </c>
      <c r="E21" s="29">
        <v>18.68</v>
      </c>
      <c r="F21" s="29">
        <v>81.7</v>
      </c>
      <c r="G21" s="29">
        <v>388.08</v>
      </c>
      <c r="H21" s="29">
        <v>18.670000000000002</v>
      </c>
      <c r="I21" s="29">
        <v>82.99</v>
      </c>
      <c r="J21" s="29">
        <v>404.37</v>
      </c>
      <c r="L21" s="161"/>
      <c r="M21" s="31" t="s">
        <v>873</v>
      </c>
      <c r="N21" s="31" t="s">
        <v>874</v>
      </c>
      <c r="O21" s="31" t="s">
        <v>876</v>
      </c>
      <c r="P21" s="31" t="s">
        <v>865</v>
      </c>
      <c r="Q21" s="29">
        <v>0</v>
      </c>
      <c r="R21" s="29">
        <v>310.8</v>
      </c>
      <c r="S21" s="29">
        <v>258.94</v>
      </c>
      <c r="T21" s="29">
        <v>0</v>
      </c>
      <c r="U21" s="29">
        <v>305.39</v>
      </c>
      <c r="V21" s="29">
        <v>240.15</v>
      </c>
    </row>
    <row r="22" spans="1:22" ht="11.25" customHeight="1" x14ac:dyDescent="0.25">
      <c r="A22" s="157"/>
      <c r="B22" s="157"/>
      <c r="C22" s="157"/>
      <c r="D22" s="31" t="s">
        <v>863</v>
      </c>
      <c r="E22" s="29">
        <v>9.75</v>
      </c>
      <c r="F22" s="29">
        <v>81.7</v>
      </c>
      <c r="G22" s="29">
        <v>247.2</v>
      </c>
      <c r="H22" s="29">
        <v>8.94</v>
      </c>
      <c r="I22" s="29">
        <v>82.99</v>
      </c>
      <c r="J22" s="29">
        <v>245.77</v>
      </c>
      <c r="L22" s="161"/>
      <c r="M22" s="160" t="s">
        <v>868</v>
      </c>
      <c r="N22" s="160" t="s">
        <v>874</v>
      </c>
      <c r="O22" s="160" t="s">
        <v>877</v>
      </c>
      <c r="P22" s="31" t="s">
        <v>862</v>
      </c>
      <c r="Q22" s="29">
        <v>0</v>
      </c>
      <c r="R22" s="29">
        <v>642.09</v>
      </c>
      <c r="S22" s="29">
        <v>388.08</v>
      </c>
      <c r="T22" s="29">
        <v>0</v>
      </c>
      <c r="U22" s="29">
        <v>632.52</v>
      </c>
      <c r="V22" s="29">
        <v>372.02</v>
      </c>
    </row>
    <row r="23" spans="1:22" ht="11.25" customHeight="1" x14ac:dyDescent="0.25">
      <c r="A23" s="157"/>
      <c r="B23" s="159" t="s">
        <v>864</v>
      </c>
      <c r="C23" s="159" t="s">
        <v>25</v>
      </c>
      <c r="D23" s="31" t="s">
        <v>862</v>
      </c>
      <c r="E23" s="29">
        <v>18.68</v>
      </c>
      <c r="F23" s="29">
        <v>7.68</v>
      </c>
      <c r="G23" s="29">
        <v>0</v>
      </c>
      <c r="H23" s="29">
        <v>18.670000000000002</v>
      </c>
      <c r="I23" s="29">
        <v>8.5</v>
      </c>
      <c r="J23" s="29">
        <v>0</v>
      </c>
      <c r="L23" s="161"/>
      <c r="M23" s="161"/>
      <c r="N23" s="161"/>
      <c r="O23" s="161"/>
      <c r="P23" s="31" t="s">
        <v>870</v>
      </c>
      <c r="Q23" s="29">
        <v>0</v>
      </c>
      <c r="R23" s="29">
        <v>441.62</v>
      </c>
      <c r="S23" s="29">
        <v>247.2</v>
      </c>
      <c r="T23" s="29">
        <v>0</v>
      </c>
      <c r="U23" s="29">
        <v>433.12</v>
      </c>
      <c r="V23" s="29">
        <v>226.11</v>
      </c>
    </row>
    <row r="24" spans="1:22" ht="11.25" customHeight="1" x14ac:dyDescent="0.25">
      <c r="A24" s="157"/>
      <c r="B24" s="157"/>
      <c r="C24" s="157"/>
      <c r="D24" s="31" t="s">
        <v>863</v>
      </c>
      <c r="E24" s="29">
        <v>9.75</v>
      </c>
      <c r="F24" s="29">
        <v>7.68</v>
      </c>
      <c r="G24" s="29">
        <v>0</v>
      </c>
      <c r="H24" s="29">
        <v>8.94</v>
      </c>
      <c r="I24" s="29">
        <v>8.5</v>
      </c>
      <c r="J24" s="29">
        <v>0</v>
      </c>
      <c r="L24" s="161"/>
      <c r="M24" s="162"/>
      <c r="N24" s="162"/>
      <c r="O24" s="162"/>
      <c r="P24" s="31" t="s">
        <v>863</v>
      </c>
      <c r="Q24" s="29">
        <v>0</v>
      </c>
      <c r="R24" s="29">
        <v>241.14</v>
      </c>
      <c r="S24" s="29">
        <v>247.2</v>
      </c>
      <c r="T24" s="29">
        <v>0</v>
      </c>
      <c r="U24" s="29">
        <v>233.72</v>
      </c>
      <c r="V24" s="29">
        <v>226.11</v>
      </c>
    </row>
    <row r="25" spans="1:22" ht="11.25" customHeight="1" x14ac:dyDescent="0.25">
      <c r="A25" s="157"/>
      <c r="B25" s="159" t="s">
        <v>1295</v>
      </c>
      <c r="C25" s="159" t="s">
        <v>1296</v>
      </c>
      <c r="D25" s="31" t="s">
        <v>862</v>
      </c>
      <c r="E25" s="29">
        <v>20.97</v>
      </c>
      <c r="F25" s="29">
        <v>4.38</v>
      </c>
      <c r="G25" s="29">
        <v>0</v>
      </c>
      <c r="H25" s="29">
        <v>18.670000000000002</v>
      </c>
      <c r="I25" s="29">
        <v>4.33</v>
      </c>
      <c r="J25" s="29">
        <v>0</v>
      </c>
      <c r="L25" s="161"/>
      <c r="M25" s="31" t="s">
        <v>871</v>
      </c>
      <c r="N25" s="31" t="s">
        <v>874</v>
      </c>
      <c r="O25" s="31" t="s">
        <v>877</v>
      </c>
      <c r="P25" s="31" t="s">
        <v>865</v>
      </c>
      <c r="Q25" s="29">
        <v>0</v>
      </c>
      <c r="R25" s="29">
        <v>310.8</v>
      </c>
      <c r="S25" s="29">
        <v>258.94</v>
      </c>
      <c r="T25" s="29">
        <v>0</v>
      </c>
      <c r="U25" s="29">
        <v>303</v>
      </c>
      <c r="V25" s="29">
        <v>238.27</v>
      </c>
    </row>
    <row r="26" spans="1:22" ht="11.25" customHeight="1" x14ac:dyDescent="0.25">
      <c r="A26" s="157"/>
      <c r="B26" s="157"/>
      <c r="C26" s="157"/>
      <c r="D26" s="31" t="s">
        <v>863</v>
      </c>
      <c r="E26" s="29">
        <v>10.85</v>
      </c>
      <c r="F26" s="29">
        <v>4.38</v>
      </c>
      <c r="G26" s="29">
        <v>0</v>
      </c>
      <c r="H26" s="29">
        <v>8.94</v>
      </c>
      <c r="I26" s="29">
        <v>4.33</v>
      </c>
      <c r="J26" s="29">
        <v>0</v>
      </c>
      <c r="L26" s="162"/>
      <c r="M26" s="31" t="s">
        <v>873</v>
      </c>
      <c r="N26" s="31" t="s">
        <v>874</v>
      </c>
      <c r="O26" s="31" t="s">
        <v>877</v>
      </c>
      <c r="P26" s="31" t="s">
        <v>865</v>
      </c>
      <c r="Q26" s="29">
        <v>0</v>
      </c>
      <c r="R26" s="29">
        <v>310.8</v>
      </c>
      <c r="S26" s="29">
        <v>258.94</v>
      </c>
      <c r="T26" s="29">
        <v>0</v>
      </c>
      <c r="U26" s="29">
        <v>303</v>
      </c>
      <c r="V26" s="29">
        <v>238.27</v>
      </c>
    </row>
    <row r="27" spans="1:22" ht="11.25" customHeight="1" x14ac:dyDescent="0.25">
      <c r="A27" s="157"/>
      <c r="B27" s="157"/>
      <c r="C27" s="157"/>
      <c r="D27" s="31" t="s">
        <v>865</v>
      </c>
      <c r="E27" s="29">
        <v>0</v>
      </c>
      <c r="F27" s="29">
        <v>0</v>
      </c>
      <c r="G27" s="29">
        <v>289.33</v>
      </c>
      <c r="H27" s="29">
        <v>0</v>
      </c>
      <c r="I27" s="29">
        <v>0</v>
      </c>
      <c r="J27" s="29">
        <v>257.67</v>
      </c>
      <c r="L27" s="160" t="s">
        <v>39</v>
      </c>
      <c r="M27" s="160" t="s">
        <v>868</v>
      </c>
      <c r="N27" s="160" t="s">
        <v>865</v>
      </c>
      <c r="O27" s="160" t="s">
        <v>865</v>
      </c>
      <c r="P27" s="31" t="s">
        <v>862</v>
      </c>
      <c r="Q27" s="29">
        <v>0</v>
      </c>
      <c r="R27" s="29">
        <v>701.55</v>
      </c>
      <c r="S27" s="29">
        <v>388.08</v>
      </c>
      <c r="T27" s="29">
        <v>0</v>
      </c>
      <c r="U27" s="29">
        <v>751.81</v>
      </c>
      <c r="V27" s="29">
        <v>404.37</v>
      </c>
    </row>
    <row r="28" spans="1:22" ht="11.25" customHeight="1" x14ac:dyDescent="0.25">
      <c r="A28" s="157"/>
      <c r="B28" s="157"/>
      <c r="C28" s="159" t="s">
        <v>1297</v>
      </c>
      <c r="D28" s="31" t="s">
        <v>862</v>
      </c>
      <c r="E28" s="29">
        <v>20.97</v>
      </c>
      <c r="F28" s="29">
        <v>4.38</v>
      </c>
      <c r="G28" s="29">
        <v>0</v>
      </c>
      <c r="H28" s="29">
        <v>18.670000000000002</v>
      </c>
      <c r="I28" s="29">
        <v>4.33</v>
      </c>
      <c r="J28" s="29">
        <v>0</v>
      </c>
      <c r="L28" s="161"/>
      <c r="M28" s="161"/>
      <c r="N28" s="161"/>
      <c r="O28" s="161"/>
      <c r="P28" s="31" t="s">
        <v>870</v>
      </c>
      <c r="Q28" s="29">
        <v>0</v>
      </c>
      <c r="R28" s="29">
        <v>477.29</v>
      </c>
      <c r="S28" s="29">
        <v>247.2</v>
      </c>
      <c r="T28" s="29">
        <v>0</v>
      </c>
      <c r="U28" s="29">
        <v>509.35</v>
      </c>
      <c r="V28" s="29">
        <v>245.77</v>
      </c>
    </row>
    <row r="29" spans="1:22" ht="11.25" customHeight="1" x14ac:dyDescent="0.25">
      <c r="A29" s="157"/>
      <c r="B29" s="157"/>
      <c r="C29" s="157"/>
      <c r="D29" s="31" t="s">
        <v>863</v>
      </c>
      <c r="E29" s="29">
        <v>10.85</v>
      </c>
      <c r="F29" s="29">
        <v>4.38</v>
      </c>
      <c r="G29" s="29">
        <v>0</v>
      </c>
      <c r="H29" s="29">
        <v>8.94</v>
      </c>
      <c r="I29" s="29">
        <v>4.33</v>
      </c>
      <c r="J29" s="29">
        <v>0</v>
      </c>
      <c r="L29" s="161"/>
      <c r="M29" s="162"/>
      <c r="N29" s="162"/>
      <c r="O29" s="162"/>
      <c r="P29" s="31" t="s">
        <v>863</v>
      </c>
      <c r="Q29" s="29">
        <v>0</v>
      </c>
      <c r="R29" s="29">
        <v>253.04</v>
      </c>
      <c r="S29" s="29">
        <v>247.2</v>
      </c>
      <c r="T29" s="29">
        <v>0</v>
      </c>
      <c r="U29" s="29">
        <v>266.89999999999998</v>
      </c>
      <c r="V29" s="29">
        <v>245.77</v>
      </c>
    </row>
    <row r="30" spans="1:22" ht="11.25" customHeight="1" x14ac:dyDescent="0.25">
      <c r="A30" s="157"/>
      <c r="B30" s="157"/>
      <c r="C30" s="157"/>
      <c r="D30" s="31" t="s">
        <v>865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L30" s="161"/>
      <c r="M30" s="31" t="s">
        <v>871</v>
      </c>
      <c r="N30" s="31" t="s">
        <v>865</v>
      </c>
      <c r="O30" s="31" t="s">
        <v>865</v>
      </c>
      <c r="P30" s="31" t="s">
        <v>865</v>
      </c>
      <c r="Q30" s="29">
        <v>0</v>
      </c>
      <c r="R30" s="29">
        <v>310.8</v>
      </c>
      <c r="S30" s="29">
        <v>258.94</v>
      </c>
      <c r="T30" s="29">
        <v>0</v>
      </c>
      <c r="U30" s="29">
        <v>329.35</v>
      </c>
      <c r="V30" s="29">
        <v>258.99</v>
      </c>
    </row>
    <row r="31" spans="1:22" ht="11.25" customHeight="1" x14ac:dyDescent="0.25">
      <c r="A31" s="157"/>
      <c r="B31" s="159" t="s">
        <v>80</v>
      </c>
      <c r="C31" s="31" t="s">
        <v>1298</v>
      </c>
      <c r="D31" s="31" t="s">
        <v>865</v>
      </c>
      <c r="E31" s="29">
        <v>5.18</v>
      </c>
      <c r="F31" s="29">
        <v>0</v>
      </c>
      <c r="G31" s="29">
        <v>0</v>
      </c>
      <c r="H31" s="29">
        <v>5.77</v>
      </c>
      <c r="I31" s="29">
        <v>0</v>
      </c>
      <c r="J31" s="29">
        <v>0</v>
      </c>
      <c r="L31" s="162"/>
      <c r="M31" s="31" t="s">
        <v>873</v>
      </c>
      <c r="N31" s="31" t="s">
        <v>865</v>
      </c>
      <c r="O31" s="31" t="s">
        <v>865</v>
      </c>
      <c r="P31" s="31" t="s">
        <v>865</v>
      </c>
      <c r="Q31" s="29">
        <v>0</v>
      </c>
      <c r="R31" s="29">
        <v>310.8</v>
      </c>
      <c r="S31" s="29">
        <v>258.94</v>
      </c>
      <c r="T31" s="29">
        <v>0</v>
      </c>
      <c r="U31" s="29">
        <v>329.35</v>
      </c>
      <c r="V31" s="29">
        <v>258.99</v>
      </c>
    </row>
    <row r="32" spans="1:22" ht="11.25" customHeight="1" x14ac:dyDescent="0.25">
      <c r="A32" s="157"/>
      <c r="B32" s="157"/>
      <c r="C32" s="31" t="s">
        <v>1299</v>
      </c>
      <c r="D32" s="31" t="s">
        <v>865</v>
      </c>
      <c r="E32" s="29">
        <v>4.42</v>
      </c>
      <c r="F32" s="29">
        <v>0</v>
      </c>
      <c r="G32" s="29">
        <v>0</v>
      </c>
      <c r="H32" s="29">
        <v>4.92</v>
      </c>
      <c r="I32" s="29">
        <v>0</v>
      </c>
      <c r="J32" s="29">
        <v>0</v>
      </c>
      <c r="L32" s="160" t="s">
        <v>47</v>
      </c>
      <c r="M32" s="160" t="s">
        <v>873</v>
      </c>
      <c r="N32" s="160" t="s">
        <v>878</v>
      </c>
      <c r="O32" s="31" t="s">
        <v>879</v>
      </c>
      <c r="P32" s="31" t="s">
        <v>865</v>
      </c>
      <c r="Q32" s="29">
        <v>0</v>
      </c>
      <c r="R32" s="29">
        <v>170.94</v>
      </c>
      <c r="S32" s="29">
        <v>142.41999999999999</v>
      </c>
      <c r="T32" s="29">
        <v>0</v>
      </c>
      <c r="U32" s="29">
        <v>181.14</v>
      </c>
      <c r="V32" s="29">
        <v>142.44</v>
      </c>
    </row>
    <row r="33" spans="1:22" ht="11.25" customHeight="1" x14ac:dyDescent="0.25">
      <c r="A33" s="157"/>
      <c r="B33" s="157"/>
      <c r="C33" s="31" t="s">
        <v>1300</v>
      </c>
      <c r="D33" s="31" t="s">
        <v>865</v>
      </c>
      <c r="E33" s="29">
        <v>5.57</v>
      </c>
      <c r="F33" s="29">
        <v>0</v>
      </c>
      <c r="G33" s="29">
        <v>0</v>
      </c>
      <c r="H33" s="29">
        <v>6.21</v>
      </c>
      <c r="I33" s="29">
        <v>0</v>
      </c>
      <c r="J33" s="29">
        <v>0</v>
      </c>
      <c r="L33" s="162"/>
      <c r="M33" s="162"/>
      <c r="N33" s="162"/>
      <c r="O33" s="31" t="s">
        <v>880</v>
      </c>
      <c r="P33" s="31" t="s">
        <v>865</v>
      </c>
      <c r="Q33" s="29">
        <v>0</v>
      </c>
      <c r="R33" s="29">
        <v>186.48</v>
      </c>
      <c r="S33" s="29">
        <v>155.36000000000001</v>
      </c>
      <c r="T33" s="29">
        <v>0</v>
      </c>
      <c r="U33" s="29">
        <v>197.61</v>
      </c>
      <c r="V33" s="29">
        <v>155.38999999999999</v>
      </c>
    </row>
    <row r="34" spans="1:22" ht="11.25" customHeight="1" x14ac:dyDescent="0.25">
      <c r="A34" s="157"/>
      <c r="B34" s="157"/>
      <c r="C34" s="31" t="s">
        <v>1301</v>
      </c>
      <c r="D34" s="31" t="s">
        <v>865</v>
      </c>
      <c r="E34" s="29">
        <v>5.72</v>
      </c>
      <c r="F34" s="29">
        <v>0</v>
      </c>
      <c r="G34" s="29">
        <v>0</v>
      </c>
      <c r="H34" s="29">
        <v>6.37</v>
      </c>
      <c r="I34" s="29">
        <v>0</v>
      </c>
      <c r="J34" s="29">
        <v>0</v>
      </c>
      <c r="L34" s="160" t="s">
        <v>81</v>
      </c>
      <c r="M34" s="160" t="s">
        <v>881</v>
      </c>
      <c r="N34" s="31" t="s">
        <v>82</v>
      </c>
      <c r="O34" s="31" t="s">
        <v>865</v>
      </c>
      <c r="P34" s="31" t="s">
        <v>865</v>
      </c>
      <c r="Q34" s="29">
        <v>2.52</v>
      </c>
      <c r="R34" s="29">
        <v>0</v>
      </c>
      <c r="S34" s="29">
        <v>0</v>
      </c>
      <c r="T34" s="29">
        <v>2.87</v>
      </c>
      <c r="U34" s="29">
        <v>0</v>
      </c>
      <c r="V34" s="29">
        <v>0</v>
      </c>
    </row>
    <row r="35" spans="1:22" ht="11.25" customHeight="1" x14ac:dyDescent="0.25">
      <c r="A35" s="157"/>
      <c r="B35" s="157"/>
      <c r="C35" s="31" t="s">
        <v>1302</v>
      </c>
      <c r="D35" s="31" t="s">
        <v>865</v>
      </c>
      <c r="E35" s="29">
        <v>5.18</v>
      </c>
      <c r="F35" s="29">
        <v>0</v>
      </c>
      <c r="G35" s="29">
        <v>0</v>
      </c>
      <c r="H35" s="29">
        <v>5.77</v>
      </c>
      <c r="I35" s="29">
        <v>0</v>
      </c>
      <c r="J35" s="29">
        <v>0</v>
      </c>
      <c r="L35" s="162"/>
      <c r="M35" s="162"/>
      <c r="N35" s="31" t="s">
        <v>83</v>
      </c>
      <c r="O35" s="31" t="s">
        <v>865</v>
      </c>
      <c r="P35" s="31" t="s">
        <v>865</v>
      </c>
      <c r="Q35" s="29">
        <v>7.94</v>
      </c>
      <c r="R35" s="29">
        <v>0</v>
      </c>
      <c r="S35" s="29">
        <v>0</v>
      </c>
      <c r="T35" s="29">
        <v>9.07</v>
      </c>
      <c r="U35" s="29">
        <v>0</v>
      </c>
      <c r="V35" s="29">
        <v>0</v>
      </c>
    </row>
    <row r="36" spans="1:22" ht="11.25" customHeight="1" x14ac:dyDescent="0.25">
      <c r="A36" s="157"/>
      <c r="B36" s="157"/>
      <c r="C36" s="31" t="s">
        <v>1303</v>
      </c>
      <c r="D36" s="31" t="s">
        <v>865</v>
      </c>
      <c r="E36" s="29">
        <v>6.5</v>
      </c>
      <c r="F36" s="29">
        <v>0</v>
      </c>
      <c r="G36" s="29">
        <v>0</v>
      </c>
      <c r="H36" s="29">
        <v>7.25</v>
      </c>
      <c r="I36" s="29">
        <v>0</v>
      </c>
      <c r="J36" s="29">
        <v>0</v>
      </c>
    </row>
    <row r="37" spans="1:22" ht="11.25" customHeight="1" x14ac:dyDescent="0.25">
      <c r="A37" s="157"/>
      <c r="B37" s="157"/>
      <c r="C37" s="31" t="s">
        <v>1304</v>
      </c>
      <c r="D37" s="31" t="s">
        <v>865</v>
      </c>
      <c r="E37" s="29">
        <v>6.5</v>
      </c>
      <c r="F37" s="29">
        <v>0</v>
      </c>
      <c r="G37" s="29">
        <v>0</v>
      </c>
      <c r="H37" s="29">
        <v>7.25</v>
      </c>
      <c r="I37" s="29">
        <v>0</v>
      </c>
      <c r="J37" s="29">
        <v>0</v>
      </c>
    </row>
    <row r="38" spans="1:22" ht="11.25" customHeight="1" x14ac:dyDescent="0.25">
      <c r="A38" s="157"/>
      <c r="B38" s="157"/>
      <c r="C38" s="31" t="s">
        <v>1305</v>
      </c>
      <c r="D38" s="31" t="s">
        <v>865</v>
      </c>
      <c r="E38" s="29">
        <v>6.5</v>
      </c>
      <c r="F38" s="29">
        <v>0</v>
      </c>
      <c r="G38" s="29">
        <v>0</v>
      </c>
      <c r="H38" s="29">
        <v>7.25</v>
      </c>
      <c r="I38" s="29">
        <v>0</v>
      </c>
      <c r="J38" s="29">
        <v>0</v>
      </c>
    </row>
    <row r="39" spans="1:22" ht="11.25" customHeight="1" x14ac:dyDescent="0.25">
      <c r="A39" s="157"/>
      <c r="B39" s="157"/>
      <c r="C39" s="31" t="s">
        <v>1306</v>
      </c>
      <c r="D39" s="31" t="s">
        <v>865</v>
      </c>
      <c r="E39" s="29">
        <v>7.58</v>
      </c>
      <c r="F39" s="29">
        <v>0</v>
      </c>
      <c r="G39" s="29">
        <v>0</v>
      </c>
      <c r="H39" s="29">
        <v>8.5</v>
      </c>
      <c r="I39" s="29">
        <v>0</v>
      </c>
      <c r="J39" s="29">
        <v>0</v>
      </c>
    </row>
    <row r="40" spans="1:22" ht="11.25" customHeight="1" x14ac:dyDescent="0.25">
      <c r="A40" s="157"/>
      <c r="B40" s="157"/>
      <c r="C40" s="31" t="s">
        <v>1307</v>
      </c>
      <c r="D40" s="31" t="s">
        <v>865</v>
      </c>
      <c r="E40" s="29">
        <v>6.4</v>
      </c>
      <c r="F40" s="29">
        <v>0</v>
      </c>
      <c r="G40" s="29">
        <v>0</v>
      </c>
      <c r="H40" s="29">
        <v>7.13</v>
      </c>
      <c r="I40" s="29">
        <v>0</v>
      </c>
      <c r="J40" s="29">
        <v>0</v>
      </c>
    </row>
    <row r="41" spans="1:22" ht="11.25" customHeight="1" x14ac:dyDescent="0.25">
      <c r="A41" s="157"/>
      <c r="B41" s="157"/>
      <c r="C41" s="31" t="s">
        <v>1308</v>
      </c>
      <c r="D41" s="31" t="s">
        <v>865</v>
      </c>
      <c r="E41" s="29">
        <v>5.96</v>
      </c>
      <c r="F41" s="29">
        <v>0</v>
      </c>
      <c r="G41" s="29">
        <v>0</v>
      </c>
      <c r="H41" s="29">
        <v>6.64</v>
      </c>
      <c r="I41" s="29">
        <v>0</v>
      </c>
      <c r="J41" s="29">
        <v>0</v>
      </c>
    </row>
    <row r="42" spans="1:22" ht="11.25" customHeight="1" x14ac:dyDescent="0.25">
      <c r="A42" s="157"/>
      <c r="B42" s="157"/>
      <c r="C42" s="31" t="s">
        <v>1309</v>
      </c>
      <c r="D42" s="31" t="s">
        <v>865</v>
      </c>
      <c r="E42" s="29">
        <v>8.2100000000000009</v>
      </c>
      <c r="F42" s="29">
        <v>0</v>
      </c>
      <c r="G42" s="29">
        <v>0</v>
      </c>
      <c r="H42" s="29">
        <v>9.16</v>
      </c>
      <c r="I42" s="29">
        <v>0</v>
      </c>
      <c r="J42" s="29">
        <v>0</v>
      </c>
    </row>
    <row r="43" spans="1:22" ht="11.25" customHeight="1" x14ac:dyDescent="0.25">
      <c r="A43" s="157"/>
      <c r="B43" s="157"/>
      <c r="C43" s="31" t="s">
        <v>1310</v>
      </c>
      <c r="D43" s="31" t="s">
        <v>865</v>
      </c>
      <c r="E43" s="29">
        <v>8.2100000000000009</v>
      </c>
      <c r="F43" s="29">
        <v>0</v>
      </c>
      <c r="G43" s="29">
        <v>0</v>
      </c>
      <c r="H43" s="29">
        <v>9.16</v>
      </c>
      <c r="I43" s="29">
        <v>0</v>
      </c>
      <c r="J43" s="29">
        <v>0</v>
      </c>
    </row>
    <row r="44" spans="1:22" ht="11.25" customHeight="1" x14ac:dyDescent="0.25">
      <c r="A44" s="157"/>
      <c r="B44" s="157"/>
      <c r="C44" s="31" t="s">
        <v>1311</v>
      </c>
      <c r="D44" s="31" t="s">
        <v>865</v>
      </c>
      <c r="E44" s="29">
        <v>6.48</v>
      </c>
      <c r="F44" s="29">
        <v>0</v>
      </c>
      <c r="G44" s="29">
        <v>0</v>
      </c>
      <c r="H44" s="29">
        <v>7.22</v>
      </c>
      <c r="I44" s="29">
        <v>0</v>
      </c>
      <c r="J44" s="29">
        <v>0</v>
      </c>
    </row>
    <row r="45" spans="1:22" ht="11.25" customHeight="1" x14ac:dyDescent="0.25">
      <c r="A45" s="157"/>
      <c r="B45" s="157"/>
      <c r="C45" s="31" t="s">
        <v>1312</v>
      </c>
      <c r="D45" s="31" t="s">
        <v>865</v>
      </c>
      <c r="E45" s="29">
        <v>5.86</v>
      </c>
      <c r="F45" s="29">
        <v>0</v>
      </c>
      <c r="G45" s="29">
        <v>0</v>
      </c>
      <c r="H45" s="29">
        <v>6.53</v>
      </c>
      <c r="I45" s="29">
        <v>0</v>
      </c>
      <c r="J45" s="29">
        <v>0</v>
      </c>
    </row>
    <row r="46" spans="1:22" ht="11.25" customHeight="1" x14ac:dyDescent="0.25">
      <c r="A46" s="157"/>
      <c r="B46" s="157"/>
      <c r="C46" s="31" t="s">
        <v>1313</v>
      </c>
      <c r="D46" s="31" t="s">
        <v>865</v>
      </c>
      <c r="E46" s="29">
        <v>5.95</v>
      </c>
      <c r="F46" s="29">
        <v>0</v>
      </c>
      <c r="G46" s="29">
        <v>0</v>
      </c>
      <c r="H46" s="29">
        <v>6.63</v>
      </c>
      <c r="I46" s="29">
        <v>0</v>
      </c>
      <c r="J46" s="29">
        <v>0</v>
      </c>
    </row>
    <row r="47" spans="1:22" ht="11.25" customHeight="1" x14ac:dyDescent="0.25">
      <c r="A47" s="157"/>
      <c r="B47" s="157"/>
      <c r="C47" s="31" t="s">
        <v>1314</v>
      </c>
      <c r="D47" s="31" t="s">
        <v>865</v>
      </c>
      <c r="E47" s="29">
        <v>3.68</v>
      </c>
      <c r="F47" s="29">
        <v>0</v>
      </c>
      <c r="G47" s="29">
        <v>0</v>
      </c>
      <c r="H47" s="29">
        <v>3.68</v>
      </c>
      <c r="I47" s="29">
        <v>0</v>
      </c>
      <c r="J47" s="29">
        <v>0</v>
      </c>
    </row>
    <row r="48" spans="1:22" ht="11.25" customHeight="1" x14ac:dyDescent="0.25">
      <c r="A48" s="157"/>
      <c r="B48" s="157"/>
      <c r="C48" s="31" t="s">
        <v>1315</v>
      </c>
      <c r="D48" s="31" t="s">
        <v>865</v>
      </c>
      <c r="E48" s="29">
        <v>5.86</v>
      </c>
      <c r="F48" s="29">
        <v>0</v>
      </c>
      <c r="G48" s="29">
        <v>0</v>
      </c>
      <c r="H48" s="29">
        <v>6.53</v>
      </c>
      <c r="I48" s="29">
        <v>0</v>
      </c>
      <c r="J48" s="29">
        <v>0</v>
      </c>
    </row>
    <row r="49" spans="1:10" ht="11.25" customHeight="1" x14ac:dyDescent="0.25">
      <c r="A49" s="157"/>
      <c r="B49" s="157"/>
      <c r="C49" s="31" t="s">
        <v>1316</v>
      </c>
      <c r="D49" s="31" t="s">
        <v>865</v>
      </c>
      <c r="E49" s="29">
        <v>6.74</v>
      </c>
      <c r="F49" s="29">
        <v>0</v>
      </c>
      <c r="G49" s="29">
        <v>0</v>
      </c>
      <c r="H49" s="29">
        <v>7.51</v>
      </c>
      <c r="I49" s="29">
        <v>0</v>
      </c>
      <c r="J49" s="29">
        <v>0</v>
      </c>
    </row>
    <row r="50" spans="1:10" ht="11.25" customHeight="1" x14ac:dyDescent="0.25">
      <c r="A50" s="157"/>
      <c r="B50" s="157"/>
      <c r="C50" s="31" t="s">
        <v>1317</v>
      </c>
      <c r="D50" s="31" t="s">
        <v>865</v>
      </c>
      <c r="E50" s="29">
        <v>7.84</v>
      </c>
      <c r="F50" s="29">
        <v>0</v>
      </c>
      <c r="G50" s="29">
        <v>0</v>
      </c>
      <c r="H50" s="29">
        <v>8.74</v>
      </c>
      <c r="I50" s="29">
        <v>0</v>
      </c>
      <c r="J50" s="29">
        <v>0</v>
      </c>
    </row>
    <row r="51" spans="1:10" ht="11.25" customHeight="1" x14ac:dyDescent="0.25">
      <c r="A51" s="157"/>
      <c r="B51" s="157"/>
      <c r="C51" s="31" t="s">
        <v>1318</v>
      </c>
      <c r="D51" s="31" t="s">
        <v>865</v>
      </c>
      <c r="E51" s="29">
        <v>4.26</v>
      </c>
      <c r="F51" s="29">
        <v>0</v>
      </c>
      <c r="G51" s="29">
        <v>0</v>
      </c>
      <c r="H51" s="29">
        <v>4.26</v>
      </c>
      <c r="I51" s="29">
        <v>0</v>
      </c>
      <c r="J51" s="29">
        <v>0</v>
      </c>
    </row>
    <row r="52" spans="1:10" ht="11.25" customHeight="1" x14ac:dyDescent="0.25">
      <c r="A52" s="157"/>
      <c r="B52" s="157"/>
      <c r="C52" s="31" t="s">
        <v>1319</v>
      </c>
      <c r="D52" s="31" t="s">
        <v>865</v>
      </c>
      <c r="E52" s="29">
        <v>6.3</v>
      </c>
      <c r="F52" s="29">
        <v>0</v>
      </c>
      <c r="G52" s="29">
        <v>0</v>
      </c>
      <c r="H52" s="29">
        <v>7.02</v>
      </c>
      <c r="I52" s="29">
        <v>0</v>
      </c>
      <c r="J52" s="29">
        <v>0</v>
      </c>
    </row>
    <row r="53" spans="1:10" ht="11.25" customHeight="1" x14ac:dyDescent="0.25">
      <c r="A53" s="157"/>
      <c r="B53" s="157"/>
      <c r="C53" s="31" t="s">
        <v>1320</v>
      </c>
      <c r="D53" s="31" t="s">
        <v>865</v>
      </c>
      <c r="E53" s="29">
        <v>8.17</v>
      </c>
      <c r="F53" s="29">
        <v>0</v>
      </c>
      <c r="G53" s="29">
        <v>0</v>
      </c>
      <c r="H53" s="29">
        <v>9.16</v>
      </c>
      <c r="I53" s="29">
        <v>0</v>
      </c>
      <c r="J53" s="29">
        <v>0</v>
      </c>
    </row>
    <row r="54" spans="1:10" ht="11.25" customHeight="1" x14ac:dyDescent="0.25">
      <c r="A54" s="157"/>
      <c r="B54" s="157"/>
      <c r="C54" s="31" t="s">
        <v>1321</v>
      </c>
      <c r="D54" s="31" t="s">
        <v>865</v>
      </c>
      <c r="E54" s="29">
        <v>6.78</v>
      </c>
      <c r="F54" s="29">
        <v>0</v>
      </c>
      <c r="G54" s="29">
        <v>0</v>
      </c>
      <c r="H54" s="29">
        <v>7.61</v>
      </c>
      <c r="I54" s="29">
        <v>0</v>
      </c>
      <c r="J54" s="29">
        <v>0</v>
      </c>
    </row>
    <row r="55" spans="1:10" ht="11.25" customHeight="1" x14ac:dyDescent="0.25">
      <c r="A55" s="157"/>
      <c r="B55" s="157"/>
      <c r="C55" s="31" t="s">
        <v>1322</v>
      </c>
      <c r="D55" s="31" t="s">
        <v>865</v>
      </c>
      <c r="E55" s="29">
        <v>8.17</v>
      </c>
      <c r="F55" s="29">
        <v>0</v>
      </c>
      <c r="G55" s="29">
        <v>0</v>
      </c>
      <c r="H55" s="29">
        <v>9.16</v>
      </c>
      <c r="I55" s="29">
        <v>0</v>
      </c>
      <c r="J55" s="29">
        <v>0</v>
      </c>
    </row>
    <row r="56" spans="1:10" ht="11.25" customHeight="1" x14ac:dyDescent="0.25">
      <c r="A56" s="157"/>
      <c r="B56" s="157"/>
      <c r="C56" s="31" t="s">
        <v>1323</v>
      </c>
      <c r="D56" s="31" t="s">
        <v>865</v>
      </c>
      <c r="E56" s="29">
        <v>6.94</v>
      </c>
      <c r="F56" s="29">
        <v>0</v>
      </c>
      <c r="G56" s="29">
        <v>0</v>
      </c>
      <c r="H56" s="29">
        <v>7.78</v>
      </c>
      <c r="I56" s="29">
        <v>0</v>
      </c>
      <c r="J56" s="29">
        <v>0</v>
      </c>
    </row>
    <row r="57" spans="1:10" ht="11.25" customHeight="1" x14ac:dyDescent="0.25">
      <c r="A57" s="157"/>
      <c r="B57" s="157"/>
      <c r="C57" s="31" t="s">
        <v>1324</v>
      </c>
      <c r="D57" s="31" t="s">
        <v>865</v>
      </c>
      <c r="E57" s="29">
        <v>5.67</v>
      </c>
      <c r="F57" s="29">
        <v>0</v>
      </c>
      <c r="G57" s="29">
        <v>0</v>
      </c>
      <c r="H57" s="29">
        <v>6.3</v>
      </c>
      <c r="I57" s="29">
        <v>0</v>
      </c>
      <c r="J57" s="29">
        <v>0</v>
      </c>
    </row>
    <row r="58" spans="1:10" ht="11.25" customHeight="1" x14ac:dyDescent="0.25">
      <c r="A58" s="157"/>
      <c r="B58" s="157"/>
      <c r="C58" s="31" t="s">
        <v>1325</v>
      </c>
      <c r="D58" s="31" t="s">
        <v>865</v>
      </c>
      <c r="E58" s="29">
        <v>6.58</v>
      </c>
      <c r="F58" s="29">
        <v>0</v>
      </c>
      <c r="G58" s="29">
        <v>0</v>
      </c>
      <c r="H58" s="29">
        <v>7.38</v>
      </c>
      <c r="I58" s="29">
        <v>0</v>
      </c>
      <c r="J58" s="29">
        <v>0</v>
      </c>
    </row>
    <row r="59" spans="1:10" ht="11.25" customHeight="1" x14ac:dyDescent="0.25">
      <c r="A59" s="157"/>
      <c r="B59" s="157"/>
      <c r="C59" s="31" t="s">
        <v>1326</v>
      </c>
      <c r="D59" s="31" t="s">
        <v>865</v>
      </c>
      <c r="E59" s="29">
        <v>7.25</v>
      </c>
      <c r="F59" s="29">
        <v>0</v>
      </c>
      <c r="G59" s="29">
        <v>0</v>
      </c>
      <c r="H59" s="29">
        <v>8.1300000000000008</v>
      </c>
      <c r="I59" s="29">
        <v>0</v>
      </c>
      <c r="J59" s="29">
        <v>0</v>
      </c>
    </row>
    <row r="60" spans="1:10" ht="11.25" customHeight="1" x14ac:dyDescent="0.25">
      <c r="A60" s="157"/>
      <c r="B60" s="157"/>
      <c r="C60" s="31" t="s">
        <v>1327</v>
      </c>
      <c r="D60" s="31" t="s">
        <v>865</v>
      </c>
      <c r="E60" s="29">
        <v>7.31</v>
      </c>
      <c r="F60" s="29">
        <v>0</v>
      </c>
      <c r="G60" s="29">
        <v>0</v>
      </c>
      <c r="H60" s="29">
        <v>8.18</v>
      </c>
      <c r="I60" s="29">
        <v>0</v>
      </c>
      <c r="J60" s="29">
        <v>0</v>
      </c>
    </row>
    <row r="61" spans="1:10" ht="11.25" customHeight="1" x14ac:dyDescent="0.25">
      <c r="A61" s="157"/>
      <c r="B61" s="157"/>
      <c r="C61" s="31" t="s">
        <v>1328</v>
      </c>
      <c r="D61" s="31" t="s">
        <v>865</v>
      </c>
      <c r="E61" s="29">
        <v>7.58</v>
      </c>
      <c r="F61" s="29">
        <v>0</v>
      </c>
      <c r="G61" s="29">
        <v>0</v>
      </c>
      <c r="H61" s="29">
        <v>8.5</v>
      </c>
      <c r="I61" s="29">
        <v>0</v>
      </c>
      <c r="J61" s="29">
        <v>0</v>
      </c>
    </row>
    <row r="62" spans="1:10" ht="11.25" customHeight="1" x14ac:dyDescent="0.25">
      <c r="A62" s="157"/>
      <c r="B62" s="157"/>
      <c r="C62" s="31" t="s">
        <v>1329</v>
      </c>
      <c r="D62" s="31" t="s">
        <v>865</v>
      </c>
      <c r="E62" s="29">
        <v>4.2</v>
      </c>
      <c r="F62" s="29">
        <v>0</v>
      </c>
      <c r="G62" s="29">
        <v>0</v>
      </c>
      <c r="H62" s="29">
        <v>4.2</v>
      </c>
      <c r="I62" s="29">
        <v>0</v>
      </c>
      <c r="J62" s="29">
        <v>0</v>
      </c>
    </row>
    <row r="63" spans="1:10" ht="11.25" customHeight="1" x14ac:dyDescent="0.25">
      <c r="A63" s="159" t="s">
        <v>715</v>
      </c>
      <c r="B63" s="159" t="s">
        <v>41</v>
      </c>
      <c r="C63" s="159" t="s">
        <v>25</v>
      </c>
      <c r="D63" s="31" t="s">
        <v>862</v>
      </c>
      <c r="E63" s="29">
        <v>13.03</v>
      </c>
      <c r="F63" s="29">
        <v>81.73</v>
      </c>
      <c r="G63" s="29">
        <v>388.08</v>
      </c>
      <c r="H63" s="29">
        <v>12.84</v>
      </c>
      <c r="I63" s="29">
        <v>83.03</v>
      </c>
      <c r="J63" s="29">
        <v>404.37</v>
      </c>
    </row>
    <row r="64" spans="1:10" ht="11.25" customHeight="1" x14ac:dyDescent="0.25">
      <c r="A64" s="157"/>
      <c r="B64" s="157"/>
      <c r="C64" s="157"/>
      <c r="D64" s="31" t="s">
        <v>863</v>
      </c>
      <c r="E64" s="29">
        <v>7.63</v>
      </c>
      <c r="F64" s="29">
        <v>81.73</v>
      </c>
      <c r="G64" s="29">
        <v>247.2</v>
      </c>
      <c r="H64" s="29">
        <v>6.92</v>
      </c>
      <c r="I64" s="29">
        <v>83.03</v>
      </c>
      <c r="J64" s="29">
        <v>245.77</v>
      </c>
    </row>
    <row r="65" spans="1:10" ht="11.25" customHeight="1" x14ac:dyDescent="0.25">
      <c r="A65" s="157"/>
      <c r="B65" s="159" t="s">
        <v>864</v>
      </c>
      <c r="C65" s="159" t="s">
        <v>25</v>
      </c>
      <c r="D65" s="31" t="s">
        <v>862</v>
      </c>
      <c r="E65" s="29">
        <v>13.03</v>
      </c>
      <c r="F65" s="29">
        <v>7.71</v>
      </c>
      <c r="G65" s="29">
        <v>0</v>
      </c>
      <c r="H65" s="29">
        <v>12.84</v>
      </c>
      <c r="I65" s="29">
        <v>8.5399999999999991</v>
      </c>
      <c r="J65" s="29">
        <v>0</v>
      </c>
    </row>
    <row r="66" spans="1:10" ht="11.25" customHeight="1" x14ac:dyDescent="0.25">
      <c r="A66" s="157"/>
      <c r="B66" s="157"/>
      <c r="C66" s="157"/>
      <c r="D66" s="31" t="s">
        <v>863</v>
      </c>
      <c r="E66" s="29">
        <v>7.63</v>
      </c>
      <c r="F66" s="29">
        <v>7.71</v>
      </c>
      <c r="G66" s="29">
        <v>0</v>
      </c>
      <c r="H66" s="29">
        <v>6.92</v>
      </c>
      <c r="I66" s="29">
        <v>8.5399999999999991</v>
      </c>
      <c r="J66" s="29">
        <v>0</v>
      </c>
    </row>
    <row r="67" spans="1:10" ht="11.25" customHeight="1" x14ac:dyDescent="0.25">
      <c r="A67" s="157"/>
      <c r="B67" s="31" t="s">
        <v>80</v>
      </c>
      <c r="C67" s="31" t="s">
        <v>25</v>
      </c>
      <c r="D67" s="31" t="s">
        <v>865</v>
      </c>
      <c r="E67" s="29">
        <v>6.94</v>
      </c>
      <c r="F67" s="29">
        <v>0</v>
      </c>
      <c r="G67" s="29">
        <v>0</v>
      </c>
      <c r="H67" s="29">
        <v>7.92</v>
      </c>
      <c r="I67" s="29">
        <v>0</v>
      </c>
      <c r="J67" s="29">
        <v>0</v>
      </c>
    </row>
    <row r="68" spans="1:10" ht="11.25" customHeight="1" x14ac:dyDescent="0.25">
      <c r="A68" s="159" t="s">
        <v>42</v>
      </c>
      <c r="B68" s="159" t="s">
        <v>41</v>
      </c>
      <c r="C68" s="159" t="s">
        <v>25</v>
      </c>
      <c r="D68" s="31" t="s">
        <v>862</v>
      </c>
      <c r="E68" s="29">
        <v>37.770000000000003</v>
      </c>
      <c r="F68" s="29">
        <v>110.85</v>
      </c>
      <c r="G68" s="29">
        <v>388.08</v>
      </c>
      <c r="H68" s="29">
        <v>40.68</v>
      </c>
      <c r="I68" s="29">
        <v>113.48</v>
      </c>
      <c r="J68" s="29">
        <v>404.37</v>
      </c>
    </row>
    <row r="69" spans="1:10" ht="11.25" customHeight="1" x14ac:dyDescent="0.25">
      <c r="A69" s="157"/>
      <c r="B69" s="157"/>
      <c r="C69" s="157"/>
      <c r="D69" s="31" t="s">
        <v>863</v>
      </c>
      <c r="E69" s="29">
        <v>17.579999999999998</v>
      </c>
      <c r="F69" s="29">
        <v>110.85</v>
      </c>
      <c r="G69" s="29">
        <v>247.2</v>
      </c>
      <c r="H69" s="29">
        <v>17.940000000000001</v>
      </c>
      <c r="I69" s="29">
        <v>113.48</v>
      </c>
      <c r="J69" s="29">
        <v>245.77</v>
      </c>
    </row>
    <row r="70" spans="1:10" ht="11.25" customHeight="1" x14ac:dyDescent="0.25">
      <c r="A70" s="157"/>
      <c r="B70" s="159" t="s">
        <v>864</v>
      </c>
      <c r="C70" s="159" t="s">
        <v>25</v>
      </c>
      <c r="D70" s="31" t="s">
        <v>862</v>
      </c>
      <c r="E70" s="29">
        <v>37.770000000000003</v>
      </c>
      <c r="F70" s="29">
        <v>15.9</v>
      </c>
      <c r="G70" s="29">
        <v>0</v>
      </c>
      <c r="H70" s="29">
        <v>40.68</v>
      </c>
      <c r="I70" s="29">
        <v>17.63</v>
      </c>
      <c r="J70" s="29">
        <v>0</v>
      </c>
    </row>
    <row r="71" spans="1:10" ht="11.25" customHeight="1" x14ac:dyDescent="0.25">
      <c r="A71" s="157"/>
      <c r="B71" s="157"/>
      <c r="C71" s="157"/>
      <c r="D71" s="31" t="s">
        <v>863</v>
      </c>
      <c r="E71" s="29">
        <v>17.579999999999998</v>
      </c>
      <c r="F71" s="29">
        <v>15.9</v>
      </c>
      <c r="G71" s="29">
        <v>0</v>
      </c>
      <c r="H71" s="29">
        <v>17.940000000000001</v>
      </c>
      <c r="I71" s="29">
        <v>17.63</v>
      </c>
      <c r="J71" s="29">
        <v>0</v>
      </c>
    </row>
    <row r="72" spans="1:10" ht="11.25" customHeight="1" x14ac:dyDescent="0.25">
      <c r="A72" s="157"/>
      <c r="B72" s="159" t="s">
        <v>34</v>
      </c>
      <c r="C72" s="159" t="s">
        <v>25</v>
      </c>
      <c r="D72" s="31" t="s">
        <v>865</v>
      </c>
      <c r="E72" s="29">
        <v>17.579999999999998</v>
      </c>
      <c r="F72" s="29">
        <v>0</v>
      </c>
      <c r="G72" s="29">
        <v>0</v>
      </c>
      <c r="H72" s="29">
        <v>17.940000000000001</v>
      </c>
      <c r="I72" s="29">
        <v>0</v>
      </c>
      <c r="J72" s="29">
        <v>0</v>
      </c>
    </row>
    <row r="73" spans="1:10" ht="11.25" customHeight="1" x14ac:dyDescent="0.25">
      <c r="A73" s="157"/>
      <c r="B73" s="157"/>
      <c r="C73" s="157"/>
      <c r="D73" s="31" t="s">
        <v>862</v>
      </c>
      <c r="E73" s="29">
        <v>0</v>
      </c>
      <c r="F73" s="29">
        <v>1027.46</v>
      </c>
      <c r="G73" s="29">
        <v>388.08</v>
      </c>
      <c r="H73" s="29">
        <v>0</v>
      </c>
      <c r="I73" s="29">
        <v>1101.22</v>
      </c>
      <c r="J73" s="29">
        <v>404.37</v>
      </c>
    </row>
    <row r="74" spans="1:10" ht="11.25" customHeight="1" x14ac:dyDescent="0.25">
      <c r="A74" s="157"/>
      <c r="B74" s="157"/>
      <c r="C74" s="157"/>
      <c r="D74" s="31" t="s">
        <v>863</v>
      </c>
      <c r="E74" s="29">
        <v>0</v>
      </c>
      <c r="F74" s="29">
        <v>110.85</v>
      </c>
      <c r="G74" s="29">
        <v>247.2</v>
      </c>
      <c r="H74" s="29">
        <v>0</v>
      </c>
      <c r="I74" s="29">
        <v>113.48</v>
      </c>
      <c r="J74" s="29">
        <v>245.77</v>
      </c>
    </row>
    <row r="75" spans="1:10" ht="11.25" customHeight="1" x14ac:dyDescent="0.25">
      <c r="A75" s="157"/>
      <c r="B75" s="159" t="s">
        <v>866</v>
      </c>
      <c r="C75" s="159" t="s">
        <v>25</v>
      </c>
      <c r="D75" s="31" t="s">
        <v>865</v>
      </c>
      <c r="E75" s="29">
        <v>17.579999999999998</v>
      </c>
      <c r="F75" s="29">
        <v>0</v>
      </c>
      <c r="G75" s="29">
        <v>0</v>
      </c>
      <c r="H75" s="29">
        <v>17.940000000000001</v>
      </c>
      <c r="I75" s="29">
        <v>0</v>
      </c>
      <c r="J75" s="29">
        <v>0</v>
      </c>
    </row>
    <row r="76" spans="1:10" ht="11.25" customHeight="1" x14ac:dyDescent="0.25">
      <c r="A76" s="157"/>
      <c r="B76" s="157"/>
      <c r="C76" s="157"/>
      <c r="D76" s="31" t="s">
        <v>862</v>
      </c>
      <c r="E76" s="29">
        <v>0</v>
      </c>
      <c r="F76" s="29">
        <v>932.51</v>
      </c>
      <c r="G76" s="29">
        <v>0</v>
      </c>
      <c r="H76" s="29">
        <v>0</v>
      </c>
      <c r="I76" s="29">
        <v>1005.36</v>
      </c>
      <c r="J76" s="29">
        <v>0</v>
      </c>
    </row>
    <row r="77" spans="1:10" ht="11.25" customHeight="1" x14ac:dyDescent="0.25">
      <c r="A77" s="157"/>
      <c r="B77" s="157"/>
      <c r="C77" s="157"/>
      <c r="D77" s="31" t="s">
        <v>863</v>
      </c>
      <c r="E77" s="29">
        <v>0</v>
      </c>
      <c r="F77" s="29">
        <v>15.9</v>
      </c>
      <c r="G77" s="29">
        <v>0</v>
      </c>
      <c r="H77" s="29">
        <v>0</v>
      </c>
      <c r="I77" s="29">
        <v>17.63</v>
      </c>
      <c r="J77" s="29">
        <v>0</v>
      </c>
    </row>
    <row r="78" spans="1:10" ht="11.25" customHeight="1" x14ac:dyDescent="0.25">
      <c r="A78" s="157"/>
      <c r="B78" s="159" t="s">
        <v>1295</v>
      </c>
      <c r="C78" s="159" t="s">
        <v>1296</v>
      </c>
      <c r="D78" s="31" t="s">
        <v>862</v>
      </c>
      <c r="E78" s="29">
        <v>23.96</v>
      </c>
      <c r="F78" s="29">
        <v>9.17</v>
      </c>
      <c r="G78" s="29">
        <v>0</v>
      </c>
      <c r="H78" s="29">
        <v>21.84</v>
      </c>
      <c r="I78" s="29">
        <v>9.07</v>
      </c>
      <c r="J78" s="29">
        <v>0</v>
      </c>
    </row>
    <row r="79" spans="1:10" ht="11.25" customHeight="1" x14ac:dyDescent="0.25">
      <c r="A79" s="157"/>
      <c r="B79" s="157"/>
      <c r="C79" s="157"/>
      <c r="D79" s="31" t="s">
        <v>863</v>
      </c>
      <c r="E79" s="29">
        <v>13.78</v>
      </c>
      <c r="F79" s="29">
        <v>9.17</v>
      </c>
      <c r="G79" s="29">
        <v>0</v>
      </c>
      <c r="H79" s="29">
        <v>11.92</v>
      </c>
      <c r="I79" s="29">
        <v>9.07</v>
      </c>
      <c r="J79" s="29">
        <v>0</v>
      </c>
    </row>
    <row r="80" spans="1:10" ht="11.25" customHeight="1" x14ac:dyDescent="0.25">
      <c r="A80" s="157"/>
      <c r="B80" s="157"/>
      <c r="C80" s="157"/>
      <c r="D80" s="31" t="s">
        <v>865</v>
      </c>
      <c r="E80" s="29">
        <v>0</v>
      </c>
      <c r="F80" s="29">
        <v>0</v>
      </c>
      <c r="G80" s="29">
        <v>289.33</v>
      </c>
      <c r="H80" s="29">
        <v>0</v>
      </c>
      <c r="I80" s="29">
        <v>0</v>
      </c>
      <c r="J80" s="29">
        <v>257.67</v>
      </c>
    </row>
    <row r="81" spans="1:10" ht="11.25" customHeight="1" x14ac:dyDescent="0.25">
      <c r="A81" s="157"/>
      <c r="B81" s="157"/>
      <c r="C81" s="159" t="s">
        <v>1330</v>
      </c>
      <c r="D81" s="31" t="s">
        <v>862</v>
      </c>
      <c r="E81" s="29">
        <v>23.96</v>
      </c>
      <c r="F81" s="29">
        <v>9.17</v>
      </c>
      <c r="G81" s="29">
        <v>0</v>
      </c>
      <c r="H81" s="29">
        <v>21.84</v>
      </c>
      <c r="I81" s="29">
        <v>9.07</v>
      </c>
      <c r="J81" s="29">
        <v>0</v>
      </c>
    </row>
    <row r="82" spans="1:10" ht="11.25" customHeight="1" x14ac:dyDescent="0.25">
      <c r="A82" s="157"/>
      <c r="B82" s="157"/>
      <c r="C82" s="157"/>
      <c r="D82" s="31" t="s">
        <v>863</v>
      </c>
      <c r="E82" s="29">
        <v>13.78</v>
      </c>
      <c r="F82" s="29">
        <v>9.17</v>
      </c>
      <c r="G82" s="29">
        <v>0</v>
      </c>
      <c r="H82" s="29">
        <v>11.92</v>
      </c>
      <c r="I82" s="29">
        <v>9.07</v>
      </c>
      <c r="J82" s="29">
        <v>0</v>
      </c>
    </row>
    <row r="83" spans="1:10" ht="11.25" customHeight="1" x14ac:dyDescent="0.25">
      <c r="A83" s="157"/>
      <c r="B83" s="157"/>
      <c r="C83" s="157"/>
      <c r="D83" s="31" t="s">
        <v>865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</row>
    <row r="84" spans="1:10" ht="11.25" customHeight="1" x14ac:dyDescent="0.25">
      <c r="A84" s="157"/>
      <c r="B84" s="157"/>
      <c r="C84" s="159" t="s">
        <v>1297</v>
      </c>
      <c r="D84" s="31" t="s">
        <v>862</v>
      </c>
      <c r="E84" s="29">
        <v>23.96</v>
      </c>
      <c r="F84" s="29">
        <v>9.17</v>
      </c>
      <c r="G84" s="29">
        <v>0</v>
      </c>
      <c r="H84" s="29">
        <v>21.84</v>
      </c>
      <c r="I84" s="29">
        <v>9.07</v>
      </c>
      <c r="J84" s="29">
        <v>0</v>
      </c>
    </row>
    <row r="85" spans="1:10" ht="11.25" customHeight="1" x14ac:dyDescent="0.25">
      <c r="A85" s="157"/>
      <c r="B85" s="157"/>
      <c r="C85" s="157"/>
      <c r="D85" s="31" t="s">
        <v>863</v>
      </c>
      <c r="E85" s="29">
        <v>13.78</v>
      </c>
      <c r="F85" s="29">
        <v>9.17</v>
      </c>
      <c r="G85" s="29">
        <v>0</v>
      </c>
      <c r="H85" s="29">
        <v>11.92</v>
      </c>
      <c r="I85" s="29">
        <v>9.07</v>
      </c>
      <c r="J85" s="29">
        <v>0</v>
      </c>
    </row>
    <row r="86" spans="1:10" ht="11.25" customHeight="1" x14ac:dyDescent="0.25">
      <c r="A86" s="157"/>
      <c r="B86" s="157"/>
      <c r="C86" s="157"/>
      <c r="D86" s="31" t="s">
        <v>865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</row>
    <row r="87" spans="1:10" ht="11.25" customHeight="1" x14ac:dyDescent="0.25">
      <c r="A87" s="157"/>
      <c r="B87" s="157"/>
      <c r="C87" s="159" t="s">
        <v>1331</v>
      </c>
      <c r="D87" s="31" t="s">
        <v>862</v>
      </c>
      <c r="E87" s="29">
        <v>23.96</v>
      </c>
      <c r="F87" s="29">
        <v>9.17</v>
      </c>
      <c r="G87" s="29">
        <v>0</v>
      </c>
      <c r="H87" s="29">
        <v>21.84</v>
      </c>
      <c r="I87" s="29">
        <v>9.07</v>
      </c>
      <c r="J87" s="29">
        <v>0</v>
      </c>
    </row>
    <row r="88" spans="1:10" ht="11.25" customHeight="1" x14ac:dyDescent="0.25">
      <c r="A88" s="157"/>
      <c r="B88" s="157"/>
      <c r="C88" s="157"/>
      <c r="D88" s="31" t="s">
        <v>863</v>
      </c>
      <c r="E88" s="29">
        <v>13.78</v>
      </c>
      <c r="F88" s="29">
        <v>9.17</v>
      </c>
      <c r="G88" s="29">
        <v>0</v>
      </c>
      <c r="H88" s="29">
        <v>11.92</v>
      </c>
      <c r="I88" s="29">
        <v>9.07</v>
      </c>
      <c r="J88" s="29">
        <v>0</v>
      </c>
    </row>
    <row r="89" spans="1:10" ht="11.25" customHeight="1" x14ac:dyDescent="0.25">
      <c r="A89" s="157"/>
      <c r="B89" s="157"/>
      <c r="C89" s="157"/>
      <c r="D89" s="31" t="s">
        <v>865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</row>
    <row r="90" spans="1:10" ht="11.25" customHeight="1" x14ac:dyDescent="0.25">
      <c r="A90" s="157"/>
      <c r="B90" s="31" t="s">
        <v>80</v>
      </c>
      <c r="C90" s="31" t="s">
        <v>25</v>
      </c>
      <c r="D90" s="31" t="s">
        <v>865</v>
      </c>
      <c r="E90" s="29">
        <v>6.47</v>
      </c>
      <c r="F90" s="29">
        <v>0</v>
      </c>
      <c r="G90" s="29">
        <v>0</v>
      </c>
      <c r="H90" s="29">
        <v>7.39</v>
      </c>
      <c r="I90" s="29">
        <v>0</v>
      </c>
      <c r="J90" s="29">
        <v>0</v>
      </c>
    </row>
    <row r="91" spans="1:10" ht="11.25" customHeight="1" x14ac:dyDescent="0.25">
      <c r="A91" s="159" t="s">
        <v>33</v>
      </c>
      <c r="B91" s="159" t="s">
        <v>41</v>
      </c>
      <c r="C91" s="159" t="s">
        <v>25</v>
      </c>
      <c r="D91" s="31" t="s">
        <v>862</v>
      </c>
      <c r="E91" s="29">
        <v>37.770000000000003</v>
      </c>
      <c r="F91" s="29">
        <v>110.85</v>
      </c>
      <c r="G91" s="29">
        <v>388.08</v>
      </c>
      <c r="H91" s="29">
        <v>40.68</v>
      </c>
      <c r="I91" s="29">
        <v>113.48</v>
      </c>
      <c r="J91" s="29">
        <v>404.37</v>
      </c>
    </row>
    <row r="92" spans="1:10" ht="11.25" customHeight="1" x14ac:dyDescent="0.25">
      <c r="A92" s="157"/>
      <c r="B92" s="157"/>
      <c r="C92" s="157"/>
      <c r="D92" s="31" t="s">
        <v>863</v>
      </c>
      <c r="E92" s="29">
        <v>17.579999999999998</v>
      </c>
      <c r="F92" s="29">
        <v>110.85</v>
      </c>
      <c r="G92" s="29">
        <v>247.2</v>
      </c>
      <c r="H92" s="29">
        <v>17.940000000000001</v>
      </c>
      <c r="I92" s="29">
        <v>113.48</v>
      </c>
      <c r="J92" s="29">
        <v>245.77</v>
      </c>
    </row>
    <row r="93" spans="1:10" ht="11.25" customHeight="1" x14ac:dyDescent="0.25">
      <c r="A93" s="157"/>
      <c r="B93" s="159" t="s">
        <v>864</v>
      </c>
      <c r="C93" s="159" t="s">
        <v>25</v>
      </c>
      <c r="D93" s="31" t="s">
        <v>862</v>
      </c>
      <c r="E93" s="29">
        <v>37.770000000000003</v>
      </c>
      <c r="F93" s="29">
        <v>15.9</v>
      </c>
      <c r="G93" s="29">
        <v>0</v>
      </c>
      <c r="H93" s="29">
        <v>40.68</v>
      </c>
      <c r="I93" s="29">
        <v>17.63</v>
      </c>
      <c r="J93" s="29">
        <v>0</v>
      </c>
    </row>
    <row r="94" spans="1:10" ht="11.25" customHeight="1" x14ac:dyDescent="0.25">
      <c r="A94" s="157"/>
      <c r="B94" s="157"/>
      <c r="C94" s="157"/>
      <c r="D94" s="31" t="s">
        <v>863</v>
      </c>
      <c r="E94" s="29">
        <v>17.579999999999998</v>
      </c>
      <c r="F94" s="29">
        <v>15.9</v>
      </c>
      <c r="G94" s="29">
        <v>0</v>
      </c>
      <c r="H94" s="29">
        <v>17.940000000000001</v>
      </c>
      <c r="I94" s="29">
        <v>17.63</v>
      </c>
      <c r="J94" s="29">
        <v>0</v>
      </c>
    </row>
    <row r="95" spans="1:10" ht="11.25" customHeight="1" x14ac:dyDescent="0.25">
      <c r="A95" s="157"/>
      <c r="B95" s="159" t="s">
        <v>34</v>
      </c>
      <c r="C95" s="159" t="s">
        <v>25</v>
      </c>
      <c r="D95" s="31" t="s">
        <v>865</v>
      </c>
      <c r="E95" s="29">
        <v>17.579999999999998</v>
      </c>
      <c r="F95" s="29">
        <v>0</v>
      </c>
      <c r="G95" s="29">
        <v>0</v>
      </c>
      <c r="H95" s="29">
        <v>17.940000000000001</v>
      </c>
      <c r="I95" s="29">
        <v>0</v>
      </c>
      <c r="J95" s="29">
        <v>0</v>
      </c>
    </row>
    <row r="96" spans="1:10" ht="11.25" customHeight="1" x14ac:dyDescent="0.25">
      <c r="A96" s="157"/>
      <c r="B96" s="157"/>
      <c r="C96" s="157"/>
      <c r="D96" s="31" t="s">
        <v>862</v>
      </c>
      <c r="E96" s="29">
        <v>0</v>
      </c>
      <c r="F96" s="29">
        <v>1027.46</v>
      </c>
      <c r="G96" s="29">
        <v>388.08</v>
      </c>
      <c r="H96" s="29">
        <v>0</v>
      </c>
      <c r="I96" s="29">
        <v>1101.22</v>
      </c>
      <c r="J96" s="29">
        <v>404.37</v>
      </c>
    </row>
    <row r="97" spans="1:10" ht="11.25" customHeight="1" x14ac:dyDescent="0.25">
      <c r="A97" s="157"/>
      <c r="B97" s="157"/>
      <c r="C97" s="157"/>
      <c r="D97" s="31" t="s">
        <v>863</v>
      </c>
      <c r="E97" s="29">
        <v>0</v>
      </c>
      <c r="F97" s="29">
        <v>110.85</v>
      </c>
      <c r="G97" s="29">
        <v>247.2</v>
      </c>
      <c r="H97" s="29">
        <v>0</v>
      </c>
      <c r="I97" s="29">
        <v>113.48</v>
      </c>
      <c r="J97" s="29">
        <v>245.77</v>
      </c>
    </row>
    <row r="98" spans="1:10" ht="11.25" customHeight="1" x14ac:dyDescent="0.25">
      <c r="A98" s="157"/>
      <c r="B98" s="159" t="s">
        <v>866</v>
      </c>
      <c r="C98" s="159" t="s">
        <v>25</v>
      </c>
      <c r="D98" s="31" t="s">
        <v>865</v>
      </c>
      <c r="E98" s="29">
        <v>17.579999999999998</v>
      </c>
      <c r="F98" s="29">
        <v>0</v>
      </c>
      <c r="G98" s="29">
        <v>0</v>
      </c>
      <c r="H98" s="29">
        <v>17.940000000000001</v>
      </c>
      <c r="I98" s="29">
        <v>0</v>
      </c>
      <c r="J98" s="29">
        <v>0</v>
      </c>
    </row>
    <row r="99" spans="1:10" ht="11.25" customHeight="1" x14ac:dyDescent="0.25">
      <c r="A99" s="157"/>
      <c r="B99" s="157"/>
      <c r="C99" s="157"/>
      <c r="D99" s="31" t="s">
        <v>862</v>
      </c>
      <c r="E99" s="29">
        <v>0</v>
      </c>
      <c r="F99" s="29">
        <v>932.51</v>
      </c>
      <c r="G99" s="29">
        <v>0</v>
      </c>
      <c r="H99" s="29">
        <v>0</v>
      </c>
      <c r="I99" s="29">
        <v>1005.36</v>
      </c>
      <c r="J99" s="29">
        <v>0</v>
      </c>
    </row>
    <row r="100" spans="1:10" ht="11.25" customHeight="1" x14ac:dyDescent="0.25">
      <c r="A100" s="157"/>
      <c r="B100" s="157"/>
      <c r="C100" s="157"/>
      <c r="D100" s="31" t="s">
        <v>863</v>
      </c>
      <c r="E100" s="29">
        <v>0</v>
      </c>
      <c r="F100" s="29">
        <v>15.9</v>
      </c>
      <c r="G100" s="29">
        <v>0</v>
      </c>
      <c r="H100" s="29">
        <v>0</v>
      </c>
      <c r="I100" s="29">
        <v>17.63</v>
      </c>
      <c r="J100" s="29">
        <v>0</v>
      </c>
    </row>
    <row r="101" spans="1:10" ht="11.25" customHeight="1" x14ac:dyDescent="0.25">
      <c r="A101" s="157"/>
      <c r="B101" s="159" t="s">
        <v>1295</v>
      </c>
      <c r="C101" s="159" t="s">
        <v>1296</v>
      </c>
      <c r="D101" s="31" t="s">
        <v>862</v>
      </c>
      <c r="E101" s="29">
        <v>23.96</v>
      </c>
      <c r="F101" s="29">
        <v>9.17</v>
      </c>
      <c r="G101" s="29">
        <v>0</v>
      </c>
      <c r="H101" s="29">
        <v>21.84</v>
      </c>
      <c r="I101" s="29">
        <v>9.07</v>
      </c>
      <c r="J101" s="29">
        <v>0</v>
      </c>
    </row>
    <row r="102" spans="1:10" ht="11.25" customHeight="1" x14ac:dyDescent="0.25">
      <c r="A102" s="157"/>
      <c r="B102" s="157"/>
      <c r="C102" s="157"/>
      <c r="D102" s="31" t="s">
        <v>863</v>
      </c>
      <c r="E102" s="29">
        <v>13.78</v>
      </c>
      <c r="F102" s="29">
        <v>9.17</v>
      </c>
      <c r="G102" s="29">
        <v>0</v>
      </c>
      <c r="H102" s="29">
        <v>11.92</v>
      </c>
      <c r="I102" s="29">
        <v>9.07</v>
      </c>
      <c r="J102" s="29">
        <v>0</v>
      </c>
    </row>
    <row r="103" spans="1:10" ht="11.25" customHeight="1" x14ac:dyDescent="0.25">
      <c r="A103" s="157"/>
      <c r="B103" s="157"/>
      <c r="C103" s="157"/>
      <c r="D103" s="31" t="s">
        <v>865</v>
      </c>
      <c r="E103" s="29">
        <v>0</v>
      </c>
      <c r="F103" s="29">
        <v>0</v>
      </c>
      <c r="G103" s="29">
        <v>289.33</v>
      </c>
      <c r="H103" s="29">
        <v>0</v>
      </c>
      <c r="I103" s="29">
        <v>0</v>
      </c>
      <c r="J103" s="29">
        <v>257.67</v>
      </c>
    </row>
    <row r="104" spans="1:10" ht="11.25" customHeight="1" x14ac:dyDescent="0.25">
      <c r="A104" s="157"/>
      <c r="B104" s="157"/>
      <c r="C104" s="159" t="s">
        <v>1332</v>
      </c>
      <c r="D104" s="31" t="s">
        <v>862</v>
      </c>
      <c r="E104" s="29">
        <v>23.96</v>
      </c>
      <c r="F104" s="29">
        <v>9.17</v>
      </c>
      <c r="G104" s="29">
        <v>0</v>
      </c>
      <c r="H104" s="29">
        <v>21.84</v>
      </c>
      <c r="I104" s="29">
        <v>9.07</v>
      </c>
      <c r="J104" s="29">
        <v>0</v>
      </c>
    </row>
    <row r="105" spans="1:10" ht="11.25" customHeight="1" x14ac:dyDescent="0.25">
      <c r="A105" s="157"/>
      <c r="B105" s="157"/>
      <c r="C105" s="157"/>
      <c r="D105" s="31" t="s">
        <v>863</v>
      </c>
      <c r="E105" s="29">
        <v>13.78</v>
      </c>
      <c r="F105" s="29">
        <v>9.17</v>
      </c>
      <c r="G105" s="29">
        <v>0</v>
      </c>
      <c r="H105" s="29">
        <v>11.92</v>
      </c>
      <c r="I105" s="29">
        <v>9.07</v>
      </c>
      <c r="J105" s="29">
        <v>0</v>
      </c>
    </row>
    <row r="106" spans="1:10" ht="11.25" customHeight="1" x14ac:dyDescent="0.25">
      <c r="A106" s="157"/>
      <c r="B106" s="157"/>
      <c r="C106" s="157"/>
      <c r="D106" s="31" t="s">
        <v>865</v>
      </c>
      <c r="E106" s="29">
        <v>0</v>
      </c>
      <c r="F106" s="29">
        <v>0</v>
      </c>
      <c r="G106" s="29">
        <v>289.33</v>
      </c>
      <c r="H106" s="29">
        <v>0</v>
      </c>
      <c r="I106" s="29">
        <v>0</v>
      </c>
      <c r="J106" s="29">
        <v>257.67</v>
      </c>
    </row>
    <row r="107" spans="1:10" ht="11.25" customHeight="1" x14ac:dyDescent="0.25">
      <c r="A107" s="157"/>
      <c r="B107" s="157"/>
      <c r="C107" s="159" t="s">
        <v>1297</v>
      </c>
      <c r="D107" s="31" t="s">
        <v>862</v>
      </c>
      <c r="E107" s="29">
        <v>23.96</v>
      </c>
      <c r="F107" s="29">
        <v>9.17</v>
      </c>
      <c r="G107" s="29">
        <v>0</v>
      </c>
      <c r="H107" s="29">
        <v>21.84</v>
      </c>
      <c r="I107" s="29">
        <v>9.07</v>
      </c>
      <c r="J107" s="29">
        <v>0</v>
      </c>
    </row>
    <row r="108" spans="1:10" ht="11.25" customHeight="1" x14ac:dyDescent="0.25">
      <c r="A108" s="157"/>
      <c r="B108" s="157"/>
      <c r="C108" s="157"/>
      <c r="D108" s="31" t="s">
        <v>863</v>
      </c>
      <c r="E108" s="29">
        <v>13.78</v>
      </c>
      <c r="F108" s="29">
        <v>9.17</v>
      </c>
      <c r="G108" s="29">
        <v>0</v>
      </c>
      <c r="H108" s="29">
        <v>11.92</v>
      </c>
      <c r="I108" s="29">
        <v>9.07</v>
      </c>
      <c r="J108" s="29">
        <v>0</v>
      </c>
    </row>
    <row r="109" spans="1:10" ht="11.25" customHeight="1" x14ac:dyDescent="0.25">
      <c r="A109" s="157"/>
      <c r="B109" s="157"/>
      <c r="C109" s="157"/>
      <c r="D109" s="31" t="s">
        <v>865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</row>
    <row r="110" spans="1:10" ht="11.25" customHeight="1" x14ac:dyDescent="0.25">
      <c r="A110" s="157"/>
      <c r="B110" s="31" t="s">
        <v>80</v>
      </c>
      <c r="C110" s="31" t="s">
        <v>25</v>
      </c>
      <c r="D110" s="31" t="s">
        <v>865</v>
      </c>
      <c r="E110" s="29">
        <v>6.47</v>
      </c>
      <c r="F110" s="29">
        <v>0</v>
      </c>
      <c r="G110" s="29">
        <v>0</v>
      </c>
      <c r="H110" s="29">
        <v>7.39</v>
      </c>
      <c r="I110" s="29">
        <v>0</v>
      </c>
      <c r="J110" s="29">
        <v>0</v>
      </c>
    </row>
    <row r="111" spans="1:10" ht="11.25" customHeight="1" x14ac:dyDescent="0.25">
      <c r="A111" s="159" t="s">
        <v>716</v>
      </c>
      <c r="B111" s="159" t="s">
        <v>41</v>
      </c>
      <c r="C111" s="159" t="s">
        <v>25</v>
      </c>
      <c r="D111" s="31" t="s">
        <v>862</v>
      </c>
      <c r="E111" s="29">
        <v>60.71</v>
      </c>
      <c r="F111" s="29">
        <v>142.86000000000001</v>
      </c>
      <c r="G111" s="29">
        <v>388.08</v>
      </c>
      <c r="H111" s="29">
        <v>66.8</v>
      </c>
      <c r="I111" s="29">
        <v>147.80000000000001</v>
      </c>
      <c r="J111" s="29">
        <v>404.37</v>
      </c>
    </row>
    <row r="112" spans="1:10" ht="11.25" customHeight="1" x14ac:dyDescent="0.25">
      <c r="A112" s="157"/>
      <c r="B112" s="157"/>
      <c r="C112" s="157"/>
      <c r="D112" s="31" t="s">
        <v>863</v>
      </c>
      <c r="E112" s="29">
        <v>13.24</v>
      </c>
      <c r="F112" s="29">
        <v>142.86000000000001</v>
      </c>
      <c r="G112" s="29">
        <v>247.2</v>
      </c>
      <c r="H112" s="29">
        <v>13.23</v>
      </c>
      <c r="I112" s="29">
        <v>147.80000000000001</v>
      </c>
      <c r="J112" s="29">
        <v>245.77</v>
      </c>
    </row>
    <row r="113" spans="1:10" ht="11.25" customHeight="1" x14ac:dyDescent="0.25">
      <c r="A113" s="157"/>
      <c r="B113" s="159" t="s">
        <v>864</v>
      </c>
      <c r="C113" s="159" t="s">
        <v>25</v>
      </c>
      <c r="D113" s="31" t="s">
        <v>862</v>
      </c>
      <c r="E113" s="29">
        <v>60.71</v>
      </c>
      <c r="F113" s="29">
        <v>32.69</v>
      </c>
      <c r="G113" s="29">
        <v>0</v>
      </c>
      <c r="H113" s="29">
        <v>66.8</v>
      </c>
      <c r="I113" s="29">
        <v>36.4</v>
      </c>
      <c r="J113" s="29">
        <v>0</v>
      </c>
    </row>
    <row r="114" spans="1:10" ht="11.25" customHeight="1" x14ac:dyDescent="0.25">
      <c r="A114" s="157"/>
      <c r="B114" s="157"/>
      <c r="C114" s="157"/>
      <c r="D114" s="31" t="s">
        <v>863</v>
      </c>
      <c r="E114" s="29">
        <v>13.24</v>
      </c>
      <c r="F114" s="29">
        <v>32.69</v>
      </c>
      <c r="G114" s="29">
        <v>0</v>
      </c>
      <c r="H114" s="29">
        <v>13.23</v>
      </c>
      <c r="I114" s="29">
        <v>36.4</v>
      </c>
      <c r="J114" s="29">
        <v>0</v>
      </c>
    </row>
    <row r="115" spans="1:10" ht="11.25" customHeight="1" x14ac:dyDescent="0.25">
      <c r="A115" s="157"/>
      <c r="B115" s="159" t="s">
        <v>34</v>
      </c>
      <c r="C115" s="159" t="s">
        <v>25</v>
      </c>
      <c r="D115" s="31" t="s">
        <v>865</v>
      </c>
      <c r="E115" s="29">
        <v>17.579999999999998</v>
      </c>
      <c r="F115" s="29">
        <v>0</v>
      </c>
      <c r="G115" s="29">
        <v>0</v>
      </c>
      <c r="H115" s="29">
        <v>17.940000000000001</v>
      </c>
      <c r="I115" s="29">
        <v>0</v>
      </c>
      <c r="J115" s="29">
        <v>0</v>
      </c>
    </row>
    <row r="116" spans="1:10" ht="11.25" customHeight="1" x14ac:dyDescent="0.25">
      <c r="A116" s="157"/>
      <c r="B116" s="157"/>
      <c r="C116" s="157"/>
      <c r="D116" s="31" t="s">
        <v>862</v>
      </c>
      <c r="E116" s="29">
        <v>0</v>
      </c>
      <c r="F116" s="29">
        <v>1027.46</v>
      </c>
      <c r="G116" s="29">
        <v>388.08</v>
      </c>
      <c r="H116" s="29">
        <v>0</v>
      </c>
      <c r="I116" s="29">
        <v>1101.22</v>
      </c>
      <c r="J116" s="29">
        <v>404.37</v>
      </c>
    </row>
    <row r="117" spans="1:10" ht="11.25" customHeight="1" x14ac:dyDescent="0.25">
      <c r="A117" s="157"/>
      <c r="B117" s="157"/>
      <c r="C117" s="157"/>
      <c r="D117" s="31" t="s">
        <v>863</v>
      </c>
      <c r="E117" s="29">
        <v>0</v>
      </c>
      <c r="F117" s="29">
        <v>110.85</v>
      </c>
      <c r="G117" s="29">
        <v>247.2</v>
      </c>
      <c r="H117" s="29">
        <v>0</v>
      </c>
      <c r="I117" s="29">
        <v>113.48</v>
      </c>
      <c r="J117" s="29">
        <v>245.77</v>
      </c>
    </row>
    <row r="118" spans="1:10" ht="11.25" customHeight="1" x14ac:dyDescent="0.25">
      <c r="A118" s="157"/>
      <c r="B118" s="159" t="s">
        <v>866</v>
      </c>
      <c r="C118" s="159" t="s">
        <v>25</v>
      </c>
      <c r="D118" s="31" t="s">
        <v>865</v>
      </c>
      <c r="E118" s="29">
        <v>17.579999999999998</v>
      </c>
      <c r="F118" s="29">
        <v>0</v>
      </c>
      <c r="G118" s="29">
        <v>0</v>
      </c>
      <c r="H118" s="29">
        <v>17.940000000000001</v>
      </c>
      <c r="I118" s="29">
        <v>0</v>
      </c>
      <c r="J118" s="29">
        <v>0</v>
      </c>
    </row>
    <row r="119" spans="1:10" ht="11.25" customHeight="1" x14ac:dyDescent="0.25">
      <c r="A119" s="157"/>
      <c r="B119" s="157"/>
      <c r="C119" s="157"/>
      <c r="D119" s="31" t="s">
        <v>862</v>
      </c>
      <c r="E119" s="29">
        <v>0</v>
      </c>
      <c r="F119" s="29">
        <v>932.51</v>
      </c>
      <c r="G119" s="29">
        <v>0</v>
      </c>
      <c r="H119" s="29">
        <v>0</v>
      </c>
      <c r="I119" s="29">
        <v>1005.36</v>
      </c>
      <c r="J119" s="29">
        <v>0</v>
      </c>
    </row>
    <row r="120" spans="1:10" ht="11.25" customHeight="1" x14ac:dyDescent="0.25">
      <c r="A120" s="157"/>
      <c r="B120" s="157"/>
      <c r="C120" s="157"/>
      <c r="D120" s="31" t="s">
        <v>863</v>
      </c>
      <c r="E120" s="29">
        <v>0</v>
      </c>
      <c r="F120" s="29">
        <v>15.9</v>
      </c>
      <c r="G120" s="29">
        <v>0</v>
      </c>
      <c r="H120" s="29">
        <v>0</v>
      </c>
      <c r="I120" s="29">
        <v>17.63</v>
      </c>
      <c r="J120" s="29">
        <v>0</v>
      </c>
    </row>
  </sheetData>
  <mergeCells count="109">
    <mergeCell ref="A111:A120"/>
    <mergeCell ref="B111:B112"/>
    <mergeCell ref="C111:C112"/>
    <mergeCell ref="B113:B114"/>
    <mergeCell ref="C113:C114"/>
    <mergeCell ref="B115:B117"/>
    <mergeCell ref="C115:C117"/>
    <mergeCell ref="B118:B120"/>
    <mergeCell ref="C118:C120"/>
    <mergeCell ref="C95:C97"/>
    <mergeCell ref="B98:B100"/>
    <mergeCell ref="C98:C100"/>
    <mergeCell ref="B101:B109"/>
    <mergeCell ref="C101:C103"/>
    <mergeCell ref="C104:C106"/>
    <mergeCell ref="C107:C109"/>
    <mergeCell ref="C78:C80"/>
    <mergeCell ref="C81:C83"/>
    <mergeCell ref="C84:C86"/>
    <mergeCell ref="C87:C89"/>
    <mergeCell ref="A63:A67"/>
    <mergeCell ref="B63:B64"/>
    <mergeCell ref="C63:C64"/>
    <mergeCell ref="B65:B66"/>
    <mergeCell ref="C65:C66"/>
    <mergeCell ref="L27:L31"/>
    <mergeCell ref="M27:M29"/>
    <mergeCell ref="N27:N29"/>
    <mergeCell ref="A91:A110"/>
    <mergeCell ref="B91:B92"/>
    <mergeCell ref="C91:C92"/>
    <mergeCell ref="B93:B94"/>
    <mergeCell ref="C93:C94"/>
    <mergeCell ref="B95:B97"/>
    <mergeCell ref="A68:A90"/>
    <mergeCell ref="B68:B69"/>
    <mergeCell ref="C68:C69"/>
    <mergeCell ref="B70:B71"/>
    <mergeCell ref="C70:C71"/>
    <mergeCell ref="B72:B74"/>
    <mergeCell ref="C72:C74"/>
    <mergeCell ref="B75:B77"/>
    <mergeCell ref="C75:C77"/>
    <mergeCell ref="B78:B89"/>
    <mergeCell ref="O27:O29"/>
    <mergeCell ref="C28:C30"/>
    <mergeCell ref="B31:B62"/>
    <mergeCell ref="L32:L33"/>
    <mergeCell ref="M32:M33"/>
    <mergeCell ref="N32:N33"/>
    <mergeCell ref="L34:L35"/>
    <mergeCell ref="A21:A62"/>
    <mergeCell ref="B21:B22"/>
    <mergeCell ref="C21:C22"/>
    <mergeCell ref="M22:M24"/>
    <mergeCell ref="N22:N24"/>
    <mergeCell ref="O22:O24"/>
    <mergeCell ref="B23:B24"/>
    <mergeCell ref="C23:C24"/>
    <mergeCell ref="B25:B30"/>
    <mergeCell ref="C25:C27"/>
    <mergeCell ref="M34:M35"/>
    <mergeCell ref="O5:O7"/>
    <mergeCell ref="B7:B8"/>
    <mergeCell ref="C7:C8"/>
    <mergeCell ref="B9:B10"/>
    <mergeCell ref="C9:C10"/>
    <mergeCell ref="B11:B12"/>
    <mergeCell ref="C11:C12"/>
    <mergeCell ref="L12:L26"/>
    <mergeCell ref="M12:M14"/>
    <mergeCell ref="N12:N14"/>
    <mergeCell ref="O12:O14"/>
    <mergeCell ref="B13:B14"/>
    <mergeCell ref="C13:C14"/>
    <mergeCell ref="B15:B16"/>
    <mergeCell ref="C15:C16"/>
    <mergeCell ref="B17:B18"/>
    <mergeCell ref="C17:C18"/>
    <mergeCell ref="M17:M19"/>
    <mergeCell ref="N17:N19"/>
    <mergeCell ref="O17:O19"/>
    <mergeCell ref="A5:A20"/>
    <mergeCell ref="B5:B6"/>
    <mergeCell ref="C5:C6"/>
    <mergeCell ref="L5:L11"/>
    <mergeCell ref="M5:M7"/>
    <mergeCell ref="N5:N7"/>
    <mergeCell ref="B19:B20"/>
    <mergeCell ref="C19:C20"/>
    <mergeCell ref="N2:N4"/>
    <mergeCell ref="O2:O4"/>
    <mergeCell ref="P2:P4"/>
    <mergeCell ref="Q2:S2"/>
    <mergeCell ref="T2:V2"/>
    <mergeCell ref="E3:F3"/>
    <mergeCell ref="H3:I3"/>
    <mergeCell ref="Q3:R3"/>
    <mergeCell ref="T3:U3"/>
    <mergeCell ref="A1:J1"/>
    <mergeCell ref="L1:V1"/>
    <mergeCell ref="A2:A4"/>
    <mergeCell ref="B2:B4"/>
    <mergeCell ref="C2:C4"/>
    <mergeCell ref="D2:D4"/>
    <mergeCell ref="E2:G2"/>
    <mergeCell ref="H2:J2"/>
    <mergeCell ref="L2:L4"/>
    <mergeCell ref="M2:M4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F0841-B947-4EAF-9C50-D7671EA84721}">
  <dimension ref="A1:AP67"/>
  <sheetViews>
    <sheetView showGridLines="0" topLeftCell="AB1" workbookViewId="0">
      <selection activeCell="AO63" sqref="AO63:AP6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2" width="7.2851562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702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O1" s="20"/>
      <c r="AP1" s="151" t="s">
        <v>684</v>
      </c>
    </row>
    <row r="2" spans="1:42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O2" s="20"/>
      <c r="AP2" s="152"/>
    </row>
    <row r="3" spans="1:42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/>
      <c r="U3" s="147" t="s">
        <v>591</v>
      </c>
      <c r="V3" s="147"/>
      <c r="W3" s="147"/>
      <c r="X3" s="147"/>
      <c r="Y3" s="147"/>
      <c r="Z3" s="147"/>
      <c r="AA3" s="147"/>
      <c r="AB3" s="147"/>
      <c r="AC3" s="147" t="s">
        <v>599</v>
      </c>
      <c r="AD3" s="147"/>
      <c r="AE3" s="147" t="s">
        <v>601</v>
      </c>
      <c r="AF3" s="147"/>
      <c r="AG3" s="147"/>
      <c r="AH3" s="147" t="s">
        <v>604</v>
      </c>
      <c r="AI3" s="147"/>
      <c r="AJ3" s="147"/>
      <c r="AK3" s="147"/>
      <c r="AL3" s="147"/>
      <c r="AM3" s="147" t="s">
        <v>590</v>
      </c>
      <c r="AO3" s="20"/>
      <c r="AP3" s="152"/>
    </row>
    <row r="4" spans="1:42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590</v>
      </c>
      <c r="U4" s="10" t="s">
        <v>592</v>
      </c>
      <c r="V4" s="10" t="s">
        <v>593</v>
      </c>
      <c r="W4" s="10" t="s">
        <v>594</v>
      </c>
      <c r="X4" s="10" t="s">
        <v>595</v>
      </c>
      <c r="Y4" s="10" t="s">
        <v>596</v>
      </c>
      <c r="Z4" s="10" t="s">
        <v>597</v>
      </c>
      <c r="AA4" s="10" t="s">
        <v>598</v>
      </c>
      <c r="AB4" s="10" t="s">
        <v>590</v>
      </c>
      <c r="AC4" s="10" t="s">
        <v>600</v>
      </c>
      <c r="AD4" s="10" t="s">
        <v>590</v>
      </c>
      <c r="AE4" s="10" t="s">
        <v>602</v>
      </c>
      <c r="AF4" s="10" t="s">
        <v>603</v>
      </c>
      <c r="AG4" s="10" t="s">
        <v>590</v>
      </c>
      <c r="AH4" s="10" t="s">
        <v>605</v>
      </c>
      <c r="AI4" s="10" t="s">
        <v>606</v>
      </c>
      <c r="AJ4" s="10" t="s">
        <v>607</v>
      </c>
      <c r="AK4" s="10" t="s">
        <v>608</v>
      </c>
      <c r="AL4" s="10" t="s">
        <v>590</v>
      </c>
      <c r="AM4" s="149"/>
      <c r="AO4" s="21" t="s">
        <v>701</v>
      </c>
      <c r="AP4" s="153"/>
    </row>
    <row r="5" spans="1:42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f>'TUSD BE'!$L$5*'TUSD BF'!$L$68</f>
        <v>0</v>
      </c>
      <c r="M5" s="12">
        <f>'TUSD BE'!$M$5*'TUSD BF'!$M$68</f>
        <v>0</v>
      </c>
      <c r="N5" s="12">
        <f ca="1">'TUSD BE'!$N$5*'TUSD BF'!$N$68</f>
        <v>0</v>
      </c>
      <c r="O5" s="12">
        <f>'TUSD BE'!$O$5*'TUSD BF'!$O$68</f>
        <v>0</v>
      </c>
      <c r="P5" s="12">
        <f>'TUSD BE'!$P$5*'TUSD BF'!$P$68</f>
        <v>0</v>
      </c>
      <c r="Q5" s="12">
        <f>'TUSD BE'!$Q$5*'TUSD BF'!$Q$68</f>
        <v>0</v>
      </c>
      <c r="R5" s="12">
        <f>'TUSD BE'!$R$5*'TUSD BF'!$R$68</f>
        <v>0</v>
      </c>
      <c r="S5" s="12">
        <f>'TUSD BE'!$R$5*'TUSD BF'!$S$68</f>
        <v>0</v>
      </c>
      <c r="T5" s="12">
        <f ca="1">SUM($L$5:$S$5)</f>
        <v>0</v>
      </c>
      <c r="U5" s="12">
        <f>'TUSD BE'!$U$5*'TUSD BF'!$U$68</f>
        <v>0</v>
      </c>
      <c r="V5" s="12">
        <f>'TUSD BE'!$V$5*'TUSD BF'!$V$68</f>
        <v>0</v>
      </c>
      <c r="W5" s="12">
        <f>'TUSD BE'!$W$5*'TUSD BF'!$W$68</f>
        <v>0</v>
      </c>
      <c r="X5" s="12">
        <f>'TUSD BE'!$X$5*'TUSD BF'!$X$68</f>
        <v>0</v>
      </c>
      <c r="Y5" s="12">
        <f>'TUSD BE'!$Y$5*'TUSD BF'!$Y$68</f>
        <v>0</v>
      </c>
      <c r="Z5" s="12">
        <f>'TUSD BE'!$Z$5*'TUSD BF'!$Z$68</f>
        <v>0</v>
      </c>
      <c r="AA5" s="12">
        <f>'TUSD BE'!$AA$5*'TUSD BF'!$AA$68</f>
        <v>0</v>
      </c>
      <c r="AB5" s="12">
        <f>SUM($U$5:$AA$5)</f>
        <v>0</v>
      </c>
      <c r="AC5" s="12">
        <f>'TUSD BE'!$AC$5*'TUSD BF'!$AC$68</f>
        <v>0</v>
      </c>
      <c r="AD5" s="12">
        <f>SUM($AC$5:$AC$5)</f>
        <v>0</v>
      </c>
      <c r="AE5" s="12">
        <f ca="1">$AO$5*$AO$65</f>
        <v>0</v>
      </c>
      <c r="AF5" s="12">
        <f ca="1">$AP$5*$AP$65</f>
        <v>0</v>
      </c>
      <c r="AG5" s="12">
        <f ca="1">SUM($AE$5:$AF$5)</f>
        <v>0</v>
      </c>
      <c r="AH5" s="12">
        <f>'TUSD BE'!$AH$5*'TUSD BF'!$AH$68</f>
        <v>0</v>
      </c>
      <c r="AI5" s="12">
        <f>'TUSD BE'!$AI$5*'TUSD BF'!$AI$68</f>
        <v>0</v>
      </c>
      <c r="AJ5" s="12">
        <f ca="1">'TUSD BE'!$AJ$5*'TUSD BF'!$AJ$68</f>
        <v>0</v>
      </c>
      <c r="AK5" s="12">
        <f ca="1">'TUSD BE'!$AK$5*'TUSD BF'!$AK$68</f>
        <v>0</v>
      </c>
      <c r="AL5" s="12">
        <f ca="1">SUM($AH$5:$AK$5)</f>
        <v>0</v>
      </c>
      <c r="AM5" s="12">
        <f ca="1">SUMIF($L$4:$AL$4,"SUBTOTAL",$L$5:$AL$5)</f>
        <v>0</v>
      </c>
      <c r="AO5" s="20">
        <f ca="1">+'TUSD BE'!$T$5+'TUSD BE'!$AB$5+'TUSD BE'!$AD$5+'TUSD BE'!$AL$5</f>
        <v>40.973169332448101</v>
      </c>
      <c r="AP5" s="20">
        <f ca="1">+'TUSD BE'!$T$5+'TUSD BE'!$AB$5+'TUSD BE'!$AD$5+'TUSD BE'!$AL$5</f>
        <v>40.973169332448101</v>
      </c>
    </row>
    <row r="6" spans="1:42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f>'TUSD BE'!$L$6*'TUSD BF'!$L$68</f>
        <v>0</v>
      </c>
      <c r="M6" s="12">
        <f>'TUSD BE'!$M$6*'TUSD BF'!$M$68</f>
        <v>0</v>
      </c>
      <c r="N6" s="12">
        <f ca="1">'TUSD BE'!$N$6*'TUSD BF'!$N$68</f>
        <v>0</v>
      </c>
      <c r="O6" s="12">
        <f>'TUSD BE'!$O$6*'TUSD BF'!$O$68</f>
        <v>0</v>
      </c>
      <c r="P6" s="12">
        <f>'TUSD BE'!$P$6*'TUSD BF'!$P$68</f>
        <v>0</v>
      </c>
      <c r="Q6" s="12">
        <f>'TUSD BE'!$Q$6*'TUSD BF'!$Q$68</f>
        <v>0</v>
      </c>
      <c r="R6" s="12">
        <f>'TUSD BE'!$R$6*'TUSD BF'!$R$68</f>
        <v>0</v>
      </c>
      <c r="S6" s="12">
        <f>'TUSD BE'!$R$6*'TUSD BF'!$S$68</f>
        <v>0</v>
      </c>
      <c r="T6" s="12">
        <f ca="1">SUM($L$6:$S$6)</f>
        <v>0</v>
      </c>
      <c r="U6" s="12">
        <f>'TUSD BE'!$U$6*'TUSD BF'!$U$68</f>
        <v>0</v>
      </c>
      <c r="V6" s="12">
        <f>'TUSD BE'!$V$6*'TUSD BF'!$V$68</f>
        <v>0</v>
      </c>
      <c r="W6" s="12">
        <f>'TUSD BE'!$W$6*'TUSD BF'!$W$68</f>
        <v>0</v>
      </c>
      <c r="X6" s="12">
        <f>'TUSD BE'!$X$6*'TUSD BF'!$X$68</f>
        <v>0</v>
      </c>
      <c r="Y6" s="12">
        <f>'TUSD BE'!$Y$6*'TUSD BF'!$Y$68</f>
        <v>0</v>
      </c>
      <c r="Z6" s="12">
        <f>'TUSD BE'!$Z$6*'TUSD BF'!$Z$68</f>
        <v>0</v>
      </c>
      <c r="AA6" s="12">
        <f>'TUSD BE'!$AA$6*'TUSD BF'!$AA$68</f>
        <v>0</v>
      </c>
      <c r="AB6" s="12">
        <f>SUM($U$6:$AA$6)</f>
        <v>0</v>
      </c>
      <c r="AC6" s="12">
        <f>'TUSD BE'!$AC$6*'TUSD BF'!$AC$68</f>
        <v>0</v>
      </c>
      <c r="AD6" s="12">
        <f>SUM($AC$6:$AC$6)</f>
        <v>0</v>
      </c>
      <c r="AE6" s="12">
        <f ca="1">$AO$6*$AO$65</f>
        <v>0</v>
      </c>
      <c r="AF6" s="12">
        <f ca="1">$AP$6*$AP$65</f>
        <v>0</v>
      </c>
      <c r="AG6" s="12">
        <f ca="1">SUM($AE$6:$AF$6)</f>
        <v>0</v>
      </c>
      <c r="AH6" s="12">
        <f>'TUSD BE'!$AH$6*'TUSD BF'!$AH$68</f>
        <v>0</v>
      </c>
      <c r="AI6" s="12">
        <f>'TUSD BE'!$AI$6*'TUSD BF'!$AI$68</f>
        <v>0</v>
      </c>
      <c r="AJ6" s="12">
        <f ca="1">'TUSD BE'!$AJ$6*'TUSD BF'!$AJ$68</f>
        <v>0</v>
      </c>
      <c r="AK6" s="12">
        <f ca="1">'TUSD BE'!$AK$6*'TUSD BF'!$AK$68</f>
        <v>0</v>
      </c>
      <c r="AL6" s="12">
        <f ca="1">SUM($AH$6:$AK$6)</f>
        <v>0</v>
      </c>
      <c r="AM6" s="12">
        <f ca="1">SUMIF($L$4:$AL$4,"SUBTOTAL",$L$6:$AL$6)</f>
        <v>0</v>
      </c>
      <c r="AO6" s="20">
        <f ca="1">+'TUSD BE'!$T$6+'TUSD BE'!$AB$6+'TUSD BE'!$AD$6+'TUSD BE'!$AL$6</f>
        <v>15.885095688811361</v>
      </c>
      <c r="AP6" s="20">
        <f ca="1">+'TUSD BE'!$T$6+'TUSD BE'!$AB$6+'TUSD BE'!$AD$6+'TUSD BE'!$AL$6</f>
        <v>15.885095688811361</v>
      </c>
    </row>
    <row r="7" spans="1:42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'TUSD BE'!$L$7*'TUSD BF'!$L$68</f>
        <v>0.17356458800554705</v>
      </c>
      <c r="M7" s="12">
        <f>'TUSD BE'!$M$7*'TUSD BF'!$M$68</f>
        <v>0</v>
      </c>
      <c r="N7" s="12">
        <f ca="1">'TUSD BE'!$N$7*'TUSD BF'!$N$68</f>
        <v>0</v>
      </c>
      <c r="O7" s="12">
        <f>'TUSD BE'!$O$7*'TUSD BF'!$O$68</f>
        <v>0</v>
      </c>
      <c r="P7" s="12">
        <f>'TUSD BE'!$P$7*'TUSD BF'!$P$68</f>
        <v>0</v>
      </c>
      <c r="Q7" s="12">
        <f>'TUSD BE'!$Q$7*'TUSD BF'!$Q$68</f>
        <v>11.059274568512494</v>
      </c>
      <c r="R7" s="12">
        <f>'TUSD BE'!$R$7*'TUSD BF'!$R$68</f>
        <v>3.1789350783715706</v>
      </c>
      <c r="S7" s="12">
        <f>'TUSD BE'!$R$7*'TUSD BF'!$S$68</f>
        <v>0</v>
      </c>
      <c r="T7" s="12">
        <f ca="1">SUM($L$7:$S$7)</f>
        <v>14.411774234889613</v>
      </c>
      <c r="U7" s="12">
        <f>'TUSD BE'!$U$7*'TUSD BF'!$U$68</f>
        <v>0</v>
      </c>
      <c r="V7" s="12">
        <f>'TUSD BE'!$V$7*'TUSD BF'!$V$68</f>
        <v>0</v>
      </c>
      <c r="W7" s="12">
        <f>'TUSD BE'!$W$7*'TUSD BF'!$W$68</f>
        <v>0</v>
      </c>
      <c r="X7" s="12">
        <f>'TUSD BE'!$X$7*'TUSD BF'!$X$68</f>
        <v>0</v>
      </c>
      <c r="Y7" s="12">
        <f>'TUSD BE'!$Y$7*'TUSD BF'!$Y$68</f>
        <v>0</v>
      </c>
      <c r="Z7" s="12">
        <f>'TUSD BE'!$Z$7*'TUSD BF'!$Z$68</f>
        <v>0</v>
      </c>
      <c r="AA7" s="12">
        <f>'TUSD BE'!$AA$7*'TUSD BF'!$AA$68</f>
        <v>0</v>
      </c>
      <c r="AB7" s="12">
        <f>SUM($U$7:$AA$7)</f>
        <v>0</v>
      </c>
      <c r="AC7" s="12">
        <f>'TUSD BE'!$AC$7*'TUSD BF'!$AC$68</f>
        <v>0</v>
      </c>
      <c r="AD7" s="12">
        <f>SUM($AC$7:$AC$7)</f>
        <v>0</v>
      </c>
      <c r="AE7" s="12">
        <f ca="1">$AO$7*$AO$65</f>
        <v>0</v>
      </c>
      <c r="AF7" s="12">
        <f ca="1">$AP$7*$AP$65</f>
        <v>0</v>
      </c>
      <c r="AG7" s="12">
        <f ca="1">SUM($AE$7:$AF$7)</f>
        <v>0</v>
      </c>
      <c r="AH7" s="12">
        <f>'TUSD BE'!$AH$7*'TUSD BF'!$AH$68</f>
        <v>0.6581697241911878</v>
      </c>
      <c r="AI7" s="12">
        <f>'TUSD BE'!$AI$7*'TUSD BF'!$AI$68</f>
        <v>2.4187326836034785E-2</v>
      </c>
      <c r="AJ7" s="12">
        <f ca="1">'TUSD BE'!$AJ$7*'TUSD BF'!$AJ$68</f>
        <v>0.16754129738105372</v>
      </c>
      <c r="AK7" s="12">
        <f ca="1">'TUSD BE'!$AK$7*'TUSD BF'!$AK$68</f>
        <v>0</v>
      </c>
      <c r="AL7" s="12">
        <f ca="1">SUM($AH$7:$AK$7)</f>
        <v>0.84989834840827627</v>
      </c>
      <c r="AM7" s="12">
        <f ca="1">SUMIF($L$4:$AL$4,"SUBTOTAL",$L$7:$AL$7)</f>
        <v>15.261672583297889</v>
      </c>
      <c r="AO7" s="20">
        <f ca="1">+'TUSD BE'!$T$7+'TUSD BE'!$AB$7+'TUSD BE'!$AD$7+'TUSD BE'!$AL$7</f>
        <v>99.211381512720507</v>
      </c>
      <c r="AP7" s="20">
        <f ca="1">+'TUSD BE'!$T$7+'TUSD BE'!$AB$7+'TUSD BE'!$AD$7+'TUSD BE'!$AL$7</f>
        <v>99.211381512720507</v>
      </c>
    </row>
    <row r="8" spans="1:42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f>'TUSD BE'!$L$8*'TUSD BF'!$L$68</f>
        <v>0</v>
      </c>
      <c r="M8" s="12">
        <f>'TUSD BE'!$M$8*'TUSD BF'!$M$68</f>
        <v>0</v>
      </c>
      <c r="N8" s="12">
        <f ca="1">'TUSD BE'!$N$8*'TUSD BF'!$N$68</f>
        <v>0</v>
      </c>
      <c r="O8" s="12">
        <f>'TUSD BE'!$O$8*'TUSD BF'!$O$68</f>
        <v>0</v>
      </c>
      <c r="P8" s="12">
        <f>'TUSD BE'!$P$8*'TUSD BF'!$P$68</f>
        <v>0</v>
      </c>
      <c r="Q8" s="12">
        <f>'TUSD BE'!$Q$8*'TUSD BF'!$Q$68</f>
        <v>0</v>
      </c>
      <c r="R8" s="12">
        <f>'TUSD BE'!$R$8*'TUSD BF'!$R$68</f>
        <v>0</v>
      </c>
      <c r="S8" s="12">
        <f>'TUSD BE'!$R$8*'TUSD BF'!$S$68</f>
        <v>0</v>
      </c>
      <c r="T8" s="12">
        <f ca="1">SUM($L$8:$S$8)</f>
        <v>0</v>
      </c>
      <c r="U8" s="12">
        <f>'TUSD BE'!$U$8*'TUSD BF'!$U$68</f>
        <v>0</v>
      </c>
      <c r="V8" s="12">
        <f>'TUSD BE'!$V$8*'TUSD BF'!$V$68</f>
        <v>0</v>
      </c>
      <c r="W8" s="12">
        <f>'TUSD BE'!$W$8*'TUSD BF'!$W$68</f>
        <v>0</v>
      </c>
      <c r="X8" s="12">
        <f>'TUSD BE'!$X$8*'TUSD BF'!$X$68</f>
        <v>0</v>
      </c>
      <c r="Y8" s="12">
        <f>'TUSD BE'!$Y$8*'TUSD BF'!$Y$68</f>
        <v>0</v>
      </c>
      <c r="Z8" s="12">
        <f>'TUSD BE'!$Z$8*'TUSD BF'!$Z$68</f>
        <v>0</v>
      </c>
      <c r="AA8" s="12">
        <f>'TUSD BE'!$AA$8*'TUSD BF'!$AA$68</f>
        <v>0</v>
      </c>
      <c r="AB8" s="12">
        <f>SUM($U$8:$AA$8)</f>
        <v>0</v>
      </c>
      <c r="AC8" s="12">
        <f>'TUSD BE'!$AC$8*'TUSD BF'!$AC$68</f>
        <v>0</v>
      </c>
      <c r="AD8" s="12">
        <f>SUM($AC$8:$AC$8)</f>
        <v>0</v>
      </c>
      <c r="AE8" s="12">
        <f ca="1">$AO$8*$AO$65</f>
        <v>0</v>
      </c>
      <c r="AF8" s="12">
        <f ca="1">$AP$8*$AP$65</f>
        <v>0</v>
      </c>
      <c r="AG8" s="12">
        <f ca="1">SUM($AE$8:$AF$8)</f>
        <v>0</v>
      </c>
      <c r="AH8" s="12">
        <f>'TUSD BE'!$AH$8*'TUSD BF'!$AH$68</f>
        <v>0.6581697241911878</v>
      </c>
      <c r="AI8" s="12">
        <f>'TUSD BE'!$AI$8*'TUSD BF'!$AI$68</f>
        <v>2.4187326836034785E-2</v>
      </c>
      <c r="AJ8" s="12">
        <f ca="1">'TUSD BE'!$AJ$8*'TUSD BF'!$AJ$68</f>
        <v>0.16754129738105372</v>
      </c>
      <c r="AK8" s="12">
        <f ca="1">'TUSD BE'!$AK$8*'TUSD BF'!$AK$68</f>
        <v>0</v>
      </c>
      <c r="AL8" s="12">
        <f ca="1">SUM($AH$8:$AK$8)</f>
        <v>0.84989834840827627</v>
      </c>
      <c r="AM8" s="12">
        <f ca="1">SUMIF($L$4:$AL$4,"SUBTOTAL",$L$8:$AL$8)</f>
        <v>0.84989834840827627</v>
      </c>
      <c r="AO8" s="20">
        <f ca="1">+'TUSD BE'!$T$8+'TUSD BE'!$AB$8+'TUSD BE'!$AD$8+'TUSD BE'!$AL$8</f>
        <v>6.8669654785753922</v>
      </c>
      <c r="AP8" s="20">
        <f ca="1">+'TUSD BE'!$T$8+'TUSD BE'!$AB$8+'TUSD BE'!$AD$8+'TUSD BE'!$AL$8</f>
        <v>6.8669654785753922</v>
      </c>
    </row>
    <row r="9" spans="1:42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f>'TUSD BE'!$L$9*'TUSD BF'!$L$68</f>
        <v>0</v>
      </c>
      <c r="M9" s="12">
        <f>'TUSD BE'!$M$9*'TUSD BF'!$M$68</f>
        <v>0</v>
      </c>
      <c r="N9" s="12">
        <f ca="1">'TUSD BE'!$N$9*'TUSD BF'!$N$68</f>
        <v>0</v>
      </c>
      <c r="O9" s="12">
        <f>'TUSD BE'!$O$9*'TUSD BF'!$O$68</f>
        <v>0</v>
      </c>
      <c r="P9" s="12">
        <f>'TUSD BE'!$P$9*'TUSD BF'!$P$68</f>
        <v>0</v>
      </c>
      <c r="Q9" s="12">
        <f>'TUSD BE'!$Q$9*'TUSD BF'!$Q$68</f>
        <v>0</v>
      </c>
      <c r="R9" s="12">
        <f>'TUSD BE'!$R$9*'TUSD BF'!$R$68</f>
        <v>0</v>
      </c>
      <c r="S9" s="12">
        <f>'TUSD BE'!$R$9*'TUSD BF'!$S$68</f>
        <v>0</v>
      </c>
      <c r="T9" s="12">
        <f ca="1">SUM($L$9:$S$9)</f>
        <v>0</v>
      </c>
      <c r="U9" s="12">
        <f>'TUSD BE'!$U$9*'TUSD BF'!$U$68</f>
        <v>0</v>
      </c>
      <c r="V9" s="12">
        <f>'TUSD BE'!$V$9*'TUSD BF'!$V$68</f>
        <v>0</v>
      </c>
      <c r="W9" s="12">
        <f>'TUSD BE'!$W$9*'TUSD BF'!$W$68</f>
        <v>0</v>
      </c>
      <c r="X9" s="12">
        <f>'TUSD BE'!$X$9*'TUSD BF'!$X$68</f>
        <v>0</v>
      </c>
      <c r="Y9" s="12">
        <f>'TUSD BE'!$Y$9*'TUSD BF'!$Y$68</f>
        <v>0</v>
      </c>
      <c r="Z9" s="12">
        <f>'TUSD BE'!$Z$9*'TUSD BF'!$Z$68</f>
        <v>0</v>
      </c>
      <c r="AA9" s="12">
        <f>'TUSD BE'!$AA$9*'TUSD BF'!$AA$68</f>
        <v>0</v>
      </c>
      <c r="AB9" s="12">
        <f>SUM($U$9:$AA$9)</f>
        <v>0</v>
      </c>
      <c r="AC9" s="12">
        <f>'TUSD BE'!$AC$9*'TUSD BF'!$AC$68</f>
        <v>0</v>
      </c>
      <c r="AD9" s="12">
        <f>SUM($AC$9:$AC$9)</f>
        <v>0</v>
      </c>
      <c r="AE9" s="12">
        <f ca="1">$AO$9*$AO$65</f>
        <v>0</v>
      </c>
      <c r="AF9" s="12">
        <f ca="1">$AP$9*$AP$65</f>
        <v>0</v>
      </c>
      <c r="AG9" s="12">
        <f ca="1">SUM($AE$9:$AF$9)</f>
        <v>0</v>
      </c>
      <c r="AH9" s="12">
        <f>'TUSD BE'!$AH$9*'TUSD BF'!$AH$68</f>
        <v>0</v>
      </c>
      <c r="AI9" s="12">
        <f>'TUSD BE'!$AI$9*'TUSD BF'!$AI$68</f>
        <v>0</v>
      </c>
      <c r="AJ9" s="12">
        <f ca="1">'TUSD BE'!$AJ$9*'TUSD BF'!$AJ$68</f>
        <v>0</v>
      </c>
      <c r="AK9" s="12">
        <f ca="1">'TUSD BE'!$AK$9*'TUSD BF'!$AK$68</f>
        <v>0</v>
      </c>
      <c r="AL9" s="12">
        <f ca="1">SUM($AH$9:$AK$9)</f>
        <v>0</v>
      </c>
      <c r="AM9" s="12">
        <f ca="1">SUMIF($L$4:$AL$4,"SUBTOTAL",$L$9:$AL$9)</f>
        <v>0</v>
      </c>
      <c r="AO9" s="20">
        <f ca="1">+'TUSD BE'!$T$9+'TUSD BE'!$AB$9+'TUSD BE'!$AD$9+'TUSD BE'!$AL$9</f>
        <v>5.7777579326507871</v>
      </c>
      <c r="AP9" s="20">
        <f ca="1">+'TUSD BE'!$T$9+'TUSD BE'!$AB$9+'TUSD BE'!$AD$9+'TUSD BE'!$AL$9</f>
        <v>5.7777579326507871</v>
      </c>
    </row>
    <row r="10" spans="1:42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f>'TUSD BE'!$L$10*'TUSD BF'!$L$68</f>
        <v>0</v>
      </c>
      <c r="M10" s="12">
        <f>'TUSD BE'!$M$10*'TUSD BF'!$M$68</f>
        <v>0</v>
      </c>
      <c r="N10" s="12">
        <f ca="1">'TUSD BE'!$N$10*'TUSD BF'!$N$68</f>
        <v>0</v>
      </c>
      <c r="O10" s="12">
        <f>'TUSD BE'!$O$10*'TUSD BF'!$O$68</f>
        <v>0</v>
      </c>
      <c r="P10" s="12">
        <f>'TUSD BE'!$P$10*'TUSD BF'!$P$68</f>
        <v>0</v>
      </c>
      <c r="Q10" s="12">
        <f>'TUSD BE'!$Q$10*'TUSD BF'!$Q$68</f>
        <v>0</v>
      </c>
      <c r="R10" s="12">
        <f>'TUSD BE'!$R$10*'TUSD BF'!$R$68</f>
        <v>0</v>
      </c>
      <c r="S10" s="12">
        <f>'TUSD BE'!$R$10*'TUSD BF'!$S$68</f>
        <v>0</v>
      </c>
      <c r="T10" s="12">
        <f ca="1">SUM($L$10:$S$10)</f>
        <v>0</v>
      </c>
      <c r="U10" s="12">
        <f>'TUSD BE'!$U$10*'TUSD BF'!$U$68</f>
        <v>0</v>
      </c>
      <c r="V10" s="12">
        <f>'TUSD BE'!$V$10*'TUSD BF'!$V$68</f>
        <v>0</v>
      </c>
      <c r="W10" s="12">
        <f>'TUSD BE'!$W$10*'TUSD BF'!$W$68</f>
        <v>0</v>
      </c>
      <c r="X10" s="12">
        <f>'TUSD BE'!$X$10*'TUSD BF'!$X$68</f>
        <v>0</v>
      </c>
      <c r="Y10" s="12">
        <f>'TUSD BE'!$Y$10*'TUSD BF'!$Y$68</f>
        <v>0</v>
      </c>
      <c r="Z10" s="12">
        <f>'TUSD BE'!$Z$10*'TUSD BF'!$Z$68</f>
        <v>0</v>
      </c>
      <c r="AA10" s="12">
        <f>'TUSD BE'!$AA$10*'TUSD BF'!$AA$68</f>
        <v>0</v>
      </c>
      <c r="AB10" s="12">
        <f>SUM($U$10:$AA$10)</f>
        <v>0</v>
      </c>
      <c r="AC10" s="12">
        <f>'TUSD BE'!$AC$10*'TUSD BF'!$AC$68</f>
        <v>0</v>
      </c>
      <c r="AD10" s="12">
        <f>SUM($AC$10:$AC$10)</f>
        <v>0</v>
      </c>
      <c r="AE10" s="12">
        <f ca="1">$AO$10*$AO$65</f>
        <v>0</v>
      </c>
      <c r="AF10" s="12">
        <f ca="1">$AP$10*$AP$65</f>
        <v>0</v>
      </c>
      <c r="AG10" s="12">
        <f ca="1">SUM($AE$10:$AF$10)</f>
        <v>0</v>
      </c>
      <c r="AH10" s="12">
        <f>'TUSD BE'!$AH$10*'TUSD BF'!$AH$68</f>
        <v>0</v>
      </c>
      <c r="AI10" s="12">
        <f>'TUSD BE'!$AI$10*'TUSD BF'!$AI$68</f>
        <v>0</v>
      </c>
      <c r="AJ10" s="12">
        <f ca="1">'TUSD BE'!$AJ$10*'TUSD BF'!$AJ$68</f>
        <v>0</v>
      </c>
      <c r="AK10" s="12">
        <f ca="1">'TUSD BE'!$AK$10*'TUSD BF'!$AK$68</f>
        <v>0</v>
      </c>
      <c r="AL10" s="12">
        <f ca="1">SUM($AH$10:$AK$10)</f>
        <v>0</v>
      </c>
      <c r="AM10" s="12">
        <f ca="1">SUMIF($L$4:$AL$4,"SUBTOTAL",$L$10:$AL$10)</f>
        <v>0</v>
      </c>
      <c r="AO10" s="20">
        <f ca="1">+'TUSD BE'!$T$10+'TUSD BE'!$AB$10+'TUSD BE'!$AD$10+'TUSD BE'!$AL$10</f>
        <v>15.885095688811361</v>
      </c>
      <c r="AP10" s="20">
        <f ca="1">+'TUSD BE'!$T$10+'TUSD BE'!$AB$10+'TUSD BE'!$AD$10+'TUSD BE'!$AL$10</f>
        <v>15.885095688811361</v>
      </c>
    </row>
    <row r="11" spans="1:42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'TUSD BE'!$L$11*'TUSD BF'!$L$68</f>
        <v>0.17356458800554705</v>
      </c>
      <c r="M11" s="12">
        <f>'TUSD BE'!$M$11*'TUSD BF'!$M$68</f>
        <v>0</v>
      </c>
      <c r="N11" s="12">
        <f ca="1">'TUSD BE'!$N$11*'TUSD BF'!$N$68</f>
        <v>0</v>
      </c>
      <c r="O11" s="12">
        <f>'TUSD BE'!$O$11*'TUSD BF'!$O$68</f>
        <v>0</v>
      </c>
      <c r="P11" s="12">
        <f>'TUSD BE'!$P$11*'TUSD BF'!$P$68</f>
        <v>0</v>
      </c>
      <c r="Q11" s="12">
        <f>'TUSD BE'!$Q$11*'TUSD BF'!$Q$68</f>
        <v>11.059274568512494</v>
      </c>
      <c r="R11" s="12">
        <f>'TUSD BE'!$R$11*'TUSD BF'!$R$68</f>
        <v>3.1789350783715706</v>
      </c>
      <c r="S11" s="12">
        <f>'TUSD BE'!$R$11*'TUSD BF'!$S$68</f>
        <v>0</v>
      </c>
      <c r="T11" s="12">
        <f ca="1">SUM($L$11:$S$11)</f>
        <v>14.411774234889613</v>
      </c>
      <c r="U11" s="12">
        <f>'TUSD BE'!$U$11*'TUSD BF'!$U$68</f>
        <v>0</v>
      </c>
      <c r="V11" s="12">
        <f>'TUSD BE'!$V$11*'TUSD BF'!$V$68</f>
        <v>0</v>
      </c>
      <c r="W11" s="12">
        <f>'TUSD BE'!$W$11*'TUSD BF'!$W$68</f>
        <v>0</v>
      </c>
      <c r="X11" s="12">
        <f>'TUSD BE'!$X$11*'TUSD BF'!$X$68</f>
        <v>0</v>
      </c>
      <c r="Y11" s="12">
        <f>'TUSD BE'!$Y$11*'TUSD BF'!$Y$68</f>
        <v>0</v>
      </c>
      <c r="Z11" s="12">
        <f>'TUSD BE'!$Z$11*'TUSD BF'!$Z$68</f>
        <v>0</v>
      </c>
      <c r="AA11" s="12">
        <f>'TUSD BE'!$AA$11*'TUSD BF'!$AA$68</f>
        <v>0</v>
      </c>
      <c r="AB11" s="12">
        <f>SUM($U$11:$AA$11)</f>
        <v>0</v>
      </c>
      <c r="AC11" s="12">
        <f>'TUSD BE'!$AC$11*'TUSD BF'!$AC$68</f>
        <v>0</v>
      </c>
      <c r="AD11" s="12">
        <f>SUM($AC$11:$AC$11)</f>
        <v>0</v>
      </c>
      <c r="AE11" s="12">
        <f ca="1">$AO$11*$AO$65</f>
        <v>0</v>
      </c>
      <c r="AF11" s="12">
        <f ca="1">$AP$11*$AP$65</f>
        <v>0</v>
      </c>
      <c r="AG11" s="12">
        <f ca="1">SUM($AE$11:$AF$11)</f>
        <v>0</v>
      </c>
      <c r="AH11" s="12">
        <f>'TUSD BE'!$AH$11*'TUSD BF'!$AH$68</f>
        <v>0.6581697241911878</v>
      </c>
      <c r="AI11" s="12">
        <f>'TUSD BE'!$AI$11*'TUSD BF'!$AI$68</f>
        <v>2.4187326836034785E-2</v>
      </c>
      <c r="AJ11" s="12">
        <f ca="1">'TUSD BE'!$AJ$11*'TUSD BF'!$AJ$68</f>
        <v>0.16754129738105372</v>
      </c>
      <c r="AK11" s="12">
        <f ca="1">'TUSD BE'!$AK$11*'TUSD BF'!$AK$68</f>
        <v>0</v>
      </c>
      <c r="AL11" s="12">
        <f ca="1">SUM($AH$11:$AK$11)</f>
        <v>0.84989834840827627</v>
      </c>
      <c r="AM11" s="12">
        <f ca="1">SUMIF($L$4:$AL$4,"SUBTOTAL",$L$11:$AL$11)</f>
        <v>15.261672583297889</v>
      </c>
      <c r="AO11" s="20">
        <f ca="1">+'TUSD BE'!$T$11+'TUSD BE'!$AB$11+'TUSD BE'!$AD$11+'TUSD BE'!$AL$11</f>
        <v>1099.4459907797286</v>
      </c>
      <c r="AP11" s="20">
        <f ca="1">+'TUSD BE'!$T$11+'TUSD BE'!$AB$11+'TUSD BE'!$AD$11+'TUSD BE'!$AL$11</f>
        <v>1099.4459907797286</v>
      </c>
    </row>
    <row r="12" spans="1:42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'TUSD BE'!$L$12*'TUSD BF'!$L$68</f>
        <v>0.17356458800554705</v>
      </c>
      <c r="M12" s="12">
        <f>'TUSD BE'!$M$12*'TUSD BF'!$M$68</f>
        <v>0</v>
      </c>
      <c r="N12" s="12">
        <f ca="1">'TUSD BE'!$N$12*'TUSD BF'!$N$68</f>
        <v>0</v>
      </c>
      <c r="O12" s="12">
        <f>'TUSD BE'!$O$12*'TUSD BF'!$O$68</f>
        <v>0</v>
      </c>
      <c r="P12" s="12">
        <f>'TUSD BE'!$P$12*'TUSD BF'!$P$68</f>
        <v>0</v>
      </c>
      <c r="Q12" s="12">
        <f>'TUSD BE'!$Q$12*'TUSD BF'!$Q$68</f>
        <v>11.059274568512494</v>
      </c>
      <c r="R12" s="12">
        <f>'TUSD BE'!$R$12*'TUSD BF'!$R$68</f>
        <v>3.1789350783715706</v>
      </c>
      <c r="S12" s="12">
        <f>'TUSD BE'!$R$12*'TUSD BF'!$S$68</f>
        <v>0</v>
      </c>
      <c r="T12" s="12">
        <f ca="1">SUM($L$12:$S$12)</f>
        <v>14.411774234889613</v>
      </c>
      <c r="U12" s="12">
        <f>'TUSD BE'!$U$12*'TUSD BF'!$U$68</f>
        <v>0</v>
      </c>
      <c r="V12" s="12">
        <f>'TUSD BE'!$V$12*'TUSD BF'!$V$68</f>
        <v>0</v>
      </c>
      <c r="W12" s="12">
        <f>'TUSD BE'!$W$12*'TUSD BF'!$W$68</f>
        <v>0</v>
      </c>
      <c r="X12" s="12">
        <f>'TUSD BE'!$X$12*'TUSD BF'!$X$68</f>
        <v>0</v>
      </c>
      <c r="Y12" s="12">
        <f>'TUSD BE'!$Y$12*'TUSD BF'!$Y$68</f>
        <v>0</v>
      </c>
      <c r="Z12" s="12">
        <f>'TUSD BE'!$Z$12*'TUSD BF'!$Z$68</f>
        <v>0</v>
      </c>
      <c r="AA12" s="12">
        <f>'TUSD BE'!$AA$12*'TUSD BF'!$AA$68</f>
        <v>0</v>
      </c>
      <c r="AB12" s="12">
        <f>SUM($U$12:$AA$12)</f>
        <v>0</v>
      </c>
      <c r="AC12" s="12">
        <f>'TUSD BE'!$AC$12*'TUSD BF'!$AC$68</f>
        <v>0</v>
      </c>
      <c r="AD12" s="12">
        <f>SUM($AC$12:$AC$12)</f>
        <v>0</v>
      </c>
      <c r="AE12" s="12">
        <f ca="1">$AO$12*$AO$65</f>
        <v>0</v>
      </c>
      <c r="AF12" s="12">
        <f ca="1">$AP$12*$AP$65</f>
        <v>0</v>
      </c>
      <c r="AG12" s="12">
        <f ca="1">SUM($AE$12:$AF$12)</f>
        <v>0</v>
      </c>
      <c r="AH12" s="12">
        <f>'TUSD BE'!$AH$12*'TUSD BF'!$AH$68</f>
        <v>0.6581697241911878</v>
      </c>
      <c r="AI12" s="12">
        <f>'TUSD BE'!$AI$12*'TUSD BF'!$AI$68</f>
        <v>2.4187326836034785E-2</v>
      </c>
      <c r="AJ12" s="12">
        <f ca="1">'TUSD BE'!$AJ$12*'TUSD BF'!$AJ$68</f>
        <v>0.16754129738105372</v>
      </c>
      <c r="AK12" s="12">
        <f ca="1">'TUSD BE'!$AK$12*'TUSD BF'!$AK$68</f>
        <v>0</v>
      </c>
      <c r="AL12" s="12">
        <f ca="1">SUM($AH$12:$AK$12)</f>
        <v>0.84989834840827627</v>
      </c>
      <c r="AM12" s="12">
        <f ca="1">SUMIF($L$4:$AL$4,"SUBTOTAL",$L$12:$AL$12)</f>
        <v>15.261672583297889</v>
      </c>
      <c r="AO12" s="20">
        <f ca="1">+'TUSD BE'!$T$12+'TUSD BE'!$AB$12+'TUSD BE'!$AD$12+'TUSD BE'!$AL$12</f>
        <v>99.211381512720507</v>
      </c>
      <c r="AP12" s="20">
        <f ca="1">+'TUSD BE'!$T$12+'TUSD BE'!$AB$12+'TUSD BE'!$AD$12+'TUSD BE'!$AL$12</f>
        <v>99.211381512720507</v>
      </c>
    </row>
    <row r="13" spans="1:42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f>'TUSD BE'!$L$13*'TUSD BF'!$L$68</f>
        <v>0</v>
      </c>
      <c r="M13" s="12">
        <f>'TUSD BE'!$M$13*'TUSD BF'!$M$68</f>
        <v>0</v>
      </c>
      <c r="N13" s="12">
        <f ca="1">'TUSD BE'!$N$13*'TUSD BF'!$N$68</f>
        <v>0</v>
      </c>
      <c r="O13" s="12">
        <f>'TUSD BE'!$O$13*'TUSD BF'!$O$68</f>
        <v>0</v>
      </c>
      <c r="P13" s="12">
        <f>'TUSD BE'!$P$13*'TUSD BF'!$P$68</f>
        <v>0</v>
      </c>
      <c r="Q13" s="12">
        <f>'TUSD BE'!$Q$13*'TUSD BF'!$Q$68</f>
        <v>0</v>
      </c>
      <c r="R13" s="12">
        <f>'TUSD BE'!$R$13*'TUSD BF'!$R$68</f>
        <v>0</v>
      </c>
      <c r="S13" s="12">
        <f>'TUSD BE'!$R$13*'TUSD BF'!$S$68</f>
        <v>0</v>
      </c>
      <c r="T13" s="12">
        <f ca="1">SUM($L$13:$S$13)</f>
        <v>0</v>
      </c>
      <c r="U13" s="12">
        <f>'TUSD BE'!$U$13*'TUSD BF'!$U$68</f>
        <v>0</v>
      </c>
      <c r="V13" s="12">
        <f>'TUSD BE'!$V$13*'TUSD BF'!$V$68</f>
        <v>0</v>
      </c>
      <c r="W13" s="12">
        <f>'TUSD BE'!$W$13*'TUSD BF'!$W$68</f>
        <v>0</v>
      </c>
      <c r="X13" s="12">
        <f>'TUSD BE'!$X$13*'TUSD BF'!$X$68</f>
        <v>0</v>
      </c>
      <c r="Y13" s="12">
        <f>'TUSD BE'!$Y$13*'TUSD BF'!$Y$68</f>
        <v>0</v>
      </c>
      <c r="Z13" s="12">
        <f>'TUSD BE'!$Z$13*'TUSD BF'!$Z$68</f>
        <v>0</v>
      </c>
      <c r="AA13" s="12">
        <f>'TUSD BE'!$AA$13*'TUSD BF'!$AA$68</f>
        <v>0</v>
      </c>
      <c r="AB13" s="12">
        <f>SUM($U$13:$AA$13)</f>
        <v>0</v>
      </c>
      <c r="AC13" s="12">
        <f>'TUSD BE'!$AC$13*'TUSD BF'!$AC$68</f>
        <v>0</v>
      </c>
      <c r="AD13" s="12">
        <f>SUM($AC$13:$AC$13)</f>
        <v>0</v>
      </c>
      <c r="AE13" s="12">
        <f ca="1">$AO$13*$AO$65</f>
        <v>0</v>
      </c>
      <c r="AF13" s="12">
        <f ca="1">$AP$13*$AP$65</f>
        <v>0</v>
      </c>
      <c r="AG13" s="12">
        <f ca="1">SUM($AE$13:$AF$13)</f>
        <v>0</v>
      </c>
      <c r="AH13" s="12">
        <f>'TUSD BE'!$AH$13*'TUSD BF'!$AH$68</f>
        <v>0.6581697241911878</v>
      </c>
      <c r="AI13" s="12">
        <f>'TUSD BE'!$AI$13*'TUSD BF'!$AI$68</f>
        <v>2.4187326836034785E-2</v>
      </c>
      <c r="AJ13" s="12">
        <f ca="1">'TUSD BE'!$AJ$13*'TUSD BF'!$AJ$68</f>
        <v>0.16754129738105372</v>
      </c>
      <c r="AK13" s="12">
        <f ca="1">'TUSD BE'!$AK$13*'TUSD BF'!$AK$68</f>
        <v>0</v>
      </c>
      <c r="AL13" s="12">
        <f ca="1">SUM($AH$13:$AK$13)</f>
        <v>0.84989834840827627</v>
      </c>
      <c r="AM13" s="12">
        <f ca="1">SUMIF($L$4:$AL$4,"SUBTOTAL",$L$13:$AL$13)</f>
        <v>0.84989834840827627</v>
      </c>
      <c r="AO13" s="20">
        <f ca="1">+'TUSD BE'!$T$13+'TUSD BE'!$AB$13+'TUSD BE'!$AD$13+'TUSD BE'!$AL$13</f>
        <v>1007.1015747455834</v>
      </c>
      <c r="AP13" s="20">
        <f ca="1">+'TUSD BE'!$T$13+'TUSD BE'!$AB$13+'TUSD BE'!$AD$13+'TUSD BE'!$AL$13</f>
        <v>1007.1015747455834</v>
      </c>
    </row>
    <row r="14" spans="1:42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f>'TUSD BE'!$L$14*'TUSD BF'!$L$68</f>
        <v>0</v>
      </c>
      <c r="M14" s="12">
        <f>'TUSD BE'!$M$14*'TUSD BF'!$M$68</f>
        <v>0</v>
      </c>
      <c r="N14" s="12">
        <f ca="1">'TUSD BE'!$N$14*'TUSD BF'!$N$68</f>
        <v>0</v>
      </c>
      <c r="O14" s="12">
        <f>'TUSD BE'!$O$14*'TUSD BF'!$O$68</f>
        <v>0</v>
      </c>
      <c r="P14" s="12">
        <f>'TUSD BE'!$P$14*'TUSD BF'!$P$68</f>
        <v>0</v>
      </c>
      <c r="Q14" s="12">
        <f>'TUSD BE'!$Q$14*'TUSD BF'!$Q$68</f>
        <v>0</v>
      </c>
      <c r="R14" s="12">
        <f>'TUSD BE'!$R$14*'TUSD BF'!$R$68</f>
        <v>0</v>
      </c>
      <c r="S14" s="12">
        <f>'TUSD BE'!$R$14*'TUSD BF'!$S$68</f>
        <v>0</v>
      </c>
      <c r="T14" s="12">
        <f ca="1">SUM($L$14:$S$14)</f>
        <v>0</v>
      </c>
      <c r="U14" s="12">
        <f>'TUSD BE'!$U$14*'TUSD BF'!$U$68</f>
        <v>0</v>
      </c>
      <c r="V14" s="12">
        <f>'TUSD BE'!$V$14*'TUSD BF'!$V$68</f>
        <v>0</v>
      </c>
      <c r="W14" s="12">
        <f>'TUSD BE'!$W$14*'TUSD BF'!$W$68</f>
        <v>0</v>
      </c>
      <c r="X14" s="12">
        <f>'TUSD BE'!$X$14*'TUSD BF'!$X$68</f>
        <v>0</v>
      </c>
      <c r="Y14" s="12">
        <f>'TUSD BE'!$Y$14*'TUSD BF'!$Y$68</f>
        <v>0</v>
      </c>
      <c r="Z14" s="12">
        <f>'TUSD BE'!$Z$14*'TUSD BF'!$Z$68</f>
        <v>0</v>
      </c>
      <c r="AA14" s="12">
        <f>'TUSD BE'!$AA$14*'TUSD BF'!$AA$68</f>
        <v>0</v>
      </c>
      <c r="AB14" s="12">
        <f>SUM($U$14:$AA$14)</f>
        <v>0</v>
      </c>
      <c r="AC14" s="12">
        <f>'TUSD BE'!$AC$14*'TUSD BF'!$AC$68</f>
        <v>0</v>
      </c>
      <c r="AD14" s="12">
        <f>SUM($AC$14:$AC$14)</f>
        <v>0</v>
      </c>
      <c r="AE14" s="12">
        <f ca="1">$AO$14*$AO$65</f>
        <v>0</v>
      </c>
      <c r="AF14" s="12">
        <f ca="1">$AP$14*$AP$65</f>
        <v>0</v>
      </c>
      <c r="AG14" s="12">
        <f ca="1">SUM($AE$14:$AF$14)</f>
        <v>0</v>
      </c>
      <c r="AH14" s="12">
        <f>'TUSD BE'!$AH$14*'TUSD BF'!$AH$68</f>
        <v>0.6581697241911878</v>
      </c>
      <c r="AI14" s="12">
        <f>'TUSD BE'!$AI$14*'TUSD BF'!$AI$68</f>
        <v>2.4187326836034785E-2</v>
      </c>
      <c r="AJ14" s="12">
        <f ca="1">'TUSD BE'!$AJ$14*'TUSD BF'!$AJ$68</f>
        <v>0.16754129738105372</v>
      </c>
      <c r="AK14" s="12">
        <f ca="1">'TUSD BE'!$AK$14*'TUSD BF'!$AK$68</f>
        <v>0</v>
      </c>
      <c r="AL14" s="12">
        <f ca="1">SUM($AH$14:$AK$14)</f>
        <v>0.84989834840827627</v>
      </c>
      <c r="AM14" s="12">
        <f ca="1">SUMIF($L$4:$AL$4,"SUBTOTAL",$L$14:$AL$14)</f>
        <v>0.84989834840827627</v>
      </c>
      <c r="AO14" s="20">
        <f ca="1">+'TUSD BE'!$T$14+'TUSD BE'!$AB$14+'TUSD BE'!$AD$14+'TUSD BE'!$AL$14</f>
        <v>6.8669654785753922</v>
      </c>
      <c r="AP14" s="20">
        <f ca="1">+'TUSD BE'!$T$14+'TUSD BE'!$AB$14+'TUSD BE'!$AD$14+'TUSD BE'!$AL$14</f>
        <v>6.8669654785753922</v>
      </c>
    </row>
    <row r="15" spans="1:42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f>'TUSD BE'!$L$15*'TUSD BF'!$L$68</f>
        <v>0</v>
      </c>
      <c r="M15" s="12">
        <f>'TUSD BE'!$M$15*'TUSD BF'!$M$68</f>
        <v>0</v>
      </c>
      <c r="N15" s="12">
        <f ca="1">'TUSD BE'!$N$15*'TUSD BF'!$N$68</f>
        <v>0</v>
      </c>
      <c r="O15" s="12">
        <f>'TUSD BE'!$O$15*'TUSD BF'!$O$68</f>
        <v>0</v>
      </c>
      <c r="P15" s="12">
        <f>'TUSD BE'!$P$15*'TUSD BF'!$P$68</f>
        <v>0</v>
      </c>
      <c r="Q15" s="12">
        <f>'TUSD BE'!$Q$15*'TUSD BF'!$Q$68</f>
        <v>0</v>
      </c>
      <c r="R15" s="12">
        <f>'TUSD BE'!$R$15*'TUSD BF'!$R$68</f>
        <v>0</v>
      </c>
      <c r="S15" s="12">
        <f>'TUSD BE'!$R$15*'TUSD BF'!$S$68</f>
        <v>0</v>
      </c>
      <c r="T15" s="12">
        <f ca="1">SUM($L$15:$S$15)</f>
        <v>0</v>
      </c>
      <c r="U15" s="12">
        <f>'TUSD BE'!$U$15*'TUSD BF'!$U$68</f>
        <v>0</v>
      </c>
      <c r="V15" s="12">
        <f>'TUSD BE'!$V$15*'TUSD BF'!$V$68</f>
        <v>0</v>
      </c>
      <c r="W15" s="12">
        <f>'TUSD BE'!$W$15*'TUSD BF'!$W$68</f>
        <v>0</v>
      </c>
      <c r="X15" s="12">
        <f>'TUSD BE'!$X$15*'TUSD BF'!$X$68</f>
        <v>0</v>
      </c>
      <c r="Y15" s="12">
        <f>'TUSD BE'!$Y$15*'TUSD BF'!$Y$68</f>
        <v>0</v>
      </c>
      <c r="Z15" s="12">
        <f>'TUSD BE'!$Z$15*'TUSD BF'!$Z$68</f>
        <v>0</v>
      </c>
      <c r="AA15" s="12">
        <f>'TUSD BE'!$AA$15*'TUSD BF'!$AA$68</f>
        <v>0</v>
      </c>
      <c r="AB15" s="12">
        <f>SUM($U$15:$AA$15)</f>
        <v>0</v>
      </c>
      <c r="AC15" s="12">
        <f>'TUSD BE'!$AC$15*'TUSD BF'!$AC$68</f>
        <v>0</v>
      </c>
      <c r="AD15" s="12">
        <f>SUM($AC$15:$AC$15)</f>
        <v>0</v>
      </c>
      <c r="AE15" s="12">
        <f ca="1">$AO$15*$AO$65</f>
        <v>0</v>
      </c>
      <c r="AF15" s="12">
        <f ca="1">$AP$15*$AP$65</f>
        <v>0</v>
      </c>
      <c r="AG15" s="12">
        <f ca="1">SUM($AE$15:$AF$15)</f>
        <v>0</v>
      </c>
      <c r="AH15" s="12">
        <f>'TUSD BE'!$AH$15*'TUSD BF'!$AH$68</f>
        <v>0</v>
      </c>
      <c r="AI15" s="12">
        <f>'TUSD BE'!$AI$15*'TUSD BF'!$AI$68</f>
        <v>0</v>
      </c>
      <c r="AJ15" s="12">
        <f ca="1">'TUSD BE'!$AJ$15*'TUSD BF'!$AJ$68</f>
        <v>0</v>
      </c>
      <c r="AK15" s="12">
        <f ca="1">'TUSD BE'!$AK$15*'TUSD BF'!$AK$68</f>
        <v>0</v>
      </c>
      <c r="AL15" s="12">
        <f ca="1">SUM($AH$15:$AK$15)</f>
        <v>0</v>
      </c>
      <c r="AM15" s="12">
        <f ca="1">SUMIF($L$4:$AL$4,"SUBTOTAL",$L$15:$AL$15)</f>
        <v>0</v>
      </c>
      <c r="AO15" s="20">
        <f ca="1">+'TUSD BE'!$T$15+'TUSD BE'!$AB$15+'TUSD BE'!$AD$15+'TUSD BE'!$AL$15</f>
        <v>40.973169332448101</v>
      </c>
      <c r="AP15" s="20">
        <f ca="1">+'TUSD BE'!$T$15+'TUSD BE'!$AB$15+'TUSD BE'!$AD$15+'TUSD BE'!$AL$15</f>
        <v>40.973169332448101</v>
      </c>
    </row>
    <row r="16" spans="1:42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f>'TUSD BE'!$L$16*'TUSD BF'!$L$68</f>
        <v>0</v>
      </c>
      <c r="M16" s="12">
        <f>'TUSD BE'!$M$16*'TUSD BF'!$M$68</f>
        <v>0</v>
      </c>
      <c r="N16" s="12">
        <f ca="1">'TUSD BE'!$N$16*'TUSD BF'!$N$68</f>
        <v>0</v>
      </c>
      <c r="O16" s="12">
        <f>'TUSD BE'!$O$16*'TUSD BF'!$O$68</f>
        <v>0</v>
      </c>
      <c r="P16" s="12">
        <f>'TUSD BE'!$P$16*'TUSD BF'!$P$68</f>
        <v>0</v>
      </c>
      <c r="Q16" s="12">
        <f>'TUSD BE'!$Q$16*'TUSD BF'!$Q$68</f>
        <v>0</v>
      </c>
      <c r="R16" s="12">
        <f>'TUSD BE'!$R$16*'TUSD BF'!$R$68</f>
        <v>0</v>
      </c>
      <c r="S16" s="12">
        <f>'TUSD BE'!$R$16*'TUSD BF'!$S$68</f>
        <v>0</v>
      </c>
      <c r="T16" s="12">
        <f ca="1">SUM($L$16:$S$16)</f>
        <v>0</v>
      </c>
      <c r="U16" s="12">
        <f>'TUSD BE'!$U$16*'TUSD BF'!$U$68</f>
        <v>0</v>
      </c>
      <c r="V16" s="12">
        <f>'TUSD BE'!$V$16*'TUSD BF'!$V$68</f>
        <v>0</v>
      </c>
      <c r="W16" s="12">
        <f>'TUSD BE'!$W$16*'TUSD BF'!$W$68</f>
        <v>0</v>
      </c>
      <c r="X16" s="12">
        <f>'TUSD BE'!$X$16*'TUSD BF'!$X$68</f>
        <v>0</v>
      </c>
      <c r="Y16" s="12">
        <f>'TUSD BE'!$Y$16*'TUSD BF'!$Y$68</f>
        <v>0</v>
      </c>
      <c r="Z16" s="12">
        <f>'TUSD BE'!$Z$16*'TUSD BF'!$Z$68</f>
        <v>0</v>
      </c>
      <c r="AA16" s="12">
        <f>'TUSD BE'!$AA$16*'TUSD BF'!$AA$68</f>
        <v>0</v>
      </c>
      <c r="AB16" s="12">
        <f>SUM($U$16:$AA$16)</f>
        <v>0</v>
      </c>
      <c r="AC16" s="12">
        <f>'TUSD BE'!$AC$16*'TUSD BF'!$AC$68</f>
        <v>0</v>
      </c>
      <c r="AD16" s="12">
        <f>SUM($AC$16:$AC$16)</f>
        <v>0</v>
      </c>
      <c r="AE16" s="12">
        <f ca="1">$AO$16*$AO$65</f>
        <v>0</v>
      </c>
      <c r="AF16" s="12">
        <f ca="1">$AP$16*$AP$65</f>
        <v>0</v>
      </c>
      <c r="AG16" s="12">
        <f ca="1">SUM($AE$16:$AF$16)</f>
        <v>0</v>
      </c>
      <c r="AH16" s="12">
        <f>'TUSD BE'!$AH$16*'TUSD BF'!$AH$68</f>
        <v>0</v>
      </c>
      <c r="AI16" s="12">
        <f>'TUSD BE'!$AI$16*'TUSD BF'!$AI$68</f>
        <v>0</v>
      </c>
      <c r="AJ16" s="12">
        <f ca="1">'TUSD BE'!$AJ$16*'TUSD BF'!$AJ$68</f>
        <v>0</v>
      </c>
      <c r="AK16" s="12">
        <f ca="1">'TUSD BE'!$AK$16*'TUSD BF'!$AK$68</f>
        <v>0</v>
      </c>
      <c r="AL16" s="12">
        <f ca="1">SUM($AH$16:$AK$16)</f>
        <v>0</v>
      </c>
      <c r="AM16" s="12">
        <f ca="1">SUMIF($L$4:$AL$4,"SUBTOTAL",$L$16:$AL$16)</f>
        <v>0</v>
      </c>
      <c r="AO16" s="20">
        <f ca="1">+'TUSD BE'!$T$16+'TUSD BE'!$AB$16+'TUSD BE'!$AD$16+'TUSD BE'!$AL$16</f>
        <v>15.885095688811361</v>
      </c>
      <c r="AP16" s="20">
        <f ca="1">+'TUSD BE'!$T$16+'TUSD BE'!$AB$16+'TUSD BE'!$AD$16+'TUSD BE'!$AL$16</f>
        <v>15.885095688811361</v>
      </c>
    </row>
    <row r="17" spans="1:42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'TUSD BE'!$L$17*'TUSD BF'!$L$68</f>
        <v>0.17356458800554705</v>
      </c>
      <c r="M17" s="12">
        <f>'TUSD BE'!$M$17*'TUSD BF'!$M$68</f>
        <v>0</v>
      </c>
      <c r="N17" s="12">
        <f ca="1">'TUSD BE'!$N$17*'TUSD BF'!$N$68</f>
        <v>0</v>
      </c>
      <c r="O17" s="12">
        <f>'TUSD BE'!$O$17*'TUSD BF'!$O$68</f>
        <v>0</v>
      </c>
      <c r="P17" s="12">
        <f>'TUSD BE'!$P$17*'TUSD BF'!$P$68</f>
        <v>0</v>
      </c>
      <c r="Q17" s="12">
        <f>'TUSD BE'!$Q$17*'TUSD BF'!$Q$68</f>
        <v>11.059274568512494</v>
      </c>
      <c r="R17" s="12">
        <f>'TUSD BE'!$R$17*'TUSD BF'!$R$68</f>
        <v>3.1789350783715706</v>
      </c>
      <c r="S17" s="12">
        <f>'TUSD BE'!$R$17*'TUSD BF'!$S$68</f>
        <v>0</v>
      </c>
      <c r="T17" s="12">
        <f ca="1">SUM($L$17:$S$17)</f>
        <v>14.411774234889613</v>
      </c>
      <c r="U17" s="12">
        <f>'TUSD BE'!$U$17*'TUSD BF'!$U$68</f>
        <v>0</v>
      </c>
      <c r="V17" s="12">
        <f>'TUSD BE'!$V$17*'TUSD BF'!$V$68</f>
        <v>0</v>
      </c>
      <c r="W17" s="12">
        <f>'TUSD BE'!$W$17*'TUSD BF'!$W$68</f>
        <v>0</v>
      </c>
      <c r="X17" s="12">
        <f>'TUSD BE'!$X$17*'TUSD BF'!$X$68</f>
        <v>0</v>
      </c>
      <c r="Y17" s="12">
        <f>'TUSD BE'!$Y$17*'TUSD BF'!$Y$68</f>
        <v>0</v>
      </c>
      <c r="Z17" s="12">
        <f>'TUSD BE'!$Z$17*'TUSD BF'!$Z$68</f>
        <v>0</v>
      </c>
      <c r="AA17" s="12">
        <f>'TUSD BE'!$AA$17*'TUSD BF'!$AA$68</f>
        <v>0</v>
      </c>
      <c r="AB17" s="12">
        <f>SUM($U$17:$AA$17)</f>
        <v>0</v>
      </c>
      <c r="AC17" s="12">
        <f>'TUSD BE'!$AC$17*'TUSD BF'!$AC$68</f>
        <v>0</v>
      </c>
      <c r="AD17" s="12">
        <f>SUM($AC$17:$AC$17)</f>
        <v>0</v>
      </c>
      <c r="AE17" s="12">
        <f ca="1">$AO$17*$AO$65</f>
        <v>0</v>
      </c>
      <c r="AF17" s="12">
        <f ca="1">$AP$17*$AP$65</f>
        <v>0</v>
      </c>
      <c r="AG17" s="12">
        <f ca="1">SUM($AE$17:$AF$17)</f>
        <v>0</v>
      </c>
      <c r="AH17" s="12">
        <f>'TUSD BE'!$AH$17*'TUSD BF'!$AH$68</f>
        <v>0.6581697241911878</v>
      </c>
      <c r="AI17" s="12">
        <f>'TUSD BE'!$AI$17*'TUSD BF'!$AI$68</f>
        <v>2.4187326836034785E-2</v>
      </c>
      <c r="AJ17" s="12">
        <f ca="1">'TUSD BE'!$AJ$17*'TUSD BF'!$AJ$68</f>
        <v>0.16754129738105372</v>
      </c>
      <c r="AK17" s="12">
        <f ca="1">'TUSD BE'!$AK$17*'TUSD BF'!$AK$68</f>
        <v>0</v>
      </c>
      <c r="AL17" s="12">
        <f ca="1">SUM($AH$17:$AK$17)</f>
        <v>0.84989834840827627</v>
      </c>
      <c r="AM17" s="12">
        <f ca="1">SUMIF($L$4:$AL$4,"SUBTOTAL",$L$17:$AL$17)</f>
        <v>15.261672583297889</v>
      </c>
      <c r="AO17" s="20">
        <f ca="1">+'TUSD BE'!$T$17+'TUSD BE'!$AB$17+'TUSD BE'!$AD$17+'TUSD BE'!$AL$17</f>
        <v>99.211381512720507</v>
      </c>
      <c r="AP17" s="20">
        <f ca="1">+'TUSD BE'!$T$17+'TUSD BE'!$AB$17+'TUSD BE'!$AD$17+'TUSD BE'!$AL$17</f>
        <v>99.211381512720507</v>
      </c>
    </row>
    <row r="18" spans="1:42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f>'TUSD BE'!$L$18*'TUSD BF'!$L$68</f>
        <v>0</v>
      </c>
      <c r="M18" s="12">
        <f>'TUSD BE'!$M$18*'TUSD BF'!$M$68</f>
        <v>0</v>
      </c>
      <c r="N18" s="12">
        <f ca="1">'TUSD BE'!$N$18*'TUSD BF'!$N$68</f>
        <v>0</v>
      </c>
      <c r="O18" s="12">
        <f>'TUSD BE'!$O$18*'TUSD BF'!$O$68</f>
        <v>0</v>
      </c>
      <c r="P18" s="12">
        <f>'TUSD BE'!$P$18*'TUSD BF'!$P$68</f>
        <v>0</v>
      </c>
      <c r="Q18" s="12">
        <f>'TUSD BE'!$Q$18*'TUSD BF'!$Q$68</f>
        <v>0</v>
      </c>
      <c r="R18" s="12">
        <f>'TUSD BE'!$R$18*'TUSD BF'!$R$68</f>
        <v>0</v>
      </c>
      <c r="S18" s="12">
        <f>'TUSD BE'!$R$18*'TUSD BF'!$S$68</f>
        <v>0</v>
      </c>
      <c r="T18" s="12">
        <f ca="1">SUM($L$18:$S$18)</f>
        <v>0</v>
      </c>
      <c r="U18" s="12">
        <f>'TUSD BE'!$U$18*'TUSD BF'!$U$68</f>
        <v>0</v>
      </c>
      <c r="V18" s="12">
        <f>'TUSD BE'!$V$18*'TUSD BF'!$V$68</f>
        <v>0</v>
      </c>
      <c r="W18" s="12">
        <f>'TUSD BE'!$W$18*'TUSD BF'!$W$68</f>
        <v>0</v>
      </c>
      <c r="X18" s="12">
        <f>'TUSD BE'!$X$18*'TUSD BF'!$X$68</f>
        <v>0</v>
      </c>
      <c r="Y18" s="12">
        <f>'TUSD BE'!$Y$18*'TUSD BF'!$Y$68</f>
        <v>0</v>
      </c>
      <c r="Z18" s="12">
        <f>'TUSD BE'!$Z$18*'TUSD BF'!$Z$68</f>
        <v>0</v>
      </c>
      <c r="AA18" s="12">
        <f>'TUSD BE'!$AA$18*'TUSD BF'!$AA$68</f>
        <v>0</v>
      </c>
      <c r="AB18" s="12">
        <f>SUM($U$18:$AA$18)</f>
        <v>0</v>
      </c>
      <c r="AC18" s="12">
        <f>'TUSD BE'!$AC$18*'TUSD BF'!$AC$68</f>
        <v>0</v>
      </c>
      <c r="AD18" s="12">
        <f>SUM($AC$18:$AC$18)</f>
        <v>0</v>
      </c>
      <c r="AE18" s="12">
        <f ca="1">$AO$18*$AO$65</f>
        <v>0</v>
      </c>
      <c r="AF18" s="12">
        <f ca="1">$AP$18*$AP$65</f>
        <v>0</v>
      </c>
      <c r="AG18" s="12">
        <f ca="1">SUM($AE$18:$AF$18)</f>
        <v>0</v>
      </c>
      <c r="AH18" s="12">
        <f>'TUSD BE'!$AH$18*'TUSD BF'!$AH$68</f>
        <v>0.6581697241911878</v>
      </c>
      <c r="AI18" s="12">
        <f>'TUSD BE'!$AI$18*'TUSD BF'!$AI$68</f>
        <v>2.4187326836034785E-2</v>
      </c>
      <c r="AJ18" s="12">
        <f ca="1">'TUSD BE'!$AJ$18*'TUSD BF'!$AJ$68</f>
        <v>0.16754129738105372</v>
      </c>
      <c r="AK18" s="12">
        <f ca="1">'TUSD BE'!$AK$18*'TUSD BF'!$AK$68</f>
        <v>0</v>
      </c>
      <c r="AL18" s="12">
        <f ca="1">SUM($AH$18:$AK$18)</f>
        <v>0.84989834840827627</v>
      </c>
      <c r="AM18" s="12">
        <f ca="1">SUMIF($L$4:$AL$4,"SUBTOTAL",$L$18:$AL$18)</f>
        <v>0.84989834840827627</v>
      </c>
      <c r="AO18" s="20">
        <f ca="1">+'TUSD BE'!$T$18+'TUSD BE'!$AB$18+'TUSD BE'!$AD$18+'TUSD BE'!$AL$18</f>
        <v>6.8669654785753922</v>
      </c>
      <c r="AP18" s="20">
        <f ca="1">+'TUSD BE'!$T$18+'TUSD BE'!$AB$18+'TUSD BE'!$AD$18+'TUSD BE'!$AL$18</f>
        <v>6.8669654785753922</v>
      </c>
    </row>
    <row r="19" spans="1:42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f>'TUSD BE'!$L$19*'TUSD BF'!$L$68</f>
        <v>0</v>
      </c>
      <c r="M19" s="12">
        <f>'TUSD BE'!$M$19*'TUSD BF'!$M$68</f>
        <v>0</v>
      </c>
      <c r="N19" s="12">
        <f ca="1">'TUSD BE'!$N$19*'TUSD BF'!$N$68</f>
        <v>0</v>
      </c>
      <c r="O19" s="12">
        <f>'TUSD BE'!$O$19*'TUSD BF'!$O$68</f>
        <v>0</v>
      </c>
      <c r="P19" s="12">
        <f>'TUSD BE'!$P$19*'TUSD BF'!$P$68</f>
        <v>0</v>
      </c>
      <c r="Q19" s="12">
        <f>'TUSD BE'!$Q$19*'TUSD BF'!$Q$68</f>
        <v>0</v>
      </c>
      <c r="R19" s="12">
        <f>'TUSD BE'!$R$19*'TUSD BF'!$R$68</f>
        <v>0</v>
      </c>
      <c r="S19" s="12">
        <f>'TUSD BE'!$R$19*'TUSD BF'!$S$68</f>
        <v>0</v>
      </c>
      <c r="T19" s="12">
        <f ca="1">SUM($L$19:$S$19)</f>
        <v>0</v>
      </c>
      <c r="U19" s="12">
        <f>'TUSD BE'!$U$19*'TUSD BF'!$U$68</f>
        <v>0</v>
      </c>
      <c r="V19" s="12">
        <f>'TUSD BE'!$V$19*'TUSD BF'!$V$68</f>
        <v>0</v>
      </c>
      <c r="W19" s="12">
        <f>'TUSD BE'!$W$19*'TUSD BF'!$W$68</f>
        <v>0</v>
      </c>
      <c r="X19" s="12">
        <f>'TUSD BE'!$X$19*'TUSD BF'!$X$68</f>
        <v>0</v>
      </c>
      <c r="Y19" s="12">
        <f>'TUSD BE'!$Y$19*'TUSD BF'!$Y$68</f>
        <v>0</v>
      </c>
      <c r="Z19" s="12">
        <f>'TUSD BE'!$Z$19*'TUSD BF'!$Z$68</f>
        <v>0</v>
      </c>
      <c r="AA19" s="12">
        <f>'TUSD BE'!$AA$19*'TUSD BF'!$AA$68</f>
        <v>0</v>
      </c>
      <c r="AB19" s="12">
        <f>SUM($U$19:$AA$19)</f>
        <v>0</v>
      </c>
      <c r="AC19" s="12">
        <f>'TUSD BE'!$AC$19*'TUSD BF'!$AC$68</f>
        <v>0</v>
      </c>
      <c r="AD19" s="12">
        <f>SUM($AC$19:$AC$19)</f>
        <v>0</v>
      </c>
      <c r="AE19" s="12">
        <f ca="1">$AO$19*$AO$65</f>
        <v>0</v>
      </c>
      <c r="AF19" s="12">
        <f ca="1">$AP$19*$AP$65</f>
        <v>0</v>
      </c>
      <c r="AG19" s="12">
        <f ca="1">SUM($AE$19:$AF$19)</f>
        <v>0</v>
      </c>
      <c r="AH19" s="12">
        <f>'TUSD BE'!$AH$19*'TUSD BF'!$AH$68</f>
        <v>0</v>
      </c>
      <c r="AI19" s="12">
        <f>'TUSD BE'!$AI$19*'TUSD BF'!$AI$68</f>
        <v>0</v>
      </c>
      <c r="AJ19" s="12">
        <f ca="1">'TUSD BE'!$AJ$19*'TUSD BF'!$AJ$68</f>
        <v>0</v>
      </c>
      <c r="AK19" s="12">
        <f ca="1">'TUSD BE'!$AK$19*'TUSD BF'!$AK$68</f>
        <v>0</v>
      </c>
      <c r="AL19" s="12">
        <f ca="1">SUM($AH$19:$AK$19)</f>
        <v>0</v>
      </c>
      <c r="AM19" s="12">
        <f ca="1">SUMIF($L$4:$AL$4,"SUBTOTAL",$L$19:$AL$19)</f>
        <v>0</v>
      </c>
      <c r="AO19" s="20">
        <f ca="1">+'TUSD BE'!$T$19+'TUSD BE'!$AB$19+'TUSD BE'!$AD$19+'TUSD BE'!$AL$19</f>
        <v>5.7777579326507871</v>
      </c>
      <c r="AP19" s="20">
        <f ca="1">+'TUSD BE'!$T$19+'TUSD BE'!$AB$19+'TUSD BE'!$AD$19+'TUSD BE'!$AL$19</f>
        <v>5.7777579326507871</v>
      </c>
    </row>
    <row r="20" spans="1:42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f>'TUSD BE'!$L$20*'TUSD BF'!$L$68</f>
        <v>0</v>
      </c>
      <c r="M20" s="12">
        <f>'TUSD BE'!$M$20*'TUSD BF'!$M$68</f>
        <v>0</v>
      </c>
      <c r="N20" s="12">
        <f ca="1">'TUSD BE'!$N$20*'TUSD BF'!$N$68</f>
        <v>0</v>
      </c>
      <c r="O20" s="12">
        <f>'TUSD BE'!$O$20*'TUSD BF'!$O$68</f>
        <v>0</v>
      </c>
      <c r="P20" s="12">
        <f>'TUSD BE'!$P$20*'TUSD BF'!$P$68</f>
        <v>0</v>
      </c>
      <c r="Q20" s="12">
        <f>'TUSD BE'!$Q$20*'TUSD BF'!$Q$68</f>
        <v>0</v>
      </c>
      <c r="R20" s="12">
        <f>'TUSD BE'!$R$20*'TUSD BF'!$R$68</f>
        <v>0</v>
      </c>
      <c r="S20" s="12">
        <f>'TUSD BE'!$R$20*'TUSD BF'!$S$68</f>
        <v>0</v>
      </c>
      <c r="T20" s="12">
        <f ca="1">SUM($L$20:$S$20)</f>
        <v>0</v>
      </c>
      <c r="U20" s="12">
        <f>'TUSD BE'!$U$20*'TUSD BF'!$U$68</f>
        <v>0</v>
      </c>
      <c r="V20" s="12">
        <f>'TUSD BE'!$V$20*'TUSD BF'!$V$68</f>
        <v>0</v>
      </c>
      <c r="W20" s="12">
        <f>'TUSD BE'!$W$20*'TUSD BF'!$W$68</f>
        <v>0</v>
      </c>
      <c r="X20" s="12">
        <f>'TUSD BE'!$X$20*'TUSD BF'!$X$68</f>
        <v>0</v>
      </c>
      <c r="Y20" s="12">
        <f>'TUSD BE'!$Y$20*'TUSD BF'!$Y$68</f>
        <v>0</v>
      </c>
      <c r="Z20" s="12">
        <f>'TUSD BE'!$Z$20*'TUSD BF'!$Z$68</f>
        <v>0</v>
      </c>
      <c r="AA20" s="12">
        <f>'TUSD BE'!$AA$20*'TUSD BF'!$AA$68</f>
        <v>0</v>
      </c>
      <c r="AB20" s="12">
        <f>SUM($U$20:$AA$20)</f>
        <v>0</v>
      </c>
      <c r="AC20" s="12">
        <f>'TUSD BE'!$AC$20*'TUSD BF'!$AC$68</f>
        <v>0</v>
      </c>
      <c r="AD20" s="12">
        <f>SUM($AC$20:$AC$20)</f>
        <v>0</v>
      </c>
      <c r="AE20" s="12">
        <f ca="1">$AO$20*$AO$65</f>
        <v>0</v>
      </c>
      <c r="AF20" s="12">
        <f ca="1">$AP$20*$AP$65</f>
        <v>0</v>
      </c>
      <c r="AG20" s="12">
        <f ca="1">SUM($AE$20:$AF$20)</f>
        <v>0</v>
      </c>
      <c r="AH20" s="12">
        <f>'TUSD BE'!$AH$20*'TUSD BF'!$AH$68</f>
        <v>0</v>
      </c>
      <c r="AI20" s="12">
        <f>'TUSD BE'!$AI$20*'TUSD BF'!$AI$68</f>
        <v>0</v>
      </c>
      <c r="AJ20" s="12">
        <f ca="1">'TUSD BE'!$AJ$20*'TUSD BF'!$AJ$68</f>
        <v>0</v>
      </c>
      <c r="AK20" s="12">
        <f ca="1">'TUSD BE'!$AK$20*'TUSD BF'!$AK$68</f>
        <v>0</v>
      </c>
      <c r="AL20" s="12">
        <f ca="1">SUM($AH$20:$AK$20)</f>
        <v>0</v>
      </c>
      <c r="AM20" s="12">
        <f ca="1">SUMIF($L$4:$AL$4,"SUBTOTAL",$L$20:$AL$20)</f>
        <v>0</v>
      </c>
      <c r="AO20" s="20">
        <f ca="1">+'TUSD BE'!$T$20+'TUSD BE'!$AB$20+'TUSD BE'!$AD$20+'TUSD BE'!$AL$20</f>
        <v>15.885095688811361</v>
      </c>
      <c r="AP20" s="20">
        <f ca="1">+'TUSD BE'!$T$20+'TUSD BE'!$AB$20+'TUSD BE'!$AD$20+'TUSD BE'!$AL$20</f>
        <v>15.885095688811361</v>
      </c>
    </row>
    <row r="21" spans="1:42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'TUSD BE'!$L$21*'TUSD BF'!$L$68</f>
        <v>0.17356458800554705</v>
      </c>
      <c r="M21" s="12">
        <f>'TUSD BE'!$M$21*'TUSD BF'!$M$68</f>
        <v>0</v>
      </c>
      <c r="N21" s="12">
        <f ca="1">'TUSD BE'!$N$21*'TUSD BF'!$N$68</f>
        <v>0</v>
      </c>
      <c r="O21" s="12">
        <f>'TUSD BE'!$O$21*'TUSD BF'!$O$68</f>
        <v>0</v>
      </c>
      <c r="P21" s="12">
        <f>'TUSD BE'!$P$21*'TUSD BF'!$P$68</f>
        <v>0</v>
      </c>
      <c r="Q21" s="12">
        <f>'TUSD BE'!$Q$21*'TUSD BF'!$Q$68</f>
        <v>11.059274568512494</v>
      </c>
      <c r="R21" s="12">
        <f>'TUSD BE'!$R$21*'TUSD BF'!$R$68</f>
        <v>3.1789350783715706</v>
      </c>
      <c r="S21" s="12">
        <f>'TUSD BE'!$R$21*'TUSD BF'!$S$68</f>
        <v>0</v>
      </c>
      <c r="T21" s="12">
        <f ca="1">SUM($L$21:$S$21)</f>
        <v>14.411774234889613</v>
      </c>
      <c r="U21" s="12">
        <f>'TUSD BE'!$U$21*'TUSD BF'!$U$68</f>
        <v>0</v>
      </c>
      <c r="V21" s="12">
        <f>'TUSD BE'!$V$21*'TUSD BF'!$V$68</f>
        <v>0</v>
      </c>
      <c r="W21" s="12">
        <f>'TUSD BE'!$W$21*'TUSD BF'!$W$68</f>
        <v>0</v>
      </c>
      <c r="X21" s="12">
        <f>'TUSD BE'!$X$21*'TUSD BF'!$X$68</f>
        <v>0</v>
      </c>
      <c r="Y21" s="12">
        <f>'TUSD BE'!$Y$21*'TUSD BF'!$Y$68</f>
        <v>0</v>
      </c>
      <c r="Z21" s="12">
        <f>'TUSD BE'!$Z$21*'TUSD BF'!$Z$68</f>
        <v>0</v>
      </c>
      <c r="AA21" s="12">
        <f>'TUSD BE'!$AA$21*'TUSD BF'!$AA$68</f>
        <v>0</v>
      </c>
      <c r="AB21" s="12">
        <f>SUM($U$21:$AA$21)</f>
        <v>0</v>
      </c>
      <c r="AC21" s="12">
        <f>'TUSD BE'!$AC$21*'TUSD BF'!$AC$68</f>
        <v>0</v>
      </c>
      <c r="AD21" s="12">
        <f>SUM($AC$21:$AC$21)</f>
        <v>0</v>
      </c>
      <c r="AE21" s="12">
        <f ca="1">$AO$21*$AO$65</f>
        <v>0</v>
      </c>
      <c r="AF21" s="12">
        <f ca="1">$AP$21*$AP$65</f>
        <v>0</v>
      </c>
      <c r="AG21" s="12">
        <f ca="1">SUM($AE$21:$AF$21)</f>
        <v>0</v>
      </c>
      <c r="AH21" s="12">
        <f>'TUSD BE'!$AH$21*'TUSD BF'!$AH$68</f>
        <v>0.6581697241911878</v>
      </c>
      <c r="AI21" s="12">
        <f>'TUSD BE'!$AI$21*'TUSD BF'!$AI$68</f>
        <v>2.4187326836034785E-2</v>
      </c>
      <c r="AJ21" s="12">
        <f ca="1">'TUSD BE'!$AJ$21*'TUSD BF'!$AJ$68</f>
        <v>0.16754129738105372</v>
      </c>
      <c r="AK21" s="12">
        <f ca="1">'TUSD BE'!$AK$21*'TUSD BF'!$AK$68</f>
        <v>0</v>
      </c>
      <c r="AL21" s="12">
        <f ca="1">SUM($AH$21:$AK$21)</f>
        <v>0.84989834840827627</v>
      </c>
      <c r="AM21" s="12">
        <f ca="1">SUMIF($L$4:$AL$4,"SUBTOTAL",$L$21:$AL$21)</f>
        <v>15.261672583297889</v>
      </c>
      <c r="AO21" s="20">
        <f ca="1">+'TUSD BE'!$T$21+'TUSD BE'!$AB$21+'TUSD BE'!$AD$21+'TUSD BE'!$AL$21</f>
        <v>1099.4459907797286</v>
      </c>
      <c r="AP21" s="20">
        <f ca="1">+'TUSD BE'!$T$21+'TUSD BE'!$AB$21+'TUSD BE'!$AD$21+'TUSD BE'!$AL$21</f>
        <v>1099.4459907797286</v>
      </c>
    </row>
    <row r="22" spans="1:42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'TUSD BE'!$L$22*'TUSD BF'!$L$68</f>
        <v>0.17356458800554705</v>
      </c>
      <c r="M22" s="12">
        <f>'TUSD BE'!$M$22*'TUSD BF'!$M$68</f>
        <v>0</v>
      </c>
      <c r="N22" s="12">
        <f ca="1">'TUSD BE'!$N$22*'TUSD BF'!$N$68</f>
        <v>0</v>
      </c>
      <c r="O22" s="12">
        <f>'TUSD BE'!$O$22*'TUSD BF'!$O$68</f>
        <v>0</v>
      </c>
      <c r="P22" s="12">
        <f>'TUSD BE'!$P$22*'TUSD BF'!$P$68</f>
        <v>0</v>
      </c>
      <c r="Q22" s="12">
        <f>'TUSD BE'!$Q$22*'TUSD BF'!$Q$68</f>
        <v>11.059274568512494</v>
      </c>
      <c r="R22" s="12">
        <f>'TUSD BE'!$R$22*'TUSD BF'!$R$68</f>
        <v>3.1789350783715706</v>
      </c>
      <c r="S22" s="12">
        <f>'TUSD BE'!$R$22*'TUSD BF'!$S$68</f>
        <v>0</v>
      </c>
      <c r="T22" s="12">
        <f ca="1">SUM($L$22:$S$22)</f>
        <v>14.411774234889613</v>
      </c>
      <c r="U22" s="12">
        <f>'TUSD BE'!$U$22*'TUSD BF'!$U$68</f>
        <v>0</v>
      </c>
      <c r="V22" s="12">
        <f>'TUSD BE'!$V$22*'TUSD BF'!$V$68</f>
        <v>0</v>
      </c>
      <c r="W22" s="12">
        <f>'TUSD BE'!$W$22*'TUSD BF'!$W$68</f>
        <v>0</v>
      </c>
      <c r="X22" s="12">
        <f>'TUSD BE'!$X$22*'TUSD BF'!$X$68</f>
        <v>0</v>
      </c>
      <c r="Y22" s="12">
        <f>'TUSD BE'!$Y$22*'TUSD BF'!$Y$68</f>
        <v>0</v>
      </c>
      <c r="Z22" s="12">
        <f>'TUSD BE'!$Z$22*'TUSD BF'!$Z$68</f>
        <v>0</v>
      </c>
      <c r="AA22" s="12">
        <f>'TUSD BE'!$AA$22*'TUSD BF'!$AA$68</f>
        <v>0</v>
      </c>
      <c r="AB22" s="12">
        <f>SUM($U$22:$AA$22)</f>
        <v>0</v>
      </c>
      <c r="AC22" s="12">
        <f>'TUSD BE'!$AC$22*'TUSD BF'!$AC$68</f>
        <v>0</v>
      </c>
      <c r="AD22" s="12">
        <f>SUM($AC$22:$AC$22)</f>
        <v>0</v>
      </c>
      <c r="AE22" s="12">
        <f ca="1">$AO$22*$AO$65</f>
        <v>0</v>
      </c>
      <c r="AF22" s="12">
        <f ca="1">$AP$22*$AP$65</f>
        <v>0</v>
      </c>
      <c r="AG22" s="12">
        <f ca="1">SUM($AE$22:$AF$22)</f>
        <v>0</v>
      </c>
      <c r="AH22" s="12">
        <f>'TUSD BE'!$AH$22*'TUSD BF'!$AH$68</f>
        <v>0.6581697241911878</v>
      </c>
      <c r="AI22" s="12">
        <f>'TUSD BE'!$AI$22*'TUSD BF'!$AI$68</f>
        <v>2.4187326836034785E-2</v>
      </c>
      <c r="AJ22" s="12">
        <f ca="1">'TUSD BE'!$AJ$22*'TUSD BF'!$AJ$68</f>
        <v>0.16754129738105372</v>
      </c>
      <c r="AK22" s="12">
        <f ca="1">'TUSD BE'!$AK$22*'TUSD BF'!$AK$68</f>
        <v>0</v>
      </c>
      <c r="AL22" s="12">
        <f ca="1">SUM($AH$22:$AK$22)</f>
        <v>0.84989834840827627</v>
      </c>
      <c r="AM22" s="12">
        <f ca="1">SUMIF($L$4:$AL$4,"SUBTOTAL",$L$22:$AL$22)</f>
        <v>15.261672583297889</v>
      </c>
      <c r="AO22" s="20">
        <f ca="1">+'TUSD BE'!$T$22+'TUSD BE'!$AB$22+'TUSD BE'!$AD$22+'TUSD BE'!$AL$22</f>
        <v>99.211381512720507</v>
      </c>
      <c r="AP22" s="20">
        <f ca="1">+'TUSD BE'!$T$22+'TUSD BE'!$AB$22+'TUSD BE'!$AD$22+'TUSD BE'!$AL$22</f>
        <v>99.211381512720507</v>
      </c>
    </row>
    <row r="23" spans="1:42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f>'TUSD BE'!$L$23*'TUSD BF'!$L$68</f>
        <v>0</v>
      </c>
      <c r="M23" s="12">
        <f>'TUSD BE'!$M$23*'TUSD BF'!$M$68</f>
        <v>0</v>
      </c>
      <c r="N23" s="12">
        <f ca="1">'TUSD BE'!$N$23*'TUSD BF'!$N$68</f>
        <v>0</v>
      </c>
      <c r="O23" s="12">
        <f>'TUSD BE'!$O$23*'TUSD BF'!$O$68</f>
        <v>0</v>
      </c>
      <c r="P23" s="12">
        <f>'TUSD BE'!$P$23*'TUSD BF'!$P$68</f>
        <v>0</v>
      </c>
      <c r="Q23" s="12">
        <f>'TUSD BE'!$Q$23*'TUSD BF'!$Q$68</f>
        <v>0</v>
      </c>
      <c r="R23" s="12">
        <f>'TUSD BE'!$R$23*'TUSD BF'!$R$68</f>
        <v>0</v>
      </c>
      <c r="S23" s="12">
        <f>'TUSD BE'!$R$23*'TUSD BF'!$S$68</f>
        <v>0</v>
      </c>
      <c r="T23" s="12">
        <f ca="1">SUM($L$23:$S$23)</f>
        <v>0</v>
      </c>
      <c r="U23" s="12">
        <f>'TUSD BE'!$U$23*'TUSD BF'!$U$68</f>
        <v>0</v>
      </c>
      <c r="V23" s="12">
        <f>'TUSD BE'!$V$23*'TUSD BF'!$V$68</f>
        <v>0</v>
      </c>
      <c r="W23" s="12">
        <f>'TUSD BE'!$W$23*'TUSD BF'!$W$68</f>
        <v>0</v>
      </c>
      <c r="X23" s="12">
        <f>'TUSD BE'!$X$23*'TUSD BF'!$X$68</f>
        <v>0</v>
      </c>
      <c r="Y23" s="12">
        <f>'TUSD BE'!$Y$23*'TUSD BF'!$Y$68</f>
        <v>0</v>
      </c>
      <c r="Z23" s="12">
        <f>'TUSD BE'!$Z$23*'TUSD BF'!$Z$68</f>
        <v>0</v>
      </c>
      <c r="AA23" s="12">
        <f>'TUSD BE'!$AA$23*'TUSD BF'!$AA$68</f>
        <v>0</v>
      </c>
      <c r="AB23" s="12">
        <f>SUM($U$23:$AA$23)</f>
        <v>0</v>
      </c>
      <c r="AC23" s="12">
        <f>'TUSD BE'!$AC$23*'TUSD BF'!$AC$68</f>
        <v>0</v>
      </c>
      <c r="AD23" s="12">
        <f>SUM($AC$23:$AC$23)</f>
        <v>0</v>
      </c>
      <c r="AE23" s="12">
        <f ca="1">$AO$23*$AO$65</f>
        <v>0</v>
      </c>
      <c r="AF23" s="12">
        <f ca="1">$AP$23*$AP$65</f>
        <v>0</v>
      </c>
      <c r="AG23" s="12">
        <f ca="1">SUM($AE$23:$AF$23)</f>
        <v>0</v>
      </c>
      <c r="AH23" s="12">
        <f>'TUSD BE'!$AH$23*'TUSD BF'!$AH$68</f>
        <v>0.6581697241911878</v>
      </c>
      <c r="AI23" s="12">
        <f>'TUSD BE'!$AI$23*'TUSD BF'!$AI$68</f>
        <v>2.4187326836034785E-2</v>
      </c>
      <c r="AJ23" s="12">
        <f ca="1">'TUSD BE'!$AJ$23*'TUSD BF'!$AJ$68</f>
        <v>0.16754129738105372</v>
      </c>
      <c r="AK23" s="12">
        <f ca="1">'TUSD BE'!$AK$23*'TUSD BF'!$AK$68</f>
        <v>0</v>
      </c>
      <c r="AL23" s="12">
        <f ca="1">SUM($AH$23:$AK$23)</f>
        <v>0.84989834840827627</v>
      </c>
      <c r="AM23" s="12">
        <f ca="1">SUMIF($L$4:$AL$4,"SUBTOTAL",$L$23:$AL$23)</f>
        <v>0.84989834840827627</v>
      </c>
      <c r="AO23" s="20">
        <f ca="1">+'TUSD BE'!$T$23+'TUSD BE'!$AB$23+'TUSD BE'!$AD$23+'TUSD BE'!$AL$23</f>
        <v>1007.1015747455834</v>
      </c>
      <c r="AP23" s="20">
        <f ca="1">+'TUSD BE'!$T$23+'TUSD BE'!$AB$23+'TUSD BE'!$AD$23+'TUSD BE'!$AL$23</f>
        <v>1007.1015747455834</v>
      </c>
    </row>
    <row r="24" spans="1:42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f>'TUSD BE'!$L$24*'TUSD BF'!$L$68</f>
        <v>0</v>
      </c>
      <c r="M24" s="12">
        <f>'TUSD BE'!$M$24*'TUSD BF'!$M$68</f>
        <v>0</v>
      </c>
      <c r="N24" s="12">
        <f ca="1">'TUSD BE'!$N$24*'TUSD BF'!$N$68</f>
        <v>0</v>
      </c>
      <c r="O24" s="12">
        <f>'TUSD BE'!$O$24*'TUSD BF'!$O$68</f>
        <v>0</v>
      </c>
      <c r="P24" s="12">
        <f>'TUSD BE'!$P$24*'TUSD BF'!$P$68</f>
        <v>0</v>
      </c>
      <c r="Q24" s="12">
        <f>'TUSD BE'!$Q$24*'TUSD BF'!$Q$68</f>
        <v>0</v>
      </c>
      <c r="R24" s="12">
        <f>'TUSD BE'!$R$24*'TUSD BF'!$R$68</f>
        <v>0</v>
      </c>
      <c r="S24" s="12">
        <f>'TUSD BE'!$R$24*'TUSD BF'!$S$68</f>
        <v>0</v>
      </c>
      <c r="T24" s="12">
        <f ca="1">SUM($L$24:$S$24)</f>
        <v>0</v>
      </c>
      <c r="U24" s="12">
        <f>'TUSD BE'!$U$24*'TUSD BF'!$U$68</f>
        <v>0</v>
      </c>
      <c r="V24" s="12">
        <f>'TUSD BE'!$V$24*'TUSD BF'!$V$68</f>
        <v>0</v>
      </c>
      <c r="W24" s="12">
        <f>'TUSD BE'!$W$24*'TUSD BF'!$W$68</f>
        <v>0</v>
      </c>
      <c r="X24" s="12">
        <f>'TUSD BE'!$X$24*'TUSD BF'!$X$68</f>
        <v>0</v>
      </c>
      <c r="Y24" s="12">
        <f>'TUSD BE'!$Y$24*'TUSD BF'!$Y$68</f>
        <v>0</v>
      </c>
      <c r="Z24" s="12">
        <f>'TUSD BE'!$Z$24*'TUSD BF'!$Z$68</f>
        <v>0</v>
      </c>
      <c r="AA24" s="12">
        <f>'TUSD BE'!$AA$24*'TUSD BF'!$AA$68</f>
        <v>0</v>
      </c>
      <c r="AB24" s="12">
        <f>SUM($U$24:$AA$24)</f>
        <v>0</v>
      </c>
      <c r="AC24" s="12">
        <f>'TUSD BE'!$AC$24*'TUSD BF'!$AC$68</f>
        <v>0</v>
      </c>
      <c r="AD24" s="12">
        <f>SUM($AC$24:$AC$24)</f>
        <v>0</v>
      </c>
      <c r="AE24" s="12">
        <f ca="1">$AO$24*$AO$65</f>
        <v>0</v>
      </c>
      <c r="AF24" s="12">
        <f ca="1">$AP$24*$AP$65</f>
        <v>0</v>
      </c>
      <c r="AG24" s="12">
        <f ca="1">SUM($AE$24:$AF$24)</f>
        <v>0</v>
      </c>
      <c r="AH24" s="12">
        <f>'TUSD BE'!$AH$24*'TUSD BF'!$AH$68</f>
        <v>0.6581697241911878</v>
      </c>
      <c r="AI24" s="12">
        <f>'TUSD BE'!$AI$24*'TUSD BF'!$AI$68</f>
        <v>2.4187326836034785E-2</v>
      </c>
      <c r="AJ24" s="12">
        <f ca="1">'TUSD BE'!$AJ$24*'TUSD BF'!$AJ$68</f>
        <v>0.16754129738105372</v>
      </c>
      <c r="AK24" s="12">
        <f ca="1">'TUSD BE'!$AK$24*'TUSD BF'!$AK$68</f>
        <v>0</v>
      </c>
      <c r="AL24" s="12">
        <f ca="1">SUM($AH$24:$AK$24)</f>
        <v>0.84989834840827627</v>
      </c>
      <c r="AM24" s="12">
        <f ca="1">SUMIF($L$4:$AL$4,"SUBTOTAL",$L$24:$AL$24)</f>
        <v>0.84989834840827627</v>
      </c>
      <c r="AO24" s="20">
        <f ca="1">+'TUSD BE'!$T$24+'TUSD BE'!$AB$24+'TUSD BE'!$AD$24+'TUSD BE'!$AL$24</f>
        <v>6.8669654785753922</v>
      </c>
      <c r="AP24" s="20">
        <f ca="1">+'TUSD BE'!$T$24+'TUSD BE'!$AB$24+'TUSD BE'!$AD$24+'TUSD BE'!$AL$24</f>
        <v>6.8669654785753922</v>
      </c>
    </row>
    <row r="25" spans="1:42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f>'TUSD BE'!$L$25*'TUSD BF'!$L$68</f>
        <v>0</v>
      </c>
      <c r="M25" s="12">
        <f>'TUSD BE'!$M$25*'TUSD BF'!$M$68</f>
        <v>0</v>
      </c>
      <c r="N25" s="12">
        <f ca="1">'TUSD BE'!$N$25*'TUSD BF'!$N$68</f>
        <v>0</v>
      </c>
      <c r="O25" s="12">
        <f>'TUSD BE'!$O$25*'TUSD BF'!$O$68</f>
        <v>0</v>
      </c>
      <c r="P25" s="12">
        <f>'TUSD BE'!$P$25*'TUSD BF'!$P$68</f>
        <v>0</v>
      </c>
      <c r="Q25" s="12">
        <f>'TUSD BE'!$Q$25*'TUSD BF'!$Q$68</f>
        <v>0</v>
      </c>
      <c r="R25" s="12">
        <f>'TUSD BE'!$R$25*'TUSD BF'!$R$68</f>
        <v>0</v>
      </c>
      <c r="S25" s="12">
        <f>'TUSD BE'!$R$25*'TUSD BF'!$S$68</f>
        <v>0</v>
      </c>
      <c r="T25" s="12">
        <f ca="1">SUM($L$25:$S$25)</f>
        <v>0</v>
      </c>
      <c r="U25" s="12">
        <f>'TUSD BE'!$U$25*'TUSD BF'!$U$68</f>
        <v>0</v>
      </c>
      <c r="V25" s="12">
        <f>'TUSD BE'!$V$25*'TUSD BF'!$V$68</f>
        <v>0</v>
      </c>
      <c r="W25" s="12">
        <f>'TUSD BE'!$W$25*'TUSD BF'!$W$68</f>
        <v>0</v>
      </c>
      <c r="X25" s="12">
        <f>'TUSD BE'!$X$25*'TUSD BF'!$X$68</f>
        <v>0</v>
      </c>
      <c r="Y25" s="12">
        <f>'TUSD BE'!$Y$25*'TUSD BF'!$Y$68</f>
        <v>0</v>
      </c>
      <c r="Z25" s="12">
        <f>'TUSD BE'!$Z$25*'TUSD BF'!$Z$68</f>
        <v>0</v>
      </c>
      <c r="AA25" s="12">
        <f>'TUSD BE'!$AA$25*'TUSD BF'!$AA$68</f>
        <v>0</v>
      </c>
      <c r="AB25" s="12">
        <f>SUM($U$25:$AA$25)</f>
        <v>0</v>
      </c>
      <c r="AC25" s="12">
        <f>'TUSD BE'!$AC$25*'TUSD BF'!$AC$68</f>
        <v>0</v>
      </c>
      <c r="AD25" s="12">
        <f>SUM($AC$25:$AC$25)</f>
        <v>0</v>
      </c>
      <c r="AE25" s="12">
        <f ca="1">$AO$25*$AO$65</f>
        <v>0</v>
      </c>
      <c r="AF25" s="12">
        <f ca="1">$AP$25*$AP$65</f>
        <v>0</v>
      </c>
      <c r="AG25" s="12">
        <f ca="1">SUM($AE$25:$AF$25)</f>
        <v>0</v>
      </c>
      <c r="AH25" s="12">
        <f>'TUSD BE'!$AH$25*'TUSD BF'!$AH$68</f>
        <v>0</v>
      </c>
      <c r="AI25" s="12">
        <f>'TUSD BE'!$AI$25*'TUSD BF'!$AI$68</f>
        <v>0</v>
      </c>
      <c r="AJ25" s="12">
        <f ca="1">'TUSD BE'!$AJ$25*'TUSD BF'!$AJ$68</f>
        <v>0</v>
      </c>
      <c r="AK25" s="12">
        <f ca="1">'TUSD BE'!$AK$25*'TUSD BF'!$AK$68</f>
        <v>0</v>
      </c>
      <c r="AL25" s="12">
        <f ca="1">SUM($AH$25:$AK$25)</f>
        <v>0</v>
      </c>
      <c r="AM25" s="12">
        <f ca="1">SUMIF($L$4:$AL$4,"SUBTOTAL",$L$25:$AL$25)</f>
        <v>0</v>
      </c>
      <c r="AO25" s="20">
        <f ca="1">+'TUSD BE'!$T$25+'TUSD BE'!$AB$25+'TUSD BE'!$AD$25+'TUSD BE'!$AL$25</f>
        <v>3.2111111283241827</v>
      </c>
      <c r="AP25" s="20">
        <f ca="1">+'TUSD BE'!$T$25+'TUSD BE'!$AB$25+'TUSD BE'!$AD$25+'TUSD BE'!$AL$25</f>
        <v>3.2111111283241827</v>
      </c>
    </row>
    <row r="26" spans="1:42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f>'TUSD BE'!$L$26*'TUSD BF'!$L$68</f>
        <v>0</v>
      </c>
      <c r="M26" s="12">
        <f>'TUSD BE'!$M$26*'TUSD BF'!$M$68</f>
        <v>0</v>
      </c>
      <c r="N26" s="12">
        <f ca="1">'TUSD BE'!$N$26*'TUSD BF'!$N$68</f>
        <v>0</v>
      </c>
      <c r="O26" s="12">
        <f>'TUSD BE'!$O$26*'TUSD BF'!$O$68</f>
        <v>0</v>
      </c>
      <c r="P26" s="12">
        <f>'TUSD BE'!$P$26*'TUSD BF'!$P$68</f>
        <v>0</v>
      </c>
      <c r="Q26" s="12">
        <f>'TUSD BE'!$Q$26*'TUSD BF'!$Q$68</f>
        <v>0</v>
      </c>
      <c r="R26" s="12">
        <f>'TUSD BE'!$R$26*'TUSD BF'!$R$68</f>
        <v>0</v>
      </c>
      <c r="S26" s="12">
        <f>'TUSD BE'!$R$26*'TUSD BF'!$S$68</f>
        <v>0</v>
      </c>
      <c r="T26" s="12">
        <f ca="1">SUM($L$26:$S$26)</f>
        <v>0</v>
      </c>
      <c r="U26" s="12">
        <f>'TUSD BE'!$U$26*'TUSD BF'!$U$68</f>
        <v>0</v>
      </c>
      <c r="V26" s="12">
        <f>'TUSD BE'!$V$26*'TUSD BF'!$V$68</f>
        <v>0</v>
      </c>
      <c r="W26" s="12">
        <f>'TUSD BE'!$W$26*'TUSD BF'!$W$68</f>
        <v>0</v>
      </c>
      <c r="X26" s="12">
        <f>'TUSD BE'!$X$26*'TUSD BF'!$X$68</f>
        <v>0</v>
      </c>
      <c r="Y26" s="12">
        <f>'TUSD BE'!$Y$26*'TUSD BF'!$Y$68</f>
        <v>0</v>
      </c>
      <c r="Z26" s="12">
        <f>'TUSD BE'!$Z$26*'TUSD BF'!$Z$68</f>
        <v>0</v>
      </c>
      <c r="AA26" s="12">
        <f>'TUSD BE'!$AA$26*'TUSD BF'!$AA$68</f>
        <v>0</v>
      </c>
      <c r="AB26" s="12">
        <f>SUM($U$26:$AA$26)</f>
        <v>0</v>
      </c>
      <c r="AC26" s="12">
        <f>'TUSD BE'!$AC$26*'TUSD BF'!$AC$68</f>
        <v>0</v>
      </c>
      <c r="AD26" s="12">
        <f>SUM($AC$26:$AC$26)</f>
        <v>0</v>
      </c>
      <c r="AE26" s="12">
        <f ca="1">$AO$26*$AO$65</f>
        <v>0</v>
      </c>
      <c r="AF26" s="12">
        <f ca="1">$AP$26*$AP$65</f>
        <v>0</v>
      </c>
      <c r="AG26" s="12">
        <f ca="1">SUM($AE$26:$AF$26)</f>
        <v>0</v>
      </c>
      <c r="AH26" s="12">
        <f>'TUSD BE'!$AH$26*'TUSD BF'!$AH$68</f>
        <v>0</v>
      </c>
      <c r="AI26" s="12">
        <f>'TUSD BE'!$AI$26*'TUSD BF'!$AI$68</f>
        <v>0</v>
      </c>
      <c r="AJ26" s="12">
        <f ca="1">'TUSD BE'!$AJ$26*'TUSD BF'!$AJ$68</f>
        <v>0</v>
      </c>
      <c r="AK26" s="12">
        <f ca="1">'TUSD BE'!$AK$26*'TUSD BF'!$AK$68</f>
        <v>0</v>
      </c>
      <c r="AL26" s="12">
        <f ca="1">SUM($AH$26:$AK$26)</f>
        <v>0</v>
      </c>
      <c r="AM26" s="12">
        <f ca="1">SUMIF($L$4:$AL$4,"SUBTOTAL",$L$26:$AL$26)</f>
        <v>0</v>
      </c>
      <c r="AO26" s="20">
        <f ca="1">+'TUSD BE'!$T$26+'TUSD BE'!$AB$26+'TUSD BE'!$AD$26+'TUSD BE'!$AL$26</f>
        <v>10.480520183221309</v>
      </c>
      <c r="AP26" s="20">
        <f ca="1">+'TUSD BE'!$T$26+'TUSD BE'!$AB$26+'TUSD BE'!$AD$26+'TUSD BE'!$AL$26</f>
        <v>10.480520183221309</v>
      </c>
    </row>
    <row r="27" spans="1:42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'TUSD BE'!$L$27*'TUSD BF'!$L$68</f>
        <v>0.20662450953041317</v>
      </c>
      <c r="M27" s="12">
        <f>'TUSD BE'!$M$27*'TUSD BF'!$M$68</f>
        <v>0</v>
      </c>
      <c r="N27" s="12">
        <f ca="1">'TUSD BE'!$N$27*'TUSD BF'!$N$68</f>
        <v>0</v>
      </c>
      <c r="O27" s="12">
        <f>'TUSD BE'!$O$27*'TUSD BF'!$O$68</f>
        <v>0</v>
      </c>
      <c r="P27" s="12">
        <f>'TUSD BE'!$P$27*'TUSD BF'!$P$68</f>
        <v>0</v>
      </c>
      <c r="Q27" s="12">
        <f>'TUSD BE'!$Q$27*'TUSD BF'!$Q$68</f>
        <v>13.165803057752971</v>
      </c>
      <c r="R27" s="12">
        <f>'TUSD BE'!$R$27*'TUSD BF'!$R$68</f>
        <v>3.1789350783715706</v>
      </c>
      <c r="S27" s="12">
        <f>'TUSD BE'!$R$27*'TUSD BF'!$S$68</f>
        <v>0</v>
      </c>
      <c r="T27" s="12">
        <f ca="1">SUM($L$27:$S$27)</f>
        <v>16.551362645654955</v>
      </c>
      <c r="U27" s="12">
        <f>'TUSD BE'!$U$27*'TUSD BF'!$U$68</f>
        <v>0</v>
      </c>
      <c r="V27" s="12">
        <f>'TUSD BE'!$V$27*'TUSD BF'!$V$68</f>
        <v>0</v>
      </c>
      <c r="W27" s="12">
        <f>'TUSD BE'!$W$27*'TUSD BF'!$W$68</f>
        <v>0</v>
      </c>
      <c r="X27" s="12">
        <f>'TUSD BE'!$X$27*'TUSD BF'!$X$68</f>
        <v>0</v>
      </c>
      <c r="Y27" s="12">
        <f>'TUSD BE'!$Y$27*'TUSD BF'!$Y$68</f>
        <v>0</v>
      </c>
      <c r="Z27" s="12">
        <f>'TUSD BE'!$Z$27*'TUSD BF'!$Z$68</f>
        <v>0</v>
      </c>
      <c r="AA27" s="12">
        <f>'TUSD BE'!$AA$27*'TUSD BF'!$AA$68</f>
        <v>0</v>
      </c>
      <c r="AB27" s="12">
        <f>SUM($U$27:$AA$27)</f>
        <v>0</v>
      </c>
      <c r="AC27" s="12">
        <f>'TUSD BE'!$AC$27*'TUSD BF'!$AC$68</f>
        <v>0</v>
      </c>
      <c r="AD27" s="12">
        <f>SUM($AC$27:$AC$27)</f>
        <v>0</v>
      </c>
      <c r="AE27" s="12">
        <f ca="1">$AO$27*$AO$65</f>
        <v>0</v>
      </c>
      <c r="AF27" s="12">
        <f ca="1">$AP$27*$AP$65</f>
        <v>0</v>
      </c>
      <c r="AG27" s="12">
        <f ca="1">SUM($AE$27:$AF$27)</f>
        <v>0</v>
      </c>
      <c r="AH27" s="12">
        <f>'TUSD BE'!$AH$27*'TUSD BF'!$AH$68</f>
        <v>2.2511687912962017</v>
      </c>
      <c r="AI27" s="12">
        <f>'TUSD BE'!$AI$27*'TUSD BF'!$AI$68</f>
        <v>8.2729048931983115E-2</v>
      </c>
      <c r="AJ27" s="12">
        <f ca="1">'TUSD BE'!$AJ$27*'TUSD BF'!$AJ$68</f>
        <v>0.24568763397361537</v>
      </c>
      <c r="AK27" s="12">
        <f ca="1">'TUSD BE'!$AK$27*'TUSD BF'!$AK$68</f>
        <v>0</v>
      </c>
      <c r="AL27" s="12">
        <f ca="1">SUM($AH$27:$AK$27)</f>
        <v>2.5795854742018003</v>
      </c>
      <c r="AM27" s="12">
        <f ca="1">SUMIF($L$4:$AL$4,"SUBTOTAL",$L$27:$AL$27)</f>
        <v>19.130948119856754</v>
      </c>
      <c r="AO27" s="20">
        <f ca="1">+'TUSD BE'!$T$27+'TUSD BE'!$AB$27+'TUSD BE'!$AD$27+'TUSD BE'!$AL$27</f>
        <v>1291.9165105584736</v>
      </c>
      <c r="AP27" s="20">
        <f ca="1">+'TUSD BE'!$T$27+'TUSD BE'!$AB$27+'TUSD BE'!$AD$27+'TUSD BE'!$AL$27</f>
        <v>1291.9165105584736</v>
      </c>
    </row>
    <row r="28" spans="1:42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'TUSD BE'!$L$28*'TUSD BF'!$L$68</f>
        <v>0.20662450953041317</v>
      </c>
      <c r="M28" s="12">
        <f>'TUSD BE'!$M$28*'TUSD BF'!$M$68</f>
        <v>0</v>
      </c>
      <c r="N28" s="12">
        <f ca="1">'TUSD BE'!$N$28*'TUSD BF'!$N$68</f>
        <v>0</v>
      </c>
      <c r="O28" s="12">
        <f>'TUSD BE'!$O$28*'TUSD BF'!$O$68</f>
        <v>0</v>
      </c>
      <c r="P28" s="12">
        <f>'TUSD BE'!$P$28*'TUSD BF'!$P$68</f>
        <v>0</v>
      </c>
      <c r="Q28" s="12">
        <f>'TUSD BE'!$Q$28*'TUSD BF'!$Q$68</f>
        <v>13.165803057752971</v>
      </c>
      <c r="R28" s="12">
        <f>'TUSD BE'!$R$28*'TUSD BF'!$R$68</f>
        <v>3.1789350783715706</v>
      </c>
      <c r="S28" s="12">
        <f>'TUSD BE'!$R$28*'TUSD BF'!$S$68</f>
        <v>0</v>
      </c>
      <c r="T28" s="12">
        <f ca="1">SUM($L$28:$S$28)</f>
        <v>16.551362645654955</v>
      </c>
      <c r="U28" s="12">
        <f>'TUSD BE'!$U$28*'TUSD BF'!$U$68</f>
        <v>0</v>
      </c>
      <c r="V28" s="12">
        <f>'TUSD BE'!$V$28*'TUSD BF'!$V$68</f>
        <v>0</v>
      </c>
      <c r="W28" s="12">
        <f>'TUSD BE'!$W$28*'TUSD BF'!$W$68</f>
        <v>0</v>
      </c>
      <c r="X28" s="12">
        <f>'TUSD BE'!$X$28*'TUSD BF'!$X$68</f>
        <v>0</v>
      </c>
      <c r="Y28" s="12">
        <f>'TUSD BE'!$Y$28*'TUSD BF'!$Y$68</f>
        <v>0</v>
      </c>
      <c r="Z28" s="12">
        <f>'TUSD BE'!$Z$28*'TUSD BF'!$Z$68</f>
        <v>0</v>
      </c>
      <c r="AA28" s="12">
        <f>'TUSD BE'!$AA$28*'TUSD BF'!$AA$68</f>
        <v>0</v>
      </c>
      <c r="AB28" s="12">
        <f>SUM($U$28:$AA$28)</f>
        <v>0</v>
      </c>
      <c r="AC28" s="12">
        <f>'TUSD BE'!$AC$28*'TUSD BF'!$AC$68</f>
        <v>0</v>
      </c>
      <c r="AD28" s="12">
        <f>SUM($AC$28:$AC$28)</f>
        <v>0</v>
      </c>
      <c r="AE28" s="12">
        <f ca="1">$AO$28*$AO$65</f>
        <v>0</v>
      </c>
      <c r="AF28" s="12">
        <f ca="1">$AP$28*$AP$65</f>
        <v>0</v>
      </c>
      <c r="AG28" s="12">
        <f ca="1">SUM($AE$28:$AF$28)</f>
        <v>0</v>
      </c>
      <c r="AH28" s="12">
        <f>'TUSD BE'!$AH$28*'TUSD BF'!$AH$68</f>
        <v>2.2511687912962017</v>
      </c>
      <c r="AI28" s="12">
        <f>'TUSD BE'!$AI$28*'TUSD BF'!$AI$68</f>
        <v>8.2729048931983115E-2</v>
      </c>
      <c r="AJ28" s="12">
        <f ca="1">'TUSD BE'!$AJ$28*'TUSD BF'!$AJ$68</f>
        <v>0.24568763397361537</v>
      </c>
      <c r="AK28" s="12">
        <f ca="1">'TUSD BE'!$AK$28*'TUSD BF'!$AK$68</f>
        <v>0</v>
      </c>
      <c r="AL28" s="12">
        <f ca="1">SUM($AH$28:$AK$28)</f>
        <v>2.5795854742018003</v>
      </c>
      <c r="AM28" s="12">
        <f ca="1">SUMIF($L$4:$AL$4,"SUBTOTAL",$L$28:$AL$28)</f>
        <v>19.130948119856754</v>
      </c>
      <c r="AO28" s="20">
        <f ca="1">+'TUSD BE'!$T$28+'TUSD BE'!$AB$28+'TUSD BE'!$AD$28+'TUSD BE'!$AL$28</f>
        <v>418.69225577908111</v>
      </c>
      <c r="AP28" s="20">
        <f ca="1">+'TUSD BE'!$T$28+'TUSD BE'!$AB$28+'TUSD BE'!$AD$28+'TUSD BE'!$AL$28</f>
        <v>418.69225577908111</v>
      </c>
    </row>
    <row r="29" spans="1:42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'TUSD BE'!$L$29*'TUSD BF'!$L$68</f>
        <v>0.20662450953041317</v>
      </c>
      <c r="M29" s="12">
        <f>'TUSD BE'!$M$29*'TUSD BF'!$M$68</f>
        <v>0</v>
      </c>
      <c r="N29" s="12">
        <f ca="1">'TUSD BE'!$N$29*'TUSD BF'!$N$68</f>
        <v>0</v>
      </c>
      <c r="O29" s="12">
        <f>'TUSD BE'!$O$29*'TUSD BF'!$O$68</f>
        <v>0</v>
      </c>
      <c r="P29" s="12">
        <f>'TUSD BE'!$P$29*'TUSD BF'!$P$68</f>
        <v>0</v>
      </c>
      <c r="Q29" s="12">
        <f>'TUSD BE'!$Q$29*'TUSD BF'!$Q$68</f>
        <v>13.165803057752971</v>
      </c>
      <c r="R29" s="12">
        <f>'TUSD BE'!$R$29*'TUSD BF'!$R$68</f>
        <v>3.1789350783715706</v>
      </c>
      <c r="S29" s="12">
        <f>'TUSD BE'!$R$29*'TUSD BF'!$S$68</f>
        <v>0</v>
      </c>
      <c r="T29" s="12">
        <f ca="1">SUM($L$29:$S$29)</f>
        <v>16.551362645654955</v>
      </c>
      <c r="U29" s="12">
        <f>'TUSD BE'!$U$29*'TUSD BF'!$U$68</f>
        <v>0</v>
      </c>
      <c r="V29" s="12">
        <f>'TUSD BE'!$V$29*'TUSD BF'!$V$68</f>
        <v>0</v>
      </c>
      <c r="W29" s="12">
        <f>'TUSD BE'!$W$29*'TUSD BF'!$W$68</f>
        <v>0</v>
      </c>
      <c r="X29" s="12">
        <f>'TUSD BE'!$X$29*'TUSD BF'!$X$68</f>
        <v>0</v>
      </c>
      <c r="Y29" s="12">
        <f>'TUSD BE'!$Y$29*'TUSD BF'!$Y$68</f>
        <v>0</v>
      </c>
      <c r="Z29" s="12">
        <f>'TUSD BE'!$Z$29*'TUSD BF'!$Z$68</f>
        <v>0</v>
      </c>
      <c r="AA29" s="12">
        <f>'TUSD BE'!$AA$29*'TUSD BF'!$AA$68</f>
        <v>0</v>
      </c>
      <c r="AB29" s="12">
        <f>SUM($U$29:$AA$29)</f>
        <v>0</v>
      </c>
      <c r="AC29" s="12">
        <f>'TUSD BE'!$AC$29*'TUSD BF'!$AC$68</f>
        <v>0</v>
      </c>
      <c r="AD29" s="12">
        <f>SUM($AC$29:$AC$29)</f>
        <v>0</v>
      </c>
      <c r="AE29" s="12">
        <f ca="1">$AO$29*$AO$65</f>
        <v>0</v>
      </c>
      <c r="AF29" s="12">
        <f ca="1">$AP$29*$AP$65</f>
        <v>0</v>
      </c>
      <c r="AG29" s="12">
        <f ca="1">SUM($AE$29:$AF$29)</f>
        <v>0</v>
      </c>
      <c r="AH29" s="12">
        <f>'TUSD BE'!$AH$29*'TUSD BF'!$AH$68</f>
        <v>2.2511687912962017</v>
      </c>
      <c r="AI29" s="12">
        <f>'TUSD BE'!$AI$29*'TUSD BF'!$AI$68</f>
        <v>8.2729048931983115E-2</v>
      </c>
      <c r="AJ29" s="12">
        <f ca="1">'TUSD BE'!$AJ$29*'TUSD BF'!$AJ$68</f>
        <v>0.24568763397361537</v>
      </c>
      <c r="AK29" s="12">
        <f ca="1">'TUSD BE'!$AK$29*'TUSD BF'!$AK$68</f>
        <v>0</v>
      </c>
      <c r="AL29" s="12">
        <f ca="1">SUM($AH$29:$AK$29)</f>
        <v>2.5795854742018003</v>
      </c>
      <c r="AM29" s="12">
        <f ca="1">SUMIF($L$4:$AL$4,"SUBTOTAL",$L$29:$AL$29)</f>
        <v>19.130948119856754</v>
      </c>
      <c r="AO29" s="20">
        <f ca="1">+'TUSD BE'!$T$29+'TUSD BE'!$AB$29+'TUSD BE'!$AD$29+'TUSD BE'!$AL$29</f>
        <v>185.83240043139136</v>
      </c>
      <c r="AP29" s="20">
        <f ca="1">+'TUSD BE'!$T$29+'TUSD BE'!$AB$29+'TUSD BE'!$AD$29+'TUSD BE'!$AL$29</f>
        <v>185.83240043139136</v>
      </c>
    </row>
    <row r="30" spans="1:42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'TUSD BE'!$L$30*'TUSD BF'!$L$68</f>
        <v>0.20662450953041317</v>
      </c>
      <c r="M30" s="12">
        <f>'TUSD BE'!$M$30*'TUSD BF'!$M$68</f>
        <v>0</v>
      </c>
      <c r="N30" s="12">
        <f ca="1">'TUSD BE'!$N$30*'TUSD BF'!$N$68</f>
        <v>0</v>
      </c>
      <c r="O30" s="12">
        <f>'TUSD BE'!$O$30*'TUSD BF'!$O$68</f>
        <v>0</v>
      </c>
      <c r="P30" s="12">
        <f>'TUSD BE'!$P$30*'TUSD BF'!$P$68</f>
        <v>0</v>
      </c>
      <c r="Q30" s="12">
        <f>'TUSD BE'!$Q$30*'TUSD BF'!$Q$68</f>
        <v>13.165803057752971</v>
      </c>
      <c r="R30" s="12">
        <f>'TUSD BE'!$R$30*'TUSD BF'!$R$68</f>
        <v>3.1789350783715706</v>
      </c>
      <c r="S30" s="12">
        <f>'TUSD BE'!$R$30*'TUSD BF'!$S$68</f>
        <v>0</v>
      </c>
      <c r="T30" s="12">
        <f ca="1">SUM($L$30:$S$30)</f>
        <v>16.551362645654955</v>
      </c>
      <c r="U30" s="12">
        <f>'TUSD BE'!$U$30*'TUSD BF'!$U$68</f>
        <v>0</v>
      </c>
      <c r="V30" s="12">
        <f>'TUSD BE'!$V$30*'TUSD BF'!$V$68</f>
        <v>0</v>
      </c>
      <c r="W30" s="12">
        <f>'TUSD BE'!$W$30*'TUSD BF'!$W$68</f>
        <v>0</v>
      </c>
      <c r="X30" s="12">
        <f>'TUSD BE'!$X$30*'TUSD BF'!$X$68</f>
        <v>0</v>
      </c>
      <c r="Y30" s="12">
        <f>'TUSD BE'!$Y$30*'TUSD BF'!$Y$68</f>
        <v>0</v>
      </c>
      <c r="Z30" s="12">
        <f>'TUSD BE'!$Z$30*'TUSD BF'!$Z$68</f>
        <v>0</v>
      </c>
      <c r="AA30" s="12">
        <f>'TUSD BE'!$AA$30*'TUSD BF'!$AA$68</f>
        <v>0</v>
      </c>
      <c r="AB30" s="12">
        <f>SUM($U$30:$AA$30)</f>
        <v>0</v>
      </c>
      <c r="AC30" s="12">
        <f>'TUSD BE'!$AC$30*'TUSD BF'!$AC$68</f>
        <v>0</v>
      </c>
      <c r="AD30" s="12">
        <f>SUM($AC$30:$AC$30)</f>
        <v>0</v>
      </c>
      <c r="AE30" s="12">
        <f ca="1">$AO$30*$AO$65</f>
        <v>0</v>
      </c>
      <c r="AF30" s="12">
        <f ca="1">$AP$30*$AP$65</f>
        <v>0</v>
      </c>
      <c r="AG30" s="12">
        <f ca="1">SUM($AE$30:$AF$30)</f>
        <v>0</v>
      </c>
      <c r="AH30" s="12">
        <f>'TUSD BE'!$AH$30*'TUSD BF'!$AH$68</f>
        <v>2.2511687912962017</v>
      </c>
      <c r="AI30" s="12">
        <f>'TUSD BE'!$AI$30*'TUSD BF'!$AI$68</f>
        <v>8.2729048931983115E-2</v>
      </c>
      <c r="AJ30" s="12">
        <f ca="1">'TUSD BE'!$AJ$30*'TUSD BF'!$AJ$68</f>
        <v>0.24568763397361537</v>
      </c>
      <c r="AK30" s="12">
        <f ca="1">'TUSD BE'!$AK$30*'TUSD BF'!$AK$68</f>
        <v>0</v>
      </c>
      <c r="AL30" s="12">
        <f ca="1">SUM($AH$30:$AK$30)</f>
        <v>2.5795854742018003</v>
      </c>
      <c r="AM30" s="12">
        <f ca="1">SUMIF($L$4:$AL$4,"SUBTOTAL",$L$30:$AL$30)</f>
        <v>19.130948119856754</v>
      </c>
      <c r="AO30" s="20">
        <f ca="1">+'TUSD BE'!$T$30+'TUSD BE'!$AB$30+'TUSD BE'!$AD$30+'TUSD BE'!$AL$30</f>
        <v>343.22837518745104</v>
      </c>
      <c r="AP30" s="20">
        <f ca="1">+'TUSD BE'!$T$30+'TUSD BE'!$AB$30+'TUSD BE'!$AD$30+'TUSD BE'!$AL$30</f>
        <v>343.22837518745104</v>
      </c>
    </row>
    <row r="31" spans="1:42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f>'TUSD BE'!$L$31*'TUSD BF'!$L$68</f>
        <v>0</v>
      </c>
      <c r="M31" s="12">
        <f>'TUSD BE'!$M$31*'TUSD BF'!$M$68</f>
        <v>0</v>
      </c>
      <c r="N31" s="12">
        <f ca="1">'TUSD BE'!$N$31*'TUSD BF'!$N$68</f>
        <v>0</v>
      </c>
      <c r="O31" s="12">
        <f>'TUSD BE'!$O$31*'TUSD BF'!$O$68</f>
        <v>0</v>
      </c>
      <c r="P31" s="12">
        <f>'TUSD BE'!$P$31*'TUSD BF'!$P$68</f>
        <v>0</v>
      </c>
      <c r="Q31" s="12">
        <f>'TUSD BE'!$Q$31*'TUSD BF'!$Q$68</f>
        <v>0</v>
      </c>
      <c r="R31" s="12">
        <f>'TUSD BE'!$R$31*'TUSD BF'!$R$68</f>
        <v>0</v>
      </c>
      <c r="S31" s="12">
        <f>'TUSD BE'!$R$31*'TUSD BF'!$S$68</f>
        <v>0</v>
      </c>
      <c r="T31" s="12">
        <f ca="1">SUM($L$31:$S$31)</f>
        <v>0</v>
      </c>
      <c r="U31" s="12">
        <f>'TUSD BE'!$U$31*'TUSD BF'!$U$68</f>
        <v>0</v>
      </c>
      <c r="V31" s="12">
        <f>'TUSD BE'!$V$31*'TUSD BF'!$V$68</f>
        <v>0</v>
      </c>
      <c r="W31" s="12">
        <f>'TUSD BE'!$W$31*'TUSD BF'!$W$68</f>
        <v>0</v>
      </c>
      <c r="X31" s="12">
        <f>'TUSD BE'!$X$31*'TUSD BF'!$X$68</f>
        <v>0</v>
      </c>
      <c r="Y31" s="12">
        <f>'TUSD BE'!$Y$31*'TUSD BF'!$Y$68</f>
        <v>0</v>
      </c>
      <c r="Z31" s="12">
        <f>'TUSD BE'!$Z$31*'TUSD BF'!$Z$68</f>
        <v>0</v>
      </c>
      <c r="AA31" s="12">
        <f>'TUSD BE'!$AA$31*'TUSD BF'!$AA$68</f>
        <v>0</v>
      </c>
      <c r="AB31" s="12">
        <f>SUM($U$31:$AA$31)</f>
        <v>0</v>
      </c>
      <c r="AC31" s="12">
        <f>'TUSD BE'!$AC$31*'TUSD BF'!$AC$68</f>
        <v>0</v>
      </c>
      <c r="AD31" s="12">
        <f>SUM($AC$31:$AC$31)</f>
        <v>0</v>
      </c>
      <c r="AE31" s="12">
        <f ca="1">$AO$31*$AO$65</f>
        <v>0</v>
      </c>
      <c r="AF31" s="12">
        <f ca="1">$AP$31*$AP$65</f>
        <v>0</v>
      </c>
      <c r="AG31" s="12">
        <f ca="1">SUM($AE$31:$AF$31)</f>
        <v>0</v>
      </c>
      <c r="AH31" s="12">
        <f>'TUSD BE'!$AH$31*'TUSD BF'!$AH$68</f>
        <v>2.2511687912962017</v>
      </c>
      <c r="AI31" s="12">
        <f>'TUSD BE'!$AI$31*'TUSD BF'!$AI$68</f>
        <v>8.2729048931983115E-2</v>
      </c>
      <c r="AJ31" s="12">
        <f ca="1">'TUSD BE'!$AJ$31*'TUSD BF'!$AJ$68</f>
        <v>0.24568763397361537</v>
      </c>
      <c r="AK31" s="12">
        <f ca="1">'TUSD BE'!$AK$31*'TUSD BF'!$AK$68</f>
        <v>0</v>
      </c>
      <c r="AL31" s="12">
        <f ca="1">SUM($AH$31:$AK$31)</f>
        <v>2.5795854742018003</v>
      </c>
      <c r="AM31" s="12">
        <f ca="1">SUMIF($L$4:$AL$4,"SUBTOTAL",$L$31:$AL$31)</f>
        <v>2.5795854742018003</v>
      </c>
      <c r="AO31" s="20">
        <f ca="1">+'TUSD BE'!$T$31+'TUSD BE'!$AB$31+'TUSD BE'!$AD$31+'TUSD BE'!$AL$31</f>
        <v>236.03149481501984</v>
      </c>
      <c r="AP31" s="20">
        <f ca="1">+'TUSD BE'!$T$31+'TUSD BE'!$AB$31+'TUSD BE'!$AD$31+'TUSD BE'!$AL$31</f>
        <v>236.03149481501984</v>
      </c>
    </row>
    <row r="32" spans="1:42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f>'TUSD BE'!$L$32*'TUSD BF'!$L$68</f>
        <v>0</v>
      </c>
      <c r="M32" s="12">
        <f>'TUSD BE'!$M$32*'TUSD BF'!$M$68</f>
        <v>0</v>
      </c>
      <c r="N32" s="12">
        <f ca="1">'TUSD BE'!$N$32*'TUSD BF'!$N$68</f>
        <v>0</v>
      </c>
      <c r="O32" s="12">
        <f>'TUSD BE'!$O$32*'TUSD BF'!$O$68</f>
        <v>0</v>
      </c>
      <c r="P32" s="12">
        <f>'TUSD BE'!$P$32*'TUSD BF'!$P$68</f>
        <v>0</v>
      </c>
      <c r="Q32" s="12">
        <f>'TUSD BE'!$Q$32*'TUSD BF'!$Q$68</f>
        <v>0</v>
      </c>
      <c r="R32" s="12">
        <f>'TUSD BE'!$R$32*'TUSD BF'!$R$68</f>
        <v>0</v>
      </c>
      <c r="S32" s="12">
        <f>'TUSD BE'!$R$32*'TUSD BF'!$S$68</f>
        <v>0</v>
      </c>
      <c r="T32" s="12">
        <f ca="1">SUM($L$32:$S$32)</f>
        <v>0</v>
      </c>
      <c r="U32" s="12">
        <f>'TUSD BE'!$U$32*'TUSD BF'!$U$68</f>
        <v>0</v>
      </c>
      <c r="V32" s="12">
        <f>'TUSD BE'!$V$32*'TUSD BF'!$V$68</f>
        <v>0</v>
      </c>
      <c r="W32" s="12">
        <f>'TUSD BE'!$W$32*'TUSD BF'!$W$68</f>
        <v>0</v>
      </c>
      <c r="X32" s="12">
        <f>'TUSD BE'!$X$32*'TUSD BF'!$X$68</f>
        <v>0</v>
      </c>
      <c r="Y32" s="12">
        <f>'TUSD BE'!$Y$32*'TUSD BF'!$Y$68</f>
        <v>0</v>
      </c>
      <c r="Z32" s="12">
        <f>'TUSD BE'!$Z$32*'TUSD BF'!$Z$68</f>
        <v>0</v>
      </c>
      <c r="AA32" s="12">
        <f>'TUSD BE'!$AA$32*'TUSD BF'!$AA$68</f>
        <v>0</v>
      </c>
      <c r="AB32" s="12">
        <f>SUM($U$32:$AA$32)</f>
        <v>0</v>
      </c>
      <c r="AC32" s="12">
        <f>'TUSD BE'!$AC$32*'TUSD BF'!$AC$68</f>
        <v>0</v>
      </c>
      <c r="AD32" s="12">
        <f>SUM($AC$32:$AC$32)</f>
        <v>0</v>
      </c>
      <c r="AE32" s="12">
        <f ca="1">$AO$32*$AO$65</f>
        <v>0</v>
      </c>
      <c r="AF32" s="12">
        <f ca="1">$AP$32*$AP$65</f>
        <v>0</v>
      </c>
      <c r="AG32" s="12">
        <f ca="1">SUM($AE$32:$AF$32)</f>
        <v>0</v>
      </c>
      <c r="AH32" s="12">
        <f>'TUSD BE'!$AH$32*'TUSD BF'!$AH$68</f>
        <v>2.2511687912962017</v>
      </c>
      <c r="AI32" s="12">
        <f>'TUSD BE'!$AI$32*'TUSD BF'!$AI$68</f>
        <v>8.2729048931983115E-2</v>
      </c>
      <c r="AJ32" s="12">
        <f ca="1">'TUSD BE'!$AJ$32*'TUSD BF'!$AJ$68</f>
        <v>0.24568763397361537</v>
      </c>
      <c r="AK32" s="12">
        <f ca="1">'TUSD BE'!$AK$32*'TUSD BF'!$AK$68</f>
        <v>0</v>
      </c>
      <c r="AL32" s="12">
        <f ca="1">SUM($AH$32:$AK$32)</f>
        <v>2.5795854742018003</v>
      </c>
      <c r="AM32" s="12">
        <f ca="1">SUMIF($L$4:$AL$4,"SUBTOTAL",$L$32:$AL$32)</f>
        <v>2.5795854742018003</v>
      </c>
      <c r="AO32" s="20">
        <f ca="1">+'TUSD BE'!$T$32+'TUSD BE'!$AB$32+'TUSD BE'!$AD$32+'TUSD BE'!$AL$32</f>
        <v>236.03149481501984</v>
      </c>
      <c r="AP32" s="20">
        <f ca="1">+'TUSD BE'!$T$32+'TUSD BE'!$AB$32+'TUSD BE'!$AD$32+'TUSD BE'!$AL$32</f>
        <v>236.03149481501984</v>
      </c>
    </row>
    <row r="33" spans="1:42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f>'TUSD BE'!$L$33*'TUSD BF'!$L$68</f>
        <v>0</v>
      </c>
      <c r="M33" s="12">
        <f>'TUSD BE'!$M$33*'TUSD BF'!$M$68</f>
        <v>0</v>
      </c>
      <c r="N33" s="12">
        <f ca="1">'TUSD BE'!$N$33*'TUSD BF'!$N$68</f>
        <v>0</v>
      </c>
      <c r="O33" s="12">
        <f>'TUSD BE'!$O$33*'TUSD BF'!$O$68</f>
        <v>0</v>
      </c>
      <c r="P33" s="12">
        <f>'TUSD BE'!$P$33*'TUSD BF'!$P$68</f>
        <v>0</v>
      </c>
      <c r="Q33" s="12">
        <f>'TUSD BE'!$Q$33*'TUSD BF'!$Q$68</f>
        <v>0</v>
      </c>
      <c r="R33" s="12">
        <f>'TUSD BE'!$R$33*'TUSD BF'!$R$68</f>
        <v>0</v>
      </c>
      <c r="S33" s="12">
        <f>'TUSD BE'!$R$33*'TUSD BF'!$S$68</f>
        <v>0</v>
      </c>
      <c r="T33" s="12">
        <f ca="1">SUM($L$33:$S$33)</f>
        <v>0</v>
      </c>
      <c r="U33" s="12">
        <f>'TUSD BE'!$U$33*'TUSD BF'!$U$68</f>
        <v>0</v>
      </c>
      <c r="V33" s="12">
        <f>'TUSD BE'!$V$33*'TUSD BF'!$V$68</f>
        <v>0</v>
      </c>
      <c r="W33" s="12">
        <f>'TUSD BE'!$W$33*'TUSD BF'!$W$68</f>
        <v>0</v>
      </c>
      <c r="X33" s="12">
        <f>'TUSD BE'!$X$33*'TUSD BF'!$X$68</f>
        <v>0</v>
      </c>
      <c r="Y33" s="12">
        <f>'TUSD BE'!$Y$33*'TUSD BF'!$Y$68</f>
        <v>0</v>
      </c>
      <c r="Z33" s="12">
        <f>'TUSD BE'!$Z$33*'TUSD BF'!$Z$68</f>
        <v>0</v>
      </c>
      <c r="AA33" s="12">
        <f>'TUSD BE'!$AA$33*'TUSD BF'!$AA$68</f>
        <v>0</v>
      </c>
      <c r="AB33" s="12">
        <f>SUM($U$33:$AA$33)</f>
        <v>0</v>
      </c>
      <c r="AC33" s="12">
        <f>'TUSD BE'!$AC$33*'TUSD BF'!$AC$68</f>
        <v>0</v>
      </c>
      <c r="AD33" s="12">
        <f>SUM($AC$33:$AC$33)</f>
        <v>0</v>
      </c>
      <c r="AE33" s="12">
        <f ca="1">$AO$33*$AO$65</f>
        <v>0</v>
      </c>
      <c r="AF33" s="12">
        <f ca="1">$AP$33*$AP$65</f>
        <v>0</v>
      </c>
      <c r="AG33" s="12">
        <f ca="1">SUM($AE$33:$AF$33)</f>
        <v>0</v>
      </c>
      <c r="AH33" s="12">
        <f>'TUSD BE'!$AH$33*'TUSD BF'!$AH$68</f>
        <v>2.2511687912962017</v>
      </c>
      <c r="AI33" s="12">
        <f>'TUSD BE'!$AI$33*'TUSD BF'!$AI$68</f>
        <v>8.2729048931983115E-2</v>
      </c>
      <c r="AJ33" s="12">
        <f ca="1">'TUSD BE'!$AJ$33*'TUSD BF'!$AJ$68</f>
        <v>0.24568763397361537</v>
      </c>
      <c r="AK33" s="12">
        <f ca="1">'TUSD BE'!$AK$33*'TUSD BF'!$AK$68</f>
        <v>0</v>
      </c>
      <c r="AL33" s="12">
        <f ca="1">SUM($AH$33:$AK$33)</f>
        <v>2.5795854742018003</v>
      </c>
      <c r="AM33" s="12">
        <f ca="1">SUMIF($L$4:$AL$4,"SUBTOTAL",$L$33:$AL$33)</f>
        <v>2.5795854742018003</v>
      </c>
      <c r="AO33" s="20">
        <f ca="1">+'TUSD BE'!$T$33+'TUSD BE'!$AB$33+'TUSD BE'!$AD$33+'TUSD BE'!$AL$33</f>
        <v>236.03149481501984</v>
      </c>
      <c r="AP33" s="20">
        <f ca="1">+'TUSD BE'!$T$33+'TUSD BE'!$AB$33+'TUSD BE'!$AD$33+'TUSD BE'!$AL$33</f>
        <v>236.03149481501984</v>
      </c>
    </row>
    <row r="34" spans="1:42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f>'TUSD BE'!$L$34*'TUSD BF'!$L$68</f>
        <v>0</v>
      </c>
      <c r="M34" s="12">
        <f>'TUSD BE'!$M$34*'TUSD BF'!$M$68</f>
        <v>0</v>
      </c>
      <c r="N34" s="12">
        <f ca="1">'TUSD BE'!$N$34*'TUSD BF'!$N$68</f>
        <v>0</v>
      </c>
      <c r="O34" s="12">
        <f>'TUSD BE'!$O$34*'TUSD BF'!$O$68</f>
        <v>0</v>
      </c>
      <c r="P34" s="12">
        <f>'TUSD BE'!$P$34*'TUSD BF'!$P$68</f>
        <v>0</v>
      </c>
      <c r="Q34" s="12">
        <f>'TUSD BE'!$Q$34*'TUSD BF'!$Q$68</f>
        <v>0</v>
      </c>
      <c r="R34" s="12">
        <f>'TUSD BE'!$R$34*'TUSD BF'!$R$68</f>
        <v>0</v>
      </c>
      <c r="S34" s="12">
        <f>'TUSD BE'!$R$34*'TUSD BF'!$S$68</f>
        <v>0</v>
      </c>
      <c r="T34" s="12">
        <f ca="1">SUM($L$34:$S$34)</f>
        <v>0</v>
      </c>
      <c r="U34" s="12">
        <f>'TUSD BE'!$U$34*'TUSD BF'!$U$68</f>
        <v>0</v>
      </c>
      <c r="V34" s="12">
        <f>'TUSD BE'!$V$34*'TUSD BF'!$V$68</f>
        <v>0</v>
      </c>
      <c r="W34" s="12">
        <f>'TUSD BE'!$W$34*'TUSD BF'!$W$68</f>
        <v>0</v>
      </c>
      <c r="X34" s="12">
        <f>'TUSD BE'!$X$34*'TUSD BF'!$X$68</f>
        <v>0</v>
      </c>
      <c r="Y34" s="12">
        <f>'TUSD BE'!$Y$34*'TUSD BF'!$Y$68</f>
        <v>0</v>
      </c>
      <c r="Z34" s="12">
        <f>'TUSD BE'!$Z$34*'TUSD BF'!$Z$68</f>
        <v>0</v>
      </c>
      <c r="AA34" s="12">
        <f>'TUSD BE'!$AA$34*'TUSD BF'!$AA$68</f>
        <v>0</v>
      </c>
      <c r="AB34" s="12">
        <f>SUM($U$34:$AA$34)</f>
        <v>0</v>
      </c>
      <c r="AC34" s="12">
        <f>'TUSD BE'!$AC$34*'TUSD BF'!$AC$68</f>
        <v>0</v>
      </c>
      <c r="AD34" s="12">
        <f>SUM($AC$34:$AC$34)</f>
        <v>0</v>
      </c>
      <c r="AE34" s="12">
        <f ca="1">$AO$34*$AO$65</f>
        <v>0</v>
      </c>
      <c r="AF34" s="12">
        <f ca="1">$AP$34*$AP$65</f>
        <v>0</v>
      </c>
      <c r="AG34" s="12">
        <f ca="1">SUM($AE$34:$AF$34)</f>
        <v>0</v>
      </c>
      <c r="AH34" s="12">
        <f>'TUSD BE'!$AH$34*'TUSD BF'!$AH$68</f>
        <v>2.2511687912962017</v>
      </c>
      <c r="AI34" s="12">
        <f>'TUSD BE'!$AI$34*'TUSD BF'!$AI$68</f>
        <v>8.2729048931983115E-2</v>
      </c>
      <c r="AJ34" s="12">
        <f ca="1">'TUSD BE'!$AJ$34*'TUSD BF'!$AJ$68</f>
        <v>0.24568763397361537</v>
      </c>
      <c r="AK34" s="12">
        <f ca="1">'TUSD BE'!$AK$34*'TUSD BF'!$AK$68</f>
        <v>0</v>
      </c>
      <c r="AL34" s="12">
        <f ca="1">SUM($AH$34:$AK$34)</f>
        <v>2.5795854742018003</v>
      </c>
      <c r="AM34" s="12">
        <f ca="1">SUMIF($L$4:$AL$4,"SUBTOTAL",$L$34:$AL$34)</f>
        <v>2.5795854742018003</v>
      </c>
      <c r="AO34" s="20">
        <f ca="1">+'TUSD BE'!$T$34+'TUSD BE'!$AB$34+'TUSD BE'!$AD$34+'TUSD BE'!$AL$34</f>
        <v>236.03149481501984</v>
      </c>
      <c r="AP34" s="20">
        <f ca="1">+'TUSD BE'!$T$34+'TUSD BE'!$AB$34+'TUSD BE'!$AD$34+'TUSD BE'!$AL$34</f>
        <v>236.03149481501984</v>
      </c>
    </row>
    <row r="35" spans="1:42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'TUSD BE'!$L$35*'TUSD BF'!$L$68</f>
        <v>0.20662450953041317</v>
      </c>
      <c r="M35" s="12">
        <f>'TUSD BE'!$M$35*'TUSD BF'!$M$68</f>
        <v>0</v>
      </c>
      <c r="N35" s="12">
        <f ca="1">'TUSD BE'!$N$35*'TUSD BF'!$N$68</f>
        <v>0</v>
      </c>
      <c r="O35" s="12">
        <f>'TUSD BE'!$O$35*'TUSD BF'!$O$68</f>
        <v>0</v>
      </c>
      <c r="P35" s="12">
        <f>'TUSD BE'!$P$35*'TUSD BF'!$P$68</f>
        <v>0</v>
      </c>
      <c r="Q35" s="12">
        <f>'TUSD BE'!$Q$35*'TUSD BF'!$Q$68</f>
        <v>13.165803057752971</v>
      </c>
      <c r="R35" s="12">
        <f>'TUSD BE'!$R$35*'TUSD BF'!$R$68</f>
        <v>3.1789350783715706</v>
      </c>
      <c r="S35" s="12">
        <f>'TUSD BE'!$R$35*'TUSD BF'!$S$68</f>
        <v>0</v>
      </c>
      <c r="T35" s="12">
        <f ca="1">SUM($L$35:$S$35)</f>
        <v>16.551362645654955</v>
      </c>
      <c r="U35" s="12">
        <f>'TUSD BE'!$U$35*'TUSD BF'!$U$68</f>
        <v>0</v>
      </c>
      <c r="V35" s="12">
        <f>'TUSD BE'!$V$35*'TUSD BF'!$V$68</f>
        <v>0</v>
      </c>
      <c r="W35" s="12">
        <f>'TUSD BE'!$W$35*'TUSD BF'!$W$68</f>
        <v>0</v>
      </c>
      <c r="X35" s="12">
        <f>'TUSD BE'!$X$35*'TUSD BF'!$X$68</f>
        <v>0</v>
      </c>
      <c r="Y35" s="12">
        <f>'TUSD BE'!$Y$35*'TUSD BF'!$Y$68</f>
        <v>0</v>
      </c>
      <c r="Z35" s="12">
        <f>'TUSD BE'!$Z$35*'TUSD BF'!$Z$68</f>
        <v>0</v>
      </c>
      <c r="AA35" s="12">
        <f>'TUSD BE'!$AA$35*'TUSD BF'!$AA$68</f>
        <v>0</v>
      </c>
      <c r="AB35" s="12">
        <f>SUM($U$35:$AA$35)</f>
        <v>0</v>
      </c>
      <c r="AC35" s="12">
        <f>'TUSD BE'!$AC$35*'TUSD BF'!$AC$68</f>
        <v>0</v>
      </c>
      <c r="AD35" s="12">
        <f>SUM($AC$35:$AC$35)</f>
        <v>0</v>
      </c>
      <c r="AE35" s="12">
        <f ca="1">$AO$35*$AO$65</f>
        <v>0</v>
      </c>
      <c r="AF35" s="12">
        <f ca="1">$AP$35*$AP$65</f>
        <v>0</v>
      </c>
      <c r="AG35" s="12">
        <f ca="1">SUM($AE$35:$AF$35)</f>
        <v>0</v>
      </c>
      <c r="AH35" s="12">
        <f>'TUSD BE'!$AH$35*'TUSD BF'!$AH$68</f>
        <v>2.2511687912962017</v>
      </c>
      <c r="AI35" s="12">
        <f>'TUSD BE'!$AI$35*'TUSD BF'!$AI$68</f>
        <v>8.2729048931983115E-2</v>
      </c>
      <c r="AJ35" s="12">
        <f ca="1">'TUSD BE'!$AJ$35*'TUSD BF'!$AJ$68</f>
        <v>0.24568763397361537</v>
      </c>
      <c r="AK35" s="12">
        <f ca="1">'TUSD BE'!$AK$35*'TUSD BF'!$AK$68</f>
        <v>0</v>
      </c>
      <c r="AL35" s="12">
        <f ca="1">SUM($AH$35:$AK$35)</f>
        <v>2.5795854742018003</v>
      </c>
      <c r="AM35" s="12">
        <f ca="1">SUMIF($L$4:$AL$4,"SUBTOTAL",$L$35:$AL$35)</f>
        <v>19.130948119856754</v>
      </c>
      <c r="AO35" s="20">
        <f ca="1">+'TUSD BE'!$T$35+'TUSD BE'!$AB$35+'TUSD BE'!$AD$35+'TUSD BE'!$AL$35</f>
        <v>343.22837518745104</v>
      </c>
      <c r="AP35" s="20">
        <f ca="1">+'TUSD BE'!$T$35+'TUSD BE'!$AB$35+'TUSD BE'!$AD$35+'TUSD BE'!$AL$35</f>
        <v>343.22837518745104</v>
      </c>
    </row>
    <row r="36" spans="1:42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f>'TUSD BE'!$L$36*'TUSD BF'!$L$68</f>
        <v>0</v>
      </c>
      <c r="M36" s="12">
        <f>'TUSD BE'!$M$36*'TUSD BF'!$M$68</f>
        <v>0</v>
      </c>
      <c r="N36" s="12">
        <f ca="1">'TUSD BE'!$N$36*'TUSD BF'!$N$68</f>
        <v>0</v>
      </c>
      <c r="O36" s="12">
        <f>'TUSD BE'!$O$36*'TUSD BF'!$O$68</f>
        <v>0</v>
      </c>
      <c r="P36" s="12">
        <f>'TUSD BE'!$P$36*'TUSD BF'!$P$68</f>
        <v>0</v>
      </c>
      <c r="Q36" s="12">
        <f>'TUSD BE'!$Q$36*'TUSD BF'!$Q$68</f>
        <v>0</v>
      </c>
      <c r="R36" s="12">
        <f>'TUSD BE'!$R$36*'TUSD BF'!$R$68</f>
        <v>0</v>
      </c>
      <c r="S36" s="12">
        <f>'TUSD BE'!$R$36*'TUSD BF'!$S$68</f>
        <v>0</v>
      </c>
      <c r="T36" s="12">
        <f ca="1">SUM($L$36:$S$36)</f>
        <v>0</v>
      </c>
      <c r="U36" s="12">
        <f>'TUSD BE'!$U$36*'TUSD BF'!$U$68</f>
        <v>0</v>
      </c>
      <c r="V36" s="12">
        <f>'TUSD BE'!$V$36*'TUSD BF'!$V$68</f>
        <v>0</v>
      </c>
      <c r="W36" s="12">
        <f>'TUSD BE'!$W$36*'TUSD BF'!$W$68</f>
        <v>0</v>
      </c>
      <c r="X36" s="12">
        <f>'TUSD BE'!$X$36*'TUSD BF'!$X$68</f>
        <v>0</v>
      </c>
      <c r="Y36" s="12">
        <f>'TUSD BE'!$Y$36*'TUSD BF'!$Y$68</f>
        <v>0</v>
      </c>
      <c r="Z36" s="12">
        <f>'TUSD BE'!$Z$36*'TUSD BF'!$Z$68</f>
        <v>0</v>
      </c>
      <c r="AA36" s="12">
        <f>'TUSD BE'!$AA$36*'TUSD BF'!$AA$68</f>
        <v>0</v>
      </c>
      <c r="AB36" s="12">
        <f>SUM($U$36:$AA$36)</f>
        <v>0</v>
      </c>
      <c r="AC36" s="12">
        <f>'TUSD BE'!$AC$36*'TUSD BF'!$AC$68</f>
        <v>0</v>
      </c>
      <c r="AD36" s="12">
        <f>SUM($AC$36:$AC$36)</f>
        <v>0</v>
      </c>
      <c r="AE36" s="12">
        <f ca="1">$AO$36*$AO$65</f>
        <v>0</v>
      </c>
      <c r="AF36" s="12">
        <f ca="1">$AP$36*$AP$65</f>
        <v>0</v>
      </c>
      <c r="AG36" s="12">
        <f ca="1">SUM($AE$36:$AF$36)</f>
        <v>0</v>
      </c>
      <c r="AH36" s="12">
        <f>'TUSD BE'!$AH$36*'TUSD BF'!$AH$68</f>
        <v>2.2511687912962017</v>
      </c>
      <c r="AI36" s="12">
        <f>'TUSD BE'!$AI$36*'TUSD BF'!$AI$68</f>
        <v>8.2729048931983115E-2</v>
      </c>
      <c r="AJ36" s="12">
        <f ca="1">'TUSD BE'!$AJ$36*'TUSD BF'!$AJ$68</f>
        <v>0.24568763397361537</v>
      </c>
      <c r="AK36" s="12">
        <f ca="1">'TUSD BE'!$AK$36*'TUSD BF'!$AK$68</f>
        <v>0</v>
      </c>
      <c r="AL36" s="12">
        <f ca="1">SUM($AH$36:$AK$36)</f>
        <v>2.5795854742018003</v>
      </c>
      <c r="AM36" s="12">
        <f ca="1">SUMIF($L$4:$AL$4,"SUBTOTAL",$L$36:$AL$36)</f>
        <v>2.5795854742018003</v>
      </c>
      <c r="AO36" s="20">
        <f ca="1">+'TUSD BE'!$T$36+'TUSD BE'!$AB$36+'TUSD BE'!$AD$36+'TUSD BE'!$AL$36</f>
        <v>236.03149481501984</v>
      </c>
      <c r="AP36" s="20">
        <f ca="1">+'TUSD BE'!$T$36+'TUSD BE'!$AB$36+'TUSD BE'!$AD$36+'TUSD BE'!$AL$36</f>
        <v>236.03149481501984</v>
      </c>
    </row>
    <row r="37" spans="1:42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f>'TUSD BE'!$L$37*'TUSD BF'!$L$68</f>
        <v>0</v>
      </c>
      <c r="M37" s="12">
        <f>'TUSD BE'!$M$37*'TUSD BF'!$M$68</f>
        <v>0</v>
      </c>
      <c r="N37" s="12">
        <f ca="1">'TUSD BE'!$N$37*'TUSD BF'!$N$68</f>
        <v>0</v>
      </c>
      <c r="O37" s="12">
        <f>'TUSD BE'!$O$37*'TUSD BF'!$O$68</f>
        <v>0</v>
      </c>
      <c r="P37" s="12">
        <f>'TUSD BE'!$P$37*'TUSD BF'!$P$68</f>
        <v>0</v>
      </c>
      <c r="Q37" s="12">
        <f>'TUSD BE'!$Q$37*'TUSD BF'!$Q$68</f>
        <v>0</v>
      </c>
      <c r="R37" s="12">
        <f>'TUSD BE'!$R$37*'TUSD BF'!$R$68</f>
        <v>0</v>
      </c>
      <c r="S37" s="12">
        <f>'TUSD BE'!$R$37*'TUSD BF'!$S$68</f>
        <v>0</v>
      </c>
      <c r="T37" s="12">
        <f ca="1">SUM($L$37:$S$37)</f>
        <v>0</v>
      </c>
      <c r="U37" s="12">
        <f>'TUSD BE'!$U$37*'TUSD BF'!$U$68</f>
        <v>0</v>
      </c>
      <c r="V37" s="12">
        <f>'TUSD BE'!$V$37*'TUSD BF'!$V$68</f>
        <v>0</v>
      </c>
      <c r="W37" s="12">
        <f>'TUSD BE'!$W$37*'TUSD BF'!$W$68</f>
        <v>0</v>
      </c>
      <c r="X37" s="12">
        <f>'TUSD BE'!$X$37*'TUSD BF'!$X$68</f>
        <v>0</v>
      </c>
      <c r="Y37" s="12">
        <f>'TUSD BE'!$Y$37*'TUSD BF'!$Y$68</f>
        <v>0</v>
      </c>
      <c r="Z37" s="12">
        <f>'TUSD BE'!$Z$37*'TUSD BF'!$Z$68</f>
        <v>0</v>
      </c>
      <c r="AA37" s="12">
        <f>'TUSD BE'!$AA$37*'TUSD BF'!$AA$68</f>
        <v>0</v>
      </c>
      <c r="AB37" s="12">
        <f>SUM($U$37:$AA$37)</f>
        <v>0</v>
      </c>
      <c r="AC37" s="12">
        <f>'TUSD BE'!$AC$37*'TUSD BF'!$AC$68</f>
        <v>0</v>
      </c>
      <c r="AD37" s="12">
        <f>SUM($AC$37:$AC$37)</f>
        <v>0</v>
      </c>
      <c r="AE37" s="12">
        <f ca="1">$AO$37*$AO$65</f>
        <v>0</v>
      </c>
      <c r="AF37" s="12">
        <f ca="1">$AP$37*$AP$65</f>
        <v>0</v>
      </c>
      <c r="AG37" s="12">
        <f ca="1">SUM($AE$37:$AF$37)</f>
        <v>0</v>
      </c>
      <c r="AH37" s="12">
        <f>'TUSD BE'!$AH$37*'TUSD BF'!$AH$68</f>
        <v>2.2511687912962017</v>
      </c>
      <c r="AI37" s="12">
        <f>'TUSD BE'!$AI$37*'TUSD BF'!$AI$68</f>
        <v>8.2729048931983115E-2</v>
      </c>
      <c r="AJ37" s="12">
        <f ca="1">'TUSD BE'!$AJ$37*'TUSD BF'!$AJ$68</f>
        <v>0.24568763397361537</v>
      </c>
      <c r="AK37" s="12">
        <f ca="1">'TUSD BE'!$AK$37*'TUSD BF'!$AK$68</f>
        <v>0</v>
      </c>
      <c r="AL37" s="12">
        <f ca="1">SUM($AH$37:$AK$37)</f>
        <v>2.5795854742018003</v>
      </c>
      <c r="AM37" s="12">
        <f ca="1">SUMIF($L$4:$AL$4,"SUBTOTAL",$L$37:$AL$37)</f>
        <v>2.5795854742018003</v>
      </c>
      <c r="AO37" s="20">
        <f ca="1">+'TUSD BE'!$T$37+'TUSD BE'!$AB$37+'TUSD BE'!$AD$37+'TUSD BE'!$AL$37</f>
        <v>236.03149481501984</v>
      </c>
      <c r="AP37" s="20">
        <f ca="1">+'TUSD BE'!$T$37+'TUSD BE'!$AB$37+'TUSD BE'!$AD$37+'TUSD BE'!$AL$37</f>
        <v>236.03149481501984</v>
      </c>
    </row>
    <row r="38" spans="1:42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f>'TUSD BE'!$L$38*'TUSD BF'!$L$68</f>
        <v>0</v>
      </c>
      <c r="M38" s="12">
        <f>'TUSD BE'!$M$38*'TUSD BF'!$M$68</f>
        <v>0</v>
      </c>
      <c r="N38" s="12">
        <f ca="1">'TUSD BE'!$N$38*'TUSD BF'!$N$68</f>
        <v>0</v>
      </c>
      <c r="O38" s="12">
        <f>'TUSD BE'!$O$38*'TUSD BF'!$O$68</f>
        <v>0</v>
      </c>
      <c r="P38" s="12">
        <f>'TUSD BE'!$P$38*'TUSD BF'!$P$68</f>
        <v>0</v>
      </c>
      <c r="Q38" s="12">
        <f>'TUSD BE'!$Q$38*'TUSD BF'!$Q$68</f>
        <v>0</v>
      </c>
      <c r="R38" s="12">
        <f>'TUSD BE'!$R$38*'TUSD BF'!$R$68</f>
        <v>0</v>
      </c>
      <c r="S38" s="12">
        <f>'TUSD BE'!$R$38*'TUSD BF'!$S$68</f>
        <v>0</v>
      </c>
      <c r="T38" s="12">
        <f ca="1">SUM($L$38:$S$38)</f>
        <v>0</v>
      </c>
      <c r="U38" s="12">
        <f>'TUSD BE'!$U$38*'TUSD BF'!$U$68</f>
        <v>0</v>
      </c>
      <c r="V38" s="12">
        <f>'TUSD BE'!$V$38*'TUSD BF'!$V$68</f>
        <v>0</v>
      </c>
      <c r="W38" s="12">
        <f>'TUSD BE'!$W$38*'TUSD BF'!$W$68</f>
        <v>0</v>
      </c>
      <c r="X38" s="12">
        <f>'TUSD BE'!$X$38*'TUSD BF'!$X$68</f>
        <v>0</v>
      </c>
      <c r="Y38" s="12">
        <f>'TUSD BE'!$Y$38*'TUSD BF'!$Y$68</f>
        <v>0</v>
      </c>
      <c r="Z38" s="12">
        <f>'TUSD BE'!$Z$38*'TUSD BF'!$Z$68</f>
        <v>0</v>
      </c>
      <c r="AA38" s="12">
        <f>'TUSD BE'!$AA$38*'TUSD BF'!$AA$68</f>
        <v>0</v>
      </c>
      <c r="AB38" s="12">
        <f>SUM($U$38:$AA$38)</f>
        <v>0</v>
      </c>
      <c r="AC38" s="12">
        <f>'TUSD BE'!$AC$38*'TUSD BF'!$AC$68</f>
        <v>0</v>
      </c>
      <c r="AD38" s="12">
        <f>SUM($AC$38:$AC$38)</f>
        <v>0</v>
      </c>
      <c r="AE38" s="12">
        <f ca="1">$AO$38*$AO$65</f>
        <v>0</v>
      </c>
      <c r="AF38" s="12">
        <f ca="1">$AP$38*$AP$65</f>
        <v>0</v>
      </c>
      <c r="AG38" s="12">
        <f ca="1">SUM($AE$38:$AF$38)</f>
        <v>0</v>
      </c>
      <c r="AH38" s="12">
        <f>'TUSD BE'!$AH$38*'TUSD BF'!$AH$68</f>
        <v>2.2511687912962017</v>
      </c>
      <c r="AI38" s="12">
        <f>'TUSD BE'!$AI$38*'TUSD BF'!$AI$68</f>
        <v>8.2729048931983115E-2</v>
      </c>
      <c r="AJ38" s="12">
        <f ca="1">'TUSD BE'!$AJ$38*'TUSD BF'!$AJ$68</f>
        <v>0.24568763397361537</v>
      </c>
      <c r="AK38" s="12">
        <f ca="1">'TUSD BE'!$AK$38*'TUSD BF'!$AK$68</f>
        <v>0</v>
      </c>
      <c r="AL38" s="12">
        <f ca="1">SUM($AH$38:$AK$38)</f>
        <v>2.5795854742018003</v>
      </c>
      <c r="AM38" s="12">
        <f ca="1">SUMIF($L$4:$AL$4,"SUBTOTAL",$L$38:$AL$38)</f>
        <v>2.5795854742018003</v>
      </c>
      <c r="AO38" s="20">
        <f ca="1">+'TUSD BE'!$T$38+'TUSD BE'!$AB$38+'TUSD BE'!$AD$38+'TUSD BE'!$AL$38</f>
        <v>236.03149481501984</v>
      </c>
      <c r="AP38" s="20">
        <f ca="1">+'TUSD BE'!$T$38+'TUSD BE'!$AB$38+'TUSD BE'!$AD$38+'TUSD BE'!$AL$38</f>
        <v>236.03149481501984</v>
      </c>
    </row>
    <row r="39" spans="1:42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f>'TUSD BE'!$L$39*'TUSD BF'!$L$68</f>
        <v>0</v>
      </c>
      <c r="M39" s="12">
        <f>'TUSD BE'!$M$39*'TUSD BF'!$M$68</f>
        <v>0</v>
      </c>
      <c r="N39" s="12">
        <f ca="1">'TUSD BE'!$N$39*'TUSD BF'!$N$68</f>
        <v>0</v>
      </c>
      <c r="O39" s="12">
        <f>'TUSD BE'!$O$39*'TUSD BF'!$O$68</f>
        <v>0</v>
      </c>
      <c r="P39" s="12">
        <f>'TUSD BE'!$P$39*'TUSD BF'!$P$68</f>
        <v>0</v>
      </c>
      <c r="Q39" s="12">
        <f>'TUSD BE'!$Q$39*'TUSD BF'!$Q$68</f>
        <v>0</v>
      </c>
      <c r="R39" s="12">
        <f>'TUSD BE'!$R$39*'TUSD BF'!$R$68</f>
        <v>0</v>
      </c>
      <c r="S39" s="12">
        <f>'TUSD BE'!$R$39*'TUSD BF'!$S$68</f>
        <v>0</v>
      </c>
      <c r="T39" s="12">
        <f ca="1">SUM($L$39:$S$39)</f>
        <v>0</v>
      </c>
      <c r="U39" s="12">
        <f>'TUSD BE'!$U$39*'TUSD BF'!$U$68</f>
        <v>0</v>
      </c>
      <c r="V39" s="12">
        <f>'TUSD BE'!$V$39*'TUSD BF'!$V$68</f>
        <v>0</v>
      </c>
      <c r="W39" s="12">
        <f>'TUSD BE'!$W$39*'TUSD BF'!$W$68</f>
        <v>0</v>
      </c>
      <c r="X39" s="12">
        <f>'TUSD BE'!$X$39*'TUSD BF'!$X$68</f>
        <v>0</v>
      </c>
      <c r="Y39" s="12">
        <f>'TUSD BE'!$Y$39*'TUSD BF'!$Y$68</f>
        <v>0</v>
      </c>
      <c r="Z39" s="12">
        <f>'TUSD BE'!$Z$39*'TUSD BF'!$Z$68</f>
        <v>0</v>
      </c>
      <c r="AA39" s="12">
        <f>'TUSD BE'!$AA$39*'TUSD BF'!$AA$68</f>
        <v>0</v>
      </c>
      <c r="AB39" s="12">
        <f>SUM($U$39:$AA$39)</f>
        <v>0</v>
      </c>
      <c r="AC39" s="12">
        <f>'TUSD BE'!$AC$39*'TUSD BF'!$AC$68</f>
        <v>0</v>
      </c>
      <c r="AD39" s="12">
        <f>SUM($AC$39:$AC$39)</f>
        <v>0</v>
      </c>
      <c r="AE39" s="12">
        <f ca="1">$AO$39*$AO$65</f>
        <v>0</v>
      </c>
      <c r="AF39" s="12">
        <f ca="1">$AP$39*$AP$65</f>
        <v>0</v>
      </c>
      <c r="AG39" s="12">
        <f ca="1">SUM($AE$39:$AF$39)</f>
        <v>0</v>
      </c>
      <c r="AH39" s="12">
        <f>'TUSD BE'!$AH$39*'TUSD BF'!$AH$68</f>
        <v>2.2511687912962017</v>
      </c>
      <c r="AI39" s="12">
        <f>'TUSD BE'!$AI$39*'TUSD BF'!$AI$68</f>
        <v>8.2729048931983115E-2</v>
      </c>
      <c r="AJ39" s="12">
        <f ca="1">'TUSD BE'!$AJ$39*'TUSD BF'!$AJ$68</f>
        <v>0.24568763397361537</v>
      </c>
      <c r="AK39" s="12">
        <f ca="1">'TUSD BE'!$AK$39*'TUSD BF'!$AK$68</f>
        <v>0</v>
      </c>
      <c r="AL39" s="12">
        <f ca="1">SUM($AH$39:$AK$39)</f>
        <v>2.5795854742018003</v>
      </c>
      <c r="AM39" s="12">
        <f ca="1">SUMIF($L$4:$AL$4,"SUBTOTAL",$L$39:$AL$39)</f>
        <v>2.5795854742018003</v>
      </c>
      <c r="AO39" s="20">
        <f ca="1">+'TUSD BE'!$T$39+'TUSD BE'!$AB$39+'TUSD BE'!$AD$39+'TUSD BE'!$AL$39</f>
        <v>236.03149481501984</v>
      </c>
      <c r="AP39" s="20">
        <f ca="1">+'TUSD BE'!$T$39+'TUSD BE'!$AB$39+'TUSD BE'!$AD$39+'TUSD BE'!$AL$39</f>
        <v>236.03149481501984</v>
      </c>
    </row>
    <row r="40" spans="1:42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'TUSD BE'!$L$40*'TUSD BF'!$L$68</f>
        <v>0.20662450953041317</v>
      </c>
      <c r="M40" s="12">
        <f>'TUSD BE'!$M$40*'TUSD BF'!$M$68</f>
        <v>0</v>
      </c>
      <c r="N40" s="12">
        <f ca="1">'TUSD BE'!$N$40*'TUSD BF'!$N$68</f>
        <v>0</v>
      </c>
      <c r="O40" s="12">
        <f>'TUSD BE'!$O$40*'TUSD BF'!$O$68</f>
        <v>0</v>
      </c>
      <c r="P40" s="12">
        <f>'TUSD BE'!$P$40*'TUSD BF'!$P$68</f>
        <v>0</v>
      </c>
      <c r="Q40" s="12">
        <f>'TUSD BE'!$Q$40*'TUSD BF'!$Q$68</f>
        <v>13.165803057752971</v>
      </c>
      <c r="R40" s="12">
        <f>'TUSD BE'!$R$40*'TUSD BF'!$R$68</f>
        <v>3.1789350783715706</v>
      </c>
      <c r="S40" s="12">
        <f>'TUSD BE'!$R$40*'TUSD BF'!$S$68</f>
        <v>0</v>
      </c>
      <c r="T40" s="12">
        <f ca="1">SUM($L$40:$S$40)</f>
        <v>16.551362645654955</v>
      </c>
      <c r="U40" s="12">
        <f>'TUSD BE'!$U$40*'TUSD BF'!$U$68</f>
        <v>0</v>
      </c>
      <c r="V40" s="12">
        <f>'TUSD BE'!$V$40*'TUSD BF'!$V$68</f>
        <v>0</v>
      </c>
      <c r="W40" s="12">
        <f>'TUSD BE'!$W$40*'TUSD BF'!$W$68</f>
        <v>0</v>
      </c>
      <c r="X40" s="12">
        <f>'TUSD BE'!$X$40*'TUSD BF'!$X$68</f>
        <v>0</v>
      </c>
      <c r="Y40" s="12">
        <f>'TUSD BE'!$Y$40*'TUSD BF'!$Y$68</f>
        <v>0</v>
      </c>
      <c r="Z40" s="12">
        <f>'TUSD BE'!$Z$40*'TUSD BF'!$Z$68</f>
        <v>0</v>
      </c>
      <c r="AA40" s="12">
        <f>'TUSD BE'!$AA$40*'TUSD BF'!$AA$68</f>
        <v>0</v>
      </c>
      <c r="AB40" s="12">
        <f>SUM($U$40:$AA$40)</f>
        <v>0</v>
      </c>
      <c r="AC40" s="12">
        <f>'TUSD BE'!$AC$40*'TUSD BF'!$AC$68</f>
        <v>0</v>
      </c>
      <c r="AD40" s="12">
        <f>SUM($AC$40:$AC$40)</f>
        <v>0</v>
      </c>
      <c r="AE40" s="12">
        <f ca="1">$AO$40*$AO$65</f>
        <v>0</v>
      </c>
      <c r="AF40" s="12">
        <f ca="1">$AP$40*$AP$65</f>
        <v>0</v>
      </c>
      <c r="AG40" s="12">
        <f ca="1">SUM($AE$40:$AF$40)</f>
        <v>0</v>
      </c>
      <c r="AH40" s="12">
        <f>'TUSD BE'!$AH$40*'TUSD BF'!$AH$68</f>
        <v>2.2511687912962017</v>
      </c>
      <c r="AI40" s="12">
        <f>'TUSD BE'!$AI$40*'TUSD BF'!$AI$68</f>
        <v>8.2729048931983115E-2</v>
      </c>
      <c r="AJ40" s="12">
        <f ca="1">'TUSD BE'!$AJ$40*'TUSD BF'!$AJ$68</f>
        <v>0.24568763397361537</v>
      </c>
      <c r="AK40" s="12">
        <f ca="1">'TUSD BE'!$AK$40*'TUSD BF'!$AK$68</f>
        <v>0</v>
      </c>
      <c r="AL40" s="12">
        <f ca="1">SUM($AH$40:$AK$40)</f>
        <v>2.5795854742018003</v>
      </c>
      <c r="AM40" s="12">
        <f ca="1">SUMIF($L$4:$AL$4,"SUBTOTAL",$L$40:$AL$40)</f>
        <v>19.130948119856754</v>
      </c>
      <c r="AO40" s="20">
        <f ca="1">+'TUSD BE'!$T$40+'TUSD BE'!$AB$40+'TUSD BE'!$AD$40+'TUSD BE'!$AL$40</f>
        <v>1291.9165105584736</v>
      </c>
      <c r="AP40" s="20">
        <f ca="1">+'TUSD BE'!$T$40+'TUSD BE'!$AB$40+'TUSD BE'!$AD$40+'TUSD BE'!$AL$40</f>
        <v>1291.9165105584736</v>
      </c>
    </row>
    <row r="41" spans="1:42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'TUSD BE'!$L$41*'TUSD BF'!$L$68</f>
        <v>0.20662450953041317</v>
      </c>
      <c r="M41" s="12">
        <f>'TUSD BE'!$M$41*'TUSD BF'!$M$68</f>
        <v>0</v>
      </c>
      <c r="N41" s="12">
        <f ca="1">'TUSD BE'!$N$41*'TUSD BF'!$N$68</f>
        <v>0</v>
      </c>
      <c r="O41" s="12">
        <f>'TUSD BE'!$O$41*'TUSD BF'!$O$68</f>
        <v>0</v>
      </c>
      <c r="P41" s="12">
        <f>'TUSD BE'!$P$41*'TUSD BF'!$P$68</f>
        <v>0</v>
      </c>
      <c r="Q41" s="12">
        <f>'TUSD BE'!$Q$41*'TUSD BF'!$Q$68</f>
        <v>13.165803057752971</v>
      </c>
      <c r="R41" s="12">
        <f>'TUSD BE'!$R$41*'TUSD BF'!$R$68</f>
        <v>3.1789350783715706</v>
      </c>
      <c r="S41" s="12">
        <f>'TUSD BE'!$R$41*'TUSD BF'!$S$68</f>
        <v>0</v>
      </c>
      <c r="T41" s="12">
        <f ca="1">SUM($L$41:$S$41)</f>
        <v>16.551362645654955</v>
      </c>
      <c r="U41" s="12">
        <f>'TUSD BE'!$U$41*'TUSD BF'!$U$68</f>
        <v>0</v>
      </c>
      <c r="V41" s="12">
        <f>'TUSD BE'!$V$41*'TUSD BF'!$V$68</f>
        <v>0</v>
      </c>
      <c r="W41" s="12">
        <f>'TUSD BE'!$W$41*'TUSD BF'!$W$68</f>
        <v>0</v>
      </c>
      <c r="X41" s="12">
        <f>'TUSD BE'!$X$41*'TUSD BF'!$X$68</f>
        <v>0</v>
      </c>
      <c r="Y41" s="12">
        <f>'TUSD BE'!$Y$41*'TUSD BF'!$Y$68</f>
        <v>0</v>
      </c>
      <c r="Z41" s="12">
        <f>'TUSD BE'!$Z$41*'TUSD BF'!$Z$68</f>
        <v>0</v>
      </c>
      <c r="AA41" s="12">
        <f>'TUSD BE'!$AA$41*'TUSD BF'!$AA$68</f>
        <v>0</v>
      </c>
      <c r="AB41" s="12">
        <f>SUM($U$41:$AA$41)</f>
        <v>0</v>
      </c>
      <c r="AC41" s="12">
        <f>'TUSD BE'!$AC$41*'TUSD BF'!$AC$68</f>
        <v>0</v>
      </c>
      <c r="AD41" s="12">
        <f>SUM($AC$41:$AC$41)</f>
        <v>0</v>
      </c>
      <c r="AE41" s="12">
        <f ca="1">$AO$41*$AO$65</f>
        <v>0</v>
      </c>
      <c r="AF41" s="12">
        <f ca="1">$AP$41*$AP$65</f>
        <v>0</v>
      </c>
      <c r="AG41" s="12">
        <f ca="1">SUM($AE$41:$AF$41)</f>
        <v>0</v>
      </c>
      <c r="AH41" s="12">
        <f>'TUSD BE'!$AH$41*'TUSD BF'!$AH$68</f>
        <v>2.2511687912962017</v>
      </c>
      <c r="AI41" s="12">
        <f>'TUSD BE'!$AI$41*'TUSD BF'!$AI$68</f>
        <v>8.2729048931983115E-2</v>
      </c>
      <c r="AJ41" s="12">
        <f ca="1">'TUSD BE'!$AJ$41*'TUSD BF'!$AJ$68</f>
        <v>0.24568763397361537</v>
      </c>
      <c r="AK41" s="12">
        <f ca="1">'TUSD BE'!$AK$41*'TUSD BF'!$AK$68</f>
        <v>0</v>
      </c>
      <c r="AL41" s="12">
        <f ca="1">SUM($AH$41:$AK$41)</f>
        <v>2.5795854742018003</v>
      </c>
      <c r="AM41" s="12">
        <f ca="1">SUMIF($L$4:$AL$4,"SUBTOTAL",$L$41:$AL$41)</f>
        <v>19.130948119856754</v>
      </c>
      <c r="AO41" s="20">
        <f ca="1">+'TUSD BE'!$T$41+'TUSD BE'!$AB$41+'TUSD BE'!$AD$41+'TUSD BE'!$AL$41</f>
        <v>476.90718989507462</v>
      </c>
      <c r="AP41" s="20">
        <f ca="1">+'TUSD BE'!$T$41+'TUSD BE'!$AB$41+'TUSD BE'!$AD$41+'TUSD BE'!$AL$41</f>
        <v>476.90718989507462</v>
      </c>
    </row>
    <row r="42" spans="1:42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'TUSD BE'!$L$42*'TUSD BF'!$L$68</f>
        <v>0.20662450953041317</v>
      </c>
      <c r="M42" s="12">
        <f>'TUSD BE'!$M$42*'TUSD BF'!$M$68</f>
        <v>0</v>
      </c>
      <c r="N42" s="12">
        <f ca="1">'TUSD BE'!$N$42*'TUSD BF'!$N$68</f>
        <v>0</v>
      </c>
      <c r="O42" s="12">
        <f>'TUSD BE'!$O$42*'TUSD BF'!$O$68</f>
        <v>0</v>
      </c>
      <c r="P42" s="12">
        <f>'TUSD BE'!$P$42*'TUSD BF'!$P$68</f>
        <v>0</v>
      </c>
      <c r="Q42" s="12">
        <f>'TUSD BE'!$Q$42*'TUSD BF'!$Q$68</f>
        <v>13.165803057752971</v>
      </c>
      <c r="R42" s="12">
        <f>'TUSD BE'!$R$42*'TUSD BF'!$R$68</f>
        <v>3.1789350783715706</v>
      </c>
      <c r="S42" s="12">
        <f>'TUSD BE'!$R$42*'TUSD BF'!$S$68</f>
        <v>0</v>
      </c>
      <c r="T42" s="12">
        <f ca="1">SUM($L$42:$S$42)</f>
        <v>16.551362645654955</v>
      </c>
      <c r="U42" s="12">
        <f>'TUSD BE'!$U$42*'TUSD BF'!$U$68</f>
        <v>0</v>
      </c>
      <c r="V42" s="12">
        <f>'TUSD BE'!$V$42*'TUSD BF'!$V$68</f>
        <v>0</v>
      </c>
      <c r="W42" s="12">
        <f>'TUSD BE'!$W$42*'TUSD BF'!$W$68</f>
        <v>0</v>
      </c>
      <c r="X42" s="12">
        <f>'TUSD BE'!$X$42*'TUSD BF'!$X$68</f>
        <v>0</v>
      </c>
      <c r="Y42" s="12">
        <f>'TUSD BE'!$Y$42*'TUSD BF'!$Y$68</f>
        <v>0</v>
      </c>
      <c r="Z42" s="12">
        <f>'TUSD BE'!$Z$42*'TUSD BF'!$Z$68</f>
        <v>0</v>
      </c>
      <c r="AA42" s="12">
        <f>'TUSD BE'!$AA$42*'TUSD BF'!$AA$68</f>
        <v>0</v>
      </c>
      <c r="AB42" s="12">
        <f>SUM($U$42:$AA$42)</f>
        <v>0</v>
      </c>
      <c r="AC42" s="12">
        <f>'TUSD BE'!$AC$42*'TUSD BF'!$AC$68</f>
        <v>0</v>
      </c>
      <c r="AD42" s="12">
        <f>SUM($AC$42:$AC$42)</f>
        <v>0</v>
      </c>
      <c r="AE42" s="12">
        <f ca="1">$AO$42*$AO$65</f>
        <v>0</v>
      </c>
      <c r="AF42" s="12">
        <f ca="1">$AP$42*$AP$65</f>
        <v>0</v>
      </c>
      <c r="AG42" s="12">
        <f ca="1">SUM($AE$42:$AF$42)</f>
        <v>0</v>
      </c>
      <c r="AH42" s="12">
        <f>'TUSD BE'!$AH$42*'TUSD BF'!$AH$68</f>
        <v>2.2511687912962017</v>
      </c>
      <c r="AI42" s="12">
        <f>'TUSD BE'!$AI$42*'TUSD BF'!$AI$68</f>
        <v>8.2729048931983115E-2</v>
      </c>
      <c r="AJ42" s="12">
        <f ca="1">'TUSD BE'!$AJ$42*'TUSD BF'!$AJ$68</f>
        <v>0.24568763397361537</v>
      </c>
      <c r="AK42" s="12">
        <f ca="1">'TUSD BE'!$AK$42*'TUSD BF'!$AK$68</f>
        <v>0</v>
      </c>
      <c r="AL42" s="12">
        <f ca="1">SUM($AH$42:$AK$42)</f>
        <v>2.5795854742018003</v>
      </c>
      <c r="AM42" s="12">
        <f ca="1">SUMIF($L$4:$AL$4,"SUBTOTAL",$L$42:$AL$42)</f>
        <v>19.130948119856754</v>
      </c>
      <c r="AO42" s="20">
        <f ca="1">+'TUSD BE'!$T$42+'TUSD BE'!$AB$42+'TUSD BE'!$AD$42+'TUSD BE'!$AL$42</f>
        <v>244.04733454738488</v>
      </c>
      <c r="AP42" s="20">
        <f ca="1">+'TUSD BE'!$T$42+'TUSD BE'!$AB$42+'TUSD BE'!$AD$42+'TUSD BE'!$AL$42</f>
        <v>244.04733454738488</v>
      </c>
    </row>
    <row r="43" spans="1:42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'TUSD BE'!$L$43*'TUSD BF'!$L$68</f>
        <v>0.20662450953041317</v>
      </c>
      <c r="M43" s="12">
        <f>'TUSD BE'!$M$43*'TUSD BF'!$M$68</f>
        <v>0</v>
      </c>
      <c r="N43" s="12">
        <f ca="1">'TUSD BE'!$N$43*'TUSD BF'!$N$68</f>
        <v>0</v>
      </c>
      <c r="O43" s="12">
        <f>'TUSD BE'!$O$43*'TUSD BF'!$O$68</f>
        <v>0</v>
      </c>
      <c r="P43" s="12">
        <f>'TUSD BE'!$P$43*'TUSD BF'!$P$68</f>
        <v>0</v>
      </c>
      <c r="Q43" s="12">
        <f>'TUSD BE'!$Q$43*'TUSD BF'!$Q$68</f>
        <v>13.165803057752971</v>
      </c>
      <c r="R43" s="12">
        <f>'TUSD BE'!$R$43*'TUSD BF'!$R$68</f>
        <v>3.1789350783715706</v>
      </c>
      <c r="S43" s="12">
        <f>'TUSD BE'!$R$43*'TUSD BF'!$S$68</f>
        <v>0</v>
      </c>
      <c r="T43" s="12">
        <f ca="1">SUM($L$43:$S$43)</f>
        <v>16.551362645654955</v>
      </c>
      <c r="U43" s="12">
        <f>'TUSD BE'!$U$43*'TUSD BF'!$U$68</f>
        <v>0</v>
      </c>
      <c r="V43" s="12">
        <f>'TUSD BE'!$V$43*'TUSD BF'!$V$68</f>
        <v>0</v>
      </c>
      <c r="W43" s="12">
        <f>'TUSD BE'!$W$43*'TUSD BF'!$W$68</f>
        <v>0</v>
      </c>
      <c r="X43" s="12">
        <f>'TUSD BE'!$X$43*'TUSD BF'!$X$68</f>
        <v>0</v>
      </c>
      <c r="Y43" s="12">
        <f>'TUSD BE'!$Y$43*'TUSD BF'!$Y$68</f>
        <v>0</v>
      </c>
      <c r="Z43" s="12">
        <f>'TUSD BE'!$Z$43*'TUSD BF'!$Z$68</f>
        <v>0</v>
      </c>
      <c r="AA43" s="12">
        <f>'TUSD BE'!$AA$43*'TUSD BF'!$AA$68</f>
        <v>0</v>
      </c>
      <c r="AB43" s="12">
        <f>SUM($U$43:$AA$43)</f>
        <v>0</v>
      </c>
      <c r="AC43" s="12">
        <f>'TUSD BE'!$AC$43*'TUSD BF'!$AC$68</f>
        <v>0</v>
      </c>
      <c r="AD43" s="12">
        <f>SUM($AC$43:$AC$43)</f>
        <v>0</v>
      </c>
      <c r="AE43" s="12">
        <f ca="1">$AO$43*$AO$65</f>
        <v>0</v>
      </c>
      <c r="AF43" s="12">
        <f ca="1">$AP$43*$AP$65</f>
        <v>0</v>
      </c>
      <c r="AG43" s="12">
        <f ca="1">SUM($AE$43:$AF$43)</f>
        <v>0</v>
      </c>
      <c r="AH43" s="12">
        <f>'TUSD BE'!$AH$43*'TUSD BF'!$AH$68</f>
        <v>2.2511687912962017</v>
      </c>
      <c r="AI43" s="12">
        <f>'TUSD BE'!$AI$43*'TUSD BF'!$AI$68</f>
        <v>8.2729048931983115E-2</v>
      </c>
      <c r="AJ43" s="12">
        <f ca="1">'TUSD BE'!$AJ$43*'TUSD BF'!$AJ$68</f>
        <v>0.24568763397361537</v>
      </c>
      <c r="AK43" s="12">
        <f ca="1">'TUSD BE'!$AK$43*'TUSD BF'!$AK$68</f>
        <v>0</v>
      </c>
      <c r="AL43" s="12">
        <f ca="1">SUM($AH$43:$AK$43)</f>
        <v>2.5795854742018003</v>
      </c>
      <c r="AM43" s="12">
        <f ca="1">SUMIF($L$4:$AL$4,"SUBTOTAL",$L$43:$AL$43)</f>
        <v>19.130948119856754</v>
      </c>
      <c r="AO43" s="20">
        <f ca="1">+'TUSD BE'!$T$43+'TUSD BE'!$AB$43+'TUSD BE'!$AD$43+'TUSD BE'!$AL$43</f>
        <v>343.22837518745104</v>
      </c>
      <c r="AP43" s="20">
        <f ca="1">+'TUSD BE'!$T$43+'TUSD BE'!$AB$43+'TUSD BE'!$AD$43+'TUSD BE'!$AL$43</f>
        <v>343.22837518745104</v>
      </c>
    </row>
    <row r="44" spans="1:42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'TUSD BE'!$L$44*'TUSD BF'!$L$68</f>
        <v>0.20662450953041317</v>
      </c>
      <c r="M44" s="12">
        <f>'TUSD BE'!$M$44*'TUSD BF'!$M$68</f>
        <v>0</v>
      </c>
      <c r="N44" s="12">
        <f ca="1">'TUSD BE'!$N$44*'TUSD BF'!$N$68</f>
        <v>0</v>
      </c>
      <c r="O44" s="12">
        <f>'TUSD BE'!$O$44*'TUSD BF'!$O$68</f>
        <v>0</v>
      </c>
      <c r="P44" s="12">
        <f>'TUSD BE'!$P$44*'TUSD BF'!$P$68</f>
        <v>0</v>
      </c>
      <c r="Q44" s="12">
        <f>'TUSD BE'!$Q$44*'TUSD BF'!$Q$68</f>
        <v>13.165803057752971</v>
      </c>
      <c r="R44" s="12">
        <f>'TUSD BE'!$R$44*'TUSD BF'!$R$68</f>
        <v>3.1789350783715706</v>
      </c>
      <c r="S44" s="12">
        <f>'TUSD BE'!$R$44*'TUSD BF'!$S$68</f>
        <v>0</v>
      </c>
      <c r="T44" s="12">
        <f ca="1">SUM($L$44:$S$44)</f>
        <v>16.551362645654955</v>
      </c>
      <c r="U44" s="12">
        <f>'TUSD BE'!$U$44*'TUSD BF'!$U$68</f>
        <v>0</v>
      </c>
      <c r="V44" s="12">
        <f>'TUSD BE'!$V$44*'TUSD BF'!$V$68</f>
        <v>0</v>
      </c>
      <c r="W44" s="12">
        <f>'TUSD BE'!$W$44*'TUSD BF'!$W$68</f>
        <v>0</v>
      </c>
      <c r="X44" s="12">
        <f>'TUSD BE'!$X$44*'TUSD BF'!$X$68</f>
        <v>0</v>
      </c>
      <c r="Y44" s="12">
        <f>'TUSD BE'!$Y$44*'TUSD BF'!$Y$68</f>
        <v>0</v>
      </c>
      <c r="Z44" s="12">
        <f>'TUSD BE'!$Z$44*'TUSD BF'!$Z$68</f>
        <v>0</v>
      </c>
      <c r="AA44" s="12">
        <f>'TUSD BE'!$AA$44*'TUSD BF'!$AA$68</f>
        <v>0</v>
      </c>
      <c r="AB44" s="12">
        <f>SUM($U$44:$AA$44)</f>
        <v>0</v>
      </c>
      <c r="AC44" s="12">
        <f>'TUSD BE'!$AC$44*'TUSD BF'!$AC$68</f>
        <v>0</v>
      </c>
      <c r="AD44" s="12">
        <f>SUM($AC$44:$AC$44)</f>
        <v>0</v>
      </c>
      <c r="AE44" s="12">
        <f ca="1">$AO$44*$AO$65</f>
        <v>0</v>
      </c>
      <c r="AF44" s="12">
        <f ca="1">$AP$44*$AP$65</f>
        <v>0</v>
      </c>
      <c r="AG44" s="12">
        <f ca="1">SUM($AE$44:$AF$44)</f>
        <v>0</v>
      </c>
      <c r="AH44" s="12">
        <f>'TUSD BE'!$AH$44*'TUSD BF'!$AH$68</f>
        <v>2.2511687912962017</v>
      </c>
      <c r="AI44" s="12">
        <f>'TUSD BE'!$AI$44*'TUSD BF'!$AI$68</f>
        <v>8.2729048931983115E-2</v>
      </c>
      <c r="AJ44" s="12">
        <f ca="1">'TUSD BE'!$AJ$44*'TUSD BF'!$AJ$68</f>
        <v>0.24568763397361537</v>
      </c>
      <c r="AK44" s="12">
        <f ca="1">'TUSD BE'!$AK$44*'TUSD BF'!$AK$68</f>
        <v>0</v>
      </c>
      <c r="AL44" s="12">
        <f ca="1">SUM($AH$44:$AK$44)</f>
        <v>2.5795854742018003</v>
      </c>
      <c r="AM44" s="12">
        <f ca="1">SUMIF($L$4:$AL$4,"SUBTOTAL",$L$44:$AL$44)</f>
        <v>19.130948119856754</v>
      </c>
      <c r="AO44" s="20">
        <f ca="1">+'TUSD BE'!$T$44+'TUSD BE'!$AB$44+'TUSD BE'!$AD$44+'TUSD BE'!$AL$44</f>
        <v>1291.9165105584736</v>
      </c>
      <c r="AP44" s="20">
        <f ca="1">+'TUSD BE'!$T$44+'TUSD BE'!$AB$44+'TUSD BE'!$AD$44+'TUSD BE'!$AL$44</f>
        <v>1291.9165105584736</v>
      </c>
    </row>
    <row r="45" spans="1:42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'TUSD BE'!$L$45*'TUSD BF'!$L$68</f>
        <v>0.20662450953041317</v>
      </c>
      <c r="M45" s="12">
        <f>'TUSD BE'!$M$45*'TUSD BF'!$M$68</f>
        <v>0</v>
      </c>
      <c r="N45" s="12">
        <f ca="1">'TUSD BE'!$N$45*'TUSD BF'!$N$68</f>
        <v>0</v>
      </c>
      <c r="O45" s="12">
        <f>'TUSD BE'!$O$45*'TUSD BF'!$O$68</f>
        <v>0</v>
      </c>
      <c r="P45" s="12">
        <f>'TUSD BE'!$P$45*'TUSD BF'!$P$68</f>
        <v>0</v>
      </c>
      <c r="Q45" s="12">
        <f>'TUSD BE'!$Q$45*'TUSD BF'!$Q$68</f>
        <v>13.165803057752971</v>
      </c>
      <c r="R45" s="12">
        <f>'TUSD BE'!$R$45*'TUSD BF'!$R$68</f>
        <v>3.1789350783715706</v>
      </c>
      <c r="S45" s="12">
        <f>'TUSD BE'!$R$45*'TUSD BF'!$S$68</f>
        <v>0</v>
      </c>
      <c r="T45" s="12">
        <f ca="1">SUM($L$45:$S$45)</f>
        <v>16.551362645654955</v>
      </c>
      <c r="U45" s="12">
        <f>'TUSD BE'!$U$45*'TUSD BF'!$U$68</f>
        <v>0</v>
      </c>
      <c r="V45" s="12">
        <f>'TUSD BE'!$V$45*'TUSD BF'!$V$68</f>
        <v>0</v>
      </c>
      <c r="W45" s="12">
        <f>'TUSD BE'!$W$45*'TUSD BF'!$W$68</f>
        <v>0</v>
      </c>
      <c r="X45" s="12">
        <f>'TUSD BE'!$X$45*'TUSD BF'!$X$68</f>
        <v>0</v>
      </c>
      <c r="Y45" s="12">
        <f>'TUSD BE'!$Y$45*'TUSD BF'!$Y$68</f>
        <v>0</v>
      </c>
      <c r="Z45" s="12">
        <f>'TUSD BE'!$Z$45*'TUSD BF'!$Z$68</f>
        <v>0</v>
      </c>
      <c r="AA45" s="12">
        <f>'TUSD BE'!$AA$45*'TUSD BF'!$AA$68</f>
        <v>0</v>
      </c>
      <c r="AB45" s="12">
        <f>SUM($U$45:$AA$45)</f>
        <v>0</v>
      </c>
      <c r="AC45" s="12">
        <f>'TUSD BE'!$AC$45*'TUSD BF'!$AC$68</f>
        <v>0</v>
      </c>
      <c r="AD45" s="12">
        <f>SUM($AC$45:$AC$45)</f>
        <v>0</v>
      </c>
      <c r="AE45" s="12">
        <f ca="1">$AO$45*$AO$65</f>
        <v>0</v>
      </c>
      <c r="AF45" s="12">
        <f ca="1">$AP$45*$AP$65</f>
        <v>0</v>
      </c>
      <c r="AG45" s="12">
        <f ca="1">SUM($AE$45:$AF$45)</f>
        <v>0</v>
      </c>
      <c r="AH45" s="12">
        <f>'TUSD BE'!$AH$45*'TUSD BF'!$AH$68</f>
        <v>2.2511687912962017</v>
      </c>
      <c r="AI45" s="12">
        <f>'TUSD BE'!$AI$45*'TUSD BF'!$AI$68</f>
        <v>8.2729048931983115E-2</v>
      </c>
      <c r="AJ45" s="12">
        <f ca="1">'TUSD BE'!$AJ$45*'TUSD BF'!$AJ$68</f>
        <v>0.24568763397361537</v>
      </c>
      <c r="AK45" s="12">
        <f ca="1">'TUSD BE'!$AK$45*'TUSD BF'!$AK$68</f>
        <v>0</v>
      </c>
      <c r="AL45" s="12">
        <f ca="1">SUM($AH$45:$AK$45)</f>
        <v>2.5795854742018003</v>
      </c>
      <c r="AM45" s="12">
        <f ca="1">SUMIF($L$4:$AL$4,"SUBTOTAL",$L$45:$AL$45)</f>
        <v>19.130948119856754</v>
      </c>
      <c r="AO45" s="20">
        <f ca="1">+'TUSD BE'!$T$45+'TUSD BE'!$AB$45+'TUSD BE'!$AD$45+'TUSD BE'!$AL$45</f>
        <v>476.90718989507462</v>
      </c>
      <c r="AP45" s="20">
        <f ca="1">+'TUSD BE'!$T$45+'TUSD BE'!$AB$45+'TUSD BE'!$AD$45+'TUSD BE'!$AL$45</f>
        <v>476.90718989507462</v>
      </c>
    </row>
    <row r="46" spans="1:42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'TUSD BE'!$L$46*'TUSD BF'!$L$68</f>
        <v>0.20662450953041317</v>
      </c>
      <c r="M46" s="12">
        <f>'TUSD BE'!$M$46*'TUSD BF'!$M$68</f>
        <v>0</v>
      </c>
      <c r="N46" s="12">
        <f ca="1">'TUSD BE'!$N$46*'TUSD BF'!$N$68</f>
        <v>0</v>
      </c>
      <c r="O46" s="12">
        <f>'TUSD BE'!$O$46*'TUSD BF'!$O$68</f>
        <v>0</v>
      </c>
      <c r="P46" s="12">
        <f>'TUSD BE'!$P$46*'TUSD BF'!$P$68</f>
        <v>0</v>
      </c>
      <c r="Q46" s="12">
        <f>'TUSD BE'!$Q$46*'TUSD BF'!$Q$68</f>
        <v>13.165803057752971</v>
      </c>
      <c r="R46" s="12">
        <f>'TUSD BE'!$R$46*'TUSD BF'!$R$68</f>
        <v>3.1789350783715706</v>
      </c>
      <c r="S46" s="12">
        <f>'TUSD BE'!$R$46*'TUSD BF'!$S$68</f>
        <v>0</v>
      </c>
      <c r="T46" s="12">
        <f ca="1">SUM($L$46:$S$46)</f>
        <v>16.551362645654955</v>
      </c>
      <c r="U46" s="12">
        <f>'TUSD BE'!$U$46*'TUSD BF'!$U$68</f>
        <v>0</v>
      </c>
      <c r="V46" s="12">
        <f>'TUSD BE'!$V$46*'TUSD BF'!$V$68</f>
        <v>0</v>
      </c>
      <c r="W46" s="12">
        <f>'TUSD BE'!$W$46*'TUSD BF'!$W$68</f>
        <v>0</v>
      </c>
      <c r="X46" s="12">
        <f>'TUSD BE'!$X$46*'TUSD BF'!$X$68</f>
        <v>0</v>
      </c>
      <c r="Y46" s="12">
        <f>'TUSD BE'!$Y$46*'TUSD BF'!$Y$68</f>
        <v>0</v>
      </c>
      <c r="Z46" s="12">
        <f>'TUSD BE'!$Z$46*'TUSD BF'!$Z$68</f>
        <v>0</v>
      </c>
      <c r="AA46" s="12">
        <f>'TUSD BE'!$AA$46*'TUSD BF'!$AA$68</f>
        <v>0</v>
      </c>
      <c r="AB46" s="12">
        <f>SUM($U$46:$AA$46)</f>
        <v>0</v>
      </c>
      <c r="AC46" s="12">
        <f>'TUSD BE'!$AC$46*'TUSD BF'!$AC$68</f>
        <v>0</v>
      </c>
      <c r="AD46" s="12">
        <f>SUM($AC$46:$AC$46)</f>
        <v>0</v>
      </c>
      <c r="AE46" s="12">
        <f ca="1">$AO$46*$AO$65</f>
        <v>0</v>
      </c>
      <c r="AF46" s="12">
        <f ca="1">$AP$46*$AP$65</f>
        <v>0</v>
      </c>
      <c r="AG46" s="12">
        <f ca="1">SUM($AE$46:$AF$46)</f>
        <v>0</v>
      </c>
      <c r="AH46" s="12">
        <f>'TUSD BE'!$AH$46*'TUSD BF'!$AH$68</f>
        <v>2.2511687912962017</v>
      </c>
      <c r="AI46" s="12">
        <f>'TUSD BE'!$AI$46*'TUSD BF'!$AI$68</f>
        <v>8.2729048931983115E-2</v>
      </c>
      <c r="AJ46" s="12">
        <f ca="1">'TUSD BE'!$AJ$46*'TUSD BF'!$AJ$68</f>
        <v>0.24568763397361537</v>
      </c>
      <c r="AK46" s="12">
        <f ca="1">'TUSD BE'!$AK$46*'TUSD BF'!$AK$68</f>
        <v>0</v>
      </c>
      <c r="AL46" s="12">
        <f ca="1">SUM($AH$46:$AK$46)</f>
        <v>2.5795854742018003</v>
      </c>
      <c r="AM46" s="12">
        <f ca="1">SUMIF($L$4:$AL$4,"SUBTOTAL",$L$46:$AL$46)</f>
        <v>19.130948119856754</v>
      </c>
      <c r="AO46" s="20">
        <f ca="1">+'TUSD BE'!$T$46+'TUSD BE'!$AB$46+'TUSD BE'!$AD$46+'TUSD BE'!$AL$46</f>
        <v>244.04733454738488</v>
      </c>
      <c r="AP46" s="20">
        <f ca="1">+'TUSD BE'!$T$46+'TUSD BE'!$AB$46+'TUSD BE'!$AD$46+'TUSD BE'!$AL$46</f>
        <v>244.04733454738488</v>
      </c>
    </row>
    <row r="47" spans="1:42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'TUSD BE'!$L$47*'TUSD BF'!$L$68</f>
        <v>0.20662450953041317</v>
      </c>
      <c r="M47" s="12">
        <f>'TUSD BE'!$M$47*'TUSD BF'!$M$68</f>
        <v>0</v>
      </c>
      <c r="N47" s="12">
        <f ca="1">'TUSD BE'!$N$47*'TUSD BF'!$N$68</f>
        <v>0</v>
      </c>
      <c r="O47" s="12">
        <f>'TUSD BE'!$O$47*'TUSD BF'!$O$68</f>
        <v>0</v>
      </c>
      <c r="P47" s="12">
        <f>'TUSD BE'!$P$47*'TUSD BF'!$P$68</f>
        <v>0</v>
      </c>
      <c r="Q47" s="12">
        <f>'TUSD BE'!$Q$47*'TUSD BF'!$Q$68</f>
        <v>13.165803057752971</v>
      </c>
      <c r="R47" s="12">
        <f>'TUSD BE'!$R$47*'TUSD BF'!$R$68</f>
        <v>3.1789350783715706</v>
      </c>
      <c r="S47" s="12">
        <f>'TUSD BE'!$R$47*'TUSD BF'!$S$68</f>
        <v>0</v>
      </c>
      <c r="T47" s="12">
        <f ca="1">SUM($L$47:$S$47)</f>
        <v>16.551362645654955</v>
      </c>
      <c r="U47" s="12">
        <f>'TUSD BE'!$U$47*'TUSD BF'!$U$68</f>
        <v>0</v>
      </c>
      <c r="V47" s="12">
        <f>'TUSD BE'!$V$47*'TUSD BF'!$V$68</f>
        <v>0</v>
      </c>
      <c r="W47" s="12">
        <f>'TUSD BE'!$W$47*'TUSD BF'!$W$68</f>
        <v>0</v>
      </c>
      <c r="X47" s="12">
        <f>'TUSD BE'!$X$47*'TUSD BF'!$X$68</f>
        <v>0</v>
      </c>
      <c r="Y47" s="12">
        <f>'TUSD BE'!$Y$47*'TUSD BF'!$Y$68</f>
        <v>0</v>
      </c>
      <c r="Z47" s="12">
        <f>'TUSD BE'!$Z$47*'TUSD BF'!$Z$68</f>
        <v>0</v>
      </c>
      <c r="AA47" s="12">
        <f>'TUSD BE'!$AA$47*'TUSD BF'!$AA$68</f>
        <v>0</v>
      </c>
      <c r="AB47" s="12">
        <f>SUM($U$47:$AA$47)</f>
        <v>0</v>
      </c>
      <c r="AC47" s="12">
        <f>'TUSD BE'!$AC$47*'TUSD BF'!$AC$68</f>
        <v>0</v>
      </c>
      <c r="AD47" s="12">
        <f>SUM($AC$47:$AC$47)</f>
        <v>0</v>
      </c>
      <c r="AE47" s="12">
        <f ca="1">$AO$47*$AO$65</f>
        <v>0</v>
      </c>
      <c r="AF47" s="12">
        <f ca="1">$AP$47*$AP$65</f>
        <v>0</v>
      </c>
      <c r="AG47" s="12">
        <f ca="1">SUM($AE$47:$AF$47)</f>
        <v>0</v>
      </c>
      <c r="AH47" s="12">
        <f>'TUSD BE'!$AH$47*'TUSD BF'!$AH$68</f>
        <v>2.2511687912962017</v>
      </c>
      <c r="AI47" s="12">
        <f>'TUSD BE'!$AI$47*'TUSD BF'!$AI$68</f>
        <v>8.2729048931983115E-2</v>
      </c>
      <c r="AJ47" s="12">
        <f ca="1">'TUSD BE'!$AJ$47*'TUSD BF'!$AJ$68</f>
        <v>0.24568763397361537</v>
      </c>
      <c r="AK47" s="12">
        <f ca="1">'TUSD BE'!$AK$47*'TUSD BF'!$AK$68</f>
        <v>0</v>
      </c>
      <c r="AL47" s="12">
        <f ca="1">SUM($AH$47:$AK$47)</f>
        <v>2.5795854742018003</v>
      </c>
      <c r="AM47" s="12">
        <f ca="1">SUMIF($L$4:$AL$4,"SUBTOTAL",$L$47:$AL$47)</f>
        <v>19.130948119856754</v>
      </c>
      <c r="AO47" s="20">
        <f ca="1">+'TUSD BE'!$T$47+'TUSD BE'!$AB$47+'TUSD BE'!$AD$47+'TUSD BE'!$AL$47</f>
        <v>343.22837518745104</v>
      </c>
      <c r="AP47" s="20">
        <f ca="1">+'TUSD BE'!$T$47+'TUSD BE'!$AB$47+'TUSD BE'!$AD$47+'TUSD BE'!$AL$47</f>
        <v>343.22837518745104</v>
      </c>
    </row>
    <row r="48" spans="1:42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'TUSD BE'!$L$48*'TUSD BF'!$L$68</f>
        <v>0.20662450953041317</v>
      </c>
      <c r="M48" s="12">
        <f>'TUSD BE'!$M$48*'TUSD BF'!$M$68</f>
        <v>0</v>
      </c>
      <c r="N48" s="12">
        <f ca="1">'TUSD BE'!$N$48*'TUSD BF'!$N$68</f>
        <v>0</v>
      </c>
      <c r="O48" s="12">
        <f>'TUSD BE'!$O$48*'TUSD BF'!$O$68</f>
        <v>0</v>
      </c>
      <c r="P48" s="12">
        <f>'TUSD BE'!$P$48*'TUSD BF'!$P$68</f>
        <v>0</v>
      </c>
      <c r="Q48" s="12">
        <f>'TUSD BE'!$Q$48*'TUSD BF'!$Q$68</f>
        <v>13.165803057752971</v>
      </c>
      <c r="R48" s="12">
        <f>'TUSD BE'!$R$48*'TUSD BF'!$R$68</f>
        <v>3.1789350783715706</v>
      </c>
      <c r="S48" s="12">
        <f>'TUSD BE'!$R$48*'TUSD BF'!$S$68</f>
        <v>0</v>
      </c>
      <c r="T48" s="12">
        <f ca="1">SUM($L$48:$S$48)</f>
        <v>16.551362645654955</v>
      </c>
      <c r="U48" s="12">
        <f>'TUSD BE'!$U$48*'TUSD BF'!$U$68</f>
        <v>0</v>
      </c>
      <c r="V48" s="12">
        <f>'TUSD BE'!$V$48*'TUSD BF'!$V$68</f>
        <v>0</v>
      </c>
      <c r="W48" s="12">
        <f>'TUSD BE'!$W$48*'TUSD BF'!$W$68</f>
        <v>0</v>
      </c>
      <c r="X48" s="12">
        <f>'TUSD BE'!$X$48*'TUSD BF'!$X$68</f>
        <v>0</v>
      </c>
      <c r="Y48" s="12">
        <f>'TUSD BE'!$Y$48*'TUSD BF'!$Y$68</f>
        <v>0</v>
      </c>
      <c r="Z48" s="12">
        <f>'TUSD BE'!$Z$48*'TUSD BF'!$Z$68</f>
        <v>0</v>
      </c>
      <c r="AA48" s="12">
        <f>'TUSD BE'!$AA$48*'TUSD BF'!$AA$68</f>
        <v>0</v>
      </c>
      <c r="AB48" s="12">
        <f>SUM($U$48:$AA$48)</f>
        <v>0</v>
      </c>
      <c r="AC48" s="12">
        <f>'TUSD BE'!$AC$48*'TUSD BF'!$AC$68</f>
        <v>0</v>
      </c>
      <c r="AD48" s="12">
        <f>SUM($AC$48:$AC$48)</f>
        <v>0</v>
      </c>
      <c r="AE48" s="12">
        <f ca="1">$AO$48*$AO$65</f>
        <v>0</v>
      </c>
      <c r="AF48" s="12">
        <f ca="1">$AP$48*$AP$65</f>
        <v>0</v>
      </c>
      <c r="AG48" s="12">
        <f ca="1">SUM($AE$48:$AF$48)</f>
        <v>0</v>
      </c>
      <c r="AH48" s="12">
        <f>'TUSD BE'!$AH$48*'TUSD BF'!$AH$68</f>
        <v>2.2511687912962017</v>
      </c>
      <c r="AI48" s="12">
        <f>'TUSD BE'!$AI$48*'TUSD BF'!$AI$68</f>
        <v>8.2729048931983115E-2</v>
      </c>
      <c r="AJ48" s="12">
        <f ca="1">'TUSD BE'!$AJ$48*'TUSD BF'!$AJ$68</f>
        <v>0.24568763397361537</v>
      </c>
      <c r="AK48" s="12">
        <f ca="1">'TUSD BE'!$AK$48*'TUSD BF'!$AK$68</f>
        <v>0</v>
      </c>
      <c r="AL48" s="12">
        <f ca="1">SUM($AH$48:$AK$48)</f>
        <v>2.5795854742018003</v>
      </c>
      <c r="AM48" s="12">
        <f ca="1">SUMIF($L$4:$AL$4,"SUBTOTAL",$L$48:$AL$48)</f>
        <v>19.130948119856754</v>
      </c>
      <c r="AO48" s="20">
        <f ca="1">+'TUSD BE'!$T$48+'TUSD BE'!$AB$48+'TUSD BE'!$AD$48+'TUSD BE'!$AL$48</f>
        <v>1291.9165105584736</v>
      </c>
      <c r="AP48" s="20">
        <f ca="1">+'TUSD BE'!$T$48+'TUSD BE'!$AB$48+'TUSD BE'!$AD$48+'TUSD BE'!$AL$48</f>
        <v>1291.9165105584736</v>
      </c>
    </row>
    <row r="49" spans="1:42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'TUSD BE'!$L$49*'TUSD BF'!$L$68</f>
        <v>0.20662450953041317</v>
      </c>
      <c r="M49" s="12">
        <f>'TUSD BE'!$M$49*'TUSD BF'!$M$68</f>
        <v>0</v>
      </c>
      <c r="N49" s="12">
        <f ca="1">'TUSD BE'!$N$49*'TUSD BF'!$N$68</f>
        <v>0</v>
      </c>
      <c r="O49" s="12">
        <f>'TUSD BE'!$O$49*'TUSD BF'!$O$68</f>
        <v>0</v>
      </c>
      <c r="P49" s="12">
        <f>'TUSD BE'!$P$49*'TUSD BF'!$P$68</f>
        <v>0</v>
      </c>
      <c r="Q49" s="12">
        <f>'TUSD BE'!$Q$49*'TUSD BF'!$Q$68</f>
        <v>13.165803057752971</v>
      </c>
      <c r="R49" s="12">
        <f>'TUSD BE'!$R$49*'TUSD BF'!$R$68</f>
        <v>3.1789350783715706</v>
      </c>
      <c r="S49" s="12">
        <f>'TUSD BE'!$R$49*'TUSD BF'!$S$68</f>
        <v>0</v>
      </c>
      <c r="T49" s="12">
        <f ca="1">SUM($L$49:$S$49)</f>
        <v>16.551362645654955</v>
      </c>
      <c r="U49" s="12">
        <f>'TUSD BE'!$U$49*'TUSD BF'!$U$68</f>
        <v>0</v>
      </c>
      <c r="V49" s="12">
        <f>'TUSD BE'!$V$49*'TUSD BF'!$V$68</f>
        <v>0</v>
      </c>
      <c r="W49" s="12">
        <f>'TUSD BE'!$W$49*'TUSD BF'!$W$68</f>
        <v>0</v>
      </c>
      <c r="X49" s="12">
        <f>'TUSD BE'!$X$49*'TUSD BF'!$X$68</f>
        <v>0</v>
      </c>
      <c r="Y49" s="12">
        <f>'TUSD BE'!$Y$49*'TUSD BF'!$Y$68</f>
        <v>0</v>
      </c>
      <c r="Z49" s="12">
        <f>'TUSD BE'!$Z$49*'TUSD BF'!$Z$68</f>
        <v>0</v>
      </c>
      <c r="AA49" s="12">
        <f>'TUSD BE'!$AA$49*'TUSD BF'!$AA$68</f>
        <v>0</v>
      </c>
      <c r="AB49" s="12">
        <f>SUM($U$49:$AA$49)</f>
        <v>0</v>
      </c>
      <c r="AC49" s="12">
        <f>'TUSD BE'!$AC$49*'TUSD BF'!$AC$68</f>
        <v>0</v>
      </c>
      <c r="AD49" s="12">
        <f>SUM($AC$49:$AC$49)</f>
        <v>0</v>
      </c>
      <c r="AE49" s="12">
        <f ca="1">$AO$49*$AO$65</f>
        <v>0</v>
      </c>
      <c r="AF49" s="12">
        <f ca="1">$AP$49*$AP$65</f>
        <v>0</v>
      </c>
      <c r="AG49" s="12">
        <f ca="1">SUM($AE$49:$AF$49)</f>
        <v>0</v>
      </c>
      <c r="AH49" s="12">
        <f>'TUSD BE'!$AH$49*'TUSD BF'!$AH$68</f>
        <v>2.2511687912962017</v>
      </c>
      <c r="AI49" s="12">
        <f>'TUSD BE'!$AI$49*'TUSD BF'!$AI$68</f>
        <v>8.2729048931983115E-2</v>
      </c>
      <c r="AJ49" s="12">
        <f ca="1">'TUSD BE'!$AJ$49*'TUSD BF'!$AJ$68</f>
        <v>0.24568763397361537</v>
      </c>
      <c r="AK49" s="12">
        <f ca="1">'TUSD BE'!$AK$49*'TUSD BF'!$AK$68</f>
        <v>0</v>
      </c>
      <c r="AL49" s="12">
        <f ca="1">SUM($AH$49:$AK$49)</f>
        <v>2.5795854742018003</v>
      </c>
      <c r="AM49" s="12">
        <f ca="1">SUMIF($L$4:$AL$4,"SUBTOTAL",$L$49:$AL$49)</f>
        <v>19.130948119856754</v>
      </c>
      <c r="AO49" s="20">
        <f ca="1">+'TUSD BE'!$T$49+'TUSD BE'!$AB$49+'TUSD BE'!$AD$49+'TUSD BE'!$AL$49</f>
        <v>476.90718989507462</v>
      </c>
      <c r="AP49" s="20">
        <f ca="1">+'TUSD BE'!$T$49+'TUSD BE'!$AB$49+'TUSD BE'!$AD$49+'TUSD BE'!$AL$49</f>
        <v>476.90718989507462</v>
      </c>
    </row>
    <row r="50" spans="1:42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'TUSD BE'!$L$50*'TUSD BF'!$L$68</f>
        <v>0.20662450953041317</v>
      </c>
      <c r="M50" s="12">
        <f>'TUSD BE'!$M$50*'TUSD BF'!$M$68</f>
        <v>0</v>
      </c>
      <c r="N50" s="12">
        <f ca="1">'TUSD BE'!$N$50*'TUSD BF'!$N$68</f>
        <v>0</v>
      </c>
      <c r="O50" s="12">
        <f>'TUSD BE'!$O$50*'TUSD BF'!$O$68</f>
        <v>0</v>
      </c>
      <c r="P50" s="12">
        <f>'TUSD BE'!$P$50*'TUSD BF'!$P$68</f>
        <v>0</v>
      </c>
      <c r="Q50" s="12">
        <f>'TUSD BE'!$Q$50*'TUSD BF'!$Q$68</f>
        <v>13.165803057752971</v>
      </c>
      <c r="R50" s="12">
        <f>'TUSD BE'!$R$50*'TUSD BF'!$R$68</f>
        <v>3.1789350783715706</v>
      </c>
      <c r="S50" s="12">
        <f>'TUSD BE'!$R$50*'TUSD BF'!$S$68</f>
        <v>0</v>
      </c>
      <c r="T50" s="12">
        <f ca="1">SUM($L$50:$S$50)</f>
        <v>16.551362645654955</v>
      </c>
      <c r="U50" s="12">
        <f>'TUSD BE'!$U$50*'TUSD BF'!$U$68</f>
        <v>0</v>
      </c>
      <c r="V50" s="12">
        <f>'TUSD BE'!$V$50*'TUSD BF'!$V$68</f>
        <v>0</v>
      </c>
      <c r="W50" s="12">
        <f>'TUSD BE'!$W$50*'TUSD BF'!$W$68</f>
        <v>0</v>
      </c>
      <c r="X50" s="12">
        <f>'TUSD BE'!$X$50*'TUSD BF'!$X$68</f>
        <v>0</v>
      </c>
      <c r="Y50" s="12">
        <f>'TUSD BE'!$Y$50*'TUSD BF'!$Y$68</f>
        <v>0</v>
      </c>
      <c r="Z50" s="12">
        <f>'TUSD BE'!$Z$50*'TUSD BF'!$Z$68</f>
        <v>0</v>
      </c>
      <c r="AA50" s="12">
        <f>'TUSD BE'!$AA$50*'TUSD BF'!$AA$68</f>
        <v>0</v>
      </c>
      <c r="AB50" s="12">
        <f>SUM($U$50:$AA$50)</f>
        <v>0</v>
      </c>
      <c r="AC50" s="12">
        <f>'TUSD BE'!$AC$50*'TUSD BF'!$AC$68</f>
        <v>0</v>
      </c>
      <c r="AD50" s="12">
        <f>SUM($AC$50:$AC$50)</f>
        <v>0</v>
      </c>
      <c r="AE50" s="12">
        <f ca="1">$AO$50*$AO$65</f>
        <v>0</v>
      </c>
      <c r="AF50" s="12">
        <f ca="1">$AP$50*$AP$65</f>
        <v>0</v>
      </c>
      <c r="AG50" s="12">
        <f ca="1">SUM($AE$50:$AF$50)</f>
        <v>0</v>
      </c>
      <c r="AH50" s="12">
        <f>'TUSD BE'!$AH$50*'TUSD BF'!$AH$68</f>
        <v>2.2511687912962017</v>
      </c>
      <c r="AI50" s="12">
        <f>'TUSD BE'!$AI$50*'TUSD BF'!$AI$68</f>
        <v>8.2729048931983115E-2</v>
      </c>
      <c r="AJ50" s="12">
        <f ca="1">'TUSD BE'!$AJ$50*'TUSD BF'!$AJ$68</f>
        <v>0.24568763397361537</v>
      </c>
      <c r="AK50" s="12">
        <f ca="1">'TUSD BE'!$AK$50*'TUSD BF'!$AK$68</f>
        <v>0</v>
      </c>
      <c r="AL50" s="12">
        <f ca="1">SUM($AH$50:$AK$50)</f>
        <v>2.5795854742018003</v>
      </c>
      <c r="AM50" s="12">
        <f ca="1">SUMIF($L$4:$AL$4,"SUBTOTAL",$L$50:$AL$50)</f>
        <v>19.130948119856754</v>
      </c>
      <c r="AO50" s="20">
        <f ca="1">+'TUSD BE'!$T$50+'TUSD BE'!$AB$50+'TUSD BE'!$AD$50+'TUSD BE'!$AL$50</f>
        <v>244.04733454738488</v>
      </c>
      <c r="AP50" s="20">
        <f ca="1">+'TUSD BE'!$T$50+'TUSD BE'!$AB$50+'TUSD BE'!$AD$50+'TUSD BE'!$AL$50</f>
        <v>244.04733454738488</v>
      </c>
    </row>
    <row r="51" spans="1:42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'TUSD BE'!$L$51*'TUSD BF'!$L$68</f>
        <v>0.20662450953041317</v>
      </c>
      <c r="M51" s="12">
        <f>'TUSD BE'!$M$51*'TUSD BF'!$M$68</f>
        <v>0</v>
      </c>
      <c r="N51" s="12">
        <f ca="1">'TUSD BE'!$N$51*'TUSD BF'!$N$68</f>
        <v>0</v>
      </c>
      <c r="O51" s="12">
        <f>'TUSD BE'!$O$51*'TUSD BF'!$O$68</f>
        <v>0</v>
      </c>
      <c r="P51" s="12">
        <f>'TUSD BE'!$P$51*'TUSD BF'!$P$68</f>
        <v>0</v>
      </c>
      <c r="Q51" s="12">
        <f>'TUSD BE'!$Q$51*'TUSD BF'!$Q$68</f>
        <v>13.165803057752971</v>
      </c>
      <c r="R51" s="12">
        <f>'TUSD BE'!$R$51*'TUSD BF'!$R$68</f>
        <v>3.1789350783715706</v>
      </c>
      <c r="S51" s="12">
        <f>'TUSD BE'!$R$51*'TUSD BF'!$S$68</f>
        <v>0</v>
      </c>
      <c r="T51" s="12">
        <f ca="1">SUM($L$51:$S$51)</f>
        <v>16.551362645654955</v>
      </c>
      <c r="U51" s="12">
        <f>'TUSD BE'!$U$51*'TUSD BF'!$U$68</f>
        <v>0</v>
      </c>
      <c r="V51" s="12">
        <f>'TUSD BE'!$V$51*'TUSD BF'!$V$68</f>
        <v>0</v>
      </c>
      <c r="W51" s="12">
        <f>'TUSD BE'!$W$51*'TUSD BF'!$W$68</f>
        <v>0</v>
      </c>
      <c r="X51" s="12">
        <f>'TUSD BE'!$X$51*'TUSD BF'!$X$68</f>
        <v>0</v>
      </c>
      <c r="Y51" s="12">
        <f>'TUSD BE'!$Y$51*'TUSD BF'!$Y$68</f>
        <v>0</v>
      </c>
      <c r="Z51" s="12">
        <f>'TUSD BE'!$Z$51*'TUSD BF'!$Z$68</f>
        <v>0</v>
      </c>
      <c r="AA51" s="12">
        <f>'TUSD BE'!$AA$51*'TUSD BF'!$AA$68</f>
        <v>0</v>
      </c>
      <c r="AB51" s="12">
        <f>SUM($U$51:$AA$51)</f>
        <v>0</v>
      </c>
      <c r="AC51" s="12">
        <f>'TUSD BE'!$AC$51*'TUSD BF'!$AC$68</f>
        <v>0</v>
      </c>
      <c r="AD51" s="12">
        <f>SUM($AC$51:$AC$51)</f>
        <v>0</v>
      </c>
      <c r="AE51" s="12">
        <f ca="1">$AO$51*$AO$65</f>
        <v>0</v>
      </c>
      <c r="AF51" s="12">
        <f ca="1">$AP$51*$AP$65</f>
        <v>0</v>
      </c>
      <c r="AG51" s="12">
        <f ca="1">SUM($AE$51:$AF$51)</f>
        <v>0</v>
      </c>
      <c r="AH51" s="12">
        <f>'TUSD BE'!$AH$51*'TUSD BF'!$AH$68</f>
        <v>2.2511687912962017</v>
      </c>
      <c r="AI51" s="12">
        <f>'TUSD BE'!$AI$51*'TUSD BF'!$AI$68</f>
        <v>8.2729048931983115E-2</v>
      </c>
      <c r="AJ51" s="12">
        <f ca="1">'TUSD BE'!$AJ$51*'TUSD BF'!$AJ$68</f>
        <v>0.24568763397361537</v>
      </c>
      <c r="AK51" s="12">
        <f ca="1">'TUSD BE'!$AK$51*'TUSD BF'!$AK$68</f>
        <v>0</v>
      </c>
      <c r="AL51" s="12">
        <f ca="1">SUM($AH$51:$AK$51)</f>
        <v>2.5795854742018003</v>
      </c>
      <c r="AM51" s="12">
        <f ca="1">SUMIF($L$4:$AL$4,"SUBTOTAL",$L$51:$AL$51)</f>
        <v>19.130948119856754</v>
      </c>
      <c r="AO51" s="20">
        <f ca="1">+'TUSD BE'!$T$51+'TUSD BE'!$AB$51+'TUSD BE'!$AD$51+'TUSD BE'!$AL$51</f>
        <v>343.22837518745104</v>
      </c>
      <c r="AP51" s="20">
        <f ca="1">+'TUSD BE'!$T$51+'TUSD BE'!$AB$51+'TUSD BE'!$AD$51+'TUSD BE'!$AL$51</f>
        <v>343.22837518745104</v>
      </c>
    </row>
    <row r="52" spans="1:42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'TUSD BE'!$L$52*'TUSD BF'!$L$68</f>
        <v>0.20662450953041317</v>
      </c>
      <c r="M52" s="12">
        <f>'TUSD BE'!$M$52*'TUSD BF'!$M$68</f>
        <v>0</v>
      </c>
      <c r="N52" s="12">
        <f ca="1">'TUSD BE'!$N$52*'TUSD BF'!$N$68</f>
        <v>0</v>
      </c>
      <c r="O52" s="12">
        <f>'TUSD BE'!$O$52*'TUSD BF'!$O$68</f>
        <v>0</v>
      </c>
      <c r="P52" s="12">
        <f>'TUSD BE'!$P$52*'TUSD BF'!$P$68</f>
        <v>0</v>
      </c>
      <c r="Q52" s="12">
        <f>'TUSD BE'!$Q$52*'TUSD BF'!$Q$68</f>
        <v>13.165803057752971</v>
      </c>
      <c r="R52" s="12">
        <f>'TUSD BE'!$R$52*'TUSD BF'!$R$68</f>
        <v>3.1789350783715706</v>
      </c>
      <c r="S52" s="12">
        <f>'TUSD BE'!$R$52*'TUSD BF'!$S$68</f>
        <v>0</v>
      </c>
      <c r="T52" s="12">
        <f ca="1">SUM($L$52:$S$52)</f>
        <v>16.551362645654955</v>
      </c>
      <c r="U52" s="12">
        <f>'TUSD BE'!$U$52*'TUSD BF'!$U$68</f>
        <v>0</v>
      </c>
      <c r="V52" s="12">
        <f>'TUSD BE'!$V$52*'TUSD BF'!$V$68</f>
        <v>0</v>
      </c>
      <c r="W52" s="12">
        <f>'TUSD BE'!$W$52*'TUSD BF'!$W$68</f>
        <v>0</v>
      </c>
      <c r="X52" s="12">
        <f>'TUSD BE'!$X$52*'TUSD BF'!$X$68</f>
        <v>0</v>
      </c>
      <c r="Y52" s="12">
        <f>'TUSD BE'!$Y$52*'TUSD BF'!$Y$68</f>
        <v>0</v>
      </c>
      <c r="Z52" s="12">
        <f>'TUSD BE'!$Z$52*'TUSD BF'!$Z$68</f>
        <v>0</v>
      </c>
      <c r="AA52" s="12">
        <f>'TUSD BE'!$AA$52*'TUSD BF'!$AA$68</f>
        <v>0</v>
      </c>
      <c r="AB52" s="12">
        <f>SUM($U$52:$AA$52)</f>
        <v>0</v>
      </c>
      <c r="AC52" s="12">
        <f>'TUSD BE'!$AC$52*'TUSD BF'!$AC$68</f>
        <v>0</v>
      </c>
      <c r="AD52" s="12">
        <f>SUM($AC$52:$AC$52)</f>
        <v>0</v>
      </c>
      <c r="AE52" s="12">
        <f ca="1">$AO$52*$AO$65</f>
        <v>0</v>
      </c>
      <c r="AF52" s="12">
        <f ca="1">$AP$52*$AP$65</f>
        <v>0</v>
      </c>
      <c r="AG52" s="12">
        <f ca="1">SUM($AE$52:$AF$52)</f>
        <v>0</v>
      </c>
      <c r="AH52" s="12">
        <f>'TUSD BE'!$AH$52*'TUSD BF'!$AH$68</f>
        <v>2.2511687912962017</v>
      </c>
      <c r="AI52" s="12">
        <f>'TUSD BE'!$AI$52*'TUSD BF'!$AI$68</f>
        <v>8.2729048931983115E-2</v>
      </c>
      <c r="AJ52" s="12">
        <f ca="1">'TUSD BE'!$AJ$52*'TUSD BF'!$AJ$68</f>
        <v>0.24568763397361537</v>
      </c>
      <c r="AK52" s="12">
        <f ca="1">'TUSD BE'!$AK$52*'TUSD BF'!$AK$68</f>
        <v>0</v>
      </c>
      <c r="AL52" s="12">
        <f ca="1">SUM($AH$52:$AK$52)</f>
        <v>2.5795854742018003</v>
      </c>
      <c r="AM52" s="12">
        <f ca="1">SUMIF($L$4:$AL$4,"SUBTOTAL",$L$52:$AL$52)</f>
        <v>19.130948119856754</v>
      </c>
      <c r="AO52" s="20">
        <f ca="1">+'TUSD BE'!$T$52+'TUSD BE'!$AB$52+'TUSD BE'!$AD$52+'TUSD BE'!$AL$52</f>
        <v>343.22837518745104</v>
      </c>
      <c r="AP52" s="20">
        <f ca="1">+'TUSD BE'!$T$52+'TUSD BE'!$AB$52+'TUSD BE'!$AD$52+'TUSD BE'!$AL$52</f>
        <v>343.22837518745104</v>
      </c>
    </row>
    <row r="53" spans="1:42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'TUSD BE'!$L$53*'TUSD BF'!$L$68</f>
        <v>0.20662450953041317</v>
      </c>
      <c r="M53" s="12">
        <f>'TUSD BE'!$M$53*'TUSD BF'!$M$68</f>
        <v>0</v>
      </c>
      <c r="N53" s="12">
        <f ca="1">'TUSD BE'!$N$53*'TUSD BF'!$N$68</f>
        <v>0</v>
      </c>
      <c r="O53" s="12">
        <f>'TUSD BE'!$O$53*'TUSD BF'!$O$68</f>
        <v>0</v>
      </c>
      <c r="P53" s="12">
        <f>'TUSD BE'!$P$53*'TUSD BF'!$P$68</f>
        <v>0</v>
      </c>
      <c r="Q53" s="12">
        <f>'TUSD BE'!$Q$53*'TUSD BF'!$Q$68</f>
        <v>13.165803057752971</v>
      </c>
      <c r="R53" s="12">
        <f>'TUSD BE'!$R$53*'TUSD BF'!$R$68</f>
        <v>3.1789350783715706</v>
      </c>
      <c r="S53" s="12">
        <f>'TUSD BE'!$R$53*'TUSD BF'!$S$68</f>
        <v>0</v>
      </c>
      <c r="T53" s="12">
        <f ca="1">SUM($L$53:$S$53)</f>
        <v>16.551362645654955</v>
      </c>
      <c r="U53" s="12">
        <f>'TUSD BE'!$U$53*'TUSD BF'!$U$68</f>
        <v>0</v>
      </c>
      <c r="V53" s="12">
        <f>'TUSD BE'!$V$53*'TUSD BF'!$V$68</f>
        <v>0</v>
      </c>
      <c r="W53" s="12">
        <f>'TUSD BE'!$W$53*'TUSD BF'!$W$68</f>
        <v>0</v>
      </c>
      <c r="X53" s="12">
        <f>'TUSD BE'!$X$53*'TUSD BF'!$X$68</f>
        <v>0</v>
      </c>
      <c r="Y53" s="12">
        <f>'TUSD BE'!$Y$53*'TUSD BF'!$Y$68</f>
        <v>0</v>
      </c>
      <c r="Z53" s="12">
        <f>'TUSD BE'!$Z$53*'TUSD BF'!$Z$68</f>
        <v>0</v>
      </c>
      <c r="AA53" s="12">
        <f>'TUSD BE'!$AA$53*'TUSD BF'!$AA$68</f>
        <v>0</v>
      </c>
      <c r="AB53" s="12">
        <f>SUM($U$53:$AA$53)</f>
        <v>0</v>
      </c>
      <c r="AC53" s="12">
        <f>'TUSD BE'!$AC$53*'TUSD BF'!$AC$68</f>
        <v>0</v>
      </c>
      <c r="AD53" s="12">
        <f>SUM($AC$53:$AC$53)</f>
        <v>0</v>
      </c>
      <c r="AE53" s="12">
        <f ca="1">$AO$53*$AO$65</f>
        <v>0</v>
      </c>
      <c r="AF53" s="12">
        <f ca="1">$AP$53*$AP$65</f>
        <v>0</v>
      </c>
      <c r="AG53" s="12">
        <f ca="1">SUM($AE$53:$AF$53)</f>
        <v>0</v>
      </c>
      <c r="AH53" s="12">
        <f>'TUSD BE'!$AH$53*'TUSD BF'!$AH$68</f>
        <v>2.2511687912962017</v>
      </c>
      <c r="AI53" s="12">
        <f>'TUSD BE'!$AI$53*'TUSD BF'!$AI$68</f>
        <v>8.2729048931983115E-2</v>
      </c>
      <c r="AJ53" s="12">
        <f ca="1">'TUSD BE'!$AJ$53*'TUSD BF'!$AJ$68</f>
        <v>0.24568763397361537</v>
      </c>
      <c r="AK53" s="12">
        <f ca="1">'TUSD BE'!$AK$53*'TUSD BF'!$AK$68</f>
        <v>0</v>
      </c>
      <c r="AL53" s="12">
        <f ca="1">SUM($AH$53:$AK$53)</f>
        <v>2.5795854742018003</v>
      </c>
      <c r="AM53" s="12">
        <f ca="1">SUMIF($L$4:$AL$4,"SUBTOTAL",$L$53:$AL$53)</f>
        <v>19.130948119856754</v>
      </c>
      <c r="AO53" s="20">
        <f ca="1">+'TUSD BE'!$T$53+'TUSD BE'!$AB$53+'TUSD BE'!$AD$53+'TUSD BE'!$AL$53</f>
        <v>343.22837518745104</v>
      </c>
      <c r="AP53" s="20">
        <f ca="1">+'TUSD BE'!$T$53+'TUSD BE'!$AB$53+'TUSD BE'!$AD$53+'TUSD BE'!$AL$53</f>
        <v>343.22837518745104</v>
      </c>
    </row>
    <row r="54" spans="1:42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'TUSD BE'!$L$54*'TUSD BF'!$L$68</f>
        <v>0.20662450953041317</v>
      </c>
      <c r="M54" s="12">
        <f>'TUSD BE'!$M$54*'TUSD BF'!$M$68</f>
        <v>0</v>
      </c>
      <c r="N54" s="12">
        <f ca="1">'TUSD BE'!$N$54*'TUSD BF'!$N$68</f>
        <v>0</v>
      </c>
      <c r="O54" s="12">
        <f>'TUSD BE'!$O$54*'TUSD BF'!$O$68</f>
        <v>0</v>
      </c>
      <c r="P54" s="12">
        <f>'TUSD BE'!$P$54*'TUSD BF'!$P$68</f>
        <v>0</v>
      </c>
      <c r="Q54" s="12">
        <f>'TUSD BE'!$Q$54*'TUSD BF'!$Q$68</f>
        <v>13.165803057752971</v>
      </c>
      <c r="R54" s="12">
        <f>'TUSD BE'!$R$54*'TUSD BF'!$R$68</f>
        <v>3.1789350783715706</v>
      </c>
      <c r="S54" s="12">
        <f>'TUSD BE'!$R$54*'TUSD BF'!$S$68</f>
        <v>0</v>
      </c>
      <c r="T54" s="12">
        <f ca="1">SUM($L$54:$S$54)</f>
        <v>16.551362645654955</v>
      </c>
      <c r="U54" s="12">
        <f>'TUSD BE'!$U$54*'TUSD BF'!$U$68</f>
        <v>0</v>
      </c>
      <c r="V54" s="12">
        <f>'TUSD BE'!$V$54*'TUSD BF'!$V$68</f>
        <v>0</v>
      </c>
      <c r="W54" s="12">
        <f>'TUSD BE'!$W$54*'TUSD BF'!$W$68</f>
        <v>0</v>
      </c>
      <c r="X54" s="12">
        <f>'TUSD BE'!$X$54*'TUSD BF'!$X$68</f>
        <v>0</v>
      </c>
      <c r="Y54" s="12">
        <f>'TUSD BE'!$Y$54*'TUSD BF'!$Y$68</f>
        <v>0</v>
      </c>
      <c r="Z54" s="12">
        <f>'TUSD BE'!$Z$54*'TUSD BF'!$Z$68</f>
        <v>0</v>
      </c>
      <c r="AA54" s="12">
        <f>'TUSD BE'!$AA$54*'TUSD BF'!$AA$68</f>
        <v>0</v>
      </c>
      <c r="AB54" s="12">
        <f>SUM($U$54:$AA$54)</f>
        <v>0</v>
      </c>
      <c r="AC54" s="12">
        <f>'TUSD BE'!$AC$54*'TUSD BF'!$AC$68</f>
        <v>0</v>
      </c>
      <c r="AD54" s="12">
        <f>SUM($AC$54:$AC$54)</f>
        <v>0</v>
      </c>
      <c r="AE54" s="12">
        <f ca="1">$AO$54*$AO$65</f>
        <v>0</v>
      </c>
      <c r="AF54" s="12">
        <f ca="1">$AP$54*$AP$65</f>
        <v>0</v>
      </c>
      <c r="AG54" s="12">
        <f ca="1">SUM($AE$54:$AF$54)</f>
        <v>0</v>
      </c>
      <c r="AH54" s="12">
        <f>'TUSD BE'!$AH$54*'TUSD BF'!$AH$68</f>
        <v>2.2511687912962017</v>
      </c>
      <c r="AI54" s="12">
        <f>'TUSD BE'!$AI$54*'TUSD BF'!$AI$68</f>
        <v>8.2729048931983115E-2</v>
      </c>
      <c r="AJ54" s="12">
        <f ca="1">'TUSD BE'!$AJ$54*'TUSD BF'!$AJ$68</f>
        <v>0.24568763397361537</v>
      </c>
      <c r="AK54" s="12">
        <f ca="1">'TUSD BE'!$AK$54*'TUSD BF'!$AK$68</f>
        <v>0</v>
      </c>
      <c r="AL54" s="12">
        <f ca="1">SUM($AH$54:$AK$54)</f>
        <v>2.5795854742018003</v>
      </c>
      <c r="AM54" s="12">
        <f ca="1">SUMIF($L$4:$AL$4,"SUBTOTAL",$L$54:$AL$54)</f>
        <v>19.130948119856754</v>
      </c>
      <c r="AO54" s="20">
        <f ca="1">+'TUSD BE'!$T$54+'TUSD BE'!$AB$54+'TUSD BE'!$AD$54+'TUSD BE'!$AL$54</f>
        <v>343.22837518745104</v>
      </c>
      <c r="AP54" s="20">
        <f ca="1">+'TUSD BE'!$T$54+'TUSD BE'!$AB$54+'TUSD BE'!$AD$54+'TUSD BE'!$AL$54</f>
        <v>343.22837518745104</v>
      </c>
    </row>
    <row r="55" spans="1:42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'TUSD BE'!$L$55*'TUSD BF'!$L$68</f>
        <v>0.20662450953041317</v>
      </c>
      <c r="M55" s="12">
        <f>'TUSD BE'!$M$55*'TUSD BF'!$M$68</f>
        <v>0</v>
      </c>
      <c r="N55" s="12">
        <f ca="1">'TUSD BE'!$N$55*'TUSD BF'!$N$68</f>
        <v>0</v>
      </c>
      <c r="O55" s="12">
        <f>'TUSD BE'!$O$55*'TUSD BF'!$O$68</f>
        <v>0</v>
      </c>
      <c r="P55" s="12">
        <f>'TUSD BE'!$P$55*'TUSD BF'!$P$68</f>
        <v>0</v>
      </c>
      <c r="Q55" s="12">
        <f>'TUSD BE'!$Q$55*'TUSD BF'!$Q$68</f>
        <v>13.165803057752971</v>
      </c>
      <c r="R55" s="12">
        <f>'TUSD BE'!$R$55*'TUSD BF'!$R$68</f>
        <v>3.1789350783715706</v>
      </c>
      <c r="S55" s="12">
        <f>'TUSD BE'!$R$55*'TUSD BF'!$S$68</f>
        <v>0</v>
      </c>
      <c r="T55" s="12">
        <f ca="1">SUM($L$55:$S$55)</f>
        <v>16.551362645654955</v>
      </c>
      <c r="U55" s="12">
        <f>'TUSD BE'!$U$55*'TUSD BF'!$U$68</f>
        <v>0</v>
      </c>
      <c r="V55" s="12">
        <f>'TUSD BE'!$V$55*'TUSD BF'!$V$68</f>
        <v>0</v>
      </c>
      <c r="W55" s="12">
        <f>'TUSD BE'!$W$55*'TUSD BF'!$W$68</f>
        <v>0</v>
      </c>
      <c r="X55" s="12">
        <f>'TUSD BE'!$X$55*'TUSD BF'!$X$68</f>
        <v>0</v>
      </c>
      <c r="Y55" s="12">
        <f>'TUSD BE'!$Y$55*'TUSD BF'!$Y$68</f>
        <v>0</v>
      </c>
      <c r="Z55" s="12">
        <f>'TUSD BE'!$Z$55*'TUSD BF'!$Z$68</f>
        <v>0</v>
      </c>
      <c r="AA55" s="12">
        <f>'TUSD BE'!$AA$55*'TUSD BF'!$AA$68</f>
        <v>0</v>
      </c>
      <c r="AB55" s="12">
        <f>SUM($U$55:$AA$55)</f>
        <v>0</v>
      </c>
      <c r="AC55" s="12">
        <f>'TUSD BE'!$AC$55*'TUSD BF'!$AC$68</f>
        <v>0</v>
      </c>
      <c r="AD55" s="12">
        <f>SUM($AC$55:$AC$55)</f>
        <v>0</v>
      </c>
      <c r="AE55" s="12">
        <f ca="1">$AO$55*$AO$65</f>
        <v>0</v>
      </c>
      <c r="AF55" s="12">
        <f ca="1">$AP$55*$AP$65</f>
        <v>0</v>
      </c>
      <c r="AG55" s="12">
        <f ca="1">SUM($AE$55:$AF$55)</f>
        <v>0</v>
      </c>
      <c r="AH55" s="12">
        <f>'TUSD BE'!$AH$55*'TUSD BF'!$AH$68</f>
        <v>2.2511687912962017</v>
      </c>
      <c r="AI55" s="12">
        <f>'TUSD BE'!$AI$55*'TUSD BF'!$AI$68</f>
        <v>8.2729048931983115E-2</v>
      </c>
      <c r="AJ55" s="12">
        <f ca="1">'TUSD BE'!$AJ$55*'TUSD BF'!$AJ$68</f>
        <v>0.24568763397361537</v>
      </c>
      <c r="AK55" s="12">
        <f ca="1">'TUSD BE'!$AK$55*'TUSD BF'!$AK$68</f>
        <v>0</v>
      </c>
      <c r="AL55" s="12">
        <f ca="1">SUM($AH$55:$AK$55)</f>
        <v>2.5795854742018003</v>
      </c>
      <c r="AM55" s="12">
        <f ca="1">SUMIF($L$4:$AL$4,"SUBTOTAL",$L$55:$AL$55)</f>
        <v>19.130948119856754</v>
      </c>
      <c r="AO55" s="20">
        <f ca="1">+'TUSD BE'!$T$55+'TUSD BE'!$AB$55+'TUSD BE'!$AD$55+'TUSD BE'!$AL$55</f>
        <v>882.25582305712828</v>
      </c>
      <c r="AP55" s="20">
        <f ca="1">+'TUSD BE'!$T$55+'TUSD BE'!$AB$55+'TUSD BE'!$AD$55+'TUSD BE'!$AL$55</f>
        <v>882.25582305712828</v>
      </c>
    </row>
    <row r="56" spans="1:42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'TUSD BE'!$L$56*'TUSD BF'!$L$68</f>
        <v>0.20662450953041317</v>
      </c>
      <c r="M56" s="12">
        <f>'TUSD BE'!$M$56*'TUSD BF'!$M$68</f>
        <v>0</v>
      </c>
      <c r="N56" s="12">
        <f ca="1">'TUSD BE'!$N$56*'TUSD BF'!$N$68</f>
        <v>0</v>
      </c>
      <c r="O56" s="12">
        <f>'TUSD BE'!$O$56*'TUSD BF'!$O$68</f>
        <v>0</v>
      </c>
      <c r="P56" s="12">
        <f>'TUSD BE'!$P$56*'TUSD BF'!$P$68</f>
        <v>0</v>
      </c>
      <c r="Q56" s="12">
        <f>'TUSD BE'!$Q$56*'TUSD BF'!$Q$68</f>
        <v>13.165803057752971</v>
      </c>
      <c r="R56" s="12">
        <f>'TUSD BE'!$R$56*'TUSD BF'!$R$68</f>
        <v>3.1789350783715706</v>
      </c>
      <c r="S56" s="12">
        <f>'TUSD BE'!$R$56*'TUSD BF'!$S$68</f>
        <v>0</v>
      </c>
      <c r="T56" s="12">
        <f ca="1">SUM($L$56:$S$56)</f>
        <v>16.551362645654955</v>
      </c>
      <c r="U56" s="12">
        <f>'TUSD BE'!$U$56*'TUSD BF'!$U$68</f>
        <v>0</v>
      </c>
      <c r="V56" s="12">
        <f>'TUSD BE'!$V$56*'TUSD BF'!$V$68</f>
        <v>0</v>
      </c>
      <c r="W56" s="12">
        <f>'TUSD BE'!$W$56*'TUSD BF'!$W$68</f>
        <v>0</v>
      </c>
      <c r="X56" s="12">
        <f>'TUSD BE'!$X$56*'TUSD BF'!$X$68</f>
        <v>0</v>
      </c>
      <c r="Y56" s="12">
        <f>'TUSD BE'!$Y$56*'TUSD BF'!$Y$68</f>
        <v>0</v>
      </c>
      <c r="Z56" s="12">
        <f>'TUSD BE'!$Z$56*'TUSD BF'!$Z$68</f>
        <v>0</v>
      </c>
      <c r="AA56" s="12">
        <f>'TUSD BE'!$AA$56*'TUSD BF'!$AA$68</f>
        <v>0</v>
      </c>
      <c r="AB56" s="12">
        <f>SUM($U$56:$AA$56)</f>
        <v>0</v>
      </c>
      <c r="AC56" s="12">
        <f>'TUSD BE'!$AC$56*'TUSD BF'!$AC$68</f>
        <v>0</v>
      </c>
      <c r="AD56" s="12">
        <f>SUM($AC$56:$AC$56)</f>
        <v>0</v>
      </c>
      <c r="AE56" s="12">
        <f ca="1">$AO$56*$AO$65</f>
        <v>0</v>
      </c>
      <c r="AF56" s="12">
        <f ca="1">$AP$56*$AP$65</f>
        <v>0</v>
      </c>
      <c r="AG56" s="12">
        <f ca="1">SUM($AE$56:$AF$56)</f>
        <v>0</v>
      </c>
      <c r="AH56" s="12">
        <f>'TUSD BE'!$AH$56*'TUSD BF'!$AH$68</f>
        <v>2.2511687912962017</v>
      </c>
      <c r="AI56" s="12">
        <f>'TUSD BE'!$AI$56*'TUSD BF'!$AI$68</f>
        <v>8.2729048931983115E-2</v>
      </c>
      <c r="AJ56" s="12">
        <f ca="1">'TUSD BE'!$AJ$56*'TUSD BF'!$AJ$68</f>
        <v>0.24568763397361537</v>
      </c>
      <c r="AK56" s="12">
        <f ca="1">'TUSD BE'!$AK$56*'TUSD BF'!$AK$68</f>
        <v>0</v>
      </c>
      <c r="AL56" s="12">
        <f ca="1">SUM($AH$56:$AK$56)</f>
        <v>2.5795854742018003</v>
      </c>
      <c r="AM56" s="12">
        <f ca="1">SUMIF($L$4:$AL$4,"SUBTOTAL",$L$56:$AL$56)</f>
        <v>19.130948119856754</v>
      </c>
      <c r="AO56" s="20">
        <f ca="1">+'TUSD BE'!$T$56+'TUSD BE'!$AB$56+'TUSD BE'!$AD$56+'TUSD BE'!$AL$56</f>
        <v>278.54511388700081</v>
      </c>
      <c r="AP56" s="20">
        <f ca="1">+'TUSD BE'!$T$56+'TUSD BE'!$AB$56+'TUSD BE'!$AD$56+'TUSD BE'!$AL$56</f>
        <v>278.54511388700081</v>
      </c>
    </row>
    <row r="57" spans="1:42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'TUSD BE'!$L$57*'TUSD BF'!$L$68</f>
        <v>0.20662450953041317</v>
      </c>
      <c r="M57" s="12">
        <f>'TUSD BE'!$M$57*'TUSD BF'!$M$68</f>
        <v>0</v>
      </c>
      <c r="N57" s="12">
        <f ca="1">'TUSD BE'!$N$57*'TUSD BF'!$N$68</f>
        <v>0</v>
      </c>
      <c r="O57" s="12">
        <f>'TUSD BE'!$O$57*'TUSD BF'!$O$68</f>
        <v>0</v>
      </c>
      <c r="P57" s="12">
        <f>'TUSD BE'!$P$57*'TUSD BF'!$P$68</f>
        <v>0</v>
      </c>
      <c r="Q57" s="12">
        <f>'TUSD BE'!$Q$57*'TUSD BF'!$Q$68</f>
        <v>13.165803057752971</v>
      </c>
      <c r="R57" s="12">
        <f>'TUSD BE'!$R$57*'TUSD BF'!$R$68</f>
        <v>3.1789350783715706</v>
      </c>
      <c r="S57" s="12">
        <f>'TUSD BE'!$R$57*'TUSD BF'!$S$68</f>
        <v>0</v>
      </c>
      <c r="T57" s="12">
        <f ca="1">SUM($L$57:$S$57)</f>
        <v>16.551362645654955</v>
      </c>
      <c r="U57" s="12">
        <f>'TUSD BE'!$U$57*'TUSD BF'!$U$68</f>
        <v>0</v>
      </c>
      <c r="V57" s="12">
        <f>'TUSD BE'!$V$57*'TUSD BF'!$V$68</f>
        <v>0</v>
      </c>
      <c r="W57" s="12">
        <f>'TUSD BE'!$W$57*'TUSD BF'!$W$68</f>
        <v>0</v>
      </c>
      <c r="X57" s="12">
        <f>'TUSD BE'!$X$57*'TUSD BF'!$X$68</f>
        <v>0</v>
      </c>
      <c r="Y57" s="12">
        <f>'TUSD BE'!$Y$57*'TUSD BF'!$Y$68</f>
        <v>0</v>
      </c>
      <c r="Z57" s="12">
        <f>'TUSD BE'!$Z$57*'TUSD BF'!$Z$68</f>
        <v>0</v>
      </c>
      <c r="AA57" s="12">
        <f>'TUSD BE'!$AA$57*'TUSD BF'!$AA$68</f>
        <v>0</v>
      </c>
      <c r="AB57" s="12">
        <f>SUM($U$57:$AA$57)</f>
        <v>0</v>
      </c>
      <c r="AC57" s="12">
        <f>'TUSD BE'!$AC$57*'TUSD BF'!$AC$68</f>
        <v>0</v>
      </c>
      <c r="AD57" s="12">
        <f>SUM($AC$57:$AC$57)</f>
        <v>0</v>
      </c>
      <c r="AE57" s="12">
        <f ca="1">$AO$57*$AO$65</f>
        <v>0</v>
      </c>
      <c r="AF57" s="12">
        <f ca="1">$AP$57*$AP$65</f>
        <v>0</v>
      </c>
      <c r="AG57" s="12">
        <f ca="1">SUM($AE$57:$AF$57)</f>
        <v>0</v>
      </c>
      <c r="AH57" s="12">
        <f>'TUSD BE'!$AH$57*'TUSD BF'!$AH$68</f>
        <v>2.2511687912962017</v>
      </c>
      <c r="AI57" s="12">
        <f>'TUSD BE'!$AI$57*'TUSD BF'!$AI$68</f>
        <v>8.2729048931983115E-2</v>
      </c>
      <c r="AJ57" s="12">
        <f ca="1">'TUSD BE'!$AJ$57*'TUSD BF'!$AJ$68</f>
        <v>0.24568763397361537</v>
      </c>
      <c r="AK57" s="12">
        <f ca="1">'TUSD BE'!$AK$57*'TUSD BF'!$AK$68</f>
        <v>0</v>
      </c>
      <c r="AL57" s="12">
        <f ca="1">SUM($AH$57:$AK$57)</f>
        <v>2.5795854742018003</v>
      </c>
      <c r="AM57" s="12">
        <f ca="1">SUMIF($L$4:$AL$4,"SUBTOTAL",$L$57:$AL$57)</f>
        <v>19.130948119856754</v>
      </c>
      <c r="AO57" s="20">
        <f ca="1">+'TUSD BE'!$T$57+'TUSD BE'!$AB$57+'TUSD BE'!$AD$57+'TUSD BE'!$AL$57</f>
        <v>278.54511388700081</v>
      </c>
      <c r="AP57" s="20">
        <f ca="1">+'TUSD BE'!$T$57+'TUSD BE'!$AB$57+'TUSD BE'!$AD$57+'TUSD BE'!$AL$57</f>
        <v>278.54511388700081</v>
      </c>
    </row>
    <row r="58" spans="1:42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'TUSD BE'!$L$58*'TUSD BF'!$L$68</f>
        <v>0.20662450953041317</v>
      </c>
      <c r="M58" s="12">
        <f>'TUSD BE'!$M$58*'TUSD BF'!$M$68</f>
        <v>0</v>
      </c>
      <c r="N58" s="12">
        <f ca="1">'TUSD BE'!$N$58*'TUSD BF'!$N$68</f>
        <v>0</v>
      </c>
      <c r="O58" s="12">
        <f>'TUSD BE'!$O$58*'TUSD BF'!$O$68</f>
        <v>0</v>
      </c>
      <c r="P58" s="12">
        <f>'TUSD BE'!$P$58*'TUSD BF'!$P$68</f>
        <v>0</v>
      </c>
      <c r="Q58" s="12">
        <f>'TUSD BE'!$Q$58*'TUSD BF'!$Q$68</f>
        <v>13.165803057752971</v>
      </c>
      <c r="R58" s="12">
        <f>'TUSD BE'!$R$58*'TUSD BF'!$R$68</f>
        <v>3.1789350783715706</v>
      </c>
      <c r="S58" s="12">
        <f>'TUSD BE'!$R$58*'TUSD BF'!$S$68</f>
        <v>0</v>
      </c>
      <c r="T58" s="12">
        <f ca="1">SUM($L$58:$S$58)</f>
        <v>16.551362645654955</v>
      </c>
      <c r="U58" s="12">
        <f>'TUSD BE'!$U$58*'TUSD BF'!$U$68</f>
        <v>0</v>
      </c>
      <c r="V58" s="12">
        <f>'TUSD BE'!$V$58*'TUSD BF'!$V$68</f>
        <v>0</v>
      </c>
      <c r="W58" s="12">
        <f>'TUSD BE'!$W$58*'TUSD BF'!$W$68</f>
        <v>0</v>
      </c>
      <c r="X58" s="12">
        <f>'TUSD BE'!$X$58*'TUSD BF'!$X$68</f>
        <v>0</v>
      </c>
      <c r="Y58" s="12">
        <f>'TUSD BE'!$Y$58*'TUSD BF'!$Y$68</f>
        <v>0</v>
      </c>
      <c r="Z58" s="12">
        <f>'TUSD BE'!$Z$58*'TUSD BF'!$Z$68</f>
        <v>0</v>
      </c>
      <c r="AA58" s="12">
        <f>'TUSD BE'!$AA$58*'TUSD BF'!$AA$68</f>
        <v>0</v>
      </c>
      <c r="AB58" s="12">
        <f>SUM($U$58:$AA$58)</f>
        <v>0</v>
      </c>
      <c r="AC58" s="12">
        <f>'TUSD BE'!$AC$58*'TUSD BF'!$AC$68</f>
        <v>0</v>
      </c>
      <c r="AD58" s="12">
        <f>SUM($AC$58:$AC$58)</f>
        <v>0</v>
      </c>
      <c r="AE58" s="12">
        <f ca="1">$AO$58*$AO$65</f>
        <v>0</v>
      </c>
      <c r="AF58" s="12">
        <f ca="1">$AP$58*$AP$65</f>
        <v>0</v>
      </c>
      <c r="AG58" s="12">
        <f ca="1">SUM($AE$58:$AF$58)</f>
        <v>0</v>
      </c>
      <c r="AH58" s="12">
        <f>'TUSD BE'!$AH$58*'TUSD BF'!$AH$68</f>
        <v>2.2511687912962017</v>
      </c>
      <c r="AI58" s="12">
        <f>'TUSD BE'!$AI$58*'TUSD BF'!$AI$68</f>
        <v>8.2729048931983115E-2</v>
      </c>
      <c r="AJ58" s="12">
        <f ca="1">'TUSD BE'!$AJ$58*'TUSD BF'!$AJ$68</f>
        <v>0.24568763397361537</v>
      </c>
      <c r="AK58" s="12">
        <f ca="1">'TUSD BE'!$AK$58*'TUSD BF'!$AK$68</f>
        <v>0</v>
      </c>
      <c r="AL58" s="12">
        <f ca="1">SUM($AH$58:$AK$58)</f>
        <v>2.5795854742018003</v>
      </c>
      <c r="AM58" s="12">
        <f ca="1">SUMIF($L$4:$AL$4,"SUBTOTAL",$L$58:$AL$58)</f>
        <v>19.130948119856754</v>
      </c>
      <c r="AO58" s="20">
        <f ca="1">+'TUSD BE'!$T$58+'TUSD BE'!$AB$58+'TUSD BE'!$AD$58+'TUSD BE'!$AL$58</f>
        <v>343.22837518745104</v>
      </c>
      <c r="AP58" s="20">
        <f ca="1">+'TUSD BE'!$T$58+'TUSD BE'!$AB$58+'TUSD BE'!$AD$58+'TUSD BE'!$AL$58</f>
        <v>343.22837518745104</v>
      </c>
    </row>
    <row r="59" spans="1:42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'TUSD BE'!$L$59*'TUSD BF'!$L$68</f>
        <v>0.20662450953041317</v>
      </c>
      <c r="M59" s="12">
        <f>'TUSD BE'!$M$59*'TUSD BF'!$M$68</f>
        <v>0</v>
      </c>
      <c r="N59" s="12">
        <f ca="1">'TUSD BE'!$N$59*'TUSD BF'!$N$68</f>
        <v>0</v>
      </c>
      <c r="O59" s="12">
        <f>'TUSD BE'!$O$59*'TUSD BF'!$O$68</f>
        <v>0</v>
      </c>
      <c r="P59" s="12">
        <f>'TUSD BE'!$P$59*'TUSD BF'!$P$68</f>
        <v>0</v>
      </c>
      <c r="Q59" s="12">
        <f>'TUSD BE'!$Q$59*'TUSD BF'!$Q$68</f>
        <v>13.165803057752971</v>
      </c>
      <c r="R59" s="12">
        <f>'TUSD BE'!$R$59*'TUSD BF'!$R$68</f>
        <v>3.1789350783715706</v>
      </c>
      <c r="S59" s="12">
        <f>'TUSD BE'!$R$59*'TUSD BF'!$S$68</f>
        <v>0</v>
      </c>
      <c r="T59" s="12">
        <f ca="1">SUM($L$59:$S$59)</f>
        <v>16.551362645654955</v>
      </c>
      <c r="U59" s="12">
        <f>'TUSD BE'!$U$59*'TUSD BF'!$U$68</f>
        <v>0</v>
      </c>
      <c r="V59" s="12">
        <f>'TUSD BE'!$V$59*'TUSD BF'!$V$68</f>
        <v>0</v>
      </c>
      <c r="W59" s="12">
        <f>'TUSD BE'!$W$59*'TUSD BF'!$W$68</f>
        <v>0</v>
      </c>
      <c r="X59" s="12">
        <f>'TUSD BE'!$X$59*'TUSD BF'!$X$68</f>
        <v>0</v>
      </c>
      <c r="Y59" s="12">
        <f>'TUSD BE'!$Y$59*'TUSD BF'!$Y$68</f>
        <v>0</v>
      </c>
      <c r="Z59" s="12">
        <f>'TUSD BE'!$Z$59*'TUSD BF'!$Z$68</f>
        <v>0</v>
      </c>
      <c r="AA59" s="12">
        <f>'TUSD BE'!$AA$59*'TUSD BF'!$AA$68</f>
        <v>0</v>
      </c>
      <c r="AB59" s="12">
        <f>SUM($U$59:$AA$59)</f>
        <v>0</v>
      </c>
      <c r="AC59" s="12">
        <f>'TUSD BE'!$AC$59*'TUSD BF'!$AC$68</f>
        <v>0</v>
      </c>
      <c r="AD59" s="12">
        <f>SUM($AC$59:$AC$59)</f>
        <v>0</v>
      </c>
      <c r="AE59" s="12">
        <f ca="1">$AO$59*$AO$65</f>
        <v>0</v>
      </c>
      <c r="AF59" s="12">
        <f ca="1">$AP$59*$AP$65</f>
        <v>0</v>
      </c>
      <c r="AG59" s="12">
        <f ca="1">SUM($AE$59:$AF$59)</f>
        <v>0</v>
      </c>
      <c r="AH59" s="12">
        <f>'TUSD BE'!$AH$59*'TUSD BF'!$AH$68</f>
        <v>2.2511687912962017</v>
      </c>
      <c r="AI59" s="12">
        <f>'TUSD BE'!$AI$59*'TUSD BF'!$AI$68</f>
        <v>8.2729048931983115E-2</v>
      </c>
      <c r="AJ59" s="12">
        <f ca="1">'TUSD BE'!$AJ$59*'TUSD BF'!$AJ$68</f>
        <v>0.24568763397361537</v>
      </c>
      <c r="AK59" s="12">
        <f ca="1">'TUSD BE'!$AK$59*'TUSD BF'!$AK$68</f>
        <v>0</v>
      </c>
      <c r="AL59" s="12">
        <f ca="1">SUM($AH$59:$AK$59)</f>
        <v>2.5795854742018003</v>
      </c>
      <c r="AM59" s="12">
        <f ca="1">SUMIF($L$4:$AL$4,"SUBTOTAL",$L$59:$AL$59)</f>
        <v>19.130948119856754</v>
      </c>
      <c r="AO59" s="20">
        <f ca="1">+'TUSD BE'!$T$59+'TUSD BE'!$AB$59+'TUSD BE'!$AD$59+'TUSD BE'!$AL$59</f>
        <v>343.22837518745104</v>
      </c>
      <c r="AP59" s="20">
        <f ca="1">+'TUSD BE'!$T$59+'TUSD BE'!$AB$59+'TUSD BE'!$AD$59+'TUSD BE'!$AL$59</f>
        <v>343.22837518745104</v>
      </c>
    </row>
    <row r="60" spans="1:42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'TUSD BE'!$L$60*'TUSD BF'!$L$68</f>
        <v>0.11364348024172725</v>
      </c>
      <c r="M60" s="12">
        <f>'TUSD BE'!$M$60*'TUSD BF'!$M$68</f>
        <v>0</v>
      </c>
      <c r="N60" s="12">
        <f ca="1">'TUSD BE'!$N$60*'TUSD BF'!$N$68</f>
        <v>0</v>
      </c>
      <c r="O60" s="12">
        <f>'TUSD BE'!$O$60*'TUSD BF'!$O$68</f>
        <v>0</v>
      </c>
      <c r="P60" s="12">
        <f>'TUSD BE'!$P$60*'TUSD BF'!$P$68</f>
        <v>0</v>
      </c>
      <c r="Q60" s="12">
        <f>'TUSD BE'!$Q$60*'TUSD BF'!$Q$68</f>
        <v>7.2411916817641337</v>
      </c>
      <c r="R60" s="12">
        <f>'TUSD BE'!$R$60*'TUSD BF'!$R$68</f>
        <v>1.748414293104364</v>
      </c>
      <c r="S60" s="12">
        <f>'TUSD BE'!$R$60*'TUSD BF'!$S$68</f>
        <v>0</v>
      </c>
      <c r="T60" s="12">
        <f ca="1">SUM($L$60:$S$60)</f>
        <v>9.103249455110225</v>
      </c>
      <c r="U60" s="12">
        <f>'TUSD BE'!$U$60*'TUSD BF'!$U$68</f>
        <v>0</v>
      </c>
      <c r="V60" s="12">
        <f>'TUSD BE'!$V$60*'TUSD BF'!$V$68</f>
        <v>0</v>
      </c>
      <c r="W60" s="12">
        <f>'TUSD BE'!$W$60*'TUSD BF'!$W$68</f>
        <v>0</v>
      </c>
      <c r="X60" s="12">
        <f>'TUSD BE'!$X$60*'TUSD BF'!$X$68</f>
        <v>0</v>
      </c>
      <c r="Y60" s="12">
        <f>'TUSD BE'!$Y$60*'TUSD BF'!$Y$68</f>
        <v>0</v>
      </c>
      <c r="Z60" s="12">
        <f>'TUSD BE'!$Z$60*'TUSD BF'!$Z$68</f>
        <v>0</v>
      </c>
      <c r="AA60" s="12">
        <f>'TUSD BE'!$AA$60*'TUSD BF'!$AA$68</f>
        <v>0</v>
      </c>
      <c r="AB60" s="12">
        <f>SUM($U$60:$AA$60)</f>
        <v>0</v>
      </c>
      <c r="AC60" s="12">
        <f>'TUSD BE'!$AC$60*'TUSD BF'!$AC$68</f>
        <v>0</v>
      </c>
      <c r="AD60" s="12">
        <f>SUM($AC$60:$AC$60)</f>
        <v>0</v>
      </c>
      <c r="AE60" s="12">
        <f ca="1">$AO$60*$AO$65</f>
        <v>0</v>
      </c>
      <c r="AF60" s="12">
        <f ca="1">$AP$60*$AP$65</f>
        <v>0</v>
      </c>
      <c r="AG60" s="12">
        <f ca="1">SUM($AE$60:$AF$60)</f>
        <v>0</v>
      </c>
      <c r="AH60" s="12">
        <f>'TUSD BE'!$AH$60*'TUSD BF'!$AH$68</f>
        <v>1.2381428352129109</v>
      </c>
      <c r="AI60" s="12">
        <f>'TUSD BE'!$AI$60*'TUSD BF'!$AI$68</f>
        <v>4.550097691259071E-2</v>
      </c>
      <c r="AJ60" s="12">
        <f ca="1">'TUSD BE'!$AJ$60*'TUSD BF'!$AJ$68</f>
        <v>0.13512819868548845</v>
      </c>
      <c r="AK60" s="12">
        <f ca="1">'TUSD BE'!$AK$60*'TUSD BF'!$AK$68</f>
        <v>0</v>
      </c>
      <c r="AL60" s="12">
        <f ca="1">SUM($AH$60:$AK$60)</f>
        <v>1.41877201081099</v>
      </c>
      <c r="AM60" s="12">
        <f ca="1">SUMIF($L$4:$AL$4,"SUBTOTAL",$L$60:$AL$60)</f>
        <v>10.522021465921215</v>
      </c>
      <c r="AO60" s="20">
        <f ca="1">+'TUSD BE'!$T$60+'TUSD BE'!$AB$60+'TUSD BE'!$AD$60+'TUSD BE'!$AL$60</f>
        <v>188.77560635309808</v>
      </c>
      <c r="AP60" s="20">
        <f ca="1">+'TUSD BE'!$T$60+'TUSD BE'!$AB$60+'TUSD BE'!$AD$60+'TUSD BE'!$AL$60</f>
        <v>188.77560635309808</v>
      </c>
    </row>
    <row r="61" spans="1:42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'TUSD BE'!$L$61*'TUSD BF'!$L$68</f>
        <v>0.1239747057182479</v>
      </c>
      <c r="M61" s="12">
        <f>'TUSD BE'!$M$61*'TUSD BF'!$M$68</f>
        <v>0</v>
      </c>
      <c r="N61" s="12">
        <f ca="1">'TUSD BE'!$N$61*'TUSD BF'!$N$68</f>
        <v>0</v>
      </c>
      <c r="O61" s="12">
        <f>'TUSD BE'!$O$61*'TUSD BF'!$O$68</f>
        <v>0</v>
      </c>
      <c r="P61" s="12">
        <f>'TUSD BE'!$P$61*'TUSD BF'!$P$68</f>
        <v>0</v>
      </c>
      <c r="Q61" s="12">
        <f>'TUSD BE'!$Q$61*'TUSD BF'!$Q$68</f>
        <v>7.8994818346517821</v>
      </c>
      <c r="R61" s="12">
        <f>'TUSD BE'!$R$61*'TUSD BF'!$R$68</f>
        <v>1.9073610470229425</v>
      </c>
      <c r="S61" s="12">
        <f>'TUSD BE'!$R$61*'TUSD BF'!$S$68</f>
        <v>0</v>
      </c>
      <c r="T61" s="12">
        <f ca="1">SUM($L$61:$S$61)</f>
        <v>9.9308175873929727</v>
      </c>
      <c r="U61" s="12">
        <f>'TUSD BE'!$U$61*'TUSD BF'!$U$68</f>
        <v>0</v>
      </c>
      <c r="V61" s="12">
        <f>'TUSD BE'!$V$61*'TUSD BF'!$V$68</f>
        <v>0</v>
      </c>
      <c r="W61" s="12">
        <f>'TUSD BE'!$W$61*'TUSD BF'!$W$68</f>
        <v>0</v>
      </c>
      <c r="X61" s="12">
        <f>'TUSD BE'!$X$61*'TUSD BF'!$X$68</f>
        <v>0</v>
      </c>
      <c r="Y61" s="12">
        <f>'TUSD BE'!$Y$61*'TUSD BF'!$Y$68</f>
        <v>0</v>
      </c>
      <c r="Z61" s="12">
        <f>'TUSD BE'!$Z$61*'TUSD BF'!$Z$68</f>
        <v>0</v>
      </c>
      <c r="AA61" s="12">
        <f>'TUSD BE'!$AA$61*'TUSD BF'!$AA$68</f>
        <v>0</v>
      </c>
      <c r="AB61" s="12">
        <f>SUM($U$61:$AA$61)</f>
        <v>0</v>
      </c>
      <c r="AC61" s="12">
        <f>'TUSD BE'!$AC$61*'TUSD BF'!$AC$68</f>
        <v>0</v>
      </c>
      <c r="AD61" s="12">
        <f>SUM($AC$61:$AC$61)</f>
        <v>0</v>
      </c>
      <c r="AE61" s="12">
        <f ca="1">$AO$61*$AO$65</f>
        <v>0</v>
      </c>
      <c r="AF61" s="12">
        <f ca="1">$AP$61*$AP$65</f>
        <v>0</v>
      </c>
      <c r="AG61" s="12">
        <f ca="1">SUM($AE$61:$AF$61)</f>
        <v>0</v>
      </c>
      <c r="AH61" s="12">
        <f>'TUSD BE'!$AH$61*'TUSD BF'!$AH$68</f>
        <v>1.3507012747777212</v>
      </c>
      <c r="AI61" s="12">
        <f>'TUSD BE'!$AI$61*'TUSD BF'!$AI$68</f>
        <v>4.9637429359189869E-2</v>
      </c>
      <c r="AJ61" s="12">
        <f ca="1">'TUSD BE'!$AJ$61*'TUSD BF'!$AJ$68</f>
        <v>0.14741258038416921</v>
      </c>
      <c r="AK61" s="12">
        <f ca="1">'TUSD BE'!$AK$61*'TUSD BF'!$AK$68</f>
        <v>0</v>
      </c>
      <c r="AL61" s="12">
        <f ca="1">SUM($AH$61:$AK$61)</f>
        <v>1.5477512845210804</v>
      </c>
      <c r="AM61" s="12">
        <f ca="1">SUMIF($L$4:$AL$4,"SUBTOTAL",$L$61:$AL$61)</f>
        <v>11.478568871914053</v>
      </c>
      <c r="AO61" s="20">
        <f ca="1">+'TUSD BE'!$T$61+'TUSD BE'!$AB$61+'TUSD BE'!$AD$61+'TUSD BE'!$AL$61</f>
        <v>205.93702511247065</v>
      </c>
      <c r="AP61" s="20">
        <f ca="1">+'TUSD BE'!$T$61+'TUSD BE'!$AB$61+'TUSD BE'!$AD$61+'TUSD BE'!$AL$61</f>
        <v>205.93702511247065</v>
      </c>
    </row>
    <row r="63" spans="1:42" ht="11.25" customHeight="1" x14ac:dyDescent="0.25">
      <c r="K63" s="16" t="s">
        <v>691</v>
      </c>
      <c r="L63" s="12">
        <f>SUMPRODUCT($I$5:$I61,$L$5:$L61)</f>
        <v>62582.817979041523</v>
      </c>
      <c r="M63" s="12">
        <f>SUMPRODUCT($I$5:$I61,$M$5:$M61)</f>
        <v>0</v>
      </c>
      <c r="N63" s="12">
        <f ca="1">SUMPRODUCT($I$5:$I61,$N$5:$N61)</f>
        <v>0</v>
      </c>
      <c r="O63" s="12">
        <f>SUMPRODUCT($I$5:$I61,$O$5:$O61)</f>
        <v>0</v>
      </c>
      <c r="P63" s="12">
        <f>SUMPRODUCT($I$5:$I61,$P$5:$P61)</f>
        <v>0</v>
      </c>
      <c r="Q63" s="12">
        <f>SUMPRODUCT($I$5:$I61,$Q$5:$Q61)</f>
        <v>3987683.0593999987</v>
      </c>
      <c r="R63" s="12">
        <f>SUMPRODUCT($I$5:$I61,$R$5:$R61)</f>
        <v>1069650.2377999998</v>
      </c>
      <c r="S63" s="12">
        <f>SUMPRODUCT($I$5:$I61,$S$5:$S61)</f>
        <v>0</v>
      </c>
      <c r="T63" s="12">
        <f ca="1">SUMPRODUCT($I$5:$I61,$T$5:$T61)</f>
        <v>5119916.1151790414</v>
      </c>
      <c r="U63" s="12">
        <f>SUMPRODUCT($I$5:$I61,$U$5:$U61)</f>
        <v>0</v>
      </c>
      <c r="V63" s="12">
        <f>SUMPRODUCT($I$5:$I61,$V$5:$V61)</f>
        <v>0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0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0</v>
      </c>
      <c r="AC63" s="12">
        <f>SUMPRODUCT($I$5:$I61,$AC$5:$AC61)</f>
        <v>0</v>
      </c>
      <c r="AD63" s="12">
        <f>SUMPRODUCT($I$5:$I61,$AD$5:$AD61)</f>
        <v>0</v>
      </c>
      <c r="AE63" s="12">
        <f ca="1">SUMPRODUCT($I$5:$I61,$AE$5:$AE61)</f>
        <v>0</v>
      </c>
      <c r="AF63" s="12">
        <f ca="1">SUMPRODUCT($I$5:$I61,$AF$5:$AF61)</f>
        <v>0</v>
      </c>
      <c r="AG63" s="12">
        <f ca="1">SUMPRODUCT($I$5:$I61,$AG$5:$AG61)</f>
        <v>0</v>
      </c>
      <c r="AH63" s="12">
        <f>SUMPRODUCT($I$5:$I61,$AH$5:$AH61)</f>
        <v>439928.63631860469</v>
      </c>
      <c r="AI63" s="12">
        <f>SUMPRODUCT($I$5:$I61,$AI$5:$AI61)</f>
        <v>16167.102982813925</v>
      </c>
      <c r="AJ63" s="12">
        <f ca="1">SUMPRODUCT($I$5:$I61,$AJ$5:$AJ61)</f>
        <v>68111.256094961005</v>
      </c>
      <c r="AK63" s="12">
        <f ca="1">SUMPRODUCT($I$5:$I61,$AK$5:$AK61)</f>
        <v>0</v>
      </c>
      <c r="AL63" s="12">
        <f ca="1">SUMPRODUCT($I$5:$I61,$AL$5:$AL61)</f>
        <v>524206.99539637961</v>
      </c>
      <c r="AM63" s="12">
        <f ca="1">SUMPRODUCT($I$5:$I61,$AM$5:$AM61)</f>
        <v>5644123.1105754226</v>
      </c>
      <c r="AO63" s="17">
        <f ca="1">SUMPRODUCT($I$5:$I61,$AO$5:$AO61)</f>
        <v>91574863.01301533</v>
      </c>
      <c r="AP63" s="17">
        <f ca="1">SUMPRODUCT($I$5:$I61,$AP$5:$AP61)</f>
        <v>91574863.01301533</v>
      </c>
    </row>
    <row r="64" spans="1:42" ht="11.25" customHeight="1" x14ac:dyDescent="0.25">
      <c r="K64" s="16" t="s">
        <v>623</v>
      </c>
      <c r="L64" s="12">
        <f>'TR TUSD'!$L$66</f>
        <v>697442.17467197916</v>
      </c>
      <c r="M64" s="12">
        <f>'TR TUSD'!$M$66</f>
        <v>124119.17919688004</v>
      </c>
      <c r="N64" s="12">
        <f>'TR TUSD'!$N$66</f>
        <v>703144.23757571727</v>
      </c>
      <c r="O64" s="12">
        <f>'TR TUSD'!$O$66</f>
        <v>0</v>
      </c>
      <c r="P64" s="12">
        <f>'TR TUSD'!$P$66</f>
        <v>0</v>
      </c>
      <c r="Q64" s="12">
        <f>'TR TUSD'!$Q$66</f>
        <v>27418446.470860098</v>
      </c>
      <c r="R64" s="12">
        <f>'TR TUSD'!$R$66</f>
        <v>4828803.3032447295</v>
      </c>
      <c r="S64" s="12">
        <f>'TR TUSD'!$S$66</f>
        <v>0</v>
      </c>
      <c r="T64" s="12">
        <f>'TR TUSD'!$T$66</f>
        <v>33771955.365549408</v>
      </c>
      <c r="U64" s="12">
        <f>'TR TUSD'!$U$66</f>
        <v>0</v>
      </c>
      <c r="V64" s="12">
        <f>'TR TUSD'!$V$66</f>
        <v>0</v>
      </c>
      <c r="W64" s="12">
        <f>'TR TUSD'!$W$66</f>
        <v>0</v>
      </c>
      <c r="X64" s="12">
        <f>'TR TUSD'!$X$66</f>
        <v>0</v>
      </c>
      <c r="Y64" s="12">
        <f>'TR TUSD'!$Y$66</f>
        <v>25961487.078740001</v>
      </c>
      <c r="Z64" s="12">
        <f>'TR TUSD'!$Z$66</f>
        <v>0</v>
      </c>
      <c r="AA64" s="12">
        <f>'TR TUSD'!$AA$66</f>
        <v>0</v>
      </c>
      <c r="AB64" s="12">
        <f>'TR TUSD'!$AB$66</f>
        <v>25961487.078740001</v>
      </c>
      <c r="AC64" s="12">
        <f>'TR TUSD'!$AC$66</f>
        <v>27932230.133610278</v>
      </c>
      <c r="AD64" s="12">
        <f>'TR TUSD'!$AD$66</f>
        <v>27932230.133610278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3205620.5271767355</v>
      </c>
      <c r="AI64" s="12">
        <f>'TR TUSD'!$AI$66</f>
        <v>117804.55489411573</v>
      </c>
      <c r="AJ64" s="12">
        <f>'TR TUSD'!$AJ$66</f>
        <v>496305.13370735297</v>
      </c>
      <c r="AK64" s="12">
        <f>'TR TUSD'!$AK$66</f>
        <v>89460.219337455084</v>
      </c>
      <c r="AL64" s="12">
        <f>'TR TUSD'!$AL$66</f>
        <v>3909190.4351156591</v>
      </c>
      <c r="AM64" s="12">
        <f>CUSTOS!$D$29</f>
        <v>91574863.01301536</v>
      </c>
      <c r="AO64" s="17">
        <f>$AE$66</f>
        <v>0</v>
      </c>
      <c r="AP64" s="17">
        <f>$AF$66</f>
        <v>0</v>
      </c>
    </row>
    <row r="65" spans="11:42" ht="11.25" customHeight="1" x14ac:dyDescent="0.25">
      <c r="K65" s="16" t="s">
        <v>624</v>
      </c>
      <c r="L65" s="12">
        <f>CUSTOS!$E$2</f>
        <v>-357318.81649529445</v>
      </c>
      <c r="M65" s="12">
        <f>CUSTOS!$E$3</f>
        <v>-3228.9092881405668</v>
      </c>
      <c r="N65" s="12">
        <f>CUSTOS!$E$4</f>
        <v>3.1154783332886529E-2</v>
      </c>
      <c r="O65" s="12">
        <f>CUSTOS!$E$5</f>
        <v>0</v>
      </c>
      <c r="P65" s="12">
        <f>CUSTOS!$E$6</f>
        <v>0</v>
      </c>
      <c r="Q65" s="12">
        <f>CUSTOS!$E$7</f>
        <v>-552044.3899621875</v>
      </c>
      <c r="R65" s="12">
        <f>CUSTOS!$E$8</f>
        <v>-93681.673491500784</v>
      </c>
      <c r="S65" s="12">
        <f>CUSTOS!$E$9</f>
        <v>0</v>
      </c>
      <c r="T65" s="12">
        <f>CUSTOS!$E$10</f>
        <v>-1006273.75808234</v>
      </c>
      <c r="U65" s="12">
        <f>CUSTOS!$E$11</f>
        <v>0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1584254.3842446101</v>
      </c>
      <c r="Z65" s="12">
        <f>CUSTOS!$E$16</f>
        <v>0</v>
      </c>
      <c r="AA65" s="12">
        <f>CUSTOS!$E$17</f>
        <v>0</v>
      </c>
      <c r="AB65" s="12">
        <f>CUSTOS!$E$18</f>
        <v>1584254.3842446101</v>
      </c>
      <c r="AC65" s="12">
        <f>CUSTOS!$E$19</f>
        <v>0</v>
      </c>
      <c r="AD65" s="12">
        <f>CUSTOS!$E$20</f>
        <v>0</v>
      </c>
      <c r="AE65" s="12">
        <f>CUSTOS!$E$21</f>
        <v>0</v>
      </c>
      <c r="AF65" s="12">
        <f>CUSTOS!$E$22</f>
        <v>0</v>
      </c>
      <c r="AG65" s="12">
        <f>CUSTOS!$E$23</f>
        <v>0</v>
      </c>
      <c r="AH65" s="12">
        <f>CUSTOS!$E$24</f>
        <v>-231560.95070354312</v>
      </c>
      <c r="AI65" s="12">
        <f>CUSTOS!$E$25</f>
        <v>-8509.7205041029483</v>
      </c>
      <c r="AJ65" s="12">
        <f>CUSTOS!$E$26</f>
        <v>-35851.058360154915</v>
      </c>
      <c r="AK65" s="12">
        <f>CUSTOS!$E$27</f>
        <v>6776.0694727427945</v>
      </c>
      <c r="AL65" s="12">
        <f>CUSTOS!$E$28</f>
        <v>-269145.66009505821</v>
      </c>
      <c r="AM65" s="12">
        <f>CUSTOS!$E$29</f>
        <v>308834.96606721188</v>
      </c>
      <c r="AO65" s="17">
        <f ca="1">IF(AO63&lt;&gt;0,AO64/AO63,0)</f>
        <v>0</v>
      </c>
      <c r="AP65" s="17">
        <f ca="1">IF(AP63&lt;&gt;0,AP64/AP63,0)</f>
        <v>0</v>
      </c>
    </row>
    <row r="66" spans="11:42" ht="11.25" customHeight="1" x14ac:dyDescent="0.25">
      <c r="K66" s="16" t="s">
        <v>625</v>
      </c>
      <c r="L66" s="12">
        <f>CUSTOS!$F$2</f>
        <v>62582.817979041516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3987683.0594000001</v>
      </c>
      <c r="R66" s="12">
        <f>CUSTOS!$F$8</f>
        <v>1069650.2378</v>
      </c>
      <c r="S66" s="12">
        <f>CUSTOS!$F$9</f>
        <v>0</v>
      </c>
      <c r="T66" s="12">
        <f>CUSTOS!$F$10</f>
        <v>5119916.1151790414</v>
      </c>
      <c r="U66" s="12">
        <f>CUSTOS!$F$11</f>
        <v>0</v>
      </c>
      <c r="V66" s="12">
        <f>CUSTOS!$F$12</f>
        <v>0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0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439928.63631860464</v>
      </c>
      <c r="AI66" s="12">
        <f>CUSTOS!$F$25</f>
        <v>16167.102982813924</v>
      </c>
      <c r="AJ66" s="12">
        <f>CUSTOS!$F$26</f>
        <v>68111.256094961005</v>
      </c>
      <c r="AK66" s="12">
        <f>CUSTOS!$F$27</f>
        <v>0</v>
      </c>
      <c r="AL66" s="12">
        <f>CUSTOS!$F$28</f>
        <v>524206.99539637956</v>
      </c>
      <c r="AM66" s="12">
        <f>CUSTOS!$F$29</f>
        <v>5644123.1105754208</v>
      </c>
    </row>
    <row r="67" spans="11:42" ht="11.25" customHeight="1" x14ac:dyDescent="0.25">
      <c r="K67" s="16" t="s">
        <v>688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/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/>
      <c r="AC67" s="12">
        <v>0</v>
      </c>
      <c r="AD67" s="12"/>
      <c r="AE67" s="12">
        <v>0</v>
      </c>
      <c r="AF67" s="12">
        <v>0</v>
      </c>
      <c r="AG67" s="12"/>
      <c r="AH67" s="12">
        <v>0</v>
      </c>
      <c r="AI67" s="12">
        <v>0</v>
      </c>
      <c r="AJ67" s="12">
        <v>0</v>
      </c>
      <c r="AK67" s="12">
        <v>0</v>
      </c>
      <c r="AL67" s="12"/>
      <c r="AM67" s="12"/>
    </row>
  </sheetData>
  <mergeCells count="86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A5:A14"/>
    <mergeCell ref="B5:B8"/>
    <mergeCell ref="C5:C8"/>
    <mergeCell ref="D5:D8"/>
    <mergeCell ref="E5:E7"/>
    <mergeCell ref="J1:J4"/>
    <mergeCell ref="L1:AM1"/>
    <mergeCell ref="A1:A4"/>
    <mergeCell ref="E20:E22"/>
    <mergeCell ref="C10:C14"/>
    <mergeCell ref="D10:D14"/>
    <mergeCell ref="E10:E12"/>
    <mergeCell ref="F10:F12"/>
    <mergeCell ref="E13:E14"/>
    <mergeCell ref="F13:F14"/>
    <mergeCell ref="F20:F22"/>
    <mergeCell ref="F5:F7"/>
    <mergeCell ref="B10:B14"/>
    <mergeCell ref="G1:G4"/>
    <mergeCell ref="H1:H4"/>
    <mergeCell ref="I1:I4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F27:F29"/>
    <mergeCell ref="B30:B34"/>
    <mergeCell ref="C30:C34"/>
    <mergeCell ref="B35:B39"/>
    <mergeCell ref="C35:C39"/>
    <mergeCell ref="A27:A39"/>
    <mergeCell ref="B27:B29"/>
    <mergeCell ref="C27:C29"/>
    <mergeCell ref="D27:D29"/>
    <mergeCell ref="E27:E29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E55:E57"/>
    <mergeCell ref="F55:F57"/>
    <mergeCell ref="A60:A61"/>
    <mergeCell ref="B60:B61"/>
    <mergeCell ref="C60:C61"/>
    <mergeCell ref="D55:D57"/>
  </mergeCells>
  <conditionalFormatting sqref="L63">
    <cfRule type="cellIs" dxfId="943" priority="55" operator="notEqual">
      <formula>$L$66</formula>
    </cfRule>
    <cfRule type="cellIs" dxfId="942" priority="56" operator="equal">
      <formula>$L$66</formula>
    </cfRule>
  </conditionalFormatting>
  <conditionalFormatting sqref="M63">
    <cfRule type="cellIs" dxfId="941" priority="53" operator="notEqual">
      <formula>$M$66</formula>
    </cfRule>
    <cfRule type="cellIs" dxfId="940" priority="54" operator="equal">
      <formula>$M$66</formula>
    </cfRule>
  </conditionalFormatting>
  <conditionalFormatting sqref="N63">
    <cfRule type="cellIs" dxfId="939" priority="51" operator="notEqual">
      <formula>$N$66</formula>
    </cfRule>
    <cfRule type="cellIs" dxfId="938" priority="52" operator="equal">
      <formula>$N$66</formula>
    </cfRule>
  </conditionalFormatting>
  <conditionalFormatting sqref="O63">
    <cfRule type="cellIs" dxfId="937" priority="49" operator="notEqual">
      <formula>$O$66</formula>
    </cfRule>
    <cfRule type="cellIs" dxfId="936" priority="50" operator="equal">
      <formula>$O$66</formula>
    </cfRule>
  </conditionalFormatting>
  <conditionalFormatting sqref="P63">
    <cfRule type="cellIs" dxfId="935" priority="47" operator="notEqual">
      <formula>$P$66</formula>
    </cfRule>
    <cfRule type="cellIs" dxfId="934" priority="48" operator="equal">
      <formula>$P$66</formula>
    </cfRule>
  </conditionalFormatting>
  <conditionalFormatting sqref="Q63">
    <cfRule type="cellIs" dxfId="933" priority="45" operator="notEqual">
      <formula>$Q$66</formula>
    </cfRule>
    <cfRule type="cellIs" dxfId="932" priority="46" operator="equal">
      <formula>$Q$66</formula>
    </cfRule>
  </conditionalFormatting>
  <conditionalFormatting sqref="R63">
    <cfRule type="cellIs" dxfId="931" priority="43" operator="notEqual">
      <formula>$R$66</formula>
    </cfRule>
    <cfRule type="cellIs" dxfId="930" priority="44" operator="equal">
      <formula>$R$66</formula>
    </cfRule>
  </conditionalFormatting>
  <conditionalFormatting sqref="S63">
    <cfRule type="cellIs" dxfId="929" priority="41" operator="notEqual">
      <formula>$S$66</formula>
    </cfRule>
    <cfRule type="cellIs" dxfId="928" priority="42" operator="equal">
      <formula>$S$66</formula>
    </cfRule>
  </conditionalFormatting>
  <conditionalFormatting sqref="T63">
    <cfRule type="cellIs" dxfId="927" priority="39" operator="notEqual">
      <formula>$T$66</formula>
    </cfRule>
    <cfRule type="cellIs" dxfId="926" priority="40" operator="equal">
      <formula>$T$66</formula>
    </cfRule>
  </conditionalFormatting>
  <conditionalFormatting sqref="U63">
    <cfRule type="cellIs" dxfId="925" priority="37" operator="notEqual">
      <formula>$U$66</formula>
    </cfRule>
    <cfRule type="cellIs" dxfId="924" priority="38" operator="equal">
      <formula>$U$66</formula>
    </cfRule>
  </conditionalFormatting>
  <conditionalFormatting sqref="V63">
    <cfRule type="cellIs" dxfId="923" priority="35" operator="notEqual">
      <formula>$V$66</formula>
    </cfRule>
    <cfRule type="cellIs" dxfId="922" priority="36" operator="equal">
      <formula>$V$66</formula>
    </cfRule>
  </conditionalFormatting>
  <conditionalFormatting sqref="W63">
    <cfRule type="cellIs" dxfId="921" priority="33" operator="notEqual">
      <formula>$W$66</formula>
    </cfRule>
    <cfRule type="cellIs" dxfId="920" priority="34" operator="equal">
      <formula>$W$66</formula>
    </cfRule>
  </conditionalFormatting>
  <conditionalFormatting sqref="X63">
    <cfRule type="cellIs" dxfId="919" priority="31" operator="notEqual">
      <formula>$X$66</formula>
    </cfRule>
    <cfRule type="cellIs" dxfId="918" priority="32" operator="equal">
      <formula>$X$66</formula>
    </cfRule>
  </conditionalFormatting>
  <conditionalFormatting sqref="Y63">
    <cfRule type="cellIs" dxfId="917" priority="29" operator="notEqual">
      <formula>$Y$66</formula>
    </cfRule>
    <cfRule type="cellIs" dxfId="916" priority="30" operator="equal">
      <formula>$Y$66</formula>
    </cfRule>
  </conditionalFormatting>
  <conditionalFormatting sqref="Z63">
    <cfRule type="cellIs" dxfId="915" priority="27" operator="notEqual">
      <formula>$Z$66</formula>
    </cfRule>
    <cfRule type="cellIs" dxfId="914" priority="28" operator="equal">
      <formula>$Z$66</formula>
    </cfRule>
  </conditionalFormatting>
  <conditionalFormatting sqref="AA63">
    <cfRule type="cellIs" dxfId="913" priority="25" operator="notEqual">
      <formula>$AA$66</formula>
    </cfRule>
    <cfRule type="cellIs" dxfId="912" priority="26" operator="equal">
      <formula>$AA$66</formula>
    </cfRule>
  </conditionalFormatting>
  <conditionalFormatting sqref="AB63">
    <cfRule type="cellIs" dxfId="911" priority="23" operator="notEqual">
      <formula>$AB$66</formula>
    </cfRule>
    <cfRule type="cellIs" dxfId="910" priority="24" operator="equal">
      <formula>$AB$66</formula>
    </cfRule>
  </conditionalFormatting>
  <conditionalFormatting sqref="AC63">
    <cfRule type="cellIs" dxfId="909" priority="21" operator="notEqual">
      <formula>$AC$66</formula>
    </cfRule>
    <cfRule type="cellIs" dxfId="908" priority="22" operator="equal">
      <formula>$AC$66</formula>
    </cfRule>
  </conditionalFormatting>
  <conditionalFormatting sqref="AD63">
    <cfRule type="cellIs" dxfId="907" priority="19" operator="notEqual">
      <formula>$AD$66</formula>
    </cfRule>
    <cfRule type="cellIs" dxfId="906" priority="20" operator="equal">
      <formula>$AD$66</formula>
    </cfRule>
  </conditionalFormatting>
  <conditionalFormatting sqref="AE63">
    <cfRule type="cellIs" dxfId="905" priority="17" operator="notEqual">
      <formula>$AE$66</formula>
    </cfRule>
    <cfRule type="cellIs" dxfId="904" priority="18" operator="equal">
      <formula>$AE$66</formula>
    </cfRule>
  </conditionalFormatting>
  <conditionalFormatting sqref="AF63">
    <cfRule type="cellIs" dxfId="903" priority="16" operator="equal">
      <formula>$AF$66</formula>
    </cfRule>
  </conditionalFormatting>
  <conditionalFormatting sqref="AF63">
    <cfRule type="cellIs" dxfId="902" priority="15" operator="notEqual">
      <formula>$AF$66</formula>
    </cfRule>
  </conditionalFormatting>
  <conditionalFormatting sqref="AG63">
    <cfRule type="cellIs" dxfId="901" priority="14" operator="equal">
      <formula>$AG$66</formula>
    </cfRule>
  </conditionalFormatting>
  <conditionalFormatting sqref="AG63">
    <cfRule type="cellIs" dxfId="900" priority="13" operator="notEqual">
      <formula>$AG$66</formula>
    </cfRule>
  </conditionalFormatting>
  <conditionalFormatting sqref="AH63">
    <cfRule type="cellIs" dxfId="899" priority="12" operator="equal">
      <formula>$AH$66</formula>
    </cfRule>
  </conditionalFormatting>
  <conditionalFormatting sqref="AH63">
    <cfRule type="cellIs" dxfId="898" priority="11" operator="notEqual">
      <formula>$AH$66</formula>
    </cfRule>
  </conditionalFormatting>
  <conditionalFormatting sqref="AI63">
    <cfRule type="cellIs" dxfId="897" priority="10" operator="equal">
      <formula>$AI$66</formula>
    </cfRule>
  </conditionalFormatting>
  <conditionalFormatting sqref="AI63">
    <cfRule type="cellIs" dxfId="896" priority="9" operator="notEqual">
      <formula>$AI$66</formula>
    </cfRule>
  </conditionalFormatting>
  <conditionalFormatting sqref="AJ63">
    <cfRule type="cellIs" dxfId="895" priority="8" operator="equal">
      <formula>$AJ$66</formula>
    </cfRule>
  </conditionalFormatting>
  <conditionalFormatting sqref="AJ63">
    <cfRule type="cellIs" dxfId="894" priority="7" operator="notEqual">
      <formula>$AJ$66</formula>
    </cfRule>
  </conditionalFormatting>
  <conditionalFormatting sqref="AK63">
    <cfRule type="cellIs" dxfId="893" priority="6" operator="equal">
      <formula>$AK$66</formula>
    </cfRule>
  </conditionalFormatting>
  <conditionalFormatting sqref="AK63">
    <cfRule type="cellIs" dxfId="892" priority="5" operator="notEqual">
      <formula>$AK$66</formula>
    </cfRule>
  </conditionalFormatting>
  <conditionalFormatting sqref="AL63">
    <cfRule type="cellIs" dxfId="891" priority="4" operator="equal">
      <formula>$AL$66</formula>
    </cfRule>
  </conditionalFormatting>
  <conditionalFormatting sqref="AL63">
    <cfRule type="cellIs" dxfId="890" priority="3" operator="notEqual">
      <formula>$AL$66</formula>
    </cfRule>
  </conditionalFormatting>
  <conditionalFormatting sqref="AM63">
    <cfRule type="cellIs" dxfId="889" priority="2" operator="equal">
      <formula>$AM$66</formula>
    </cfRule>
  </conditionalFormatting>
  <conditionalFormatting sqref="AM63">
    <cfRule type="cellIs" dxfId="888" priority="1" operator="notEqual">
      <formula>$AM$66</formula>
    </cfRule>
  </conditionalFormatting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DC25-027C-4A7C-B111-6AEB1D64EBC2}">
  <dimension ref="A1:AB53"/>
  <sheetViews>
    <sheetView showGridLines="0" topLeftCell="A27" workbookViewId="0">
      <selection activeCell="K47" sqref="K47:AB5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8.710937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703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</row>
    <row r="2" spans="1:28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</row>
    <row r="3" spans="1:28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164"/>
      <c r="R3" s="164" t="s">
        <v>613</v>
      </c>
      <c r="S3" s="164"/>
      <c r="T3" s="164" t="s">
        <v>591</v>
      </c>
      <c r="U3" s="164"/>
      <c r="V3" s="164"/>
      <c r="W3" s="164"/>
      <c r="X3" s="164" t="s">
        <v>601</v>
      </c>
      <c r="Y3" s="164"/>
      <c r="Z3" s="164" t="s">
        <v>604</v>
      </c>
      <c r="AA3" s="164"/>
      <c r="AB3" s="164" t="s">
        <v>590</v>
      </c>
    </row>
    <row r="4" spans="1:28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590</v>
      </c>
      <c r="R4" s="24" t="s">
        <v>614</v>
      </c>
      <c r="S4" s="24" t="s">
        <v>590</v>
      </c>
      <c r="T4" s="24" t="s">
        <v>615</v>
      </c>
      <c r="U4" s="24" t="s">
        <v>616</v>
      </c>
      <c r="V4" s="24" t="s">
        <v>617</v>
      </c>
      <c r="W4" s="24" t="s">
        <v>590</v>
      </c>
      <c r="X4" s="24" t="s">
        <v>602</v>
      </c>
      <c r="Y4" s="24" t="s">
        <v>590</v>
      </c>
      <c r="Z4" s="24" t="s">
        <v>618</v>
      </c>
      <c r="AA4" s="24" t="s">
        <v>590</v>
      </c>
      <c r="AB4" s="165"/>
    </row>
    <row r="5" spans="1:28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/>
      <c r="R5" s="20">
        <v>1.72</v>
      </c>
      <c r="S5" s="20"/>
      <c r="T5" s="20">
        <v>1</v>
      </c>
      <c r="U5" s="20">
        <v>1</v>
      </c>
      <c r="V5" s="20">
        <v>1</v>
      </c>
      <c r="W5" s="20"/>
      <c r="X5" s="20"/>
      <c r="Y5" s="20"/>
      <c r="Z5" s="20">
        <v>1</v>
      </c>
      <c r="AA5" s="20"/>
      <c r="AB5" s="20"/>
    </row>
    <row r="6" spans="1:28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/>
      <c r="R6" s="20">
        <v>1</v>
      </c>
      <c r="S6" s="20"/>
      <c r="T6" s="20">
        <v>1</v>
      </c>
      <c r="U6" s="20">
        <v>1</v>
      </c>
      <c r="V6" s="20">
        <v>1</v>
      </c>
      <c r="W6" s="20"/>
      <c r="X6" s="20"/>
      <c r="Y6" s="20"/>
      <c r="Z6" s="20">
        <v>1</v>
      </c>
      <c r="AA6" s="20"/>
      <c r="AB6" s="20"/>
    </row>
    <row r="7" spans="1:28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/>
      <c r="R7" s="20">
        <v>1.06</v>
      </c>
      <c r="S7" s="20"/>
      <c r="T7" s="20">
        <v>1</v>
      </c>
      <c r="U7" s="20">
        <v>1</v>
      </c>
      <c r="V7" s="20">
        <v>1</v>
      </c>
      <c r="W7" s="20"/>
      <c r="X7" s="20"/>
      <c r="Y7" s="20"/>
      <c r="Z7" s="20">
        <v>1</v>
      </c>
      <c r="AA7" s="20"/>
      <c r="AB7" s="20"/>
    </row>
    <row r="8" spans="1:28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/>
      <c r="R8" s="20">
        <v>1.72</v>
      </c>
      <c r="S8" s="20"/>
      <c r="T8" s="20">
        <v>1</v>
      </c>
      <c r="U8" s="20">
        <v>1</v>
      </c>
      <c r="V8" s="20">
        <v>1</v>
      </c>
      <c r="W8" s="20"/>
      <c r="X8" s="20"/>
      <c r="Y8" s="20"/>
      <c r="Z8" s="20">
        <v>1</v>
      </c>
      <c r="AA8" s="20"/>
      <c r="AB8" s="20"/>
    </row>
    <row r="9" spans="1:28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/>
      <c r="R9" s="20">
        <v>1</v>
      </c>
      <c r="S9" s="20"/>
      <c r="T9" s="20">
        <v>1</v>
      </c>
      <c r="U9" s="20">
        <v>1</v>
      </c>
      <c r="V9" s="20">
        <v>1</v>
      </c>
      <c r="W9" s="20"/>
      <c r="X9" s="20"/>
      <c r="Y9" s="20"/>
      <c r="Z9" s="20">
        <v>1</v>
      </c>
      <c r="AA9" s="20"/>
      <c r="AB9" s="20"/>
    </row>
    <row r="10" spans="1:28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/>
      <c r="R10" s="20">
        <v>1.06</v>
      </c>
      <c r="S10" s="20"/>
      <c r="T10" s="20">
        <v>1</v>
      </c>
      <c r="U10" s="20">
        <v>1</v>
      </c>
      <c r="V10" s="20">
        <v>1</v>
      </c>
      <c r="W10" s="20"/>
      <c r="X10" s="20"/>
      <c r="Y10" s="20"/>
      <c r="Z10" s="20">
        <v>1</v>
      </c>
      <c r="AA10" s="20"/>
      <c r="AB10" s="20"/>
    </row>
    <row r="11" spans="1:28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/>
      <c r="R11" s="20">
        <v>1.72</v>
      </c>
      <c r="S11" s="20"/>
      <c r="T11" s="20">
        <v>1</v>
      </c>
      <c r="U11" s="20">
        <v>1</v>
      </c>
      <c r="V11" s="20">
        <v>1</v>
      </c>
      <c r="W11" s="20"/>
      <c r="X11" s="20"/>
      <c r="Y11" s="20"/>
      <c r="Z11" s="20">
        <v>1</v>
      </c>
      <c r="AA11" s="20"/>
      <c r="AB11" s="20"/>
    </row>
    <row r="12" spans="1:28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/>
      <c r="R12" s="20">
        <v>1</v>
      </c>
      <c r="S12" s="20"/>
      <c r="T12" s="20">
        <v>1</v>
      </c>
      <c r="U12" s="20">
        <v>1</v>
      </c>
      <c r="V12" s="20">
        <v>1</v>
      </c>
      <c r="W12" s="20"/>
      <c r="X12" s="20"/>
      <c r="Y12" s="20"/>
      <c r="Z12" s="20">
        <v>1</v>
      </c>
      <c r="AA12" s="20"/>
      <c r="AB12" s="20"/>
    </row>
    <row r="13" spans="1:28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/>
      <c r="R13" s="20">
        <v>1</v>
      </c>
      <c r="S13" s="20"/>
      <c r="T13" s="20">
        <v>1</v>
      </c>
      <c r="U13" s="20">
        <v>1</v>
      </c>
      <c r="V13" s="20">
        <v>1</v>
      </c>
      <c r="W13" s="20"/>
      <c r="X13" s="20"/>
      <c r="Y13" s="20"/>
      <c r="Z13" s="20">
        <v>1</v>
      </c>
      <c r="AA13" s="20"/>
      <c r="AB13" s="20"/>
    </row>
    <row r="14" spans="1:28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/>
      <c r="R14" s="20">
        <v>1.06</v>
      </c>
      <c r="S14" s="20"/>
      <c r="T14" s="20">
        <v>1</v>
      </c>
      <c r="U14" s="20">
        <v>1</v>
      </c>
      <c r="V14" s="20">
        <v>1</v>
      </c>
      <c r="W14" s="20"/>
      <c r="X14" s="20"/>
      <c r="Y14" s="20"/>
      <c r="Z14" s="20">
        <v>1</v>
      </c>
      <c r="AA14" s="20"/>
      <c r="AB14" s="20"/>
    </row>
    <row r="15" spans="1:28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1 - CUSTOS!$M$24</f>
        <v>1</v>
      </c>
      <c r="M15" s="20">
        <f>1 - CUSTOS!$M$24</f>
        <v>1</v>
      </c>
      <c r="N15" s="20">
        <f>1 - CUSTOS!$M$24</f>
        <v>1</v>
      </c>
      <c r="O15" s="20">
        <f>1 - CUSTOS!$M$24</f>
        <v>1</v>
      </c>
      <c r="P15" s="20">
        <f>1 - CUSTOS!$M$24</f>
        <v>1</v>
      </c>
      <c r="Q15" s="20"/>
      <c r="R15" s="20">
        <f>(1 - CUSTOS!$M$24)*1.06</f>
        <v>1.06</v>
      </c>
      <c r="S15" s="20"/>
      <c r="T15" s="20">
        <f>1 - CUSTOS!$M$24</f>
        <v>1</v>
      </c>
      <c r="U15" s="20">
        <f>1 - CUSTOS!$M$24</f>
        <v>1</v>
      </c>
      <c r="V15" s="20">
        <f>1 - CUSTOS!$M$24</f>
        <v>1</v>
      </c>
      <c r="W15" s="20"/>
      <c r="X15" s="20"/>
      <c r="Y15" s="20"/>
      <c r="Z15" s="20">
        <f>1 - CUSTOS!$M$24</f>
        <v>1</v>
      </c>
      <c r="AA15" s="20"/>
      <c r="AB15" s="20"/>
    </row>
    <row r="16" spans="1:28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1 - CUSTOS!$M$25</f>
        <v>1</v>
      </c>
      <c r="M16" s="20">
        <f>1 - CUSTOS!$M$25</f>
        <v>1</v>
      </c>
      <c r="N16" s="20">
        <f>1 - CUSTOS!$M$25</f>
        <v>1</v>
      </c>
      <c r="O16" s="20">
        <f>1 - CUSTOS!$M$25</f>
        <v>1</v>
      </c>
      <c r="P16" s="20">
        <f>1 - CUSTOS!$M$25</f>
        <v>1</v>
      </c>
      <c r="Q16" s="20"/>
      <c r="R16" s="20">
        <f>(1 - CUSTOS!$M$25)*1.06</f>
        <v>1.06</v>
      </c>
      <c r="S16" s="20"/>
      <c r="T16" s="20">
        <f>1 - CUSTOS!$M$25</f>
        <v>1</v>
      </c>
      <c r="U16" s="20">
        <f>1 - CUSTOS!$M$25</f>
        <v>1</v>
      </c>
      <c r="V16" s="20">
        <f>1 - CUSTOS!$M$25</f>
        <v>1</v>
      </c>
      <c r="W16" s="20"/>
      <c r="X16" s="20"/>
      <c r="Y16" s="20"/>
      <c r="Z16" s="20">
        <f>1 - CUSTOS!$M$25</f>
        <v>1</v>
      </c>
      <c r="AA16" s="20"/>
      <c r="AB16" s="20"/>
    </row>
    <row r="17" spans="1:28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1 - CUSTOS!$M$26</f>
        <v>1</v>
      </c>
      <c r="M17" s="20">
        <f>1 - CUSTOS!$M$26</f>
        <v>1</v>
      </c>
      <c r="N17" s="20">
        <f>1 - CUSTOS!$M$26</f>
        <v>1</v>
      </c>
      <c r="O17" s="20">
        <f>1 - CUSTOS!$M$26</f>
        <v>1</v>
      </c>
      <c r="P17" s="20">
        <f>1 - CUSTOS!$M$26</f>
        <v>1</v>
      </c>
      <c r="Q17" s="20"/>
      <c r="R17" s="20">
        <f>(1 - CUSTOS!$M$26)*1.06</f>
        <v>1.06</v>
      </c>
      <c r="S17" s="20"/>
      <c r="T17" s="20">
        <f>1 - CUSTOS!$M$26</f>
        <v>1</v>
      </c>
      <c r="U17" s="20">
        <f>1 - CUSTOS!$M$26</f>
        <v>1</v>
      </c>
      <c r="V17" s="20">
        <f>1 - CUSTOS!$M$26</f>
        <v>1</v>
      </c>
      <c r="W17" s="20"/>
      <c r="X17" s="20"/>
      <c r="Y17" s="20"/>
      <c r="Z17" s="20">
        <f>1 - CUSTOS!$M$26</f>
        <v>1</v>
      </c>
      <c r="AA17" s="20"/>
      <c r="AB17" s="20"/>
    </row>
    <row r="18" spans="1:28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1 - CUSTOS!$M$27</f>
        <v>1</v>
      </c>
      <c r="M18" s="20">
        <f>1 - CUSTOS!$M$27</f>
        <v>1</v>
      </c>
      <c r="N18" s="20">
        <f>1 - CUSTOS!$M$27</f>
        <v>1</v>
      </c>
      <c r="O18" s="20">
        <f>1 - CUSTOS!$M$27</f>
        <v>1</v>
      </c>
      <c r="P18" s="20">
        <f>1 - CUSTOS!$M$27</f>
        <v>1</v>
      </c>
      <c r="Q18" s="20"/>
      <c r="R18" s="20">
        <f>(1 - CUSTOS!$M$27)*1.06</f>
        <v>1.06</v>
      </c>
      <c r="S18" s="20"/>
      <c r="T18" s="20">
        <f>1 - CUSTOS!$M$27</f>
        <v>1</v>
      </c>
      <c r="U18" s="20">
        <f>1 - CUSTOS!$M$27</f>
        <v>1</v>
      </c>
      <c r="V18" s="20">
        <f>1 - CUSTOS!$M$27</f>
        <v>1</v>
      </c>
      <c r="W18" s="20"/>
      <c r="X18" s="20"/>
      <c r="Y18" s="20"/>
      <c r="Z18" s="20">
        <f>1 - CUSTOS!$M$27</f>
        <v>1</v>
      </c>
      <c r="AA18" s="20"/>
      <c r="AB18" s="20"/>
    </row>
    <row r="19" spans="1:28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/>
      <c r="R19" s="20">
        <v>1.06</v>
      </c>
      <c r="S19" s="20"/>
      <c r="T19" s="20">
        <v>1</v>
      </c>
      <c r="U19" s="20">
        <v>1</v>
      </c>
      <c r="V19" s="20">
        <v>1</v>
      </c>
      <c r="W19" s="20"/>
      <c r="X19" s="20"/>
      <c r="Y19" s="20"/>
      <c r="Z19" s="20">
        <v>1</v>
      </c>
      <c r="AA19" s="20"/>
      <c r="AB19" s="20"/>
    </row>
    <row r="20" spans="1:28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1 - CUSTOS!$M$24</f>
        <v>1</v>
      </c>
      <c r="M20" s="20">
        <f>1 - CUSTOS!$M$24</f>
        <v>1</v>
      </c>
      <c r="N20" s="20">
        <f>1 - CUSTOS!$M$24</f>
        <v>1</v>
      </c>
      <c r="O20" s="20">
        <f>1 - CUSTOS!$M$24</f>
        <v>1</v>
      </c>
      <c r="P20" s="20">
        <f>1 - CUSTOS!$M$24</f>
        <v>1</v>
      </c>
      <c r="Q20" s="20"/>
      <c r="R20" s="20">
        <f>(1 - CUSTOS!$M$24)*1.06</f>
        <v>1.06</v>
      </c>
      <c r="S20" s="20"/>
      <c r="T20" s="20">
        <f>1 - CUSTOS!$M$24</f>
        <v>1</v>
      </c>
      <c r="U20" s="20">
        <f>1 - CUSTOS!$M$24</f>
        <v>1</v>
      </c>
      <c r="V20" s="20">
        <f>1 - CUSTOS!$M$24</f>
        <v>1</v>
      </c>
      <c r="W20" s="20"/>
      <c r="X20" s="20"/>
      <c r="Y20" s="20"/>
      <c r="Z20" s="20">
        <f>1 - CUSTOS!$M$24</f>
        <v>1</v>
      </c>
      <c r="AA20" s="20"/>
      <c r="AB20" s="20"/>
    </row>
    <row r="21" spans="1:28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1 - CUSTOS!$M$25</f>
        <v>1</v>
      </c>
      <c r="M21" s="20">
        <f>1 - CUSTOS!$M$25</f>
        <v>1</v>
      </c>
      <c r="N21" s="20">
        <f>1 - CUSTOS!$M$25</f>
        <v>1</v>
      </c>
      <c r="O21" s="20">
        <f>1 - CUSTOS!$M$25</f>
        <v>1</v>
      </c>
      <c r="P21" s="20">
        <f>1 - CUSTOS!$M$25</f>
        <v>1</v>
      </c>
      <c r="Q21" s="20"/>
      <c r="R21" s="20">
        <f>(1 - CUSTOS!$M$25)*1.06</f>
        <v>1.06</v>
      </c>
      <c r="S21" s="20"/>
      <c r="T21" s="20">
        <f>1 - CUSTOS!$M$25</f>
        <v>1</v>
      </c>
      <c r="U21" s="20">
        <f>1 - CUSTOS!$M$25</f>
        <v>1</v>
      </c>
      <c r="V21" s="20">
        <f>1 - CUSTOS!$M$25</f>
        <v>1</v>
      </c>
      <c r="W21" s="20"/>
      <c r="X21" s="20"/>
      <c r="Y21" s="20"/>
      <c r="Z21" s="20">
        <f>1 - CUSTOS!$M$25</f>
        <v>1</v>
      </c>
      <c r="AA21" s="20"/>
      <c r="AB21" s="20"/>
    </row>
    <row r="22" spans="1:28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1 - CUSTOS!$M$26</f>
        <v>1</v>
      </c>
      <c r="M22" s="20">
        <f>1 - CUSTOS!$M$26</f>
        <v>1</v>
      </c>
      <c r="N22" s="20">
        <f>1 - CUSTOS!$M$26</f>
        <v>1</v>
      </c>
      <c r="O22" s="20">
        <f>1 - CUSTOS!$M$26</f>
        <v>1</v>
      </c>
      <c r="P22" s="20">
        <f>1 - CUSTOS!$M$26</f>
        <v>1</v>
      </c>
      <c r="Q22" s="20"/>
      <c r="R22" s="20">
        <f>(1 - CUSTOS!$M$26)*1.06</f>
        <v>1.06</v>
      </c>
      <c r="S22" s="20"/>
      <c r="T22" s="20">
        <f>1 - CUSTOS!$M$26</f>
        <v>1</v>
      </c>
      <c r="U22" s="20">
        <f>1 - CUSTOS!$M$26</f>
        <v>1</v>
      </c>
      <c r="V22" s="20">
        <f>1 - CUSTOS!$M$26</f>
        <v>1</v>
      </c>
      <c r="W22" s="20"/>
      <c r="X22" s="20"/>
      <c r="Y22" s="20"/>
      <c r="Z22" s="20">
        <f>1 - CUSTOS!$M$26</f>
        <v>1</v>
      </c>
      <c r="AA22" s="20"/>
      <c r="AB22" s="20"/>
    </row>
    <row r="23" spans="1:28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1 - CUSTOS!$M$27</f>
        <v>1</v>
      </c>
      <c r="M23" s="20">
        <f>1 - CUSTOS!$M$27</f>
        <v>1</v>
      </c>
      <c r="N23" s="20">
        <f>1 - CUSTOS!$M$27</f>
        <v>1</v>
      </c>
      <c r="O23" s="20">
        <f>1 - CUSTOS!$M$27</f>
        <v>1</v>
      </c>
      <c r="P23" s="20">
        <f>1 - CUSTOS!$M$27</f>
        <v>1</v>
      </c>
      <c r="Q23" s="20"/>
      <c r="R23" s="20">
        <f>(1 - CUSTOS!$M$27)*1.06</f>
        <v>1.06</v>
      </c>
      <c r="S23" s="20"/>
      <c r="T23" s="20">
        <f>1 - CUSTOS!$M$27</f>
        <v>1</v>
      </c>
      <c r="U23" s="20">
        <f>1 - CUSTOS!$M$27</f>
        <v>1</v>
      </c>
      <c r="V23" s="20">
        <f>1 - CUSTOS!$M$27</f>
        <v>1</v>
      </c>
      <c r="W23" s="20"/>
      <c r="X23" s="20"/>
      <c r="Y23" s="20"/>
      <c r="Z23" s="20">
        <f>1 - CUSTOS!$M$27</f>
        <v>1</v>
      </c>
      <c r="AA23" s="20"/>
      <c r="AB23" s="20"/>
    </row>
    <row r="24" spans="1:28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1 - CUSTOS!$M$28</f>
        <v>1</v>
      </c>
      <c r="M24" s="20">
        <f>1 - CUSTOS!$M$28</f>
        <v>1</v>
      </c>
      <c r="N24" s="20">
        <f>1 - CUSTOS!$M$28</f>
        <v>1</v>
      </c>
      <c r="O24" s="20">
        <f>1 - CUSTOS!$M$28</f>
        <v>1</v>
      </c>
      <c r="P24" s="20">
        <f>1 - CUSTOS!$M$28</f>
        <v>1</v>
      </c>
      <c r="Q24" s="20"/>
      <c r="R24" s="20">
        <f>(1 - CUSTOS!$M$28)*1.72</f>
        <v>1.72</v>
      </c>
      <c r="S24" s="20"/>
      <c r="T24" s="20">
        <f>1 - CUSTOS!$M$28</f>
        <v>1</v>
      </c>
      <c r="U24" s="20">
        <f>1 - CUSTOS!$M$28</f>
        <v>1</v>
      </c>
      <c r="V24" s="20">
        <f>1 - CUSTOS!$M$28</f>
        <v>1</v>
      </c>
      <c r="W24" s="20"/>
      <c r="X24" s="20"/>
      <c r="Y24" s="20"/>
      <c r="Z24" s="20">
        <f>1 - CUSTOS!$M$28</f>
        <v>1</v>
      </c>
      <c r="AA24" s="20"/>
      <c r="AB24" s="20"/>
    </row>
    <row r="25" spans="1:28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1 - CUSTOS!$M$28</f>
        <v>1</v>
      </c>
      <c r="M25" s="20">
        <f>1 - CUSTOS!$M$28</f>
        <v>1</v>
      </c>
      <c r="N25" s="20">
        <f>1 - CUSTOS!$M$28</f>
        <v>1</v>
      </c>
      <c r="O25" s="20">
        <f>1 - CUSTOS!$M$28</f>
        <v>1</v>
      </c>
      <c r="P25" s="20">
        <f>1 - CUSTOS!$M$28</f>
        <v>1</v>
      </c>
      <c r="Q25" s="20"/>
      <c r="R25" s="20">
        <f>(1 - CUSTOS!$M$28)*1</f>
        <v>1</v>
      </c>
      <c r="S25" s="20"/>
      <c r="T25" s="20">
        <f>1 - CUSTOS!$M$28</f>
        <v>1</v>
      </c>
      <c r="U25" s="20">
        <f>1 - CUSTOS!$M$28</f>
        <v>1</v>
      </c>
      <c r="V25" s="20">
        <f>1 - CUSTOS!$M$28</f>
        <v>1</v>
      </c>
      <c r="W25" s="20"/>
      <c r="X25" s="20"/>
      <c r="Y25" s="20"/>
      <c r="Z25" s="20">
        <f>1 - CUSTOS!$M$28</f>
        <v>1</v>
      </c>
      <c r="AA25" s="20"/>
      <c r="AB25" s="20"/>
    </row>
    <row r="26" spans="1:28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1 - CUSTOS!$M$28</f>
        <v>1</v>
      </c>
      <c r="M26" s="20">
        <f>1 - CUSTOS!$M$28</f>
        <v>1</v>
      </c>
      <c r="N26" s="20">
        <f>1 - CUSTOS!$M$28</f>
        <v>1</v>
      </c>
      <c r="O26" s="20">
        <f>1 - CUSTOS!$M$28</f>
        <v>1</v>
      </c>
      <c r="P26" s="20">
        <f>1 - CUSTOS!$M$28</f>
        <v>1</v>
      </c>
      <c r="Q26" s="20"/>
      <c r="R26" s="20">
        <f>(1 - CUSTOS!$M$28)*1</f>
        <v>1</v>
      </c>
      <c r="S26" s="20"/>
      <c r="T26" s="20">
        <f>1 - CUSTOS!$M$28</f>
        <v>1</v>
      </c>
      <c r="U26" s="20">
        <f>1 - CUSTOS!$M$28</f>
        <v>1</v>
      </c>
      <c r="V26" s="20">
        <f>1 - CUSTOS!$M$28</f>
        <v>1</v>
      </c>
      <c r="W26" s="20"/>
      <c r="X26" s="20"/>
      <c r="Y26" s="20"/>
      <c r="Z26" s="20">
        <f>1 - CUSTOS!$M$28</f>
        <v>1</v>
      </c>
      <c r="AA26" s="20"/>
      <c r="AB26" s="20"/>
    </row>
    <row r="27" spans="1:28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1 - CUSTOS!$M$28</f>
        <v>1</v>
      </c>
      <c r="M27" s="20">
        <f>1 - CUSTOS!$M$28</f>
        <v>1</v>
      </c>
      <c r="N27" s="20">
        <f>1 - CUSTOS!$M$28</f>
        <v>1</v>
      </c>
      <c r="O27" s="20">
        <f>1 - CUSTOS!$M$28</f>
        <v>1</v>
      </c>
      <c r="P27" s="20">
        <f>1 - CUSTOS!$M$28</f>
        <v>1</v>
      </c>
      <c r="Q27" s="20"/>
      <c r="R27" s="20">
        <f>(1 - CUSTOS!$M$28)*1.06</f>
        <v>1.06</v>
      </c>
      <c r="S27" s="20"/>
      <c r="T27" s="20">
        <f>1 - CUSTOS!$M$28</f>
        <v>1</v>
      </c>
      <c r="U27" s="20">
        <f>1 - CUSTOS!$M$28</f>
        <v>1</v>
      </c>
      <c r="V27" s="20">
        <f>1 - CUSTOS!$M$28</f>
        <v>1</v>
      </c>
      <c r="W27" s="20"/>
      <c r="X27" s="20"/>
      <c r="Y27" s="20"/>
      <c r="Z27" s="20">
        <f>1 - CUSTOS!$M$28</f>
        <v>1</v>
      </c>
      <c r="AA27" s="20"/>
      <c r="AB27" s="20"/>
    </row>
    <row r="28" spans="1:28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1 - CUSTOS!$M$29</f>
        <v>1</v>
      </c>
      <c r="M28" s="20">
        <f>1 - CUSTOS!$M$29</f>
        <v>1</v>
      </c>
      <c r="N28" s="20">
        <f>1 - CUSTOS!$M$29</f>
        <v>1</v>
      </c>
      <c r="O28" s="20">
        <f>1 - CUSTOS!$M$29</f>
        <v>1</v>
      </c>
      <c r="P28" s="20">
        <f>1 - CUSTOS!$M$29</f>
        <v>1</v>
      </c>
      <c r="Q28" s="20"/>
      <c r="R28" s="20">
        <f>(1 - CUSTOS!$M$29)*1.72</f>
        <v>1.72</v>
      </c>
      <c r="S28" s="20"/>
      <c r="T28" s="20">
        <f>1 - CUSTOS!$M$29</f>
        <v>1</v>
      </c>
      <c r="U28" s="20">
        <f>1 - CUSTOS!$M$29</f>
        <v>1</v>
      </c>
      <c r="V28" s="20">
        <f>1 - CUSTOS!$M$29</f>
        <v>1</v>
      </c>
      <c r="W28" s="20"/>
      <c r="X28" s="20"/>
      <c r="Y28" s="20"/>
      <c r="Z28" s="20">
        <f>1 - CUSTOS!$M$29</f>
        <v>1</v>
      </c>
      <c r="AA28" s="20"/>
      <c r="AB28" s="20"/>
    </row>
    <row r="29" spans="1:28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1 - CUSTOS!$M$29</f>
        <v>1</v>
      </c>
      <c r="M29" s="20">
        <f>1 - CUSTOS!$M$29</f>
        <v>1</v>
      </c>
      <c r="N29" s="20">
        <f>1 - CUSTOS!$M$29</f>
        <v>1</v>
      </c>
      <c r="O29" s="20">
        <f>1 - CUSTOS!$M$29</f>
        <v>1</v>
      </c>
      <c r="P29" s="20">
        <f>1 - CUSTOS!$M$29</f>
        <v>1</v>
      </c>
      <c r="Q29" s="20"/>
      <c r="R29" s="20">
        <f>(1 - CUSTOS!$M$29)*1</f>
        <v>1</v>
      </c>
      <c r="S29" s="20"/>
      <c r="T29" s="20">
        <f>1 - CUSTOS!$M$29</f>
        <v>1</v>
      </c>
      <c r="U29" s="20">
        <f>1 - CUSTOS!$M$29</f>
        <v>1</v>
      </c>
      <c r="V29" s="20">
        <f>1 - CUSTOS!$M$29</f>
        <v>1</v>
      </c>
      <c r="W29" s="20"/>
      <c r="X29" s="20"/>
      <c r="Y29" s="20"/>
      <c r="Z29" s="20">
        <f>1 - CUSTOS!$M$29</f>
        <v>1</v>
      </c>
      <c r="AA29" s="20"/>
      <c r="AB29" s="20"/>
    </row>
    <row r="30" spans="1:28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1 - CUSTOS!$M$29</f>
        <v>1</v>
      </c>
      <c r="M30" s="20">
        <f>1 - CUSTOS!$M$29</f>
        <v>1</v>
      </c>
      <c r="N30" s="20">
        <f>1 - CUSTOS!$M$29</f>
        <v>1</v>
      </c>
      <c r="O30" s="20">
        <f>1 - CUSTOS!$M$29</f>
        <v>1</v>
      </c>
      <c r="P30" s="20">
        <f>1 - CUSTOS!$M$29</f>
        <v>1</v>
      </c>
      <c r="Q30" s="20"/>
      <c r="R30" s="20">
        <f>(1 - CUSTOS!$M$29)*1</f>
        <v>1</v>
      </c>
      <c r="S30" s="20"/>
      <c r="T30" s="20">
        <f>1 - CUSTOS!$M$29</f>
        <v>1</v>
      </c>
      <c r="U30" s="20">
        <f>1 - CUSTOS!$M$29</f>
        <v>1</v>
      </c>
      <c r="V30" s="20">
        <f>1 - CUSTOS!$M$29</f>
        <v>1</v>
      </c>
      <c r="W30" s="20"/>
      <c r="X30" s="20"/>
      <c r="Y30" s="20"/>
      <c r="Z30" s="20">
        <f>1 - CUSTOS!$M$29</f>
        <v>1</v>
      </c>
      <c r="AA30" s="20"/>
      <c r="AB30" s="20"/>
    </row>
    <row r="31" spans="1:28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1 - CUSTOS!$M$29</f>
        <v>1</v>
      </c>
      <c r="M31" s="20">
        <f>1 - CUSTOS!$M$29</f>
        <v>1</v>
      </c>
      <c r="N31" s="20">
        <f>1 - CUSTOS!$M$29</f>
        <v>1</v>
      </c>
      <c r="O31" s="20">
        <f>1 - CUSTOS!$M$29</f>
        <v>1</v>
      </c>
      <c r="P31" s="20">
        <f>1 - CUSTOS!$M$29</f>
        <v>1</v>
      </c>
      <c r="Q31" s="20"/>
      <c r="R31" s="20">
        <f>(1 - CUSTOS!$M$29)*1.06</f>
        <v>1.06</v>
      </c>
      <c r="S31" s="20"/>
      <c r="T31" s="20">
        <f>1 - CUSTOS!$M$29</f>
        <v>1</v>
      </c>
      <c r="U31" s="20">
        <f>1 - CUSTOS!$M$29</f>
        <v>1</v>
      </c>
      <c r="V31" s="20">
        <f>1 - CUSTOS!$M$29</f>
        <v>1</v>
      </c>
      <c r="W31" s="20"/>
      <c r="X31" s="20"/>
      <c r="Y31" s="20"/>
      <c r="Z31" s="20">
        <f>1 - CUSTOS!$M$29</f>
        <v>1</v>
      </c>
      <c r="AA31" s="20"/>
      <c r="AB31" s="20"/>
    </row>
    <row r="32" spans="1:28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1 - CUSTOS!$M$30</f>
        <v>1</v>
      </c>
      <c r="M32" s="20">
        <f>1 - CUSTOS!$M$30</f>
        <v>1</v>
      </c>
      <c r="N32" s="20">
        <f>1 - CUSTOS!$M$30</f>
        <v>1</v>
      </c>
      <c r="O32" s="20">
        <f>1 - CUSTOS!$M$30</f>
        <v>1</v>
      </c>
      <c r="P32" s="20">
        <f>1 - CUSTOS!$M$30</f>
        <v>1</v>
      </c>
      <c r="Q32" s="20"/>
      <c r="R32" s="20">
        <f>(1 - CUSTOS!$M$30)*1.72</f>
        <v>1.72</v>
      </c>
      <c r="S32" s="20"/>
      <c r="T32" s="20">
        <f>1 - CUSTOS!$M$30</f>
        <v>1</v>
      </c>
      <c r="U32" s="20">
        <f>1 - CUSTOS!$M$30</f>
        <v>1</v>
      </c>
      <c r="V32" s="20">
        <f>1 - CUSTOS!$M$30</f>
        <v>1</v>
      </c>
      <c r="W32" s="20"/>
      <c r="X32" s="20"/>
      <c r="Y32" s="20"/>
      <c r="Z32" s="20">
        <f>1 - CUSTOS!$M$30</f>
        <v>1</v>
      </c>
      <c r="AA32" s="20"/>
      <c r="AB32" s="20"/>
    </row>
    <row r="33" spans="1:28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1 - CUSTOS!$M$30</f>
        <v>1</v>
      </c>
      <c r="M33" s="20">
        <f>1 - CUSTOS!$M$30</f>
        <v>1</v>
      </c>
      <c r="N33" s="20">
        <f>1 - CUSTOS!$M$30</f>
        <v>1</v>
      </c>
      <c r="O33" s="20">
        <f>1 - CUSTOS!$M$30</f>
        <v>1</v>
      </c>
      <c r="P33" s="20">
        <f>1 - CUSTOS!$M$30</f>
        <v>1</v>
      </c>
      <c r="Q33" s="20"/>
      <c r="R33" s="20">
        <f>(1 - CUSTOS!$M$30)*1</f>
        <v>1</v>
      </c>
      <c r="S33" s="20"/>
      <c r="T33" s="20">
        <f>1 - CUSTOS!$M$30</f>
        <v>1</v>
      </c>
      <c r="U33" s="20">
        <f>1 - CUSTOS!$M$30</f>
        <v>1</v>
      </c>
      <c r="V33" s="20">
        <f>1 - CUSTOS!$M$30</f>
        <v>1</v>
      </c>
      <c r="W33" s="20"/>
      <c r="X33" s="20"/>
      <c r="Y33" s="20"/>
      <c r="Z33" s="20">
        <f>1 - CUSTOS!$M$30</f>
        <v>1</v>
      </c>
      <c r="AA33" s="20"/>
      <c r="AB33" s="20"/>
    </row>
    <row r="34" spans="1:28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1 - CUSTOS!$M$30</f>
        <v>1</v>
      </c>
      <c r="M34" s="20">
        <f>1 - CUSTOS!$M$30</f>
        <v>1</v>
      </c>
      <c r="N34" s="20">
        <f>1 - CUSTOS!$M$30</f>
        <v>1</v>
      </c>
      <c r="O34" s="20">
        <f>1 - CUSTOS!$M$30</f>
        <v>1</v>
      </c>
      <c r="P34" s="20">
        <f>1 - CUSTOS!$M$30</f>
        <v>1</v>
      </c>
      <c r="Q34" s="20"/>
      <c r="R34" s="20">
        <f>(1 - CUSTOS!$M$30)*1</f>
        <v>1</v>
      </c>
      <c r="S34" s="20"/>
      <c r="T34" s="20">
        <f>1 - CUSTOS!$M$30</f>
        <v>1</v>
      </c>
      <c r="U34" s="20">
        <f>1 - CUSTOS!$M$30</f>
        <v>1</v>
      </c>
      <c r="V34" s="20">
        <f>1 - CUSTOS!$M$30</f>
        <v>1</v>
      </c>
      <c r="W34" s="20"/>
      <c r="X34" s="20"/>
      <c r="Y34" s="20"/>
      <c r="Z34" s="20">
        <f>1 - CUSTOS!$M$30</f>
        <v>1</v>
      </c>
      <c r="AA34" s="20"/>
      <c r="AB34" s="20"/>
    </row>
    <row r="35" spans="1:28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1 - CUSTOS!$M$30</f>
        <v>1</v>
      </c>
      <c r="M35" s="20">
        <f>1 - CUSTOS!$M$30</f>
        <v>1</v>
      </c>
      <c r="N35" s="20">
        <f>1 - CUSTOS!$M$30</f>
        <v>1</v>
      </c>
      <c r="O35" s="20">
        <f>1 - CUSTOS!$M$30</f>
        <v>1</v>
      </c>
      <c r="P35" s="20">
        <f>1 - CUSTOS!$M$30</f>
        <v>1</v>
      </c>
      <c r="Q35" s="20"/>
      <c r="R35" s="20">
        <f>(1 - CUSTOS!$M$30)*1.06</f>
        <v>1.06</v>
      </c>
      <c r="S35" s="20"/>
      <c r="T35" s="20">
        <f>1 - CUSTOS!$M$30</f>
        <v>1</v>
      </c>
      <c r="U35" s="20">
        <f>1 - CUSTOS!$M$30</f>
        <v>1</v>
      </c>
      <c r="V35" s="20">
        <f>1 - CUSTOS!$M$30</f>
        <v>1</v>
      </c>
      <c r="W35" s="20"/>
      <c r="X35" s="20"/>
      <c r="Y35" s="20"/>
      <c r="Z35" s="20">
        <f>1 - CUSTOS!$M$30</f>
        <v>1</v>
      </c>
      <c r="AA35" s="20"/>
      <c r="AB35" s="20"/>
    </row>
    <row r="36" spans="1:28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1 - CUSTOS!$M$28</f>
        <v>1</v>
      </c>
      <c r="M36" s="20">
        <f>1 - CUSTOS!$M$28</f>
        <v>1</v>
      </c>
      <c r="N36" s="20">
        <f>1 - CUSTOS!$M$28</f>
        <v>1</v>
      </c>
      <c r="O36" s="20">
        <f>1 - CUSTOS!$M$28</f>
        <v>1</v>
      </c>
      <c r="P36" s="20">
        <f>1 - CUSTOS!$M$28</f>
        <v>1</v>
      </c>
      <c r="Q36" s="20"/>
      <c r="R36" s="20">
        <f>(1 - CUSTOS!$M$28)*1.06</f>
        <v>1.06</v>
      </c>
      <c r="S36" s="20"/>
      <c r="T36" s="20">
        <f>1 - CUSTOS!$M$28</f>
        <v>1</v>
      </c>
      <c r="U36" s="20">
        <f>1 - CUSTOS!$M$28</f>
        <v>1</v>
      </c>
      <c r="V36" s="20">
        <f>1 - CUSTOS!$M$28</f>
        <v>1</v>
      </c>
      <c r="W36" s="20"/>
      <c r="X36" s="20"/>
      <c r="Y36" s="20"/>
      <c r="Z36" s="20">
        <f>1 - CUSTOS!$M$28</f>
        <v>1</v>
      </c>
      <c r="AA36" s="20"/>
      <c r="AB36" s="20"/>
    </row>
    <row r="37" spans="1:28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1 - CUSTOS!$M$29</f>
        <v>1</v>
      </c>
      <c r="M37" s="20">
        <f>1 - CUSTOS!$M$29</f>
        <v>1</v>
      </c>
      <c r="N37" s="20">
        <f>1 - CUSTOS!$M$29</f>
        <v>1</v>
      </c>
      <c r="O37" s="20">
        <f>1 - CUSTOS!$M$29</f>
        <v>1</v>
      </c>
      <c r="P37" s="20">
        <f>1 - CUSTOS!$M$29</f>
        <v>1</v>
      </c>
      <c r="Q37" s="20"/>
      <c r="R37" s="20">
        <f>(1 - CUSTOS!$M$29)*1.06</f>
        <v>1.06</v>
      </c>
      <c r="S37" s="20"/>
      <c r="T37" s="20">
        <f>1 - CUSTOS!$M$29</f>
        <v>1</v>
      </c>
      <c r="U37" s="20">
        <f>1 - CUSTOS!$M$29</f>
        <v>1</v>
      </c>
      <c r="V37" s="20">
        <f>1 - CUSTOS!$M$29</f>
        <v>1</v>
      </c>
      <c r="W37" s="20"/>
      <c r="X37" s="20"/>
      <c r="Y37" s="20"/>
      <c r="Z37" s="20">
        <f>1 - CUSTOS!$M$29</f>
        <v>1</v>
      </c>
      <c r="AA37" s="20"/>
      <c r="AB37" s="20"/>
    </row>
    <row r="38" spans="1:28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1 - CUSTOS!$M$30</f>
        <v>1</v>
      </c>
      <c r="M38" s="20">
        <f>1 - CUSTOS!$M$30</f>
        <v>1</v>
      </c>
      <c r="N38" s="20">
        <f>1 - CUSTOS!$M$30</f>
        <v>1</v>
      </c>
      <c r="O38" s="20">
        <f>1 - CUSTOS!$M$30</f>
        <v>1</v>
      </c>
      <c r="P38" s="20">
        <f>1 - CUSTOS!$M$30</f>
        <v>1</v>
      </c>
      <c r="Q38" s="20"/>
      <c r="R38" s="20">
        <f>(1 - CUSTOS!$M$30)*1.06</f>
        <v>1.06</v>
      </c>
      <c r="S38" s="20"/>
      <c r="T38" s="20">
        <f>1 - CUSTOS!$M$30</f>
        <v>1</v>
      </c>
      <c r="U38" s="20">
        <f>1 - CUSTOS!$M$30</f>
        <v>1</v>
      </c>
      <c r="V38" s="20">
        <f>1 - CUSTOS!$M$30</f>
        <v>1</v>
      </c>
      <c r="W38" s="20"/>
      <c r="X38" s="20"/>
      <c r="Y38" s="20"/>
      <c r="Z38" s="20">
        <f>1 - CUSTOS!$M$30</f>
        <v>1</v>
      </c>
      <c r="AA38" s="20"/>
      <c r="AB38" s="20"/>
    </row>
    <row r="39" spans="1:28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1 - CUSTOS!$M$31</f>
        <v>1</v>
      </c>
      <c r="M39" s="20">
        <f>1 - CUSTOS!$M$31</f>
        <v>1</v>
      </c>
      <c r="N39" s="20">
        <f>1 - CUSTOS!$M$31</f>
        <v>1</v>
      </c>
      <c r="O39" s="20">
        <f>1 - CUSTOS!$M$31</f>
        <v>1</v>
      </c>
      <c r="P39" s="20">
        <f>1 - CUSTOS!$M$31</f>
        <v>1</v>
      </c>
      <c r="Q39" s="20"/>
      <c r="R39" s="20">
        <f>(1 - CUSTOS!$M$31)*1.72</f>
        <v>1.72</v>
      </c>
      <c r="S39" s="20"/>
      <c r="T39" s="20">
        <f>1 - CUSTOS!$M$31</f>
        <v>1</v>
      </c>
      <c r="U39" s="20">
        <f>1 - CUSTOS!$M$31</f>
        <v>1</v>
      </c>
      <c r="V39" s="20">
        <f>1 - CUSTOS!$M$31</f>
        <v>1</v>
      </c>
      <c r="W39" s="20"/>
      <c r="X39" s="20"/>
      <c r="Y39" s="20"/>
      <c r="Z39" s="20">
        <f>1 - CUSTOS!$M$31</f>
        <v>1</v>
      </c>
      <c r="AA39" s="20"/>
      <c r="AB39" s="20"/>
    </row>
    <row r="40" spans="1:28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1 - CUSTOS!$M$31</f>
        <v>1</v>
      </c>
      <c r="M40" s="20">
        <f>1 - CUSTOS!$M$31</f>
        <v>1</v>
      </c>
      <c r="N40" s="20">
        <f>1 - CUSTOS!$M$31</f>
        <v>1</v>
      </c>
      <c r="O40" s="20">
        <f>1 - CUSTOS!$M$31</f>
        <v>1</v>
      </c>
      <c r="P40" s="20">
        <f>1 - CUSTOS!$M$31</f>
        <v>1</v>
      </c>
      <c r="Q40" s="20"/>
      <c r="R40" s="20">
        <f>(1 - CUSTOS!$M$31)*1</f>
        <v>1</v>
      </c>
      <c r="S40" s="20"/>
      <c r="T40" s="20">
        <f>1 - CUSTOS!$M$31</f>
        <v>1</v>
      </c>
      <c r="U40" s="20">
        <f>1 - CUSTOS!$M$31</f>
        <v>1</v>
      </c>
      <c r="V40" s="20">
        <f>1 - CUSTOS!$M$31</f>
        <v>1</v>
      </c>
      <c r="W40" s="20"/>
      <c r="X40" s="20"/>
      <c r="Y40" s="20"/>
      <c r="Z40" s="20">
        <f>1 - CUSTOS!$M$31</f>
        <v>1</v>
      </c>
      <c r="AA40" s="20"/>
      <c r="AB40" s="20"/>
    </row>
    <row r="41" spans="1:28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1 - CUSTOS!$M$31</f>
        <v>1</v>
      </c>
      <c r="M41" s="20">
        <f>1 - CUSTOS!$M$31</f>
        <v>1</v>
      </c>
      <c r="N41" s="20">
        <f>1 - CUSTOS!$M$31</f>
        <v>1</v>
      </c>
      <c r="O41" s="20">
        <f>1 - CUSTOS!$M$31</f>
        <v>1</v>
      </c>
      <c r="P41" s="20">
        <f>1 - CUSTOS!$M$31</f>
        <v>1</v>
      </c>
      <c r="Q41" s="20"/>
      <c r="R41" s="20">
        <f>(1 - CUSTOS!$M$31)*1</f>
        <v>1</v>
      </c>
      <c r="S41" s="20"/>
      <c r="T41" s="20">
        <f>1 - CUSTOS!$M$31</f>
        <v>1</v>
      </c>
      <c r="U41" s="20">
        <f>1 - CUSTOS!$M$31</f>
        <v>1</v>
      </c>
      <c r="V41" s="20">
        <f>1 - CUSTOS!$M$31</f>
        <v>1</v>
      </c>
      <c r="W41" s="20"/>
      <c r="X41" s="20"/>
      <c r="Y41" s="20"/>
      <c r="Z41" s="20">
        <f>1 - CUSTOS!$M$31</f>
        <v>1</v>
      </c>
      <c r="AA41" s="20"/>
      <c r="AB41" s="20"/>
    </row>
    <row r="42" spans="1:28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1 - CUSTOS!$M$31</f>
        <v>1</v>
      </c>
      <c r="M42" s="20">
        <f>1 - CUSTOS!$M$31</f>
        <v>1</v>
      </c>
      <c r="N42" s="20">
        <f>1 - CUSTOS!$M$31</f>
        <v>1</v>
      </c>
      <c r="O42" s="20">
        <f>1 - CUSTOS!$M$31</f>
        <v>1</v>
      </c>
      <c r="P42" s="20">
        <f>1 - CUSTOS!$M$31</f>
        <v>1</v>
      </c>
      <c r="Q42" s="20"/>
      <c r="R42" s="20">
        <f>(1 - CUSTOS!$M$31)*1.06</f>
        <v>1.06</v>
      </c>
      <c r="S42" s="20"/>
      <c r="T42" s="20">
        <f>1 - CUSTOS!$M$31</f>
        <v>1</v>
      </c>
      <c r="U42" s="20">
        <f>1 - CUSTOS!$M$31</f>
        <v>1</v>
      </c>
      <c r="V42" s="20">
        <f>1 - CUSTOS!$M$31</f>
        <v>1</v>
      </c>
      <c r="W42" s="20"/>
      <c r="X42" s="20"/>
      <c r="Y42" s="20"/>
      <c r="Z42" s="20">
        <f>1 - CUSTOS!$M$31</f>
        <v>1</v>
      </c>
      <c r="AA42" s="20"/>
      <c r="AB42" s="20"/>
    </row>
    <row r="43" spans="1:28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1 - CUSTOS!$M$31</f>
        <v>1</v>
      </c>
      <c r="M43" s="20">
        <f>1 - CUSTOS!$M$31</f>
        <v>1</v>
      </c>
      <c r="N43" s="20">
        <f>1 - CUSTOS!$M$31</f>
        <v>1</v>
      </c>
      <c r="O43" s="20">
        <f>1 - CUSTOS!$M$31</f>
        <v>1</v>
      </c>
      <c r="P43" s="20">
        <f>1 - CUSTOS!$M$31</f>
        <v>1</v>
      </c>
      <c r="Q43" s="20"/>
      <c r="R43" s="20">
        <f>(1 - CUSTOS!$M$31)*1.06</f>
        <v>1.06</v>
      </c>
      <c r="S43" s="20"/>
      <c r="T43" s="20">
        <f>1 - CUSTOS!$M$31</f>
        <v>1</v>
      </c>
      <c r="U43" s="20">
        <f>1 - CUSTOS!$M$31</f>
        <v>1</v>
      </c>
      <c r="V43" s="20">
        <f>1 - CUSTOS!$M$31</f>
        <v>1</v>
      </c>
      <c r="W43" s="20"/>
      <c r="X43" s="20"/>
      <c r="Y43" s="20"/>
      <c r="Z43" s="20">
        <f>1 - CUSTOS!$M$31</f>
        <v>1</v>
      </c>
      <c r="AA43" s="20"/>
      <c r="AB43" s="20"/>
    </row>
    <row r="44" spans="1:28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1 - CUSTOS!$M$32</f>
        <v>0.55000000000000004</v>
      </c>
      <c r="M44" s="20">
        <f>1 - CUSTOS!$M$32</f>
        <v>0.55000000000000004</v>
      </c>
      <c r="N44" s="20">
        <f>1 - CUSTOS!$M$32</f>
        <v>0.55000000000000004</v>
      </c>
      <c r="O44" s="20">
        <f>1 - CUSTOS!$M$32</f>
        <v>0.55000000000000004</v>
      </c>
      <c r="P44" s="20">
        <f>1 - CUSTOS!$M$32</f>
        <v>0.55000000000000004</v>
      </c>
      <c r="Q44" s="20"/>
      <c r="R44" s="20">
        <f>(1 - CUSTOS!$M$32)*1.06</f>
        <v>0.58300000000000007</v>
      </c>
      <c r="S44" s="20"/>
      <c r="T44" s="20">
        <f>1 - CUSTOS!$M$32</f>
        <v>0.55000000000000004</v>
      </c>
      <c r="U44" s="20">
        <f>1 - CUSTOS!$M$32</f>
        <v>0.55000000000000004</v>
      </c>
      <c r="V44" s="20">
        <f>1 - CUSTOS!$M$32</f>
        <v>0.55000000000000004</v>
      </c>
      <c r="W44" s="20"/>
      <c r="X44" s="20"/>
      <c r="Y44" s="20"/>
      <c r="Z44" s="20">
        <f>1 - CUSTOS!$M$32</f>
        <v>0.55000000000000004</v>
      </c>
      <c r="AA44" s="20"/>
      <c r="AB44" s="20"/>
    </row>
    <row r="45" spans="1:28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1 - CUSTOS!$M$33</f>
        <v>0.6</v>
      </c>
      <c r="M45" s="20">
        <f>1 - CUSTOS!$M$33</f>
        <v>0.6</v>
      </c>
      <c r="N45" s="20">
        <f>1 - CUSTOS!$M$33</f>
        <v>0.6</v>
      </c>
      <c r="O45" s="20">
        <f>1 - CUSTOS!$M$33</f>
        <v>0.6</v>
      </c>
      <c r="P45" s="20">
        <f>1 - CUSTOS!$M$33</f>
        <v>0.6</v>
      </c>
      <c r="Q45" s="20"/>
      <c r="R45" s="20">
        <f>(1 - CUSTOS!$M$33)*1.06</f>
        <v>0.63600000000000001</v>
      </c>
      <c r="S45" s="20"/>
      <c r="T45" s="20">
        <f>1 - CUSTOS!$M$33</f>
        <v>0.6</v>
      </c>
      <c r="U45" s="20">
        <f>1 - CUSTOS!$M$33</f>
        <v>0.6</v>
      </c>
      <c r="V45" s="20">
        <f>1 - CUSTOS!$M$33</f>
        <v>0.6</v>
      </c>
      <c r="W45" s="20"/>
      <c r="X45" s="20"/>
      <c r="Y45" s="20"/>
      <c r="Z45" s="20">
        <f>1 - CUSTOS!$M$33</f>
        <v>0.6</v>
      </c>
      <c r="AA45" s="20"/>
      <c r="AB45" s="20"/>
    </row>
    <row r="47" spans="1:28" ht="11.25" customHeight="1" x14ac:dyDescent="0.25">
      <c r="K47" s="25" t="s">
        <v>704</v>
      </c>
      <c r="L47" s="20">
        <f t="shared" ref="L47:AB47" si="0">SUMPRODUCT($I$5:$I$45,L$5:L$45)</f>
        <v>192803.11430000002</v>
      </c>
      <c r="M47" s="20">
        <f t="shared" si="0"/>
        <v>192803.11430000002</v>
      </c>
      <c r="N47" s="20">
        <f t="shared" si="0"/>
        <v>192803.11430000002</v>
      </c>
      <c r="O47" s="20">
        <f t="shared" si="0"/>
        <v>192803.11430000002</v>
      </c>
      <c r="P47" s="20">
        <f t="shared" si="0"/>
        <v>192803.11430000002</v>
      </c>
      <c r="Q47" s="20">
        <f t="shared" si="0"/>
        <v>0</v>
      </c>
      <c r="R47" s="20">
        <f t="shared" si="0"/>
        <v>203621.78619799999</v>
      </c>
      <c r="S47" s="20">
        <f t="shared" si="0"/>
        <v>0</v>
      </c>
      <c r="T47" s="20">
        <f t="shared" si="0"/>
        <v>192803.11430000002</v>
      </c>
      <c r="U47" s="20">
        <f t="shared" si="0"/>
        <v>192803.11430000002</v>
      </c>
      <c r="V47" s="20">
        <f t="shared" si="0"/>
        <v>192803.11430000002</v>
      </c>
      <c r="W47" s="20">
        <f t="shared" si="0"/>
        <v>0</v>
      </c>
      <c r="X47" s="20">
        <f t="shared" si="0"/>
        <v>0</v>
      </c>
      <c r="Y47" s="20">
        <f t="shared" si="0"/>
        <v>0</v>
      </c>
      <c r="Z47" s="20">
        <f t="shared" si="0"/>
        <v>192803.11430000002</v>
      </c>
      <c r="AA47" s="20">
        <f t="shared" si="0"/>
        <v>0</v>
      </c>
      <c r="AB47" s="20">
        <f t="shared" si="0"/>
        <v>0</v>
      </c>
    </row>
    <row r="48" spans="1:28" ht="11.25" customHeight="1" x14ac:dyDescent="0.25">
      <c r="K48" s="25" t="s">
        <v>623</v>
      </c>
      <c r="L48" s="20">
        <f>CUSTOS!$D$30</f>
        <v>490441.64912756049</v>
      </c>
      <c r="M48" s="20">
        <f>CUSTOS!$D$31</f>
        <v>2519008.7404471575</v>
      </c>
      <c r="N48" s="20">
        <f>CUSTOS!$D$32</f>
        <v>0</v>
      </c>
      <c r="O48" s="20">
        <f>CUSTOS!$D$33</f>
        <v>794008.21351846925</v>
      </c>
      <c r="P48" s="20">
        <f>CUSTOS!$D$34</f>
        <v>-3150000</v>
      </c>
      <c r="Q48" s="20">
        <f>CUSTOS!$D$35</f>
        <v>653458.60309318732</v>
      </c>
      <c r="R48" s="20">
        <f>CUSTOS!$D$36</f>
        <v>41430078.225968428</v>
      </c>
      <c r="S48" s="20">
        <f>CUSTOS!$D$37</f>
        <v>41430078.225968428</v>
      </c>
      <c r="T48" s="20">
        <f>CUSTOS!$D$38</f>
        <v>1559392.1738818092</v>
      </c>
      <c r="U48" s="20">
        <f>CUSTOS!$D$39</f>
        <v>1295788.6175304062</v>
      </c>
      <c r="V48" s="20">
        <f>CUSTOS!$D$40</f>
        <v>0</v>
      </c>
      <c r="W48" s="20">
        <f>CUSTOS!$D$41</f>
        <v>2855180.7914122157</v>
      </c>
      <c r="X48" s="20">
        <f>CUSTOS!$D$42</f>
        <v>0</v>
      </c>
      <c r="Y48" s="20">
        <f>CUSTOS!$D$43</f>
        <v>0</v>
      </c>
      <c r="Z48" s="20">
        <f>CUSTOS!$D$44</f>
        <v>1318408.9502956187</v>
      </c>
      <c r="AA48" s="20">
        <f>CUSTOS!$D$45</f>
        <v>1318408.9502956187</v>
      </c>
      <c r="AB48" s="20">
        <f>CUSTOS!$D$46</f>
        <v>46257126.570769452</v>
      </c>
    </row>
    <row r="49" spans="11:28" ht="11.25" customHeight="1" x14ac:dyDescent="0.25">
      <c r="K49" s="25" t="s">
        <v>624</v>
      </c>
      <c r="L49" s="20">
        <f>CUSTOS!$E$30</f>
        <v>2.1730396836747649E-2</v>
      </c>
      <c r="M49" s="20">
        <f>CUSTOS!$E$31</f>
        <v>-926119.86971880542</v>
      </c>
      <c r="N49" s="20">
        <f>CUSTOS!$E$32</f>
        <v>0</v>
      </c>
      <c r="O49" s="20">
        <f>CUSTOS!$E$33</f>
        <v>291007.82484533184</v>
      </c>
      <c r="P49" s="20">
        <f>CUSTOS!$E$34</f>
        <v>0</v>
      </c>
      <c r="Q49" s="20">
        <f>CUSTOS!$E$35</f>
        <v>-635112.0231430768</v>
      </c>
      <c r="R49" s="20">
        <f>CUSTOS!$E$36</f>
        <v>-2992739.8518927954</v>
      </c>
      <c r="S49" s="20">
        <f>CUSTOS!$E$37</f>
        <v>-2992739.8518927954</v>
      </c>
      <c r="T49" s="20">
        <f>CUSTOS!$E$38</f>
        <v>571663.31939759804</v>
      </c>
      <c r="U49" s="20">
        <f>CUSTOS!$E$39</f>
        <v>20862.520133608137</v>
      </c>
      <c r="V49" s="20">
        <f>CUSTOS!$E$40</f>
        <v>0</v>
      </c>
      <c r="W49" s="20">
        <f>CUSTOS!$E$41</f>
        <v>592525.83953120618</v>
      </c>
      <c r="X49" s="20">
        <f>CUSTOS!$E$42</f>
        <v>0</v>
      </c>
      <c r="Y49" s="20">
        <f>CUSTOS!$E$43</f>
        <v>0</v>
      </c>
      <c r="Z49" s="20">
        <f>CUSTOS!$E$44</f>
        <v>-95236.484592701177</v>
      </c>
      <c r="AA49" s="20">
        <f>CUSTOS!$E$45</f>
        <v>-95236.484592701177</v>
      </c>
      <c r="AB49" s="20">
        <f>CUSTOS!$E$46</f>
        <v>-3130562.5200973675</v>
      </c>
    </row>
    <row r="50" spans="11:28" ht="11.25" customHeight="1" x14ac:dyDescent="0.25">
      <c r="K50" s="25" t="s">
        <v>625</v>
      </c>
      <c r="L50" s="20">
        <f>CUSTOS!$F$30</f>
        <v>0</v>
      </c>
      <c r="M50" s="20">
        <f>CUSTOS!$F$31</f>
        <v>3430068.2357000001</v>
      </c>
      <c r="N50" s="20">
        <f>CUSTOS!$F$32</f>
        <v>0</v>
      </c>
      <c r="O50" s="20">
        <f>CUSTOS!$F$33</f>
        <v>71247.873020958446</v>
      </c>
      <c r="P50" s="20">
        <f>CUSTOS!$F$34</f>
        <v>0</v>
      </c>
      <c r="Q50" s="20">
        <f>CUSTOS!$F$35</f>
        <v>3501316.1087209587</v>
      </c>
      <c r="R50" s="20">
        <f>CUSTOS!$F$36</f>
        <v>5685725.32587808</v>
      </c>
      <c r="S50" s="20">
        <f>CUSTOS!$F$37</f>
        <v>5685725.32587808</v>
      </c>
      <c r="T50" s="20">
        <f>CUSTOS!$F$38</f>
        <v>-178222.86040000001</v>
      </c>
      <c r="U50" s="20">
        <f>CUSTOS!$F$39</f>
        <v>-28907.910200000002</v>
      </c>
      <c r="V50" s="20">
        <f>CUSTOS!$F$40</f>
        <v>0</v>
      </c>
      <c r="W50" s="20">
        <f>CUSTOS!$F$41</f>
        <v>-207130.77060000002</v>
      </c>
      <c r="X50" s="20">
        <f>CUSTOS!$F$42</f>
        <v>0</v>
      </c>
      <c r="Y50" s="20">
        <f>CUSTOS!$F$43</f>
        <v>0</v>
      </c>
      <c r="Z50" s="20">
        <f>CUSTOS!$F$44</f>
        <v>180934.03342554063</v>
      </c>
      <c r="AA50" s="20">
        <f>CUSTOS!$F$45</f>
        <v>180934.03342554063</v>
      </c>
      <c r="AB50" s="20">
        <f>CUSTOS!$F$46</f>
        <v>9160844.6974245775</v>
      </c>
    </row>
    <row r="51" spans="11:28" ht="11.25" customHeight="1" x14ac:dyDescent="0.25">
      <c r="K51" s="25" t="s">
        <v>705</v>
      </c>
      <c r="L51" s="20">
        <f>IF(SUMPRODUCT($I$5:$I$45,$L$5:$L$45)&lt;&gt;0,L48/SUMPRODUCT($I$5:$I$45,$L$5:$L$45),0)</f>
        <v>2.5437433980679245</v>
      </c>
      <c r="M51" s="20">
        <f>IF(SUMPRODUCT($I$5:$I$45,$M$5:$M$45)&lt;&gt;0,M48/SUMPRODUCT($I$5:$I$45,$M$5:$M$45),0)</f>
        <v>13.06518698929106</v>
      </c>
      <c r="N51" s="20">
        <f>IF(SUMPRODUCT($I$5:$I$45,$N$5:$N$45)&lt;&gt;0,N48/SUMPRODUCT($I$5:$I$45,$N$5:$N$45),0)</f>
        <v>0</v>
      </c>
      <c r="O51" s="20">
        <f>IF(SUMPRODUCT($I$5:$I$45,$O$5:$O$45)&lt;&gt;0,O48/SUMPRODUCT($I$5:$I$45,$O$5:$O$45),0)</f>
        <v>4.118233340790332</v>
      </c>
      <c r="P51" s="20">
        <f>IF(SUMPRODUCT($I$5:$I$45,$P$5:$P$45)&lt;&gt;0,P48/SUMPRODUCT($I$5:$I$45,$P$5:$P$45),0)</f>
        <v>-16.33791036745717</v>
      </c>
      <c r="Q51" s="20"/>
      <c r="R51" s="20">
        <f>IF((CUSTOS!$M$12-CUSTOS!$M$13)&lt;&gt;0,(CUSTOS!$M$12*CUSTOS!$M$14)/(CUSTOS!$M$12-CUSTOS!$M$13),0)</f>
        <v>213.58282824610288</v>
      </c>
      <c r="S51" s="20"/>
      <c r="T51" s="20">
        <f>IF(SUMPRODUCT($I$5:$I$45,$T$5:$T$45)&lt;&gt;0,T48/SUMPRODUCT($I$5:$I$45,$T$5:$T$45),0)</f>
        <v>8.0880030363794244</v>
      </c>
      <c r="U51" s="20">
        <f>IF(SUMPRODUCT($I$5:$I$45,$U$5:$U$45)&lt;&gt;0,U48/SUMPRODUCT($I$5:$I$45,$U$5:$U$45),0)</f>
        <v>6.720786758216831</v>
      </c>
      <c r="V51" s="20">
        <f>IF(SUMPRODUCT($I$5:$I$45,$V$5:$V$45)&lt;&gt;0,V48/SUMPRODUCT($I$5:$I$45,$V$5:$V$45),0)</f>
        <v>0</v>
      </c>
      <c r="W51" s="20"/>
      <c r="X51" s="20">
        <f>IF(SUMPRODUCT($I$5:$I$45,$X$5:$X$45)&lt;&gt;0,X48/SUMPRODUCT($I$5:$I$45,$X$5:$X$45),0)</f>
        <v>0</v>
      </c>
      <c r="Y51" s="20"/>
      <c r="Z51" s="20">
        <f>IF(SUMPRODUCT($I$5:$I$45,$Z$5:$Z$45)&lt;&gt;0,Z48/SUMPRODUCT($I$5:$I$45,$Z$5:$Z$45),0)</f>
        <v>6.8381102405025755</v>
      </c>
      <c r="AA51" s="20"/>
      <c r="AB51" s="20"/>
    </row>
    <row r="52" spans="11:28" ht="11.25" customHeight="1" x14ac:dyDescent="0.25">
      <c r="K52" s="25" t="s">
        <v>706</v>
      </c>
      <c r="L52" s="20">
        <f>IF(L47&lt;&gt;0,(L48-L51*0)/(L47-0),0)</f>
        <v>2.5437433980679245</v>
      </c>
      <c r="M52" s="20">
        <f>IF(M47&lt;&gt;0,(M48-M51*0)/(M47-0),0)</f>
        <v>13.06518698929106</v>
      </c>
      <c r="N52" s="20">
        <f>IF(N47&lt;&gt;0,(N48-N51*0)/(N47-0),0)</f>
        <v>0</v>
      </c>
      <c r="O52" s="20">
        <f>IF(O47&lt;&gt;0,(O48-O51*0)/(O47-0),0)</f>
        <v>4.118233340790332</v>
      </c>
      <c r="P52" s="20">
        <f>IF(P47&lt;&gt;0,(P48-P51*0)/(P47-0),0)</f>
        <v>-16.33791036745717</v>
      </c>
      <c r="Q52" s="20"/>
      <c r="R52" s="20">
        <f>IF(R47&lt;&gt;0,(R48-R51*0)/(R47-0),0)</f>
        <v>203.46584223400433</v>
      </c>
      <c r="S52" s="20"/>
      <c r="T52" s="20">
        <f>IF(T47&lt;&gt;0,(T48-T51*0)/(T47-0),0)</f>
        <v>8.0880030363794244</v>
      </c>
      <c r="U52" s="20">
        <f>IF(U47&lt;&gt;0,(U48-U51*0)/(U47-0),0)</f>
        <v>6.720786758216831</v>
      </c>
      <c r="V52" s="20">
        <f>IF(V47&lt;&gt;0,(V48-V51*0)/(V47-0),0)</f>
        <v>0</v>
      </c>
      <c r="W52" s="20"/>
      <c r="X52" s="20">
        <f>IF(X47&lt;&gt;0,(X48-X51*0)/(X47-0),0)</f>
        <v>0</v>
      </c>
      <c r="Y52" s="20"/>
      <c r="Z52" s="20">
        <f>IF(Z47&lt;&gt;0,(Z48-Z51*0)/(Z47-0),0)</f>
        <v>6.8381102405025755</v>
      </c>
      <c r="AA52" s="20"/>
      <c r="AB52" s="20"/>
    </row>
    <row r="53" spans="11:28" ht="11.25" customHeight="1" x14ac:dyDescent="0.25">
      <c r="K53" s="25" t="s">
        <v>707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</sheetData>
  <mergeCells count="67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9:E41"/>
    <mergeCell ref="F39:F41"/>
    <mergeCell ref="A44:A45"/>
    <mergeCell ref="B44:B45"/>
    <mergeCell ref="C44:C45"/>
    <mergeCell ref="B36:B38"/>
    <mergeCell ref="C36:C38"/>
    <mergeCell ref="A39:A43"/>
    <mergeCell ref="B39:B41"/>
    <mergeCell ref="C39:C41"/>
    <mergeCell ref="D39:D41"/>
    <mergeCell ref="F28:F30"/>
    <mergeCell ref="B32:B34"/>
    <mergeCell ref="C32:C34"/>
    <mergeCell ref="D32:D34"/>
    <mergeCell ref="E32:E34"/>
    <mergeCell ref="F32:F34"/>
    <mergeCell ref="A24:A38"/>
    <mergeCell ref="B24:B26"/>
    <mergeCell ref="C24:C26"/>
    <mergeCell ref="D24:D26"/>
    <mergeCell ref="E24:E26"/>
    <mergeCell ref="F24:F26"/>
    <mergeCell ref="B28:B30"/>
    <mergeCell ref="C28:C30"/>
    <mergeCell ref="D28:D30"/>
    <mergeCell ref="E28:E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F8:F9"/>
    <mergeCell ref="A5:A7"/>
    <mergeCell ref="B5:B6"/>
    <mergeCell ref="C5:C6"/>
    <mergeCell ref="D5:D6"/>
    <mergeCell ref="E5:E6"/>
    <mergeCell ref="F5:F6"/>
    <mergeCell ref="A8:A10"/>
    <mergeCell ref="B8:B9"/>
    <mergeCell ref="C8:C9"/>
    <mergeCell ref="D8:D9"/>
    <mergeCell ref="E8:E9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8C542-754B-432E-9AFD-511F3F5C3269}">
  <dimension ref="A1:AB53"/>
  <sheetViews>
    <sheetView showGridLines="0" topLeftCell="L1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8.710937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708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</row>
    <row r="2" spans="1:28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</row>
    <row r="3" spans="1:28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164"/>
      <c r="R3" s="164" t="s">
        <v>613</v>
      </c>
      <c r="S3" s="164"/>
      <c r="T3" s="164" t="s">
        <v>591</v>
      </c>
      <c r="U3" s="164"/>
      <c r="V3" s="164"/>
      <c r="W3" s="164"/>
      <c r="X3" s="164" t="s">
        <v>601</v>
      </c>
      <c r="Y3" s="164"/>
      <c r="Z3" s="164" t="s">
        <v>604</v>
      </c>
      <c r="AA3" s="164"/>
      <c r="AB3" s="164" t="s">
        <v>590</v>
      </c>
    </row>
    <row r="4" spans="1:28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590</v>
      </c>
      <c r="R4" s="24" t="s">
        <v>614</v>
      </c>
      <c r="S4" s="24" t="s">
        <v>590</v>
      </c>
      <c r="T4" s="24" t="s">
        <v>615</v>
      </c>
      <c r="U4" s="24" t="s">
        <v>616</v>
      </c>
      <c r="V4" s="24" t="s">
        <v>617</v>
      </c>
      <c r="W4" s="24" t="s">
        <v>590</v>
      </c>
      <c r="X4" s="24" t="s">
        <v>602</v>
      </c>
      <c r="Y4" s="24" t="s">
        <v>590</v>
      </c>
      <c r="Z4" s="24" t="s">
        <v>618</v>
      </c>
      <c r="AA4" s="24" t="s">
        <v>590</v>
      </c>
      <c r="AB4" s="165"/>
    </row>
    <row r="5" spans="1:28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f>'TR TE'!$L$5*'TR TE'!$L$52</f>
        <v>2.5437433980679245</v>
      </c>
      <c r="M5" s="20">
        <f>'TR TE'!$M$5*'TR TE'!$M$52</f>
        <v>13.06518698929106</v>
      </c>
      <c r="N5" s="20">
        <f>'TR TE'!$N$5*'TR TE'!$N$52</f>
        <v>0</v>
      </c>
      <c r="O5" s="20">
        <f>'TR TE'!$O$5*'TR TE'!$O$52</f>
        <v>4.118233340790332</v>
      </c>
      <c r="P5" s="20">
        <f>'TR TE'!$P$5*'TR TE'!$P$52</f>
        <v>-16.33791036745717</v>
      </c>
      <c r="Q5" s="20">
        <f>SUM($L$5:$P$5)</f>
        <v>3.3892533606921482</v>
      </c>
      <c r="R5" s="20">
        <f>'TR TE'!$R$5*'TR TE'!$R$52</f>
        <v>349.96124864248742</v>
      </c>
      <c r="S5" s="20">
        <f>SUM($R$5:$R$5)</f>
        <v>349.96124864248742</v>
      </c>
      <c r="T5" s="20">
        <f>'TR TE'!$T$5*'TR TE'!$T$52</f>
        <v>8.0880030363794244</v>
      </c>
      <c r="U5" s="20">
        <f>'TR TE'!$U$5*'TR TE'!$U$52</f>
        <v>6.720786758216831</v>
      </c>
      <c r="V5" s="20">
        <f>'TR TE'!$V$5*'TR TE'!$V$52</f>
        <v>0</v>
      </c>
      <c r="W5" s="20">
        <f>SUM($T$5:$V$5)</f>
        <v>14.808789794596255</v>
      </c>
      <c r="X5" s="20"/>
      <c r="Y5" s="20">
        <f>SUM($X$5:$X$5)</f>
        <v>0</v>
      </c>
      <c r="Z5" s="20">
        <f>'TR TE'!$Z$5*'TR TE'!$Z$52</f>
        <v>6.8381102405025755</v>
      </c>
      <c r="AA5" s="20">
        <f>SUM($Z$5:$Z$5)</f>
        <v>6.8381102405025755</v>
      </c>
      <c r="AB5" s="20">
        <f>SUMIF($L$4:$AA$4,"SUBTOTAL",$L$5:$AA$5)</f>
        <v>374.99740203827838</v>
      </c>
    </row>
    <row r="6" spans="1:28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f>'TR TE'!$L$6*'TR TE'!$L$52</f>
        <v>2.5437433980679245</v>
      </c>
      <c r="M6" s="20">
        <f>'TR TE'!$M$6*'TR TE'!$M$52</f>
        <v>13.06518698929106</v>
      </c>
      <c r="N6" s="20">
        <f>'TR TE'!$N$6*'TR TE'!$N$52</f>
        <v>0</v>
      </c>
      <c r="O6" s="20">
        <f>'TR TE'!$O$6*'TR TE'!$O$52</f>
        <v>4.118233340790332</v>
      </c>
      <c r="P6" s="20">
        <f>'TR TE'!$P$6*'TR TE'!$P$52</f>
        <v>-16.33791036745717</v>
      </c>
      <c r="Q6" s="20">
        <f>SUM($L$6:$P$6)</f>
        <v>3.3892533606921482</v>
      </c>
      <c r="R6" s="20">
        <f>'TR TE'!$R$6*'TR TE'!$R$52</f>
        <v>203.46584223400433</v>
      </c>
      <c r="S6" s="20">
        <f>SUM($R$6:$R$6)</f>
        <v>203.46584223400433</v>
      </c>
      <c r="T6" s="20">
        <f>'TR TE'!$T$6*'TR TE'!$T$52</f>
        <v>8.0880030363794244</v>
      </c>
      <c r="U6" s="20">
        <f>'TR TE'!$U$6*'TR TE'!$U$52</f>
        <v>6.720786758216831</v>
      </c>
      <c r="V6" s="20">
        <f>'TR TE'!$V$6*'TR TE'!$V$52</f>
        <v>0</v>
      </c>
      <c r="W6" s="20">
        <f>SUM($T$6:$V$6)</f>
        <v>14.808789794596255</v>
      </c>
      <c r="X6" s="20"/>
      <c r="Y6" s="20">
        <f>SUM($X$6:$X$6)</f>
        <v>0</v>
      </c>
      <c r="Z6" s="20">
        <f>'TR TE'!$Z$6*'TR TE'!$Z$52</f>
        <v>6.8381102405025755</v>
      </c>
      <c r="AA6" s="20">
        <f>SUM($Z$6:$Z$6)</f>
        <v>6.8381102405025755</v>
      </c>
      <c r="AB6" s="20">
        <f>SUMIF($L$4:$AA$4,"SUBTOTAL",$L$6:$AA$6)</f>
        <v>228.50199562979532</v>
      </c>
    </row>
    <row r="7" spans="1:28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f>'TR TE'!$L$7*'TR TE'!$L$52</f>
        <v>2.5437433980679245</v>
      </c>
      <c r="M7" s="20">
        <f>'TR TE'!$M$7*'TR TE'!$M$52</f>
        <v>13.06518698929106</v>
      </c>
      <c r="N7" s="20">
        <f>'TR TE'!$N$7*'TR TE'!$N$52</f>
        <v>0</v>
      </c>
      <c r="O7" s="20">
        <f>'TR TE'!$O$7*'TR TE'!$O$52</f>
        <v>4.118233340790332</v>
      </c>
      <c r="P7" s="20">
        <f>'TR TE'!$P$7*'TR TE'!$P$52</f>
        <v>-16.33791036745717</v>
      </c>
      <c r="Q7" s="20">
        <f>SUM($L$7:$P$7)</f>
        <v>3.3892533606921482</v>
      </c>
      <c r="R7" s="20">
        <f>'TR TE'!$R$7*'TR TE'!$R$52</f>
        <v>215.67379276804459</v>
      </c>
      <c r="S7" s="20">
        <f>SUM($R$7:$R$7)</f>
        <v>215.67379276804459</v>
      </c>
      <c r="T7" s="20">
        <f>'TR TE'!$T$7*'TR TE'!$T$52</f>
        <v>8.0880030363794244</v>
      </c>
      <c r="U7" s="20">
        <f>'TR TE'!$U$7*'TR TE'!$U$52</f>
        <v>6.720786758216831</v>
      </c>
      <c r="V7" s="20">
        <f>'TR TE'!$V$7*'TR TE'!$V$52</f>
        <v>0</v>
      </c>
      <c r="W7" s="20">
        <f>SUM($T$7:$V$7)</f>
        <v>14.808789794596255</v>
      </c>
      <c r="X7" s="20"/>
      <c r="Y7" s="20">
        <f>SUM($X$7:$X$7)</f>
        <v>0</v>
      </c>
      <c r="Z7" s="20">
        <f>'TR TE'!$Z$7*'TR TE'!$Z$52</f>
        <v>6.8381102405025755</v>
      </c>
      <c r="AA7" s="20">
        <f>SUM($Z$7:$Z$7)</f>
        <v>6.8381102405025755</v>
      </c>
      <c r="AB7" s="20">
        <f>SUMIF($L$4:$AA$4,"SUBTOTAL",$L$7:$AA$7)</f>
        <v>240.70994616383558</v>
      </c>
    </row>
    <row r="8" spans="1:28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f>'TR TE'!$L$8*'TR TE'!$L$52</f>
        <v>2.5437433980679245</v>
      </c>
      <c r="M8" s="20">
        <f>'TR TE'!$M$8*'TR TE'!$M$52</f>
        <v>13.06518698929106</v>
      </c>
      <c r="N8" s="20">
        <f>'TR TE'!$N$8*'TR TE'!$N$52</f>
        <v>0</v>
      </c>
      <c r="O8" s="20">
        <f>'TR TE'!$O$8*'TR TE'!$O$52</f>
        <v>4.118233340790332</v>
      </c>
      <c r="P8" s="20">
        <f>'TR TE'!$P$8*'TR TE'!$P$52</f>
        <v>-16.33791036745717</v>
      </c>
      <c r="Q8" s="20">
        <f>SUM($L$8:$P$8)</f>
        <v>3.3892533606921482</v>
      </c>
      <c r="R8" s="20">
        <f>'TR TE'!$R$8*'TR TE'!$R$52</f>
        <v>349.96124864248742</v>
      </c>
      <c r="S8" s="20">
        <f>SUM($R$8:$R$8)</f>
        <v>349.96124864248742</v>
      </c>
      <c r="T8" s="20">
        <f>'TR TE'!$T$8*'TR TE'!$T$52</f>
        <v>8.0880030363794244</v>
      </c>
      <c r="U8" s="20">
        <f>'TR TE'!$U$8*'TR TE'!$U$52</f>
        <v>6.720786758216831</v>
      </c>
      <c r="V8" s="20">
        <f>'TR TE'!$V$8*'TR TE'!$V$52</f>
        <v>0</v>
      </c>
      <c r="W8" s="20">
        <f>SUM($T$8:$V$8)</f>
        <v>14.808789794596255</v>
      </c>
      <c r="X8" s="20"/>
      <c r="Y8" s="20">
        <f>SUM($X$8:$X$8)</f>
        <v>0</v>
      </c>
      <c r="Z8" s="20">
        <f>'TR TE'!$Z$8*'TR TE'!$Z$52</f>
        <v>6.8381102405025755</v>
      </c>
      <c r="AA8" s="20">
        <f>SUM($Z$8:$Z$8)</f>
        <v>6.8381102405025755</v>
      </c>
      <c r="AB8" s="20">
        <f>SUMIF($L$4:$AA$4,"SUBTOTAL",$L$8:$AA$8)</f>
        <v>374.99740203827838</v>
      </c>
    </row>
    <row r="9" spans="1:28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f>'TR TE'!$L$9*'TR TE'!$L$52</f>
        <v>2.5437433980679245</v>
      </c>
      <c r="M9" s="20">
        <f>'TR TE'!$M$9*'TR TE'!$M$52</f>
        <v>13.06518698929106</v>
      </c>
      <c r="N9" s="20">
        <f>'TR TE'!$N$9*'TR TE'!$N$52</f>
        <v>0</v>
      </c>
      <c r="O9" s="20">
        <f>'TR TE'!$O$9*'TR TE'!$O$52</f>
        <v>4.118233340790332</v>
      </c>
      <c r="P9" s="20">
        <f>'TR TE'!$P$9*'TR TE'!$P$52</f>
        <v>-16.33791036745717</v>
      </c>
      <c r="Q9" s="20">
        <f>SUM($L$9:$P$9)</f>
        <v>3.3892533606921482</v>
      </c>
      <c r="R9" s="20">
        <f>'TR TE'!$R$9*'TR TE'!$R$52</f>
        <v>203.46584223400433</v>
      </c>
      <c r="S9" s="20">
        <f>SUM($R$9:$R$9)</f>
        <v>203.46584223400433</v>
      </c>
      <c r="T9" s="20">
        <f>'TR TE'!$T$9*'TR TE'!$T$52</f>
        <v>8.0880030363794244</v>
      </c>
      <c r="U9" s="20">
        <f>'TR TE'!$U$9*'TR TE'!$U$52</f>
        <v>6.720786758216831</v>
      </c>
      <c r="V9" s="20">
        <f>'TR TE'!$V$9*'TR TE'!$V$52</f>
        <v>0</v>
      </c>
      <c r="W9" s="20">
        <f>SUM($T$9:$V$9)</f>
        <v>14.808789794596255</v>
      </c>
      <c r="X9" s="20"/>
      <c r="Y9" s="20">
        <f>SUM($X$9:$X$9)</f>
        <v>0</v>
      </c>
      <c r="Z9" s="20">
        <f>'TR TE'!$Z$9*'TR TE'!$Z$52</f>
        <v>6.8381102405025755</v>
      </c>
      <c r="AA9" s="20">
        <f>SUM($Z$9:$Z$9)</f>
        <v>6.8381102405025755</v>
      </c>
      <c r="AB9" s="20">
        <f>SUMIF($L$4:$AA$4,"SUBTOTAL",$L$9:$AA$9)</f>
        <v>228.50199562979532</v>
      </c>
    </row>
    <row r="10" spans="1:28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f>'TR TE'!$L$10*'TR TE'!$L$52</f>
        <v>2.5437433980679245</v>
      </c>
      <c r="M10" s="20">
        <f>'TR TE'!$M$10*'TR TE'!$M$52</f>
        <v>13.06518698929106</v>
      </c>
      <c r="N10" s="20">
        <f>'TR TE'!$N$10*'TR TE'!$N$52</f>
        <v>0</v>
      </c>
      <c r="O10" s="20">
        <f>'TR TE'!$O$10*'TR TE'!$O$52</f>
        <v>4.118233340790332</v>
      </c>
      <c r="P10" s="20">
        <f>'TR TE'!$P$10*'TR TE'!$P$52</f>
        <v>-16.33791036745717</v>
      </c>
      <c r="Q10" s="20">
        <f>SUM($L$10:$P$10)</f>
        <v>3.3892533606921482</v>
      </c>
      <c r="R10" s="20">
        <f>'TR TE'!$R$10*'TR TE'!$R$52</f>
        <v>215.67379276804459</v>
      </c>
      <c r="S10" s="20">
        <f>SUM($R$10:$R$10)</f>
        <v>215.67379276804459</v>
      </c>
      <c r="T10" s="20">
        <f>'TR TE'!$T$10*'TR TE'!$T$52</f>
        <v>8.0880030363794244</v>
      </c>
      <c r="U10" s="20">
        <f>'TR TE'!$U$10*'TR TE'!$U$52</f>
        <v>6.720786758216831</v>
      </c>
      <c r="V10" s="20">
        <f>'TR TE'!$V$10*'TR TE'!$V$52</f>
        <v>0</v>
      </c>
      <c r="W10" s="20">
        <f>SUM($T$10:$V$10)</f>
        <v>14.808789794596255</v>
      </c>
      <c r="X10" s="20"/>
      <c r="Y10" s="20">
        <f>SUM($X$10:$X$10)</f>
        <v>0</v>
      </c>
      <c r="Z10" s="20">
        <f>'TR TE'!$Z$10*'TR TE'!$Z$52</f>
        <v>6.8381102405025755</v>
      </c>
      <c r="AA10" s="20">
        <f>SUM($Z$10:$Z$10)</f>
        <v>6.8381102405025755</v>
      </c>
      <c r="AB10" s="20">
        <f>SUMIF($L$4:$AA$4,"SUBTOTAL",$L$10:$AA$10)</f>
        <v>240.70994616383558</v>
      </c>
    </row>
    <row r="11" spans="1:28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f>'TR TE'!$L$11*'TR TE'!$L$52</f>
        <v>2.5437433980679245</v>
      </c>
      <c r="M11" s="20">
        <f>'TR TE'!$M$11*'TR TE'!$M$52</f>
        <v>13.06518698929106</v>
      </c>
      <c r="N11" s="20">
        <f>'TR TE'!$N$11*'TR TE'!$N$52</f>
        <v>0</v>
      </c>
      <c r="O11" s="20">
        <f>'TR TE'!$O$11*'TR TE'!$O$52</f>
        <v>4.118233340790332</v>
      </c>
      <c r="P11" s="20">
        <f>'TR TE'!$P$11*'TR TE'!$P$52</f>
        <v>-16.33791036745717</v>
      </c>
      <c r="Q11" s="20">
        <f>SUM($L$11:$P$11)</f>
        <v>3.3892533606921482</v>
      </c>
      <c r="R11" s="20">
        <f>'TR TE'!$R$11*'TR TE'!$R$52</f>
        <v>349.96124864248742</v>
      </c>
      <c r="S11" s="20">
        <f>SUM($R$11:$R$11)</f>
        <v>349.96124864248742</v>
      </c>
      <c r="T11" s="20">
        <f>'TR TE'!$T$11*'TR TE'!$T$52</f>
        <v>8.0880030363794244</v>
      </c>
      <c r="U11" s="20">
        <f>'TR TE'!$U$11*'TR TE'!$U$52</f>
        <v>6.720786758216831</v>
      </c>
      <c r="V11" s="20">
        <f>'TR TE'!$V$11*'TR TE'!$V$52</f>
        <v>0</v>
      </c>
      <c r="W11" s="20">
        <f>SUM($T$11:$V$11)</f>
        <v>14.808789794596255</v>
      </c>
      <c r="X11" s="20"/>
      <c r="Y11" s="20">
        <f>SUM($X$11:$X$11)</f>
        <v>0</v>
      </c>
      <c r="Z11" s="20">
        <f>'TR TE'!$Z$11*'TR TE'!$Z$52</f>
        <v>6.8381102405025755</v>
      </c>
      <c r="AA11" s="20">
        <f>SUM($Z$11:$Z$11)</f>
        <v>6.8381102405025755</v>
      </c>
      <c r="AB11" s="20">
        <f>SUMIF($L$4:$AA$4,"SUBTOTAL",$L$11:$AA$11)</f>
        <v>374.99740203827838</v>
      </c>
    </row>
    <row r="12" spans="1:28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f>'TR TE'!$L$12*'TR TE'!$L$52</f>
        <v>2.5437433980679245</v>
      </c>
      <c r="M12" s="20">
        <f>'TR TE'!$M$12*'TR TE'!$M$52</f>
        <v>13.06518698929106</v>
      </c>
      <c r="N12" s="20">
        <f>'TR TE'!$N$12*'TR TE'!$N$52</f>
        <v>0</v>
      </c>
      <c r="O12" s="20">
        <f>'TR TE'!$O$12*'TR TE'!$O$52</f>
        <v>4.118233340790332</v>
      </c>
      <c r="P12" s="20">
        <f>'TR TE'!$P$12*'TR TE'!$P$52</f>
        <v>-16.33791036745717</v>
      </c>
      <c r="Q12" s="20">
        <f>SUM($L$12:$P$12)</f>
        <v>3.3892533606921482</v>
      </c>
      <c r="R12" s="20">
        <f>'TR TE'!$R$12*'TR TE'!$R$52</f>
        <v>203.46584223400433</v>
      </c>
      <c r="S12" s="20">
        <f>SUM($R$12:$R$12)</f>
        <v>203.46584223400433</v>
      </c>
      <c r="T12" s="20">
        <f>'TR TE'!$T$12*'TR TE'!$T$52</f>
        <v>8.0880030363794244</v>
      </c>
      <c r="U12" s="20">
        <f>'TR TE'!$U$12*'TR TE'!$U$52</f>
        <v>6.720786758216831</v>
      </c>
      <c r="V12" s="20">
        <f>'TR TE'!$V$12*'TR TE'!$V$52</f>
        <v>0</v>
      </c>
      <c r="W12" s="20">
        <f>SUM($T$12:$V$12)</f>
        <v>14.808789794596255</v>
      </c>
      <c r="X12" s="20"/>
      <c r="Y12" s="20">
        <f>SUM($X$12:$X$12)</f>
        <v>0</v>
      </c>
      <c r="Z12" s="20">
        <f>'TR TE'!$Z$12*'TR TE'!$Z$52</f>
        <v>6.8381102405025755</v>
      </c>
      <c r="AA12" s="20">
        <f>SUM($Z$12:$Z$12)</f>
        <v>6.8381102405025755</v>
      </c>
      <c r="AB12" s="20">
        <f>SUMIF($L$4:$AA$4,"SUBTOTAL",$L$12:$AA$12)</f>
        <v>228.50199562979532</v>
      </c>
    </row>
    <row r="13" spans="1:28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f>'TR TE'!$L$13*'TR TE'!$L$52</f>
        <v>2.5437433980679245</v>
      </c>
      <c r="M13" s="20">
        <f>'TR TE'!$M$13*'TR TE'!$M$52</f>
        <v>13.06518698929106</v>
      </c>
      <c r="N13" s="20">
        <f>'TR TE'!$N$13*'TR TE'!$N$52</f>
        <v>0</v>
      </c>
      <c r="O13" s="20">
        <f>'TR TE'!$O$13*'TR TE'!$O$52</f>
        <v>4.118233340790332</v>
      </c>
      <c r="P13" s="20">
        <f>'TR TE'!$P$13*'TR TE'!$P$52</f>
        <v>-16.33791036745717</v>
      </c>
      <c r="Q13" s="20">
        <f>SUM($L$13:$P$13)</f>
        <v>3.3892533606921482</v>
      </c>
      <c r="R13" s="20">
        <f>'TR TE'!$R$13*'TR TE'!$R$52</f>
        <v>203.46584223400433</v>
      </c>
      <c r="S13" s="20">
        <f>SUM($R$13:$R$13)</f>
        <v>203.46584223400433</v>
      </c>
      <c r="T13" s="20">
        <f>'TR TE'!$T$13*'TR TE'!$T$52</f>
        <v>8.0880030363794244</v>
      </c>
      <c r="U13" s="20">
        <f>'TR TE'!$U$13*'TR TE'!$U$52</f>
        <v>6.720786758216831</v>
      </c>
      <c r="V13" s="20">
        <f>'TR TE'!$V$13*'TR TE'!$V$52</f>
        <v>0</v>
      </c>
      <c r="W13" s="20">
        <f>SUM($T$13:$V$13)</f>
        <v>14.808789794596255</v>
      </c>
      <c r="X13" s="20"/>
      <c r="Y13" s="20">
        <f>SUM($X$13:$X$13)</f>
        <v>0</v>
      </c>
      <c r="Z13" s="20">
        <f>'TR TE'!$Z$13*'TR TE'!$Z$52</f>
        <v>6.8381102405025755</v>
      </c>
      <c r="AA13" s="20">
        <f>SUM($Z$13:$Z$13)</f>
        <v>6.8381102405025755</v>
      </c>
      <c r="AB13" s="20">
        <f>SUMIF($L$4:$AA$4,"SUBTOTAL",$L$13:$AA$13)</f>
        <v>228.50199562979532</v>
      </c>
    </row>
    <row r="14" spans="1:28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f>'TR TE'!$L$14*'TR TE'!$L$52</f>
        <v>2.5437433980679245</v>
      </c>
      <c r="M14" s="20">
        <f>'TR TE'!$M$14*'TR TE'!$M$52</f>
        <v>13.06518698929106</v>
      </c>
      <c r="N14" s="20">
        <f>'TR TE'!$N$14*'TR TE'!$N$52</f>
        <v>0</v>
      </c>
      <c r="O14" s="20">
        <f>'TR TE'!$O$14*'TR TE'!$O$52</f>
        <v>4.118233340790332</v>
      </c>
      <c r="P14" s="20">
        <f>'TR TE'!$P$14*'TR TE'!$P$52</f>
        <v>-16.33791036745717</v>
      </c>
      <c r="Q14" s="20">
        <f>SUM($L$14:$P$14)</f>
        <v>3.3892533606921482</v>
      </c>
      <c r="R14" s="20">
        <f>'TR TE'!$R$14*'TR TE'!$R$52</f>
        <v>215.67379276804459</v>
      </c>
      <c r="S14" s="20">
        <f>SUM($R$14:$R$14)</f>
        <v>215.67379276804459</v>
      </c>
      <c r="T14" s="20">
        <f>'TR TE'!$T$14*'TR TE'!$T$52</f>
        <v>8.0880030363794244</v>
      </c>
      <c r="U14" s="20">
        <f>'TR TE'!$U$14*'TR TE'!$U$52</f>
        <v>6.720786758216831</v>
      </c>
      <c r="V14" s="20">
        <f>'TR TE'!$V$14*'TR TE'!$V$52</f>
        <v>0</v>
      </c>
      <c r="W14" s="20">
        <f>SUM($T$14:$V$14)</f>
        <v>14.808789794596255</v>
      </c>
      <c r="X14" s="20"/>
      <c r="Y14" s="20">
        <f>SUM($X$14:$X$14)</f>
        <v>0</v>
      </c>
      <c r="Z14" s="20">
        <f>'TR TE'!$Z$14*'TR TE'!$Z$52</f>
        <v>6.8381102405025755</v>
      </c>
      <c r="AA14" s="20">
        <f>SUM($Z$14:$Z$14)</f>
        <v>6.8381102405025755</v>
      </c>
      <c r="AB14" s="20">
        <f>SUMIF($L$4:$AA$4,"SUBTOTAL",$L$14:$AA$14)</f>
        <v>240.70994616383558</v>
      </c>
    </row>
    <row r="15" spans="1:28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'TR TE'!$L$15*'TR TE'!$L$52</f>
        <v>2.5437433980679245</v>
      </c>
      <c r="M15" s="20">
        <f>'TR TE'!$M$15*'TR TE'!$M$52</f>
        <v>13.06518698929106</v>
      </c>
      <c r="N15" s="20">
        <f>'TR TE'!$N$15*'TR TE'!$N$52</f>
        <v>0</v>
      </c>
      <c r="O15" s="20">
        <f>'TR TE'!$O$15*'TR TE'!$O$52</f>
        <v>4.118233340790332</v>
      </c>
      <c r="P15" s="20">
        <f>'TR TE'!$P$15*'TR TE'!$P$52</f>
        <v>-16.33791036745717</v>
      </c>
      <c r="Q15" s="20">
        <f>SUM($L$15:$P$15)</f>
        <v>3.3892533606921482</v>
      </c>
      <c r="R15" s="20">
        <f>'TR TE'!$R$15*'TR TE'!$R$52</f>
        <v>215.67379276804459</v>
      </c>
      <c r="S15" s="20">
        <f>SUM($R$15:$R$15)</f>
        <v>215.67379276804459</v>
      </c>
      <c r="T15" s="20">
        <f>'TR TE'!$T$15*'TR TE'!$T$52</f>
        <v>8.0880030363794244</v>
      </c>
      <c r="U15" s="20">
        <f>'TR TE'!$U$15*'TR TE'!$U$52</f>
        <v>6.720786758216831</v>
      </c>
      <c r="V15" s="20">
        <f>'TR TE'!$V$15*'TR TE'!$V$52</f>
        <v>0</v>
      </c>
      <c r="W15" s="20">
        <f>SUM($T$15:$V$15)</f>
        <v>14.808789794596255</v>
      </c>
      <c r="X15" s="20"/>
      <c r="Y15" s="20">
        <f>SUM($X$15:$X$15)</f>
        <v>0</v>
      </c>
      <c r="Z15" s="20">
        <f>'TR TE'!$Z$15*'TR TE'!$Z$52</f>
        <v>6.8381102405025755</v>
      </c>
      <c r="AA15" s="20">
        <f>SUM($Z$15:$Z$15)</f>
        <v>6.8381102405025755</v>
      </c>
      <c r="AB15" s="20">
        <f>SUMIF($L$4:$AA$4,"SUBTOTAL",$L$15:$AA$15)</f>
        <v>240.70994616383558</v>
      </c>
    </row>
    <row r="16" spans="1:28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'TR TE'!$L$16*'TR TE'!$L$52</f>
        <v>2.5437433980679245</v>
      </c>
      <c r="M16" s="20">
        <f>'TR TE'!$M$16*'TR TE'!$M$52</f>
        <v>13.06518698929106</v>
      </c>
      <c r="N16" s="20">
        <f>'TR TE'!$N$16*'TR TE'!$N$52</f>
        <v>0</v>
      </c>
      <c r="O16" s="20">
        <f>'TR TE'!$O$16*'TR TE'!$O$52</f>
        <v>4.118233340790332</v>
      </c>
      <c r="P16" s="20">
        <f>'TR TE'!$P$16*'TR TE'!$P$52</f>
        <v>-16.33791036745717</v>
      </c>
      <c r="Q16" s="20">
        <f>SUM($L$16:$P$16)</f>
        <v>3.3892533606921482</v>
      </c>
      <c r="R16" s="20">
        <f>'TR TE'!$R$16*'TR TE'!$R$52</f>
        <v>215.67379276804459</v>
      </c>
      <c r="S16" s="20">
        <f>SUM($R$16:$R$16)</f>
        <v>215.67379276804459</v>
      </c>
      <c r="T16" s="20">
        <f>'TR TE'!$T$16*'TR TE'!$T$52</f>
        <v>8.0880030363794244</v>
      </c>
      <c r="U16" s="20">
        <f>'TR TE'!$U$16*'TR TE'!$U$52</f>
        <v>6.720786758216831</v>
      </c>
      <c r="V16" s="20">
        <f>'TR TE'!$V$16*'TR TE'!$V$52</f>
        <v>0</v>
      </c>
      <c r="W16" s="20">
        <f>SUM($T$16:$V$16)</f>
        <v>14.808789794596255</v>
      </c>
      <c r="X16" s="20"/>
      <c r="Y16" s="20">
        <f>SUM($X$16:$X$16)</f>
        <v>0</v>
      </c>
      <c r="Z16" s="20">
        <f>'TR TE'!$Z$16*'TR TE'!$Z$52</f>
        <v>6.8381102405025755</v>
      </c>
      <c r="AA16" s="20">
        <f>SUM($Z$16:$Z$16)</f>
        <v>6.8381102405025755</v>
      </c>
      <c r="AB16" s="20">
        <f>SUMIF($L$4:$AA$4,"SUBTOTAL",$L$16:$AA$16)</f>
        <v>240.70994616383558</v>
      </c>
    </row>
    <row r="17" spans="1:28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'TR TE'!$L$17*'TR TE'!$L$52</f>
        <v>2.5437433980679245</v>
      </c>
      <c r="M17" s="20">
        <f>'TR TE'!$M$17*'TR TE'!$M$52</f>
        <v>13.06518698929106</v>
      </c>
      <c r="N17" s="20">
        <f>'TR TE'!$N$17*'TR TE'!$N$52</f>
        <v>0</v>
      </c>
      <c r="O17" s="20">
        <f>'TR TE'!$O$17*'TR TE'!$O$52</f>
        <v>4.118233340790332</v>
      </c>
      <c r="P17" s="20">
        <f>'TR TE'!$P$17*'TR TE'!$P$52</f>
        <v>-16.33791036745717</v>
      </c>
      <c r="Q17" s="20">
        <f>SUM($L$17:$P$17)</f>
        <v>3.3892533606921482</v>
      </c>
      <c r="R17" s="20">
        <f>'TR TE'!$R$17*'TR TE'!$R$52</f>
        <v>215.67379276804459</v>
      </c>
      <c r="S17" s="20">
        <f>SUM($R$17:$R$17)</f>
        <v>215.67379276804459</v>
      </c>
      <c r="T17" s="20">
        <f>'TR TE'!$T$17*'TR TE'!$T$52</f>
        <v>8.0880030363794244</v>
      </c>
      <c r="U17" s="20">
        <f>'TR TE'!$U$17*'TR TE'!$U$52</f>
        <v>6.720786758216831</v>
      </c>
      <c r="V17" s="20">
        <f>'TR TE'!$V$17*'TR TE'!$V$52</f>
        <v>0</v>
      </c>
      <c r="W17" s="20">
        <f>SUM($T$17:$V$17)</f>
        <v>14.808789794596255</v>
      </c>
      <c r="X17" s="20"/>
      <c r="Y17" s="20">
        <f>SUM($X$17:$X$17)</f>
        <v>0</v>
      </c>
      <c r="Z17" s="20">
        <f>'TR TE'!$Z$17*'TR TE'!$Z$52</f>
        <v>6.8381102405025755</v>
      </c>
      <c r="AA17" s="20">
        <f>SUM($Z$17:$Z$17)</f>
        <v>6.8381102405025755</v>
      </c>
      <c r="AB17" s="20">
        <f>SUMIF($L$4:$AA$4,"SUBTOTAL",$L$17:$AA$17)</f>
        <v>240.70994616383558</v>
      </c>
    </row>
    <row r="18" spans="1:28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'TR TE'!$L$18*'TR TE'!$L$52</f>
        <v>2.5437433980679245</v>
      </c>
      <c r="M18" s="20">
        <f>'TR TE'!$M$18*'TR TE'!$M$52</f>
        <v>13.06518698929106</v>
      </c>
      <c r="N18" s="20">
        <f>'TR TE'!$N$18*'TR TE'!$N$52</f>
        <v>0</v>
      </c>
      <c r="O18" s="20">
        <f>'TR TE'!$O$18*'TR TE'!$O$52</f>
        <v>4.118233340790332</v>
      </c>
      <c r="P18" s="20">
        <f>'TR TE'!$P$18*'TR TE'!$P$52</f>
        <v>-16.33791036745717</v>
      </c>
      <c r="Q18" s="20">
        <f>SUM($L$18:$P$18)</f>
        <v>3.3892533606921482</v>
      </c>
      <c r="R18" s="20">
        <f>'TR TE'!$R$18*'TR TE'!$R$52</f>
        <v>215.67379276804459</v>
      </c>
      <c r="S18" s="20">
        <f>SUM($R$18:$R$18)</f>
        <v>215.67379276804459</v>
      </c>
      <c r="T18" s="20">
        <f>'TR TE'!$T$18*'TR TE'!$T$52</f>
        <v>8.0880030363794244</v>
      </c>
      <c r="U18" s="20">
        <f>'TR TE'!$U$18*'TR TE'!$U$52</f>
        <v>6.720786758216831</v>
      </c>
      <c r="V18" s="20">
        <f>'TR TE'!$V$18*'TR TE'!$V$52</f>
        <v>0</v>
      </c>
      <c r="W18" s="20">
        <f>SUM($T$18:$V$18)</f>
        <v>14.808789794596255</v>
      </c>
      <c r="X18" s="20"/>
      <c r="Y18" s="20">
        <f>SUM($X$18:$X$18)</f>
        <v>0</v>
      </c>
      <c r="Z18" s="20">
        <f>'TR TE'!$Z$18*'TR TE'!$Z$52</f>
        <v>6.8381102405025755</v>
      </c>
      <c r="AA18" s="20">
        <f>SUM($Z$18:$Z$18)</f>
        <v>6.8381102405025755</v>
      </c>
      <c r="AB18" s="20">
        <f>SUMIF($L$4:$AA$4,"SUBTOTAL",$L$18:$AA$18)</f>
        <v>240.70994616383558</v>
      </c>
    </row>
    <row r="19" spans="1:28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f>'TR TE'!$L$19*'TR TE'!$L$52</f>
        <v>2.5437433980679245</v>
      </c>
      <c r="M19" s="20">
        <f>'TR TE'!$M$19*'TR TE'!$M$52</f>
        <v>13.06518698929106</v>
      </c>
      <c r="N19" s="20">
        <f>'TR TE'!$N$19*'TR TE'!$N$52</f>
        <v>0</v>
      </c>
      <c r="O19" s="20">
        <f>'TR TE'!$O$19*'TR TE'!$O$52</f>
        <v>4.118233340790332</v>
      </c>
      <c r="P19" s="20">
        <f>'TR TE'!$P$19*'TR TE'!$P$52</f>
        <v>-16.33791036745717</v>
      </c>
      <c r="Q19" s="20">
        <f>SUM($L$19:$P$19)</f>
        <v>3.3892533606921482</v>
      </c>
      <c r="R19" s="20">
        <f>'TR TE'!$R$19*'TR TE'!$R$52</f>
        <v>215.67379276804459</v>
      </c>
      <c r="S19" s="20">
        <f>SUM($R$19:$R$19)</f>
        <v>215.67379276804459</v>
      </c>
      <c r="T19" s="20">
        <f>'TR TE'!$T$19*'TR TE'!$T$52</f>
        <v>8.0880030363794244</v>
      </c>
      <c r="U19" s="20">
        <f>'TR TE'!$U$19*'TR TE'!$U$52</f>
        <v>6.720786758216831</v>
      </c>
      <c r="V19" s="20">
        <f>'TR TE'!$V$19*'TR TE'!$V$52</f>
        <v>0</v>
      </c>
      <c r="W19" s="20">
        <f>SUM($T$19:$V$19)</f>
        <v>14.808789794596255</v>
      </c>
      <c r="X19" s="20"/>
      <c r="Y19" s="20">
        <f>SUM($X$19:$X$19)</f>
        <v>0</v>
      </c>
      <c r="Z19" s="20">
        <f>'TR TE'!$Z$19*'TR TE'!$Z$52</f>
        <v>6.8381102405025755</v>
      </c>
      <c r="AA19" s="20">
        <f>SUM($Z$19:$Z$19)</f>
        <v>6.8381102405025755</v>
      </c>
      <c r="AB19" s="20">
        <f>SUMIF($L$4:$AA$4,"SUBTOTAL",$L$19:$AA$19)</f>
        <v>240.70994616383558</v>
      </c>
    </row>
    <row r="20" spans="1:28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'TR TE'!$L$20*'TR TE'!$L$52</f>
        <v>2.5437433980679245</v>
      </c>
      <c r="M20" s="20">
        <f>'TR TE'!$M$20*'TR TE'!$M$52</f>
        <v>13.06518698929106</v>
      </c>
      <c r="N20" s="20">
        <f>'TR TE'!$N$20*'TR TE'!$N$52</f>
        <v>0</v>
      </c>
      <c r="O20" s="20">
        <f>'TR TE'!$O$20*'TR TE'!$O$52</f>
        <v>4.118233340790332</v>
      </c>
      <c r="P20" s="20">
        <f>'TR TE'!$P$20*'TR TE'!$P$52</f>
        <v>-16.33791036745717</v>
      </c>
      <c r="Q20" s="20">
        <f>SUM($L$20:$P$20)</f>
        <v>3.3892533606921482</v>
      </c>
      <c r="R20" s="20">
        <f>'TR TE'!$R$20*'TR TE'!$R$52</f>
        <v>215.67379276804459</v>
      </c>
      <c r="S20" s="20">
        <f>SUM($R$20:$R$20)</f>
        <v>215.67379276804459</v>
      </c>
      <c r="T20" s="20">
        <f>'TR TE'!$T$20*'TR TE'!$T$52</f>
        <v>8.0880030363794244</v>
      </c>
      <c r="U20" s="20">
        <f>'TR TE'!$U$20*'TR TE'!$U$52</f>
        <v>6.720786758216831</v>
      </c>
      <c r="V20" s="20">
        <f>'TR TE'!$V$20*'TR TE'!$V$52</f>
        <v>0</v>
      </c>
      <c r="W20" s="20">
        <f>SUM($T$20:$V$20)</f>
        <v>14.808789794596255</v>
      </c>
      <c r="X20" s="20"/>
      <c r="Y20" s="20">
        <f>SUM($X$20:$X$20)</f>
        <v>0</v>
      </c>
      <c r="Z20" s="20">
        <f>'TR TE'!$Z$20*'TR TE'!$Z$52</f>
        <v>6.8381102405025755</v>
      </c>
      <c r="AA20" s="20">
        <f>SUM($Z$20:$Z$20)</f>
        <v>6.8381102405025755</v>
      </c>
      <c r="AB20" s="20">
        <f>SUMIF($L$4:$AA$4,"SUBTOTAL",$L$20:$AA$20)</f>
        <v>240.70994616383558</v>
      </c>
    </row>
    <row r="21" spans="1:28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'TR TE'!$L$21*'TR TE'!$L$52</f>
        <v>2.5437433980679245</v>
      </c>
      <c r="M21" s="20">
        <f>'TR TE'!$M$21*'TR TE'!$M$52</f>
        <v>13.06518698929106</v>
      </c>
      <c r="N21" s="20">
        <f>'TR TE'!$N$21*'TR TE'!$N$52</f>
        <v>0</v>
      </c>
      <c r="O21" s="20">
        <f>'TR TE'!$O$21*'TR TE'!$O$52</f>
        <v>4.118233340790332</v>
      </c>
      <c r="P21" s="20">
        <f>'TR TE'!$P$21*'TR TE'!$P$52</f>
        <v>-16.33791036745717</v>
      </c>
      <c r="Q21" s="20">
        <f>SUM($L$21:$P$21)</f>
        <v>3.3892533606921482</v>
      </c>
      <c r="R21" s="20">
        <f>'TR TE'!$R$21*'TR TE'!$R$52</f>
        <v>215.67379276804459</v>
      </c>
      <c r="S21" s="20">
        <f>SUM($R$21:$R$21)</f>
        <v>215.67379276804459</v>
      </c>
      <c r="T21" s="20">
        <f>'TR TE'!$T$21*'TR TE'!$T$52</f>
        <v>8.0880030363794244</v>
      </c>
      <c r="U21" s="20">
        <f>'TR TE'!$U$21*'TR TE'!$U$52</f>
        <v>6.720786758216831</v>
      </c>
      <c r="V21" s="20">
        <f>'TR TE'!$V$21*'TR TE'!$V$52</f>
        <v>0</v>
      </c>
      <c r="W21" s="20">
        <f>SUM($T$21:$V$21)</f>
        <v>14.808789794596255</v>
      </c>
      <c r="X21" s="20"/>
      <c r="Y21" s="20">
        <f>SUM($X$21:$X$21)</f>
        <v>0</v>
      </c>
      <c r="Z21" s="20">
        <f>'TR TE'!$Z$21*'TR TE'!$Z$52</f>
        <v>6.8381102405025755</v>
      </c>
      <c r="AA21" s="20">
        <f>SUM($Z$21:$Z$21)</f>
        <v>6.8381102405025755</v>
      </c>
      <c r="AB21" s="20">
        <f>SUMIF($L$4:$AA$4,"SUBTOTAL",$L$21:$AA$21)</f>
        <v>240.70994616383558</v>
      </c>
    </row>
    <row r="22" spans="1:28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'TR TE'!$L$22*'TR TE'!$L$52</f>
        <v>2.5437433980679245</v>
      </c>
      <c r="M22" s="20">
        <f>'TR TE'!$M$22*'TR TE'!$M$52</f>
        <v>13.06518698929106</v>
      </c>
      <c r="N22" s="20">
        <f>'TR TE'!$N$22*'TR TE'!$N$52</f>
        <v>0</v>
      </c>
      <c r="O22" s="20">
        <f>'TR TE'!$O$22*'TR TE'!$O$52</f>
        <v>4.118233340790332</v>
      </c>
      <c r="P22" s="20">
        <f>'TR TE'!$P$22*'TR TE'!$P$52</f>
        <v>-16.33791036745717</v>
      </c>
      <c r="Q22" s="20">
        <f>SUM($L$22:$P$22)</f>
        <v>3.3892533606921482</v>
      </c>
      <c r="R22" s="20">
        <f>'TR TE'!$R$22*'TR TE'!$R$52</f>
        <v>215.67379276804459</v>
      </c>
      <c r="S22" s="20">
        <f>SUM($R$22:$R$22)</f>
        <v>215.67379276804459</v>
      </c>
      <c r="T22" s="20">
        <f>'TR TE'!$T$22*'TR TE'!$T$52</f>
        <v>8.0880030363794244</v>
      </c>
      <c r="U22" s="20">
        <f>'TR TE'!$U$22*'TR TE'!$U$52</f>
        <v>6.720786758216831</v>
      </c>
      <c r="V22" s="20">
        <f>'TR TE'!$V$22*'TR TE'!$V$52</f>
        <v>0</v>
      </c>
      <c r="W22" s="20">
        <f>SUM($T$22:$V$22)</f>
        <v>14.808789794596255</v>
      </c>
      <c r="X22" s="20"/>
      <c r="Y22" s="20">
        <f>SUM($X$22:$X$22)</f>
        <v>0</v>
      </c>
      <c r="Z22" s="20">
        <f>'TR TE'!$Z$22*'TR TE'!$Z$52</f>
        <v>6.8381102405025755</v>
      </c>
      <c r="AA22" s="20">
        <f>SUM($Z$22:$Z$22)</f>
        <v>6.8381102405025755</v>
      </c>
      <c r="AB22" s="20">
        <f>SUMIF($L$4:$AA$4,"SUBTOTAL",$L$22:$AA$22)</f>
        <v>240.70994616383558</v>
      </c>
    </row>
    <row r="23" spans="1:28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'TR TE'!$L$23*'TR TE'!$L$52</f>
        <v>2.5437433980679245</v>
      </c>
      <c r="M23" s="20">
        <f>'TR TE'!$M$23*'TR TE'!$M$52</f>
        <v>13.06518698929106</v>
      </c>
      <c r="N23" s="20">
        <f>'TR TE'!$N$23*'TR TE'!$N$52</f>
        <v>0</v>
      </c>
      <c r="O23" s="20">
        <f>'TR TE'!$O$23*'TR TE'!$O$52</f>
        <v>4.118233340790332</v>
      </c>
      <c r="P23" s="20">
        <f>'TR TE'!$P$23*'TR TE'!$P$52</f>
        <v>-16.33791036745717</v>
      </c>
      <c r="Q23" s="20">
        <f>SUM($L$23:$P$23)</f>
        <v>3.3892533606921482</v>
      </c>
      <c r="R23" s="20">
        <f>'TR TE'!$R$23*'TR TE'!$R$52</f>
        <v>215.67379276804459</v>
      </c>
      <c r="S23" s="20">
        <f>SUM($R$23:$R$23)</f>
        <v>215.67379276804459</v>
      </c>
      <c r="T23" s="20">
        <f>'TR TE'!$T$23*'TR TE'!$T$52</f>
        <v>8.0880030363794244</v>
      </c>
      <c r="U23" s="20">
        <f>'TR TE'!$U$23*'TR TE'!$U$52</f>
        <v>6.720786758216831</v>
      </c>
      <c r="V23" s="20">
        <f>'TR TE'!$V$23*'TR TE'!$V$52</f>
        <v>0</v>
      </c>
      <c r="W23" s="20">
        <f>SUM($T$23:$V$23)</f>
        <v>14.808789794596255</v>
      </c>
      <c r="X23" s="20"/>
      <c r="Y23" s="20">
        <f>SUM($X$23:$X$23)</f>
        <v>0</v>
      </c>
      <c r="Z23" s="20">
        <f>'TR TE'!$Z$23*'TR TE'!$Z$52</f>
        <v>6.8381102405025755</v>
      </c>
      <c r="AA23" s="20">
        <f>SUM($Z$23:$Z$23)</f>
        <v>6.8381102405025755</v>
      </c>
      <c r="AB23" s="20">
        <f>SUMIF($L$4:$AA$4,"SUBTOTAL",$L$23:$AA$23)</f>
        <v>240.70994616383558</v>
      </c>
    </row>
    <row r="24" spans="1:28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'TR TE'!$L$24*'TR TE'!$L$52</f>
        <v>2.5437433980679245</v>
      </c>
      <c r="M24" s="20">
        <f>'TR TE'!$M$24*'TR TE'!$M$52</f>
        <v>13.06518698929106</v>
      </c>
      <c r="N24" s="20">
        <f>'TR TE'!$N$24*'TR TE'!$N$52</f>
        <v>0</v>
      </c>
      <c r="O24" s="20">
        <f>'TR TE'!$O$24*'TR TE'!$O$52</f>
        <v>4.118233340790332</v>
      </c>
      <c r="P24" s="20">
        <f>'TR TE'!$P$24*'TR TE'!$P$52</f>
        <v>-16.33791036745717</v>
      </c>
      <c r="Q24" s="20">
        <f>SUM($L$24:$P$24)</f>
        <v>3.3892533606921482</v>
      </c>
      <c r="R24" s="20">
        <f>'TR TE'!$R$24*'TR TE'!$R$52</f>
        <v>349.96124864248742</v>
      </c>
      <c r="S24" s="20">
        <f>SUM($R$24:$R$24)</f>
        <v>349.96124864248742</v>
      </c>
      <c r="T24" s="20">
        <f>'TR TE'!$T$24*'TR TE'!$T$52</f>
        <v>8.0880030363794244</v>
      </c>
      <c r="U24" s="20">
        <f>'TR TE'!$U$24*'TR TE'!$U$52</f>
        <v>6.720786758216831</v>
      </c>
      <c r="V24" s="20">
        <f>'TR TE'!$V$24*'TR TE'!$V$52</f>
        <v>0</v>
      </c>
      <c r="W24" s="20">
        <f>SUM($T$24:$V$24)</f>
        <v>14.808789794596255</v>
      </c>
      <c r="X24" s="20"/>
      <c r="Y24" s="20">
        <f>SUM($X$24:$X$24)</f>
        <v>0</v>
      </c>
      <c r="Z24" s="20">
        <f>'TR TE'!$Z$24*'TR TE'!$Z$52</f>
        <v>6.8381102405025755</v>
      </c>
      <c r="AA24" s="20">
        <f>SUM($Z$24:$Z$24)</f>
        <v>6.8381102405025755</v>
      </c>
      <c r="AB24" s="20">
        <f>SUMIF($L$4:$AA$4,"SUBTOTAL",$L$24:$AA$24)</f>
        <v>374.99740203827838</v>
      </c>
    </row>
    <row r="25" spans="1:28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'TR TE'!$L$25*'TR TE'!$L$52</f>
        <v>2.5437433980679245</v>
      </c>
      <c r="M25" s="20">
        <f>'TR TE'!$M$25*'TR TE'!$M$52</f>
        <v>13.06518698929106</v>
      </c>
      <c r="N25" s="20">
        <f>'TR TE'!$N$25*'TR TE'!$N$52</f>
        <v>0</v>
      </c>
      <c r="O25" s="20">
        <f>'TR TE'!$O$25*'TR TE'!$O$52</f>
        <v>4.118233340790332</v>
      </c>
      <c r="P25" s="20">
        <f>'TR TE'!$P$25*'TR TE'!$P$52</f>
        <v>-16.33791036745717</v>
      </c>
      <c r="Q25" s="20">
        <f>SUM($L$25:$P$25)</f>
        <v>3.3892533606921482</v>
      </c>
      <c r="R25" s="20">
        <f>'TR TE'!$R$25*'TR TE'!$R$52</f>
        <v>203.46584223400433</v>
      </c>
      <c r="S25" s="20">
        <f>SUM($R$25:$R$25)</f>
        <v>203.46584223400433</v>
      </c>
      <c r="T25" s="20">
        <f>'TR TE'!$T$25*'TR TE'!$T$52</f>
        <v>8.0880030363794244</v>
      </c>
      <c r="U25" s="20">
        <f>'TR TE'!$U$25*'TR TE'!$U$52</f>
        <v>6.720786758216831</v>
      </c>
      <c r="V25" s="20">
        <f>'TR TE'!$V$25*'TR TE'!$V$52</f>
        <v>0</v>
      </c>
      <c r="W25" s="20">
        <f>SUM($T$25:$V$25)</f>
        <v>14.808789794596255</v>
      </c>
      <c r="X25" s="20"/>
      <c r="Y25" s="20">
        <f>SUM($X$25:$X$25)</f>
        <v>0</v>
      </c>
      <c r="Z25" s="20">
        <f>'TR TE'!$Z$25*'TR TE'!$Z$52</f>
        <v>6.8381102405025755</v>
      </c>
      <c r="AA25" s="20">
        <f>SUM($Z$25:$Z$25)</f>
        <v>6.8381102405025755</v>
      </c>
      <c r="AB25" s="20">
        <f>SUMIF($L$4:$AA$4,"SUBTOTAL",$L$25:$AA$25)</f>
        <v>228.50199562979532</v>
      </c>
    </row>
    <row r="26" spans="1:28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'TR TE'!$L$26*'TR TE'!$L$52</f>
        <v>2.5437433980679245</v>
      </c>
      <c r="M26" s="20">
        <f>'TR TE'!$M$26*'TR TE'!$M$52</f>
        <v>13.06518698929106</v>
      </c>
      <c r="N26" s="20">
        <f>'TR TE'!$N$26*'TR TE'!$N$52</f>
        <v>0</v>
      </c>
      <c r="O26" s="20">
        <f>'TR TE'!$O$26*'TR TE'!$O$52</f>
        <v>4.118233340790332</v>
      </c>
      <c r="P26" s="20">
        <f>'TR TE'!$P$26*'TR TE'!$P$52</f>
        <v>-16.33791036745717</v>
      </c>
      <c r="Q26" s="20">
        <f>SUM($L$26:$P$26)</f>
        <v>3.3892533606921482</v>
      </c>
      <c r="R26" s="20">
        <f>'TR TE'!$R$26*'TR TE'!$R$52</f>
        <v>203.46584223400433</v>
      </c>
      <c r="S26" s="20">
        <f>SUM($R$26:$R$26)</f>
        <v>203.46584223400433</v>
      </c>
      <c r="T26" s="20">
        <f>'TR TE'!$T$26*'TR TE'!$T$52</f>
        <v>8.0880030363794244</v>
      </c>
      <c r="U26" s="20">
        <f>'TR TE'!$U$26*'TR TE'!$U$52</f>
        <v>6.720786758216831</v>
      </c>
      <c r="V26" s="20">
        <f>'TR TE'!$V$26*'TR TE'!$V$52</f>
        <v>0</v>
      </c>
      <c r="W26" s="20">
        <f>SUM($T$26:$V$26)</f>
        <v>14.808789794596255</v>
      </c>
      <c r="X26" s="20"/>
      <c r="Y26" s="20">
        <f>SUM($X$26:$X$26)</f>
        <v>0</v>
      </c>
      <c r="Z26" s="20">
        <f>'TR TE'!$Z$26*'TR TE'!$Z$52</f>
        <v>6.8381102405025755</v>
      </c>
      <c r="AA26" s="20">
        <f>SUM($Z$26:$Z$26)</f>
        <v>6.8381102405025755</v>
      </c>
      <c r="AB26" s="20">
        <f>SUMIF($L$4:$AA$4,"SUBTOTAL",$L$26:$AA$26)</f>
        <v>228.50199562979532</v>
      </c>
    </row>
    <row r="27" spans="1:28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'TR TE'!$L$27*'TR TE'!$L$52</f>
        <v>2.5437433980679245</v>
      </c>
      <c r="M27" s="20">
        <f>'TR TE'!$M$27*'TR TE'!$M$52</f>
        <v>13.06518698929106</v>
      </c>
      <c r="N27" s="20">
        <f>'TR TE'!$N$27*'TR TE'!$N$52</f>
        <v>0</v>
      </c>
      <c r="O27" s="20">
        <f>'TR TE'!$O$27*'TR TE'!$O$52</f>
        <v>4.118233340790332</v>
      </c>
      <c r="P27" s="20">
        <f>'TR TE'!$P$27*'TR TE'!$P$52</f>
        <v>-16.33791036745717</v>
      </c>
      <c r="Q27" s="20">
        <f>SUM($L$27:$P$27)</f>
        <v>3.3892533606921482</v>
      </c>
      <c r="R27" s="20">
        <f>'TR TE'!$R$27*'TR TE'!$R$52</f>
        <v>215.67379276804459</v>
      </c>
      <c r="S27" s="20">
        <f>SUM($R$27:$R$27)</f>
        <v>215.67379276804459</v>
      </c>
      <c r="T27" s="20">
        <f>'TR TE'!$T$27*'TR TE'!$T$52</f>
        <v>8.0880030363794244</v>
      </c>
      <c r="U27" s="20">
        <f>'TR TE'!$U$27*'TR TE'!$U$52</f>
        <v>6.720786758216831</v>
      </c>
      <c r="V27" s="20">
        <f>'TR TE'!$V$27*'TR TE'!$V$52</f>
        <v>0</v>
      </c>
      <c r="W27" s="20">
        <f>SUM($T$27:$V$27)</f>
        <v>14.808789794596255</v>
      </c>
      <c r="X27" s="20"/>
      <c r="Y27" s="20">
        <f>SUM($X$27:$X$27)</f>
        <v>0</v>
      </c>
      <c r="Z27" s="20">
        <f>'TR TE'!$Z$27*'TR TE'!$Z$52</f>
        <v>6.8381102405025755</v>
      </c>
      <c r="AA27" s="20">
        <f>SUM($Z$27:$Z$27)</f>
        <v>6.8381102405025755</v>
      </c>
      <c r="AB27" s="20">
        <f>SUMIF($L$4:$AA$4,"SUBTOTAL",$L$27:$AA$27)</f>
        <v>240.70994616383558</v>
      </c>
    </row>
    <row r="28" spans="1:28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'TR TE'!$L$28*'TR TE'!$L$52</f>
        <v>2.5437433980679245</v>
      </c>
      <c r="M28" s="20">
        <f>'TR TE'!$M$28*'TR TE'!$M$52</f>
        <v>13.06518698929106</v>
      </c>
      <c r="N28" s="20">
        <f>'TR TE'!$N$28*'TR TE'!$N$52</f>
        <v>0</v>
      </c>
      <c r="O28" s="20">
        <f>'TR TE'!$O$28*'TR TE'!$O$52</f>
        <v>4.118233340790332</v>
      </c>
      <c r="P28" s="20">
        <f>'TR TE'!$P$28*'TR TE'!$P$52</f>
        <v>-16.33791036745717</v>
      </c>
      <c r="Q28" s="20">
        <f>SUM($L$28:$P$28)</f>
        <v>3.3892533606921482</v>
      </c>
      <c r="R28" s="20">
        <f>'TR TE'!$R$28*'TR TE'!$R$52</f>
        <v>349.96124864248742</v>
      </c>
      <c r="S28" s="20">
        <f>SUM($R$28:$R$28)</f>
        <v>349.96124864248742</v>
      </c>
      <c r="T28" s="20">
        <f>'TR TE'!$T$28*'TR TE'!$T$52</f>
        <v>8.0880030363794244</v>
      </c>
      <c r="U28" s="20">
        <f>'TR TE'!$U$28*'TR TE'!$U$52</f>
        <v>6.720786758216831</v>
      </c>
      <c r="V28" s="20">
        <f>'TR TE'!$V$28*'TR TE'!$V$52</f>
        <v>0</v>
      </c>
      <c r="W28" s="20">
        <f>SUM($T$28:$V$28)</f>
        <v>14.808789794596255</v>
      </c>
      <c r="X28" s="20"/>
      <c r="Y28" s="20">
        <f>SUM($X$28:$X$28)</f>
        <v>0</v>
      </c>
      <c r="Z28" s="20">
        <f>'TR TE'!$Z$28*'TR TE'!$Z$52</f>
        <v>6.8381102405025755</v>
      </c>
      <c r="AA28" s="20">
        <f>SUM($Z$28:$Z$28)</f>
        <v>6.8381102405025755</v>
      </c>
      <c r="AB28" s="20">
        <f>SUMIF($L$4:$AA$4,"SUBTOTAL",$L$28:$AA$28)</f>
        <v>374.99740203827838</v>
      </c>
    </row>
    <row r="29" spans="1:28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'TR TE'!$L$29*'TR TE'!$L$52</f>
        <v>2.5437433980679245</v>
      </c>
      <c r="M29" s="20">
        <f>'TR TE'!$M$29*'TR TE'!$M$52</f>
        <v>13.06518698929106</v>
      </c>
      <c r="N29" s="20">
        <f>'TR TE'!$N$29*'TR TE'!$N$52</f>
        <v>0</v>
      </c>
      <c r="O29" s="20">
        <f>'TR TE'!$O$29*'TR TE'!$O$52</f>
        <v>4.118233340790332</v>
      </c>
      <c r="P29" s="20">
        <f>'TR TE'!$P$29*'TR TE'!$P$52</f>
        <v>-16.33791036745717</v>
      </c>
      <c r="Q29" s="20">
        <f>SUM($L$29:$P$29)</f>
        <v>3.3892533606921482</v>
      </c>
      <c r="R29" s="20">
        <f>'TR TE'!$R$29*'TR TE'!$R$52</f>
        <v>203.46584223400433</v>
      </c>
      <c r="S29" s="20">
        <f>SUM($R$29:$R$29)</f>
        <v>203.46584223400433</v>
      </c>
      <c r="T29" s="20">
        <f>'TR TE'!$T$29*'TR TE'!$T$52</f>
        <v>8.0880030363794244</v>
      </c>
      <c r="U29" s="20">
        <f>'TR TE'!$U$29*'TR TE'!$U$52</f>
        <v>6.720786758216831</v>
      </c>
      <c r="V29" s="20">
        <f>'TR TE'!$V$29*'TR TE'!$V$52</f>
        <v>0</v>
      </c>
      <c r="W29" s="20">
        <f>SUM($T$29:$V$29)</f>
        <v>14.808789794596255</v>
      </c>
      <c r="X29" s="20"/>
      <c r="Y29" s="20">
        <f>SUM($X$29:$X$29)</f>
        <v>0</v>
      </c>
      <c r="Z29" s="20">
        <f>'TR TE'!$Z$29*'TR TE'!$Z$52</f>
        <v>6.8381102405025755</v>
      </c>
      <c r="AA29" s="20">
        <f>SUM($Z$29:$Z$29)</f>
        <v>6.8381102405025755</v>
      </c>
      <c r="AB29" s="20">
        <f>SUMIF($L$4:$AA$4,"SUBTOTAL",$L$29:$AA$29)</f>
        <v>228.50199562979532</v>
      </c>
    </row>
    <row r="30" spans="1:28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'TR TE'!$L$30*'TR TE'!$L$52</f>
        <v>2.5437433980679245</v>
      </c>
      <c r="M30" s="20">
        <f>'TR TE'!$M$30*'TR TE'!$M$52</f>
        <v>13.06518698929106</v>
      </c>
      <c r="N30" s="20">
        <f>'TR TE'!$N$30*'TR TE'!$N$52</f>
        <v>0</v>
      </c>
      <c r="O30" s="20">
        <f>'TR TE'!$O$30*'TR TE'!$O$52</f>
        <v>4.118233340790332</v>
      </c>
      <c r="P30" s="20">
        <f>'TR TE'!$P$30*'TR TE'!$P$52</f>
        <v>-16.33791036745717</v>
      </c>
      <c r="Q30" s="20">
        <f>SUM($L$30:$P$30)</f>
        <v>3.3892533606921482</v>
      </c>
      <c r="R30" s="20">
        <f>'TR TE'!$R$30*'TR TE'!$R$52</f>
        <v>203.46584223400433</v>
      </c>
      <c r="S30" s="20">
        <f>SUM($R$30:$R$30)</f>
        <v>203.46584223400433</v>
      </c>
      <c r="T30" s="20">
        <f>'TR TE'!$T$30*'TR TE'!$T$52</f>
        <v>8.0880030363794244</v>
      </c>
      <c r="U30" s="20">
        <f>'TR TE'!$U$30*'TR TE'!$U$52</f>
        <v>6.720786758216831</v>
      </c>
      <c r="V30" s="20">
        <f>'TR TE'!$V$30*'TR TE'!$V$52</f>
        <v>0</v>
      </c>
      <c r="W30" s="20">
        <f>SUM($T$30:$V$30)</f>
        <v>14.808789794596255</v>
      </c>
      <c r="X30" s="20"/>
      <c r="Y30" s="20">
        <f>SUM($X$30:$X$30)</f>
        <v>0</v>
      </c>
      <c r="Z30" s="20">
        <f>'TR TE'!$Z$30*'TR TE'!$Z$52</f>
        <v>6.8381102405025755</v>
      </c>
      <c r="AA30" s="20">
        <f>SUM($Z$30:$Z$30)</f>
        <v>6.8381102405025755</v>
      </c>
      <c r="AB30" s="20">
        <f>SUMIF($L$4:$AA$4,"SUBTOTAL",$L$30:$AA$30)</f>
        <v>228.50199562979532</v>
      </c>
    </row>
    <row r="31" spans="1:28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'TR TE'!$L$31*'TR TE'!$L$52</f>
        <v>2.5437433980679245</v>
      </c>
      <c r="M31" s="20">
        <f>'TR TE'!$M$31*'TR TE'!$M$52</f>
        <v>13.06518698929106</v>
      </c>
      <c r="N31" s="20">
        <f>'TR TE'!$N$31*'TR TE'!$N$52</f>
        <v>0</v>
      </c>
      <c r="O31" s="20">
        <f>'TR TE'!$O$31*'TR TE'!$O$52</f>
        <v>4.118233340790332</v>
      </c>
      <c r="P31" s="20">
        <f>'TR TE'!$P$31*'TR TE'!$P$52</f>
        <v>-16.33791036745717</v>
      </c>
      <c r="Q31" s="20">
        <f>SUM($L$31:$P$31)</f>
        <v>3.3892533606921482</v>
      </c>
      <c r="R31" s="20">
        <f>'TR TE'!$R$31*'TR TE'!$R$52</f>
        <v>215.67379276804459</v>
      </c>
      <c r="S31" s="20">
        <f>SUM($R$31:$R$31)</f>
        <v>215.67379276804459</v>
      </c>
      <c r="T31" s="20">
        <f>'TR TE'!$T$31*'TR TE'!$T$52</f>
        <v>8.0880030363794244</v>
      </c>
      <c r="U31" s="20">
        <f>'TR TE'!$U$31*'TR TE'!$U$52</f>
        <v>6.720786758216831</v>
      </c>
      <c r="V31" s="20">
        <f>'TR TE'!$V$31*'TR TE'!$V$52</f>
        <v>0</v>
      </c>
      <c r="W31" s="20">
        <f>SUM($T$31:$V$31)</f>
        <v>14.808789794596255</v>
      </c>
      <c r="X31" s="20"/>
      <c r="Y31" s="20">
        <f>SUM($X$31:$X$31)</f>
        <v>0</v>
      </c>
      <c r="Z31" s="20">
        <f>'TR TE'!$Z$31*'TR TE'!$Z$52</f>
        <v>6.8381102405025755</v>
      </c>
      <c r="AA31" s="20">
        <f>SUM($Z$31:$Z$31)</f>
        <v>6.8381102405025755</v>
      </c>
      <c r="AB31" s="20">
        <f>SUMIF($L$4:$AA$4,"SUBTOTAL",$L$31:$AA$31)</f>
        <v>240.70994616383558</v>
      </c>
    </row>
    <row r="32" spans="1:28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'TR TE'!$L$32*'TR TE'!$L$52</f>
        <v>2.5437433980679245</v>
      </c>
      <c r="M32" s="20">
        <f>'TR TE'!$M$32*'TR TE'!$M$52</f>
        <v>13.06518698929106</v>
      </c>
      <c r="N32" s="20">
        <f>'TR TE'!$N$32*'TR TE'!$N$52</f>
        <v>0</v>
      </c>
      <c r="O32" s="20">
        <f>'TR TE'!$O$32*'TR TE'!$O$52</f>
        <v>4.118233340790332</v>
      </c>
      <c r="P32" s="20">
        <f>'TR TE'!$P$32*'TR TE'!$P$52</f>
        <v>-16.33791036745717</v>
      </c>
      <c r="Q32" s="20">
        <f>SUM($L$32:$P$32)</f>
        <v>3.3892533606921482</v>
      </c>
      <c r="R32" s="20">
        <f>'TR TE'!$R$32*'TR TE'!$R$52</f>
        <v>349.96124864248742</v>
      </c>
      <c r="S32" s="20">
        <f>SUM($R$32:$R$32)</f>
        <v>349.96124864248742</v>
      </c>
      <c r="T32" s="20">
        <f>'TR TE'!$T$32*'TR TE'!$T$52</f>
        <v>8.0880030363794244</v>
      </c>
      <c r="U32" s="20">
        <f>'TR TE'!$U$32*'TR TE'!$U$52</f>
        <v>6.720786758216831</v>
      </c>
      <c r="V32" s="20">
        <f>'TR TE'!$V$32*'TR TE'!$V$52</f>
        <v>0</v>
      </c>
      <c r="W32" s="20">
        <f>SUM($T$32:$V$32)</f>
        <v>14.808789794596255</v>
      </c>
      <c r="X32" s="20"/>
      <c r="Y32" s="20">
        <f>SUM($X$32:$X$32)</f>
        <v>0</v>
      </c>
      <c r="Z32" s="20">
        <f>'TR TE'!$Z$32*'TR TE'!$Z$52</f>
        <v>6.8381102405025755</v>
      </c>
      <c r="AA32" s="20">
        <f>SUM($Z$32:$Z$32)</f>
        <v>6.8381102405025755</v>
      </c>
      <c r="AB32" s="20">
        <f>SUMIF($L$4:$AA$4,"SUBTOTAL",$L$32:$AA$32)</f>
        <v>374.99740203827838</v>
      </c>
    </row>
    <row r="33" spans="1:28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'TR TE'!$L$33*'TR TE'!$L$52</f>
        <v>2.5437433980679245</v>
      </c>
      <c r="M33" s="20">
        <f>'TR TE'!$M$33*'TR TE'!$M$52</f>
        <v>13.06518698929106</v>
      </c>
      <c r="N33" s="20">
        <f>'TR TE'!$N$33*'TR TE'!$N$52</f>
        <v>0</v>
      </c>
      <c r="O33" s="20">
        <f>'TR TE'!$O$33*'TR TE'!$O$52</f>
        <v>4.118233340790332</v>
      </c>
      <c r="P33" s="20">
        <f>'TR TE'!$P$33*'TR TE'!$P$52</f>
        <v>-16.33791036745717</v>
      </c>
      <c r="Q33" s="20">
        <f>SUM($L$33:$P$33)</f>
        <v>3.3892533606921482</v>
      </c>
      <c r="R33" s="20">
        <f>'TR TE'!$R$33*'TR TE'!$R$52</f>
        <v>203.46584223400433</v>
      </c>
      <c r="S33" s="20">
        <f>SUM($R$33:$R$33)</f>
        <v>203.46584223400433</v>
      </c>
      <c r="T33" s="20">
        <f>'TR TE'!$T$33*'TR TE'!$T$52</f>
        <v>8.0880030363794244</v>
      </c>
      <c r="U33" s="20">
        <f>'TR TE'!$U$33*'TR TE'!$U$52</f>
        <v>6.720786758216831</v>
      </c>
      <c r="V33" s="20">
        <f>'TR TE'!$V$33*'TR TE'!$V$52</f>
        <v>0</v>
      </c>
      <c r="W33" s="20">
        <f>SUM($T$33:$V$33)</f>
        <v>14.808789794596255</v>
      </c>
      <c r="X33" s="20"/>
      <c r="Y33" s="20">
        <f>SUM($X$33:$X$33)</f>
        <v>0</v>
      </c>
      <c r="Z33" s="20">
        <f>'TR TE'!$Z$33*'TR TE'!$Z$52</f>
        <v>6.8381102405025755</v>
      </c>
      <c r="AA33" s="20">
        <f>SUM($Z$33:$Z$33)</f>
        <v>6.8381102405025755</v>
      </c>
      <c r="AB33" s="20">
        <f>SUMIF($L$4:$AA$4,"SUBTOTAL",$L$33:$AA$33)</f>
        <v>228.50199562979532</v>
      </c>
    </row>
    <row r="34" spans="1:28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'TR TE'!$L$34*'TR TE'!$L$52</f>
        <v>2.5437433980679245</v>
      </c>
      <c r="M34" s="20">
        <f>'TR TE'!$M$34*'TR TE'!$M$52</f>
        <v>13.06518698929106</v>
      </c>
      <c r="N34" s="20">
        <f>'TR TE'!$N$34*'TR TE'!$N$52</f>
        <v>0</v>
      </c>
      <c r="O34" s="20">
        <f>'TR TE'!$O$34*'TR TE'!$O$52</f>
        <v>4.118233340790332</v>
      </c>
      <c r="P34" s="20">
        <f>'TR TE'!$P$34*'TR TE'!$P$52</f>
        <v>-16.33791036745717</v>
      </c>
      <c r="Q34" s="20">
        <f>SUM($L$34:$P$34)</f>
        <v>3.3892533606921482</v>
      </c>
      <c r="R34" s="20">
        <f>'TR TE'!$R$34*'TR TE'!$R$52</f>
        <v>203.46584223400433</v>
      </c>
      <c r="S34" s="20">
        <f>SUM($R$34:$R$34)</f>
        <v>203.46584223400433</v>
      </c>
      <c r="T34" s="20">
        <f>'TR TE'!$T$34*'TR TE'!$T$52</f>
        <v>8.0880030363794244</v>
      </c>
      <c r="U34" s="20">
        <f>'TR TE'!$U$34*'TR TE'!$U$52</f>
        <v>6.720786758216831</v>
      </c>
      <c r="V34" s="20">
        <f>'TR TE'!$V$34*'TR TE'!$V$52</f>
        <v>0</v>
      </c>
      <c r="W34" s="20">
        <f>SUM($T$34:$V$34)</f>
        <v>14.808789794596255</v>
      </c>
      <c r="X34" s="20"/>
      <c r="Y34" s="20">
        <f>SUM($X$34:$X$34)</f>
        <v>0</v>
      </c>
      <c r="Z34" s="20">
        <f>'TR TE'!$Z$34*'TR TE'!$Z$52</f>
        <v>6.8381102405025755</v>
      </c>
      <c r="AA34" s="20">
        <f>SUM($Z$34:$Z$34)</f>
        <v>6.8381102405025755</v>
      </c>
      <c r="AB34" s="20">
        <f>SUMIF($L$4:$AA$4,"SUBTOTAL",$L$34:$AA$34)</f>
        <v>228.50199562979532</v>
      </c>
    </row>
    <row r="35" spans="1:28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'TR TE'!$L$35*'TR TE'!$L$52</f>
        <v>2.5437433980679245</v>
      </c>
      <c r="M35" s="20">
        <f>'TR TE'!$M$35*'TR TE'!$M$52</f>
        <v>13.06518698929106</v>
      </c>
      <c r="N35" s="20">
        <f>'TR TE'!$N$35*'TR TE'!$N$52</f>
        <v>0</v>
      </c>
      <c r="O35" s="20">
        <f>'TR TE'!$O$35*'TR TE'!$O$52</f>
        <v>4.118233340790332</v>
      </c>
      <c r="P35" s="20">
        <f>'TR TE'!$P$35*'TR TE'!$P$52</f>
        <v>-16.33791036745717</v>
      </c>
      <c r="Q35" s="20">
        <f>SUM($L$35:$P$35)</f>
        <v>3.3892533606921482</v>
      </c>
      <c r="R35" s="20">
        <f>'TR TE'!$R$35*'TR TE'!$R$52</f>
        <v>215.67379276804459</v>
      </c>
      <c r="S35" s="20">
        <f>SUM($R$35:$R$35)</f>
        <v>215.67379276804459</v>
      </c>
      <c r="T35" s="20">
        <f>'TR TE'!$T$35*'TR TE'!$T$52</f>
        <v>8.0880030363794244</v>
      </c>
      <c r="U35" s="20">
        <f>'TR TE'!$U$35*'TR TE'!$U$52</f>
        <v>6.720786758216831</v>
      </c>
      <c r="V35" s="20">
        <f>'TR TE'!$V$35*'TR TE'!$V$52</f>
        <v>0</v>
      </c>
      <c r="W35" s="20">
        <f>SUM($T$35:$V$35)</f>
        <v>14.808789794596255</v>
      </c>
      <c r="X35" s="20"/>
      <c r="Y35" s="20">
        <f>SUM($X$35:$X$35)</f>
        <v>0</v>
      </c>
      <c r="Z35" s="20">
        <f>'TR TE'!$Z$35*'TR TE'!$Z$52</f>
        <v>6.8381102405025755</v>
      </c>
      <c r="AA35" s="20">
        <f>SUM($Z$35:$Z$35)</f>
        <v>6.8381102405025755</v>
      </c>
      <c r="AB35" s="20">
        <f>SUMIF($L$4:$AA$4,"SUBTOTAL",$L$35:$AA$35)</f>
        <v>240.70994616383558</v>
      </c>
    </row>
    <row r="36" spans="1:28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'TR TE'!$L$36*'TR TE'!$L$52</f>
        <v>2.5437433980679245</v>
      </c>
      <c r="M36" s="20">
        <f>'TR TE'!$M$36*'TR TE'!$M$52</f>
        <v>13.06518698929106</v>
      </c>
      <c r="N36" s="20">
        <f>'TR TE'!$N$36*'TR TE'!$N$52</f>
        <v>0</v>
      </c>
      <c r="O36" s="20">
        <f>'TR TE'!$O$36*'TR TE'!$O$52</f>
        <v>4.118233340790332</v>
      </c>
      <c r="P36" s="20">
        <f>'TR TE'!$P$36*'TR TE'!$P$52</f>
        <v>-16.33791036745717</v>
      </c>
      <c r="Q36" s="20">
        <f>SUM($L$36:$P$36)</f>
        <v>3.3892533606921482</v>
      </c>
      <c r="R36" s="20">
        <f>'TR TE'!$R$36*'TR TE'!$R$52</f>
        <v>215.67379276804459</v>
      </c>
      <c r="S36" s="20">
        <f>SUM($R$36:$R$36)</f>
        <v>215.67379276804459</v>
      </c>
      <c r="T36" s="20">
        <f>'TR TE'!$T$36*'TR TE'!$T$52</f>
        <v>8.0880030363794244</v>
      </c>
      <c r="U36" s="20">
        <f>'TR TE'!$U$36*'TR TE'!$U$52</f>
        <v>6.720786758216831</v>
      </c>
      <c r="V36" s="20">
        <f>'TR TE'!$V$36*'TR TE'!$V$52</f>
        <v>0</v>
      </c>
      <c r="W36" s="20">
        <f>SUM($T$36:$V$36)</f>
        <v>14.808789794596255</v>
      </c>
      <c r="X36" s="20"/>
      <c r="Y36" s="20">
        <f>SUM($X$36:$X$36)</f>
        <v>0</v>
      </c>
      <c r="Z36" s="20">
        <f>'TR TE'!$Z$36*'TR TE'!$Z$52</f>
        <v>6.8381102405025755</v>
      </c>
      <c r="AA36" s="20">
        <f>SUM($Z$36:$Z$36)</f>
        <v>6.8381102405025755</v>
      </c>
      <c r="AB36" s="20">
        <f>SUMIF($L$4:$AA$4,"SUBTOTAL",$L$36:$AA$36)</f>
        <v>240.70994616383558</v>
      </c>
    </row>
    <row r="37" spans="1:28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'TR TE'!$L$37*'TR TE'!$L$52</f>
        <v>2.5437433980679245</v>
      </c>
      <c r="M37" s="20">
        <f>'TR TE'!$M$37*'TR TE'!$M$52</f>
        <v>13.06518698929106</v>
      </c>
      <c r="N37" s="20">
        <f>'TR TE'!$N$37*'TR TE'!$N$52</f>
        <v>0</v>
      </c>
      <c r="O37" s="20">
        <f>'TR TE'!$O$37*'TR TE'!$O$52</f>
        <v>4.118233340790332</v>
      </c>
      <c r="P37" s="20">
        <f>'TR TE'!$P$37*'TR TE'!$P$52</f>
        <v>-16.33791036745717</v>
      </c>
      <c r="Q37" s="20">
        <f>SUM($L$37:$P$37)</f>
        <v>3.3892533606921482</v>
      </c>
      <c r="R37" s="20">
        <f>'TR TE'!$R$37*'TR TE'!$R$52</f>
        <v>215.67379276804459</v>
      </c>
      <c r="S37" s="20">
        <f>SUM($R$37:$R$37)</f>
        <v>215.67379276804459</v>
      </c>
      <c r="T37" s="20">
        <f>'TR TE'!$T$37*'TR TE'!$T$52</f>
        <v>8.0880030363794244</v>
      </c>
      <c r="U37" s="20">
        <f>'TR TE'!$U$37*'TR TE'!$U$52</f>
        <v>6.720786758216831</v>
      </c>
      <c r="V37" s="20">
        <f>'TR TE'!$V$37*'TR TE'!$V$52</f>
        <v>0</v>
      </c>
      <c r="W37" s="20">
        <f>SUM($T$37:$V$37)</f>
        <v>14.808789794596255</v>
      </c>
      <c r="X37" s="20"/>
      <c r="Y37" s="20">
        <f>SUM($X$37:$X$37)</f>
        <v>0</v>
      </c>
      <c r="Z37" s="20">
        <f>'TR TE'!$Z$37*'TR TE'!$Z$52</f>
        <v>6.8381102405025755</v>
      </c>
      <c r="AA37" s="20">
        <f>SUM($Z$37:$Z$37)</f>
        <v>6.8381102405025755</v>
      </c>
      <c r="AB37" s="20">
        <f>SUMIF($L$4:$AA$4,"SUBTOTAL",$L$37:$AA$37)</f>
        <v>240.70994616383558</v>
      </c>
    </row>
    <row r="38" spans="1:28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'TR TE'!$L$38*'TR TE'!$L$52</f>
        <v>2.5437433980679245</v>
      </c>
      <c r="M38" s="20">
        <f>'TR TE'!$M$38*'TR TE'!$M$52</f>
        <v>13.06518698929106</v>
      </c>
      <c r="N38" s="20">
        <f>'TR TE'!$N$38*'TR TE'!$N$52</f>
        <v>0</v>
      </c>
      <c r="O38" s="20">
        <f>'TR TE'!$O$38*'TR TE'!$O$52</f>
        <v>4.118233340790332</v>
      </c>
      <c r="P38" s="20">
        <f>'TR TE'!$P$38*'TR TE'!$P$52</f>
        <v>-16.33791036745717</v>
      </c>
      <c r="Q38" s="20">
        <f>SUM($L$38:$P$38)</f>
        <v>3.3892533606921482</v>
      </c>
      <c r="R38" s="20">
        <f>'TR TE'!$R$38*'TR TE'!$R$52</f>
        <v>215.67379276804459</v>
      </c>
      <c r="S38" s="20">
        <f>SUM($R$38:$R$38)</f>
        <v>215.67379276804459</v>
      </c>
      <c r="T38" s="20">
        <f>'TR TE'!$T$38*'TR TE'!$T$52</f>
        <v>8.0880030363794244</v>
      </c>
      <c r="U38" s="20">
        <f>'TR TE'!$U$38*'TR TE'!$U$52</f>
        <v>6.720786758216831</v>
      </c>
      <c r="V38" s="20">
        <f>'TR TE'!$V$38*'TR TE'!$V$52</f>
        <v>0</v>
      </c>
      <c r="W38" s="20">
        <f>SUM($T$38:$V$38)</f>
        <v>14.808789794596255</v>
      </c>
      <c r="X38" s="20"/>
      <c r="Y38" s="20">
        <f>SUM($X$38:$X$38)</f>
        <v>0</v>
      </c>
      <c r="Z38" s="20">
        <f>'TR TE'!$Z$38*'TR TE'!$Z$52</f>
        <v>6.8381102405025755</v>
      </c>
      <c r="AA38" s="20">
        <f>SUM($Z$38:$Z$38)</f>
        <v>6.8381102405025755</v>
      </c>
      <c r="AB38" s="20">
        <f>SUMIF($L$4:$AA$4,"SUBTOTAL",$L$38:$AA$38)</f>
        <v>240.70994616383558</v>
      </c>
    </row>
    <row r="39" spans="1:28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'TR TE'!$L$39*'TR TE'!$L$52</f>
        <v>2.5437433980679245</v>
      </c>
      <c r="M39" s="20">
        <f>'TR TE'!$M$39*'TR TE'!$M$52</f>
        <v>13.06518698929106</v>
      </c>
      <c r="N39" s="20">
        <f>'TR TE'!$N$39*'TR TE'!$N$52</f>
        <v>0</v>
      </c>
      <c r="O39" s="20">
        <f>'TR TE'!$O$39*'TR TE'!$O$52</f>
        <v>4.118233340790332</v>
      </c>
      <c r="P39" s="20">
        <f>'TR TE'!$P$39*'TR TE'!$P$52</f>
        <v>-16.33791036745717</v>
      </c>
      <c r="Q39" s="20">
        <f>SUM($L$39:$P$39)</f>
        <v>3.3892533606921482</v>
      </c>
      <c r="R39" s="20">
        <f>'TR TE'!$R$39*'TR TE'!$R$52</f>
        <v>349.96124864248742</v>
      </c>
      <c r="S39" s="20">
        <f>SUM($R$39:$R$39)</f>
        <v>349.96124864248742</v>
      </c>
      <c r="T39" s="20">
        <f>'TR TE'!$T$39*'TR TE'!$T$52</f>
        <v>8.0880030363794244</v>
      </c>
      <c r="U39" s="20">
        <f>'TR TE'!$U$39*'TR TE'!$U$52</f>
        <v>6.720786758216831</v>
      </c>
      <c r="V39" s="20">
        <f>'TR TE'!$V$39*'TR TE'!$V$52</f>
        <v>0</v>
      </c>
      <c r="W39" s="20">
        <f>SUM($T$39:$V$39)</f>
        <v>14.808789794596255</v>
      </c>
      <c r="X39" s="20"/>
      <c r="Y39" s="20">
        <f>SUM($X$39:$X$39)</f>
        <v>0</v>
      </c>
      <c r="Z39" s="20">
        <f>'TR TE'!$Z$39*'TR TE'!$Z$52</f>
        <v>6.8381102405025755</v>
      </c>
      <c r="AA39" s="20">
        <f>SUM($Z$39:$Z$39)</f>
        <v>6.8381102405025755</v>
      </c>
      <c r="AB39" s="20">
        <f>SUMIF($L$4:$AA$4,"SUBTOTAL",$L$39:$AA$39)</f>
        <v>374.99740203827838</v>
      </c>
    </row>
    <row r="40" spans="1:28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'TR TE'!$L$40*'TR TE'!$L$52</f>
        <v>2.5437433980679245</v>
      </c>
      <c r="M40" s="20">
        <f>'TR TE'!$M$40*'TR TE'!$M$52</f>
        <v>13.06518698929106</v>
      </c>
      <c r="N40" s="20">
        <f>'TR TE'!$N$40*'TR TE'!$N$52</f>
        <v>0</v>
      </c>
      <c r="O40" s="20">
        <f>'TR TE'!$O$40*'TR TE'!$O$52</f>
        <v>4.118233340790332</v>
      </c>
      <c r="P40" s="20">
        <f>'TR TE'!$P$40*'TR TE'!$P$52</f>
        <v>-16.33791036745717</v>
      </c>
      <c r="Q40" s="20">
        <f>SUM($L$40:$P$40)</f>
        <v>3.3892533606921482</v>
      </c>
      <c r="R40" s="20">
        <f>'TR TE'!$R$40*'TR TE'!$R$52</f>
        <v>203.46584223400433</v>
      </c>
      <c r="S40" s="20">
        <f>SUM($R$40:$R$40)</f>
        <v>203.46584223400433</v>
      </c>
      <c r="T40" s="20">
        <f>'TR TE'!$T$40*'TR TE'!$T$52</f>
        <v>8.0880030363794244</v>
      </c>
      <c r="U40" s="20">
        <f>'TR TE'!$U$40*'TR TE'!$U$52</f>
        <v>6.720786758216831</v>
      </c>
      <c r="V40" s="20">
        <f>'TR TE'!$V$40*'TR TE'!$V$52</f>
        <v>0</v>
      </c>
      <c r="W40" s="20">
        <f>SUM($T$40:$V$40)</f>
        <v>14.808789794596255</v>
      </c>
      <c r="X40" s="20"/>
      <c r="Y40" s="20">
        <f>SUM($X$40:$X$40)</f>
        <v>0</v>
      </c>
      <c r="Z40" s="20">
        <f>'TR TE'!$Z$40*'TR TE'!$Z$52</f>
        <v>6.8381102405025755</v>
      </c>
      <c r="AA40" s="20">
        <f>SUM($Z$40:$Z$40)</f>
        <v>6.8381102405025755</v>
      </c>
      <c r="AB40" s="20">
        <f>SUMIF($L$4:$AA$4,"SUBTOTAL",$L$40:$AA$40)</f>
        <v>228.50199562979532</v>
      </c>
    </row>
    <row r="41" spans="1:28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'TR TE'!$L$41*'TR TE'!$L$52</f>
        <v>2.5437433980679245</v>
      </c>
      <c r="M41" s="20">
        <f>'TR TE'!$M$41*'TR TE'!$M$52</f>
        <v>13.06518698929106</v>
      </c>
      <c r="N41" s="20">
        <f>'TR TE'!$N$41*'TR TE'!$N$52</f>
        <v>0</v>
      </c>
      <c r="O41" s="20">
        <f>'TR TE'!$O$41*'TR TE'!$O$52</f>
        <v>4.118233340790332</v>
      </c>
      <c r="P41" s="20">
        <f>'TR TE'!$P$41*'TR TE'!$P$52</f>
        <v>-16.33791036745717</v>
      </c>
      <c r="Q41" s="20">
        <f>SUM($L$41:$P$41)</f>
        <v>3.3892533606921482</v>
      </c>
      <c r="R41" s="20">
        <f>'TR TE'!$R$41*'TR TE'!$R$52</f>
        <v>203.46584223400433</v>
      </c>
      <c r="S41" s="20">
        <f>SUM($R$41:$R$41)</f>
        <v>203.46584223400433</v>
      </c>
      <c r="T41" s="20">
        <f>'TR TE'!$T$41*'TR TE'!$T$52</f>
        <v>8.0880030363794244</v>
      </c>
      <c r="U41" s="20">
        <f>'TR TE'!$U$41*'TR TE'!$U$52</f>
        <v>6.720786758216831</v>
      </c>
      <c r="V41" s="20">
        <f>'TR TE'!$V$41*'TR TE'!$V$52</f>
        <v>0</v>
      </c>
      <c r="W41" s="20">
        <f>SUM($T$41:$V$41)</f>
        <v>14.808789794596255</v>
      </c>
      <c r="X41" s="20"/>
      <c r="Y41" s="20">
        <f>SUM($X$41:$X$41)</f>
        <v>0</v>
      </c>
      <c r="Z41" s="20">
        <f>'TR TE'!$Z$41*'TR TE'!$Z$52</f>
        <v>6.8381102405025755</v>
      </c>
      <c r="AA41" s="20">
        <f>SUM($Z$41:$Z$41)</f>
        <v>6.8381102405025755</v>
      </c>
      <c r="AB41" s="20">
        <f>SUMIF($L$4:$AA$4,"SUBTOTAL",$L$41:$AA$41)</f>
        <v>228.50199562979532</v>
      </c>
    </row>
    <row r="42" spans="1:28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'TR TE'!$L$42*'TR TE'!$L$52</f>
        <v>2.5437433980679245</v>
      </c>
      <c r="M42" s="20">
        <f>'TR TE'!$M$42*'TR TE'!$M$52</f>
        <v>13.06518698929106</v>
      </c>
      <c r="N42" s="20">
        <f>'TR TE'!$N$42*'TR TE'!$N$52</f>
        <v>0</v>
      </c>
      <c r="O42" s="20">
        <f>'TR TE'!$O$42*'TR TE'!$O$52</f>
        <v>4.118233340790332</v>
      </c>
      <c r="P42" s="20">
        <f>'TR TE'!$P$42*'TR TE'!$P$52</f>
        <v>-16.33791036745717</v>
      </c>
      <c r="Q42" s="20">
        <f>SUM($L$42:$P$42)</f>
        <v>3.3892533606921482</v>
      </c>
      <c r="R42" s="20">
        <f>'TR TE'!$R$42*'TR TE'!$R$52</f>
        <v>215.67379276804459</v>
      </c>
      <c r="S42" s="20">
        <f>SUM($R$42:$R$42)</f>
        <v>215.67379276804459</v>
      </c>
      <c r="T42" s="20">
        <f>'TR TE'!$T$42*'TR TE'!$T$52</f>
        <v>8.0880030363794244</v>
      </c>
      <c r="U42" s="20">
        <f>'TR TE'!$U$42*'TR TE'!$U$52</f>
        <v>6.720786758216831</v>
      </c>
      <c r="V42" s="20">
        <f>'TR TE'!$V$42*'TR TE'!$V$52</f>
        <v>0</v>
      </c>
      <c r="W42" s="20">
        <f>SUM($T$42:$V$42)</f>
        <v>14.808789794596255</v>
      </c>
      <c r="X42" s="20"/>
      <c r="Y42" s="20">
        <f>SUM($X$42:$X$42)</f>
        <v>0</v>
      </c>
      <c r="Z42" s="20">
        <f>'TR TE'!$Z$42*'TR TE'!$Z$52</f>
        <v>6.8381102405025755</v>
      </c>
      <c r="AA42" s="20">
        <f>SUM($Z$42:$Z$42)</f>
        <v>6.8381102405025755</v>
      </c>
      <c r="AB42" s="20">
        <f>SUMIF($L$4:$AA$4,"SUBTOTAL",$L$42:$AA$42)</f>
        <v>240.70994616383558</v>
      </c>
    </row>
    <row r="43" spans="1:28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'TR TE'!$L$43*'TR TE'!$L$52</f>
        <v>2.5437433980679245</v>
      </c>
      <c r="M43" s="20">
        <f>'TR TE'!$M$43*'TR TE'!$M$52</f>
        <v>13.06518698929106</v>
      </c>
      <c r="N43" s="20">
        <f>'TR TE'!$N$43*'TR TE'!$N$52</f>
        <v>0</v>
      </c>
      <c r="O43" s="20">
        <f>'TR TE'!$O$43*'TR TE'!$O$52</f>
        <v>4.118233340790332</v>
      </c>
      <c r="P43" s="20">
        <f>'TR TE'!$P$43*'TR TE'!$P$52</f>
        <v>-16.33791036745717</v>
      </c>
      <c r="Q43" s="20">
        <f>SUM($L$43:$P$43)</f>
        <v>3.3892533606921482</v>
      </c>
      <c r="R43" s="20">
        <f>'TR TE'!$R$43*'TR TE'!$R$52</f>
        <v>215.67379276804459</v>
      </c>
      <c r="S43" s="20">
        <f>SUM($R$43:$R$43)</f>
        <v>215.67379276804459</v>
      </c>
      <c r="T43" s="20">
        <f>'TR TE'!$T$43*'TR TE'!$T$52</f>
        <v>8.0880030363794244</v>
      </c>
      <c r="U43" s="20">
        <f>'TR TE'!$U$43*'TR TE'!$U$52</f>
        <v>6.720786758216831</v>
      </c>
      <c r="V43" s="20">
        <f>'TR TE'!$V$43*'TR TE'!$V$52</f>
        <v>0</v>
      </c>
      <c r="W43" s="20">
        <f>SUM($T$43:$V$43)</f>
        <v>14.808789794596255</v>
      </c>
      <c r="X43" s="20"/>
      <c r="Y43" s="20">
        <f>SUM($X$43:$X$43)</f>
        <v>0</v>
      </c>
      <c r="Z43" s="20">
        <f>'TR TE'!$Z$43*'TR TE'!$Z$52</f>
        <v>6.8381102405025755</v>
      </c>
      <c r="AA43" s="20">
        <f>SUM($Z$43:$Z$43)</f>
        <v>6.8381102405025755</v>
      </c>
      <c r="AB43" s="20">
        <f>SUMIF($L$4:$AA$4,"SUBTOTAL",$L$43:$AA$43)</f>
        <v>240.70994616383558</v>
      </c>
    </row>
    <row r="44" spans="1:28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'TR TE'!$L$44*'TR TE'!$L$52</f>
        <v>1.3990588689373586</v>
      </c>
      <c r="M44" s="20">
        <f>'TR TE'!$M$44*'TR TE'!$M$52</f>
        <v>7.1858528441100837</v>
      </c>
      <c r="N44" s="20">
        <f>'TR TE'!$N$44*'TR TE'!$N$52</f>
        <v>0</v>
      </c>
      <c r="O44" s="20">
        <f>'TR TE'!$O$44*'TR TE'!$O$52</f>
        <v>2.2650283374346829</v>
      </c>
      <c r="P44" s="20">
        <f>'TR TE'!$P$44*'TR TE'!$P$52</f>
        <v>-8.9858507021014447</v>
      </c>
      <c r="Q44" s="20">
        <f>SUM($L$44:$P$44)</f>
        <v>1.8640893483806806</v>
      </c>
      <c r="R44" s="20">
        <f>'TR TE'!$R$44*'TR TE'!$R$52</f>
        <v>118.62058602242453</v>
      </c>
      <c r="S44" s="20">
        <f>SUM($R$44:$R$44)</f>
        <v>118.62058602242453</v>
      </c>
      <c r="T44" s="20">
        <f>'TR TE'!$T$44*'TR TE'!$T$52</f>
        <v>4.4484016700086837</v>
      </c>
      <c r="U44" s="20">
        <f>'TR TE'!$U$44*'TR TE'!$U$52</f>
        <v>3.6964327170192575</v>
      </c>
      <c r="V44" s="20">
        <f>'TR TE'!$V$44*'TR TE'!$V$52</f>
        <v>0</v>
      </c>
      <c r="W44" s="20">
        <f>SUM($T$44:$V$44)</f>
        <v>8.1448343870279416</v>
      </c>
      <c r="X44" s="20"/>
      <c r="Y44" s="20">
        <f>SUM($X$44:$X$44)</f>
        <v>0</v>
      </c>
      <c r="Z44" s="20">
        <f>'TR TE'!$Z$44*'TR TE'!$Z$52</f>
        <v>3.7609606322764169</v>
      </c>
      <c r="AA44" s="20">
        <f>SUM($Z$44:$Z$44)</f>
        <v>3.7609606322764169</v>
      </c>
      <c r="AB44" s="20">
        <f>SUMIF($L$4:$AA$4,"SUBTOTAL",$L$44:$AA$44)</f>
        <v>132.39047039010956</v>
      </c>
    </row>
    <row r="45" spans="1:28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'TR TE'!$L$45*'TR TE'!$L$52</f>
        <v>1.5262460388407546</v>
      </c>
      <c r="M45" s="20">
        <f>'TR TE'!$M$45*'TR TE'!$M$52</f>
        <v>7.8391121935746355</v>
      </c>
      <c r="N45" s="20">
        <f>'TR TE'!$N$45*'TR TE'!$N$52</f>
        <v>0</v>
      </c>
      <c r="O45" s="20">
        <f>'TR TE'!$O$45*'TR TE'!$O$52</f>
        <v>2.4709400044741989</v>
      </c>
      <c r="P45" s="20">
        <f>'TR TE'!$P$45*'TR TE'!$P$52</f>
        <v>-9.802746220474301</v>
      </c>
      <c r="Q45" s="20">
        <f>SUM($L$45:$P$45)</f>
        <v>2.0335520164152889</v>
      </c>
      <c r="R45" s="20">
        <f>'TR TE'!$R$45*'TR TE'!$R$52</f>
        <v>129.40427566082676</v>
      </c>
      <c r="S45" s="20">
        <f>SUM($R$45:$R$45)</f>
        <v>129.40427566082676</v>
      </c>
      <c r="T45" s="20">
        <f>'TR TE'!$T$45*'TR TE'!$T$52</f>
        <v>4.8528018218276543</v>
      </c>
      <c r="U45" s="20">
        <f>'TR TE'!$U$45*'TR TE'!$U$52</f>
        <v>4.0324720549300981</v>
      </c>
      <c r="V45" s="20">
        <f>'TR TE'!$V$45*'TR TE'!$V$52</f>
        <v>0</v>
      </c>
      <c r="W45" s="20">
        <f>SUM($T$45:$V$45)</f>
        <v>8.8852738767577524</v>
      </c>
      <c r="X45" s="20"/>
      <c r="Y45" s="20">
        <f>SUM($X$45:$X$45)</f>
        <v>0</v>
      </c>
      <c r="Z45" s="20">
        <f>'TR TE'!$Z$45*'TR TE'!$Z$52</f>
        <v>4.1028661443015455</v>
      </c>
      <c r="AA45" s="20">
        <f>SUM($Z$45:$Z$45)</f>
        <v>4.1028661443015455</v>
      </c>
      <c r="AB45" s="20">
        <f>SUMIF($L$4:$AA$4,"SUBTOTAL",$L$45:$AA$45)</f>
        <v>144.42596769830135</v>
      </c>
    </row>
    <row r="47" spans="1:28" ht="11.25" customHeight="1" x14ac:dyDescent="0.25">
      <c r="K47" s="25" t="s">
        <v>704</v>
      </c>
      <c r="L47" s="20">
        <f t="shared" ref="L47:AB47" si="0">SUMPRODUCT($I$5:$I$45,L$5:L$45)</f>
        <v>490441.64912756049</v>
      </c>
      <c r="M47" s="20">
        <f t="shared" si="0"/>
        <v>2519008.7404471571</v>
      </c>
      <c r="N47" s="20">
        <f t="shared" si="0"/>
        <v>0</v>
      </c>
      <c r="O47" s="20">
        <f t="shared" si="0"/>
        <v>794008.21351846936</v>
      </c>
      <c r="P47" s="20">
        <f t="shared" si="0"/>
        <v>-3149999.9999999995</v>
      </c>
      <c r="Q47" s="20">
        <f t="shared" si="0"/>
        <v>653458.60309318744</v>
      </c>
      <c r="R47" s="20">
        <f t="shared" si="0"/>
        <v>41430078.225968435</v>
      </c>
      <c r="S47" s="20">
        <f t="shared" si="0"/>
        <v>41430078.225968435</v>
      </c>
      <c r="T47" s="20">
        <f t="shared" si="0"/>
        <v>1559392.173881809</v>
      </c>
      <c r="U47" s="20">
        <f t="shared" si="0"/>
        <v>1295788.6175304062</v>
      </c>
      <c r="V47" s="20">
        <f t="shared" si="0"/>
        <v>0</v>
      </c>
      <c r="W47" s="20">
        <f t="shared" si="0"/>
        <v>2855180.7914122157</v>
      </c>
      <c r="X47" s="20">
        <f t="shared" si="0"/>
        <v>0</v>
      </c>
      <c r="Y47" s="20">
        <f t="shared" si="0"/>
        <v>0</v>
      </c>
      <c r="Z47" s="20">
        <f t="shared" si="0"/>
        <v>1318408.9502956183</v>
      </c>
      <c r="AA47" s="20">
        <f t="shared" si="0"/>
        <v>1318408.9502956183</v>
      </c>
      <c r="AB47" s="20">
        <f t="shared" si="0"/>
        <v>46257126.570769452</v>
      </c>
    </row>
    <row r="48" spans="1:28" ht="11.25" customHeight="1" x14ac:dyDescent="0.25">
      <c r="K48" s="25" t="s">
        <v>623</v>
      </c>
      <c r="L48" s="20">
        <f>CUSTOS!$D$30</f>
        <v>490441.64912756049</v>
      </c>
      <c r="M48" s="20">
        <f>CUSTOS!$D$31</f>
        <v>2519008.7404471575</v>
      </c>
      <c r="N48" s="20">
        <f>CUSTOS!$D$32</f>
        <v>0</v>
      </c>
      <c r="O48" s="20">
        <f>CUSTOS!$D$33</f>
        <v>794008.21351846925</v>
      </c>
      <c r="P48" s="20">
        <f>CUSTOS!$D$34</f>
        <v>-3150000</v>
      </c>
      <c r="Q48" s="20">
        <f>CUSTOS!$D$35</f>
        <v>653458.60309318732</v>
      </c>
      <c r="R48" s="20">
        <f>CUSTOS!$D$36</f>
        <v>41430078.225968428</v>
      </c>
      <c r="S48" s="20">
        <f>CUSTOS!$D$37</f>
        <v>41430078.225968428</v>
      </c>
      <c r="T48" s="20">
        <f>CUSTOS!$D$38</f>
        <v>1559392.1738818092</v>
      </c>
      <c r="U48" s="20">
        <f>CUSTOS!$D$39</f>
        <v>1295788.6175304062</v>
      </c>
      <c r="V48" s="20">
        <f>CUSTOS!$D$40</f>
        <v>0</v>
      </c>
      <c r="W48" s="20">
        <f>CUSTOS!$D$41</f>
        <v>2855180.7914122157</v>
      </c>
      <c r="X48" s="20">
        <f>CUSTOS!$D$42</f>
        <v>0</v>
      </c>
      <c r="Y48" s="20">
        <f>CUSTOS!$D$43</f>
        <v>0</v>
      </c>
      <c r="Z48" s="20">
        <f>CUSTOS!$D$44</f>
        <v>1318408.9502956187</v>
      </c>
      <c r="AA48" s="20">
        <f>CUSTOS!$D$45</f>
        <v>1318408.9502956187</v>
      </c>
      <c r="AB48" s="20">
        <f>CUSTOS!$D$46</f>
        <v>46257126.570769452</v>
      </c>
    </row>
    <row r="49" spans="11:28" ht="11.25" customHeight="1" x14ac:dyDescent="0.25">
      <c r="K49" s="25" t="s">
        <v>624</v>
      </c>
      <c r="L49" s="20">
        <f>CUSTOS!$E$30</f>
        <v>2.1730396836747649E-2</v>
      </c>
      <c r="M49" s="20">
        <f>CUSTOS!$E$31</f>
        <v>-926119.86971880542</v>
      </c>
      <c r="N49" s="20">
        <f>CUSTOS!$E$32</f>
        <v>0</v>
      </c>
      <c r="O49" s="20">
        <f>CUSTOS!$E$33</f>
        <v>291007.82484533184</v>
      </c>
      <c r="P49" s="20">
        <f>CUSTOS!$E$34</f>
        <v>0</v>
      </c>
      <c r="Q49" s="20">
        <f>CUSTOS!$E$35</f>
        <v>-635112.0231430768</v>
      </c>
      <c r="R49" s="20">
        <f>CUSTOS!$E$36</f>
        <v>-2992739.8518927954</v>
      </c>
      <c r="S49" s="20">
        <f>CUSTOS!$E$37</f>
        <v>-2992739.8518927954</v>
      </c>
      <c r="T49" s="20">
        <f>CUSTOS!$E$38</f>
        <v>571663.31939759804</v>
      </c>
      <c r="U49" s="20">
        <f>CUSTOS!$E$39</f>
        <v>20862.520133608137</v>
      </c>
      <c r="V49" s="20">
        <f>CUSTOS!$E$40</f>
        <v>0</v>
      </c>
      <c r="W49" s="20">
        <f>CUSTOS!$E$41</f>
        <v>592525.83953120618</v>
      </c>
      <c r="X49" s="20">
        <f>CUSTOS!$E$42</f>
        <v>0</v>
      </c>
      <c r="Y49" s="20">
        <f>CUSTOS!$E$43</f>
        <v>0</v>
      </c>
      <c r="Z49" s="20">
        <f>CUSTOS!$E$44</f>
        <v>-95236.484592701177</v>
      </c>
      <c r="AA49" s="20">
        <f>CUSTOS!$E$45</f>
        <v>-95236.484592701177</v>
      </c>
      <c r="AB49" s="20">
        <f>CUSTOS!$E$46</f>
        <v>-3130562.5200973675</v>
      </c>
    </row>
    <row r="50" spans="11:28" ht="11.25" customHeight="1" x14ac:dyDescent="0.25">
      <c r="K50" s="25" t="s">
        <v>625</v>
      </c>
      <c r="L50" s="20">
        <f>CUSTOS!$F$30</f>
        <v>0</v>
      </c>
      <c r="M50" s="20">
        <f>CUSTOS!$F$31</f>
        <v>3430068.2357000001</v>
      </c>
      <c r="N50" s="20">
        <f>CUSTOS!$F$32</f>
        <v>0</v>
      </c>
      <c r="O50" s="20">
        <f>CUSTOS!$F$33</f>
        <v>71247.873020958446</v>
      </c>
      <c r="P50" s="20">
        <f>CUSTOS!$F$34</f>
        <v>0</v>
      </c>
      <c r="Q50" s="20">
        <f>CUSTOS!$F$35</f>
        <v>3501316.1087209587</v>
      </c>
      <c r="R50" s="20">
        <f>CUSTOS!$F$36</f>
        <v>5685725.32587808</v>
      </c>
      <c r="S50" s="20">
        <f>CUSTOS!$F$37</f>
        <v>5685725.32587808</v>
      </c>
      <c r="T50" s="20">
        <f>CUSTOS!$F$38</f>
        <v>-178222.86040000001</v>
      </c>
      <c r="U50" s="20">
        <f>CUSTOS!$F$39</f>
        <v>-28907.910200000002</v>
      </c>
      <c r="V50" s="20">
        <f>CUSTOS!$F$40</f>
        <v>0</v>
      </c>
      <c r="W50" s="20">
        <f>CUSTOS!$F$41</f>
        <v>-207130.77060000002</v>
      </c>
      <c r="X50" s="20">
        <f>CUSTOS!$F$42</f>
        <v>0</v>
      </c>
      <c r="Y50" s="20">
        <f>CUSTOS!$F$43</f>
        <v>0</v>
      </c>
      <c r="Z50" s="20">
        <f>CUSTOS!$F$44</f>
        <v>180934.03342554063</v>
      </c>
      <c r="AA50" s="20">
        <f>CUSTOS!$F$45</f>
        <v>180934.03342554063</v>
      </c>
      <c r="AB50" s="20">
        <f>CUSTOS!$F$46</f>
        <v>9160844.6974245775</v>
      </c>
    </row>
    <row r="51" spans="11:28" ht="11.25" customHeight="1" x14ac:dyDescent="0.25">
      <c r="K51" s="25" t="s">
        <v>705</v>
      </c>
      <c r="L51" s="20">
        <f>'TR TE'!$L$51*L52</f>
        <v>1.1270770659303425E-7</v>
      </c>
      <c r="M51" s="20">
        <f>'TR TE'!$M$51*M52</f>
        <v>-4.8034487050752235</v>
      </c>
      <c r="N51" s="20">
        <f>'TR TE'!$N$51*N52</f>
        <v>0</v>
      </c>
      <c r="O51" s="20">
        <f>'TR TE'!$O$51*O52</f>
        <v>1.5093523043021293</v>
      </c>
      <c r="P51" s="20">
        <f>'TR TE'!$P$51*P52</f>
        <v>0</v>
      </c>
      <c r="Q51" s="20"/>
      <c r="R51" s="20">
        <f>'TR TE'!$R$51*R52</f>
        <v>-15.428352277921508</v>
      </c>
      <c r="S51" s="20"/>
      <c r="T51" s="20">
        <f>'TR TE'!$T$51*T52</f>
        <v>2.965010816724126</v>
      </c>
      <c r="U51" s="20">
        <f>'TR TE'!$U$51*U52</f>
        <v>0.10820634412132075</v>
      </c>
      <c r="V51" s="20">
        <f>'TR TE'!$V$51*V52</f>
        <v>0</v>
      </c>
      <c r="W51" s="20"/>
      <c r="X51" s="20"/>
      <c r="Y51" s="20"/>
      <c r="Z51" s="20">
        <f>'TR TE'!$Z$51*Z52</f>
        <v>-0.49395719015468809</v>
      </c>
      <c r="AA51" s="20"/>
      <c r="AB51" s="20"/>
    </row>
    <row r="52" spans="11:28" ht="11.25" customHeight="1" x14ac:dyDescent="0.25">
      <c r="K52" s="25" t="s">
        <v>692</v>
      </c>
      <c r="L52" s="20">
        <f>IF(L48&lt;&gt;0,L49/L48,0)</f>
        <v>4.4307812918016924E-8</v>
      </c>
      <c r="M52" s="20">
        <f>IF(M48&lt;&gt;0,M49/M48,0)</f>
        <v>-0.36765250348214623</v>
      </c>
      <c r="N52" s="20">
        <f>IF(N48&lt;&gt;0,N49/N48,0)</f>
        <v>0</v>
      </c>
      <c r="O52" s="20">
        <f>IF(O48&lt;&gt;0,O49/O48,0)</f>
        <v>0.36650480422084797</v>
      </c>
      <c r="P52" s="20">
        <f>IF(P48&lt;&gt;0,P49/P48,0)</f>
        <v>0</v>
      </c>
      <c r="Q52" s="20"/>
      <c r="R52" s="20">
        <f>IF(R48&lt;&gt;0,R49/R48,0)</f>
        <v>-7.2235920858506664E-2</v>
      </c>
      <c r="S52" s="20"/>
      <c r="T52" s="20">
        <f>IF(T48&lt;&gt;0,T49/T48,0)</f>
        <v>0.36659368244394308</v>
      </c>
      <c r="U52" s="20">
        <f>IF(U48&lt;&gt;0,U49/U48,0)</f>
        <v>1.6100249571082987E-2</v>
      </c>
      <c r="V52" s="20">
        <f>IF(V48&lt;&gt;0,V49/V48,0)</f>
        <v>0</v>
      </c>
      <c r="W52" s="20"/>
      <c r="X52" s="20">
        <f>IF(($AB48-0)&lt;&gt;0,X49/($AB48-0),0)</f>
        <v>0</v>
      </c>
      <c r="Y52" s="20"/>
      <c r="Z52" s="20">
        <f>IF(Z48&lt;&gt;0,Z49/Z48,0)</f>
        <v>-7.2235920858506678E-2</v>
      </c>
      <c r="AA52" s="20"/>
      <c r="AB52" s="20"/>
    </row>
    <row r="53" spans="11:28" ht="11.25" customHeight="1" x14ac:dyDescent="0.25">
      <c r="K53" s="25" t="s">
        <v>707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8:A10"/>
    <mergeCell ref="B8:B9"/>
    <mergeCell ref="C8:C9"/>
    <mergeCell ref="D8:D9"/>
    <mergeCell ref="E8:E9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E39:E41"/>
    <mergeCell ref="F39:F41"/>
    <mergeCell ref="A44:A45"/>
    <mergeCell ref="B44:B45"/>
    <mergeCell ref="C44:C45"/>
    <mergeCell ref="D39:D41"/>
  </mergeCells>
  <conditionalFormatting sqref="L47">
    <cfRule type="cellIs" dxfId="887" priority="33" operator="notEqual">
      <formula>$L$48</formula>
    </cfRule>
    <cfRule type="cellIs" dxfId="886" priority="34" operator="equal">
      <formula>$L$48</formula>
    </cfRule>
  </conditionalFormatting>
  <conditionalFormatting sqref="M47">
    <cfRule type="cellIs" dxfId="885" priority="31" operator="notEqual">
      <formula>$M$48</formula>
    </cfRule>
    <cfRule type="cellIs" dxfId="884" priority="32" operator="equal">
      <formula>$M$48</formula>
    </cfRule>
  </conditionalFormatting>
  <conditionalFormatting sqref="N47">
    <cfRule type="cellIs" dxfId="883" priority="29" operator="notEqual">
      <formula>$N$48</formula>
    </cfRule>
    <cfRule type="cellIs" dxfId="882" priority="30" operator="equal">
      <formula>$N$48</formula>
    </cfRule>
  </conditionalFormatting>
  <conditionalFormatting sqref="O47">
    <cfRule type="cellIs" dxfId="881" priority="27" operator="notEqual">
      <formula>$O$48</formula>
    </cfRule>
    <cfRule type="cellIs" dxfId="880" priority="28" operator="equal">
      <formula>$O$48</formula>
    </cfRule>
  </conditionalFormatting>
  <conditionalFormatting sqref="P47">
    <cfRule type="cellIs" dxfId="879" priority="25" operator="notEqual">
      <formula>$P$48</formula>
    </cfRule>
    <cfRule type="cellIs" dxfId="878" priority="26" operator="equal">
      <formula>$P$48</formula>
    </cfRule>
  </conditionalFormatting>
  <conditionalFormatting sqref="Q47">
    <cfRule type="cellIs" dxfId="877" priority="23" operator="notEqual">
      <formula>$Q$48</formula>
    </cfRule>
    <cfRule type="cellIs" dxfId="876" priority="24" operator="equal">
      <formula>$Q$48</formula>
    </cfRule>
  </conditionalFormatting>
  <conditionalFormatting sqref="R47">
    <cfRule type="cellIs" dxfId="875" priority="21" operator="notEqual">
      <formula>$R$48</formula>
    </cfRule>
    <cfRule type="cellIs" dxfId="874" priority="22" operator="equal">
      <formula>$R$48</formula>
    </cfRule>
  </conditionalFormatting>
  <conditionalFormatting sqref="S47">
    <cfRule type="cellIs" dxfId="873" priority="19" operator="notEqual">
      <formula>$S$48</formula>
    </cfRule>
    <cfRule type="cellIs" dxfId="872" priority="20" operator="equal">
      <formula>$S$48</formula>
    </cfRule>
  </conditionalFormatting>
  <conditionalFormatting sqref="T47">
    <cfRule type="cellIs" dxfId="871" priority="17" operator="notEqual">
      <formula>$T$48</formula>
    </cfRule>
    <cfRule type="cellIs" dxfId="870" priority="18" operator="equal">
      <formula>$T$48</formula>
    </cfRule>
  </conditionalFormatting>
  <conditionalFormatting sqref="U47">
    <cfRule type="cellIs" dxfId="869" priority="15" operator="notEqual">
      <formula>$U$48</formula>
    </cfRule>
    <cfRule type="cellIs" dxfId="868" priority="16" operator="equal">
      <formula>$U$48</formula>
    </cfRule>
  </conditionalFormatting>
  <conditionalFormatting sqref="V47">
    <cfRule type="cellIs" dxfId="867" priority="13" operator="notEqual">
      <formula>$V$48</formula>
    </cfRule>
    <cfRule type="cellIs" dxfId="866" priority="14" operator="equal">
      <formula>$V$48</formula>
    </cfRule>
  </conditionalFormatting>
  <conditionalFormatting sqref="W47">
    <cfRule type="cellIs" dxfId="865" priority="11" operator="notEqual">
      <formula>$W$48</formula>
    </cfRule>
    <cfRule type="cellIs" dxfId="864" priority="12" operator="equal">
      <formula>$W$48</formula>
    </cfRule>
  </conditionalFormatting>
  <conditionalFormatting sqref="X47">
    <cfRule type="cellIs" dxfId="863" priority="9" operator="notEqual">
      <formula>$X$48</formula>
    </cfRule>
    <cfRule type="cellIs" dxfId="862" priority="10" operator="equal">
      <formula>$X$48</formula>
    </cfRule>
  </conditionalFormatting>
  <conditionalFormatting sqref="Y47">
    <cfRule type="cellIs" dxfId="861" priority="7" operator="notEqual">
      <formula>$Y$48</formula>
    </cfRule>
    <cfRule type="cellIs" dxfId="860" priority="8" operator="equal">
      <formula>$Y$48</formula>
    </cfRule>
  </conditionalFormatting>
  <conditionalFormatting sqref="Z47">
    <cfRule type="cellIs" dxfId="859" priority="5" operator="notEqual">
      <formula>$Z$48</formula>
    </cfRule>
    <cfRule type="cellIs" dxfId="858" priority="6" operator="equal">
      <formula>$Z$48</formula>
    </cfRule>
  </conditionalFormatting>
  <conditionalFormatting sqref="AA47">
    <cfRule type="cellIs" dxfId="857" priority="3" operator="notEqual">
      <formula>$AA$48</formula>
    </cfRule>
    <cfRule type="cellIs" dxfId="856" priority="4" operator="equal">
      <formula>$AA$48</formula>
    </cfRule>
  </conditionalFormatting>
  <conditionalFormatting sqref="AB47">
    <cfRule type="cellIs" dxfId="855" priority="1" operator="notEqual">
      <formula>$AB$48</formula>
    </cfRule>
    <cfRule type="cellIs" dxfId="854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EB45E-E6DB-426A-A25A-68E25441583D}">
  <sheetPr>
    <tabColor theme="4" tint="-0.249977111117893"/>
  </sheetPr>
  <dimension ref="A1:AL53"/>
  <sheetViews>
    <sheetView showGridLines="0" topLeftCell="A10" workbookViewId="0">
      <pane xSplit="7" topLeftCell="AG1" activePane="topRight" state="frozen"/>
      <selection pane="topRight" activeCell="AG13" sqref="AG1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8.710937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29" width="9.140625" style="9"/>
    <col min="30" max="30" width="10.85546875" style="9" bestFit="1" customWidth="1"/>
    <col min="31" max="31" width="9.140625" style="9"/>
    <col min="32" max="32" width="14.85546875" style="9" bestFit="1" customWidth="1"/>
    <col min="33" max="34" width="9.140625" style="9"/>
    <col min="35" max="35" width="13.5703125" style="9" bestFit="1" customWidth="1"/>
    <col min="36" max="37" width="9.140625" style="9"/>
    <col min="38" max="38" width="10.42578125" style="9" bestFit="1" customWidth="1"/>
    <col min="39" max="16384" width="9.140625" style="9"/>
  </cols>
  <sheetData>
    <row r="1" spans="1:38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709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  <c r="AD1" s="154" t="s">
        <v>1288</v>
      </c>
      <c r="AE1" s="154" t="s">
        <v>1289</v>
      </c>
      <c r="AF1" s="154" t="s">
        <v>1333</v>
      </c>
      <c r="AG1" s="166" t="s">
        <v>1290</v>
      </c>
      <c r="AH1" s="166" t="s">
        <v>1334</v>
      </c>
      <c r="AI1" s="166" t="s">
        <v>1335</v>
      </c>
    </row>
    <row r="2" spans="1:38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  <c r="AD2" s="154"/>
      <c r="AE2" s="154"/>
      <c r="AF2" s="154"/>
      <c r="AG2" s="166"/>
      <c r="AH2" s="166"/>
      <c r="AI2" s="166"/>
    </row>
    <row r="3" spans="1:38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164"/>
      <c r="R3" s="164" t="s">
        <v>613</v>
      </c>
      <c r="S3" s="164"/>
      <c r="T3" s="164" t="s">
        <v>591</v>
      </c>
      <c r="U3" s="164"/>
      <c r="V3" s="164"/>
      <c r="W3" s="164"/>
      <c r="X3" s="164" t="s">
        <v>601</v>
      </c>
      <c r="Y3" s="164"/>
      <c r="Z3" s="164" t="s">
        <v>604</v>
      </c>
      <c r="AA3" s="164"/>
      <c r="AB3" s="164" t="s">
        <v>590</v>
      </c>
      <c r="AD3" s="154"/>
      <c r="AE3" s="154"/>
      <c r="AF3" s="154"/>
      <c r="AG3" s="166"/>
      <c r="AH3" s="166"/>
      <c r="AI3" s="166"/>
    </row>
    <row r="4" spans="1:38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590</v>
      </c>
      <c r="R4" s="24" t="s">
        <v>614</v>
      </c>
      <c r="S4" s="24" t="s">
        <v>590</v>
      </c>
      <c r="T4" s="24" t="s">
        <v>615</v>
      </c>
      <c r="U4" s="24" t="s">
        <v>616</v>
      </c>
      <c r="V4" s="24" t="s">
        <v>617</v>
      </c>
      <c r="W4" s="24" t="s">
        <v>590</v>
      </c>
      <c r="X4" s="24" t="s">
        <v>602</v>
      </c>
      <c r="Y4" s="24" t="s">
        <v>590</v>
      </c>
      <c r="Z4" s="24" t="s">
        <v>618</v>
      </c>
      <c r="AA4" s="24" t="s">
        <v>590</v>
      </c>
      <c r="AB4" s="165"/>
      <c r="AD4" s="154"/>
      <c r="AE4" s="154"/>
      <c r="AF4" s="154"/>
      <c r="AG4" s="166"/>
      <c r="AH4" s="166"/>
      <c r="AI4" s="166"/>
    </row>
    <row r="5" spans="1:38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f>'TE BE'!$L$5*'TE BE'!$L$52</f>
        <v>1.1270770659303425E-7</v>
      </c>
      <c r="M5" s="20">
        <f>'TE BE'!$M$5*'TE BE'!$M$52</f>
        <v>-4.8034487050752235</v>
      </c>
      <c r="N5" s="20">
        <f>'TE BE'!$N$5*'TE BE'!$N$52</f>
        <v>0</v>
      </c>
      <c r="O5" s="20">
        <f>'TE BE'!$O$5*'TE BE'!$O$52</f>
        <v>1.5093523043021293</v>
      </c>
      <c r="P5" s="20">
        <f>'TE BE'!$P$5*'TE BE'!$P$52</f>
        <v>0</v>
      </c>
      <c r="Q5" s="20">
        <f>SUM($L$5:$P$5)</f>
        <v>-3.2940962880653881</v>
      </c>
      <c r="R5" s="20">
        <f>'TE BE'!$R$5*'TE BE'!$R$52</f>
        <v>-25.279773060482892</v>
      </c>
      <c r="S5" s="20">
        <f>SUM($R$5:$R$5)</f>
        <v>-25.279773060482892</v>
      </c>
      <c r="T5" s="20">
        <f>'TE BE'!$T$5*'TE BE'!$T$52</f>
        <v>2.965010816724126</v>
      </c>
      <c r="U5" s="20">
        <f>'TE BE'!$U$5*'TE BE'!$U$52</f>
        <v>0.10820634412132075</v>
      </c>
      <c r="V5" s="20">
        <f>'TE BE'!$V$5*'TE BE'!$V$52</f>
        <v>0</v>
      </c>
      <c r="W5" s="20">
        <f>SUM($T$5:$V$5)</f>
        <v>3.0732171608454468</v>
      </c>
      <c r="X5" s="20">
        <f>'TE BE'!$AB$5*'TE BE'!$X$52</f>
        <v>0</v>
      </c>
      <c r="Y5" s="20">
        <f>SUM($X$5:$X$5)</f>
        <v>0</v>
      </c>
      <c r="Z5" s="20">
        <f>'TE BE'!$Z$5*'TE BE'!$Z$52</f>
        <v>-0.49395719015468809</v>
      </c>
      <c r="AA5" s="20">
        <f>SUM($Z$5:$Z$5)</f>
        <v>-0.49395719015468809</v>
      </c>
      <c r="AB5" s="20">
        <f ca="1">SUMIF($L$4:$AA$4,"SUBTOTAL",L5:AA5)+AH5</f>
        <v>-52.969099883274531</v>
      </c>
      <c r="AD5" s="9">
        <v>1</v>
      </c>
      <c r="AE5" s="9">
        <f ca="1">TarifaMedia!$E$37</f>
        <v>1</v>
      </c>
      <c r="AF5" s="15">
        <f>'TE BE'!AB5+'TE BF'!AB5+'TE CVA'!AB5</f>
        <v>415.05449050541699</v>
      </c>
      <c r="AG5" s="15">
        <f>'TABELAS REH COPEL'!G68</f>
        <v>388.08</v>
      </c>
      <c r="AH5" s="15">
        <f ca="1">(AG5-AF5)*AD5*AE5</f>
        <v>-26.974490505417009</v>
      </c>
      <c r="AI5" s="107">
        <f ca="1">-AH5*I5</f>
        <v>6362.5000500032156</v>
      </c>
      <c r="AK5" s="106">
        <f ca="1">'TE BE'!AB5+'TE BF_350'!AB5+'TE CVA'!AB5</f>
        <v>388.08000000000004</v>
      </c>
      <c r="AL5" s="9" t="b">
        <f ca="1">AK5=AG5</f>
        <v>1</v>
      </c>
    </row>
    <row r="6" spans="1:38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f>'TE BE'!$L$6*'TE BE'!$L$52</f>
        <v>1.1270770659303425E-7</v>
      </c>
      <c r="M6" s="20">
        <f>'TE BE'!$M$6*'TE BE'!$M$52</f>
        <v>-4.8034487050752235</v>
      </c>
      <c r="N6" s="20">
        <f>'TE BE'!$N$6*'TE BE'!$N$52</f>
        <v>0</v>
      </c>
      <c r="O6" s="20">
        <f>'TE BE'!$O$6*'TE BE'!$O$52</f>
        <v>1.5093523043021293</v>
      </c>
      <c r="P6" s="20">
        <f>'TE BE'!$P$6*'TE BE'!$P$52</f>
        <v>0</v>
      </c>
      <c r="Q6" s="20">
        <f>SUM($L$6:$P$6)</f>
        <v>-3.2940962880653881</v>
      </c>
      <c r="R6" s="20">
        <f>'TE BE'!$R$6*'TE BE'!$R$52</f>
        <v>-14.697542477024939</v>
      </c>
      <c r="S6" s="20">
        <f>SUM($R$6:$R$6)</f>
        <v>-14.697542477024939</v>
      </c>
      <c r="T6" s="20">
        <f>'TE BE'!$T$6*'TE BE'!$T$52</f>
        <v>2.965010816724126</v>
      </c>
      <c r="U6" s="20">
        <f>'TE BE'!$U$6*'TE BE'!$U$52</f>
        <v>0.10820634412132075</v>
      </c>
      <c r="V6" s="20">
        <f>'TE BE'!$V$6*'TE BE'!$V$52</f>
        <v>0</v>
      </c>
      <c r="W6" s="20">
        <f>SUM($T$6:$V$6)</f>
        <v>3.0732171608454468</v>
      </c>
      <c r="X6" s="20">
        <f>'TE BE'!$AB$6*'TE BE'!$X$52</f>
        <v>0</v>
      </c>
      <c r="Y6" s="20">
        <f>SUM($X$6:$X$6)</f>
        <v>0</v>
      </c>
      <c r="Z6" s="20">
        <f>'TE BE'!$Z$6*'TE BE'!$Z$52</f>
        <v>-0.49395719015468809</v>
      </c>
      <c r="AA6" s="20">
        <f>SUM($Z$6:$Z$6)</f>
        <v>-0.49395719015468809</v>
      </c>
      <c r="AB6" s="20">
        <f t="shared" ref="AB6:AB45" ca="1" si="0">SUMIF($L$4:$AA$4,"SUBTOTAL",L6:AA6)+AH6</f>
        <v>-27.249154019217102</v>
      </c>
      <c r="AD6" s="9">
        <v>1</v>
      </c>
      <c r="AE6" s="9">
        <f ca="1">TarifaMedia!$E$37</f>
        <v>1</v>
      </c>
      <c r="AF6" s="15">
        <f>'TE BE'!AB6+'TE BF'!AB6+'TE CVA'!AB6</f>
        <v>259.03677522481752</v>
      </c>
      <c r="AG6" s="15">
        <f>'TABELAS REH COPEL'!G69</f>
        <v>247.2</v>
      </c>
      <c r="AH6" s="15">
        <f t="shared" ref="AH6:AH45" ca="1" si="1">(AG6-AF6)*AD6*AE6</f>
        <v>-11.836775224817529</v>
      </c>
      <c r="AI6" s="107">
        <f t="shared" ref="AI6:AI45" ca="1" si="2">-AH6*I6</f>
        <v>45958.694512499918</v>
      </c>
      <c r="AK6" s="106">
        <f ca="1">'TE BE'!AB6+'TE BF_350'!AB6+'TE CVA'!AB6</f>
        <v>247.20000000000002</v>
      </c>
      <c r="AL6" s="9" t="b">
        <f t="shared" ref="AL6:AL45" ca="1" si="3">AK6=AG6</f>
        <v>1</v>
      </c>
    </row>
    <row r="7" spans="1:38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f>'TE BE'!$L$7*'TE BE'!$L$52</f>
        <v>1.1270770659303425E-7</v>
      </c>
      <c r="M7" s="20">
        <f>'TE BE'!$M$7*'TE BE'!$M$52</f>
        <v>-4.8034487050752235</v>
      </c>
      <c r="N7" s="20">
        <f>'TE BE'!$N$7*'TE BE'!$N$52</f>
        <v>0</v>
      </c>
      <c r="O7" s="20">
        <f>'TE BE'!$O$7*'TE BE'!$O$52</f>
        <v>1.5093523043021293</v>
      </c>
      <c r="P7" s="20">
        <f>'TE BE'!$P$7*'TE BE'!$P$52</f>
        <v>0</v>
      </c>
      <c r="Q7" s="20">
        <f>SUM($L$7:$P$7)</f>
        <v>-3.2940962880653881</v>
      </c>
      <c r="R7" s="20">
        <f>'TE BE'!$R$7*'TE BE'!$R$52</f>
        <v>-15.579395025646436</v>
      </c>
      <c r="S7" s="20">
        <f>SUM($R$7:$R$7)</f>
        <v>-15.579395025646436</v>
      </c>
      <c r="T7" s="20">
        <f>'TE BE'!$T$7*'TE BE'!$T$52</f>
        <v>2.965010816724126</v>
      </c>
      <c r="U7" s="20">
        <f>'TE BE'!$U$7*'TE BE'!$U$52</f>
        <v>0.10820634412132075</v>
      </c>
      <c r="V7" s="20">
        <f>'TE BE'!$V$7*'TE BE'!$V$52</f>
        <v>0</v>
      </c>
      <c r="W7" s="20">
        <f>SUM($T$7:$V$7)</f>
        <v>3.0732171608454468</v>
      </c>
      <c r="X7" s="20">
        <f>'TE BE'!$AB$7*'TE BE'!$X$52</f>
        <v>0</v>
      </c>
      <c r="Y7" s="20">
        <f>SUM($X$7:$X$7)</f>
        <v>0</v>
      </c>
      <c r="Z7" s="20">
        <f>'TE BE'!$Z$7*'TE BE'!$Z$52</f>
        <v>-0.49395719015468809</v>
      </c>
      <c r="AA7" s="20">
        <f>SUM($Z$7:$Z$7)</f>
        <v>-0.49395719015468809</v>
      </c>
      <c r="AB7" s="20">
        <f t="shared" ca="1" si="0"/>
        <v>-288.33248284122192</v>
      </c>
      <c r="AD7" s="9">
        <v>1</v>
      </c>
      <c r="AE7" s="9">
        <f ca="1">TarifaMedia!$E$37</f>
        <v>1</v>
      </c>
      <c r="AF7" s="15">
        <f>'TE BE'!AB7+'TE BF'!AB7+'TE CVA'!AB7</f>
        <v>272.03825149820085</v>
      </c>
      <c r="AG7" s="15">
        <f>'[1]TE BE'!$AD$14</f>
        <v>0</v>
      </c>
      <c r="AH7" s="15">
        <f t="shared" ca="1" si="1"/>
        <v>-272.03825149820085</v>
      </c>
      <c r="AI7" s="107">
        <f t="shared" ca="1" si="2"/>
        <v>0</v>
      </c>
      <c r="AK7" s="106">
        <f ca="1">'TE BE'!AB7+'TE BF_350'!AB7+'TE CVA'!AB7</f>
        <v>0</v>
      </c>
      <c r="AL7" s="9" t="b">
        <f t="shared" ca="1" si="3"/>
        <v>1</v>
      </c>
    </row>
    <row r="8" spans="1:38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f>'TE BE'!$L$8*'TE BE'!$L$52</f>
        <v>1.1270770659303425E-7</v>
      </c>
      <c r="M8" s="20">
        <f>'TE BE'!$M$8*'TE BE'!$M$52</f>
        <v>-4.8034487050752235</v>
      </c>
      <c r="N8" s="20">
        <f>'TE BE'!$N$8*'TE BE'!$N$52</f>
        <v>0</v>
      </c>
      <c r="O8" s="20">
        <f>'TE BE'!$O$8*'TE BE'!$O$52</f>
        <v>1.5093523043021293</v>
      </c>
      <c r="P8" s="20">
        <f>'TE BE'!$P$8*'TE BE'!$P$52</f>
        <v>0</v>
      </c>
      <c r="Q8" s="20">
        <f>SUM($L$8:$P$8)</f>
        <v>-3.2940962880653881</v>
      </c>
      <c r="R8" s="20">
        <f>'TE BE'!$R$8*'TE BE'!$R$52</f>
        <v>-25.279773060482892</v>
      </c>
      <c r="S8" s="20">
        <f>SUM($R$8:$R$8)</f>
        <v>-25.279773060482892</v>
      </c>
      <c r="T8" s="20">
        <f>'TE BE'!$T$8*'TE BE'!$T$52</f>
        <v>2.965010816724126</v>
      </c>
      <c r="U8" s="20">
        <f>'TE BE'!$U$8*'TE BE'!$U$52</f>
        <v>0.10820634412132075</v>
      </c>
      <c r="V8" s="20">
        <f>'TE BE'!$V$8*'TE BE'!$V$52</f>
        <v>0</v>
      </c>
      <c r="W8" s="20">
        <f>SUM($T$8:$V$8)</f>
        <v>3.0732171608454468</v>
      </c>
      <c r="X8" s="20">
        <f>'TE BE'!$AB$8*'TE BE'!$X$52</f>
        <v>0</v>
      </c>
      <c r="Y8" s="20">
        <f>SUM($X$8:$X$8)</f>
        <v>0</v>
      </c>
      <c r="Z8" s="20">
        <f>'TE BE'!$Z$8*'TE BE'!$Z$52</f>
        <v>-0.49395719015468809</v>
      </c>
      <c r="AA8" s="20">
        <f>SUM($Z$8:$Z$8)</f>
        <v>-0.49395719015468809</v>
      </c>
      <c r="AB8" s="20">
        <f t="shared" ca="1" si="0"/>
        <v>-52.969099883274531</v>
      </c>
      <c r="AD8" s="9">
        <v>1</v>
      </c>
      <c r="AE8" s="9">
        <f ca="1">TarifaMedia!$E$38</f>
        <v>1</v>
      </c>
      <c r="AF8" s="15">
        <f>'TE BE'!AB8+'TE BF'!AB8+'TE CVA'!AB8</f>
        <v>415.05449050541699</v>
      </c>
      <c r="AG8" s="15">
        <f>AG5</f>
        <v>388.08</v>
      </c>
      <c r="AH8" s="15">
        <f t="shared" ca="1" si="1"/>
        <v>-26.974490505417009</v>
      </c>
      <c r="AI8" s="107">
        <f t="shared" ca="1" si="2"/>
        <v>97671.770824121413</v>
      </c>
      <c r="AK8" s="106">
        <f ca="1">'TE BE'!AB8+'TE BF_350'!AB8+'TE CVA'!AB8</f>
        <v>388.08000000000004</v>
      </c>
      <c r="AL8" s="9" t="b">
        <f t="shared" ca="1" si="3"/>
        <v>1</v>
      </c>
    </row>
    <row r="9" spans="1:38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f>'TE BE'!$L$9*'TE BE'!$L$52</f>
        <v>1.1270770659303425E-7</v>
      </c>
      <c r="M9" s="20">
        <f>'TE BE'!$M$9*'TE BE'!$M$52</f>
        <v>-4.8034487050752235</v>
      </c>
      <c r="N9" s="20">
        <f>'TE BE'!$N$9*'TE BE'!$N$52</f>
        <v>0</v>
      </c>
      <c r="O9" s="20">
        <f>'TE BE'!$O$9*'TE BE'!$O$52</f>
        <v>1.5093523043021293</v>
      </c>
      <c r="P9" s="20">
        <f>'TE BE'!$P$9*'TE BE'!$P$52</f>
        <v>0</v>
      </c>
      <c r="Q9" s="20">
        <f>SUM($L$9:$P$9)</f>
        <v>-3.2940962880653881</v>
      </c>
      <c r="R9" s="20">
        <f>'TE BE'!$R$9*'TE BE'!$R$52</f>
        <v>-14.697542477024939</v>
      </c>
      <c r="S9" s="20">
        <f>SUM($R$9:$R$9)</f>
        <v>-14.697542477024939</v>
      </c>
      <c r="T9" s="20">
        <f>'TE BE'!$T$9*'TE BE'!$T$52</f>
        <v>2.965010816724126</v>
      </c>
      <c r="U9" s="20">
        <f>'TE BE'!$U$9*'TE BE'!$U$52</f>
        <v>0.10820634412132075</v>
      </c>
      <c r="V9" s="20">
        <f>'TE BE'!$V$9*'TE BE'!$V$52</f>
        <v>0</v>
      </c>
      <c r="W9" s="20">
        <f>SUM($T$9:$V$9)</f>
        <v>3.0732171608454468</v>
      </c>
      <c r="X9" s="20">
        <f>'TE BE'!$AB$9*'TE BE'!$X$52</f>
        <v>0</v>
      </c>
      <c r="Y9" s="20">
        <f>SUM($X$9:$X$9)</f>
        <v>0</v>
      </c>
      <c r="Z9" s="20">
        <f>'TE BE'!$Z$9*'TE BE'!$Z$52</f>
        <v>-0.49395719015468809</v>
      </c>
      <c r="AA9" s="20">
        <f>SUM($Z$9:$Z$9)</f>
        <v>-0.49395719015468809</v>
      </c>
      <c r="AB9" s="20">
        <f t="shared" ca="1" si="0"/>
        <v>-27.249154019217102</v>
      </c>
      <c r="AD9" s="9">
        <v>1</v>
      </c>
      <c r="AE9" s="9">
        <f ca="1">TarifaMedia!$E$38</f>
        <v>1</v>
      </c>
      <c r="AF9" s="15">
        <f>'TE BE'!AB9+'TE BF'!AB9+'TE CVA'!AB9</f>
        <v>259.03677522481752</v>
      </c>
      <c r="AG9" s="15">
        <f t="shared" ref="AG9:AG10" si="4">AG6</f>
        <v>247.2</v>
      </c>
      <c r="AH9" s="15">
        <f t="shared" ca="1" si="1"/>
        <v>-11.836775224817529</v>
      </c>
      <c r="AI9" s="107">
        <f t="shared" ca="1" si="2"/>
        <v>604106.71467680833</v>
      </c>
      <c r="AK9" s="106">
        <f ca="1">'TE BE'!AB9+'TE BF_350'!AB9+'TE CVA'!AB9</f>
        <v>247.20000000000002</v>
      </c>
      <c r="AL9" s="9" t="b">
        <f t="shared" ca="1" si="3"/>
        <v>1</v>
      </c>
    </row>
    <row r="10" spans="1:38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f>'TE BE'!$L$10*'TE BE'!$L$52</f>
        <v>1.1270770659303425E-7</v>
      </c>
      <c r="M10" s="20">
        <f>'TE BE'!$M$10*'TE BE'!$M$52</f>
        <v>-4.8034487050752235</v>
      </c>
      <c r="N10" s="20">
        <f>'TE BE'!$N$10*'TE BE'!$N$52</f>
        <v>0</v>
      </c>
      <c r="O10" s="20">
        <f>'TE BE'!$O$10*'TE BE'!$O$52</f>
        <v>1.5093523043021293</v>
      </c>
      <c r="P10" s="20">
        <f>'TE BE'!$P$10*'TE BE'!$P$52</f>
        <v>0</v>
      </c>
      <c r="Q10" s="20">
        <f>SUM($L$10:$P$10)</f>
        <v>-3.2940962880653881</v>
      </c>
      <c r="R10" s="20">
        <f>'TE BE'!$R$10*'TE BE'!$R$52</f>
        <v>-15.579395025646436</v>
      </c>
      <c r="S10" s="20">
        <f>SUM($R$10:$R$10)</f>
        <v>-15.579395025646436</v>
      </c>
      <c r="T10" s="20">
        <f>'TE BE'!$T$10*'TE BE'!$T$52</f>
        <v>2.965010816724126</v>
      </c>
      <c r="U10" s="20">
        <f>'TE BE'!$U$10*'TE BE'!$U$52</f>
        <v>0.10820634412132075</v>
      </c>
      <c r="V10" s="20">
        <f>'TE BE'!$V$10*'TE BE'!$V$52</f>
        <v>0</v>
      </c>
      <c r="W10" s="20">
        <f>SUM($T$10:$V$10)</f>
        <v>3.0732171608454468</v>
      </c>
      <c r="X10" s="20">
        <f>'TE BE'!$AB$10*'TE BE'!$X$52</f>
        <v>0</v>
      </c>
      <c r="Y10" s="20">
        <f>SUM($X$10:$X$10)</f>
        <v>0</v>
      </c>
      <c r="Z10" s="20">
        <f>'TE BE'!$Z$10*'TE BE'!$Z$52</f>
        <v>-0.49395719015468809</v>
      </c>
      <c r="AA10" s="20">
        <f>SUM($Z$10:$Z$10)</f>
        <v>-0.49395719015468809</v>
      </c>
      <c r="AB10" s="20">
        <f t="shared" ca="1" si="0"/>
        <v>-288.33248284122192</v>
      </c>
      <c r="AD10" s="9">
        <v>1</v>
      </c>
      <c r="AE10" s="9">
        <f ca="1">TarifaMedia!$E$38</f>
        <v>1</v>
      </c>
      <c r="AF10" s="15">
        <f>'TE BE'!AB10+'TE BF'!AB10+'TE CVA'!AB10</f>
        <v>272.03825149820085</v>
      </c>
      <c r="AG10" s="15">
        <f t="shared" si="4"/>
        <v>0</v>
      </c>
      <c r="AH10" s="15">
        <f t="shared" ca="1" si="1"/>
        <v>-272.03825149820085</v>
      </c>
      <c r="AI10" s="107">
        <f t="shared" ca="1" si="2"/>
        <v>0</v>
      </c>
      <c r="AK10" s="106">
        <f ca="1">'TE BE'!AB10+'TE BF_350'!AB10+'TE CVA'!AB10</f>
        <v>0</v>
      </c>
      <c r="AL10" s="9" t="b">
        <f t="shared" ca="1" si="3"/>
        <v>1</v>
      </c>
    </row>
    <row r="11" spans="1:38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f>'TE BE'!$L$11*'TE BE'!$L$52</f>
        <v>1.1270770659303425E-7</v>
      </c>
      <c r="M11" s="20">
        <f>'TE BE'!$M$11*'TE BE'!$M$52</f>
        <v>-4.8034487050752235</v>
      </c>
      <c r="N11" s="20">
        <f>'TE BE'!$N$11*'TE BE'!$N$52</f>
        <v>0</v>
      </c>
      <c r="O11" s="20">
        <f>'TE BE'!$O$11*'TE BE'!$O$52</f>
        <v>1.5093523043021293</v>
      </c>
      <c r="P11" s="20">
        <f>'TE BE'!$P$11*'TE BE'!$P$52</f>
        <v>0</v>
      </c>
      <c r="Q11" s="20">
        <f>SUM($L$11:$P$11)</f>
        <v>-3.2940962880653881</v>
      </c>
      <c r="R11" s="20">
        <f>'TE BE'!$R$11*'TE BE'!$R$52</f>
        <v>-25.279773060482892</v>
      </c>
      <c r="S11" s="20">
        <f>SUM($R$11:$R$11)</f>
        <v>-25.279773060482892</v>
      </c>
      <c r="T11" s="20">
        <f>'TE BE'!$T$11*'TE BE'!$T$52</f>
        <v>2.965010816724126</v>
      </c>
      <c r="U11" s="20">
        <f>'TE BE'!$U$11*'TE BE'!$U$52</f>
        <v>0.10820634412132075</v>
      </c>
      <c r="V11" s="20">
        <f>'TE BE'!$V$11*'TE BE'!$V$52</f>
        <v>0</v>
      </c>
      <c r="W11" s="20">
        <f>SUM($T$11:$V$11)</f>
        <v>3.0732171608454468</v>
      </c>
      <c r="X11" s="20">
        <f>'TE BE'!$AB$11*'TE BE'!$X$52</f>
        <v>0</v>
      </c>
      <c r="Y11" s="20">
        <f>SUM($X$11:$X$11)</f>
        <v>0</v>
      </c>
      <c r="Z11" s="20">
        <f>'TE BE'!$Z$11*'TE BE'!$Z$52</f>
        <v>-0.49395719015468809</v>
      </c>
      <c r="AA11" s="20">
        <f>SUM($Z$11:$Z$11)</f>
        <v>-0.49395719015468809</v>
      </c>
      <c r="AB11" s="20">
        <f t="shared" ca="1" si="0"/>
        <v>-52.969099883274531</v>
      </c>
      <c r="AD11" s="9">
        <v>1</v>
      </c>
      <c r="AE11" s="9">
        <f ca="1">TarifaMedia!$E$39</f>
        <v>1</v>
      </c>
      <c r="AF11" s="15">
        <f>'TE BE'!AB11+'TE BF'!AB11+'TE CVA'!AB11</f>
        <v>415.05449050541699</v>
      </c>
      <c r="AG11" s="15">
        <f>'TABELAS REH COPEL'!S5</f>
        <v>388.08</v>
      </c>
      <c r="AH11" s="15">
        <f t="shared" ca="1" si="1"/>
        <v>-26.974490505417009</v>
      </c>
      <c r="AI11" s="107">
        <f t="shared" ca="1" si="2"/>
        <v>59.856394431520336</v>
      </c>
      <c r="AK11" s="106">
        <f ca="1">'TE BE'!AB11+'TE BF_350'!AB11+'TE CVA'!AB11</f>
        <v>388.08000000000004</v>
      </c>
      <c r="AL11" s="9" t="b">
        <f t="shared" ca="1" si="3"/>
        <v>1</v>
      </c>
    </row>
    <row r="12" spans="1:38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f>'TE BE'!$L$12*'TE BE'!$L$52</f>
        <v>1.1270770659303425E-7</v>
      </c>
      <c r="M12" s="20">
        <f>'TE BE'!$M$12*'TE BE'!$M$52</f>
        <v>-4.8034487050752235</v>
      </c>
      <c r="N12" s="20">
        <f>'TE BE'!$N$12*'TE BE'!$N$52</f>
        <v>0</v>
      </c>
      <c r="O12" s="20">
        <f>'TE BE'!$O$12*'TE BE'!$O$52</f>
        <v>1.5093523043021293</v>
      </c>
      <c r="P12" s="20">
        <f>'TE BE'!$P$12*'TE BE'!$P$52</f>
        <v>0</v>
      </c>
      <c r="Q12" s="20">
        <f>SUM($L$12:$P$12)</f>
        <v>-3.2940962880653881</v>
      </c>
      <c r="R12" s="20">
        <f>'TE BE'!$R$12*'TE BE'!$R$52</f>
        <v>-14.697542477024939</v>
      </c>
      <c r="S12" s="20">
        <f>SUM($R$12:$R$12)</f>
        <v>-14.697542477024939</v>
      </c>
      <c r="T12" s="20">
        <f>'TE BE'!$T$12*'TE BE'!$T$52</f>
        <v>2.965010816724126</v>
      </c>
      <c r="U12" s="20">
        <f>'TE BE'!$U$12*'TE BE'!$U$52</f>
        <v>0.10820634412132075</v>
      </c>
      <c r="V12" s="20">
        <f>'TE BE'!$V$12*'TE BE'!$V$52</f>
        <v>0</v>
      </c>
      <c r="W12" s="20">
        <f>SUM($T$12:$V$12)</f>
        <v>3.0732171608454468</v>
      </c>
      <c r="X12" s="20">
        <f>'TE BE'!$AB$12*'TE BE'!$X$52</f>
        <v>0</v>
      </c>
      <c r="Y12" s="20">
        <f>SUM($X$12:$X$12)</f>
        <v>0</v>
      </c>
      <c r="Z12" s="20">
        <f>'TE BE'!$Z$12*'TE BE'!$Z$52</f>
        <v>-0.49395719015468809</v>
      </c>
      <c r="AA12" s="20">
        <f>SUM($Z$12:$Z$12)</f>
        <v>-0.49395719015468809</v>
      </c>
      <c r="AB12" s="20">
        <f t="shared" ca="1" si="0"/>
        <v>-27.249154019217102</v>
      </c>
      <c r="AD12" s="9">
        <v>1</v>
      </c>
      <c r="AE12" s="9">
        <f ca="1">TarifaMedia!$E$39</f>
        <v>1</v>
      </c>
      <c r="AF12" s="15">
        <f>'TE BE'!AB12+'TE BF'!AB12+'TE CVA'!AB12</f>
        <v>259.03677522481752</v>
      </c>
      <c r="AG12" s="15">
        <f>'TABELAS REH COPEL'!S6</f>
        <v>247.2</v>
      </c>
      <c r="AH12" s="15">
        <f t="shared" ca="1" si="1"/>
        <v>-11.836775224817529</v>
      </c>
      <c r="AI12" s="107">
        <f t="shared" ca="1" si="2"/>
        <v>31.675210501611716</v>
      </c>
      <c r="AK12" s="106">
        <f ca="1">'TE BE'!AB12+'TE BF_350'!AB12+'TE CVA'!AB12</f>
        <v>247.20000000000002</v>
      </c>
      <c r="AL12" s="9" t="b">
        <f t="shared" ca="1" si="3"/>
        <v>1</v>
      </c>
    </row>
    <row r="13" spans="1:38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f>'TE BE'!$L$13*'TE BE'!$L$52</f>
        <v>1.1270770659303425E-7</v>
      </c>
      <c r="M13" s="20">
        <f>'TE BE'!$M$13*'TE BE'!$M$52</f>
        <v>-4.8034487050752235</v>
      </c>
      <c r="N13" s="20">
        <f>'TE BE'!$N$13*'TE BE'!$N$52</f>
        <v>0</v>
      </c>
      <c r="O13" s="20">
        <f>'TE BE'!$O$13*'TE BE'!$O$52</f>
        <v>1.5093523043021293</v>
      </c>
      <c r="P13" s="20">
        <f>'TE BE'!$P$13*'TE BE'!$P$52</f>
        <v>0</v>
      </c>
      <c r="Q13" s="20">
        <f>SUM($L$13:$P$13)</f>
        <v>-3.2940962880653881</v>
      </c>
      <c r="R13" s="20">
        <f>'TE BE'!$R$13*'TE BE'!$R$52</f>
        <v>-14.697542477024939</v>
      </c>
      <c r="S13" s="20">
        <f>SUM($R$13:$R$13)</f>
        <v>-14.697542477024939</v>
      </c>
      <c r="T13" s="20">
        <f>'TE BE'!$T$13*'TE BE'!$T$52</f>
        <v>2.965010816724126</v>
      </c>
      <c r="U13" s="20">
        <f>'TE BE'!$U$13*'TE BE'!$U$52</f>
        <v>0.10820634412132075</v>
      </c>
      <c r="V13" s="20">
        <f>'TE BE'!$V$13*'TE BE'!$V$52</f>
        <v>0</v>
      </c>
      <c r="W13" s="20">
        <f>SUM($T$13:$V$13)</f>
        <v>3.0732171608454468</v>
      </c>
      <c r="X13" s="20">
        <f>'TE BE'!$AB$13*'TE BE'!$X$52</f>
        <v>0</v>
      </c>
      <c r="Y13" s="20">
        <f>SUM($X$13:$X$13)</f>
        <v>0</v>
      </c>
      <c r="Z13" s="20">
        <f>'TE BE'!$Z$13*'TE BE'!$Z$52</f>
        <v>-0.49395719015468809</v>
      </c>
      <c r="AA13" s="20">
        <f>SUM($Z$13:$Z$13)</f>
        <v>-0.49395719015468809</v>
      </c>
      <c r="AB13" s="20">
        <f t="shared" ca="1" si="0"/>
        <v>-27.249154019217102</v>
      </c>
      <c r="AD13" s="9">
        <v>1</v>
      </c>
      <c r="AE13" s="9">
        <f ca="1">TarifaMedia!$E$39</f>
        <v>1</v>
      </c>
      <c r="AF13" s="15">
        <f>'TE BE'!AB13+'TE BF'!AB13+'TE CVA'!AB13</f>
        <v>259.03677522481752</v>
      </c>
      <c r="AG13" s="15">
        <f>'TABELAS REH COPEL'!S7</f>
        <v>247.2</v>
      </c>
      <c r="AH13" s="15">
        <f t="shared" ca="1" si="1"/>
        <v>-11.836775224817529</v>
      </c>
      <c r="AI13" s="107">
        <f t="shared" ca="1" si="2"/>
        <v>284.05893184517106</v>
      </c>
      <c r="AK13" s="106">
        <f ca="1">'TE BE'!AB13+'TE BF_350'!AB13+'TE CVA'!AB13</f>
        <v>247.20000000000002</v>
      </c>
      <c r="AL13" s="9" t="b">
        <f t="shared" ca="1" si="3"/>
        <v>1</v>
      </c>
    </row>
    <row r="14" spans="1:38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f>'TE BE'!$L$14*'TE BE'!$L$52</f>
        <v>1.1270770659303425E-7</v>
      </c>
      <c r="M14" s="20">
        <f>'TE BE'!$M$14*'TE BE'!$M$52</f>
        <v>-4.8034487050752235</v>
      </c>
      <c r="N14" s="20">
        <f>'TE BE'!$N$14*'TE BE'!$N$52</f>
        <v>0</v>
      </c>
      <c r="O14" s="20">
        <f>'TE BE'!$O$14*'TE BE'!$O$52</f>
        <v>1.5093523043021293</v>
      </c>
      <c r="P14" s="20">
        <f>'TE BE'!$P$14*'TE BE'!$P$52</f>
        <v>0</v>
      </c>
      <c r="Q14" s="20">
        <f>SUM($L$14:$P$14)</f>
        <v>-3.2940962880653881</v>
      </c>
      <c r="R14" s="20">
        <f>'TE BE'!$R$14*'TE BE'!$R$52</f>
        <v>-15.579395025646436</v>
      </c>
      <c r="S14" s="20">
        <f>SUM($R$14:$R$14)</f>
        <v>-15.579395025646436</v>
      </c>
      <c r="T14" s="20">
        <f>'TE BE'!$T$14*'TE BE'!$T$52</f>
        <v>2.965010816724126</v>
      </c>
      <c r="U14" s="20">
        <f>'TE BE'!$U$14*'TE BE'!$U$52</f>
        <v>0.10820634412132075</v>
      </c>
      <c r="V14" s="20">
        <f>'TE BE'!$V$14*'TE BE'!$V$52</f>
        <v>0</v>
      </c>
      <c r="W14" s="20">
        <f>SUM($T$14:$V$14)</f>
        <v>3.0732171608454468</v>
      </c>
      <c r="X14" s="20">
        <f>'TE BE'!$AB$14*'TE BE'!$X$52</f>
        <v>0</v>
      </c>
      <c r="Y14" s="20">
        <f>SUM($X$14:$X$14)</f>
        <v>0</v>
      </c>
      <c r="Z14" s="20">
        <f>'TE BE'!$Z$14*'TE BE'!$Z$52</f>
        <v>-0.49395719015468809</v>
      </c>
      <c r="AA14" s="20">
        <f>SUM($Z$14:$Z$14)</f>
        <v>-0.49395719015468809</v>
      </c>
      <c r="AB14" s="20">
        <f t="shared" ca="1" si="0"/>
        <v>-29.392482841221916</v>
      </c>
      <c r="AD14" s="9">
        <v>1</v>
      </c>
      <c r="AE14" s="9">
        <f ca="1">TarifaMedia!$E$39</f>
        <v>1</v>
      </c>
      <c r="AF14" s="15">
        <f>'TE BE'!AB14+'TE BF'!AB14+'TE CVA'!AB14</f>
        <v>272.03825149820085</v>
      </c>
      <c r="AG14" s="15">
        <f>'TABELAS REH COPEL'!S8</f>
        <v>258.94</v>
      </c>
      <c r="AH14" s="15">
        <f t="shared" ca="1" si="1"/>
        <v>-13.098251498200852</v>
      </c>
      <c r="AI14" s="107">
        <f t="shared" ca="1" si="2"/>
        <v>1103820.1333846222</v>
      </c>
      <c r="AK14" s="106">
        <f ca="1">'TE BE'!AB14+'TE BF_350'!AB14+'TE CVA'!AB14</f>
        <v>258.94</v>
      </c>
      <c r="AL14" s="9" t="b">
        <f t="shared" ca="1" si="3"/>
        <v>1</v>
      </c>
    </row>
    <row r="15" spans="1:38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'TE BE'!$L$15*'TE BE'!$L$52</f>
        <v>1.1270770659303425E-7</v>
      </c>
      <c r="M15" s="20">
        <f>'TE BE'!$M$15*'TE BE'!$M$52</f>
        <v>-4.8034487050752235</v>
      </c>
      <c r="N15" s="20">
        <f>'TE BE'!$N$15*'TE BE'!$N$52</f>
        <v>0</v>
      </c>
      <c r="O15" s="20">
        <f>'TE BE'!$O$15*'TE BE'!$O$52</f>
        <v>1.5093523043021293</v>
      </c>
      <c r="P15" s="20">
        <f>'TE BE'!$P$15*'TE BE'!$P$52</f>
        <v>0</v>
      </c>
      <c r="Q15" s="20">
        <f>SUM($L$15:$P$15)</f>
        <v>-3.2940962880653881</v>
      </c>
      <c r="R15" s="20">
        <f>'TE BE'!$R$15*'TE BE'!$R$52</f>
        <v>-15.579395025646436</v>
      </c>
      <c r="S15" s="20">
        <f>SUM($R$15:$R$15)</f>
        <v>-15.579395025646436</v>
      </c>
      <c r="T15" s="20">
        <f>'TE BE'!$T$15*'TE BE'!$T$52</f>
        <v>2.965010816724126</v>
      </c>
      <c r="U15" s="20">
        <f>'TE BE'!$U$15*'TE BE'!$U$52</f>
        <v>0.10820634412132075</v>
      </c>
      <c r="V15" s="20">
        <f>'TE BE'!$V$15*'TE BE'!$V$52</f>
        <v>0</v>
      </c>
      <c r="W15" s="20">
        <f>SUM($T$15:$V$15)</f>
        <v>3.0732171608454468</v>
      </c>
      <c r="X15" s="20">
        <f>'TE BE'!$AB$15*'TE BE'!$X$52</f>
        <v>0</v>
      </c>
      <c r="Y15" s="20">
        <f>SUM($X$15:$X$15)</f>
        <v>0</v>
      </c>
      <c r="Z15" s="20">
        <f>'TE BE'!$Z$15*'TE BE'!$Z$52</f>
        <v>-0.49395719015468809</v>
      </c>
      <c r="AA15" s="20">
        <f>SUM($Z$15:$Z$15)</f>
        <v>-0.49395719015468809</v>
      </c>
      <c r="AB15" s="20">
        <f t="shared" ca="1" si="0"/>
        <v>-29.392482841221916</v>
      </c>
      <c r="AD15" s="9">
        <v>1</v>
      </c>
      <c r="AE15" s="9">
        <f ca="1">TarifaMedia!$E$39</f>
        <v>1</v>
      </c>
      <c r="AF15" s="15">
        <f>'TE BE'!AB15+'TE BF'!AB15+'TE CVA'!AB15</f>
        <v>272.03825149820085</v>
      </c>
      <c r="AG15" s="15">
        <f>'TABELAS REH COPEL'!$S$9</f>
        <v>258.94</v>
      </c>
      <c r="AH15" s="15">
        <f t="shared" ca="1" si="1"/>
        <v>-13.098251498200852</v>
      </c>
      <c r="AI15" s="107">
        <f t="shared" ca="1" si="2"/>
        <v>22730.050737402849</v>
      </c>
      <c r="AK15" s="106">
        <f ca="1">'TE BE'!AB15+'TE BF_350'!AB15+'TE CVA'!AB15</f>
        <v>258.94</v>
      </c>
      <c r="AL15" s="9" t="b">
        <f t="shared" ca="1" si="3"/>
        <v>1</v>
      </c>
    </row>
    <row r="16" spans="1:38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'TE BE'!$L$16*'TE BE'!$L$52</f>
        <v>1.1270770659303425E-7</v>
      </c>
      <c r="M16" s="20">
        <f>'TE BE'!$M$16*'TE BE'!$M$52</f>
        <v>-4.8034487050752235</v>
      </c>
      <c r="N16" s="20">
        <f>'TE BE'!$N$16*'TE BE'!$N$52</f>
        <v>0</v>
      </c>
      <c r="O16" s="20">
        <f>'TE BE'!$O$16*'TE BE'!$O$52</f>
        <v>1.5093523043021293</v>
      </c>
      <c r="P16" s="20">
        <f>'TE BE'!$P$16*'TE BE'!$P$52</f>
        <v>0</v>
      </c>
      <c r="Q16" s="20">
        <f>SUM($L$16:$P$16)</f>
        <v>-3.2940962880653881</v>
      </c>
      <c r="R16" s="20">
        <f>'TE BE'!$R$16*'TE BE'!$R$52</f>
        <v>-15.579395025646436</v>
      </c>
      <c r="S16" s="20">
        <f>SUM($R$16:$R$16)</f>
        <v>-15.579395025646436</v>
      </c>
      <c r="T16" s="20">
        <f>'TE BE'!$T$16*'TE BE'!$T$52</f>
        <v>2.965010816724126</v>
      </c>
      <c r="U16" s="20">
        <f>'TE BE'!$U$16*'TE BE'!$U$52</f>
        <v>0.10820634412132075</v>
      </c>
      <c r="V16" s="20">
        <f>'TE BE'!$V$16*'TE BE'!$V$52</f>
        <v>0</v>
      </c>
      <c r="W16" s="20">
        <f>SUM($T$16:$V$16)</f>
        <v>3.0732171608454468</v>
      </c>
      <c r="X16" s="20">
        <f>'TE BE'!$AB$16*'TE BE'!$X$52</f>
        <v>0</v>
      </c>
      <c r="Y16" s="20">
        <f>SUM($X$16:$X$16)</f>
        <v>0</v>
      </c>
      <c r="Z16" s="20">
        <f>'TE BE'!$Z$16*'TE BE'!$Z$52</f>
        <v>-0.49395719015468809</v>
      </c>
      <c r="AA16" s="20">
        <f>SUM($Z$16:$Z$16)</f>
        <v>-0.49395719015468809</v>
      </c>
      <c r="AB16" s="20">
        <f t="shared" ca="1" si="0"/>
        <v>-29.392482841221916</v>
      </c>
      <c r="AD16" s="9">
        <v>1</v>
      </c>
      <c r="AE16" s="9">
        <f ca="1">TarifaMedia!$E$39</f>
        <v>1</v>
      </c>
      <c r="AF16" s="15">
        <f>'TE BE'!AB16+'TE BF'!AB16+'TE CVA'!AB16</f>
        <v>272.03825149820085</v>
      </c>
      <c r="AG16" s="15">
        <f>'TABELAS REH COPEL'!$S$9</f>
        <v>258.94</v>
      </c>
      <c r="AH16" s="15">
        <f t="shared" ca="1" si="1"/>
        <v>-13.098251498200852</v>
      </c>
      <c r="AI16" s="107">
        <f t="shared" ca="1" si="2"/>
        <v>43312.210899376245</v>
      </c>
      <c r="AK16" s="106">
        <f ca="1">'TE BE'!AB16+'TE BF_350'!AB16+'TE CVA'!AB16</f>
        <v>258.94</v>
      </c>
      <c r="AL16" s="9" t="b">
        <f t="shared" ca="1" si="3"/>
        <v>1</v>
      </c>
    </row>
    <row r="17" spans="1:38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'TE BE'!$L$17*'TE BE'!$L$52</f>
        <v>1.1270770659303425E-7</v>
      </c>
      <c r="M17" s="20">
        <f>'TE BE'!$M$17*'TE BE'!$M$52</f>
        <v>-4.8034487050752235</v>
      </c>
      <c r="N17" s="20">
        <f>'TE BE'!$N$17*'TE BE'!$N$52</f>
        <v>0</v>
      </c>
      <c r="O17" s="20">
        <f>'TE BE'!$O$17*'TE BE'!$O$52</f>
        <v>1.5093523043021293</v>
      </c>
      <c r="P17" s="20">
        <f>'TE BE'!$P$17*'TE BE'!$P$52</f>
        <v>0</v>
      </c>
      <c r="Q17" s="20">
        <f>SUM($L$17:$P$17)</f>
        <v>-3.2940962880653881</v>
      </c>
      <c r="R17" s="20">
        <f>'TE BE'!$R$17*'TE BE'!$R$52</f>
        <v>-15.579395025646436</v>
      </c>
      <c r="S17" s="20">
        <f>SUM($R$17:$R$17)</f>
        <v>-15.579395025646436</v>
      </c>
      <c r="T17" s="20">
        <f>'TE BE'!$T$17*'TE BE'!$T$52</f>
        <v>2.965010816724126</v>
      </c>
      <c r="U17" s="20">
        <f>'TE BE'!$U$17*'TE BE'!$U$52</f>
        <v>0.10820634412132075</v>
      </c>
      <c r="V17" s="20">
        <f>'TE BE'!$V$17*'TE BE'!$V$52</f>
        <v>0</v>
      </c>
      <c r="W17" s="20">
        <f>SUM($T$17:$V$17)</f>
        <v>3.0732171608454468</v>
      </c>
      <c r="X17" s="20">
        <f>'TE BE'!$AB$17*'TE BE'!$X$52</f>
        <v>0</v>
      </c>
      <c r="Y17" s="20">
        <f>SUM($X$17:$X$17)</f>
        <v>0</v>
      </c>
      <c r="Z17" s="20">
        <f>'TE BE'!$Z$17*'TE BE'!$Z$52</f>
        <v>-0.49395719015468809</v>
      </c>
      <c r="AA17" s="20">
        <f>SUM($Z$17:$Z$17)</f>
        <v>-0.49395719015468809</v>
      </c>
      <c r="AB17" s="20">
        <f t="shared" ca="1" si="0"/>
        <v>-29.392482841221916</v>
      </c>
      <c r="AD17" s="9">
        <v>1</v>
      </c>
      <c r="AE17" s="9">
        <f ca="1">TarifaMedia!$E$39</f>
        <v>1</v>
      </c>
      <c r="AF17" s="15">
        <f>'TE BE'!AB17+'TE BF'!AB17+'TE CVA'!AB17</f>
        <v>272.03825149820085</v>
      </c>
      <c r="AG17" s="15">
        <f>'TABELAS REH COPEL'!$S$9</f>
        <v>258.94</v>
      </c>
      <c r="AH17" s="15">
        <f t="shared" ca="1" si="1"/>
        <v>-13.098251498200852</v>
      </c>
      <c r="AI17" s="107">
        <f t="shared" ca="1" si="2"/>
        <v>27307.457393724602</v>
      </c>
      <c r="AK17" s="106">
        <f ca="1">'TE BE'!AB17+'TE BF_350'!AB17+'TE CVA'!AB17</f>
        <v>258.94</v>
      </c>
      <c r="AL17" s="9" t="b">
        <f t="shared" ca="1" si="3"/>
        <v>1</v>
      </c>
    </row>
    <row r="18" spans="1:38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'TE BE'!$L$18*'TE BE'!$L$52</f>
        <v>1.1270770659303425E-7</v>
      </c>
      <c r="M18" s="20">
        <f>'TE BE'!$M$18*'TE BE'!$M$52</f>
        <v>-4.8034487050752235</v>
      </c>
      <c r="N18" s="20">
        <f>'TE BE'!$N$18*'TE BE'!$N$52</f>
        <v>0</v>
      </c>
      <c r="O18" s="20">
        <f>'TE BE'!$O$18*'TE BE'!$O$52</f>
        <v>1.5093523043021293</v>
      </c>
      <c r="P18" s="20">
        <f>'TE BE'!$P$18*'TE BE'!$P$52</f>
        <v>0</v>
      </c>
      <c r="Q18" s="20">
        <f>SUM($L$18:$P$18)</f>
        <v>-3.2940962880653881</v>
      </c>
      <c r="R18" s="20">
        <f>'TE BE'!$R$18*'TE BE'!$R$52</f>
        <v>-15.579395025646436</v>
      </c>
      <c r="S18" s="20">
        <f>SUM($R$18:$R$18)</f>
        <v>-15.579395025646436</v>
      </c>
      <c r="T18" s="20">
        <f>'TE BE'!$T$18*'TE BE'!$T$52</f>
        <v>2.965010816724126</v>
      </c>
      <c r="U18" s="20">
        <f>'TE BE'!$U$18*'TE BE'!$U$52</f>
        <v>0.10820634412132075</v>
      </c>
      <c r="V18" s="20">
        <f>'TE BE'!$V$18*'TE BE'!$V$52</f>
        <v>0</v>
      </c>
      <c r="W18" s="20">
        <f>SUM($T$18:$V$18)</f>
        <v>3.0732171608454468</v>
      </c>
      <c r="X18" s="20">
        <f>'TE BE'!$AB$18*'TE BE'!$X$52</f>
        <v>0</v>
      </c>
      <c r="Y18" s="20">
        <f>SUM($X$18:$X$18)</f>
        <v>0</v>
      </c>
      <c r="Z18" s="20">
        <f>'TE BE'!$Z$18*'TE BE'!$Z$52</f>
        <v>-0.49395719015468809</v>
      </c>
      <c r="AA18" s="20">
        <f>SUM($Z$18:$Z$18)</f>
        <v>-0.49395719015468809</v>
      </c>
      <c r="AB18" s="20">
        <f t="shared" ca="1" si="0"/>
        <v>-29.392482841221916</v>
      </c>
      <c r="AD18" s="9">
        <v>1</v>
      </c>
      <c r="AE18" s="9">
        <f ca="1">TarifaMedia!$E$39</f>
        <v>1</v>
      </c>
      <c r="AF18" s="15">
        <f>'TE BE'!AB18+'TE BF'!AB18+'TE CVA'!AB18</f>
        <v>272.03825149820085</v>
      </c>
      <c r="AG18" s="15">
        <f>'TABELAS REH COPEL'!$S$9</f>
        <v>258.94</v>
      </c>
      <c r="AH18" s="15">
        <f t="shared" ca="1" si="1"/>
        <v>-13.098251498200852</v>
      </c>
      <c r="AI18" s="107">
        <f t="shared" ca="1" si="2"/>
        <v>5399.2826430793666</v>
      </c>
      <c r="AK18" s="106">
        <f ca="1">'TE BE'!AB18+'TE BF_350'!AB18+'TE CVA'!AB18</f>
        <v>258.94</v>
      </c>
      <c r="AL18" s="9" t="b">
        <f t="shared" ca="1" si="3"/>
        <v>1</v>
      </c>
    </row>
    <row r="19" spans="1:38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f>'TE BE'!$L$19*'TE BE'!$L$52</f>
        <v>1.1270770659303425E-7</v>
      </c>
      <c r="M19" s="20">
        <f>'TE BE'!$M$19*'TE BE'!$M$52</f>
        <v>-4.8034487050752235</v>
      </c>
      <c r="N19" s="20">
        <f>'TE BE'!$N$19*'TE BE'!$N$52</f>
        <v>0</v>
      </c>
      <c r="O19" s="20">
        <f>'TE BE'!$O$19*'TE BE'!$O$52</f>
        <v>1.5093523043021293</v>
      </c>
      <c r="P19" s="20">
        <f>'TE BE'!$P$19*'TE BE'!$P$52</f>
        <v>0</v>
      </c>
      <c r="Q19" s="20">
        <f>SUM($L$19:$P$19)</f>
        <v>-3.2940962880653881</v>
      </c>
      <c r="R19" s="20">
        <f>'TE BE'!$R$19*'TE BE'!$R$52</f>
        <v>-15.579395025646436</v>
      </c>
      <c r="S19" s="20">
        <f>SUM($R$19:$R$19)</f>
        <v>-15.579395025646436</v>
      </c>
      <c r="T19" s="20">
        <f>'TE BE'!$T$19*'TE BE'!$T$52</f>
        <v>2.965010816724126</v>
      </c>
      <c r="U19" s="20">
        <f>'TE BE'!$U$19*'TE BE'!$U$52</f>
        <v>0.10820634412132075</v>
      </c>
      <c r="V19" s="20">
        <f>'TE BE'!$V$19*'TE BE'!$V$52</f>
        <v>0</v>
      </c>
      <c r="W19" s="20">
        <f>SUM($T$19:$V$19)</f>
        <v>3.0732171608454468</v>
      </c>
      <c r="X19" s="20">
        <f>'TE BE'!$AB$19*'TE BE'!$X$52</f>
        <v>0</v>
      </c>
      <c r="Y19" s="20">
        <f>SUM($X$19:$X$19)</f>
        <v>0</v>
      </c>
      <c r="Z19" s="20">
        <f>'TE BE'!$Z$19*'TE BE'!$Z$52</f>
        <v>-0.49395719015468809</v>
      </c>
      <c r="AA19" s="20">
        <f>SUM($Z$19:$Z$19)</f>
        <v>-0.49395719015468809</v>
      </c>
      <c r="AB19" s="20">
        <f t="shared" ca="1" si="0"/>
        <v>-29.392482841221916</v>
      </c>
      <c r="AD19" s="9">
        <v>1</v>
      </c>
      <c r="AE19" s="9">
        <f ca="1">TarifaMedia!$E$39</f>
        <v>1</v>
      </c>
      <c r="AF19" s="15">
        <f>'TE BE'!AB19+'TE BF'!AB19+'TE CVA'!AB19</f>
        <v>272.03825149820085</v>
      </c>
      <c r="AG19" s="15">
        <f>'TABELAS REH COPEL'!$S$9</f>
        <v>258.94</v>
      </c>
      <c r="AH19" s="15">
        <f t="shared" ca="1" si="1"/>
        <v>-13.098251498200852</v>
      </c>
      <c r="AI19" s="107">
        <f t="shared" ca="1" si="2"/>
        <v>0</v>
      </c>
      <c r="AK19" s="106">
        <f ca="1">'TE BE'!AB19+'TE BF_350'!AB19+'TE CVA'!AB19</f>
        <v>258.94</v>
      </c>
      <c r="AL19" s="9" t="b">
        <f t="shared" ca="1" si="3"/>
        <v>1</v>
      </c>
    </row>
    <row r="20" spans="1:38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'TE BE'!$L$20*'TE BE'!$L$52</f>
        <v>1.1270770659303425E-7</v>
      </c>
      <c r="M20" s="20">
        <f>'TE BE'!$M$20*'TE BE'!$M$52</f>
        <v>-4.8034487050752235</v>
      </c>
      <c r="N20" s="20">
        <f>'TE BE'!$N$20*'TE BE'!$N$52</f>
        <v>0</v>
      </c>
      <c r="O20" s="20">
        <f>'TE BE'!$O$20*'TE BE'!$O$52</f>
        <v>1.5093523043021293</v>
      </c>
      <c r="P20" s="20">
        <f>'TE BE'!$P$20*'TE BE'!$P$52</f>
        <v>0</v>
      </c>
      <c r="Q20" s="20">
        <f>SUM($L$20:$P$20)</f>
        <v>-3.2940962880653881</v>
      </c>
      <c r="R20" s="20">
        <f>'TE BE'!$R$20*'TE BE'!$R$52</f>
        <v>-15.579395025646436</v>
      </c>
      <c r="S20" s="20">
        <f>SUM($R$20:$R$20)</f>
        <v>-15.579395025646436</v>
      </c>
      <c r="T20" s="20">
        <f>'TE BE'!$T$20*'TE BE'!$T$52</f>
        <v>2.965010816724126</v>
      </c>
      <c r="U20" s="20">
        <f>'TE BE'!$U$20*'TE BE'!$U$52</f>
        <v>0.10820634412132075</v>
      </c>
      <c r="V20" s="20">
        <f>'TE BE'!$V$20*'TE BE'!$V$52</f>
        <v>0</v>
      </c>
      <c r="W20" s="20">
        <f>SUM($T$20:$V$20)</f>
        <v>3.0732171608454468</v>
      </c>
      <c r="X20" s="20">
        <f>'TE BE'!$AB$20*'TE BE'!$X$52</f>
        <v>0</v>
      </c>
      <c r="Y20" s="20">
        <f>SUM($X$20:$X$20)</f>
        <v>0</v>
      </c>
      <c r="Z20" s="20">
        <f>'TE BE'!$Z$20*'TE BE'!$Z$52</f>
        <v>-0.49395719015468809</v>
      </c>
      <c r="AA20" s="20">
        <f>SUM($Z$20:$Z$20)</f>
        <v>-0.49395719015468809</v>
      </c>
      <c r="AB20" s="20">
        <f t="shared" ca="1" si="0"/>
        <v>-29.392482841221916</v>
      </c>
      <c r="AD20" s="9">
        <v>1</v>
      </c>
      <c r="AE20" s="9">
        <f ca="1">TarifaMedia!$E$39</f>
        <v>1</v>
      </c>
      <c r="AF20" s="15">
        <f>'TE BE'!AB20+'TE BF'!AB20+'TE CVA'!AB20</f>
        <v>272.03825149820085</v>
      </c>
      <c r="AG20" s="15">
        <f>'TABELAS REH COPEL'!$S$9</f>
        <v>258.94</v>
      </c>
      <c r="AH20" s="15">
        <f t="shared" ca="1" si="1"/>
        <v>-13.098251498200852</v>
      </c>
      <c r="AI20" s="107">
        <f t="shared" ca="1" si="2"/>
        <v>0</v>
      </c>
      <c r="AK20" s="106">
        <f ca="1">'TE BE'!AB20+'TE BF_350'!AB20+'TE CVA'!AB20</f>
        <v>258.94</v>
      </c>
      <c r="AL20" s="9" t="b">
        <f t="shared" ca="1" si="3"/>
        <v>1</v>
      </c>
    </row>
    <row r="21" spans="1:38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'TE BE'!$L$21*'TE BE'!$L$52</f>
        <v>1.1270770659303425E-7</v>
      </c>
      <c r="M21" s="20">
        <f>'TE BE'!$M$21*'TE BE'!$M$52</f>
        <v>-4.8034487050752235</v>
      </c>
      <c r="N21" s="20">
        <f>'TE BE'!$N$21*'TE BE'!$N$52</f>
        <v>0</v>
      </c>
      <c r="O21" s="20">
        <f>'TE BE'!$O$21*'TE BE'!$O$52</f>
        <v>1.5093523043021293</v>
      </c>
      <c r="P21" s="20">
        <f>'TE BE'!$P$21*'TE BE'!$P$52</f>
        <v>0</v>
      </c>
      <c r="Q21" s="20">
        <f>SUM($L$21:$P$21)</f>
        <v>-3.2940962880653881</v>
      </c>
      <c r="R21" s="20">
        <f>'TE BE'!$R$21*'TE BE'!$R$52</f>
        <v>-15.579395025646436</v>
      </c>
      <c r="S21" s="20">
        <f>SUM($R$21:$R$21)</f>
        <v>-15.579395025646436</v>
      </c>
      <c r="T21" s="20">
        <f>'TE BE'!$T$21*'TE BE'!$T$52</f>
        <v>2.965010816724126</v>
      </c>
      <c r="U21" s="20">
        <f>'TE BE'!$U$21*'TE BE'!$U$52</f>
        <v>0.10820634412132075</v>
      </c>
      <c r="V21" s="20">
        <f>'TE BE'!$V$21*'TE BE'!$V$52</f>
        <v>0</v>
      </c>
      <c r="W21" s="20">
        <f>SUM($T$21:$V$21)</f>
        <v>3.0732171608454468</v>
      </c>
      <c r="X21" s="20">
        <f>'TE BE'!$AB$21*'TE BE'!$X$52</f>
        <v>0</v>
      </c>
      <c r="Y21" s="20">
        <f>SUM($X$21:$X$21)</f>
        <v>0</v>
      </c>
      <c r="Z21" s="20">
        <f>'TE BE'!$Z$21*'TE BE'!$Z$52</f>
        <v>-0.49395719015468809</v>
      </c>
      <c r="AA21" s="20">
        <f>SUM($Z$21:$Z$21)</f>
        <v>-0.49395719015468809</v>
      </c>
      <c r="AB21" s="20">
        <f t="shared" ca="1" si="0"/>
        <v>-29.392482841221916</v>
      </c>
      <c r="AD21" s="9">
        <v>1</v>
      </c>
      <c r="AE21" s="9">
        <f ca="1">TarifaMedia!$E$39</f>
        <v>1</v>
      </c>
      <c r="AF21" s="15">
        <f>'TE BE'!AB21+'TE BF'!AB21+'TE CVA'!AB21</f>
        <v>272.03825149820085</v>
      </c>
      <c r="AG21" s="15">
        <f>'TABELAS REH COPEL'!$S$9</f>
        <v>258.94</v>
      </c>
      <c r="AH21" s="15">
        <f t="shared" ca="1" si="1"/>
        <v>-13.098251498200852</v>
      </c>
      <c r="AI21" s="107">
        <f t="shared" ca="1" si="2"/>
        <v>0</v>
      </c>
      <c r="AK21" s="106">
        <f ca="1">'TE BE'!AB21+'TE BF_350'!AB21+'TE CVA'!AB21</f>
        <v>258.94</v>
      </c>
      <c r="AL21" s="9" t="b">
        <f t="shared" ca="1" si="3"/>
        <v>1</v>
      </c>
    </row>
    <row r="22" spans="1:38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'TE BE'!$L$22*'TE BE'!$L$52</f>
        <v>1.1270770659303425E-7</v>
      </c>
      <c r="M22" s="20">
        <f>'TE BE'!$M$22*'TE BE'!$M$52</f>
        <v>-4.8034487050752235</v>
      </c>
      <c r="N22" s="20">
        <f>'TE BE'!$N$22*'TE BE'!$N$52</f>
        <v>0</v>
      </c>
      <c r="O22" s="20">
        <f>'TE BE'!$O$22*'TE BE'!$O$52</f>
        <v>1.5093523043021293</v>
      </c>
      <c r="P22" s="20">
        <f>'TE BE'!$P$22*'TE BE'!$P$52</f>
        <v>0</v>
      </c>
      <c r="Q22" s="20">
        <f>SUM($L$22:$P$22)</f>
        <v>-3.2940962880653881</v>
      </c>
      <c r="R22" s="20">
        <f>'TE BE'!$R$22*'TE BE'!$R$52</f>
        <v>-15.579395025646436</v>
      </c>
      <c r="S22" s="20">
        <f>SUM($R$22:$R$22)</f>
        <v>-15.579395025646436</v>
      </c>
      <c r="T22" s="20">
        <f>'TE BE'!$T$22*'TE BE'!$T$52</f>
        <v>2.965010816724126</v>
      </c>
      <c r="U22" s="20">
        <f>'TE BE'!$U$22*'TE BE'!$U$52</f>
        <v>0.10820634412132075</v>
      </c>
      <c r="V22" s="20">
        <f>'TE BE'!$V$22*'TE BE'!$V$52</f>
        <v>0</v>
      </c>
      <c r="W22" s="20">
        <f>SUM($T$22:$V$22)</f>
        <v>3.0732171608454468</v>
      </c>
      <c r="X22" s="20">
        <f>'TE BE'!$AB$22*'TE BE'!$X$52</f>
        <v>0</v>
      </c>
      <c r="Y22" s="20">
        <f>SUM($X$22:$X$22)</f>
        <v>0</v>
      </c>
      <c r="Z22" s="20">
        <f>'TE BE'!$Z$22*'TE BE'!$Z$52</f>
        <v>-0.49395719015468809</v>
      </c>
      <c r="AA22" s="20">
        <f>SUM($Z$22:$Z$22)</f>
        <v>-0.49395719015468809</v>
      </c>
      <c r="AB22" s="20">
        <f t="shared" ca="1" si="0"/>
        <v>-29.392482841221916</v>
      </c>
      <c r="AD22" s="9">
        <v>1</v>
      </c>
      <c r="AE22" s="9">
        <f ca="1">TarifaMedia!$E$39</f>
        <v>1</v>
      </c>
      <c r="AF22" s="15">
        <f>'TE BE'!AB22+'TE BF'!AB22+'TE CVA'!AB22</f>
        <v>272.03825149820085</v>
      </c>
      <c r="AG22" s="15">
        <f>'TABELAS REH COPEL'!$S$9</f>
        <v>258.94</v>
      </c>
      <c r="AH22" s="15">
        <f t="shared" ca="1" si="1"/>
        <v>-13.098251498200852</v>
      </c>
      <c r="AI22" s="107">
        <f t="shared" ca="1" si="2"/>
        <v>0</v>
      </c>
      <c r="AK22" s="106">
        <f ca="1">'TE BE'!AB22+'TE BF_350'!AB22+'TE CVA'!AB22</f>
        <v>258.94</v>
      </c>
      <c r="AL22" s="9" t="b">
        <f t="shared" ca="1" si="3"/>
        <v>1</v>
      </c>
    </row>
    <row r="23" spans="1:38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'TE BE'!$L$23*'TE BE'!$L$52</f>
        <v>1.1270770659303425E-7</v>
      </c>
      <c r="M23" s="20">
        <f>'TE BE'!$M$23*'TE BE'!$M$52</f>
        <v>-4.8034487050752235</v>
      </c>
      <c r="N23" s="20">
        <f>'TE BE'!$N$23*'TE BE'!$N$52</f>
        <v>0</v>
      </c>
      <c r="O23" s="20">
        <f>'TE BE'!$O$23*'TE BE'!$O$52</f>
        <v>1.5093523043021293</v>
      </c>
      <c r="P23" s="20">
        <f>'TE BE'!$P$23*'TE BE'!$P$52</f>
        <v>0</v>
      </c>
      <c r="Q23" s="20">
        <f>SUM($L$23:$P$23)</f>
        <v>-3.2940962880653881</v>
      </c>
      <c r="R23" s="20">
        <f>'TE BE'!$R$23*'TE BE'!$R$52</f>
        <v>-15.579395025646436</v>
      </c>
      <c r="S23" s="20">
        <f>SUM($R$23:$R$23)</f>
        <v>-15.579395025646436</v>
      </c>
      <c r="T23" s="20">
        <f>'TE BE'!$T$23*'TE BE'!$T$52</f>
        <v>2.965010816724126</v>
      </c>
      <c r="U23" s="20">
        <f>'TE BE'!$U$23*'TE BE'!$U$52</f>
        <v>0.10820634412132075</v>
      </c>
      <c r="V23" s="20">
        <f>'TE BE'!$V$23*'TE BE'!$V$52</f>
        <v>0</v>
      </c>
      <c r="W23" s="20">
        <f>SUM($T$23:$V$23)</f>
        <v>3.0732171608454468</v>
      </c>
      <c r="X23" s="20">
        <f>'TE BE'!$AB$23*'TE BE'!$X$52</f>
        <v>0</v>
      </c>
      <c r="Y23" s="20">
        <f>SUM($X$23:$X$23)</f>
        <v>0</v>
      </c>
      <c r="Z23" s="20">
        <f>'TE BE'!$Z$23*'TE BE'!$Z$52</f>
        <v>-0.49395719015468809</v>
      </c>
      <c r="AA23" s="20">
        <f>SUM($Z$23:$Z$23)</f>
        <v>-0.49395719015468809</v>
      </c>
      <c r="AB23" s="20">
        <f t="shared" ca="1" si="0"/>
        <v>-29.392482841221916</v>
      </c>
      <c r="AD23" s="9">
        <v>1</v>
      </c>
      <c r="AE23" s="9">
        <f ca="1">TarifaMedia!$E$39</f>
        <v>1</v>
      </c>
      <c r="AF23" s="15">
        <f>'TE BE'!AB23+'TE BF'!AB23+'TE CVA'!AB23</f>
        <v>272.03825149820085</v>
      </c>
      <c r="AG23" s="15">
        <f>'TABELAS REH COPEL'!$S$9</f>
        <v>258.94</v>
      </c>
      <c r="AH23" s="15">
        <f t="shared" ca="1" si="1"/>
        <v>-13.098251498200852</v>
      </c>
      <c r="AI23" s="107">
        <f t="shared" ca="1" si="2"/>
        <v>0</v>
      </c>
      <c r="AK23" s="106">
        <f ca="1">'TE BE'!AB23+'TE BF_350'!AB23+'TE CVA'!AB23</f>
        <v>258.94</v>
      </c>
      <c r="AL23" s="9" t="b">
        <f t="shared" ca="1" si="3"/>
        <v>1</v>
      </c>
    </row>
    <row r="24" spans="1:38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'TE BE'!$L$24*'TE BE'!$L$52</f>
        <v>1.1270770659303425E-7</v>
      </c>
      <c r="M24" s="20">
        <f>'TE BE'!$M$24*'TE BE'!$M$52</f>
        <v>-4.8034487050752235</v>
      </c>
      <c r="N24" s="20">
        <f>'TE BE'!$N$24*'TE BE'!$N$52</f>
        <v>0</v>
      </c>
      <c r="O24" s="20">
        <f>'TE BE'!$O$24*'TE BE'!$O$52</f>
        <v>1.5093523043021293</v>
      </c>
      <c r="P24" s="20">
        <f>'TE BE'!$P$24*'TE BE'!$P$52</f>
        <v>0</v>
      </c>
      <c r="Q24" s="20">
        <f>SUM($L$24:$P$24)</f>
        <v>-3.2940962880653881</v>
      </c>
      <c r="R24" s="20">
        <f>'TE BE'!$R$24*'TE BE'!$R$52</f>
        <v>-25.279773060482892</v>
      </c>
      <c r="S24" s="20">
        <f>SUM($R$24:$R$24)</f>
        <v>-25.279773060482892</v>
      </c>
      <c r="T24" s="20">
        <f>'TE BE'!$T$24*'TE BE'!$T$52</f>
        <v>2.965010816724126</v>
      </c>
      <c r="U24" s="20">
        <f>'TE BE'!$U$24*'TE BE'!$U$52</f>
        <v>0.10820634412132075</v>
      </c>
      <c r="V24" s="20">
        <f>'TE BE'!$V$24*'TE BE'!$V$52</f>
        <v>0</v>
      </c>
      <c r="W24" s="20">
        <f>SUM($T$24:$V$24)</f>
        <v>3.0732171608454468</v>
      </c>
      <c r="X24" s="20">
        <f>'TE BE'!$AB$24*'TE BE'!$X$52</f>
        <v>0</v>
      </c>
      <c r="Y24" s="20">
        <f>SUM($X$24:$X$24)</f>
        <v>0</v>
      </c>
      <c r="Z24" s="20">
        <f>'TE BE'!$Z$24*'TE BE'!$Z$52</f>
        <v>-0.49395719015468809</v>
      </c>
      <c r="AA24" s="20">
        <f>SUM($Z$24:$Z$24)</f>
        <v>-0.49395719015468809</v>
      </c>
      <c r="AB24" s="20">
        <f t="shared" ca="1" si="0"/>
        <v>-52.969099883274531</v>
      </c>
      <c r="AD24" s="9">
        <v>1</v>
      </c>
      <c r="AE24" s="9">
        <f ca="1">TarifaMedia!$E$39</f>
        <v>1</v>
      </c>
      <c r="AF24" s="15">
        <f>'TE BE'!AB24+'TE BF'!AB24+'TE CVA'!AB24</f>
        <v>415.05449050541699</v>
      </c>
      <c r="AG24" s="15">
        <f>'TABELAS REH COPEL'!S12</f>
        <v>388.08</v>
      </c>
      <c r="AH24" s="15">
        <f t="shared" ca="1" si="1"/>
        <v>-26.974490505417009</v>
      </c>
      <c r="AI24" s="107">
        <f t="shared" ca="1" si="2"/>
        <v>0</v>
      </c>
      <c r="AK24" s="106">
        <f ca="1">'TE BE'!AB24+'TE BF_350'!AB24+'TE CVA'!AB24</f>
        <v>388.08000000000004</v>
      </c>
      <c r="AL24" s="9" t="b">
        <f t="shared" ca="1" si="3"/>
        <v>1</v>
      </c>
    </row>
    <row r="25" spans="1:38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'TE BE'!$L$25*'TE BE'!$L$52</f>
        <v>1.1270770659303425E-7</v>
      </c>
      <c r="M25" s="20">
        <f>'TE BE'!$M$25*'TE BE'!$M$52</f>
        <v>-4.8034487050752235</v>
      </c>
      <c r="N25" s="20">
        <f>'TE BE'!$N$25*'TE BE'!$N$52</f>
        <v>0</v>
      </c>
      <c r="O25" s="20">
        <f>'TE BE'!$O$25*'TE BE'!$O$52</f>
        <v>1.5093523043021293</v>
      </c>
      <c r="P25" s="20">
        <f>'TE BE'!$P$25*'TE BE'!$P$52</f>
        <v>0</v>
      </c>
      <c r="Q25" s="20">
        <f>SUM($L$25:$P$25)</f>
        <v>-3.2940962880653881</v>
      </c>
      <c r="R25" s="20">
        <f>'TE BE'!$R$25*'TE BE'!$R$52</f>
        <v>-14.697542477024939</v>
      </c>
      <c r="S25" s="20">
        <f>SUM($R$25:$R$25)</f>
        <v>-14.697542477024939</v>
      </c>
      <c r="T25" s="20">
        <f>'TE BE'!$T$25*'TE BE'!$T$52</f>
        <v>2.965010816724126</v>
      </c>
      <c r="U25" s="20">
        <f>'TE BE'!$U$25*'TE BE'!$U$52</f>
        <v>0.10820634412132075</v>
      </c>
      <c r="V25" s="20">
        <f>'TE BE'!$V$25*'TE BE'!$V$52</f>
        <v>0</v>
      </c>
      <c r="W25" s="20">
        <f>SUM($T$25:$V$25)</f>
        <v>3.0732171608454468</v>
      </c>
      <c r="X25" s="20">
        <f>'TE BE'!$AB$25*'TE BE'!$X$52</f>
        <v>0</v>
      </c>
      <c r="Y25" s="20">
        <f>SUM($X$25:$X$25)</f>
        <v>0</v>
      </c>
      <c r="Z25" s="20">
        <f>'TE BE'!$Z$25*'TE BE'!$Z$52</f>
        <v>-0.49395719015468809</v>
      </c>
      <c r="AA25" s="20">
        <f>SUM($Z$25:$Z$25)</f>
        <v>-0.49395719015468809</v>
      </c>
      <c r="AB25" s="20">
        <f t="shared" ca="1" si="0"/>
        <v>-27.249154019217102</v>
      </c>
      <c r="AD25" s="9">
        <v>1</v>
      </c>
      <c r="AE25" s="9">
        <f ca="1">TarifaMedia!$E$39</f>
        <v>1</v>
      </c>
      <c r="AF25" s="15">
        <f>'TE BE'!AB25+'TE BF'!AB25+'TE CVA'!AB25</f>
        <v>259.03677522481752</v>
      </c>
      <c r="AG25" s="15">
        <f>'TABELAS REH COPEL'!S13</f>
        <v>247.2</v>
      </c>
      <c r="AH25" s="15">
        <f t="shared" ca="1" si="1"/>
        <v>-11.836775224817529</v>
      </c>
      <c r="AI25" s="107">
        <f t="shared" ca="1" si="2"/>
        <v>0</v>
      </c>
      <c r="AK25" s="106">
        <f ca="1">'TE BE'!AB25+'TE BF_350'!AB25+'TE CVA'!AB25</f>
        <v>247.20000000000002</v>
      </c>
      <c r="AL25" s="9" t="b">
        <f t="shared" ca="1" si="3"/>
        <v>1</v>
      </c>
    </row>
    <row r="26" spans="1:38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'TE BE'!$L$26*'TE BE'!$L$52</f>
        <v>1.1270770659303425E-7</v>
      </c>
      <c r="M26" s="20">
        <f>'TE BE'!$M$26*'TE BE'!$M$52</f>
        <v>-4.8034487050752235</v>
      </c>
      <c r="N26" s="20">
        <f>'TE BE'!$N$26*'TE BE'!$N$52</f>
        <v>0</v>
      </c>
      <c r="O26" s="20">
        <f>'TE BE'!$O$26*'TE BE'!$O$52</f>
        <v>1.5093523043021293</v>
      </c>
      <c r="P26" s="20">
        <f>'TE BE'!$P$26*'TE BE'!$P$52</f>
        <v>0</v>
      </c>
      <c r="Q26" s="20">
        <f>SUM($L$26:$P$26)</f>
        <v>-3.2940962880653881</v>
      </c>
      <c r="R26" s="20">
        <f>'TE BE'!$R$26*'TE BE'!$R$52</f>
        <v>-14.697542477024939</v>
      </c>
      <c r="S26" s="20">
        <f>SUM($R$26:$R$26)</f>
        <v>-14.697542477024939</v>
      </c>
      <c r="T26" s="20">
        <f>'TE BE'!$T$26*'TE BE'!$T$52</f>
        <v>2.965010816724126</v>
      </c>
      <c r="U26" s="20">
        <f>'TE BE'!$U$26*'TE BE'!$U$52</f>
        <v>0.10820634412132075</v>
      </c>
      <c r="V26" s="20">
        <f>'TE BE'!$V$26*'TE BE'!$V$52</f>
        <v>0</v>
      </c>
      <c r="W26" s="20">
        <f>SUM($T$26:$V$26)</f>
        <v>3.0732171608454468</v>
      </c>
      <c r="X26" s="20">
        <f>'TE BE'!$AB$26*'TE BE'!$X$52</f>
        <v>0</v>
      </c>
      <c r="Y26" s="20">
        <f>SUM($X$26:$X$26)</f>
        <v>0</v>
      </c>
      <c r="Z26" s="20">
        <f>'TE BE'!$Z$26*'TE BE'!$Z$52</f>
        <v>-0.49395719015468809</v>
      </c>
      <c r="AA26" s="20">
        <f>SUM($Z$26:$Z$26)</f>
        <v>-0.49395719015468809</v>
      </c>
      <c r="AB26" s="20">
        <f t="shared" ca="1" si="0"/>
        <v>-27.249154019217102</v>
      </c>
      <c r="AD26" s="9">
        <v>1</v>
      </c>
      <c r="AE26" s="9">
        <f ca="1">TarifaMedia!$E$39</f>
        <v>1</v>
      </c>
      <c r="AF26" s="15">
        <f>'TE BE'!AB26+'TE BF'!AB26+'TE CVA'!AB26</f>
        <v>259.03677522481752</v>
      </c>
      <c r="AG26" s="15">
        <f>'TABELAS REH COPEL'!S14</f>
        <v>247.2</v>
      </c>
      <c r="AH26" s="15">
        <f t="shared" ca="1" si="1"/>
        <v>-11.836775224817529</v>
      </c>
      <c r="AI26" s="107">
        <f t="shared" ca="1" si="2"/>
        <v>0</v>
      </c>
      <c r="AK26" s="106">
        <f ca="1">'TE BE'!AB26+'TE BF_350'!AB26+'TE CVA'!AB26</f>
        <v>247.20000000000002</v>
      </c>
      <c r="AL26" s="9" t="b">
        <f t="shared" ca="1" si="3"/>
        <v>1</v>
      </c>
    </row>
    <row r="27" spans="1:38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'TE BE'!$L$27*'TE BE'!$L$52</f>
        <v>1.1270770659303425E-7</v>
      </c>
      <c r="M27" s="20">
        <f>'TE BE'!$M$27*'TE BE'!$M$52</f>
        <v>-4.8034487050752235</v>
      </c>
      <c r="N27" s="20">
        <f>'TE BE'!$N$27*'TE BE'!$N$52</f>
        <v>0</v>
      </c>
      <c r="O27" s="20">
        <f>'TE BE'!$O$27*'TE BE'!$O$52</f>
        <v>1.5093523043021293</v>
      </c>
      <c r="P27" s="20">
        <f>'TE BE'!$P$27*'TE BE'!$P$52</f>
        <v>0</v>
      </c>
      <c r="Q27" s="20">
        <f>SUM($L$27:$P$27)</f>
        <v>-3.2940962880653881</v>
      </c>
      <c r="R27" s="20">
        <f>'TE BE'!$R$27*'TE BE'!$R$52</f>
        <v>-15.579395025646436</v>
      </c>
      <c r="S27" s="20">
        <f>SUM($R$27:$R$27)</f>
        <v>-15.579395025646436</v>
      </c>
      <c r="T27" s="20">
        <f>'TE BE'!$T$27*'TE BE'!$T$52</f>
        <v>2.965010816724126</v>
      </c>
      <c r="U27" s="20">
        <f>'TE BE'!$U$27*'TE BE'!$U$52</f>
        <v>0.10820634412132075</v>
      </c>
      <c r="V27" s="20">
        <f>'TE BE'!$V$27*'TE BE'!$V$52</f>
        <v>0</v>
      </c>
      <c r="W27" s="20">
        <f>SUM($T$27:$V$27)</f>
        <v>3.0732171608454468</v>
      </c>
      <c r="X27" s="20">
        <f>'TE BE'!$AB$27*'TE BE'!$X$52</f>
        <v>0</v>
      </c>
      <c r="Y27" s="20">
        <f>SUM($X$27:$X$27)</f>
        <v>0</v>
      </c>
      <c r="Z27" s="20">
        <f>'TE BE'!$Z$27*'TE BE'!$Z$52</f>
        <v>-0.49395719015468809</v>
      </c>
      <c r="AA27" s="20">
        <f>SUM($Z$27:$Z$27)</f>
        <v>-0.49395719015468809</v>
      </c>
      <c r="AB27" s="20">
        <f t="shared" ca="1" si="0"/>
        <v>-29.392482841221916</v>
      </c>
      <c r="AD27" s="9">
        <v>1</v>
      </c>
      <c r="AE27" s="9">
        <f ca="1">TarifaMedia!$E$39</f>
        <v>1</v>
      </c>
      <c r="AF27" s="15">
        <f>'TE BE'!AB27+'TE BF'!AB27+'TE CVA'!AB27</f>
        <v>272.03825149820085</v>
      </c>
      <c r="AG27" s="15">
        <f>'TABELAS REH COPEL'!S15</f>
        <v>258.94</v>
      </c>
      <c r="AH27" s="15">
        <f t="shared" ca="1" si="1"/>
        <v>-13.098251498200852</v>
      </c>
      <c r="AI27" s="107">
        <f t="shared" ca="1" si="2"/>
        <v>83100.219348898027</v>
      </c>
      <c r="AK27" s="106">
        <f ca="1">'TE BE'!AB27+'TE BF_350'!AB27+'TE CVA'!AB27</f>
        <v>258.94</v>
      </c>
      <c r="AL27" s="9" t="b">
        <f t="shared" ca="1" si="3"/>
        <v>1</v>
      </c>
    </row>
    <row r="28" spans="1:38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'TE BE'!$L$28*'TE BE'!$L$52</f>
        <v>1.1270770659303425E-7</v>
      </c>
      <c r="M28" s="20">
        <f>'TE BE'!$M$28*'TE BE'!$M$52</f>
        <v>-4.8034487050752235</v>
      </c>
      <c r="N28" s="20">
        <f>'TE BE'!$N$28*'TE BE'!$N$52</f>
        <v>0</v>
      </c>
      <c r="O28" s="20">
        <f>'TE BE'!$O$28*'TE BE'!$O$52</f>
        <v>1.5093523043021293</v>
      </c>
      <c r="P28" s="20">
        <f>'TE BE'!$P$28*'TE BE'!$P$52</f>
        <v>0</v>
      </c>
      <c r="Q28" s="20">
        <f>SUM($L$28:$P$28)</f>
        <v>-3.2940962880653881</v>
      </c>
      <c r="R28" s="20">
        <f>'TE BE'!$R$28*'TE BE'!$R$52</f>
        <v>-25.279773060482892</v>
      </c>
      <c r="S28" s="20">
        <f>SUM($R$28:$R$28)</f>
        <v>-25.279773060482892</v>
      </c>
      <c r="T28" s="20">
        <f>'TE BE'!$T$28*'TE BE'!$T$52</f>
        <v>2.965010816724126</v>
      </c>
      <c r="U28" s="20">
        <f>'TE BE'!$U$28*'TE BE'!$U$52</f>
        <v>0.10820634412132075</v>
      </c>
      <c r="V28" s="20">
        <f>'TE BE'!$V$28*'TE BE'!$V$52</f>
        <v>0</v>
      </c>
      <c r="W28" s="20">
        <f>SUM($T$28:$V$28)</f>
        <v>3.0732171608454468</v>
      </c>
      <c r="X28" s="20">
        <f>'TE BE'!$AB$28*'TE BE'!$X$52</f>
        <v>0</v>
      </c>
      <c r="Y28" s="20">
        <f>SUM($X$28:$X$28)</f>
        <v>0</v>
      </c>
      <c r="Z28" s="20">
        <f>'TE BE'!$Z$28*'TE BE'!$Z$52</f>
        <v>-0.49395719015468809</v>
      </c>
      <c r="AA28" s="20">
        <f>SUM($Z$28:$Z$28)</f>
        <v>-0.49395719015468809</v>
      </c>
      <c r="AB28" s="20">
        <f t="shared" ca="1" si="0"/>
        <v>-52.969099883274531</v>
      </c>
      <c r="AD28" s="9">
        <v>1</v>
      </c>
      <c r="AE28" s="9">
        <f ca="1">TarifaMedia!$E$39</f>
        <v>1</v>
      </c>
      <c r="AF28" s="15">
        <f>'TE BE'!AB28+'TE BF'!AB28+'TE CVA'!AB28</f>
        <v>415.05449050541699</v>
      </c>
      <c r="AG28" s="15">
        <f>AG24</f>
        <v>388.08</v>
      </c>
      <c r="AH28" s="15">
        <f t="shared" ca="1" si="1"/>
        <v>-26.974490505417009</v>
      </c>
      <c r="AI28" s="107">
        <f t="shared" ca="1" si="2"/>
        <v>0</v>
      </c>
      <c r="AK28" s="106">
        <f ca="1">'TE BE'!AB28+'TE BF_350'!AB28+'TE CVA'!AB28</f>
        <v>388.08000000000004</v>
      </c>
      <c r="AL28" s="9" t="b">
        <f t="shared" ca="1" si="3"/>
        <v>1</v>
      </c>
    </row>
    <row r="29" spans="1:38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'TE BE'!$L$29*'TE BE'!$L$52</f>
        <v>1.1270770659303425E-7</v>
      </c>
      <c r="M29" s="20">
        <f>'TE BE'!$M$29*'TE BE'!$M$52</f>
        <v>-4.8034487050752235</v>
      </c>
      <c r="N29" s="20">
        <f>'TE BE'!$N$29*'TE BE'!$N$52</f>
        <v>0</v>
      </c>
      <c r="O29" s="20">
        <f>'TE BE'!$O$29*'TE BE'!$O$52</f>
        <v>1.5093523043021293</v>
      </c>
      <c r="P29" s="20">
        <f>'TE BE'!$P$29*'TE BE'!$P$52</f>
        <v>0</v>
      </c>
      <c r="Q29" s="20">
        <f>SUM($L$29:$P$29)</f>
        <v>-3.2940962880653881</v>
      </c>
      <c r="R29" s="20">
        <f>'TE BE'!$R$29*'TE BE'!$R$52</f>
        <v>-14.697542477024939</v>
      </c>
      <c r="S29" s="20">
        <f>SUM($R$29:$R$29)</f>
        <v>-14.697542477024939</v>
      </c>
      <c r="T29" s="20">
        <f>'TE BE'!$T$29*'TE BE'!$T$52</f>
        <v>2.965010816724126</v>
      </c>
      <c r="U29" s="20">
        <f>'TE BE'!$U$29*'TE BE'!$U$52</f>
        <v>0.10820634412132075</v>
      </c>
      <c r="V29" s="20">
        <f>'TE BE'!$V$29*'TE BE'!$V$52</f>
        <v>0</v>
      </c>
      <c r="W29" s="20">
        <f>SUM($T$29:$V$29)</f>
        <v>3.0732171608454468</v>
      </c>
      <c r="X29" s="20">
        <f>'TE BE'!$AB$29*'TE BE'!$X$52</f>
        <v>0</v>
      </c>
      <c r="Y29" s="20">
        <f>SUM($X$29:$X$29)</f>
        <v>0</v>
      </c>
      <c r="Z29" s="20">
        <f>'TE BE'!$Z$29*'TE BE'!$Z$52</f>
        <v>-0.49395719015468809</v>
      </c>
      <c r="AA29" s="20">
        <f>SUM($Z$29:$Z$29)</f>
        <v>-0.49395719015468809</v>
      </c>
      <c r="AB29" s="20">
        <f t="shared" ca="1" si="0"/>
        <v>-27.249154019217102</v>
      </c>
      <c r="AD29" s="9">
        <v>1</v>
      </c>
      <c r="AE29" s="9">
        <f ca="1">TarifaMedia!$E$39</f>
        <v>1</v>
      </c>
      <c r="AF29" s="15">
        <f>'TE BE'!AB29+'TE BF'!AB29+'TE CVA'!AB29</f>
        <v>259.03677522481752</v>
      </c>
      <c r="AG29" s="15">
        <f t="shared" ref="AG29:AG34" si="5">AG25</f>
        <v>247.2</v>
      </c>
      <c r="AH29" s="15">
        <f t="shared" ca="1" si="1"/>
        <v>-11.836775224817529</v>
      </c>
      <c r="AI29" s="107">
        <f t="shared" ca="1" si="2"/>
        <v>0</v>
      </c>
      <c r="AK29" s="106">
        <f ca="1">'TE BE'!AB29+'TE BF_350'!AB29+'TE CVA'!AB29</f>
        <v>247.20000000000002</v>
      </c>
      <c r="AL29" s="9" t="b">
        <f t="shared" ca="1" si="3"/>
        <v>1</v>
      </c>
    </row>
    <row r="30" spans="1:38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'TE BE'!$L$30*'TE BE'!$L$52</f>
        <v>1.1270770659303425E-7</v>
      </c>
      <c r="M30" s="20">
        <f>'TE BE'!$M$30*'TE BE'!$M$52</f>
        <v>-4.8034487050752235</v>
      </c>
      <c r="N30" s="20">
        <f>'TE BE'!$N$30*'TE BE'!$N$52</f>
        <v>0</v>
      </c>
      <c r="O30" s="20">
        <f>'TE BE'!$O$30*'TE BE'!$O$52</f>
        <v>1.5093523043021293</v>
      </c>
      <c r="P30" s="20">
        <f>'TE BE'!$P$30*'TE BE'!$P$52</f>
        <v>0</v>
      </c>
      <c r="Q30" s="20">
        <f>SUM($L$30:$P$30)</f>
        <v>-3.2940962880653881</v>
      </c>
      <c r="R30" s="20">
        <f>'TE BE'!$R$30*'TE BE'!$R$52</f>
        <v>-14.697542477024939</v>
      </c>
      <c r="S30" s="20">
        <f>SUM($R$30:$R$30)</f>
        <v>-14.697542477024939</v>
      </c>
      <c r="T30" s="20">
        <f>'TE BE'!$T$30*'TE BE'!$T$52</f>
        <v>2.965010816724126</v>
      </c>
      <c r="U30" s="20">
        <f>'TE BE'!$U$30*'TE BE'!$U$52</f>
        <v>0.10820634412132075</v>
      </c>
      <c r="V30" s="20">
        <f>'TE BE'!$V$30*'TE BE'!$V$52</f>
        <v>0</v>
      </c>
      <c r="W30" s="20">
        <f>SUM($T$30:$V$30)</f>
        <v>3.0732171608454468</v>
      </c>
      <c r="X30" s="20">
        <f>'TE BE'!$AB$30*'TE BE'!$X$52</f>
        <v>0</v>
      </c>
      <c r="Y30" s="20">
        <f>SUM($X$30:$X$30)</f>
        <v>0</v>
      </c>
      <c r="Z30" s="20">
        <f>'TE BE'!$Z$30*'TE BE'!$Z$52</f>
        <v>-0.49395719015468809</v>
      </c>
      <c r="AA30" s="20">
        <f>SUM($Z$30:$Z$30)</f>
        <v>-0.49395719015468809</v>
      </c>
      <c r="AB30" s="20">
        <f t="shared" ca="1" si="0"/>
        <v>-27.249154019217102</v>
      </c>
      <c r="AD30" s="9">
        <v>1</v>
      </c>
      <c r="AE30" s="9">
        <f ca="1">TarifaMedia!$E$39</f>
        <v>1</v>
      </c>
      <c r="AF30" s="15">
        <f>'TE BE'!AB30+'TE BF'!AB30+'TE CVA'!AB30</f>
        <v>259.03677522481752</v>
      </c>
      <c r="AG30" s="15">
        <f t="shared" si="5"/>
        <v>247.2</v>
      </c>
      <c r="AH30" s="15">
        <f t="shared" ca="1" si="1"/>
        <v>-11.836775224817529</v>
      </c>
      <c r="AI30" s="107">
        <f t="shared" ca="1" si="2"/>
        <v>0</v>
      </c>
      <c r="AK30" s="106">
        <f ca="1">'TE BE'!AB30+'TE BF_350'!AB30+'TE CVA'!AB30</f>
        <v>247.20000000000002</v>
      </c>
      <c r="AL30" s="9" t="b">
        <f t="shared" ca="1" si="3"/>
        <v>1</v>
      </c>
    </row>
    <row r="31" spans="1:38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'TE BE'!$L$31*'TE BE'!$L$52</f>
        <v>1.1270770659303425E-7</v>
      </c>
      <c r="M31" s="20">
        <f>'TE BE'!$M$31*'TE BE'!$M$52</f>
        <v>-4.8034487050752235</v>
      </c>
      <c r="N31" s="20">
        <f>'TE BE'!$N$31*'TE BE'!$N$52</f>
        <v>0</v>
      </c>
      <c r="O31" s="20">
        <f>'TE BE'!$O$31*'TE BE'!$O$52</f>
        <v>1.5093523043021293</v>
      </c>
      <c r="P31" s="20">
        <f>'TE BE'!$P$31*'TE BE'!$P$52</f>
        <v>0</v>
      </c>
      <c r="Q31" s="20">
        <f>SUM($L$31:$P$31)</f>
        <v>-3.2940962880653881</v>
      </c>
      <c r="R31" s="20">
        <f>'TE BE'!$R$31*'TE BE'!$R$52</f>
        <v>-15.579395025646436</v>
      </c>
      <c r="S31" s="20">
        <f>SUM($R$31:$R$31)</f>
        <v>-15.579395025646436</v>
      </c>
      <c r="T31" s="20">
        <f>'TE BE'!$T$31*'TE BE'!$T$52</f>
        <v>2.965010816724126</v>
      </c>
      <c r="U31" s="20">
        <f>'TE BE'!$U$31*'TE BE'!$U$52</f>
        <v>0.10820634412132075</v>
      </c>
      <c r="V31" s="20">
        <f>'TE BE'!$V$31*'TE BE'!$V$52</f>
        <v>0</v>
      </c>
      <c r="W31" s="20">
        <f>SUM($T$31:$V$31)</f>
        <v>3.0732171608454468</v>
      </c>
      <c r="X31" s="20">
        <f>'TE BE'!$AB$31*'TE BE'!$X$52</f>
        <v>0</v>
      </c>
      <c r="Y31" s="20">
        <f>SUM($X$31:$X$31)</f>
        <v>0</v>
      </c>
      <c r="Z31" s="20">
        <f>'TE BE'!$Z$31*'TE BE'!$Z$52</f>
        <v>-0.49395719015468809</v>
      </c>
      <c r="AA31" s="20">
        <f>SUM($Z$31:$Z$31)</f>
        <v>-0.49395719015468809</v>
      </c>
      <c r="AB31" s="20">
        <f t="shared" ca="1" si="0"/>
        <v>-29.392482841221916</v>
      </c>
      <c r="AD31" s="9">
        <v>1</v>
      </c>
      <c r="AE31" s="9">
        <f ca="1">TarifaMedia!$E$39</f>
        <v>1</v>
      </c>
      <c r="AF31" s="15">
        <f>'TE BE'!AB31+'TE BF'!AB31+'TE CVA'!AB31</f>
        <v>272.03825149820085</v>
      </c>
      <c r="AG31" s="15">
        <f t="shared" si="5"/>
        <v>258.94</v>
      </c>
      <c r="AH31" s="15">
        <f t="shared" ca="1" si="1"/>
        <v>-13.098251498200852</v>
      </c>
      <c r="AI31" s="107">
        <f t="shared" ca="1" si="2"/>
        <v>0</v>
      </c>
      <c r="AK31" s="106">
        <f ca="1">'TE BE'!AB31+'TE BF_350'!AB31+'TE CVA'!AB31</f>
        <v>258.94</v>
      </c>
      <c r="AL31" s="9" t="b">
        <f t="shared" ca="1" si="3"/>
        <v>1</v>
      </c>
    </row>
    <row r="32" spans="1:38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'TE BE'!$L$32*'TE BE'!$L$52</f>
        <v>1.1270770659303425E-7</v>
      </c>
      <c r="M32" s="20">
        <f>'TE BE'!$M$32*'TE BE'!$M$52</f>
        <v>-4.8034487050752235</v>
      </c>
      <c r="N32" s="20">
        <f>'TE BE'!$N$32*'TE BE'!$N$52</f>
        <v>0</v>
      </c>
      <c r="O32" s="20">
        <f>'TE BE'!$O$32*'TE BE'!$O$52</f>
        <v>1.5093523043021293</v>
      </c>
      <c r="P32" s="20">
        <f>'TE BE'!$P$32*'TE BE'!$P$52</f>
        <v>0</v>
      </c>
      <c r="Q32" s="20">
        <f>SUM($L$32:$P$32)</f>
        <v>-3.2940962880653881</v>
      </c>
      <c r="R32" s="20">
        <f>'TE BE'!$R$32*'TE BE'!$R$52</f>
        <v>-25.279773060482892</v>
      </c>
      <c r="S32" s="20">
        <f>SUM($R$32:$R$32)</f>
        <v>-25.279773060482892</v>
      </c>
      <c r="T32" s="20">
        <f>'TE BE'!$T$32*'TE BE'!$T$52</f>
        <v>2.965010816724126</v>
      </c>
      <c r="U32" s="20">
        <f>'TE BE'!$U$32*'TE BE'!$U$52</f>
        <v>0.10820634412132075</v>
      </c>
      <c r="V32" s="20">
        <f>'TE BE'!$V$32*'TE BE'!$V$52</f>
        <v>0</v>
      </c>
      <c r="W32" s="20">
        <f>SUM($T$32:$V$32)</f>
        <v>3.0732171608454468</v>
      </c>
      <c r="X32" s="20">
        <f>'TE BE'!$AB$32*'TE BE'!$X$52</f>
        <v>0</v>
      </c>
      <c r="Y32" s="20">
        <f>SUM($X$32:$X$32)</f>
        <v>0</v>
      </c>
      <c r="Z32" s="20">
        <f>'TE BE'!$Z$32*'TE BE'!$Z$52</f>
        <v>-0.49395719015468809</v>
      </c>
      <c r="AA32" s="20">
        <f>SUM($Z$32:$Z$32)</f>
        <v>-0.49395719015468809</v>
      </c>
      <c r="AB32" s="20">
        <f t="shared" ca="1" si="0"/>
        <v>-52.969099883274531</v>
      </c>
      <c r="AD32" s="9">
        <v>1</v>
      </c>
      <c r="AE32" s="9">
        <f ca="1">TarifaMedia!$E$39</f>
        <v>1</v>
      </c>
      <c r="AF32" s="15">
        <f>'TE BE'!AB32+'TE BF'!AB32+'TE CVA'!AB32</f>
        <v>415.05449050541699</v>
      </c>
      <c r="AG32" s="15">
        <f t="shared" si="5"/>
        <v>388.08</v>
      </c>
      <c r="AH32" s="15">
        <f t="shared" ca="1" si="1"/>
        <v>-26.974490505417009</v>
      </c>
      <c r="AI32" s="107">
        <f t="shared" ca="1" si="2"/>
        <v>0</v>
      </c>
      <c r="AK32" s="106">
        <f ca="1">'TE BE'!AB32+'TE BF_350'!AB32+'TE CVA'!AB32</f>
        <v>388.08000000000004</v>
      </c>
      <c r="AL32" s="9" t="b">
        <f t="shared" ca="1" si="3"/>
        <v>1</v>
      </c>
    </row>
    <row r="33" spans="1:38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'TE BE'!$L$33*'TE BE'!$L$52</f>
        <v>1.1270770659303425E-7</v>
      </c>
      <c r="M33" s="20">
        <f>'TE BE'!$M$33*'TE BE'!$M$52</f>
        <v>-4.8034487050752235</v>
      </c>
      <c r="N33" s="20">
        <f>'TE BE'!$N$33*'TE BE'!$N$52</f>
        <v>0</v>
      </c>
      <c r="O33" s="20">
        <f>'TE BE'!$O$33*'TE BE'!$O$52</f>
        <v>1.5093523043021293</v>
      </c>
      <c r="P33" s="20">
        <f>'TE BE'!$P$33*'TE BE'!$P$52</f>
        <v>0</v>
      </c>
      <c r="Q33" s="20">
        <f>SUM($L$33:$P$33)</f>
        <v>-3.2940962880653881</v>
      </c>
      <c r="R33" s="20">
        <f>'TE BE'!$R$33*'TE BE'!$R$52</f>
        <v>-14.697542477024939</v>
      </c>
      <c r="S33" s="20">
        <f>SUM($R$33:$R$33)</f>
        <v>-14.697542477024939</v>
      </c>
      <c r="T33" s="20">
        <f>'TE BE'!$T$33*'TE BE'!$T$52</f>
        <v>2.965010816724126</v>
      </c>
      <c r="U33" s="20">
        <f>'TE BE'!$U$33*'TE BE'!$U$52</f>
        <v>0.10820634412132075</v>
      </c>
      <c r="V33" s="20">
        <f>'TE BE'!$V$33*'TE BE'!$V$52</f>
        <v>0</v>
      </c>
      <c r="W33" s="20">
        <f>SUM($T$33:$V$33)</f>
        <v>3.0732171608454468</v>
      </c>
      <c r="X33" s="20">
        <f>'TE BE'!$AB$33*'TE BE'!$X$52</f>
        <v>0</v>
      </c>
      <c r="Y33" s="20">
        <f>SUM($X$33:$X$33)</f>
        <v>0</v>
      </c>
      <c r="Z33" s="20">
        <f>'TE BE'!$Z$33*'TE BE'!$Z$52</f>
        <v>-0.49395719015468809</v>
      </c>
      <c r="AA33" s="20">
        <f>SUM($Z$33:$Z$33)</f>
        <v>-0.49395719015468809</v>
      </c>
      <c r="AB33" s="20">
        <f t="shared" ca="1" si="0"/>
        <v>-27.249154019217102</v>
      </c>
      <c r="AD33" s="9">
        <v>1</v>
      </c>
      <c r="AE33" s="9">
        <f ca="1">TarifaMedia!$E$39</f>
        <v>1</v>
      </c>
      <c r="AF33" s="15">
        <f>'TE BE'!AB33+'TE BF'!AB33+'TE CVA'!AB33</f>
        <v>259.03677522481752</v>
      </c>
      <c r="AG33" s="15">
        <f t="shared" si="5"/>
        <v>247.2</v>
      </c>
      <c r="AH33" s="15">
        <f t="shared" ca="1" si="1"/>
        <v>-11.836775224817529</v>
      </c>
      <c r="AI33" s="107">
        <f t="shared" ca="1" si="2"/>
        <v>0</v>
      </c>
      <c r="AK33" s="106">
        <f ca="1">'TE BE'!AB33+'TE BF_350'!AB33+'TE CVA'!AB33</f>
        <v>247.20000000000002</v>
      </c>
      <c r="AL33" s="9" t="b">
        <f t="shared" ca="1" si="3"/>
        <v>1</v>
      </c>
    </row>
    <row r="34" spans="1:38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'TE BE'!$L$34*'TE BE'!$L$52</f>
        <v>1.1270770659303425E-7</v>
      </c>
      <c r="M34" s="20">
        <f>'TE BE'!$M$34*'TE BE'!$M$52</f>
        <v>-4.8034487050752235</v>
      </c>
      <c r="N34" s="20">
        <f>'TE BE'!$N$34*'TE BE'!$N$52</f>
        <v>0</v>
      </c>
      <c r="O34" s="20">
        <f>'TE BE'!$O$34*'TE BE'!$O$52</f>
        <v>1.5093523043021293</v>
      </c>
      <c r="P34" s="20">
        <f>'TE BE'!$P$34*'TE BE'!$P$52</f>
        <v>0</v>
      </c>
      <c r="Q34" s="20">
        <f>SUM($L$34:$P$34)</f>
        <v>-3.2940962880653881</v>
      </c>
      <c r="R34" s="20">
        <f>'TE BE'!$R$34*'TE BE'!$R$52</f>
        <v>-14.697542477024939</v>
      </c>
      <c r="S34" s="20">
        <f>SUM($R$34:$R$34)</f>
        <v>-14.697542477024939</v>
      </c>
      <c r="T34" s="20">
        <f>'TE BE'!$T$34*'TE BE'!$T$52</f>
        <v>2.965010816724126</v>
      </c>
      <c r="U34" s="20">
        <f>'TE BE'!$U$34*'TE BE'!$U$52</f>
        <v>0.10820634412132075</v>
      </c>
      <c r="V34" s="20">
        <f>'TE BE'!$V$34*'TE BE'!$V$52</f>
        <v>0</v>
      </c>
      <c r="W34" s="20">
        <f>SUM($T$34:$V$34)</f>
        <v>3.0732171608454468</v>
      </c>
      <c r="X34" s="20">
        <f>'TE BE'!$AB$34*'TE BE'!$X$52</f>
        <v>0</v>
      </c>
      <c r="Y34" s="20">
        <f>SUM($X$34:$X$34)</f>
        <v>0</v>
      </c>
      <c r="Z34" s="20">
        <f>'TE BE'!$Z$34*'TE BE'!$Z$52</f>
        <v>-0.49395719015468809</v>
      </c>
      <c r="AA34" s="20">
        <f>SUM($Z$34:$Z$34)</f>
        <v>-0.49395719015468809</v>
      </c>
      <c r="AB34" s="20">
        <f t="shared" ca="1" si="0"/>
        <v>-27.249154019217102</v>
      </c>
      <c r="AD34" s="9">
        <v>1</v>
      </c>
      <c r="AE34" s="9">
        <f ca="1">TarifaMedia!$E$39</f>
        <v>1</v>
      </c>
      <c r="AF34" s="15">
        <f>'TE BE'!AB34+'TE BF'!AB34+'TE CVA'!AB34</f>
        <v>259.03677522481752</v>
      </c>
      <c r="AG34" s="15">
        <f t="shared" si="5"/>
        <v>247.2</v>
      </c>
      <c r="AH34" s="15">
        <f t="shared" ca="1" si="1"/>
        <v>-11.836775224817529</v>
      </c>
      <c r="AI34" s="107">
        <f t="shared" ca="1" si="2"/>
        <v>0</v>
      </c>
      <c r="AK34" s="106">
        <f ca="1">'TE BE'!AB34+'TE BF_350'!AB34+'TE CVA'!AB34</f>
        <v>247.20000000000002</v>
      </c>
      <c r="AL34" s="9" t="b">
        <f t="shared" ca="1" si="3"/>
        <v>1</v>
      </c>
    </row>
    <row r="35" spans="1:38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'TE BE'!$L$35*'TE BE'!$L$52</f>
        <v>1.1270770659303425E-7</v>
      </c>
      <c r="M35" s="20">
        <f>'TE BE'!$M$35*'TE BE'!$M$52</f>
        <v>-4.8034487050752235</v>
      </c>
      <c r="N35" s="20">
        <f>'TE BE'!$N$35*'TE BE'!$N$52</f>
        <v>0</v>
      </c>
      <c r="O35" s="20">
        <f>'TE BE'!$O$35*'TE BE'!$O$52</f>
        <v>1.5093523043021293</v>
      </c>
      <c r="P35" s="20">
        <f>'TE BE'!$P$35*'TE BE'!$P$52</f>
        <v>0</v>
      </c>
      <c r="Q35" s="20">
        <f>SUM($L$35:$P$35)</f>
        <v>-3.2940962880653881</v>
      </c>
      <c r="R35" s="20">
        <f>'TE BE'!$R$35*'TE BE'!$R$52</f>
        <v>-15.579395025646436</v>
      </c>
      <c r="S35" s="20">
        <f>SUM($R$35:$R$35)</f>
        <v>-15.579395025646436</v>
      </c>
      <c r="T35" s="20">
        <f>'TE BE'!$T$35*'TE BE'!$T$52</f>
        <v>2.965010816724126</v>
      </c>
      <c r="U35" s="20">
        <f>'TE BE'!$U$35*'TE BE'!$U$52</f>
        <v>0.10820634412132075</v>
      </c>
      <c r="V35" s="20">
        <f>'TE BE'!$V$35*'TE BE'!$V$52</f>
        <v>0</v>
      </c>
      <c r="W35" s="20">
        <f>SUM($T$35:$V$35)</f>
        <v>3.0732171608454468</v>
      </c>
      <c r="X35" s="20">
        <f>'TE BE'!$AB$35*'TE BE'!$X$52</f>
        <v>0</v>
      </c>
      <c r="Y35" s="20">
        <f>SUM($X$35:$X$35)</f>
        <v>0</v>
      </c>
      <c r="Z35" s="20">
        <f>'TE BE'!$Z$35*'TE BE'!$Z$52</f>
        <v>-0.49395719015468809</v>
      </c>
      <c r="AA35" s="20">
        <f>SUM($Z$35:$Z$35)</f>
        <v>-0.49395719015468809</v>
      </c>
      <c r="AB35" s="20">
        <f t="shared" ca="1" si="0"/>
        <v>-29.392482841221916</v>
      </c>
      <c r="AD35" s="9">
        <v>1</v>
      </c>
      <c r="AE35" s="9">
        <f ca="1">TarifaMedia!$E$39</f>
        <v>1</v>
      </c>
      <c r="AF35" s="15">
        <f>'TE BE'!AB35+'TE BF'!AB35+'TE CVA'!AB35</f>
        <v>272.03825149820085</v>
      </c>
      <c r="AG35" s="15">
        <f>$AG$31</f>
        <v>258.94</v>
      </c>
      <c r="AH35" s="15">
        <f t="shared" ca="1" si="1"/>
        <v>-13.098251498200852</v>
      </c>
      <c r="AI35" s="107">
        <f t="shared" ca="1" si="2"/>
        <v>0</v>
      </c>
      <c r="AK35" s="106">
        <f ca="1">'TE BE'!AB35+'TE BF_350'!AB35+'TE CVA'!AB35</f>
        <v>258.94</v>
      </c>
      <c r="AL35" s="9" t="b">
        <f t="shared" ca="1" si="3"/>
        <v>1</v>
      </c>
    </row>
    <row r="36" spans="1:38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'TE BE'!$L$36*'TE BE'!$L$52</f>
        <v>1.1270770659303425E-7</v>
      </c>
      <c r="M36" s="20">
        <f>'TE BE'!$M$36*'TE BE'!$M$52</f>
        <v>-4.8034487050752235</v>
      </c>
      <c r="N36" s="20">
        <f>'TE BE'!$N$36*'TE BE'!$N$52</f>
        <v>0</v>
      </c>
      <c r="O36" s="20">
        <f>'TE BE'!$O$36*'TE BE'!$O$52</f>
        <v>1.5093523043021293</v>
      </c>
      <c r="P36" s="20">
        <f>'TE BE'!$P$36*'TE BE'!$P$52</f>
        <v>0</v>
      </c>
      <c r="Q36" s="20">
        <f>SUM($L$36:$P$36)</f>
        <v>-3.2940962880653881</v>
      </c>
      <c r="R36" s="20">
        <f>'TE BE'!$R$36*'TE BE'!$R$52</f>
        <v>-15.579395025646436</v>
      </c>
      <c r="S36" s="20">
        <f>SUM($R$36:$R$36)</f>
        <v>-15.579395025646436</v>
      </c>
      <c r="T36" s="20">
        <f>'TE BE'!$T$36*'TE BE'!$T$52</f>
        <v>2.965010816724126</v>
      </c>
      <c r="U36" s="20">
        <f>'TE BE'!$U$36*'TE BE'!$U$52</f>
        <v>0.10820634412132075</v>
      </c>
      <c r="V36" s="20">
        <f>'TE BE'!$V$36*'TE BE'!$V$52</f>
        <v>0</v>
      </c>
      <c r="W36" s="20">
        <f>SUM($T$36:$V$36)</f>
        <v>3.0732171608454468</v>
      </c>
      <c r="X36" s="20">
        <f>'TE BE'!$AB$36*'TE BE'!$X$52</f>
        <v>0</v>
      </c>
      <c r="Y36" s="20">
        <f>SUM($X$36:$X$36)</f>
        <v>0</v>
      </c>
      <c r="Z36" s="20">
        <f>'TE BE'!$Z$36*'TE BE'!$Z$52</f>
        <v>-0.49395719015468809</v>
      </c>
      <c r="AA36" s="20">
        <f>SUM($Z$36:$Z$36)</f>
        <v>-0.49395719015468809</v>
      </c>
      <c r="AB36" s="20">
        <f t="shared" ca="1" si="0"/>
        <v>-29.392482841221916</v>
      </c>
      <c r="AD36" s="9">
        <v>1</v>
      </c>
      <c r="AE36" s="9">
        <f ca="1">TarifaMedia!$E$39</f>
        <v>1</v>
      </c>
      <c r="AF36" s="15">
        <f>'TE BE'!AB36+'TE BF'!AB36+'TE CVA'!AB36</f>
        <v>272.03825149820085</v>
      </c>
      <c r="AG36" s="15">
        <f t="shared" ref="AG36:AG38" si="6">$AG$31</f>
        <v>258.94</v>
      </c>
      <c r="AH36" s="15">
        <f t="shared" ca="1" si="1"/>
        <v>-13.098251498200852</v>
      </c>
      <c r="AI36" s="107">
        <f t="shared" ca="1" si="2"/>
        <v>0</v>
      </c>
      <c r="AK36" s="106">
        <f ca="1">'TE BE'!AB36+'TE BF_350'!AB36+'TE CVA'!AB36</f>
        <v>258.94</v>
      </c>
      <c r="AL36" s="9" t="b">
        <f t="shared" ca="1" si="3"/>
        <v>1</v>
      </c>
    </row>
    <row r="37" spans="1:38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'TE BE'!$L$37*'TE BE'!$L$52</f>
        <v>1.1270770659303425E-7</v>
      </c>
      <c r="M37" s="20">
        <f>'TE BE'!$M$37*'TE BE'!$M$52</f>
        <v>-4.8034487050752235</v>
      </c>
      <c r="N37" s="20">
        <f>'TE BE'!$N$37*'TE BE'!$N$52</f>
        <v>0</v>
      </c>
      <c r="O37" s="20">
        <f>'TE BE'!$O$37*'TE BE'!$O$52</f>
        <v>1.5093523043021293</v>
      </c>
      <c r="P37" s="20">
        <f>'TE BE'!$P$37*'TE BE'!$P$52</f>
        <v>0</v>
      </c>
      <c r="Q37" s="20">
        <f>SUM($L$37:$P$37)</f>
        <v>-3.2940962880653881</v>
      </c>
      <c r="R37" s="20">
        <f>'TE BE'!$R$37*'TE BE'!$R$52</f>
        <v>-15.579395025646436</v>
      </c>
      <c r="S37" s="20">
        <f>SUM($R$37:$R$37)</f>
        <v>-15.579395025646436</v>
      </c>
      <c r="T37" s="20">
        <f>'TE BE'!$T$37*'TE BE'!$T$52</f>
        <v>2.965010816724126</v>
      </c>
      <c r="U37" s="20">
        <f>'TE BE'!$U$37*'TE BE'!$U$52</f>
        <v>0.10820634412132075</v>
      </c>
      <c r="V37" s="20">
        <f>'TE BE'!$V$37*'TE BE'!$V$52</f>
        <v>0</v>
      </c>
      <c r="W37" s="20">
        <f>SUM($T$37:$V$37)</f>
        <v>3.0732171608454468</v>
      </c>
      <c r="X37" s="20">
        <f>'TE BE'!$AB$37*'TE BE'!$X$52</f>
        <v>0</v>
      </c>
      <c r="Y37" s="20">
        <f>SUM($X$37:$X$37)</f>
        <v>0</v>
      </c>
      <c r="Z37" s="20">
        <f>'TE BE'!$Z$37*'TE BE'!$Z$52</f>
        <v>-0.49395719015468809</v>
      </c>
      <c r="AA37" s="20">
        <f>SUM($Z$37:$Z$37)</f>
        <v>-0.49395719015468809</v>
      </c>
      <c r="AB37" s="20">
        <f t="shared" ca="1" si="0"/>
        <v>-29.392482841221916</v>
      </c>
      <c r="AD37" s="9">
        <v>1</v>
      </c>
      <c r="AE37" s="9">
        <f ca="1">TarifaMedia!$E$39</f>
        <v>1</v>
      </c>
      <c r="AF37" s="15">
        <f>'TE BE'!AB37+'TE BF'!AB37+'TE CVA'!AB37</f>
        <v>272.03825149820085</v>
      </c>
      <c r="AG37" s="15">
        <f t="shared" si="6"/>
        <v>258.94</v>
      </c>
      <c r="AH37" s="15">
        <f t="shared" ca="1" si="1"/>
        <v>-13.098251498200852</v>
      </c>
      <c r="AI37" s="107">
        <f t="shared" ca="1" si="2"/>
        <v>0</v>
      </c>
      <c r="AK37" s="106">
        <f ca="1">'TE BE'!AB37+'TE BF_350'!AB37+'TE CVA'!AB37</f>
        <v>258.94</v>
      </c>
      <c r="AL37" s="9" t="b">
        <f t="shared" ca="1" si="3"/>
        <v>1</v>
      </c>
    </row>
    <row r="38" spans="1:38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'TE BE'!$L$38*'TE BE'!$L$52</f>
        <v>1.1270770659303425E-7</v>
      </c>
      <c r="M38" s="20">
        <f>'TE BE'!$M$38*'TE BE'!$M$52</f>
        <v>-4.8034487050752235</v>
      </c>
      <c r="N38" s="20">
        <f>'TE BE'!$N$38*'TE BE'!$N$52</f>
        <v>0</v>
      </c>
      <c r="O38" s="20">
        <f>'TE BE'!$O$38*'TE BE'!$O$52</f>
        <v>1.5093523043021293</v>
      </c>
      <c r="P38" s="20">
        <f>'TE BE'!$P$38*'TE BE'!$P$52</f>
        <v>0</v>
      </c>
      <c r="Q38" s="20">
        <f>SUM($L$38:$P$38)</f>
        <v>-3.2940962880653881</v>
      </c>
      <c r="R38" s="20">
        <f>'TE BE'!$R$38*'TE BE'!$R$52</f>
        <v>-15.579395025646436</v>
      </c>
      <c r="S38" s="20">
        <f>SUM($R$38:$R$38)</f>
        <v>-15.579395025646436</v>
      </c>
      <c r="T38" s="20">
        <f>'TE BE'!$T$38*'TE BE'!$T$52</f>
        <v>2.965010816724126</v>
      </c>
      <c r="U38" s="20">
        <f>'TE BE'!$U$38*'TE BE'!$U$52</f>
        <v>0.10820634412132075</v>
      </c>
      <c r="V38" s="20">
        <f>'TE BE'!$V$38*'TE BE'!$V$52</f>
        <v>0</v>
      </c>
      <c r="W38" s="20">
        <f>SUM($T$38:$V$38)</f>
        <v>3.0732171608454468</v>
      </c>
      <c r="X38" s="20">
        <f>'TE BE'!$AB$38*'TE BE'!$X$52</f>
        <v>0</v>
      </c>
      <c r="Y38" s="20">
        <f>SUM($X$38:$X$38)</f>
        <v>0</v>
      </c>
      <c r="Z38" s="20">
        <f>'TE BE'!$Z$38*'TE BE'!$Z$52</f>
        <v>-0.49395719015468809</v>
      </c>
      <c r="AA38" s="20">
        <f>SUM($Z$38:$Z$38)</f>
        <v>-0.49395719015468809</v>
      </c>
      <c r="AB38" s="20">
        <f t="shared" ca="1" si="0"/>
        <v>-29.392482841221916</v>
      </c>
      <c r="AD38" s="9">
        <v>1</v>
      </c>
      <c r="AE38" s="9">
        <f ca="1">TarifaMedia!$E$39</f>
        <v>1</v>
      </c>
      <c r="AF38" s="15">
        <f>'TE BE'!AB38+'TE BF'!AB38+'TE CVA'!AB38</f>
        <v>272.03825149820085</v>
      </c>
      <c r="AG38" s="15">
        <f t="shared" si="6"/>
        <v>258.94</v>
      </c>
      <c r="AH38" s="15">
        <f t="shared" ca="1" si="1"/>
        <v>-13.098251498200852</v>
      </c>
      <c r="AI38" s="107">
        <f t="shared" ca="1" si="2"/>
        <v>0</v>
      </c>
      <c r="AK38" s="106">
        <f ca="1">'TE BE'!AB38+'TE BF_350'!AB38+'TE CVA'!AB38</f>
        <v>258.94</v>
      </c>
      <c r="AL38" s="9" t="b">
        <f t="shared" ca="1" si="3"/>
        <v>1</v>
      </c>
    </row>
    <row r="39" spans="1:38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'TE BE'!$L$39*'TE BE'!$L$52</f>
        <v>1.1270770659303425E-7</v>
      </c>
      <c r="M39" s="20">
        <f>'TE BE'!$M$39*'TE BE'!$M$52</f>
        <v>-4.8034487050752235</v>
      </c>
      <c r="N39" s="20">
        <f>'TE BE'!$N$39*'TE BE'!$N$52</f>
        <v>0</v>
      </c>
      <c r="O39" s="20">
        <f>'TE BE'!$O$39*'TE BE'!$O$52</f>
        <v>1.5093523043021293</v>
      </c>
      <c r="P39" s="20">
        <f>'TE BE'!$P$39*'TE BE'!$P$52</f>
        <v>0</v>
      </c>
      <c r="Q39" s="20">
        <f>SUM($L$39:$P$39)</f>
        <v>-3.2940962880653881</v>
      </c>
      <c r="R39" s="20">
        <f>'TE BE'!$R$39*'TE BE'!$R$52</f>
        <v>-25.279773060482892</v>
      </c>
      <c r="S39" s="20">
        <f>SUM($R$39:$R$39)</f>
        <v>-25.279773060482892</v>
      </c>
      <c r="T39" s="20">
        <f>'TE BE'!$T$39*'TE BE'!$T$52</f>
        <v>2.965010816724126</v>
      </c>
      <c r="U39" s="20">
        <f>'TE BE'!$U$39*'TE BE'!$U$52</f>
        <v>0.10820634412132075</v>
      </c>
      <c r="V39" s="20">
        <f>'TE BE'!$V$39*'TE BE'!$V$52</f>
        <v>0</v>
      </c>
      <c r="W39" s="20">
        <f>SUM($T$39:$V$39)</f>
        <v>3.0732171608454468</v>
      </c>
      <c r="X39" s="20">
        <f>'TE BE'!$AB$39*'TE BE'!$X$52</f>
        <v>0</v>
      </c>
      <c r="Y39" s="20">
        <f>SUM($X$39:$X$39)</f>
        <v>0</v>
      </c>
      <c r="Z39" s="20">
        <f>'TE BE'!$Z$39*'TE BE'!$Z$52</f>
        <v>-0.49395719015468809</v>
      </c>
      <c r="AA39" s="20">
        <f>SUM($Z$39:$Z$39)</f>
        <v>-0.49395719015468809</v>
      </c>
      <c r="AB39" s="20">
        <f t="shared" ca="1" si="0"/>
        <v>-52.969099883274531</v>
      </c>
      <c r="AD39" s="9">
        <v>1</v>
      </c>
      <c r="AE39" s="9">
        <f ca="1">TarifaMedia!$E$39</f>
        <v>1</v>
      </c>
      <c r="AF39" s="15">
        <f>'TE BE'!AB39+'TE BF'!AB39+'TE CVA'!AB39</f>
        <v>415.05449050541699</v>
      </c>
      <c r="AG39" s="15">
        <f>'TABELAS REH COPEL'!S27</f>
        <v>388.08</v>
      </c>
      <c r="AH39" s="15">
        <f t="shared" ca="1" si="1"/>
        <v>-26.974490505417009</v>
      </c>
      <c r="AI39" s="107">
        <f t="shared" ca="1" si="2"/>
        <v>1166.2151225111991</v>
      </c>
      <c r="AK39" s="106">
        <f ca="1">'TE BE'!AB39+'TE BF_350'!AB39+'TE CVA'!AB39</f>
        <v>388.08000000000004</v>
      </c>
      <c r="AL39" s="9" t="b">
        <f t="shared" ca="1" si="3"/>
        <v>1</v>
      </c>
    </row>
    <row r="40" spans="1:38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'TE BE'!$L$40*'TE BE'!$L$52</f>
        <v>1.1270770659303425E-7</v>
      </c>
      <c r="M40" s="20">
        <f>'TE BE'!$M$40*'TE BE'!$M$52</f>
        <v>-4.8034487050752235</v>
      </c>
      <c r="N40" s="20">
        <f>'TE BE'!$N$40*'TE BE'!$N$52</f>
        <v>0</v>
      </c>
      <c r="O40" s="20">
        <f>'TE BE'!$O$40*'TE BE'!$O$52</f>
        <v>1.5093523043021293</v>
      </c>
      <c r="P40" s="20">
        <f>'TE BE'!$P$40*'TE BE'!$P$52</f>
        <v>0</v>
      </c>
      <c r="Q40" s="20">
        <f>SUM($L$40:$P$40)</f>
        <v>-3.2940962880653881</v>
      </c>
      <c r="R40" s="20">
        <f>'TE BE'!$R$40*'TE BE'!$R$52</f>
        <v>-14.697542477024939</v>
      </c>
      <c r="S40" s="20">
        <f>SUM($R$40:$R$40)</f>
        <v>-14.697542477024939</v>
      </c>
      <c r="T40" s="20">
        <f>'TE BE'!$T$40*'TE BE'!$T$52</f>
        <v>2.965010816724126</v>
      </c>
      <c r="U40" s="20">
        <f>'TE BE'!$U$40*'TE BE'!$U$52</f>
        <v>0.10820634412132075</v>
      </c>
      <c r="V40" s="20">
        <f>'TE BE'!$V$40*'TE BE'!$V$52</f>
        <v>0</v>
      </c>
      <c r="W40" s="20">
        <f>SUM($T$40:$V$40)</f>
        <v>3.0732171608454468</v>
      </c>
      <c r="X40" s="20">
        <f>'TE BE'!$AB$40*'TE BE'!$X$52</f>
        <v>0</v>
      </c>
      <c r="Y40" s="20">
        <f>SUM($X$40:$X$40)</f>
        <v>0</v>
      </c>
      <c r="Z40" s="20">
        <f>'TE BE'!$Z$40*'TE BE'!$Z$52</f>
        <v>-0.49395719015468809</v>
      </c>
      <c r="AA40" s="20">
        <f>SUM($Z$40:$Z$40)</f>
        <v>-0.49395719015468809</v>
      </c>
      <c r="AB40" s="20">
        <f t="shared" ca="1" si="0"/>
        <v>-27.249154019217102</v>
      </c>
      <c r="AD40" s="9">
        <v>1</v>
      </c>
      <c r="AE40" s="9">
        <f ca="1">TarifaMedia!$E$39</f>
        <v>1</v>
      </c>
      <c r="AF40" s="15">
        <f>'TE BE'!AB40+'TE BF'!AB40+'TE CVA'!AB40</f>
        <v>259.03677522481752</v>
      </c>
      <c r="AG40" s="15">
        <f>'TABELAS REH COPEL'!S28</f>
        <v>247.2</v>
      </c>
      <c r="AH40" s="15">
        <f t="shared" ca="1" si="1"/>
        <v>-11.836775224817529</v>
      </c>
      <c r="AI40" s="107">
        <f t="shared" ca="1" si="2"/>
        <v>341.31341360761343</v>
      </c>
      <c r="AK40" s="106">
        <f ca="1">'TE BE'!AB40+'TE BF_350'!AB40+'TE CVA'!AB40</f>
        <v>247.20000000000002</v>
      </c>
      <c r="AL40" s="9" t="b">
        <f t="shared" ca="1" si="3"/>
        <v>1</v>
      </c>
    </row>
    <row r="41" spans="1:38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'TE BE'!$L$41*'TE BE'!$L$52</f>
        <v>1.1270770659303425E-7</v>
      </c>
      <c r="M41" s="20">
        <f>'TE BE'!$M$41*'TE BE'!$M$52</f>
        <v>-4.8034487050752235</v>
      </c>
      <c r="N41" s="20">
        <f>'TE BE'!$N$41*'TE BE'!$N$52</f>
        <v>0</v>
      </c>
      <c r="O41" s="20">
        <f>'TE BE'!$O$41*'TE BE'!$O$52</f>
        <v>1.5093523043021293</v>
      </c>
      <c r="P41" s="20">
        <f>'TE BE'!$P$41*'TE BE'!$P$52</f>
        <v>0</v>
      </c>
      <c r="Q41" s="20">
        <f>SUM($L$41:$P$41)</f>
        <v>-3.2940962880653881</v>
      </c>
      <c r="R41" s="20">
        <f>'TE BE'!$R$41*'TE BE'!$R$52</f>
        <v>-14.697542477024939</v>
      </c>
      <c r="S41" s="20">
        <f>SUM($R$41:$R$41)</f>
        <v>-14.697542477024939</v>
      </c>
      <c r="T41" s="20">
        <f>'TE BE'!$T$41*'TE BE'!$T$52</f>
        <v>2.965010816724126</v>
      </c>
      <c r="U41" s="20">
        <f>'TE BE'!$U$41*'TE BE'!$U$52</f>
        <v>0.10820634412132075</v>
      </c>
      <c r="V41" s="20">
        <f>'TE BE'!$V$41*'TE BE'!$V$52</f>
        <v>0</v>
      </c>
      <c r="W41" s="20">
        <f>SUM($T$41:$V$41)</f>
        <v>3.0732171608454468</v>
      </c>
      <c r="X41" s="20">
        <f>'TE BE'!$AB$41*'TE BE'!$X$52</f>
        <v>0</v>
      </c>
      <c r="Y41" s="20">
        <f>SUM($X$41:$X$41)</f>
        <v>0</v>
      </c>
      <c r="Z41" s="20">
        <f>'TE BE'!$Z$41*'TE BE'!$Z$52</f>
        <v>-0.49395719015468809</v>
      </c>
      <c r="AA41" s="20">
        <f>SUM($Z$41:$Z$41)</f>
        <v>-0.49395719015468809</v>
      </c>
      <c r="AB41" s="20">
        <f t="shared" ca="1" si="0"/>
        <v>-27.249154019217102</v>
      </c>
      <c r="AD41" s="9">
        <v>1</v>
      </c>
      <c r="AE41" s="9">
        <f ca="1">TarifaMedia!$E$39</f>
        <v>1</v>
      </c>
      <c r="AF41" s="15">
        <f>'TE BE'!AB41+'TE BF'!AB41+'TE CVA'!AB41</f>
        <v>259.03677522481752</v>
      </c>
      <c r="AG41" s="15">
        <f>'TABELAS REH COPEL'!S29</f>
        <v>247.2</v>
      </c>
      <c r="AH41" s="15">
        <f t="shared" ca="1" si="1"/>
        <v>-11.836775224817529</v>
      </c>
      <c r="AI41" s="107">
        <f t="shared" ca="1" si="2"/>
        <v>5227.9958606460577</v>
      </c>
      <c r="AK41" s="106">
        <f ca="1">'TE BE'!AB41+'TE BF_350'!AB41+'TE CVA'!AB41</f>
        <v>247.20000000000002</v>
      </c>
      <c r="AL41" s="9" t="b">
        <f t="shared" ca="1" si="3"/>
        <v>1</v>
      </c>
    </row>
    <row r="42" spans="1:38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'TE BE'!$L$42*'TE BE'!$L$52</f>
        <v>1.1270770659303425E-7</v>
      </c>
      <c r="M42" s="20">
        <f>'TE BE'!$M$42*'TE BE'!$M$52</f>
        <v>-4.8034487050752235</v>
      </c>
      <c r="N42" s="20">
        <f>'TE BE'!$N$42*'TE BE'!$N$52</f>
        <v>0</v>
      </c>
      <c r="O42" s="20">
        <f>'TE BE'!$O$42*'TE BE'!$O$52</f>
        <v>1.5093523043021293</v>
      </c>
      <c r="P42" s="20">
        <f>'TE BE'!$P$42*'TE BE'!$P$52</f>
        <v>0</v>
      </c>
      <c r="Q42" s="20">
        <f>SUM($L$42:$P$42)</f>
        <v>-3.2940962880653881</v>
      </c>
      <c r="R42" s="20">
        <f>'TE BE'!$R$42*'TE BE'!$R$52</f>
        <v>-15.579395025646436</v>
      </c>
      <c r="S42" s="20">
        <f>SUM($R$42:$R$42)</f>
        <v>-15.579395025646436</v>
      </c>
      <c r="T42" s="20">
        <f>'TE BE'!$T$42*'TE BE'!$T$52</f>
        <v>2.965010816724126</v>
      </c>
      <c r="U42" s="20">
        <f>'TE BE'!$U$42*'TE BE'!$U$52</f>
        <v>0.10820634412132075</v>
      </c>
      <c r="V42" s="20">
        <f>'TE BE'!$V$42*'TE BE'!$V$52</f>
        <v>0</v>
      </c>
      <c r="W42" s="20">
        <f>SUM($T$42:$V$42)</f>
        <v>3.0732171608454468</v>
      </c>
      <c r="X42" s="20">
        <f>'TE BE'!$AB$42*'TE BE'!$X$52</f>
        <v>0</v>
      </c>
      <c r="Y42" s="20">
        <f>SUM($X$42:$X$42)</f>
        <v>0</v>
      </c>
      <c r="Z42" s="20">
        <f>'TE BE'!$Z$42*'TE BE'!$Z$52</f>
        <v>-0.49395719015468809</v>
      </c>
      <c r="AA42" s="20">
        <f>SUM($Z$42:$Z$42)</f>
        <v>-0.49395719015468809</v>
      </c>
      <c r="AB42" s="20">
        <f t="shared" ca="1" si="0"/>
        <v>-29.392482841221916</v>
      </c>
      <c r="AD42" s="9">
        <v>1</v>
      </c>
      <c r="AE42" s="9">
        <f ca="1">TarifaMedia!$E$39</f>
        <v>1</v>
      </c>
      <c r="AF42" s="15">
        <f>'TE BE'!AB42+'TE BF'!AB42+'TE CVA'!AB42</f>
        <v>272.03825149820085</v>
      </c>
      <c r="AG42" s="15">
        <f>'TABELAS REH COPEL'!S30</f>
        <v>258.94</v>
      </c>
      <c r="AH42" s="15">
        <f t="shared" ca="1" si="1"/>
        <v>-13.098251498200852</v>
      </c>
      <c r="AI42" s="107">
        <f t="shared" ca="1" si="2"/>
        <v>374852.36289426708</v>
      </c>
      <c r="AK42" s="106">
        <f ca="1">'TE BE'!AB42+'TE BF_350'!AB42+'TE CVA'!AB42</f>
        <v>258.94</v>
      </c>
      <c r="AL42" s="9" t="b">
        <f t="shared" ca="1" si="3"/>
        <v>1</v>
      </c>
    </row>
    <row r="43" spans="1:38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'TE BE'!$L$43*'TE BE'!$L$52</f>
        <v>1.1270770659303425E-7</v>
      </c>
      <c r="M43" s="20">
        <f>'TE BE'!$M$43*'TE BE'!$M$52</f>
        <v>-4.8034487050752235</v>
      </c>
      <c r="N43" s="20">
        <f>'TE BE'!$N$43*'TE BE'!$N$52</f>
        <v>0</v>
      </c>
      <c r="O43" s="20">
        <f>'TE BE'!$O$43*'TE BE'!$O$52</f>
        <v>1.5093523043021293</v>
      </c>
      <c r="P43" s="20">
        <f>'TE BE'!$P$43*'TE BE'!$P$52</f>
        <v>0</v>
      </c>
      <c r="Q43" s="20">
        <f>SUM($L$43:$P$43)</f>
        <v>-3.2940962880653881</v>
      </c>
      <c r="R43" s="20">
        <f>'TE BE'!$R$43*'TE BE'!$R$52</f>
        <v>-15.579395025646436</v>
      </c>
      <c r="S43" s="20">
        <f>SUM($R$43:$R$43)</f>
        <v>-15.579395025646436</v>
      </c>
      <c r="T43" s="20">
        <f>'TE BE'!$T$43*'TE BE'!$T$52</f>
        <v>2.965010816724126</v>
      </c>
      <c r="U43" s="20">
        <f>'TE BE'!$U$43*'TE BE'!$U$52</f>
        <v>0.10820634412132075</v>
      </c>
      <c r="V43" s="20">
        <f>'TE BE'!$V$43*'TE BE'!$V$52</f>
        <v>0</v>
      </c>
      <c r="W43" s="20">
        <f>SUM($T$43:$V$43)</f>
        <v>3.0732171608454468</v>
      </c>
      <c r="X43" s="20">
        <f>'TE BE'!$AB$43*'TE BE'!$X$52</f>
        <v>0</v>
      </c>
      <c r="Y43" s="20">
        <f>SUM($X$43:$X$43)</f>
        <v>0</v>
      </c>
      <c r="Z43" s="20">
        <f>'TE BE'!$Z$43*'TE BE'!$Z$52</f>
        <v>-0.49395719015468809</v>
      </c>
      <c r="AA43" s="20">
        <f>SUM($Z$43:$Z$43)</f>
        <v>-0.49395719015468809</v>
      </c>
      <c r="AB43" s="20">
        <f t="shared" ca="1" si="0"/>
        <v>-29.392482841221916</v>
      </c>
      <c r="AD43" s="9">
        <v>1</v>
      </c>
      <c r="AE43" s="9">
        <f ca="1">TarifaMedia!$E$39</f>
        <v>1</v>
      </c>
      <c r="AF43" s="15">
        <f>'TE BE'!AB43+'TE BF'!AB43+'TE CVA'!AB43</f>
        <v>272.03825149820085</v>
      </c>
      <c r="AG43" s="15">
        <f>'TABELAS REH COPEL'!S31</f>
        <v>258.94</v>
      </c>
      <c r="AH43" s="15">
        <f t="shared" ca="1" si="1"/>
        <v>-13.098251498200852</v>
      </c>
      <c r="AI43" s="107">
        <f t="shared" ca="1" si="2"/>
        <v>0</v>
      </c>
      <c r="AK43" s="106">
        <f ca="1">'TE BE'!AB43+'TE BF_350'!AB43+'TE CVA'!AB43</f>
        <v>258.94</v>
      </c>
      <c r="AL43" s="9" t="b">
        <f t="shared" ca="1" si="3"/>
        <v>1</v>
      </c>
    </row>
    <row r="44" spans="1:38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'TE BE'!$L$44*'TE BE'!$L$52</f>
        <v>6.1989238626168845E-8</v>
      </c>
      <c r="M44" s="20">
        <f>'TE BE'!$M$44*'TE BE'!$M$52</f>
        <v>-2.641896787791373</v>
      </c>
      <c r="N44" s="20">
        <f>'TE BE'!$N$44*'TE BE'!$N$52</f>
        <v>0</v>
      </c>
      <c r="O44" s="20">
        <f>'TE BE'!$O$44*'TE BE'!$O$52</f>
        <v>0.83014376736617124</v>
      </c>
      <c r="P44" s="20">
        <f>'TE BE'!$P$44*'TE BE'!$P$52</f>
        <v>0</v>
      </c>
      <c r="Q44" s="20">
        <f>SUM($L$44:$P$44)</f>
        <v>-1.8117529584359633</v>
      </c>
      <c r="R44" s="20">
        <f>'TE BE'!$R$44*'TE BE'!$R$52</f>
        <v>-8.5686672641055406</v>
      </c>
      <c r="S44" s="20">
        <f>SUM($R$44:$R$44)</f>
        <v>-8.5686672641055406</v>
      </c>
      <c r="T44" s="20">
        <f>'TE BE'!$T$44*'TE BE'!$T$52</f>
        <v>1.6307559491982695</v>
      </c>
      <c r="U44" s="20">
        <f>'TE BE'!$U$44*'TE BE'!$U$52</f>
        <v>5.9513489266726421E-2</v>
      </c>
      <c r="V44" s="20">
        <f>'TE BE'!$V$44*'TE BE'!$V$52</f>
        <v>0</v>
      </c>
      <c r="W44" s="20">
        <f>SUM($T$44:$V$44)</f>
        <v>1.6902694384649959</v>
      </c>
      <c r="X44" s="20">
        <f>'TE BE'!$AB$44*'TE BE'!$X$52</f>
        <v>0</v>
      </c>
      <c r="Y44" s="20">
        <f>SUM($X$44:$X$44)</f>
        <v>0</v>
      </c>
      <c r="Z44" s="20">
        <f>'TE BE'!$Z$44*'TE BE'!$Z$52</f>
        <v>-0.2716764545850785</v>
      </c>
      <c r="AA44" s="20">
        <f>SUM($Z$44:$Z$44)</f>
        <v>-0.2716764545850785</v>
      </c>
      <c r="AB44" s="20">
        <f t="shared" ca="1" si="0"/>
        <v>-16.162865562672039</v>
      </c>
      <c r="AD44" s="9">
        <v>1</v>
      </c>
      <c r="AE44" s="9">
        <f ca="1">TarifaMedia!$E$39</f>
        <v>1</v>
      </c>
      <c r="AF44" s="15">
        <f>'TE BE'!AB44+'TE BF'!AB44+'TE CVA'!AB44</f>
        <v>149.62103832401044</v>
      </c>
      <c r="AG44" s="15">
        <f>'TABELAS REH COPEL'!S32</f>
        <v>142.41999999999999</v>
      </c>
      <c r="AH44" s="15">
        <f t="shared" ca="1" si="1"/>
        <v>-7.2010383240104545</v>
      </c>
      <c r="AI44" s="107">
        <f t="shared" ca="1" si="2"/>
        <v>87856.31127831951</v>
      </c>
      <c r="AK44" s="106">
        <f ca="1">'TE BE'!AB44+'TE BF_350'!AB44+'TE CVA'!AB44</f>
        <v>142.41999999999999</v>
      </c>
      <c r="AL44" s="9" t="b">
        <f t="shared" ca="1" si="3"/>
        <v>1</v>
      </c>
    </row>
    <row r="45" spans="1:38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'TE BE'!$L$45*'TE BE'!$L$52</f>
        <v>6.7624623955820546E-8</v>
      </c>
      <c r="M45" s="20">
        <f>'TE BE'!$M$45*'TE BE'!$M$52</f>
        <v>-2.8820692230451335</v>
      </c>
      <c r="N45" s="20">
        <f>'TE BE'!$N$45*'TE BE'!$N$52</f>
        <v>0</v>
      </c>
      <c r="O45" s="20">
        <f>'TE BE'!$O$45*'TE BE'!$O$52</f>
        <v>0.90561138258127749</v>
      </c>
      <c r="P45" s="20">
        <f>'TE BE'!$P$45*'TE BE'!$P$52</f>
        <v>0</v>
      </c>
      <c r="Q45" s="20">
        <f>SUM($L$45:$P$45)</f>
        <v>-1.9764577728392319</v>
      </c>
      <c r="R45" s="20">
        <f>'TE BE'!$R$45*'TE BE'!$R$52</f>
        <v>-9.3476370153878623</v>
      </c>
      <c r="S45" s="20">
        <f>SUM($R$45:$R$45)</f>
        <v>-9.3476370153878623</v>
      </c>
      <c r="T45" s="20">
        <f>'TE BE'!$T$45*'TE BE'!$T$52</f>
        <v>1.7790064900344755</v>
      </c>
      <c r="U45" s="20">
        <f>'TE BE'!$U$45*'TE BE'!$U$52</f>
        <v>6.4923806472792445E-2</v>
      </c>
      <c r="V45" s="20">
        <f>'TE BE'!$V$45*'TE BE'!$V$52</f>
        <v>0</v>
      </c>
      <c r="W45" s="20">
        <f>SUM($T$45:$V$45)</f>
        <v>1.8439302965072679</v>
      </c>
      <c r="X45" s="20">
        <f>'TE BE'!$AB$45*'TE BE'!$X$52</f>
        <v>0</v>
      </c>
      <c r="Y45" s="20">
        <f>SUM($X$45:$X$45)</f>
        <v>0</v>
      </c>
      <c r="Z45" s="20">
        <f>'TE BE'!$Z$45*'TE BE'!$Z$52</f>
        <v>-0.2963743140928129</v>
      </c>
      <c r="AA45" s="20">
        <f>SUM($Z$45:$Z$45)</f>
        <v>-0.2963743140928129</v>
      </c>
      <c r="AB45" s="20">
        <f t="shared" ca="1" si="0"/>
        <v>-17.639489704733112</v>
      </c>
      <c r="AD45" s="9">
        <v>1</v>
      </c>
      <c r="AE45" s="9">
        <f ca="1">TarifaMedia!$E$39</f>
        <v>1</v>
      </c>
      <c r="AF45" s="15">
        <f>'TE BE'!AB45+'TE BF'!AB45+'TE CVA'!AB45</f>
        <v>163.22295089892049</v>
      </c>
      <c r="AG45" s="15">
        <f>'TABELAS REH COPEL'!S33</f>
        <v>155.36000000000001</v>
      </c>
      <c r="AH45" s="15">
        <f t="shared" ca="1" si="1"/>
        <v>-7.8629508989204737</v>
      </c>
      <c r="AI45" s="107">
        <f t="shared" ca="1" si="2"/>
        <v>0</v>
      </c>
      <c r="AK45" s="106">
        <f ca="1">'TE BE'!AB45+'TE BF_350'!AB45+'TE CVA'!AB45</f>
        <v>155.36000000000001</v>
      </c>
      <c r="AL45" s="9" t="b">
        <f t="shared" ca="1" si="3"/>
        <v>1</v>
      </c>
    </row>
    <row r="46" spans="1:38" ht="11.25" customHeight="1" x14ac:dyDescent="0.25">
      <c r="AI46" s="108">
        <f ca="1">SUM(AI5:AI45)</f>
        <v>2509588.8235766659</v>
      </c>
    </row>
    <row r="47" spans="1:38" ht="11.25" customHeight="1" x14ac:dyDescent="0.25">
      <c r="K47" s="25" t="s">
        <v>704</v>
      </c>
      <c r="L47" s="20">
        <f t="shared" ref="L47:AB47" si="7">SUMPRODUCT($I$5:$I$45,L$5:L$45)</f>
        <v>2.1730396836747653E-2</v>
      </c>
      <c r="M47" s="20">
        <f t="shared" si="7"/>
        <v>-926119.86971880542</v>
      </c>
      <c r="N47" s="20">
        <f t="shared" si="7"/>
        <v>0</v>
      </c>
      <c r="O47" s="20">
        <f t="shared" si="7"/>
        <v>291007.82484533178</v>
      </c>
      <c r="P47" s="20">
        <f t="shared" si="7"/>
        <v>0</v>
      </c>
      <c r="Q47" s="20">
        <f t="shared" si="7"/>
        <v>-635112.0231430768</v>
      </c>
      <c r="R47" s="20">
        <f t="shared" si="7"/>
        <v>-2992739.8518927959</v>
      </c>
      <c r="S47" s="20">
        <f t="shared" si="7"/>
        <v>-2992739.8518927959</v>
      </c>
      <c r="T47" s="20">
        <f t="shared" si="7"/>
        <v>571663.31939759816</v>
      </c>
      <c r="U47" s="20">
        <f t="shared" si="7"/>
        <v>20862.520133608137</v>
      </c>
      <c r="V47" s="20">
        <f t="shared" si="7"/>
        <v>0</v>
      </c>
      <c r="W47" s="20">
        <f t="shared" si="7"/>
        <v>592525.83953120629</v>
      </c>
      <c r="X47" s="20">
        <f t="shared" si="7"/>
        <v>0</v>
      </c>
      <c r="Y47" s="20">
        <f t="shared" si="7"/>
        <v>0</v>
      </c>
      <c r="Z47" s="20">
        <f t="shared" si="7"/>
        <v>-95236.484592701163</v>
      </c>
      <c r="AA47" s="20">
        <f t="shared" si="7"/>
        <v>-95236.484592701163</v>
      </c>
      <c r="AB47" s="20">
        <f t="shared" ca="1" si="7"/>
        <v>-5640151.343674032</v>
      </c>
    </row>
    <row r="48" spans="1:38" ht="11.25" customHeight="1" x14ac:dyDescent="0.25">
      <c r="K48" s="25" t="s">
        <v>623</v>
      </c>
      <c r="L48" s="20">
        <f>CUSTOS!$D$30</f>
        <v>490441.64912756049</v>
      </c>
      <c r="M48" s="20">
        <f>CUSTOS!$D$31</f>
        <v>2519008.7404471575</v>
      </c>
      <c r="N48" s="20">
        <f>CUSTOS!$D$32</f>
        <v>0</v>
      </c>
      <c r="O48" s="20">
        <f>CUSTOS!$D$33</f>
        <v>794008.21351846925</v>
      </c>
      <c r="P48" s="20">
        <f>CUSTOS!$D$34</f>
        <v>-3150000</v>
      </c>
      <c r="Q48" s="20">
        <f>CUSTOS!$D$35</f>
        <v>653458.60309318732</v>
      </c>
      <c r="R48" s="20">
        <f>CUSTOS!$D$36</f>
        <v>41430078.225968428</v>
      </c>
      <c r="S48" s="20">
        <f>CUSTOS!$D$37</f>
        <v>41430078.225968428</v>
      </c>
      <c r="T48" s="20">
        <f>CUSTOS!$D$38</f>
        <v>1559392.1738818092</v>
      </c>
      <c r="U48" s="20">
        <f>CUSTOS!$D$39</f>
        <v>1295788.6175304062</v>
      </c>
      <c r="V48" s="20">
        <f>CUSTOS!$D$40</f>
        <v>0</v>
      </c>
      <c r="W48" s="20">
        <f>CUSTOS!$D$41</f>
        <v>2855180.7914122157</v>
      </c>
      <c r="X48" s="20">
        <f>CUSTOS!$D$42</f>
        <v>0</v>
      </c>
      <c r="Y48" s="20">
        <f>CUSTOS!$D$43</f>
        <v>0</v>
      </c>
      <c r="Z48" s="20">
        <f>CUSTOS!$D$44</f>
        <v>1318408.9502956187</v>
      </c>
      <c r="AA48" s="20">
        <f>CUSTOS!$D$45</f>
        <v>1318408.9502956187</v>
      </c>
      <c r="AB48" s="20">
        <f>CUSTOS!$D$46</f>
        <v>46257126.570769452</v>
      </c>
    </row>
    <row r="49" spans="11:28" ht="11.25" customHeight="1" x14ac:dyDescent="0.25">
      <c r="K49" s="25" t="s">
        <v>624</v>
      </c>
      <c r="L49" s="20">
        <f>CUSTOS!$E$30</f>
        <v>2.1730396836747649E-2</v>
      </c>
      <c r="M49" s="20">
        <f>CUSTOS!$E$31</f>
        <v>-926119.86971880542</v>
      </c>
      <c r="N49" s="20">
        <f>CUSTOS!$E$32</f>
        <v>0</v>
      </c>
      <c r="O49" s="20">
        <f>CUSTOS!$E$33</f>
        <v>291007.82484533184</v>
      </c>
      <c r="P49" s="20">
        <f>CUSTOS!$E$34</f>
        <v>0</v>
      </c>
      <c r="Q49" s="20">
        <f>CUSTOS!$E$35</f>
        <v>-635112.0231430768</v>
      </c>
      <c r="R49" s="20">
        <f>CUSTOS!$E$36</f>
        <v>-2992739.8518927954</v>
      </c>
      <c r="S49" s="20">
        <f>CUSTOS!$E$37</f>
        <v>-2992739.8518927954</v>
      </c>
      <c r="T49" s="20">
        <f>CUSTOS!$E$38</f>
        <v>571663.31939759804</v>
      </c>
      <c r="U49" s="20">
        <f>CUSTOS!$E$39</f>
        <v>20862.520133608137</v>
      </c>
      <c r="V49" s="20">
        <f>CUSTOS!$E$40</f>
        <v>0</v>
      </c>
      <c r="W49" s="20">
        <f>CUSTOS!$E$41</f>
        <v>592525.83953120618</v>
      </c>
      <c r="X49" s="20">
        <f>CUSTOS!$E$42</f>
        <v>0</v>
      </c>
      <c r="Y49" s="20">
        <f>CUSTOS!$E$43</f>
        <v>0</v>
      </c>
      <c r="Z49" s="20">
        <f>CUSTOS!$E$44</f>
        <v>-95236.484592701177</v>
      </c>
      <c r="AA49" s="20">
        <f>CUSTOS!$E$45</f>
        <v>-95236.484592701177</v>
      </c>
      <c r="AB49" s="20">
        <f>CUSTOS!$E$46</f>
        <v>-3130562.5200973675</v>
      </c>
    </row>
    <row r="50" spans="11:28" ht="11.25" customHeight="1" x14ac:dyDescent="0.25">
      <c r="K50" s="25" t="s">
        <v>625</v>
      </c>
      <c r="L50" s="20">
        <f>CUSTOS!$F$30</f>
        <v>0</v>
      </c>
      <c r="M50" s="20">
        <f>CUSTOS!$F$31</f>
        <v>3430068.2357000001</v>
      </c>
      <c r="N50" s="20">
        <f>CUSTOS!$F$32</f>
        <v>0</v>
      </c>
      <c r="O50" s="20">
        <f>CUSTOS!$F$33</f>
        <v>71247.873020958446</v>
      </c>
      <c r="P50" s="20">
        <f>CUSTOS!$F$34</f>
        <v>0</v>
      </c>
      <c r="Q50" s="20">
        <f>CUSTOS!$F$35</f>
        <v>3501316.1087209587</v>
      </c>
      <c r="R50" s="20">
        <f>CUSTOS!$F$36</f>
        <v>5685725.32587808</v>
      </c>
      <c r="S50" s="20">
        <f>CUSTOS!$F$37</f>
        <v>5685725.32587808</v>
      </c>
      <c r="T50" s="20">
        <f>CUSTOS!$F$38</f>
        <v>-178222.86040000001</v>
      </c>
      <c r="U50" s="20">
        <f>CUSTOS!$F$39</f>
        <v>-28907.910200000002</v>
      </c>
      <c r="V50" s="20">
        <f>CUSTOS!$F$40</f>
        <v>0</v>
      </c>
      <c r="W50" s="20">
        <f>CUSTOS!$F$41</f>
        <v>-207130.77060000002</v>
      </c>
      <c r="X50" s="20">
        <f>CUSTOS!$F$42</f>
        <v>0</v>
      </c>
      <c r="Y50" s="20">
        <f>CUSTOS!$F$43</f>
        <v>0</v>
      </c>
      <c r="Z50" s="20">
        <f>CUSTOS!$F$44</f>
        <v>180934.03342554063</v>
      </c>
      <c r="AA50" s="20">
        <f>CUSTOS!$F$45</f>
        <v>180934.03342554063</v>
      </c>
      <c r="AB50" s="20">
        <f>CUSTOS!$F$46</f>
        <v>9160844.6974245775</v>
      </c>
    </row>
    <row r="51" spans="11:28" ht="11.25" customHeight="1" x14ac:dyDescent="0.25">
      <c r="K51" s="25" t="s">
        <v>705</v>
      </c>
      <c r="L51" s="20">
        <f>'TR TE'!$L$51*L52</f>
        <v>0</v>
      </c>
      <c r="M51" s="20">
        <f>'TR TE'!$M$51*M52</f>
        <v>17.790522980675732</v>
      </c>
      <c r="N51" s="20">
        <f>'TR TE'!$N$51*N52</f>
        <v>0</v>
      </c>
      <c r="O51" s="20">
        <f>'TR TE'!$O$51*O52</f>
        <v>0.36953694072647275</v>
      </c>
      <c r="P51" s="20">
        <f>'TR TE'!$P$51*P52</f>
        <v>0</v>
      </c>
      <c r="Q51" s="20"/>
      <c r="R51" s="20">
        <f>'TR TE'!$R$51*R52</f>
        <v>29.311392778649505</v>
      </c>
      <c r="S51" s="20"/>
      <c r="T51" s="20">
        <f>'TR TE'!$T$51*T52</f>
        <v>-0.9243774979831848</v>
      </c>
      <c r="U51" s="20">
        <f>'TR TE'!$U$51*U52</f>
        <v>-0.14993487166923838</v>
      </c>
      <c r="V51" s="20">
        <f>'TR TE'!$V$51*V52</f>
        <v>0</v>
      </c>
      <c r="W51" s="20"/>
      <c r="X51" s="20"/>
      <c r="Y51" s="20"/>
      <c r="Z51" s="20">
        <f>'TR TE'!$Z$51*Z52</f>
        <v>0.93843937159650237</v>
      </c>
      <c r="AA51" s="20"/>
      <c r="AB51" s="20"/>
    </row>
    <row r="52" spans="11:28" ht="11.25" customHeight="1" x14ac:dyDescent="0.25">
      <c r="K52" s="25" t="s">
        <v>700</v>
      </c>
      <c r="L52" s="20">
        <f>IF(L48&lt;&gt;0,L50/L48,0)</f>
        <v>0</v>
      </c>
      <c r="M52" s="20">
        <f>IF(M48&lt;&gt;0,M50/M48,0)</f>
        <v>1.361673812648668</v>
      </c>
      <c r="N52" s="20">
        <f>IF(N48&lt;&gt;0,N50/N48,0)</f>
        <v>0</v>
      </c>
      <c r="O52" s="20">
        <f>IF(O48&lt;&gt;0,O50/O48,0)</f>
        <v>8.9731909327788295E-2</v>
      </c>
      <c r="P52" s="20">
        <f>IF(P48&lt;&gt;0,P50/P48,0)</f>
        <v>0</v>
      </c>
      <c r="Q52" s="20"/>
      <c r="R52" s="20">
        <f>IF(R48&lt;&gt;0,R50/R48,0)</f>
        <v>0.13723665436659155</v>
      </c>
      <c r="S52" s="20"/>
      <c r="T52" s="20">
        <f>IF(T48&lt;&gt;0,T50/T48,0)</f>
        <v>-0.11428995437135496</v>
      </c>
      <c r="U52" s="20">
        <f>IF(U48&lt;&gt;0,U50/U48,0)</f>
        <v>-2.230912496753867E-2</v>
      </c>
      <c r="V52" s="20">
        <f>IF(V48&lt;&gt;0,V50/V48,0)</f>
        <v>0</v>
      </c>
      <c r="W52" s="20"/>
      <c r="X52" s="20">
        <f>IF($AB48&lt;&gt;0,X50/($AB48-SUM('TR TE'!$L51:'TR TE'!$AA51)*0),0)</f>
        <v>0</v>
      </c>
      <c r="Y52" s="20"/>
      <c r="Z52" s="20">
        <f>IF(Z48&lt;&gt;0,Z50/Z48,0)</f>
        <v>0.13723665436659158</v>
      </c>
      <c r="AA52" s="20"/>
      <c r="AB52" s="20"/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73">
    <mergeCell ref="AE1:AE4"/>
    <mergeCell ref="AF1:AF4"/>
    <mergeCell ref="AG1:AG4"/>
    <mergeCell ref="AH1:AH4"/>
    <mergeCell ref="AI1:AI4"/>
    <mergeCell ref="E39:E41"/>
    <mergeCell ref="F39:F41"/>
    <mergeCell ref="A44:A45"/>
    <mergeCell ref="B44:B45"/>
    <mergeCell ref="C44:C45"/>
    <mergeCell ref="AD1:AD4"/>
    <mergeCell ref="B36:B38"/>
    <mergeCell ref="C36:C38"/>
    <mergeCell ref="A39:A43"/>
    <mergeCell ref="B39:B41"/>
    <mergeCell ref="C39:C41"/>
    <mergeCell ref="D39:D41"/>
    <mergeCell ref="F28:F30"/>
    <mergeCell ref="B32:B34"/>
    <mergeCell ref="C32:C34"/>
    <mergeCell ref="D32:D34"/>
    <mergeCell ref="E32:E34"/>
    <mergeCell ref="F32:F34"/>
    <mergeCell ref="A24:A38"/>
    <mergeCell ref="B24:B26"/>
    <mergeCell ref="C24:C26"/>
    <mergeCell ref="D24:D26"/>
    <mergeCell ref="E24:E26"/>
    <mergeCell ref="F24:F26"/>
    <mergeCell ref="B28:B30"/>
    <mergeCell ref="C28:C30"/>
    <mergeCell ref="D28:D30"/>
    <mergeCell ref="E28:E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A8:A10"/>
    <mergeCell ref="B8:B9"/>
    <mergeCell ref="C8:C9"/>
    <mergeCell ref="D8:D9"/>
    <mergeCell ref="E8:E9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853" priority="33" operator="notEqual">
      <formula>$L$49</formula>
    </cfRule>
    <cfRule type="cellIs" dxfId="852" priority="34" operator="equal">
      <formula>$L$49</formula>
    </cfRule>
  </conditionalFormatting>
  <conditionalFormatting sqref="M47">
    <cfRule type="cellIs" dxfId="851" priority="31" operator="notEqual">
      <formula>$M$49</formula>
    </cfRule>
    <cfRule type="cellIs" dxfId="850" priority="32" operator="equal">
      <formula>$M$49</formula>
    </cfRule>
  </conditionalFormatting>
  <conditionalFormatting sqref="N47">
    <cfRule type="cellIs" dxfId="849" priority="29" operator="notEqual">
      <formula>$N$49</formula>
    </cfRule>
    <cfRule type="cellIs" dxfId="848" priority="30" operator="equal">
      <formula>$N$49</formula>
    </cfRule>
  </conditionalFormatting>
  <conditionalFormatting sqref="O47">
    <cfRule type="cellIs" dxfId="847" priority="27" operator="notEqual">
      <formula>$O$49</formula>
    </cfRule>
    <cfRule type="cellIs" dxfId="846" priority="28" operator="equal">
      <formula>$O$49</formula>
    </cfRule>
  </conditionalFormatting>
  <conditionalFormatting sqref="P47">
    <cfRule type="cellIs" dxfId="845" priority="25" operator="notEqual">
      <formula>$P$49</formula>
    </cfRule>
    <cfRule type="cellIs" dxfId="844" priority="26" operator="equal">
      <formula>$P$49</formula>
    </cfRule>
  </conditionalFormatting>
  <conditionalFormatting sqref="Q47">
    <cfRule type="cellIs" dxfId="843" priority="23" operator="notEqual">
      <formula>$Q$49</formula>
    </cfRule>
    <cfRule type="cellIs" dxfId="842" priority="24" operator="equal">
      <formula>$Q$49</formula>
    </cfRule>
  </conditionalFormatting>
  <conditionalFormatting sqref="R47">
    <cfRule type="cellIs" dxfId="841" priority="21" operator="notEqual">
      <formula>$R$49</formula>
    </cfRule>
    <cfRule type="cellIs" dxfId="840" priority="22" operator="equal">
      <formula>$R$49</formula>
    </cfRule>
  </conditionalFormatting>
  <conditionalFormatting sqref="S47">
    <cfRule type="cellIs" dxfId="839" priority="19" operator="notEqual">
      <formula>$S$49</formula>
    </cfRule>
    <cfRule type="cellIs" dxfId="838" priority="20" operator="equal">
      <formula>$S$49</formula>
    </cfRule>
  </conditionalFormatting>
  <conditionalFormatting sqref="T47">
    <cfRule type="cellIs" dxfId="837" priority="17" operator="notEqual">
      <formula>$T$49</formula>
    </cfRule>
    <cfRule type="cellIs" dxfId="836" priority="18" operator="equal">
      <formula>$T$49</formula>
    </cfRule>
  </conditionalFormatting>
  <conditionalFormatting sqref="U47">
    <cfRule type="cellIs" dxfId="835" priority="15" operator="notEqual">
      <formula>$U$49</formula>
    </cfRule>
    <cfRule type="cellIs" dxfId="834" priority="16" operator="equal">
      <formula>$U$49</formula>
    </cfRule>
  </conditionalFormatting>
  <conditionalFormatting sqref="V47">
    <cfRule type="cellIs" dxfId="833" priority="13" operator="notEqual">
      <formula>$V$49</formula>
    </cfRule>
    <cfRule type="cellIs" dxfId="832" priority="14" operator="equal">
      <formula>$V$49</formula>
    </cfRule>
  </conditionalFormatting>
  <conditionalFormatting sqref="W47">
    <cfRule type="cellIs" dxfId="831" priority="11" operator="notEqual">
      <formula>$W$49</formula>
    </cfRule>
    <cfRule type="cellIs" dxfId="830" priority="12" operator="equal">
      <formula>$W$49</formula>
    </cfRule>
  </conditionalFormatting>
  <conditionalFormatting sqref="X47">
    <cfRule type="cellIs" dxfId="829" priority="9" operator="notEqual">
      <formula>$X$49</formula>
    </cfRule>
    <cfRule type="cellIs" dxfId="828" priority="10" operator="equal">
      <formula>$X$49</formula>
    </cfRule>
  </conditionalFormatting>
  <conditionalFormatting sqref="Y47">
    <cfRule type="cellIs" dxfId="827" priority="7" operator="notEqual">
      <formula>$Y$49</formula>
    </cfRule>
    <cfRule type="cellIs" dxfId="826" priority="8" operator="equal">
      <formula>$Y$49</formula>
    </cfRule>
  </conditionalFormatting>
  <conditionalFormatting sqref="Z47">
    <cfRule type="cellIs" dxfId="825" priority="5" operator="notEqual">
      <formula>$Z$49</formula>
    </cfRule>
    <cfRule type="cellIs" dxfId="824" priority="6" operator="equal">
      <formula>$Z$49</formula>
    </cfRule>
  </conditionalFormatting>
  <conditionalFormatting sqref="AA47">
    <cfRule type="cellIs" dxfId="823" priority="3" operator="notEqual">
      <formula>$AA$49</formula>
    </cfRule>
    <cfRule type="cellIs" dxfId="822" priority="4" operator="equal">
      <formula>$AA$49</formula>
    </cfRule>
  </conditionalFormatting>
  <conditionalFormatting sqref="AB47">
    <cfRule type="cellIs" dxfId="821" priority="1" operator="notEqual">
      <formula>$AB$49</formula>
    </cfRule>
    <cfRule type="cellIs" dxfId="820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6C92-346F-4ADA-AF7A-4BD058EB4AF0}">
  <dimension ref="A1:AB53"/>
  <sheetViews>
    <sheetView showGridLines="0" topLeftCell="Q1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8.710937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709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</row>
    <row r="2" spans="1:28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</row>
    <row r="3" spans="1:28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164"/>
      <c r="R3" s="164" t="s">
        <v>613</v>
      </c>
      <c r="S3" s="164"/>
      <c r="T3" s="164" t="s">
        <v>591</v>
      </c>
      <c r="U3" s="164"/>
      <c r="V3" s="164"/>
      <c r="W3" s="164"/>
      <c r="X3" s="164" t="s">
        <v>601</v>
      </c>
      <c r="Y3" s="164"/>
      <c r="Z3" s="164" t="s">
        <v>604</v>
      </c>
      <c r="AA3" s="164"/>
      <c r="AB3" s="164" t="s">
        <v>590</v>
      </c>
    </row>
    <row r="4" spans="1:28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590</v>
      </c>
      <c r="R4" s="24" t="s">
        <v>614</v>
      </c>
      <c r="S4" s="24" t="s">
        <v>590</v>
      </c>
      <c r="T4" s="24" t="s">
        <v>615</v>
      </c>
      <c r="U4" s="24" t="s">
        <v>616</v>
      </c>
      <c r="V4" s="24" t="s">
        <v>617</v>
      </c>
      <c r="W4" s="24" t="s">
        <v>590</v>
      </c>
      <c r="X4" s="24" t="s">
        <v>602</v>
      </c>
      <c r="Y4" s="24" t="s">
        <v>590</v>
      </c>
      <c r="Z4" s="24" t="s">
        <v>618</v>
      </c>
      <c r="AA4" s="24" t="s">
        <v>590</v>
      </c>
      <c r="AB4" s="165"/>
    </row>
    <row r="5" spans="1:28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f>'TE BE'!$L$5*'TE BE'!$L$52</f>
        <v>1.1270770659303425E-7</v>
      </c>
      <c r="M5" s="20">
        <f>'TE BE'!$M$5*'TE BE'!$M$52</f>
        <v>-4.8034487050752235</v>
      </c>
      <c r="N5" s="20">
        <f>'TE BE'!$N$5*'TE BE'!$N$52</f>
        <v>0</v>
      </c>
      <c r="O5" s="20">
        <f>'TE BE'!$O$5*'TE BE'!$O$52</f>
        <v>1.5093523043021293</v>
      </c>
      <c r="P5" s="20">
        <f>'TE BE'!$P$5*'TE BE'!$P$52</f>
        <v>0</v>
      </c>
      <c r="Q5" s="20">
        <f>SUM($L$5:$P$5)</f>
        <v>-3.2940962880653881</v>
      </c>
      <c r="R5" s="20">
        <f>'TE BE'!$R$5*'TE BE'!$R$52</f>
        <v>-25.279773060482892</v>
      </c>
      <c r="S5" s="20">
        <f>SUM($R$5:$R$5)</f>
        <v>-25.279773060482892</v>
      </c>
      <c r="T5" s="20">
        <f>'TE BE'!$T$5*'TE BE'!$T$52</f>
        <v>2.965010816724126</v>
      </c>
      <c r="U5" s="20">
        <f>'TE BE'!$U$5*'TE BE'!$U$52</f>
        <v>0.10820634412132075</v>
      </c>
      <c r="V5" s="20">
        <f>'TE BE'!$V$5*'TE BE'!$V$52</f>
        <v>0</v>
      </c>
      <c r="W5" s="20">
        <f>SUM($T$5:$V$5)</f>
        <v>3.0732171608454468</v>
      </c>
      <c r="X5" s="20">
        <f>'TE BE'!$AB$5*'TE BE'!$X$52</f>
        <v>0</v>
      </c>
      <c r="Y5" s="20">
        <f>SUM($X$5:$X$5)</f>
        <v>0</v>
      </c>
      <c r="Z5" s="20">
        <f>'TE BE'!$Z$5*'TE BE'!$Z$52</f>
        <v>-0.49395719015468809</v>
      </c>
      <c r="AA5" s="20">
        <f>SUM($Z$5:$Z$5)</f>
        <v>-0.49395719015468809</v>
      </c>
      <c r="AB5" s="20">
        <f>SUMIF($L$4:$AA$4,"SUBTOTAL",$L$5:$AA$5)</f>
        <v>-25.994609377857522</v>
      </c>
    </row>
    <row r="6" spans="1:28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f>'TE BE'!$L$6*'TE BE'!$L$52</f>
        <v>1.1270770659303425E-7</v>
      </c>
      <c r="M6" s="20">
        <f>'TE BE'!$M$6*'TE BE'!$M$52</f>
        <v>-4.8034487050752235</v>
      </c>
      <c r="N6" s="20">
        <f>'TE BE'!$N$6*'TE BE'!$N$52</f>
        <v>0</v>
      </c>
      <c r="O6" s="20">
        <f>'TE BE'!$O$6*'TE BE'!$O$52</f>
        <v>1.5093523043021293</v>
      </c>
      <c r="P6" s="20">
        <f>'TE BE'!$P$6*'TE BE'!$P$52</f>
        <v>0</v>
      </c>
      <c r="Q6" s="20">
        <f>SUM($L$6:$P$6)</f>
        <v>-3.2940962880653881</v>
      </c>
      <c r="R6" s="20">
        <f>'TE BE'!$R$6*'TE BE'!$R$52</f>
        <v>-14.697542477024939</v>
      </c>
      <c r="S6" s="20">
        <f>SUM($R$6:$R$6)</f>
        <v>-14.697542477024939</v>
      </c>
      <c r="T6" s="20">
        <f>'TE BE'!$T$6*'TE BE'!$T$52</f>
        <v>2.965010816724126</v>
      </c>
      <c r="U6" s="20">
        <f>'TE BE'!$U$6*'TE BE'!$U$52</f>
        <v>0.10820634412132075</v>
      </c>
      <c r="V6" s="20">
        <f>'TE BE'!$V$6*'TE BE'!$V$52</f>
        <v>0</v>
      </c>
      <c r="W6" s="20">
        <f>SUM($T$6:$V$6)</f>
        <v>3.0732171608454468</v>
      </c>
      <c r="X6" s="20">
        <f>'TE BE'!$AB$6*'TE BE'!$X$52</f>
        <v>0</v>
      </c>
      <c r="Y6" s="20">
        <f>SUM($X$6:$X$6)</f>
        <v>0</v>
      </c>
      <c r="Z6" s="20">
        <f>'TE BE'!$Z$6*'TE BE'!$Z$52</f>
        <v>-0.49395719015468809</v>
      </c>
      <c r="AA6" s="20">
        <f>SUM($Z$6:$Z$6)</f>
        <v>-0.49395719015468809</v>
      </c>
      <c r="AB6" s="20">
        <f>SUMIF($L$4:$AA$4,"SUBTOTAL",$L$6:$AA$6)</f>
        <v>-15.41237879439957</v>
      </c>
    </row>
    <row r="7" spans="1:28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f>'TE BE'!$L$7*'TE BE'!$L$52</f>
        <v>1.1270770659303425E-7</v>
      </c>
      <c r="M7" s="20">
        <f>'TE BE'!$M$7*'TE BE'!$M$52</f>
        <v>-4.8034487050752235</v>
      </c>
      <c r="N7" s="20">
        <f>'TE BE'!$N$7*'TE BE'!$N$52</f>
        <v>0</v>
      </c>
      <c r="O7" s="20">
        <f>'TE BE'!$O$7*'TE BE'!$O$52</f>
        <v>1.5093523043021293</v>
      </c>
      <c r="P7" s="20">
        <f>'TE BE'!$P$7*'TE BE'!$P$52</f>
        <v>0</v>
      </c>
      <c r="Q7" s="20">
        <f>SUM($L$7:$P$7)</f>
        <v>-3.2940962880653881</v>
      </c>
      <c r="R7" s="20">
        <f>'TE BE'!$R$7*'TE BE'!$R$52</f>
        <v>-15.579395025646436</v>
      </c>
      <c r="S7" s="20">
        <f>SUM($R$7:$R$7)</f>
        <v>-15.579395025646436</v>
      </c>
      <c r="T7" s="20">
        <f>'TE BE'!$T$7*'TE BE'!$T$52</f>
        <v>2.965010816724126</v>
      </c>
      <c r="U7" s="20">
        <f>'TE BE'!$U$7*'TE BE'!$U$52</f>
        <v>0.10820634412132075</v>
      </c>
      <c r="V7" s="20">
        <f>'TE BE'!$V$7*'TE BE'!$V$52</f>
        <v>0</v>
      </c>
      <c r="W7" s="20">
        <f>SUM($T$7:$V$7)</f>
        <v>3.0732171608454468</v>
      </c>
      <c r="X7" s="20">
        <f>'TE BE'!$AB$7*'TE BE'!$X$52</f>
        <v>0</v>
      </c>
      <c r="Y7" s="20">
        <f>SUM($X$7:$X$7)</f>
        <v>0</v>
      </c>
      <c r="Z7" s="20">
        <f>'TE BE'!$Z$7*'TE BE'!$Z$52</f>
        <v>-0.49395719015468809</v>
      </c>
      <c r="AA7" s="20">
        <f>SUM($Z$7:$Z$7)</f>
        <v>-0.49395719015468809</v>
      </c>
      <c r="AB7" s="20">
        <f>SUMIF($L$4:$AA$4,"SUBTOTAL",$L$7:$AA$7)</f>
        <v>-16.294231343021064</v>
      </c>
    </row>
    <row r="8" spans="1:28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f>'TE BE'!$L$8*'TE BE'!$L$52</f>
        <v>1.1270770659303425E-7</v>
      </c>
      <c r="M8" s="20">
        <f>'TE BE'!$M$8*'TE BE'!$M$52</f>
        <v>-4.8034487050752235</v>
      </c>
      <c r="N8" s="20">
        <f>'TE BE'!$N$8*'TE BE'!$N$52</f>
        <v>0</v>
      </c>
      <c r="O8" s="20">
        <f>'TE BE'!$O$8*'TE BE'!$O$52</f>
        <v>1.5093523043021293</v>
      </c>
      <c r="P8" s="20">
        <f>'TE BE'!$P$8*'TE BE'!$P$52</f>
        <v>0</v>
      </c>
      <c r="Q8" s="20">
        <f>SUM($L$8:$P$8)</f>
        <v>-3.2940962880653881</v>
      </c>
      <c r="R8" s="20">
        <f>'TE BE'!$R$8*'TE BE'!$R$52</f>
        <v>-25.279773060482892</v>
      </c>
      <c r="S8" s="20">
        <f>SUM($R$8:$R$8)</f>
        <v>-25.279773060482892</v>
      </c>
      <c r="T8" s="20">
        <f>'TE BE'!$T$8*'TE BE'!$T$52</f>
        <v>2.965010816724126</v>
      </c>
      <c r="U8" s="20">
        <f>'TE BE'!$U$8*'TE BE'!$U$52</f>
        <v>0.10820634412132075</v>
      </c>
      <c r="V8" s="20">
        <f>'TE BE'!$V$8*'TE BE'!$V$52</f>
        <v>0</v>
      </c>
      <c r="W8" s="20">
        <f>SUM($T$8:$V$8)</f>
        <v>3.0732171608454468</v>
      </c>
      <c r="X8" s="20">
        <f>'TE BE'!$AB$8*'TE BE'!$X$52</f>
        <v>0</v>
      </c>
      <c r="Y8" s="20">
        <f>SUM($X$8:$X$8)</f>
        <v>0</v>
      </c>
      <c r="Z8" s="20">
        <f>'TE BE'!$Z$8*'TE BE'!$Z$52</f>
        <v>-0.49395719015468809</v>
      </c>
      <c r="AA8" s="20">
        <f>SUM($Z$8:$Z$8)</f>
        <v>-0.49395719015468809</v>
      </c>
      <c r="AB8" s="20">
        <f>SUMIF($L$4:$AA$4,"SUBTOTAL",$L$8:$AA$8)</f>
        <v>-25.994609377857522</v>
      </c>
    </row>
    <row r="9" spans="1:28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f>'TE BE'!$L$9*'TE BE'!$L$52</f>
        <v>1.1270770659303425E-7</v>
      </c>
      <c r="M9" s="20">
        <f>'TE BE'!$M$9*'TE BE'!$M$52</f>
        <v>-4.8034487050752235</v>
      </c>
      <c r="N9" s="20">
        <f>'TE BE'!$N$9*'TE BE'!$N$52</f>
        <v>0</v>
      </c>
      <c r="O9" s="20">
        <f>'TE BE'!$O$9*'TE BE'!$O$52</f>
        <v>1.5093523043021293</v>
      </c>
      <c r="P9" s="20">
        <f>'TE BE'!$P$9*'TE BE'!$P$52</f>
        <v>0</v>
      </c>
      <c r="Q9" s="20">
        <f>SUM($L$9:$P$9)</f>
        <v>-3.2940962880653881</v>
      </c>
      <c r="R9" s="20">
        <f>'TE BE'!$R$9*'TE BE'!$R$52</f>
        <v>-14.697542477024939</v>
      </c>
      <c r="S9" s="20">
        <f>SUM($R$9:$R$9)</f>
        <v>-14.697542477024939</v>
      </c>
      <c r="T9" s="20">
        <f>'TE BE'!$T$9*'TE BE'!$T$52</f>
        <v>2.965010816724126</v>
      </c>
      <c r="U9" s="20">
        <f>'TE BE'!$U$9*'TE BE'!$U$52</f>
        <v>0.10820634412132075</v>
      </c>
      <c r="V9" s="20">
        <f>'TE BE'!$V$9*'TE BE'!$V$52</f>
        <v>0</v>
      </c>
      <c r="W9" s="20">
        <f>SUM($T$9:$V$9)</f>
        <v>3.0732171608454468</v>
      </c>
      <c r="X9" s="20">
        <f>'TE BE'!$AB$9*'TE BE'!$X$52</f>
        <v>0</v>
      </c>
      <c r="Y9" s="20">
        <f>SUM($X$9:$X$9)</f>
        <v>0</v>
      </c>
      <c r="Z9" s="20">
        <f>'TE BE'!$Z$9*'TE BE'!$Z$52</f>
        <v>-0.49395719015468809</v>
      </c>
      <c r="AA9" s="20">
        <f>SUM($Z$9:$Z$9)</f>
        <v>-0.49395719015468809</v>
      </c>
      <c r="AB9" s="20">
        <f>SUMIF($L$4:$AA$4,"SUBTOTAL",$L$9:$AA$9)</f>
        <v>-15.41237879439957</v>
      </c>
    </row>
    <row r="10" spans="1:28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f>'TE BE'!$L$10*'TE BE'!$L$52</f>
        <v>1.1270770659303425E-7</v>
      </c>
      <c r="M10" s="20">
        <f>'TE BE'!$M$10*'TE BE'!$M$52</f>
        <v>-4.8034487050752235</v>
      </c>
      <c r="N10" s="20">
        <f>'TE BE'!$N$10*'TE BE'!$N$52</f>
        <v>0</v>
      </c>
      <c r="O10" s="20">
        <f>'TE BE'!$O$10*'TE BE'!$O$52</f>
        <v>1.5093523043021293</v>
      </c>
      <c r="P10" s="20">
        <f>'TE BE'!$P$10*'TE BE'!$P$52</f>
        <v>0</v>
      </c>
      <c r="Q10" s="20">
        <f>SUM($L$10:$P$10)</f>
        <v>-3.2940962880653881</v>
      </c>
      <c r="R10" s="20">
        <f>'TE BE'!$R$10*'TE BE'!$R$52</f>
        <v>-15.579395025646436</v>
      </c>
      <c r="S10" s="20">
        <f>SUM($R$10:$R$10)</f>
        <v>-15.579395025646436</v>
      </c>
      <c r="T10" s="20">
        <f>'TE BE'!$T$10*'TE BE'!$T$52</f>
        <v>2.965010816724126</v>
      </c>
      <c r="U10" s="20">
        <f>'TE BE'!$U$10*'TE BE'!$U$52</f>
        <v>0.10820634412132075</v>
      </c>
      <c r="V10" s="20">
        <f>'TE BE'!$V$10*'TE BE'!$V$52</f>
        <v>0</v>
      </c>
      <c r="W10" s="20">
        <f>SUM($T$10:$V$10)</f>
        <v>3.0732171608454468</v>
      </c>
      <c r="X10" s="20">
        <f>'TE BE'!$AB$10*'TE BE'!$X$52</f>
        <v>0</v>
      </c>
      <c r="Y10" s="20">
        <f>SUM($X$10:$X$10)</f>
        <v>0</v>
      </c>
      <c r="Z10" s="20">
        <f>'TE BE'!$Z$10*'TE BE'!$Z$52</f>
        <v>-0.49395719015468809</v>
      </c>
      <c r="AA10" s="20">
        <f>SUM($Z$10:$Z$10)</f>
        <v>-0.49395719015468809</v>
      </c>
      <c r="AB10" s="20">
        <f>SUMIF($L$4:$AA$4,"SUBTOTAL",$L$10:$AA$10)</f>
        <v>-16.294231343021064</v>
      </c>
    </row>
    <row r="11" spans="1:28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f>'TE BE'!$L$11*'TE BE'!$L$52</f>
        <v>1.1270770659303425E-7</v>
      </c>
      <c r="M11" s="20">
        <f>'TE BE'!$M$11*'TE BE'!$M$52</f>
        <v>-4.8034487050752235</v>
      </c>
      <c r="N11" s="20">
        <f>'TE BE'!$N$11*'TE BE'!$N$52</f>
        <v>0</v>
      </c>
      <c r="O11" s="20">
        <f>'TE BE'!$O$11*'TE BE'!$O$52</f>
        <v>1.5093523043021293</v>
      </c>
      <c r="P11" s="20">
        <f>'TE BE'!$P$11*'TE BE'!$P$52</f>
        <v>0</v>
      </c>
      <c r="Q11" s="20">
        <f>SUM($L$11:$P$11)</f>
        <v>-3.2940962880653881</v>
      </c>
      <c r="R11" s="20">
        <f>'TE BE'!$R$11*'TE BE'!$R$52</f>
        <v>-25.279773060482892</v>
      </c>
      <c r="S11" s="20">
        <f>SUM($R$11:$R$11)</f>
        <v>-25.279773060482892</v>
      </c>
      <c r="T11" s="20">
        <f>'TE BE'!$T$11*'TE BE'!$T$52</f>
        <v>2.965010816724126</v>
      </c>
      <c r="U11" s="20">
        <f>'TE BE'!$U$11*'TE BE'!$U$52</f>
        <v>0.10820634412132075</v>
      </c>
      <c r="V11" s="20">
        <f>'TE BE'!$V$11*'TE BE'!$V$52</f>
        <v>0</v>
      </c>
      <c r="W11" s="20">
        <f>SUM($T$11:$V$11)</f>
        <v>3.0732171608454468</v>
      </c>
      <c r="X11" s="20">
        <f>'TE BE'!$AB$11*'TE BE'!$X$52</f>
        <v>0</v>
      </c>
      <c r="Y11" s="20">
        <f>SUM($X$11:$X$11)</f>
        <v>0</v>
      </c>
      <c r="Z11" s="20">
        <f>'TE BE'!$Z$11*'TE BE'!$Z$52</f>
        <v>-0.49395719015468809</v>
      </c>
      <c r="AA11" s="20">
        <f>SUM($Z$11:$Z$11)</f>
        <v>-0.49395719015468809</v>
      </c>
      <c r="AB11" s="20">
        <f>SUMIF($L$4:$AA$4,"SUBTOTAL",$L$11:$AA$11)</f>
        <v>-25.994609377857522</v>
      </c>
    </row>
    <row r="12" spans="1:28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f>'TE BE'!$L$12*'TE BE'!$L$52</f>
        <v>1.1270770659303425E-7</v>
      </c>
      <c r="M12" s="20">
        <f>'TE BE'!$M$12*'TE BE'!$M$52</f>
        <v>-4.8034487050752235</v>
      </c>
      <c r="N12" s="20">
        <f>'TE BE'!$N$12*'TE BE'!$N$52</f>
        <v>0</v>
      </c>
      <c r="O12" s="20">
        <f>'TE BE'!$O$12*'TE BE'!$O$52</f>
        <v>1.5093523043021293</v>
      </c>
      <c r="P12" s="20">
        <f>'TE BE'!$P$12*'TE BE'!$P$52</f>
        <v>0</v>
      </c>
      <c r="Q12" s="20">
        <f>SUM($L$12:$P$12)</f>
        <v>-3.2940962880653881</v>
      </c>
      <c r="R12" s="20">
        <f>'TE BE'!$R$12*'TE BE'!$R$52</f>
        <v>-14.697542477024939</v>
      </c>
      <c r="S12" s="20">
        <f>SUM($R$12:$R$12)</f>
        <v>-14.697542477024939</v>
      </c>
      <c r="T12" s="20">
        <f>'TE BE'!$T$12*'TE BE'!$T$52</f>
        <v>2.965010816724126</v>
      </c>
      <c r="U12" s="20">
        <f>'TE BE'!$U$12*'TE BE'!$U$52</f>
        <v>0.10820634412132075</v>
      </c>
      <c r="V12" s="20">
        <f>'TE BE'!$V$12*'TE BE'!$V$52</f>
        <v>0</v>
      </c>
      <c r="W12" s="20">
        <f>SUM($T$12:$V$12)</f>
        <v>3.0732171608454468</v>
      </c>
      <c r="X12" s="20">
        <f>'TE BE'!$AB$12*'TE BE'!$X$52</f>
        <v>0</v>
      </c>
      <c r="Y12" s="20">
        <f>SUM($X$12:$X$12)</f>
        <v>0</v>
      </c>
      <c r="Z12" s="20">
        <f>'TE BE'!$Z$12*'TE BE'!$Z$52</f>
        <v>-0.49395719015468809</v>
      </c>
      <c r="AA12" s="20">
        <f>SUM($Z$12:$Z$12)</f>
        <v>-0.49395719015468809</v>
      </c>
      <c r="AB12" s="20">
        <f>SUMIF($L$4:$AA$4,"SUBTOTAL",$L$12:$AA$12)</f>
        <v>-15.41237879439957</v>
      </c>
    </row>
    <row r="13" spans="1:28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f>'TE BE'!$L$13*'TE BE'!$L$52</f>
        <v>1.1270770659303425E-7</v>
      </c>
      <c r="M13" s="20">
        <f>'TE BE'!$M$13*'TE BE'!$M$52</f>
        <v>-4.8034487050752235</v>
      </c>
      <c r="N13" s="20">
        <f>'TE BE'!$N$13*'TE BE'!$N$52</f>
        <v>0</v>
      </c>
      <c r="O13" s="20">
        <f>'TE BE'!$O$13*'TE BE'!$O$52</f>
        <v>1.5093523043021293</v>
      </c>
      <c r="P13" s="20">
        <f>'TE BE'!$P$13*'TE BE'!$P$52</f>
        <v>0</v>
      </c>
      <c r="Q13" s="20">
        <f>SUM($L$13:$P$13)</f>
        <v>-3.2940962880653881</v>
      </c>
      <c r="R13" s="20">
        <f>'TE BE'!$R$13*'TE BE'!$R$52</f>
        <v>-14.697542477024939</v>
      </c>
      <c r="S13" s="20">
        <f>SUM($R$13:$R$13)</f>
        <v>-14.697542477024939</v>
      </c>
      <c r="T13" s="20">
        <f>'TE BE'!$T$13*'TE BE'!$T$52</f>
        <v>2.965010816724126</v>
      </c>
      <c r="U13" s="20">
        <f>'TE BE'!$U$13*'TE BE'!$U$52</f>
        <v>0.10820634412132075</v>
      </c>
      <c r="V13" s="20">
        <f>'TE BE'!$V$13*'TE BE'!$V$52</f>
        <v>0</v>
      </c>
      <c r="W13" s="20">
        <f>SUM($T$13:$V$13)</f>
        <v>3.0732171608454468</v>
      </c>
      <c r="X13" s="20">
        <f>'TE BE'!$AB$13*'TE BE'!$X$52</f>
        <v>0</v>
      </c>
      <c r="Y13" s="20">
        <f>SUM($X$13:$X$13)</f>
        <v>0</v>
      </c>
      <c r="Z13" s="20">
        <f>'TE BE'!$Z$13*'TE BE'!$Z$52</f>
        <v>-0.49395719015468809</v>
      </c>
      <c r="AA13" s="20">
        <f>SUM($Z$13:$Z$13)</f>
        <v>-0.49395719015468809</v>
      </c>
      <c r="AB13" s="20">
        <f>SUMIF($L$4:$AA$4,"SUBTOTAL",$L$13:$AA$13)</f>
        <v>-15.41237879439957</v>
      </c>
    </row>
    <row r="14" spans="1:28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f>'TE BE'!$L$14*'TE BE'!$L$52</f>
        <v>1.1270770659303425E-7</v>
      </c>
      <c r="M14" s="20">
        <f>'TE BE'!$M$14*'TE BE'!$M$52</f>
        <v>-4.8034487050752235</v>
      </c>
      <c r="N14" s="20">
        <f>'TE BE'!$N$14*'TE BE'!$N$52</f>
        <v>0</v>
      </c>
      <c r="O14" s="20">
        <f>'TE BE'!$O$14*'TE BE'!$O$52</f>
        <v>1.5093523043021293</v>
      </c>
      <c r="P14" s="20">
        <f>'TE BE'!$P$14*'TE BE'!$P$52</f>
        <v>0</v>
      </c>
      <c r="Q14" s="20">
        <f>SUM($L$14:$P$14)</f>
        <v>-3.2940962880653881</v>
      </c>
      <c r="R14" s="20">
        <f>'TE BE'!$R$14*'TE BE'!$R$52</f>
        <v>-15.579395025646436</v>
      </c>
      <c r="S14" s="20">
        <f>SUM($R$14:$R$14)</f>
        <v>-15.579395025646436</v>
      </c>
      <c r="T14" s="20">
        <f>'TE BE'!$T$14*'TE BE'!$T$52</f>
        <v>2.965010816724126</v>
      </c>
      <c r="U14" s="20">
        <f>'TE BE'!$U$14*'TE BE'!$U$52</f>
        <v>0.10820634412132075</v>
      </c>
      <c r="V14" s="20">
        <f>'TE BE'!$V$14*'TE BE'!$V$52</f>
        <v>0</v>
      </c>
      <c r="W14" s="20">
        <f>SUM($T$14:$V$14)</f>
        <v>3.0732171608454468</v>
      </c>
      <c r="X14" s="20">
        <f>'TE BE'!$AB$14*'TE BE'!$X$52</f>
        <v>0</v>
      </c>
      <c r="Y14" s="20">
        <f>SUM($X$14:$X$14)</f>
        <v>0</v>
      </c>
      <c r="Z14" s="20">
        <f>'TE BE'!$Z$14*'TE BE'!$Z$52</f>
        <v>-0.49395719015468809</v>
      </c>
      <c r="AA14" s="20">
        <f>SUM($Z$14:$Z$14)</f>
        <v>-0.49395719015468809</v>
      </c>
      <c r="AB14" s="20">
        <f>SUMIF($L$4:$AA$4,"SUBTOTAL",$L$14:$AA$14)</f>
        <v>-16.294231343021064</v>
      </c>
    </row>
    <row r="15" spans="1:28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'TE BE'!$L$15*'TE BE'!$L$52</f>
        <v>1.1270770659303425E-7</v>
      </c>
      <c r="M15" s="20">
        <f>'TE BE'!$M$15*'TE BE'!$M$52</f>
        <v>-4.8034487050752235</v>
      </c>
      <c r="N15" s="20">
        <f>'TE BE'!$N$15*'TE BE'!$N$52</f>
        <v>0</v>
      </c>
      <c r="O15" s="20">
        <f>'TE BE'!$O$15*'TE BE'!$O$52</f>
        <v>1.5093523043021293</v>
      </c>
      <c r="P15" s="20">
        <f>'TE BE'!$P$15*'TE BE'!$P$52</f>
        <v>0</v>
      </c>
      <c r="Q15" s="20">
        <f>SUM($L$15:$P$15)</f>
        <v>-3.2940962880653881</v>
      </c>
      <c r="R15" s="20">
        <f>'TE BE'!$R$15*'TE BE'!$R$52</f>
        <v>-15.579395025646436</v>
      </c>
      <c r="S15" s="20">
        <f>SUM($R$15:$R$15)</f>
        <v>-15.579395025646436</v>
      </c>
      <c r="T15" s="20">
        <f>'TE BE'!$T$15*'TE BE'!$T$52</f>
        <v>2.965010816724126</v>
      </c>
      <c r="U15" s="20">
        <f>'TE BE'!$U$15*'TE BE'!$U$52</f>
        <v>0.10820634412132075</v>
      </c>
      <c r="V15" s="20">
        <f>'TE BE'!$V$15*'TE BE'!$V$52</f>
        <v>0</v>
      </c>
      <c r="W15" s="20">
        <f>SUM($T$15:$V$15)</f>
        <v>3.0732171608454468</v>
      </c>
      <c r="X15" s="20">
        <f>'TE BE'!$AB$15*'TE BE'!$X$52</f>
        <v>0</v>
      </c>
      <c r="Y15" s="20">
        <f>SUM($X$15:$X$15)</f>
        <v>0</v>
      </c>
      <c r="Z15" s="20">
        <f>'TE BE'!$Z$15*'TE BE'!$Z$52</f>
        <v>-0.49395719015468809</v>
      </c>
      <c r="AA15" s="20">
        <f>SUM($Z$15:$Z$15)</f>
        <v>-0.49395719015468809</v>
      </c>
      <c r="AB15" s="20">
        <f>SUMIF($L$4:$AA$4,"SUBTOTAL",$L$15:$AA$15)</f>
        <v>-16.294231343021064</v>
      </c>
    </row>
    <row r="16" spans="1:28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'TE BE'!$L$16*'TE BE'!$L$52</f>
        <v>1.1270770659303425E-7</v>
      </c>
      <c r="M16" s="20">
        <f>'TE BE'!$M$16*'TE BE'!$M$52</f>
        <v>-4.8034487050752235</v>
      </c>
      <c r="N16" s="20">
        <f>'TE BE'!$N$16*'TE BE'!$N$52</f>
        <v>0</v>
      </c>
      <c r="O16" s="20">
        <f>'TE BE'!$O$16*'TE BE'!$O$52</f>
        <v>1.5093523043021293</v>
      </c>
      <c r="P16" s="20">
        <f>'TE BE'!$P$16*'TE BE'!$P$52</f>
        <v>0</v>
      </c>
      <c r="Q16" s="20">
        <f>SUM($L$16:$P$16)</f>
        <v>-3.2940962880653881</v>
      </c>
      <c r="R16" s="20">
        <f>'TE BE'!$R$16*'TE BE'!$R$52</f>
        <v>-15.579395025646436</v>
      </c>
      <c r="S16" s="20">
        <f>SUM($R$16:$R$16)</f>
        <v>-15.579395025646436</v>
      </c>
      <c r="T16" s="20">
        <f>'TE BE'!$T$16*'TE BE'!$T$52</f>
        <v>2.965010816724126</v>
      </c>
      <c r="U16" s="20">
        <f>'TE BE'!$U$16*'TE BE'!$U$52</f>
        <v>0.10820634412132075</v>
      </c>
      <c r="V16" s="20">
        <f>'TE BE'!$V$16*'TE BE'!$V$52</f>
        <v>0</v>
      </c>
      <c r="W16" s="20">
        <f>SUM($T$16:$V$16)</f>
        <v>3.0732171608454468</v>
      </c>
      <c r="X16" s="20">
        <f>'TE BE'!$AB$16*'TE BE'!$X$52</f>
        <v>0</v>
      </c>
      <c r="Y16" s="20">
        <f>SUM($X$16:$X$16)</f>
        <v>0</v>
      </c>
      <c r="Z16" s="20">
        <f>'TE BE'!$Z$16*'TE BE'!$Z$52</f>
        <v>-0.49395719015468809</v>
      </c>
      <c r="AA16" s="20">
        <f>SUM($Z$16:$Z$16)</f>
        <v>-0.49395719015468809</v>
      </c>
      <c r="AB16" s="20">
        <f>SUMIF($L$4:$AA$4,"SUBTOTAL",$L$16:$AA$16)</f>
        <v>-16.294231343021064</v>
      </c>
    </row>
    <row r="17" spans="1:28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'TE BE'!$L$17*'TE BE'!$L$52</f>
        <v>1.1270770659303425E-7</v>
      </c>
      <c r="M17" s="20">
        <f>'TE BE'!$M$17*'TE BE'!$M$52</f>
        <v>-4.8034487050752235</v>
      </c>
      <c r="N17" s="20">
        <f>'TE BE'!$N$17*'TE BE'!$N$52</f>
        <v>0</v>
      </c>
      <c r="O17" s="20">
        <f>'TE BE'!$O$17*'TE BE'!$O$52</f>
        <v>1.5093523043021293</v>
      </c>
      <c r="P17" s="20">
        <f>'TE BE'!$P$17*'TE BE'!$P$52</f>
        <v>0</v>
      </c>
      <c r="Q17" s="20">
        <f>SUM($L$17:$P$17)</f>
        <v>-3.2940962880653881</v>
      </c>
      <c r="R17" s="20">
        <f>'TE BE'!$R$17*'TE BE'!$R$52</f>
        <v>-15.579395025646436</v>
      </c>
      <c r="S17" s="20">
        <f>SUM($R$17:$R$17)</f>
        <v>-15.579395025646436</v>
      </c>
      <c r="T17" s="20">
        <f>'TE BE'!$T$17*'TE BE'!$T$52</f>
        <v>2.965010816724126</v>
      </c>
      <c r="U17" s="20">
        <f>'TE BE'!$U$17*'TE BE'!$U$52</f>
        <v>0.10820634412132075</v>
      </c>
      <c r="V17" s="20">
        <f>'TE BE'!$V$17*'TE BE'!$V$52</f>
        <v>0</v>
      </c>
      <c r="W17" s="20">
        <f>SUM($T$17:$V$17)</f>
        <v>3.0732171608454468</v>
      </c>
      <c r="X17" s="20">
        <f>'TE BE'!$AB$17*'TE BE'!$X$52</f>
        <v>0</v>
      </c>
      <c r="Y17" s="20">
        <f>SUM($X$17:$X$17)</f>
        <v>0</v>
      </c>
      <c r="Z17" s="20">
        <f>'TE BE'!$Z$17*'TE BE'!$Z$52</f>
        <v>-0.49395719015468809</v>
      </c>
      <c r="AA17" s="20">
        <f>SUM($Z$17:$Z$17)</f>
        <v>-0.49395719015468809</v>
      </c>
      <c r="AB17" s="20">
        <f>SUMIF($L$4:$AA$4,"SUBTOTAL",$L$17:$AA$17)</f>
        <v>-16.294231343021064</v>
      </c>
    </row>
    <row r="18" spans="1:28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'TE BE'!$L$18*'TE BE'!$L$52</f>
        <v>1.1270770659303425E-7</v>
      </c>
      <c r="M18" s="20">
        <f>'TE BE'!$M$18*'TE BE'!$M$52</f>
        <v>-4.8034487050752235</v>
      </c>
      <c r="N18" s="20">
        <f>'TE BE'!$N$18*'TE BE'!$N$52</f>
        <v>0</v>
      </c>
      <c r="O18" s="20">
        <f>'TE BE'!$O$18*'TE BE'!$O$52</f>
        <v>1.5093523043021293</v>
      </c>
      <c r="P18" s="20">
        <f>'TE BE'!$P$18*'TE BE'!$P$52</f>
        <v>0</v>
      </c>
      <c r="Q18" s="20">
        <f>SUM($L$18:$P$18)</f>
        <v>-3.2940962880653881</v>
      </c>
      <c r="R18" s="20">
        <f>'TE BE'!$R$18*'TE BE'!$R$52</f>
        <v>-15.579395025646436</v>
      </c>
      <c r="S18" s="20">
        <f>SUM($R$18:$R$18)</f>
        <v>-15.579395025646436</v>
      </c>
      <c r="T18" s="20">
        <f>'TE BE'!$T$18*'TE BE'!$T$52</f>
        <v>2.965010816724126</v>
      </c>
      <c r="U18" s="20">
        <f>'TE BE'!$U$18*'TE BE'!$U$52</f>
        <v>0.10820634412132075</v>
      </c>
      <c r="V18" s="20">
        <f>'TE BE'!$V$18*'TE BE'!$V$52</f>
        <v>0</v>
      </c>
      <c r="W18" s="20">
        <f>SUM($T$18:$V$18)</f>
        <v>3.0732171608454468</v>
      </c>
      <c r="X18" s="20">
        <f>'TE BE'!$AB$18*'TE BE'!$X$52</f>
        <v>0</v>
      </c>
      <c r="Y18" s="20">
        <f>SUM($X$18:$X$18)</f>
        <v>0</v>
      </c>
      <c r="Z18" s="20">
        <f>'TE BE'!$Z$18*'TE BE'!$Z$52</f>
        <v>-0.49395719015468809</v>
      </c>
      <c r="AA18" s="20">
        <f>SUM($Z$18:$Z$18)</f>
        <v>-0.49395719015468809</v>
      </c>
      <c r="AB18" s="20">
        <f>SUMIF($L$4:$AA$4,"SUBTOTAL",$L$18:$AA$18)</f>
        <v>-16.294231343021064</v>
      </c>
    </row>
    <row r="19" spans="1:28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f>'TE BE'!$L$19*'TE BE'!$L$52</f>
        <v>1.1270770659303425E-7</v>
      </c>
      <c r="M19" s="20">
        <f>'TE BE'!$M$19*'TE BE'!$M$52</f>
        <v>-4.8034487050752235</v>
      </c>
      <c r="N19" s="20">
        <f>'TE BE'!$N$19*'TE BE'!$N$52</f>
        <v>0</v>
      </c>
      <c r="O19" s="20">
        <f>'TE BE'!$O$19*'TE BE'!$O$52</f>
        <v>1.5093523043021293</v>
      </c>
      <c r="P19" s="20">
        <f>'TE BE'!$P$19*'TE BE'!$P$52</f>
        <v>0</v>
      </c>
      <c r="Q19" s="20">
        <f>SUM($L$19:$P$19)</f>
        <v>-3.2940962880653881</v>
      </c>
      <c r="R19" s="20">
        <f>'TE BE'!$R$19*'TE BE'!$R$52</f>
        <v>-15.579395025646436</v>
      </c>
      <c r="S19" s="20">
        <f>SUM($R$19:$R$19)</f>
        <v>-15.579395025646436</v>
      </c>
      <c r="T19" s="20">
        <f>'TE BE'!$T$19*'TE BE'!$T$52</f>
        <v>2.965010816724126</v>
      </c>
      <c r="U19" s="20">
        <f>'TE BE'!$U$19*'TE BE'!$U$52</f>
        <v>0.10820634412132075</v>
      </c>
      <c r="V19" s="20">
        <f>'TE BE'!$V$19*'TE BE'!$V$52</f>
        <v>0</v>
      </c>
      <c r="W19" s="20">
        <f>SUM($T$19:$V$19)</f>
        <v>3.0732171608454468</v>
      </c>
      <c r="X19" s="20">
        <f>'TE BE'!$AB$19*'TE BE'!$X$52</f>
        <v>0</v>
      </c>
      <c r="Y19" s="20">
        <f>SUM($X$19:$X$19)</f>
        <v>0</v>
      </c>
      <c r="Z19" s="20">
        <f>'TE BE'!$Z$19*'TE BE'!$Z$52</f>
        <v>-0.49395719015468809</v>
      </c>
      <c r="AA19" s="20">
        <f>SUM($Z$19:$Z$19)</f>
        <v>-0.49395719015468809</v>
      </c>
      <c r="AB19" s="20">
        <f>SUMIF($L$4:$AA$4,"SUBTOTAL",$L$19:$AA$19)</f>
        <v>-16.294231343021064</v>
      </c>
    </row>
    <row r="20" spans="1:28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'TE BE'!$L$20*'TE BE'!$L$52</f>
        <v>1.1270770659303425E-7</v>
      </c>
      <c r="M20" s="20">
        <f>'TE BE'!$M$20*'TE BE'!$M$52</f>
        <v>-4.8034487050752235</v>
      </c>
      <c r="N20" s="20">
        <f>'TE BE'!$N$20*'TE BE'!$N$52</f>
        <v>0</v>
      </c>
      <c r="O20" s="20">
        <f>'TE BE'!$O$20*'TE BE'!$O$52</f>
        <v>1.5093523043021293</v>
      </c>
      <c r="P20" s="20">
        <f>'TE BE'!$P$20*'TE BE'!$P$52</f>
        <v>0</v>
      </c>
      <c r="Q20" s="20">
        <f>SUM($L$20:$P$20)</f>
        <v>-3.2940962880653881</v>
      </c>
      <c r="R20" s="20">
        <f>'TE BE'!$R$20*'TE BE'!$R$52</f>
        <v>-15.579395025646436</v>
      </c>
      <c r="S20" s="20">
        <f>SUM($R$20:$R$20)</f>
        <v>-15.579395025646436</v>
      </c>
      <c r="T20" s="20">
        <f>'TE BE'!$T$20*'TE BE'!$T$52</f>
        <v>2.965010816724126</v>
      </c>
      <c r="U20" s="20">
        <f>'TE BE'!$U$20*'TE BE'!$U$52</f>
        <v>0.10820634412132075</v>
      </c>
      <c r="V20" s="20">
        <f>'TE BE'!$V$20*'TE BE'!$V$52</f>
        <v>0</v>
      </c>
      <c r="W20" s="20">
        <f>SUM($T$20:$V$20)</f>
        <v>3.0732171608454468</v>
      </c>
      <c r="X20" s="20">
        <f>'TE BE'!$AB$20*'TE BE'!$X$52</f>
        <v>0</v>
      </c>
      <c r="Y20" s="20">
        <f>SUM($X$20:$X$20)</f>
        <v>0</v>
      </c>
      <c r="Z20" s="20">
        <f>'TE BE'!$Z$20*'TE BE'!$Z$52</f>
        <v>-0.49395719015468809</v>
      </c>
      <c r="AA20" s="20">
        <f>SUM($Z$20:$Z$20)</f>
        <v>-0.49395719015468809</v>
      </c>
      <c r="AB20" s="20">
        <f>SUMIF($L$4:$AA$4,"SUBTOTAL",$L$20:$AA$20)</f>
        <v>-16.294231343021064</v>
      </c>
    </row>
    <row r="21" spans="1:28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'TE BE'!$L$21*'TE BE'!$L$52</f>
        <v>1.1270770659303425E-7</v>
      </c>
      <c r="M21" s="20">
        <f>'TE BE'!$M$21*'TE BE'!$M$52</f>
        <v>-4.8034487050752235</v>
      </c>
      <c r="N21" s="20">
        <f>'TE BE'!$N$21*'TE BE'!$N$52</f>
        <v>0</v>
      </c>
      <c r="O21" s="20">
        <f>'TE BE'!$O$21*'TE BE'!$O$52</f>
        <v>1.5093523043021293</v>
      </c>
      <c r="P21" s="20">
        <f>'TE BE'!$P$21*'TE BE'!$P$52</f>
        <v>0</v>
      </c>
      <c r="Q21" s="20">
        <f>SUM($L$21:$P$21)</f>
        <v>-3.2940962880653881</v>
      </c>
      <c r="R21" s="20">
        <f>'TE BE'!$R$21*'TE BE'!$R$52</f>
        <v>-15.579395025646436</v>
      </c>
      <c r="S21" s="20">
        <f>SUM($R$21:$R$21)</f>
        <v>-15.579395025646436</v>
      </c>
      <c r="T21" s="20">
        <f>'TE BE'!$T$21*'TE BE'!$T$52</f>
        <v>2.965010816724126</v>
      </c>
      <c r="U21" s="20">
        <f>'TE BE'!$U$21*'TE BE'!$U$52</f>
        <v>0.10820634412132075</v>
      </c>
      <c r="V21" s="20">
        <f>'TE BE'!$V$21*'TE BE'!$V$52</f>
        <v>0</v>
      </c>
      <c r="W21" s="20">
        <f>SUM($T$21:$V$21)</f>
        <v>3.0732171608454468</v>
      </c>
      <c r="X21" s="20">
        <f>'TE BE'!$AB$21*'TE BE'!$X$52</f>
        <v>0</v>
      </c>
      <c r="Y21" s="20">
        <f>SUM($X$21:$X$21)</f>
        <v>0</v>
      </c>
      <c r="Z21" s="20">
        <f>'TE BE'!$Z$21*'TE BE'!$Z$52</f>
        <v>-0.49395719015468809</v>
      </c>
      <c r="AA21" s="20">
        <f>SUM($Z$21:$Z$21)</f>
        <v>-0.49395719015468809</v>
      </c>
      <c r="AB21" s="20">
        <f>SUMIF($L$4:$AA$4,"SUBTOTAL",$L$21:$AA$21)</f>
        <v>-16.294231343021064</v>
      </c>
    </row>
    <row r="22" spans="1:28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'TE BE'!$L$22*'TE BE'!$L$52</f>
        <v>1.1270770659303425E-7</v>
      </c>
      <c r="M22" s="20">
        <f>'TE BE'!$M$22*'TE BE'!$M$52</f>
        <v>-4.8034487050752235</v>
      </c>
      <c r="N22" s="20">
        <f>'TE BE'!$N$22*'TE BE'!$N$52</f>
        <v>0</v>
      </c>
      <c r="O22" s="20">
        <f>'TE BE'!$O$22*'TE BE'!$O$52</f>
        <v>1.5093523043021293</v>
      </c>
      <c r="P22" s="20">
        <f>'TE BE'!$P$22*'TE BE'!$P$52</f>
        <v>0</v>
      </c>
      <c r="Q22" s="20">
        <f>SUM($L$22:$P$22)</f>
        <v>-3.2940962880653881</v>
      </c>
      <c r="R22" s="20">
        <f>'TE BE'!$R$22*'TE BE'!$R$52</f>
        <v>-15.579395025646436</v>
      </c>
      <c r="S22" s="20">
        <f>SUM($R$22:$R$22)</f>
        <v>-15.579395025646436</v>
      </c>
      <c r="T22" s="20">
        <f>'TE BE'!$T$22*'TE BE'!$T$52</f>
        <v>2.965010816724126</v>
      </c>
      <c r="U22" s="20">
        <f>'TE BE'!$U$22*'TE BE'!$U$52</f>
        <v>0.10820634412132075</v>
      </c>
      <c r="V22" s="20">
        <f>'TE BE'!$V$22*'TE BE'!$V$52</f>
        <v>0</v>
      </c>
      <c r="W22" s="20">
        <f>SUM($T$22:$V$22)</f>
        <v>3.0732171608454468</v>
      </c>
      <c r="X22" s="20">
        <f>'TE BE'!$AB$22*'TE BE'!$X$52</f>
        <v>0</v>
      </c>
      <c r="Y22" s="20">
        <f>SUM($X$22:$X$22)</f>
        <v>0</v>
      </c>
      <c r="Z22" s="20">
        <f>'TE BE'!$Z$22*'TE BE'!$Z$52</f>
        <v>-0.49395719015468809</v>
      </c>
      <c r="AA22" s="20">
        <f>SUM($Z$22:$Z$22)</f>
        <v>-0.49395719015468809</v>
      </c>
      <c r="AB22" s="20">
        <f>SUMIF($L$4:$AA$4,"SUBTOTAL",$L$22:$AA$22)</f>
        <v>-16.294231343021064</v>
      </c>
    </row>
    <row r="23" spans="1:28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'TE BE'!$L$23*'TE BE'!$L$52</f>
        <v>1.1270770659303425E-7</v>
      </c>
      <c r="M23" s="20">
        <f>'TE BE'!$M$23*'TE BE'!$M$52</f>
        <v>-4.8034487050752235</v>
      </c>
      <c r="N23" s="20">
        <f>'TE BE'!$N$23*'TE BE'!$N$52</f>
        <v>0</v>
      </c>
      <c r="O23" s="20">
        <f>'TE BE'!$O$23*'TE BE'!$O$52</f>
        <v>1.5093523043021293</v>
      </c>
      <c r="P23" s="20">
        <f>'TE BE'!$P$23*'TE BE'!$P$52</f>
        <v>0</v>
      </c>
      <c r="Q23" s="20">
        <f>SUM($L$23:$P$23)</f>
        <v>-3.2940962880653881</v>
      </c>
      <c r="R23" s="20">
        <f>'TE BE'!$R$23*'TE BE'!$R$52</f>
        <v>-15.579395025646436</v>
      </c>
      <c r="S23" s="20">
        <f>SUM($R$23:$R$23)</f>
        <v>-15.579395025646436</v>
      </c>
      <c r="T23" s="20">
        <f>'TE BE'!$T$23*'TE BE'!$T$52</f>
        <v>2.965010816724126</v>
      </c>
      <c r="U23" s="20">
        <f>'TE BE'!$U$23*'TE BE'!$U$52</f>
        <v>0.10820634412132075</v>
      </c>
      <c r="V23" s="20">
        <f>'TE BE'!$V$23*'TE BE'!$V$52</f>
        <v>0</v>
      </c>
      <c r="W23" s="20">
        <f>SUM($T$23:$V$23)</f>
        <v>3.0732171608454468</v>
      </c>
      <c r="X23" s="20">
        <f>'TE BE'!$AB$23*'TE BE'!$X$52</f>
        <v>0</v>
      </c>
      <c r="Y23" s="20">
        <f>SUM($X$23:$X$23)</f>
        <v>0</v>
      </c>
      <c r="Z23" s="20">
        <f>'TE BE'!$Z$23*'TE BE'!$Z$52</f>
        <v>-0.49395719015468809</v>
      </c>
      <c r="AA23" s="20">
        <f>SUM($Z$23:$Z$23)</f>
        <v>-0.49395719015468809</v>
      </c>
      <c r="AB23" s="20">
        <f>SUMIF($L$4:$AA$4,"SUBTOTAL",$L$23:$AA$23)</f>
        <v>-16.294231343021064</v>
      </c>
    </row>
    <row r="24" spans="1:28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'TE BE'!$L$24*'TE BE'!$L$52</f>
        <v>1.1270770659303425E-7</v>
      </c>
      <c r="M24" s="20">
        <f>'TE BE'!$M$24*'TE BE'!$M$52</f>
        <v>-4.8034487050752235</v>
      </c>
      <c r="N24" s="20">
        <f>'TE BE'!$N$24*'TE BE'!$N$52</f>
        <v>0</v>
      </c>
      <c r="O24" s="20">
        <f>'TE BE'!$O$24*'TE BE'!$O$52</f>
        <v>1.5093523043021293</v>
      </c>
      <c r="P24" s="20">
        <f>'TE BE'!$P$24*'TE BE'!$P$52</f>
        <v>0</v>
      </c>
      <c r="Q24" s="20">
        <f>SUM($L$24:$P$24)</f>
        <v>-3.2940962880653881</v>
      </c>
      <c r="R24" s="20">
        <f>'TE BE'!$R$24*'TE BE'!$R$52</f>
        <v>-25.279773060482892</v>
      </c>
      <c r="S24" s="20">
        <f>SUM($R$24:$R$24)</f>
        <v>-25.279773060482892</v>
      </c>
      <c r="T24" s="20">
        <f>'TE BE'!$T$24*'TE BE'!$T$52</f>
        <v>2.965010816724126</v>
      </c>
      <c r="U24" s="20">
        <f>'TE BE'!$U$24*'TE BE'!$U$52</f>
        <v>0.10820634412132075</v>
      </c>
      <c r="V24" s="20">
        <f>'TE BE'!$V$24*'TE BE'!$V$52</f>
        <v>0</v>
      </c>
      <c r="W24" s="20">
        <f>SUM($T$24:$V$24)</f>
        <v>3.0732171608454468</v>
      </c>
      <c r="X24" s="20">
        <f>'TE BE'!$AB$24*'TE BE'!$X$52</f>
        <v>0</v>
      </c>
      <c r="Y24" s="20">
        <f>SUM($X$24:$X$24)</f>
        <v>0</v>
      </c>
      <c r="Z24" s="20">
        <f>'TE BE'!$Z$24*'TE BE'!$Z$52</f>
        <v>-0.49395719015468809</v>
      </c>
      <c r="AA24" s="20">
        <f>SUM($Z$24:$Z$24)</f>
        <v>-0.49395719015468809</v>
      </c>
      <c r="AB24" s="20">
        <f>SUMIF($L$4:$AA$4,"SUBTOTAL",$L$24:$AA$24)</f>
        <v>-25.994609377857522</v>
      </c>
    </row>
    <row r="25" spans="1:28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'TE BE'!$L$25*'TE BE'!$L$52</f>
        <v>1.1270770659303425E-7</v>
      </c>
      <c r="M25" s="20">
        <f>'TE BE'!$M$25*'TE BE'!$M$52</f>
        <v>-4.8034487050752235</v>
      </c>
      <c r="N25" s="20">
        <f>'TE BE'!$N$25*'TE BE'!$N$52</f>
        <v>0</v>
      </c>
      <c r="O25" s="20">
        <f>'TE BE'!$O$25*'TE BE'!$O$52</f>
        <v>1.5093523043021293</v>
      </c>
      <c r="P25" s="20">
        <f>'TE BE'!$P$25*'TE BE'!$P$52</f>
        <v>0</v>
      </c>
      <c r="Q25" s="20">
        <f>SUM($L$25:$P$25)</f>
        <v>-3.2940962880653881</v>
      </c>
      <c r="R25" s="20">
        <f>'TE BE'!$R$25*'TE BE'!$R$52</f>
        <v>-14.697542477024939</v>
      </c>
      <c r="S25" s="20">
        <f>SUM($R$25:$R$25)</f>
        <v>-14.697542477024939</v>
      </c>
      <c r="T25" s="20">
        <f>'TE BE'!$T$25*'TE BE'!$T$52</f>
        <v>2.965010816724126</v>
      </c>
      <c r="U25" s="20">
        <f>'TE BE'!$U$25*'TE BE'!$U$52</f>
        <v>0.10820634412132075</v>
      </c>
      <c r="V25" s="20">
        <f>'TE BE'!$V$25*'TE BE'!$V$52</f>
        <v>0</v>
      </c>
      <c r="W25" s="20">
        <f>SUM($T$25:$V$25)</f>
        <v>3.0732171608454468</v>
      </c>
      <c r="X25" s="20">
        <f>'TE BE'!$AB$25*'TE BE'!$X$52</f>
        <v>0</v>
      </c>
      <c r="Y25" s="20">
        <f>SUM($X$25:$X$25)</f>
        <v>0</v>
      </c>
      <c r="Z25" s="20">
        <f>'TE BE'!$Z$25*'TE BE'!$Z$52</f>
        <v>-0.49395719015468809</v>
      </c>
      <c r="AA25" s="20">
        <f>SUM($Z$25:$Z$25)</f>
        <v>-0.49395719015468809</v>
      </c>
      <c r="AB25" s="20">
        <f>SUMIF($L$4:$AA$4,"SUBTOTAL",$L$25:$AA$25)</f>
        <v>-15.41237879439957</v>
      </c>
    </row>
    <row r="26" spans="1:28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'TE BE'!$L$26*'TE BE'!$L$52</f>
        <v>1.1270770659303425E-7</v>
      </c>
      <c r="M26" s="20">
        <f>'TE BE'!$M$26*'TE BE'!$M$52</f>
        <v>-4.8034487050752235</v>
      </c>
      <c r="N26" s="20">
        <f>'TE BE'!$N$26*'TE BE'!$N$52</f>
        <v>0</v>
      </c>
      <c r="O26" s="20">
        <f>'TE BE'!$O$26*'TE BE'!$O$52</f>
        <v>1.5093523043021293</v>
      </c>
      <c r="P26" s="20">
        <f>'TE BE'!$P$26*'TE BE'!$P$52</f>
        <v>0</v>
      </c>
      <c r="Q26" s="20">
        <f>SUM($L$26:$P$26)</f>
        <v>-3.2940962880653881</v>
      </c>
      <c r="R26" s="20">
        <f>'TE BE'!$R$26*'TE BE'!$R$52</f>
        <v>-14.697542477024939</v>
      </c>
      <c r="S26" s="20">
        <f>SUM($R$26:$R$26)</f>
        <v>-14.697542477024939</v>
      </c>
      <c r="T26" s="20">
        <f>'TE BE'!$T$26*'TE BE'!$T$52</f>
        <v>2.965010816724126</v>
      </c>
      <c r="U26" s="20">
        <f>'TE BE'!$U$26*'TE BE'!$U$52</f>
        <v>0.10820634412132075</v>
      </c>
      <c r="V26" s="20">
        <f>'TE BE'!$V$26*'TE BE'!$V$52</f>
        <v>0</v>
      </c>
      <c r="W26" s="20">
        <f>SUM($T$26:$V$26)</f>
        <v>3.0732171608454468</v>
      </c>
      <c r="X26" s="20">
        <f>'TE BE'!$AB$26*'TE BE'!$X$52</f>
        <v>0</v>
      </c>
      <c r="Y26" s="20">
        <f>SUM($X$26:$X$26)</f>
        <v>0</v>
      </c>
      <c r="Z26" s="20">
        <f>'TE BE'!$Z$26*'TE BE'!$Z$52</f>
        <v>-0.49395719015468809</v>
      </c>
      <c r="AA26" s="20">
        <f>SUM($Z$26:$Z$26)</f>
        <v>-0.49395719015468809</v>
      </c>
      <c r="AB26" s="20">
        <f>SUMIF($L$4:$AA$4,"SUBTOTAL",$L$26:$AA$26)</f>
        <v>-15.41237879439957</v>
      </c>
    </row>
    <row r="27" spans="1:28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'TE BE'!$L$27*'TE BE'!$L$52</f>
        <v>1.1270770659303425E-7</v>
      </c>
      <c r="M27" s="20">
        <f>'TE BE'!$M$27*'TE BE'!$M$52</f>
        <v>-4.8034487050752235</v>
      </c>
      <c r="N27" s="20">
        <f>'TE BE'!$N$27*'TE BE'!$N$52</f>
        <v>0</v>
      </c>
      <c r="O27" s="20">
        <f>'TE BE'!$O$27*'TE BE'!$O$52</f>
        <v>1.5093523043021293</v>
      </c>
      <c r="P27" s="20">
        <f>'TE BE'!$P$27*'TE BE'!$P$52</f>
        <v>0</v>
      </c>
      <c r="Q27" s="20">
        <f>SUM($L$27:$P$27)</f>
        <v>-3.2940962880653881</v>
      </c>
      <c r="R27" s="20">
        <f>'TE BE'!$R$27*'TE BE'!$R$52</f>
        <v>-15.579395025646436</v>
      </c>
      <c r="S27" s="20">
        <f>SUM($R$27:$R$27)</f>
        <v>-15.579395025646436</v>
      </c>
      <c r="T27" s="20">
        <f>'TE BE'!$T$27*'TE BE'!$T$52</f>
        <v>2.965010816724126</v>
      </c>
      <c r="U27" s="20">
        <f>'TE BE'!$U$27*'TE BE'!$U$52</f>
        <v>0.10820634412132075</v>
      </c>
      <c r="V27" s="20">
        <f>'TE BE'!$V$27*'TE BE'!$V$52</f>
        <v>0</v>
      </c>
      <c r="W27" s="20">
        <f>SUM($T$27:$V$27)</f>
        <v>3.0732171608454468</v>
      </c>
      <c r="X27" s="20">
        <f>'TE BE'!$AB$27*'TE BE'!$X$52</f>
        <v>0</v>
      </c>
      <c r="Y27" s="20">
        <f>SUM($X$27:$X$27)</f>
        <v>0</v>
      </c>
      <c r="Z27" s="20">
        <f>'TE BE'!$Z$27*'TE BE'!$Z$52</f>
        <v>-0.49395719015468809</v>
      </c>
      <c r="AA27" s="20">
        <f>SUM($Z$27:$Z$27)</f>
        <v>-0.49395719015468809</v>
      </c>
      <c r="AB27" s="20">
        <f>SUMIF($L$4:$AA$4,"SUBTOTAL",$L$27:$AA$27)</f>
        <v>-16.294231343021064</v>
      </c>
    </row>
    <row r="28" spans="1:28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'TE BE'!$L$28*'TE BE'!$L$52</f>
        <v>1.1270770659303425E-7</v>
      </c>
      <c r="M28" s="20">
        <f>'TE BE'!$M$28*'TE BE'!$M$52</f>
        <v>-4.8034487050752235</v>
      </c>
      <c r="N28" s="20">
        <f>'TE BE'!$N$28*'TE BE'!$N$52</f>
        <v>0</v>
      </c>
      <c r="O28" s="20">
        <f>'TE BE'!$O$28*'TE BE'!$O$52</f>
        <v>1.5093523043021293</v>
      </c>
      <c r="P28" s="20">
        <f>'TE BE'!$P$28*'TE BE'!$P$52</f>
        <v>0</v>
      </c>
      <c r="Q28" s="20">
        <f>SUM($L$28:$P$28)</f>
        <v>-3.2940962880653881</v>
      </c>
      <c r="R28" s="20">
        <f>'TE BE'!$R$28*'TE BE'!$R$52</f>
        <v>-25.279773060482892</v>
      </c>
      <c r="S28" s="20">
        <f>SUM($R$28:$R$28)</f>
        <v>-25.279773060482892</v>
      </c>
      <c r="T28" s="20">
        <f>'TE BE'!$T$28*'TE BE'!$T$52</f>
        <v>2.965010816724126</v>
      </c>
      <c r="U28" s="20">
        <f>'TE BE'!$U$28*'TE BE'!$U$52</f>
        <v>0.10820634412132075</v>
      </c>
      <c r="V28" s="20">
        <f>'TE BE'!$V$28*'TE BE'!$V$52</f>
        <v>0</v>
      </c>
      <c r="W28" s="20">
        <f>SUM($T$28:$V$28)</f>
        <v>3.0732171608454468</v>
      </c>
      <c r="X28" s="20">
        <f>'TE BE'!$AB$28*'TE BE'!$X$52</f>
        <v>0</v>
      </c>
      <c r="Y28" s="20">
        <f>SUM($X$28:$X$28)</f>
        <v>0</v>
      </c>
      <c r="Z28" s="20">
        <f>'TE BE'!$Z$28*'TE BE'!$Z$52</f>
        <v>-0.49395719015468809</v>
      </c>
      <c r="AA28" s="20">
        <f>SUM($Z$28:$Z$28)</f>
        <v>-0.49395719015468809</v>
      </c>
      <c r="AB28" s="20">
        <f>SUMIF($L$4:$AA$4,"SUBTOTAL",$L$28:$AA$28)</f>
        <v>-25.994609377857522</v>
      </c>
    </row>
    <row r="29" spans="1:28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'TE BE'!$L$29*'TE BE'!$L$52</f>
        <v>1.1270770659303425E-7</v>
      </c>
      <c r="M29" s="20">
        <f>'TE BE'!$M$29*'TE BE'!$M$52</f>
        <v>-4.8034487050752235</v>
      </c>
      <c r="N29" s="20">
        <f>'TE BE'!$N$29*'TE BE'!$N$52</f>
        <v>0</v>
      </c>
      <c r="O29" s="20">
        <f>'TE BE'!$O$29*'TE BE'!$O$52</f>
        <v>1.5093523043021293</v>
      </c>
      <c r="P29" s="20">
        <f>'TE BE'!$P$29*'TE BE'!$P$52</f>
        <v>0</v>
      </c>
      <c r="Q29" s="20">
        <f>SUM($L$29:$P$29)</f>
        <v>-3.2940962880653881</v>
      </c>
      <c r="R29" s="20">
        <f>'TE BE'!$R$29*'TE BE'!$R$52</f>
        <v>-14.697542477024939</v>
      </c>
      <c r="S29" s="20">
        <f>SUM($R$29:$R$29)</f>
        <v>-14.697542477024939</v>
      </c>
      <c r="T29" s="20">
        <f>'TE BE'!$T$29*'TE BE'!$T$52</f>
        <v>2.965010816724126</v>
      </c>
      <c r="U29" s="20">
        <f>'TE BE'!$U$29*'TE BE'!$U$52</f>
        <v>0.10820634412132075</v>
      </c>
      <c r="V29" s="20">
        <f>'TE BE'!$V$29*'TE BE'!$V$52</f>
        <v>0</v>
      </c>
      <c r="W29" s="20">
        <f>SUM($T$29:$V$29)</f>
        <v>3.0732171608454468</v>
      </c>
      <c r="X29" s="20">
        <f>'TE BE'!$AB$29*'TE BE'!$X$52</f>
        <v>0</v>
      </c>
      <c r="Y29" s="20">
        <f>SUM($X$29:$X$29)</f>
        <v>0</v>
      </c>
      <c r="Z29" s="20">
        <f>'TE BE'!$Z$29*'TE BE'!$Z$52</f>
        <v>-0.49395719015468809</v>
      </c>
      <c r="AA29" s="20">
        <f>SUM($Z$29:$Z$29)</f>
        <v>-0.49395719015468809</v>
      </c>
      <c r="AB29" s="20">
        <f>SUMIF($L$4:$AA$4,"SUBTOTAL",$L$29:$AA$29)</f>
        <v>-15.41237879439957</v>
      </c>
    </row>
    <row r="30" spans="1:28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'TE BE'!$L$30*'TE BE'!$L$52</f>
        <v>1.1270770659303425E-7</v>
      </c>
      <c r="M30" s="20">
        <f>'TE BE'!$M$30*'TE BE'!$M$52</f>
        <v>-4.8034487050752235</v>
      </c>
      <c r="N30" s="20">
        <f>'TE BE'!$N$30*'TE BE'!$N$52</f>
        <v>0</v>
      </c>
      <c r="O30" s="20">
        <f>'TE BE'!$O$30*'TE BE'!$O$52</f>
        <v>1.5093523043021293</v>
      </c>
      <c r="P30" s="20">
        <f>'TE BE'!$P$30*'TE BE'!$P$52</f>
        <v>0</v>
      </c>
      <c r="Q30" s="20">
        <f>SUM($L$30:$P$30)</f>
        <v>-3.2940962880653881</v>
      </c>
      <c r="R30" s="20">
        <f>'TE BE'!$R$30*'TE BE'!$R$52</f>
        <v>-14.697542477024939</v>
      </c>
      <c r="S30" s="20">
        <f>SUM($R$30:$R$30)</f>
        <v>-14.697542477024939</v>
      </c>
      <c r="T30" s="20">
        <f>'TE BE'!$T$30*'TE BE'!$T$52</f>
        <v>2.965010816724126</v>
      </c>
      <c r="U30" s="20">
        <f>'TE BE'!$U$30*'TE BE'!$U$52</f>
        <v>0.10820634412132075</v>
      </c>
      <c r="V30" s="20">
        <f>'TE BE'!$V$30*'TE BE'!$V$52</f>
        <v>0</v>
      </c>
      <c r="W30" s="20">
        <f>SUM($T$30:$V$30)</f>
        <v>3.0732171608454468</v>
      </c>
      <c r="X30" s="20">
        <f>'TE BE'!$AB$30*'TE BE'!$X$52</f>
        <v>0</v>
      </c>
      <c r="Y30" s="20">
        <f>SUM($X$30:$X$30)</f>
        <v>0</v>
      </c>
      <c r="Z30" s="20">
        <f>'TE BE'!$Z$30*'TE BE'!$Z$52</f>
        <v>-0.49395719015468809</v>
      </c>
      <c r="AA30" s="20">
        <f>SUM($Z$30:$Z$30)</f>
        <v>-0.49395719015468809</v>
      </c>
      <c r="AB30" s="20">
        <f>SUMIF($L$4:$AA$4,"SUBTOTAL",$L$30:$AA$30)</f>
        <v>-15.41237879439957</v>
      </c>
    </row>
    <row r="31" spans="1:28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'TE BE'!$L$31*'TE BE'!$L$52</f>
        <v>1.1270770659303425E-7</v>
      </c>
      <c r="M31" s="20">
        <f>'TE BE'!$M$31*'TE BE'!$M$52</f>
        <v>-4.8034487050752235</v>
      </c>
      <c r="N31" s="20">
        <f>'TE BE'!$N$31*'TE BE'!$N$52</f>
        <v>0</v>
      </c>
      <c r="O31" s="20">
        <f>'TE BE'!$O$31*'TE BE'!$O$52</f>
        <v>1.5093523043021293</v>
      </c>
      <c r="P31" s="20">
        <f>'TE BE'!$P$31*'TE BE'!$P$52</f>
        <v>0</v>
      </c>
      <c r="Q31" s="20">
        <f>SUM($L$31:$P$31)</f>
        <v>-3.2940962880653881</v>
      </c>
      <c r="R31" s="20">
        <f>'TE BE'!$R$31*'TE BE'!$R$52</f>
        <v>-15.579395025646436</v>
      </c>
      <c r="S31" s="20">
        <f>SUM($R$31:$R$31)</f>
        <v>-15.579395025646436</v>
      </c>
      <c r="T31" s="20">
        <f>'TE BE'!$T$31*'TE BE'!$T$52</f>
        <v>2.965010816724126</v>
      </c>
      <c r="U31" s="20">
        <f>'TE BE'!$U$31*'TE BE'!$U$52</f>
        <v>0.10820634412132075</v>
      </c>
      <c r="V31" s="20">
        <f>'TE BE'!$V$31*'TE BE'!$V$52</f>
        <v>0</v>
      </c>
      <c r="W31" s="20">
        <f>SUM($T$31:$V$31)</f>
        <v>3.0732171608454468</v>
      </c>
      <c r="X31" s="20">
        <f>'TE BE'!$AB$31*'TE BE'!$X$52</f>
        <v>0</v>
      </c>
      <c r="Y31" s="20">
        <f>SUM($X$31:$X$31)</f>
        <v>0</v>
      </c>
      <c r="Z31" s="20">
        <f>'TE BE'!$Z$31*'TE BE'!$Z$52</f>
        <v>-0.49395719015468809</v>
      </c>
      <c r="AA31" s="20">
        <f>SUM($Z$31:$Z$31)</f>
        <v>-0.49395719015468809</v>
      </c>
      <c r="AB31" s="20">
        <f>SUMIF($L$4:$AA$4,"SUBTOTAL",$L$31:$AA$31)</f>
        <v>-16.294231343021064</v>
      </c>
    </row>
    <row r="32" spans="1:28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'TE BE'!$L$32*'TE BE'!$L$52</f>
        <v>1.1270770659303425E-7</v>
      </c>
      <c r="M32" s="20">
        <f>'TE BE'!$M$32*'TE BE'!$M$52</f>
        <v>-4.8034487050752235</v>
      </c>
      <c r="N32" s="20">
        <f>'TE BE'!$N$32*'TE BE'!$N$52</f>
        <v>0</v>
      </c>
      <c r="O32" s="20">
        <f>'TE BE'!$O$32*'TE BE'!$O$52</f>
        <v>1.5093523043021293</v>
      </c>
      <c r="P32" s="20">
        <f>'TE BE'!$P$32*'TE BE'!$P$52</f>
        <v>0</v>
      </c>
      <c r="Q32" s="20">
        <f>SUM($L$32:$P$32)</f>
        <v>-3.2940962880653881</v>
      </c>
      <c r="R32" s="20">
        <f>'TE BE'!$R$32*'TE BE'!$R$52</f>
        <v>-25.279773060482892</v>
      </c>
      <c r="S32" s="20">
        <f>SUM($R$32:$R$32)</f>
        <v>-25.279773060482892</v>
      </c>
      <c r="T32" s="20">
        <f>'TE BE'!$T$32*'TE BE'!$T$52</f>
        <v>2.965010816724126</v>
      </c>
      <c r="U32" s="20">
        <f>'TE BE'!$U$32*'TE BE'!$U$52</f>
        <v>0.10820634412132075</v>
      </c>
      <c r="V32" s="20">
        <f>'TE BE'!$V$32*'TE BE'!$V$52</f>
        <v>0</v>
      </c>
      <c r="W32" s="20">
        <f>SUM($T$32:$V$32)</f>
        <v>3.0732171608454468</v>
      </c>
      <c r="X32" s="20">
        <f>'TE BE'!$AB$32*'TE BE'!$X$52</f>
        <v>0</v>
      </c>
      <c r="Y32" s="20">
        <f>SUM($X$32:$X$32)</f>
        <v>0</v>
      </c>
      <c r="Z32" s="20">
        <f>'TE BE'!$Z$32*'TE BE'!$Z$52</f>
        <v>-0.49395719015468809</v>
      </c>
      <c r="AA32" s="20">
        <f>SUM($Z$32:$Z$32)</f>
        <v>-0.49395719015468809</v>
      </c>
      <c r="AB32" s="20">
        <f>SUMIF($L$4:$AA$4,"SUBTOTAL",$L$32:$AA$32)</f>
        <v>-25.994609377857522</v>
      </c>
    </row>
    <row r="33" spans="1:28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'TE BE'!$L$33*'TE BE'!$L$52</f>
        <v>1.1270770659303425E-7</v>
      </c>
      <c r="M33" s="20">
        <f>'TE BE'!$M$33*'TE BE'!$M$52</f>
        <v>-4.8034487050752235</v>
      </c>
      <c r="N33" s="20">
        <f>'TE BE'!$N$33*'TE BE'!$N$52</f>
        <v>0</v>
      </c>
      <c r="O33" s="20">
        <f>'TE BE'!$O$33*'TE BE'!$O$52</f>
        <v>1.5093523043021293</v>
      </c>
      <c r="P33" s="20">
        <f>'TE BE'!$P$33*'TE BE'!$P$52</f>
        <v>0</v>
      </c>
      <c r="Q33" s="20">
        <f>SUM($L$33:$P$33)</f>
        <v>-3.2940962880653881</v>
      </c>
      <c r="R33" s="20">
        <f>'TE BE'!$R$33*'TE BE'!$R$52</f>
        <v>-14.697542477024939</v>
      </c>
      <c r="S33" s="20">
        <f>SUM($R$33:$R$33)</f>
        <v>-14.697542477024939</v>
      </c>
      <c r="T33" s="20">
        <f>'TE BE'!$T$33*'TE BE'!$T$52</f>
        <v>2.965010816724126</v>
      </c>
      <c r="U33" s="20">
        <f>'TE BE'!$U$33*'TE BE'!$U$52</f>
        <v>0.10820634412132075</v>
      </c>
      <c r="V33" s="20">
        <f>'TE BE'!$V$33*'TE BE'!$V$52</f>
        <v>0</v>
      </c>
      <c r="W33" s="20">
        <f>SUM($T$33:$V$33)</f>
        <v>3.0732171608454468</v>
      </c>
      <c r="X33" s="20">
        <f>'TE BE'!$AB$33*'TE BE'!$X$52</f>
        <v>0</v>
      </c>
      <c r="Y33" s="20">
        <f>SUM($X$33:$X$33)</f>
        <v>0</v>
      </c>
      <c r="Z33" s="20">
        <f>'TE BE'!$Z$33*'TE BE'!$Z$52</f>
        <v>-0.49395719015468809</v>
      </c>
      <c r="AA33" s="20">
        <f>SUM($Z$33:$Z$33)</f>
        <v>-0.49395719015468809</v>
      </c>
      <c r="AB33" s="20">
        <f>SUMIF($L$4:$AA$4,"SUBTOTAL",$L$33:$AA$33)</f>
        <v>-15.41237879439957</v>
      </c>
    </row>
    <row r="34" spans="1:28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'TE BE'!$L$34*'TE BE'!$L$52</f>
        <v>1.1270770659303425E-7</v>
      </c>
      <c r="M34" s="20">
        <f>'TE BE'!$M$34*'TE BE'!$M$52</f>
        <v>-4.8034487050752235</v>
      </c>
      <c r="N34" s="20">
        <f>'TE BE'!$N$34*'TE BE'!$N$52</f>
        <v>0</v>
      </c>
      <c r="O34" s="20">
        <f>'TE BE'!$O$34*'TE BE'!$O$52</f>
        <v>1.5093523043021293</v>
      </c>
      <c r="P34" s="20">
        <f>'TE BE'!$P$34*'TE BE'!$P$52</f>
        <v>0</v>
      </c>
      <c r="Q34" s="20">
        <f>SUM($L$34:$P$34)</f>
        <v>-3.2940962880653881</v>
      </c>
      <c r="R34" s="20">
        <f>'TE BE'!$R$34*'TE BE'!$R$52</f>
        <v>-14.697542477024939</v>
      </c>
      <c r="S34" s="20">
        <f>SUM($R$34:$R$34)</f>
        <v>-14.697542477024939</v>
      </c>
      <c r="T34" s="20">
        <f>'TE BE'!$T$34*'TE BE'!$T$52</f>
        <v>2.965010816724126</v>
      </c>
      <c r="U34" s="20">
        <f>'TE BE'!$U$34*'TE BE'!$U$52</f>
        <v>0.10820634412132075</v>
      </c>
      <c r="V34" s="20">
        <f>'TE BE'!$V$34*'TE BE'!$V$52</f>
        <v>0</v>
      </c>
      <c r="W34" s="20">
        <f>SUM($T$34:$V$34)</f>
        <v>3.0732171608454468</v>
      </c>
      <c r="X34" s="20">
        <f>'TE BE'!$AB$34*'TE BE'!$X$52</f>
        <v>0</v>
      </c>
      <c r="Y34" s="20">
        <f>SUM($X$34:$X$34)</f>
        <v>0</v>
      </c>
      <c r="Z34" s="20">
        <f>'TE BE'!$Z$34*'TE BE'!$Z$52</f>
        <v>-0.49395719015468809</v>
      </c>
      <c r="AA34" s="20">
        <f>SUM($Z$34:$Z$34)</f>
        <v>-0.49395719015468809</v>
      </c>
      <c r="AB34" s="20">
        <f>SUMIF($L$4:$AA$4,"SUBTOTAL",$L$34:$AA$34)</f>
        <v>-15.41237879439957</v>
      </c>
    </row>
    <row r="35" spans="1:28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'TE BE'!$L$35*'TE BE'!$L$52</f>
        <v>1.1270770659303425E-7</v>
      </c>
      <c r="M35" s="20">
        <f>'TE BE'!$M$35*'TE BE'!$M$52</f>
        <v>-4.8034487050752235</v>
      </c>
      <c r="N35" s="20">
        <f>'TE BE'!$N$35*'TE BE'!$N$52</f>
        <v>0</v>
      </c>
      <c r="O35" s="20">
        <f>'TE BE'!$O$35*'TE BE'!$O$52</f>
        <v>1.5093523043021293</v>
      </c>
      <c r="P35" s="20">
        <f>'TE BE'!$P$35*'TE BE'!$P$52</f>
        <v>0</v>
      </c>
      <c r="Q35" s="20">
        <f>SUM($L$35:$P$35)</f>
        <v>-3.2940962880653881</v>
      </c>
      <c r="R35" s="20">
        <f>'TE BE'!$R$35*'TE BE'!$R$52</f>
        <v>-15.579395025646436</v>
      </c>
      <c r="S35" s="20">
        <f>SUM($R$35:$R$35)</f>
        <v>-15.579395025646436</v>
      </c>
      <c r="T35" s="20">
        <f>'TE BE'!$T$35*'TE BE'!$T$52</f>
        <v>2.965010816724126</v>
      </c>
      <c r="U35" s="20">
        <f>'TE BE'!$U$35*'TE BE'!$U$52</f>
        <v>0.10820634412132075</v>
      </c>
      <c r="V35" s="20">
        <f>'TE BE'!$V$35*'TE BE'!$V$52</f>
        <v>0</v>
      </c>
      <c r="W35" s="20">
        <f>SUM($T$35:$V$35)</f>
        <v>3.0732171608454468</v>
      </c>
      <c r="X35" s="20">
        <f>'TE BE'!$AB$35*'TE BE'!$X$52</f>
        <v>0</v>
      </c>
      <c r="Y35" s="20">
        <f>SUM($X$35:$X$35)</f>
        <v>0</v>
      </c>
      <c r="Z35" s="20">
        <f>'TE BE'!$Z$35*'TE BE'!$Z$52</f>
        <v>-0.49395719015468809</v>
      </c>
      <c r="AA35" s="20">
        <f>SUM($Z$35:$Z$35)</f>
        <v>-0.49395719015468809</v>
      </c>
      <c r="AB35" s="20">
        <f>SUMIF($L$4:$AA$4,"SUBTOTAL",$L$35:$AA$35)</f>
        <v>-16.294231343021064</v>
      </c>
    </row>
    <row r="36" spans="1:28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'TE BE'!$L$36*'TE BE'!$L$52</f>
        <v>1.1270770659303425E-7</v>
      </c>
      <c r="M36" s="20">
        <f>'TE BE'!$M$36*'TE BE'!$M$52</f>
        <v>-4.8034487050752235</v>
      </c>
      <c r="N36" s="20">
        <f>'TE BE'!$N$36*'TE BE'!$N$52</f>
        <v>0</v>
      </c>
      <c r="O36" s="20">
        <f>'TE BE'!$O$36*'TE BE'!$O$52</f>
        <v>1.5093523043021293</v>
      </c>
      <c r="P36" s="20">
        <f>'TE BE'!$P$36*'TE BE'!$P$52</f>
        <v>0</v>
      </c>
      <c r="Q36" s="20">
        <f>SUM($L$36:$P$36)</f>
        <v>-3.2940962880653881</v>
      </c>
      <c r="R36" s="20">
        <f>'TE BE'!$R$36*'TE BE'!$R$52</f>
        <v>-15.579395025646436</v>
      </c>
      <c r="S36" s="20">
        <f>SUM($R$36:$R$36)</f>
        <v>-15.579395025646436</v>
      </c>
      <c r="T36" s="20">
        <f>'TE BE'!$T$36*'TE BE'!$T$52</f>
        <v>2.965010816724126</v>
      </c>
      <c r="U36" s="20">
        <f>'TE BE'!$U$36*'TE BE'!$U$52</f>
        <v>0.10820634412132075</v>
      </c>
      <c r="V36" s="20">
        <f>'TE BE'!$V$36*'TE BE'!$V$52</f>
        <v>0</v>
      </c>
      <c r="W36" s="20">
        <f>SUM($T$36:$V$36)</f>
        <v>3.0732171608454468</v>
      </c>
      <c r="X36" s="20">
        <f>'TE BE'!$AB$36*'TE BE'!$X$52</f>
        <v>0</v>
      </c>
      <c r="Y36" s="20">
        <f>SUM($X$36:$X$36)</f>
        <v>0</v>
      </c>
      <c r="Z36" s="20">
        <f>'TE BE'!$Z$36*'TE BE'!$Z$52</f>
        <v>-0.49395719015468809</v>
      </c>
      <c r="AA36" s="20">
        <f>SUM($Z$36:$Z$36)</f>
        <v>-0.49395719015468809</v>
      </c>
      <c r="AB36" s="20">
        <f>SUMIF($L$4:$AA$4,"SUBTOTAL",$L$36:$AA$36)</f>
        <v>-16.294231343021064</v>
      </c>
    </row>
    <row r="37" spans="1:28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'TE BE'!$L$37*'TE BE'!$L$52</f>
        <v>1.1270770659303425E-7</v>
      </c>
      <c r="M37" s="20">
        <f>'TE BE'!$M$37*'TE BE'!$M$52</f>
        <v>-4.8034487050752235</v>
      </c>
      <c r="N37" s="20">
        <f>'TE BE'!$N$37*'TE BE'!$N$52</f>
        <v>0</v>
      </c>
      <c r="O37" s="20">
        <f>'TE BE'!$O$37*'TE BE'!$O$52</f>
        <v>1.5093523043021293</v>
      </c>
      <c r="P37" s="20">
        <f>'TE BE'!$P$37*'TE BE'!$P$52</f>
        <v>0</v>
      </c>
      <c r="Q37" s="20">
        <f>SUM($L$37:$P$37)</f>
        <v>-3.2940962880653881</v>
      </c>
      <c r="R37" s="20">
        <f>'TE BE'!$R$37*'TE BE'!$R$52</f>
        <v>-15.579395025646436</v>
      </c>
      <c r="S37" s="20">
        <f>SUM($R$37:$R$37)</f>
        <v>-15.579395025646436</v>
      </c>
      <c r="T37" s="20">
        <f>'TE BE'!$T$37*'TE BE'!$T$52</f>
        <v>2.965010816724126</v>
      </c>
      <c r="U37" s="20">
        <f>'TE BE'!$U$37*'TE BE'!$U$52</f>
        <v>0.10820634412132075</v>
      </c>
      <c r="V37" s="20">
        <f>'TE BE'!$V$37*'TE BE'!$V$52</f>
        <v>0</v>
      </c>
      <c r="W37" s="20">
        <f>SUM($T$37:$V$37)</f>
        <v>3.0732171608454468</v>
      </c>
      <c r="X37" s="20">
        <f>'TE BE'!$AB$37*'TE BE'!$X$52</f>
        <v>0</v>
      </c>
      <c r="Y37" s="20">
        <f>SUM($X$37:$X$37)</f>
        <v>0</v>
      </c>
      <c r="Z37" s="20">
        <f>'TE BE'!$Z$37*'TE BE'!$Z$52</f>
        <v>-0.49395719015468809</v>
      </c>
      <c r="AA37" s="20">
        <f>SUM($Z$37:$Z$37)</f>
        <v>-0.49395719015468809</v>
      </c>
      <c r="AB37" s="20">
        <f>SUMIF($L$4:$AA$4,"SUBTOTAL",$L$37:$AA$37)</f>
        <v>-16.294231343021064</v>
      </c>
    </row>
    <row r="38" spans="1:28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'TE BE'!$L$38*'TE BE'!$L$52</f>
        <v>1.1270770659303425E-7</v>
      </c>
      <c r="M38" s="20">
        <f>'TE BE'!$M$38*'TE BE'!$M$52</f>
        <v>-4.8034487050752235</v>
      </c>
      <c r="N38" s="20">
        <f>'TE BE'!$N$38*'TE BE'!$N$52</f>
        <v>0</v>
      </c>
      <c r="O38" s="20">
        <f>'TE BE'!$O$38*'TE BE'!$O$52</f>
        <v>1.5093523043021293</v>
      </c>
      <c r="P38" s="20">
        <f>'TE BE'!$P$38*'TE BE'!$P$52</f>
        <v>0</v>
      </c>
      <c r="Q38" s="20">
        <f>SUM($L$38:$P$38)</f>
        <v>-3.2940962880653881</v>
      </c>
      <c r="R38" s="20">
        <f>'TE BE'!$R$38*'TE BE'!$R$52</f>
        <v>-15.579395025646436</v>
      </c>
      <c r="S38" s="20">
        <f>SUM($R$38:$R$38)</f>
        <v>-15.579395025646436</v>
      </c>
      <c r="T38" s="20">
        <f>'TE BE'!$T$38*'TE BE'!$T$52</f>
        <v>2.965010816724126</v>
      </c>
      <c r="U38" s="20">
        <f>'TE BE'!$U$38*'TE BE'!$U$52</f>
        <v>0.10820634412132075</v>
      </c>
      <c r="V38" s="20">
        <f>'TE BE'!$V$38*'TE BE'!$V$52</f>
        <v>0</v>
      </c>
      <c r="W38" s="20">
        <f>SUM($T$38:$V$38)</f>
        <v>3.0732171608454468</v>
      </c>
      <c r="X38" s="20">
        <f>'TE BE'!$AB$38*'TE BE'!$X$52</f>
        <v>0</v>
      </c>
      <c r="Y38" s="20">
        <f>SUM($X$38:$X$38)</f>
        <v>0</v>
      </c>
      <c r="Z38" s="20">
        <f>'TE BE'!$Z$38*'TE BE'!$Z$52</f>
        <v>-0.49395719015468809</v>
      </c>
      <c r="AA38" s="20">
        <f>SUM($Z$38:$Z$38)</f>
        <v>-0.49395719015468809</v>
      </c>
      <c r="AB38" s="20">
        <f>SUMIF($L$4:$AA$4,"SUBTOTAL",$L$38:$AA$38)</f>
        <v>-16.294231343021064</v>
      </c>
    </row>
    <row r="39" spans="1:28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'TE BE'!$L$39*'TE BE'!$L$52</f>
        <v>1.1270770659303425E-7</v>
      </c>
      <c r="M39" s="20">
        <f>'TE BE'!$M$39*'TE BE'!$M$52</f>
        <v>-4.8034487050752235</v>
      </c>
      <c r="N39" s="20">
        <f>'TE BE'!$N$39*'TE BE'!$N$52</f>
        <v>0</v>
      </c>
      <c r="O39" s="20">
        <f>'TE BE'!$O$39*'TE BE'!$O$52</f>
        <v>1.5093523043021293</v>
      </c>
      <c r="P39" s="20">
        <f>'TE BE'!$P$39*'TE BE'!$P$52</f>
        <v>0</v>
      </c>
      <c r="Q39" s="20">
        <f>SUM($L$39:$P$39)</f>
        <v>-3.2940962880653881</v>
      </c>
      <c r="R39" s="20">
        <f>'TE BE'!$R$39*'TE BE'!$R$52</f>
        <v>-25.279773060482892</v>
      </c>
      <c r="S39" s="20">
        <f>SUM($R$39:$R$39)</f>
        <v>-25.279773060482892</v>
      </c>
      <c r="T39" s="20">
        <f>'TE BE'!$T$39*'TE BE'!$T$52</f>
        <v>2.965010816724126</v>
      </c>
      <c r="U39" s="20">
        <f>'TE BE'!$U$39*'TE BE'!$U$52</f>
        <v>0.10820634412132075</v>
      </c>
      <c r="V39" s="20">
        <f>'TE BE'!$V$39*'TE BE'!$V$52</f>
        <v>0</v>
      </c>
      <c r="W39" s="20">
        <f>SUM($T$39:$V$39)</f>
        <v>3.0732171608454468</v>
      </c>
      <c r="X39" s="20">
        <f>'TE BE'!$AB$39*'TE BE'!$X$52</f>
        <v>0</v>
      </c>
      <c r="Y39" s="20">
        <f>SUM($X$39:$X$39)</f>
        <v>0</v>
      </c>
      <c r="Z39" s="20">
        <f>'TE BE'!$Z$39*'TE BE'!$Z$52</f>
        <v>-0.49395719015468809</v>
      </c>
      <c r="AA39" s="20">
        <f>SUM($Z$39:$Z$39)</f>
        <v>-0.49395719015468809</v>
      </c>
      <c r="AB39" s="20">
        <f>SUMIF($L$4:$AA$4,"SUBTOTAL",$L$39:$AA$39)</f>
        <v>-25.994609377857522</v>
      </c>
    </row>
    <row r="40" spans="1:28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'TE BE'!$L$40*'TE BE'!$L$52</f>
        <v>1.1270770659303425E-7</v>
      </c>
      <c r="M40" s="20">
        <f>'TE BE'!$M$40*'TE BE'!$M$52</f>
        <v>-4.8034487050752235</v>
      </c>
      <c r="N40" s="20">
        <f>'TE BE'!$N$40*'TE BE'!$N$52</f>
        <v>0</v>
      </c>
      <c r="O40" s="20">
        <f>'TE BE'!$O$40*'TE BE'!$O$52</f>
        <v>1.5093523043021293</v>
      </c>
      <c r="P40" s="20">
        <f>'TE BE'!$P$40*'TE BE'!$P$52</f>
        <v>0</v>
      </c>
      <c r="Q40" s="20">
        <f>SUM($L$40:$P$40)</f>
        <v>-3.2940962880653881</v>
      </c>
      <c r="R40" s="20">
        <f>'TE BE'!$R$40*'TE BE'!$R$52</f>
        <v>-14.697542477024939</v>
      </c>
      <c r="S40" s="20">
        <f>SUM($R$40:$R$40)</f>
        <v>-14.697542477024939</v>
      </c>
      <c r="T40" s="20">
        <f>'TE BE'!$T$40*'TE BE'!$T$52</f>
        <v>2.965010816724126</v>
      </c>
      <c r="U40" s="20">
        <f>'TE BE'!$U$40*'TE BE'!$U$52</f>
        <v>0.10820634412132075</v>
      </c>
      <c r="V40" s="20">
        <f>'TE BE'!$V$40*'TE BE'!$V$52</f>
        <v>0</v>
      </c>
      <c r="W40" s="20">
        <f>SUM($T$40:$V$40)</f>
        <v>3.0732171608454468</v>
      </c>
      <c r="X40" s="20">
        <f>'TE BE'!$AB$40*'TE BE'!$X$52</f>
        <v>0</v>
      </c>
      <c r="Y40" s="20">
        <f>SUM($X$40:$X$40)</f>
        <v>0</v>
      </c>
      <c r="Z40" s="20">
        <f>'TE BE'!$Z$40*'TE BE'!$Z$52</f>
        <v>-0.49395719015468809</v>
      </c>
      <c r="AA40" s="20">
        <f>SUM($Z$40:$Z$40)</f>
        <v>-0.49395719015468809</v>
      </c>
      <c r="AB40" s="20">
        <f>SUMIF($L$4:$AA$4,"SUBTOTAL",$L$40:$AA$40)</f>
        <v>-15.41237879439957</v>
      </c>
    </row>
    <row r="41" spans="1:28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'TE BE'!$L$41*'TE BE'!$L$52</f>
        <v>1.1270770659303425E-7</v>
      </c>
      <c r="M41" s="20">
        <f>'TE BE'!$M$41*'TE BE'!$M$52</f>
        <v>-4.8034487050752235</v>
      </c>
      <c r="N41" s="20">
        <f>'TE BE'!$N$41*'TE BE'!$N$52</f>
        <v>0</v>
      </c>
      <c r="O41" s="20">
        <f>'TE BE'!$O$41*'TE BE'!$O$52</f>
        <v>1.5093523043021293</v>
      </c>
      <c r="P41" s="20">
        <f>'TE BE'!$P$41*'TE BE'!$P$52</f>
        <v>0</v>
      </c>
      <c r="Q41" s="20">
        <f>SUM($L$41:$P$41)</f>
        <v>-3.2940962880653881</v>
      </c>
      <c r="R41" s="20">
        <f>'TE BE'!$R$41*'TE BE'!$R$52</f>
        <v>-14.697542477024939</v>
      </c>
      <c r="S41" s="20">
        <f>SUM($R$41:$R$41)</f>
        <v>-14.697542477024939</v>
      </c>
      <c r="T41" s="20">
        <f>'TE BE'!$T$41*'TE BE'!$T$52</f>
        <v>2.965010816724126</v>
      </c>
      <c r="U41" s="20">
        <f>'TE BE'!$U$41*'TE BE'!$U$52</f>
        <v>0.10820634412132075</v>
      </c>
      <c r="V41" s="20">
        <f>'TE BE'!$V$41*'TE BE'!$V$52</f>
        <v>0</v>
      </c>
      <c r="W41" s="20">
        <f>SUM($T$41:$V$41)</f>
        <v>3.0732171608454468</v>
      </c>
      <c r="X41" s="20">
        <f>'TE BE'!$AB$41*'TE BE'!$X$52</f>
        <v>0</v>
      </c>
      <c r="Y41" s="20">
        <f>SUM($X$41:$X$41)</f>
        <v>0</v>
      </c>
      <c r="Z41" s="20">
        <f>'TE BE'!$Z$41*'TE BE'!$Z$52</f>
        <v>-0.49395719015468809</v>
      </c>
      <c r="AA41" s="20">
        <f>SUM($Z$41:$Z$41)</f>
        <v>-0.49395719015468809</v>
      </c>
      <c r="AB41" s="20">
        <f>SUMIF($L$4:$AA$4,"SUBTOTAL",$L$41:$AA$41)</f>
        <v>-15.41237879439957</v>
      </c>
    </row>
    <row r="42" spans="1:28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'TE BE'!$L$42*'TE BE'!$L$52</f>
        <v>1.1270770659303425E-7</v>
      </c>
      <c r="M42" s="20">
        <f>'TE BE'!$M$42*'TE BE'!$M$52</f>
        <v>-4.8034487050752235</v>
      </c>
      <c r="N42" s="20">
        <f>'TE BE'!$N$42*'TE BE'!$N$52</f>
        <v>0</v>
      </c>
      <c r="O42" s="20">
        <f>'TE BE'!$O$42*'TE BE'!$O$52</f>
        <v>1.5093523043021293</v>
      </c>
      <c r="P42" s="20">
        <f>'TE BE'!$P$42*'TE BE'!$P$52</f>
        <v>0</v>
      </c>
      <c r="Q42" s="20">
        <f>SUM($L$42:$P$42)</f>
        <v>-3.2940962880653881</v>
      </c>
      <c r="R42" s="20">
        <f>'TE BE'!$R$42*'TE BE'!$R$52</f>
        <v>-15.579395025646436</v>
      </c>
      <c r="S42" s="20">
        <f>SUM($R$42:$R$42)</f>
        <v>-15.579395025646436</v>
      </c>
      <c r="T42" s="20">
        <f>'TE BE'!$T$42*'TE BE'!$T$52</f>
        <v>2.965010816724126</v>
      </c>
      <c r="U42" s="20">
        <f>'TE BE'!$U$42*'TE BE'!$U$52</f>
        <v>0.10820634412132075</v>
      </c>
      <c r="V42" s="20">
        <f>'TE BE'!$V$42*'TE BE'!$V$52</f>
        <v>0</v>
      </c>
      <c r="W42" s="20">
        <f>SUM($T$42:$V$42)</f>
        <v>3.0732171608454468</v>
      </c>
      <c r="X42" s="20">
        <f>'TE BE'!$AB$42*'TE BE'!$X$52</f>
        <v>0</v>
      </c>
      <c r="Y42" s="20">
        <f>SUM($X$42:$X$42)</f>
        <v>0</v>
      </c>
      <c r="Z42" s="20">
        <f>'TE BE'!$Z$42*'TE BE'!$Z$52</f>
        <v>-0.49395719015468809</v>
      </c>
      <c r="AA42" s="20">
        <f>SUM($Z$42:$Z$42)</f>
        <v>-0.49395719015468809</v>
      </c>
      <c r="AB42" s="20">
        <f>SUMIF($L$4:$AA$4,"SUBTOTAL",$L$42:$AA$42)</f>
        <v>-16.294231343021064</v>
      </c>
    </row>
    <row r="43" spans="1:28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'TE BE'!$L$43*'TE BE'!$L$52</f>
        <v>1.1270770659303425E-7</v>
      </c>
      <c r="M43" s="20">
        <f>'TE BE'!$M$43*'TE BE'!$M$52</f>
        <v>-4.8034487050752235</v>
      </c>
      <c r="N43" s="20">
        <f>'TE BE'!$N$43*'TE BE'!$N$52</f>
        <v>0</v>
      </c>
      <c r="O43" s="20">
        <f>'TE BE'!$O$43*'TE BE'!$O$52</f>
        <v>1.5093523043021293</v>
      </c>
      <c r="P43" s="20">
        <f>'TE BE'!$P$43*'TE BE'!$P$52</f>
        <v>0</v>
      </c>
      <c r="Q43" s="20">
        <f>SUM($L$43:$P$43)</f>
        <v>-3.2940962880653881</v>
      </c>
      <c r="R43" s="20">
        <f>'TE BE'!$R$43*'TE BE'!$R$52</f>
        <v>-15.579395025646436</v>
      </c>
      <c r="S43" s="20">
        <f>SUM($R$43:$R$43)</f>
        <v>-15.579395025646436</v>
      </c>
      <c r="T43" s="20">
        <f>'TE BE'!$T$43*'TE BE'!$T$52</f>
        <v>2.965010816724126</v>
      </c>
      <c r="U43" s="20">
        <f>'TE BE'!$U$43*'TE BE'!$U$52</f>
        <v>0.10820634412132075</v>
      </c>
      <c r="V43" s="20">
        <f>'TE BE'!$V$43*'TE BE'!$V$52</f>
        <v>0</v>
      </c>
      <c r="W43" s="20">
        <f>SUM($T$43:$V$43)</f>
        <v>3.0732171608454468</v>
      </c>
      <c r="X43" s="20">
        <f>'TE BE'!$AB$43*'TE BE'!$X$52</f>
        <v>0</v>
      </c>
      <c r="Y43" s="20">
        <f>SUM($X$43:$X$43)</f>
        <v>0</v>
      </c>
      <c r="Z43" s="20">
        <f>'TE BE'!$Z$43*'TE BE'!$Z$52</f>
        <v>-0.49395719015468809</v>
      </c>
      <c r="AA43" s="20">
        <f>SUM($Z$43:$Z$43)</f>
        <v>-0.49395719015468809</v>
      </c>
      <c r="AB43" s="20">
        <f>SUMIF($L$4:$AA$4,"SUBTOTAL",$L$43:$AA$43)</f>
        <v>-16.294231343021064</v>
      </c>
    </row>
    <row r="44" spans="1:28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'TE BE'!$L$44*'TE BE'!$L$52</f>
        <v>6.1989238626168845E-8</v>
      </c>
      <c r="M44" s="20">
        <f>'TE BE'!$M$44*'TE BE'!$M$52</f>
        <v>-2.641896787791373</v>
      </c>
      <c r="N44" s="20">
        <f>'TE BE'!$N$44*'TE BE'!$N$52</f>
        <v>0</v>
      </c>
      <c r="O44" s="20">
        <f>'TE BE'!$O$44*'TE BE'!$O$52</f>
        <v>0.83014376736617124</v>
      </c>
      <c r="P44" s="20">
        <f>'TE BE'!$P$44*'TE BE'!$P$52</f>
        <v>0</v>
      </c>
      <c r="Q44" s="20">
        <f>SUM($L$44:$P$44)</f>
        <v>-1.8117529584359633</v>
      </c>
      <c r="R44" s="20">
        <f>'TE BE'!$R$44*'TE BE'!$R$52</f>
        <v>-8.5686672641055406</v>
      </c>
      <c r="S44" s="20">
        <f>SUM($R$44:$R$44)</f>
        <v>-8.5686672641055406</v>
      </c>
      <c r="T44" s="20">
        <f>'TE BE'!$T$44*'TE BE'!$T$52</f>
        <v>1.6307559491982695</v>
      </c>
      <c r="U44" s="20">
        <f>'TE BE'!$U$44*'TE BE'!$U$52</f>
        <v>5.9513489266726421E-2</v>
      </c>
      <c r="V44" s="20">
        <f>'TE BE'!$V$44*'TE BE'!$V$52</f>
        <v>0</v>
      </c>
      <c r="W44" s="20">
        <f>SUM($T$44:$V$44)</f>
        <v>1.6902694384649959</v>
      </c>
      <c r="X44" s="20">
        <f>'TE BE'!$AB$44*'TE BE'!$X$52</f>
        <v>0</v>
      </c>
      <c r="Y44" s="20">
        <f>SUM($X$44:$X$44)</f>
        <v>0</v>
      </c>
      <c r="Z44" s="20">
        <f>'TE BE'!$Z$44*'TE BE'!$Z$52</f>
        <v>-0.2716764545850785</v>
      </c>
      <c r="AA44" s="20">
        <f>SUM($Z$44:$Z$44)</f>
        <v>-0.2716764545850785</v>
      </c>
      <c r="AB44" s="20">
        <f>SUMIF($L$4:$AA$4,"SUBTOTAL",$L$44:$AA$44)</f>
        <v>-8.961827238661586</v>
      </c>
    </row>
    <row r="45" spans="1:28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'TE BE'!$L$45*'TE BE'!$L$52</f>
        <v>6.7624623955820546E-8</v>
      </c>
      <c r="M45" s="20">
        <f>'TE BE'!$M$45*'TE BE'!$M$52</f>
        <v>-2.8820692230451335</v>
      </c>
      <c r="N45" s="20">
        <f>'TE BE'!$N$45*'TE BE'!$N$52</f>
        <v>0</v>
      </c>
      <c r="O45" s="20">
        <f>'TE BE'!$O$45*'TE BE'!$O$52</f>
        <v>0.90561138258127749</v>
      </c>
      <c r="P45" s="20">
        <f>'TE BE'!$P$45*'TE BE'!$P$52</f>
        <v>0</v>
      </c>
      <c r="Q45" s="20">
        <f>SUM($L$45:$P$45)</f>
        <v>-1.9764577728392319</v>
      </c>
      <c r="R45" s="20">
        <f>'TE BE'!$R$45*'TE BE'!$R$52</f>
        <v>-9.3476370153878623</v>
      </c>
      <c r="S45" s="20">
        <f>SUM($R$45:$R$45)</f>
        <v>-9.3476370153878623</v>
      </c>
      <c r="T45" s="20">
        <f>'TE BE'!$T$45*'TE BE'!$T$52</f>
        <v>1.7790064900344755</v>
      </c>
      <c r="U45" s="20">
        <f>'TE BE'!$U$45*'TE BE'!$U$52</f>
        <v>6.4923806472792445E-2</v>
      </c>
      <c r="V45" s="20">
        <f>'TE BE'!$V$45*'TE BE'!$V$52</f>
        <v>0</v>
      </c>
      <c r="W45" s="20">
        <f>SUM($T$45:$V$45)</f>
        <v>1.8439302965072679</v>
      </c>
      <c r="X45" s="20">
        <f>'TE BE'!$AB$45*'TE BE'!$X$52</f>
        <v>0</v>
      </c>
      <c r="Y45" s="20">
        <f>SUM($X$45:$X$45)</f>
        <v>0</v>
      </c>
      <c r="Z45" s="20">
        <f>'TE BE'!$Z$45*'TE BE'!$Z$52</f>
        <v>-0.2963743140928129</v>
      </c>
      <c r="AA45" s="20">
        <f>SUM($Z$45:$Z$45)</f>
        <v>-0.2963743140928129</v>
      </c>
      <c r="AB45" s="20">
        <f>SUMIF($L$4:$AA$4,"SUBTOTAL",$L$45:$AA$45)</f>
        <v>-9.7765388058126383</v>
      </c>
    </row>
    <row r="47" spans="1:28" ht="11.25" customHeight="1" x14ac:dyDescent="0.25">
      <c r="K47" s="25" t="s">
        <v>704</v>
      </c>
      <c r="L47" s="20">
        <f t="shared" ref="L47:AB47" si="0">SUMPRODUCT($I$5:$I$45,L$5:L$45)</f>
        <v>2.1730396836747653E-2</v>
      </c>
      <c r="M47" s="20">
        <f t="shared" si="0"/>
        <v>-926119.86971880542</v>
      </c>
      <c r="N47" s="20">
        <f t="shared" si="0"/>
        <v>0</v>
      </c>
      <c r="O47" s="20">
        <f t="shared" si="0"/>
        <v>291007.82484533178</v>
      </c>
      <c r="P47" s="20">
        <f t="shared" si="0"/>
        <v>0</v>
      </c>
      <c r="Q47" s="20">
        <f t="shared" si="0"/>
        <v>-635112.0231430768</v>
      </c>
      <c r="R47" s="20">
        <f t="shared" si="0"/>
        <v>-2992739.8518927959</v>
      </c>
      <c r="S47" s="20">
        <f t="shared" si="0"/>
        <v>-2992739.8518927959</v>
      </c>
      <c r="T47" s="20">
        <f t="shared" si="0"/>
        <v>571663.31939759816</v>
      </c>
      <c r="U47" s="20">
        <f t="shared" si="0"/>
        <v>20862.520133608137</v>
      </c>
      <c r="V47" s="20">
        <f t="shared" si="0"/>
        <v>0</v>
      </c>
      <c r="W47" s="20">
        <f t="shared" si="0"/>
        <v>592525.83953120629</v>
      </c>
      <c r="X47" s="20">
        <f t="shared" si="0"/>
        <v>0</v>
      </c>
      <c r="Y47" s="20">
        <f t="shared" si="0"/>
        <v>0</v>
      </c>
      <c r="Z47" s="20">
        <f t="shared" si="0"/>
        <v>-95236.484592701163</v>
      </c>
      <c r="AA47" s="20">
        <f t="shared" si="0"/>
        <v>-95236.484592701163</v>
      </c>
      <c r="AB47" s="20">
        <f t="shared" si="0"/>
        <v>-3130562.520097367</v>
      </c>
    </row>
    <row r="48" spans="1:28" ht="11.25" customHeight="1" x14ac:dyDescent="0.25">
      <c r="K48" s="25" t="s">
        <v>623</v>
      </c>
      <c r="L48" s="20">
        <f>CUSTOS!$D$30</f>
        <v>490441.64912756049</v>
      </c>
      <c r="M48" s="20">
        <f>CUSTOS!$D$31</f>
        <v>2519008.7404471575</v>
      </c>
      <c r="N48" s="20">
        <f>CUSTOS!$D$32</f>
        <v>0</v>
      </c>
      <c r="O48" s="20">
        <f>CUSTOS!$D$33</f>
        <v>794008.21351846925</v>
      </c>
      <c r="P48" s="20">
        <f>CUSTOS!$D$34</f>
        <v>-3150000</v>
      </c>
      <c r="Q48" s="20">
        <f>CUSTOS!$D$35</f>
        <v>653458.60309318732</v>
      </c>
      <c r="R48" s="20">
        <f>CUSTOS!$D$36</f>
        <v>41430078.225968428</v>
      </c>
      <c r="S48" s="20">
        <f>CUSTOS!$D$37</f>
        <v>41430078.225968428</v>
      </c>
      <c r="T48" s="20">
        <f>CUSTOS!$D$38</f>
        <v>1559392.1738818092</v>
      </c>
      <c r="U48" s="20">
        <f>CUSTOS!$D$39</f>
        <v>1295788.6175304062</v>
      </c>
      <c r="V48" s="20">
        <f>CUSTOS!$D$40</f>
        <v>0</v>
      </c>
      <c r="W48" s="20">
        <f>CUSTOS!$D$41</f>
        <v>2855180.7914122157</v>
      </c>
      <c r="X48" s="20">
        <f>CUSTOS!$D$42</f>
        <v>0</v>
      </c>
      <c r="Y48" s="20">
        <f>CUSTOS!$D$43</f>
        <v>0</v>
      </c>
      <c r="Z48" s="20">
        <f>CUSTOS!$D$44</f>
        <v>1318408.9502956187</v>
      </c>
      <c r="AA48" s="20">
        <f>CUSTOS!$D$45</f>
        <v>1318408.9502956187</v>
      </c>
      <c r="AB48" s="20">
        <f>CUSTOS!$D$46</f>
        <v>46257126.570769452</v>
      </c>
    </row>
    <row r="49" spans="11:28" ht="11.25" customHeight="1" x14ac:dyDescent="0.25">
      <c r="K49" s="25" t="s">
        <v>624</v>
      </c>
      <c r="L49" s="20">
        <f>CUSTOS!$E$30</f>
        <v>2.1730396836747649E-2</v>
      </c>
      <c r="M49" s="20">
        <f>CUSTOS!$E$31</f>
        <v>-926119.86971880542</v>
      </c>
      <c r="N49" s="20">
        <f>CUSTOS!$E$32</f>
        <v>0</v>
      </c>
      <c r="O49" s="20">
        <f>CUSTOS!$E$33</f>
        <v>291007.82484533184</v>
      </c>
      <c r="P49" s="20">
        <f>CUSTOS!$E$34</f>
        <v>0</v>
      </c>
      <c r="Q49" s="20">
        <f>CUSTOS!$E$35</f>
        <v>-635112.0231430768</v>
      </c>
      <c r="R49" s="20">
        <f>CUSTOS!$E$36</f>
        <v>-2992739.8518927954</v>
      </c>
      <c r="S49" s="20">
        <f>CUSTOS!$E$37</f>
        <v>-2992739.8518927954</v>
      </c>
      <c r="T49" s="20">
        <f>CUSTOS!$E$38</f>
        <v>571663.31939759804</v>
      </c>
      <c r="U49" s="20">
        <f>CUSTOS!$E$39</f>
        <v>20862.520133608137</v>
      </c>
      <c r="V49" s="20">
        <f>CUSTOS!$E$40</f>
        <v>0</v>
      </c>
      <c r="W49" s="20">
        <f>CUSTOS!$E$41</f>
        <v>592525.83953120618</v>
      </c>
      <c r="X49" s="20">
        <f>CUSTOS!$E$42</f>
        <v>0</v>
      </c>
      <c r="Y49" s="20">
        <f>CUSTOS!$E$43</f>
        <v>0</v>
      </c>
      <c r="Z49" s="20">
        <f>CUSTOS!$E$44</f>
        <v>-95236.484592701177</v>
      </c>
      <c r="AA49" s="20">
        <f>CUSTOS!$E$45</f>
        <v>-95236.484592701177</v>
      </c>
      <c r="AB49" s="20">
        <f>CUSTOS!$E$46</f>
        <v>-3130562.5200973675</v>
      </c>
    </row>
    <row r="50" spans="11:28" ht="11.25" customHeight="1" x14ac:dyDescent="0.25">
      <c r="K50" s="25" t="s">
        <v>625</v>
      </c>
      <c r="L50" s="20">
        <f>CUSTOS!$F$30</f>
        <v>0</v>
      </c>
      <c r="M50" s="20">
        <f>CUSTOS!$F$31</f>
        <v>3430068.2357000001</v>
      </c>
      <c r="N50" s="20">
        <f>CUSTOS!$F$32</f>
        <v>0</v>
      </c>
      <c r="O50" s="20">
        <f>CUSTOS!$F$33</f>
        <v>71247.873020958446</v>
      </c>
      <c r="P50" s="20">
        <f>CUSTOS!$F$34</f>
        <v>0</v>
      </c>
      <c r="Q50" s="20">
        <f>CUSTOS!$F$35</f>
        <v>3501316.1087209587</v>
      </c>
      <c r="R50" s="20">
        <f>CUSTOS!$F$36</f>
        <v>5685725.32587808</v>
      </c>
      <c r="S50" s="20">
        <f>CUSTOS!$F$37</f>
        <v>5685725.32587808</v>
      </c>
      <c r="T50" s="20">
        <f>CUSTOS!$F$38</f>
        <v>-178222.86040000001</v>
      </c>
      <c r="U50" s="20">
        <f>CUSTOS!$F$39</f>
        <v>-28907.910200000002</v>
      </c>
      <c r="V50" s="20">
        <f>CUSTOS!$F$40</f>
        <v>0</v>
      </c>
      <c r="W50" s="20">
        <f>CUSTOS!$F$41</f>
        <v>-207130.77060000002</v>
      </c>
      <c r="X50" s="20">
        <f>CUSTOS!$F$42</f>
        <v>0</v>
      </c>
      <c r="Y50" s="20">
        <f>CUSTOS!$F$43</f>
        <v>0</v>
      </c>
      <c r="Z50" s="20">
        <f>CUSTOS!$F$44</f>
        <v>180934.03342554063</v>
      </c>
      <c r="AA50" s="20">
        <f>CUSTOS!$F$45</f>
        <v>180934.03342554063</v>
      </c>
      <c r="AB50" s="20">
        <f>CUSTOS!$F$46</f>
        <v>9160844.6974245775</v>
      </c>
    </row>
    <row r="51" spans="11:28" ht="11.25" customHeight="1" x14ac:dyDescent="0.25">
      <c r="K51" s="25" t="s">
        <v>705</v>
      </c>
      <c r="L51" s="20">
        <f>'TR TE'!$L$51*L52</f>
        <v>0</v>
      </c>
      <c r="M51" s="20">
        <f>'TR TE'!$M$51*M52</f>
        <v>17.790522980675732</v>
      </c>
      <c r="N51" s="20">
        <f>'TR TE'!$N$51*N52</f>
        <v>0</v>
      </c>
      <c r="O51" s="20">
        <f>'TR TE'!$O$51*O52</f>
        <v>0.36953694072647275</v>
      </c>
      <c r="P51" s="20">
        <f>'TR TE'!$P$51*P52</f>
        <v>0</v>
      </c>
      <c r="Q51" s="20"/>
      <c r="R51" s="20">
        <f>'TR TE'!$R$51*R52</f>
        <v>29.311392778649505</v>
      </c>
      <c r="S51" s="20"/>
      <c r="T51" s="20">
        <f>'TR TE'!$T$51*T52</f>
        <v>-0.9243774979831848</v>
      </c>
      <c r="U51" s="20">
        <f>'TR TE'!$U$51*U52</f>
        <v>-0.14993487166923838</v>
      </c>
      <c r="V51" s="20">
        <f>'TR TE'!$V$51*V52</f>
        <v>0</v>
      </c>
      <c r="W51" s="20"/>
      <c r="X51" s="20"/>
      <c r="Y51" s="20"/>
      <c r="Z51" s="20">
        <f>'TR TE'!$Z$51*Z52</f>
        <v>0.93843937159650237</v>
      </c>
      <c r="AA51" s="20"/>
      <c r="AB51" s="20"/>
    </row>
    <row r="52" spans="11:28" ht="11.25" customHeight="1" x14ac:dyDescent="0.25">
      <c r="K52" s="25" t="s">
        <v>700</v>
      </c>
      <c r="L52" s="20">
        <f>IF(L48&lt;&gt;0,L50/L48,0)</f>
        <v>0</v>
      </c>
      <c r="M52" s="20">
        <f>IF(M48&lt;&gt;0,M50/M48,0)</f>
        <v>1.361673812648668</v>
      </c>
      <c r="N52" s="20">
        <f>IF(N48&lt;&gt;0,N50/N48,0)</f>
        <v>0</v>
      </c>
      <c r="O52" s="20">
        <f>IF(O48&lt;&gt;0,O50/O48,0)</f>
        <v>8.9731909327788295E-2</v>
      </c>
      <c r="P52" s="20">
        <f>IF(P48&lt;&gt;0,P50/P48,0)</f>
        <v>0</v>
      </c>
      <c r="Q52" s="20"/>
      <c r="R52" s="20">
        <f>IF(R48&lt;&gt;0,R50/R48,0)</f>
        <v>0.13723665436659155</v>
      </c>
      <c r="S52" s="20"/>
      <c r="T52" s="20">
        <f>IF(T48&lt;&gt;0,T50/T48,0)</f>
        <v>-0.11428995437135496</v>
      </c>
      <c r="U52" s="20">
        <f>IF(U48&lt;&gt;0,U50/U48,0)</f>
        <v>-2.230912496753867E-2</v>
      </c>
      <c r="V52" s="20">
        <f>IF(V48&lt;&gt;0,V50/V48,0)</f>
        <v>0</v>
      </c>
      <c r="W52" s="20"/>
      <c r="X52" s="20">
        <f>IF($AB48&lt;&gt;0,X50/($AB48-SUM('TR TE'!$L51:'TR TE'!$AA51)*0),0)</f>
        <v>0</v>
      </c>
      <c r="Y52" s="20"/>
      <c r="Z52" s="20">
        <f>IF(Z48&lt;&gt;0,Z50/Z48,0)</f>
        <v>0.13723665436659158</v>
      </c>
      <c r="AA52" s="20"/>
      <c r="AB52" s="20"/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67">
    <mergeCell ref="E39:E41"/>
    <mergeCell ref="F39:F41"/>
    <mergeCell ref="A44:A45"/>
    <mergeCell ref="B44:B45"/>
    <mergeCell ref="C44:C45"/>
    <mergeCell ref="D39:D41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A8:A10"/>
    <mergeCell ref="B8:B9"/>
    <mergeCell ref="C8:C9"/>
    <mergeCell ref="D8:D9"/>
    <mergeCell ref="E8:E9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819" priority="33" operator="notEqual">
      <formula>$L$49</formula>
    </cfRule>
    <cfRule type="cellIs" dxfId="818" priority="34" operator="equal">
      <formula>$L$49</formula>
    </cfRule>
  </conditionalFormatting>
  <conditionalFormatting sqref="M47">
    <cfRule type="cellIs" dxfId="817" priority="31" operator="notEqual">
      <formula>$M$49</formula>
    </cfRule>
    <cfRule type="cellIs" dxfId="816" priority="32" operator="equal">
      <formula>$M$49</formula>
    </cfRule>
  </conditionalFormatting>
  <conditionalFormatting sqref="N47">
    <cfRule type="cellIs" dxfId="815" priority="29" operator="notEqual">
      <formula>$N$49</formula>
    </cfRule>
    <cfRule type="cellIs" dxfId="814" priority="30" operator="equal">
      <formula>$N$49</formula>
    </cfRule>
  </conditionalFormatting>
  <conditionalFormatting sqref="O47">
    <cfRule type="cellIs" dxfId="813" priority="27" operator="notEqual">
      <formula>$O$49</formula>
    </cfRule>
    <cfRule type="cellIs" dxfId="812" priority="28" operator="equal">
      <formula>$O$49</formula>
    </cfRule>
  </conditionalFormatting>
  <conditionalFormatting sqref="P47">
    <cfRule type="cellIs" dxfId="811" priority="25" operator="notEqual">
      <formula>$P$49</formula>
    </cfRule>
    <cfRule type="cellIs" dxfId="810" priority="26" operator="equal">
      <formula>$P$49</formula>
    </cfRule>
  </conditionalFormatting>
  <conditionalFormatting sqref="Q47">
    <cfRule type="cellIs" dxfId="809" priority="23" operator="notEqual">
      <formula>$Q$49</formula>
    </cfRule>
    <cfRule type="cellIs" dxfId="808" priority="24" operator="equal">
      <formula>$Q$49</formula>
    </cfRule>
  </conditionalFormatting>
  <conditionalFormatting sqref="R47">
    <cfRule type="cellIs" dxfId="807" priority="21" operator="notEqual">
      <formula>$R$49</formula>
    </cfRule>
    <cfRule type="cellIs" dxfId="806" priority="22" operator="equal">
      <formula>$R$49</formula>
    </cfRule>
  </conditionalFormatting>
  <conditionalFormatting sqref="S47">
    <cfRule type="cellIs" dxfId="805" priority="19" operator="notEqual">
      <formula>$S$49</formula>
    </cfRule>
    <cfRule type="cellIs" dxfId="804" priority="20" operator="equal">
      <formula>$S$49</formula>
    </cfRule>
  </conditionalFormatting>
  <conditionalFormatting sqref="T47">
    <cfRule type="cellIs" dxfId="803" priority="17" operator="notEqual">
      <formula>$T$49</formula>
    </cfRule>
    <cfRule type="cellIs" dxfId="802" priority="18" operator="equal">
      <formula>$T$49</formula>
    </cfRule>
  </conditionalFormatting>
  <conditionalFormatting sqref="U47">
    <cfRule type="cellIs" dxfId="801" priority="15" operator="notEqual">
      <formula>$U$49</formula>
    </cfRule>
    <cfRule type="cellIs" dxfId="800" priority="16" operator="equal">
      <formula>$U$49</formula>
    </cfRule>
  </conditionalFormatting>
  <conditionalFormatting sqref="V47">
    <cfRule type="cellIs" dxfId="799" priority="13" operator="notEqual">
      <formula>$V$49</formula>
    </cfRule>
    <cfRule type="cellIs" dxfId="798" priority="14" operator="equal">
      <formula>$V$49</formula>
    </cfRule>
  </conditionalFormatting>
  <conditionalFormatting sqref="W47">
    <cfRule type="cellIs" dxfId="797" priority="11" operator="notEqual">
      <formula>$W$49</formula>
    </cfRule>
    <cfRule type="cellIs" dxfId="796" priority="12" operator="equal">
      <formula>$W$49</formula>
    </cfRule>
  </conditionalFormatting>
  <conditionalFormatting sqref="X47">
    <cfRule type="cellIs" dxfId="795" priority="9" operator="notEqual">
      <formula>$X$49</formula>
    </cfRule>
    <cfRule type="cellIs" dxfId="794" priority="10" operator="equal">
      <formula>$X$49</formula>
    </cfRule>
  </conditionalFormatting>
  <conditionalFormatting sqref="Y47">
    <cfRule type="cellIs" dxfId="793" priority="7" operator="notEqual">
      <formula>$Y$49</formula>
    </cfRule>
    <cfRule type="cellIs" dxfId="792" priority="8" operator="equal">
      <formula>$Y$49</formula>
    </cfRule>
  </conditionalFormatting>
  <conditionalFormatting sqref="Z47">
    <cfRule type="cellIs" dxfId="791" priority="5" operator="notEqual">
      <formula>$Z$49</formula>
    </cfRule>
    <cfRule type="cellIs" dxfId="790" priority="6" operator="equal">
      <formula>$Z$49</formula>
    </cfRule>
  </conditionalFormatting>
  <conditionalFormatting sqref="AA47">
    <cfRule type="cellIs" dxfId="789" priority="3" operator="notEqual">
      <formula>$AA$49</formula>
    </cfRule>
    <cfRule type="cellIs" dxfId="788" priority="4" operator="equal">
      <formula>$AA$49</formula>
    </cfRule>
  </conditionalFormatting>
  <conditionalFormatting sqref="AB47">
    <cfRule type="cellIs" dxfId="787" priority="1" operator="notEqual">
      <formula>$AB$49</formula>
    </cfRule>
    <cfRule type="cellIs" dxfId="786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0C49-E3BB-4F80-8379-ABD0C1EF5430}">
  <dimension ref="A1:AB53"/>
  <sheetViews>
    <sheetView showGridLines="0" topLeftCell="Q1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8.710937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10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710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  <c r="AA1" s="164"/>
      <c r="AB1" s="164"/>
    </row>
    <row r="2" spans="1:28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W2" s="164"/>
      <c r="X2" s="164"/>
      <c r="Y2" s="164"/>
      <c r="Z2" s="164"/>
      <c r="AA2" s="164"/>
      <c r="AB2" s="164"/>
    </row>
    <row r="3" spans="1:28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164"/>
      <c r="R3" s="164" t="s">
        <v>613</v>
      </c>
      <c r="S3" s="164"/>
      <c r="T3" s="164" t="s">
        <v>591</v>
      </c>
      <c r="U3" s="164"/>
      <c r="V3" s="164"/>
      <c r="W3" s="164"/>
      <c r="X3" s="164" t="s">
        <v>601</v>
      </c>
      <c r="Y3" s="164"/>
      <c r="Z3" s="164" t="s">
        <v>604</v>
      </c>
      <c r="AA3" s="164"/>
      <c r="AB3" s="164" t="s">
        <v>590</v>
      </c>
    </row>
    <row r="4" spans="1:28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590</v>
      </c>
      <c r="R4" s="24" t="s">
        <v>614</v>
      </c>
      <c r="S4" s="24" t="s">
        <v>590</v>
      </c>
      <c r="T4" s="24" t="s">
        <v>615</v>
      </c>
      <c r="U4" s="24" t="s">
        <v>616</v>
      </c>
      <c r="V4" s="24" t="s">
        <v>617</v>
      </c>
      <c r="W4" s="24" t="s">
        <v>590</v>
      </c>
      <c r="X4" s="24" t="s">
        <v>602</v>
      </c>
      <c r="Y4" s="24" t="s">
        <v>590</v>
      </c>
      <c r="Z4" s="24" t="s">
        <v>618</v>
      </c>
      <c r="AA4" s="24" t="s">
        <v>590</v>
      </c>
      <c r="AB4" s="165"/>
    </row>
    <row r="5" spans="1:28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f>'TE BE'!$L$5*'TE BF'!$L$52</f>
        <v>0</v>
      </c>
      <c r="M5" s="20">
        <f>'TE BE'!$M$5*'TE BF'!$M$52</f>
        <v>17.790522980675732</v>
      </c>
      <c r="N5" s="20">
        <f>'TE BE'!$N$5*'TE BF'!$N$52</f>
        <v>0</v>
      </c>
      <c r="O5" s="20">
        <f>'TE BE'!$O$5*'TE BF'!$O$52</f>
        <v>0.36953694072647275</v>
      </c>
      <c r="P5" s="20">
        <f>'TE BE'!$P$5*'TE BF'!$P$52</f>
        <v>0</v>
      </c>
      <c r="Q5" s="20">
        <f>SUM($L$5:$P$5)</f>
        <v>18.160059921402205</v>
      </c>
      <c r="R5" s="20">
        <f>'TE BE'!$R$5*'TE BF'!$R$52</f>
        <v>48.027510921649849</v>
      </c>
      <c r="S5" s="20">
        <f>SUM($R$5:$R$5)</f>
        <v>48.027510921649849</v>
      </c>
      <c r="T5" s="20">
        <f>'TE BE'!$T$5*'TE BF'!$T$52</f>
        <v>-0.9243774979831848</v>
      </c>
      <c r="U5" s="20">
        <f>'TE BE'!$U$5*'TE BF'!$U$52</f>
        <v>-0.14993487166923838</v>
      </c>
      <c r="V5" s="20">
        <f>'TE BE'!$V$5*'TE BF'!$V$52</f>
        <v>0</v>
      </c>
      <c r="W5" s="20">
        <f>SUM($T$5:$V$5)</f>
        <v>-1.0743123696524233</v>
      </c>
      <c r="X5" s="20">
        <f>'TE BE'!$AB$5*'TE BF'!$X$52</f>
        <v>0</v>
      </c>
      <c r="Y5" s="20">
        <f>SUM($X$5:$X$5)</f>
        <v>0</v>
      </c>
      <c r="Z5" s="20">
        <f>'TE BE'!$Z$5*'TE BF'!$Z$52</f>
        <v>0.93843937159650237</v>
      </c>
      <c r="AA5" s="20">
        <f>SUM($Z$5:$Z$5)</f>
        <v>0.93843937159650237</v>
      </c>
      <c r="AB5" s="20">
        <f>SUMIF($L$4:$AA$4,"SUBTOTAL",$L$5:$AA$5)</f>
        <v>66.051697844996141</v>
      </c>
    </row>
    <row r="6" spans="1:28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f>'TE BE'!$L$6*'TE BF'!$L$52</f>
        <v>0</v>
      </c>
      <c r="M6" s="20">
        <f>'TE BE'!$M$6*'TE BF'!$M$52</f>
        <v>17.790522980675732</v>
      </c>
      <c r="N6" s="20">
        <f>'TE BE'!$N$6*'TE BF'!$N$52</f>
        <v>0</v>
      </c>
      <c r="O6" s="20">
        <f>'TE BE'!$O$6*'TE BF'!$O$52</f>
        <v>0.36953694072647275</v>
      </c>
      <c r="P6" s="20">
        <f>'TE BE'!$P$6*'TE BF'!$P$52</f>
        <v>0</v>
      </c>
      <c r="Q6" s="20">
        <f>SUM($L$6:$P$6)</f>
        <v>18.160059921402205</v>
      </c>
      <c r="R6" s="20">
        <f>'TE BE'!$R$6*'TE BF'!$R$52</f>
        <v>27.922971466075499</v>
      </c>
      <c r="S6" s="20">
        <f>SUM($R$6:$R$6)</f>
        <v>27.922971466075499</v>
      </c>
      <c r="T6" s="20">
        <f>'TE BE'!$T$6*'TE BF'!$T$52</f>
        <v>-0.9243774979831848</v>
      </c>
      <c r="U6" s="20">
        <f>'TE BE'!$U$6*'TE BF'!$U$52</f>
        <v>-0.14993487166923838</v>
      </c>
      <c r="V6" s="20">
        <f>'TE BE'!$V$6*'TE BF'!$V$52</f>
        <v>0</v>
      </c>
      <c r="W6" s="20">
        <f>SUM($T$6:$V$6)</f>
        <v>-1.0743123696524233</v>
      </c>
      <c r="X6" s="20">
        <f>'TE BE'!$AB$6*'TE BF'!$X$52</f>
        <v>0</v>
      </c>
      <c r="Y6" s="20">
        <f>SUM($X$6:$X$6)</f>
        <v>0</v>
      </c>
      <c r="Z6" s="20">
        <f>'TE BE'!$Z$6*'TE BF'!$Z$52</f>
        <v>0.93843937159650237</v>
      </c>
      <c r="AA6" s="20">
        <f>SUM($Z$6:$Z$6)</f>
        <v>0.93843937159650237</v>
      </c>
      <c r="AB6" s="20">
        <f>SUMIF($L$4:$AA$4,"SUBTOTAL",$L$6:$AA$6)</f>
        <v>45.94715838942178</v>
      </c>
    </row>
    <row r="7" spans="1:28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f>'TE BE'!$L$7*'TE BF'!$L$52</f>
        <v>0</v>
      </c>
      <c r="M7" s="20">
        <f>'TE BE'!$M$7*'TE BF'!$M$52</f>
        <v>17.790522980675732</v>
      </c>
      <c r="N7" s="20">
        <f>'TE BE'!$N$7*'TE BF'!$N$52</f>
        <v>0</v>
      </c>
      <c r="O7" s="20">
        <f>'TE BE'!$O$7*'TE BF'!$O$52</f>
        <v>0.36953694072647275</v>
      </c>
      <c r="P7" s="20">
        <f>'TE BE'!$P$7*'TE BF'!$P$52</f>
        <v>0</v>
      </c>
      <c r="Q7" s="20">
        <f>SUM($L$7:$P$7)</f>
        <v>18.160059921402205</v>
      </c>
      <c r="R7" s="20">
        <f>'TE BE'!$R$7*'TE BF'!$R$52</f>
        <v>29.598349754040029</v>
      </c>
      <c r="S7" s="20">
        <f>SUM($R$7:$R$7)</f>
        <v>29.598349754040029</v>
      </c>
      <c r="T7" s="20">
        <f>'TE BE'!$T$7*'TE BF'!$T$52</f>
        <v>-0.9243774979831848</v>
      </c>
      <c r="U7" s="20">
        <f>'TE BE'!$U$7*'TE BF'!$U$52</f>
        <v>-0.14993487166923838</v>
      </c>
      <c r="V7" s="20">
        <f>'TE BE'!$V$7*'TE BF'!$V$52</f>
        <v>0</v>
      </c>
      <c r="W7" s="20">
        <f>SUM($T$7:$V$7)</f>
        <v>-1.0743123696524233</v>
      </c>
      <c r="X7" s="20">
        <f>'TE BE'!$AB$7*'TE BF'!$X$52</f>
        <v>0</v>
      </c>
      <c r="Y7" s="20">
        <f>SUM($X$7:$X$7)</f>
        <v>0</v>
      </c>
      <c r="Z7" s="20">
        <f>'TE BE'!$Z$7*'TE BF'!$Z$52</f>
        <v>0.93843937159650237</v>
      </c>
      <c r="AA7" s="20">
        <f>SUM($Z$7:$Z$7)</f>
        <v>0.93843937159650237</v>
      </c>
      <c r="AB7" s="20">
        <f>SUMIF($L$4:$AA$4,"SUBTOTAL",$L$7:$AA$7)</f>
        <v>47.622536677386314</v>
      </c>
    </row>
    <row r="8" spans="1:28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f>'TE BE'!$L$8*'TE BF'!$L$52</f>
        <v>0</v>
      </c>
      <c r="M8" s="20">
        <f>'TE BE'!$M$8*'TE BF'!$M$52</f>
        <v>17.790522980675732</v>
      </c>
      <c r="N8" s="20">
        <f>'TE BE'!$N$8*'TE BF'!$N$52</f>
        <v>0</v>
      </c>
      <c r="O8" s="20">
        <f>'TE BE'!$O$8*'TE BF'!$O$52</f>
        <v>0.36953694072647275</v>
      </c>
      <c r="P8" s="20">
        <f>'TE BE'!$P$8*'TE BF'!$P$52</f>
        <v>0</v>
      </c>
      <c r="Q8" s="20">
        <f>SUM($L$8:$P$8)</f>
        <v>18.160059921402205</v>
      </c>
      <c r="R8" s="20">
        <f>'TE BE'!$R$8*'TE BF'!$R$52</f>
        <v>48.027510921649849</v>
      </c>
      <c r="S8" s="20">
        <f>SUM($R$8:$R$8)</f>
        <v>48.027510921649849</v>
      </c>
      <c r="T8" s="20">
        <f>'TE BE'!$T$8*'TE BF'!$T$52</f>
        <v>-0.9243774979831848</v>
      </c>
      <c r="U8" s="20">
        <f>'TE BE'!$U$8*'TE BF'!$U$52</f>
        <v>-0.14993487166923838</v>
      </c>
      <c r="V8" s="20">
        <f>'TE BE'!$V$8*'TE BF'!$V$52</f>
        <v>0</v>
      </c>
      <c r="W8" s="20">
        <f>SUM($T$8:$V$8)</f>
        <v>-1.0743123696524233</v>
      </c>
      <c r="X8" s="20">
        <f>'TE BE'!$AB$8*'TE BF'!$X$52</f>
        <v>0</v>
      </c>
      <c r="Y8" s="20">
        <f>SUM($X$8:$X$8)</f>
        <v>0</v>
      </c>
      <c r="Z8" s="20">
        <f>'TE BE'!$Z$8*'TE BF'!$Z$52</f>
        <v>0.93843937159650237</v>
      </c>
      <c r="AA8" s="20">
        <f>SUM($Z$8:$Z$8)</f>
        <v>0.93843937159650237</v>
      </c>
      <c r="AB8" s="20">
        <f>SUMIF($L$4:$AA$4,"SUBTOTAL",$L$8:$AA$8)</f>
        <v>66.051697844996141</v>
      </c>
    </row>
    <row r="9" spans="1:28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f>'TE BE'!$L$9*'TE BF'!$L$52</f>
        <v>0</v>
      </c>
      <c r="M9" s="20">
        <f>'TE BE'!$M$9*'TE BF'!$M$52</f>
        <v>17.790522980675732</v>
      </c>
      <c r="N9" s="20">
        <f>'TE BE'!$N$9*'TE BF'!$N$52</f>
        <v>0</v>
      </c>
      <c r="O9" s="20">
        <f>'TE BE'!$O$9*'TE BF'!$O$52</f>
        <v>0.36953694072647275</v>
      </c>
      <c r="P9" s="20">
        <f>'TE BE'!$P$9*'TE BF'!$P$52</f>
        <v>0</v>
      </c>
      <c r="Q9" s="20">
        <f>SUM($L$9:$P$9)</f>
        <v>18.160059921402205</v>
      </c>
      <c r="R9" s="20">
        <f>'TE BE'!$R$9*'TE BF'!$R$52</f>
        <v>27.922971466075499</v>
      </c>
      <c r="S9" s="20">
        <f>SUM($R$9:$R$9)</f>
        <v>27.922971466075499</v>
      </c>
      <c r="T9" s="20">
        <f>'TE BE'!$T$9*'TE BF'!$T$52</f>
        <v>-0.9243774979831848</v>
      </c>
      <c r="U9" s="20">
        <f>'TE BE'!$U$9*'TE BF'!$U$52</f>
        <v>-0.14993487166923838</v>
      </c>
      <c r="V9" s="20">
        <f>'TE BE'!$V$9*'TE BF'!$V$52</f>
        <v>0</v>
      </c>
      <c r="W9" s="20">
        <f>SUM($T$9:$V$9)</f>
        <v>-1.0743123696524233</v>
      </c>
      <c r="X9" s="20">
        <f>'TE BE'!$AB$9*'TE BF'!$X$52</f>
        <v>0</v>
      </c>
      <c r="Y9" s="20">
        <f>SUM($X$9:$X$9)</f>
        <v>0</v>
      </c>
      <c r="Z9" s="20">
        <f>'TE BE'!$Z$9*'TE BF'!$Z$52</f>
        <v>0.93843937159650237</v>
      </c>
      <c r="AA9" s="20">
        <f>SUM($Z$9:$Z$9)</f>
        <v>0.93843937159650237</v>
      </c>
      <c r="AB9" s="20">
        <f>SUMIF($L$4:$AA$4,"SUBTOTAL",$L$9:$AA$9)</f>
        <v>45.94715838942178</v>
      </c>
    </row>
    <row r="10" spans="1:28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f>'TE BE'!$L$10*'TE BF'!$L$52</f>
        <v>0</v>
      </c>
      <c r="M10" s="20">
        <f>'TE BE'!$M$10*'TE BF'!$M$52</f>
        <v>17.790522980675732</v>
      </c>
      <c r="N10" s="20">
        <f>'TE BE'!$N$10*'TE BF'!$N$52</f>
        <v>0</v>
      </c>
      <c r="O10" s="20">
        <f>'TE BE'!$O$10*'TE BF'!$O$52</f>
        <v>0.36953694072647275</v>
      </c>
      <c r="P10" s="20">
        <f>'TE BE'!$P$10*'TE BF'!$P$52</f>
        <v>0</v>
      </c>
      <c r="Q10" s="20">
        <f>SUM($L$10:$P$10)</f>
        <v>18.160059921402205</v>
      </c>
      <c r="R10" s="20">
        <f>'TE BE'!$R$10*'TE BF'!$R$52</f>
        <v>29.598349754040029</v>
      </c>
      <c r="S10" s="20">
        <f>SUM($R$10:$R$10)</f>
        <v>29.598349754040029</v>
      </c>
      <c r="T10" s="20">
        <f>'TE BE'!$T$10*'TE BF'!$T$52</f>
        <v>-0.9243774979831848</v>
      </c>
      <c r="U10" s="20">
        <f>'TE BE'!$U$10*'TE BF'!$U$52</f>
        <v>-0.14993487166923838</v>
      </c>
      <c r="V10" s="20">
        <f>'TE BE'!$V$10*'TE BF'!$V$52</f>
        <v>0</v>
      </c>
      <c r="W10" s="20">
        <f>SUM($T$10:$V$10)</f>
        <v>-1.0743123696524233</v>
      </c>
      <c r="X10" s="20">
        <f>'TE BE'!$AB$10*'TE BF'!$X$52</f>
        <v>0</v>
      </c>
      <c r="Y10" s="20">
        <f>SUM($X$10:$X$10)</f>
        <v>0</v>
      </c>
      <c r="Z10" s="20">
        <f>'TE BE'!$Z$10*'TE BF'!$Z$52</f>
        <v>0.93843937159650237</v>
      </c>
      <c r="AA10" s="20">
        <f>SUM($Z$10:$Z$10)</f>
        <v>0.93843937159650237</v>
      </c>
      <c r="AB10" s="20">
        <f>SUMIF($L$4:$AA$4,"SUBTOTAL",$L$10:$AA$10)</f>
        <v>47.622536677386314</v>
      </c>
    </row>
    <row r="11" spans="1:28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f>'TE BE'!$L$11*'TE BF'!$L$52</f>
        <v>0</v>
      </c>
      <c r="M11" s="20">
        <f>'TE BE'!$M$11*'TE BF'!$M$52</f>
        <v>17.790522980675732</v>
      </c>
      <c r="N11" s="20">
        <f>'TE BE'!$N$11*'TE BF'!$N$52</f>
        <v>0</v>
      </c>
      <c r="O11" s="20">
        <f>'TE BE'!$O$11*'TE BF'!$O$52</f>
        <v>0.36953694072647275</v>
      </c>
      <c r="P11" s="20">
        <f>'TE BE'!$P$11*'TE BF'!$P$52</f>
        <v>0</v>
      </c>
      <c r="Q11" s="20">
        <f>SUM($L$11:$P$11)</f>
        <v>18.160059921402205</v>
      </c>
      <c r="R11" s="20">
        <f>'TE BE'!$R$11*'TE BF'!$R$52</f>
        <v>48.027510921649849</v>
      </c>
      <c r="S11" s="20">
        <f>SUM($R$11:$R$11)</f>
        <v>48.027510921649849</v>
      </c>
      <c r="T11" s="20">
        <f>'TE BE'!$T$11*'TE BF'!$T$52</f>
        <v>-0.9243774979831848</v>
      </c>
      <c r="U11" s="20">
        <f>'TE BE'!$U$11*'TE BF'!$U$52</f>
        <v>-0.14993487166923838</v>
      </c>
      <c r="V11" s="20">
        <f>'TE BE'!$V$11*'TE BF'!$V$52</f>
        <v>0</v>
      </c>
      <c r="W11" s="20">
        <f>SUM($T$11:$V$11)</f>
        <v>-1.0743123696524233</v>
      </c>
      <c r="X11" s="20">
        <f>'TE BE'!$AB$11*'TE BF'!$X$52</f>
        <v>0</v>
      </c>
      <c r="Y11" s="20">
        <f>SUM($X$11:$X$11)</f>
        <v>0</v>
      </c>
      <c r="Z11" s="20">
        <f>'TE BE'!$Z$11*'TE BF'!$Z$52</f>
        <v>0.93843937159650237</v>
      </c>
      <c r="AA11" s="20">
        <f>SUM($Z$11:$Z$11)</f>
        <v>0.93843937159650237</v>
      </c>
      <c r="AB11" s="20">
        <f>SUMIF($L$4:$AA$4,"SUBTOTAL",$L$11:$AA$11)</f>
        <v>66.051697844996141</v>
      </c>
    </row>
    <row r="12" spans="1:28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f>'TE BE'!$L$12*'TE BF'!$L$52</f>
        <v>0</v>
      </c>
      <c r="M12" s="20">
        <f>'TE BE'!$M$12*'TE BF'!$M$52</f>
        <v>17.790522980675732</v>
      </c>
      <c r="N12" s="20">
        <f>'TE BE'!$N$12*'TE BF'!$N$52</f>
        <v>0</v>
      </c>
      <c r="O12" s="20">
        <f>'TE BE'!$O$12*'TE BF'!$O$52</f>
        <v>0.36953694072647275</v>
      </c>
      <c r="P12" s="20">
        <f>'TE BE'!$P$12*'TE BF'!$P$52</f>
        <v>0</v>
      </c>
      <c r="Q12" s="20">
        <f>SUM($L$12:$P$12)</f>
        <v>18.160059921402205</v>
      </c>
      <c r="R12" s="20">
        <f>'TE BE'!$R$12*'TE BF'!$R$52</f>
        <v>27.922971466075499</v>
      </c>
      <c r="S12" s="20">
        <f>SUM($R$12:$R$12)</f>
        <v>27.922971466075499</v>
      </c>
      <c r="T12" s="20">
        <f>'TE BE'!$T$12*'TE BF'!$T$52</f>
        <v>-0.9243774979831848</v>
      </c>
      <c r="U12" s="20">
        <f>'TE BE'!$U$12*'TE BF'!$U$52</f>
        <v>-0.14993487166923838</v>
      </c>
      <c r="V12" s="20">
        <f>'TE BE'!$V$12*'TE BF'!$V$52</f>
        <v>0</v>
      </c>
      <c r="W12" s="20">
        <f>SUM($T$12:$V$12)</f>
        <v>-1.0743123696524233</v>
      </c>
      <c r="X12" s="20">
        <f>'TE BE'!$AB$12*'TE BF'!$X$52</f>
        <v>0</v>
      </c>
      <c r="Y12" s="20">
        <f>SUM($X$12:$X$12)</f>
        <v>0</v>
      </c>
      <c r="Z12" s="20">
        <f>'TE BE'!$Z$12*'TE BF'!$Z$52</f>
        <v>0.93843937159650237</v>
      </c>
      <c r="AA12" s="20">
        <f>SUM($Z$12:$Z$12)</f>
        <v>0.93843937159650237</v>
      </c>
      <c r="AB12" s="20">
        <f>SUMIF($L$4:$AA$4,"SUBTOTAL",$L$12:$AA$12)</f>
        <v>45.94715838942178</v>
      </c>
    </row>
    <row r="13" spans="1:28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f>'TE BE'!$L$13*'TE BF'!$L$52</f>
        <v>0</v>
      </c>
      <c r="M13" s="20">
        <f>'TE BE'!$M$13*'TE BF'!$M$52</f>
        <v>17.790522980675732</v>
      </c>
      <c r="N13" s="20">
        <f>'TE BE'!$N$13*'TE BF'!$N$52</f>
        <v>0</v>
      </c>
      <c r="O13" s="20">
        <f>'TE BE'!$O$13*'TE BF'!$O$52</f>
        <v>0.36953694072647275</v>
      </c>
      <c r="P13" s="20">
        <f>'TE BE'!$P$13*'TE BF'!$P$52</f>
        <v>0</v>
      </c>
      <c r="Q13" s="20">
        <f>SUM($L$13:$P$13)</f>
        <v>18.160059921402205</v>
      </c>
      <c r="R13" s="20">
        <f>'TE BE'!$R$13*'TE BF'!$R$52</f>
        <v>27.922971466075499</v>
      </c>
      <c r="S13" s="20">
        <f>SUM($R$13:$R$13)</f>
        <v>27.922971466075499</v>
      </c>
      <c r="T13" s="20">
        <f>'TE BE'!$T$13*'TE BF'!$T$52</f>
        <v>-0.9243774979831848</v>
      </c>
      <c r="U13" s="20">
        <f>'TE BE'!$U$13*'TE BF'!$U$52</f>
        <v>-0.14993487166923838</v>
      </c>
      <c r="V13" s="20">
        <f>'TE BE'!$V$13*'TE BF'!$V$52</f>
        <v>0</v>
      </c>
      <c r="W13" s="20">
        <f>SUM($T$13:$V$13)</f>
        <v>-1.0743123696524233</v>
      </c>
      <c r="X13" s="20">
        <f>'TE BE'!$AB$13*'TE BF'!$X$52</f>
        <v>0</v>
      </c>
      <c r="Y13" s="20">
        <f>SUM($X$13:$X$13)</f>
        <v>0</v>
      </c>
      <c r="Z13" s="20">
        <f>'TE BE'!$Z$13*'TE BF'!$Z$52</f>
        <v>0.93843937159650237</v>
      </c>
      <c r="AA13" s="20">
        <f>SUM($Z$13:$Z$13)</f>
        <v>0.93843937159650237</v>
      </c>
      <c r="AB13" s="20">
        <f>SUMIF($L$4:$AA$4,"SUBTOTAL",$L$13:$AA$13)</f>
        <v>45.94715838942178</v>
      </c>
    </row>
    <row r="14" spans="1:28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f>'TE BE'!$L$14*'TE BF'!$L$52</f>
        <v>0</v>
      </c>
      <c r="M14" s="20">
        <f>'TE BE'!$M$14*'TE BF'!$M$52</f>
        <v>17.790522980675732</v>
      </c>
      <c r="N14" s="20">
        <f>'TE BE'!$N$14*'TE BF'!$N$52</f>
        <v>0</v>
      </c>
      <c r="O14" s="20">
        <f>'TE BE'!$O$14*'TE BF'!$O$52</f>
        <v>0.36953694072647275</v>
      </c>
      <c r="P14" s="20">
        <f>'TE BE'!$P$14*'TE BF'!$P$52</f>
        <v>0</v>
      </c>
      <c r="Q14" s="20">
        <f>SUM($L$14:$P$14)</f>
        <v>18.160059921402205</v>
      </c>
      <c r="R14" s="20">
        <f>'TE BE'!$R$14*'TE BF'!$R$52</f>
        <v>29.598349754040029</v>
      </c>
      <c r="S14" s="20">
        <f>SUM($R$14:$R$14)</f>
        <v>29.598349754040029</v>
      </c>
      <c r="T14" s="20">
        <f>'TE BE'!$T$14*'TE BF'!$T$52</f>
        <v>-0.9243774979831848</v>
      </c>
      <c r="U14" s="20">
        <f>'TE BE'!$U$14*'TE BF'!$U$52</f>
        <v>-0.14993487166923838</v>
      </c>
      <c r="V14" s="20">
        <f>'TE BE'!$V$14*'TE BF'!$V$52</f>
        <v>0</v>
      </c>
      <c r="W14" s="20">
        <f>SUM($T$14:$V$14)</f>
        <v>-1.0743123696524233</v>
      </c>
      <c r="X14" s="20">
        <f>'TE BE'!$AB$14*'TE BF'!$X$52</f>
        <v>0</v>
      </c>
      <c r="Y14" s="20">
        <f>SUM($X$14:$X$14)</f>
        <v>0</v>
      </c>
      <c r="Z14" s="20">
        <f>'TE BE'!$Z$14*'TE BF'!$Z$52</f>
        <v>0.93843937159650237</v>
      </c>
      <c r="AA14" s="20">
        <f>SUM($Z$14:$Z$14)</f>
        <v>0.93843937159650237</v>
      </c>
      <c r="AB14" s="20">
        <f>SUMIF($L$4:$AA$4,"SUBTOTAL",$L$14:$AA$14)</f>
        <v>47.622536677386314</v>
      </c>
    </row>
    <row r="15" spans="1:28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'TE BE'!$L$15*'TE BF'!$L$52</f>
        <v>0</v>
      </c>
      <c r="M15" s="20">
        <f>'TE BE'!$M$15*'TE BF'!$M$52</f>
        <v>17.790522980675732</v>
      </c>
      <c r="N15" s="20">
        <f>'TE BE'!$N$15*'TE BF'!$N$52</f>
        <v>0</v>
      </c>
      <c r="O15" s="20">
        <f>'TE BE'!$O$15*'TE BF'!$O$52</f>
        <v>0.36953694072647275</v>
      </c>
      <c r="P15" s="20">
        <f>'TE BE'!$P$15*'TE BF'!$P$52</f>
        <v>0</v>
      </c>
      <c r="Q15" s="20">
        <f>SUM($L$15:$P$15)</f>
        <v>18.160059921402205</v>
      </c>
      <c r="R15" s="20">
        <f>'TE BE'!$R$15*'TE BF'!$R$52</f>
        <v>29.598349754040029</v>
      </c>
      <c r="S15" s="20">
        <f>SUM($R$15:$R$15)</f>
        <v>29.598349754040029</v>
      </c>
      <c r="T15" s="20">
        <f>'TE BE'!$T$15*'TE BF'!$T$52</f>
        <v>-0.9243774979831848</v>
      </c>
      <c r="U15" s="20">
        <f>'TE BE'!$U$15*'TE BF'!$U$52</f>
        <v>-0.14993487166923838</v>
      </c>
      <c r="V15" s="20">
        <f>'TE BE'!$V$15*'TE BF'!$V$52</f>
        <v>0</v>
      </c>
      <c r="W15" s="20">
        <f>SUM($T$15:$V$15)</f>
        <v>-1.0743123696524233</v>
      </c>
      <c r="X15" s="20">
        <f>'TE BE'!$AB$15*'TE BF'!$X$52</f>
        <v>0</v>
      </c>
      <c r="Y15" s="20">
        <f>SUM($X$15:$X$15)</f>
        <v>0</v>
      </c>
      <c r="Z15" s="20">
        <f>'TE BE'!$Z$15*'TE BF'!$Z$52</f>
        <v>0.93843937159650237</v>
      </c>
      <c r="AA15" s="20">
        <f>SUM($Z$15:$Z$15)</f>
        <v>0.93843937159650237</v>
      </c>
      <c r="AB15" s="20">
        <f>SUMIF($L$4:$AA$4,"SUBTOTAL",$L$15:$AA$15)</f>
        <v>47.622536677386314</v>
      </c>
    </row>
    <row r="16" spans="1:28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'TE BE'!$L$16*'TE BF'!$L$52</f>
        <v>0</v>
      </c>
      <c r="M16" s="20">
        <f>'TE BE'!$M$16*'TE BF'!$M$52</f>
        <v>17.790522980675732</v>
      </c>
      <c r="N16" s="20">
        <f>'TE BE'!$N$16*'TE BF'!$N$52</f>
        <v>0</v>
      </c>
      <c r="O16" s="20">
        <f>'TE BE'!$O$16*'TE BF'!$O$52</f>
        <v>0.36953694072647275</v>
      </c>
      <c r="P16" s="20">
        <f>'TE BE'!$P$16*'TE BF'!$P$52</f>
        <v>0</v>
      </c>
      <c r="Q16" s="20">
        <f>SUM($L$16:$P$16)</f>
        <v>18.160059921402205</v>
      </c>
      <c r="R16" s="20">
        <f>'TE BE'!$R$16*'TE BF'!$R$52</f>
        <v>29.598349754040029</v>
      </c>
      <c r="S16" s="20">
        <f>SUM($R$16:$R$16)</f>
        <v>29.598349754040029</v>
      </c>
      <c r="T16" s="20">
        <f>'TE BE'!$T$16*'TE BF'!$T$52</f>
        <v>-0.9243774979831848</v>
      </c>
      <c r="U16" s="20">
        <f>'TE BE'!$U$16*'TE BF'!$U$52</f>
        <v>-0.14993487166923838</v>
      </c>
      <c r="V16" s="20">
        <f>'TE BE'!$V$16*'TE BF'!$V$52</f>
        <v>0</v>
      </c>
      <c r="W16" s="20">
        <f>SUM($T$16:$V$16)</f>
        <v>-1.0743123696524233</v>
      </c>
      <c r="X16" s="20">
        <f>'TE BE'!$AB$16*'TE BF'!$X$52</f>
        <v>0</v>
      </c>
      <c r="Y16" s="20">
        <f>SUM($X$16:$X$16)</f>
        <v>0</v>
      </c>
      <c r="Z16" s="20">
        <f>'TE BE'!$Z$16*'TE BF'!$Z$52</f>
        <v>0.93843937159650237</v>
      </c>
      <c r="AA16" s="20">
        <f>SUM($Z$16:$Z$16)</f>
        <v>0.93843937159650237</v>
      </c>
      <c r="AB16" s="20">
        <f>SUMIF($L$4:$AA$4,"SUBTOTAL",$L$16:$AA$16)</f>
        <v>47.622536677386314</v>
      </c>
    </row>
    <row r="17" spans="1:28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'TE BE'!$L$17*'TE BF'!$L$52</f>
        <v>0</v>
      </c>
      <c r="M17" s="20">
        <f>'TE BE'!$M$17*'TE BF'!$M$52</f>
        <v>17.790522980675732</v>
      </c>
      <c r="N17" s="20">
        <f>'TE BE'!$N$17*'TE BF'!$N$52</f>
        <v>0</v>
      </c>
      <c r="O17" s="20">
        <f>'TE BE'!$O$17*'TE BF'!$O$52</f>
        <v>0.36953694072647275</v>
      </c>
      <c r="P17" s="20">
        <f>'TE BE'!$P$17*'TE BF'!$P$52</f>
        <v>0</v>
      </c>
      <c r="Q17" s="20">
        <f>SUM($L$17:$P$17)</f>
        <v>18.160059921402205</v>
      </c>
      <c r="R17" s="20">
        <f>'TE BE'!$R$17*'TE BF'!$R$52</f>
        <v>29.598349754040029</v>
      </c>
      <c r="S17" s="20">
        <f>SUM($R$17:$R$17)</f>
        <v>29.598349754040029</v>
      </c>
      <c r="T17" s="20">
        <f>'TE BE'!$T$17*'TE BF'!$T$52</f>
        <v>-0.9243774979831848</v>
      </c>
      <c r="U17" s="20">
        <f>'TE BE'!$U$17*'TE BF'!$U$52</f>
        <v>-0.14993487166923838</v>
      </c>
      <c r="V17" s="20">
        <f>'TE BE'!$V$17*'TE BF'!$V$52</f>
        <v>0</v>
      </c>
      <c r="W17" s="20">
        <f>SUM($T$17:$V$17)</f>
        <v>-1.0743123696524233</v>
      </c>
      <c r="X17" s="20">
        <f>'TE BE'!$AB$17*'TE BF'!$X$52</f>
        <v>0</v>
      </c>
      <c r="Y17" s="20">
        <f>SUM($X$17:$X$17)</f>
        <v>0</v>
      </c>
      <c r="Z17" s="20">
        <f>'TE BE'!$Z$17*'TE BF'!$Z$52</f>
        <v>0.93843937159650237</v>
      </c>
      <c r="AA17" s="20">
        <f>SUM($Z$17:$Z$17)</f>
        <v>0.93843937159650237</v>
      </c>
      <c r="AB17" s="20">
        <f>SUMIF($L$4:$AA$4,"SUBTOTAL",$L$17:$AA$17)</f>
        <v>47.622536677386314</v>
      </c>
    </row>
    <row r="18" spans="1:28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'TE BE'!$L$18*'TE BF'!$L$52</f>
        <v>0</v>
      </c>
      <c r="M18" s="20">
        <f>'TE BE'!$M$18*'TE BF'!$M$52</f>
        <v>17.790522980675732</v>
      </c>
      <c r="N18" s="20">
        <f>'TE BE'!$N$18*'TE BF'!$N$52</f>
        <v>0</v>
      </c>
      <c r="O18" s="20">
        <f>'TE BE'!$O$18*'TE BF'!$O$52</f>
        <v>0.36953694072647275</v>
      </c>
      <c r="P18" s="20">
        <f>'TE BE'!$P$18*'TE BF'!$P$52</f>
        <v>0</v>
      </c>
      <c r="Q18" s="20">
        <f>SUM($L$18:$P$18)</f>
        <v>18.160059921402205</v>
      </c>
      <c r="R18" s="20">
        <f>'TE BE'!$R$18*'TE BF'!$R$52</f>
        <v>29.598349754040029</v>
      </c>
      <c r="S18" s="20">
        <f>SUM($R$18:$R$18)</f>
        <v>29.598349754040029</v>
      </c>
      <c r="T18" s="20">
        <f>'TE BE'!$T$18*'TE BF'!$T$52</f>
        <v>-0.9243774979831848</v>
      </c>
      <c r="U18" s="20">
        <f>'TE BE'!$U$18*'TE BF'!$U$52</f>
        <v>-0.14993487166923838</v>
      </c>
      <c r="V18" s="20">
        <f>'TE BE'!$V$18*'TE BF'!$V$52</f>
        <v>0</v>
      </c>
      <c r="W18" s="20">
        <f>SUM($T$18:$V$18)</f>
        <v>-1.0743123696524233</v>
      </c>
      <c r="X18" s="20">
        <f>'TE BE'!$AB$18*'TE BF'!$X$52</f>
        <v>0</v>
      </c>
      <c r="Y18" s="20">
        <f>SUM($X$18:$X$18)</f>
        <v>0</v>
      </c>
      <c r="Z18" s="20">
        <f>'TE BE'!$Z$18*'TE BF'!$Z$52</f>
        <v>0.93843937159650237</v>
      </c>
      <c r="AA18" s="20">
        <f>SUM($Z$18:$Z$18)</f>
        <v>0.93843937159650237</v>
      </c>
      <c r="AB18" s="20">
        <f>SUMIF($L$4:$AA$4,"SUBTOTAL",$L$18:$AA$18)</f>
        <v>47.622536677386314</v>
      </c>
    </row>
    <row r="19" spans="1:28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f>'TE BE'!$L$19*'TE BF'!$L$52</f>
        <v>0</v>
      </c>
      <c r="M19" s="20">
        <f>'TE BE'!$M$19*'TE BF'!$M$52</f>
        <v>17.790522980675732</v>
      </c>
      <c r="N19" s="20">
        <f>'TE BE'!$N$19*'TE BF'!$N$52</f>
        <v>0</v>
      </c>
      <c r="O19" s="20">
        <f>'TE BE'!$O$19*'TE BF'!$O$52</f>
        <v>0.36953694072647275</v>
      </c>
      <c r="P19" s="20">
        <f>'TE BE'!$P$19*'TE BF'!$P$52</f>
        <v>0</v>
      </c>
      <c r="Q19" s="20">
        <f>SUM($L$19:$P$19)</f>
        <v>18.160059921402205</v>
      </c>
      <c r="R19" s="20">
        <f>'TE BE'!$R$19*'TE BF'!$R$52</f>
        <v>29.598349754040029</v>
      </c>
      <c r="S19" s="20">
        <f>SUM($R$19:$R$19)</f>
        <v>29.598349754040029</v>
      </c>
      <c r="T19" s="20">
        <f>'TE BE'!$T$19*'TE BF'!$T$52</f>
        <v>-0.9243774979831848</v>
      </c>
      <c r="U19" s="20">
        <f>'TE BE'!$U$19*'TE BF'!$U$52</f>
        <v>-0.14993487166923838</v>
      </c>
      <c r="V19" s="20">
        <f>'TE BE'!$V$19*'TE BF'!$V$52</f>
        <v>0</v>
      </c>
      <c r="W19" s="20">
        <f>SUM($T$19:$V$19)</f>
        <v>-1.0743123696524233</v>
      </c>
      <c r="X19" s="20">
        <f>'TE BE'!$AB$19*'TE BF'!$X$52</f>
        <v>0</v>
      </c>
      <c r="Y19" s="20">
        <f>SUM($X$19:$X$19)</f>
        <v>0</v>
      </c>
      <c r="Z19" s="20">
        <f>'TE BE'!$Z$19*'TE BF'!$Z$52</f>
        <v>0.93843937159650237</v>
      </c>
      <c r="AA19" s="20">
        <f>SUM($Z$19:$Z$19)</f>
        <v>0.93843937159650237</v>
      </c>
      <c r="AB19" s="20">
        <f>SUMIF($L$4:$AA$4,"SUBTOTAL",$L$19:$AA$19)</f>
        <v>47.622536677386314</v>
      </c>
    </row>
    <row r="20" spans="1:28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'TE BE'!$L$20*'TE BF'!$L$52</f>
        <v>0</v>
      </c>
      <c r="M20" s="20">
        <f>'TE BE'!$M$20*'TE BF'!$M$52</f>
        <v>17.790522980675732</v>
      </c>
      <c r="N20" s="20">
        <f>'TE BE'!$N$20*'TE BF'!$N$52</f>
        <v>0</v>
      </c>
      <c r="O20" s="20">
        <f>'TE BE'!$O$20*'TE BF'!$O$52</f>
        <v>0.36953694072647275</v>
      </c>
      <c r="P20" s="20">
        <f>'TE BE'!$P$20*'TE BF'!$P$52</f>
        <v>0</v>
      </c>
      <c r="Q20" s="20">
        <f>SUM($L$20:$P$20)</f>
        <v>18.160059921402205</v>
      </c>
      <c r="R20" s="20">
        <f>'TE BE'!$R$20*'TE BF'!$R$52</f>
        <v>29.598349754040029</v>
      </c>
      <c r="S20" s="20">
        <f>SUM($R$20:$R$20)</f>
        <v>29.598349754040029</v>
      </c>
      <c r="T20" s="20">
        <f>'TE BE'!$T$20*'TE BF'!$T$52</f>
        <v>-0.9243774979831848</v>
      </c>
      <c r="U20" s="20">
        <f>'TE BE'!$U$20*'TE BF'!$U$52</f>
        <v>-0.14993487166923838</v>
      </c>
      <c r="V20" s="20">
        <f>'TE BE'!$V$20*'TE BF'!$V$52</f>
        <v>0</v>
      </c>
      <c r="W20" s="20">
        <f>SUM($T$20:$V$20)</f>
        <v>-1.0743123696524233</v>
      </c>
      <c r="X20" s="20">
        <f>'TE BE'!$AB$20*'TE BF'!$X$52</f>
        <v>0</v>
      </c>
      <c r="Y20" s="20">
        <f>SUM($X$20:$X$20)</f>
        <v>0</v>
      </c>
      <c r="Z20" s="20">
        <f>'TE BE'!$Z$20*'TE BF'!$Z$52</f>
        <v>0.93843937159650237</v>
      </c>
      <c r="AA20" s="20">
        <f>SUM($Z$20:$Z$20)</f>
        <v>0.93843937159650237</v>
      </c>
      <c r="AB20" s="20">
        <f>SUMIF($L$4:$AA$4,"SUBTOTAL",$L$20:$AA$20)</f>
        <v>47.622536677386314</v>
      </c>
    </row>
    <row r="21" spans="1:28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'TE BE'!$L$21*'TE BF'!$L$52</f>
        <v>0</v>
      </c>
      <c r="M21" s="20">
        <f>'TE BE'!$M$21*'TE BF'!$M$52</f>
        <v>17.790522980675732</v>
      </c>
      <c r="N21" s="20">
        <f>'TE BE'!$N$21*'TE BF'!$N$52</f>
        <v>0</v>
      </c>
      <c r="O21" s="20">
        <f>'TE BE'!$O$21*'TE BF'!$O$52</f>
        <v>0.36953694072647275</v>
      </c>
      <c r="P21" s="20">
        <f>'TE BE'!$P$21*'TE BF'!$P$52</f>
        <v>0</v>
      </c>
      <c r="Q21" s="20">
        <f>SUM($L$21:$P$21)</f>
        <v>18.160059921402205</v>
      </c>
      <c r="R21" s="20">
        <f>'TE BE'!$R$21*'TE BF'!$R$52</f>
        <v>29.598349754040029</v>
      </c>
      <c r="S21" s="20">
        <f>SUM($R$21:$R$21)</f>
        <v>29.598349754040029</v>
      </c>
      <c r="T21" s="20">
        <f>'TE BE'!$T$21*'TE BF'!$T$52</f>
        <v>-0.9243774979831848</v>
      </c>
      <c r="U21" s="20">
        <f>'TE BE'!$U$21*'TE BF'!$U$52</f>
        <v>-0.14993487166923838</v>
      </c>
      <c r="V21" s="20">
        <f>'TE BE'!$V$21*'TE BF'!$V$52</f>
        <v>0</v>
      </c>
      <c r="W21" s="20">
        <f>SUM($T$21:$V$21)</f>
        <v>-1.0743123696524233</v>
      </c>
      <c r="X21" s="20">
        <f>'TE BE'!$AB$21*'TE BF'!$X$52</f>
        <v>0</v>
      </c>
      <c r="Y21" s="20">
        <f>SUM($X$21:$X$21)</f>
        <v>0</v>
      </c>
      <c r="Z21" s="20">
        <f>'TE BE'!$Z$21*'TE BF'!$Z$52</f>
        <v>0.93843937159650237</v>
      </c>
      <c r="AA21" s="20">
        <f>SUM($Z$21:$Z$21)</f>
        <v>0.93843937159650237</v>
      </c>
      <c r="AB21" s="20">
        <f>SUMIF($L$4:$AA$4,"SUBTOTAL",$L$21:$AA$21)</f>
        <v>47.622536677386314</v>
      </c>
    </row>
    <row r="22" spans="1:28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'TE BE'!$L$22*'TE BF'!$L$52</f>
        <v>0</v>
      </c>
      <c r="M22" s="20">
        <f>'TE BE'!$M$22*'TE BF'!$M$52</f>
        <v>17.790522980675732</v>
      </c>
      <c r="N22" s="20">
        <f>'TE BE'!$N$22*'TE BF'!$N$52</f>
        <v>0</v>
      </c>
      <c r="O22" s="20">
        <f>'TE BE'!$O$22*'TE BF'!$O$52</f>
        <v>0.36953694072647275</v>
      </c>
      <c r="P22" s="20">
        <f>'TE BE'!$P$22*'TE BF'!$P$52</f>
        <v>0</v>
      </c>
      <c r="Q22" s="20">
        <f>SUM($L$22:$P$22)</f>
        <v>18.160059921402205</v>
      </c>
      <c r="R22" s="20">
        <f>'TE BE'!$R$22*'TE BF'!$R$52</f>
        <v>29.598349754040029</v>
      </c>
      <c r="S22" s="20">
        <f>SUM($R$22:$R$22)</f>
        <v>29.598349754040029</v>
      </c>
      <c r="T22" s="20">
        <f>'TE BE'!$T$22*'TE BF'!$T$52</f>
        <v>-0.9243774979831848</v>
      </c>
      <c r="U22" s="20">
        <f>'TE BE'!$U$22*'TE BF'!$U$52</f>
        <v>-0.14993487166923838</v>
      </c>
      <c r="V22" s="20">
        <f>'TE BE'!$V$22*'TE BF'!$V$52</f>
        <v>0</v>
      </c>
      <c r="W22" s="20">
        <f>SUM($T$22:$V$22)</f>
        <v>-1.0743123696524233</v>
      </c>
      <c r="X22" s="20">
        <f>'TE BE'!$AB$22*'TE BF'!$X$52</f>
        <v>0</v>
      </c>
      <c r="Y22" s="20">
        <f>SUM($X$22:$X$22)</f>
        <v>0</v>
      </c>
      <c r="Z22" s="20">
        <f>'TE BE'!$Z$22*'TE BF'!$Z$52</f>
        <v>0.93843937159650237</v>
      </c>
      <c r="AA22" s="20">
        <f>SUM($Z$22:$Z$22)</f>
        <v>0.93843937159650237</v>
      </c>
      <c r="AB22" s="20">
        <f>SUMIF($L$4:$AA$4,"SUBTOTAL",$L$22:$AA$22)</f>
        <v>47.622536677386314</v>
      </c>
    </row>
    <row r="23" spans="1:28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'TE BE'!$L$23*'TE BF'!$L$52</f>
        <v>0</v>
      </c>
      <c r="M23" s="20">
        <f>'TE BE'!$M$23*'TE BF'!$M$52</f>
        <v>17.790522980675732</v>
      </c>
      <c r="N23" s="20">
        <f>'TE BE'!$N$23*'TE BF'!$N$52</f>
        <v>0</v>
      </c>
      <c r="O23" s="20">
        <f>'TE BE'!$O$23*'TE BF'!$O$52</f>
        <v>0.36953694072647275</v>
      </c>
      <c r="P23" s="20">
        <f>'TE BE'!$P$23*'TE BF'!$P$52</f>
        <v>0</v>
      </c>
      <c r="Q23" s="20">
        <f>SUM($L$23:$P$23)</f>
        <v>18.160059921402205</v>
      </c>
      <c r="R23" s="20">
        <f>'TE BE'!$R$23*'TE BF'!$R$52</f>
        <v>29.598349754040029</v>
      </c>
      <c r="S23" s="20">
        <f>SUM($R$23:$R$23)</f>
        <v>29.598349754040029</v>
      </c>
      <c r="T23" s="20">
        <f>'TE BE'!$T$23*'TE BF'!$T$52</f>
        <v>-0.9243774979831848</v>
      </c>
      <c r="U23" s="20">
        <f>'TE BE'!$U$23*'TE BF'!$U$52</f>
        <v>-0.14993487166923838</v>
      </c>
      <c r="V23" s="20">
        <f>'TE BE'!$V$23*'TE BF'!$V$52</f>
        <v>0</v>
      </c>
      <c r="W23" s="20">
        <f>SUM($T$23:$V$23)</f>
        <v>-1.0743123696524233</v>
      </c>
      <c r="X23" s="20">
        <f>'TE BE'!$AB$23*'TE BF'!$X$52</f>
        <v>0</v>
      </c>
      <c r="Y23" s="20">
        <f>SUM($X$23:$X$23)</f>
        <v>0</v>
      </c>
      <c r="Z23" s="20">
        <f>'TE BE'!$Z$23*'TE BF'!$Z$52</f>
        <v>0.93843937159650237</v>
      </c>
      <c r="AA23" s="20">
        <f>SUM($Z$23:$Z$23)</f>
        <v>0.93843937159650237</v>
      </c>
      <c r="AB23" s="20">
        <f>SUMIF($L$4:$AA$4,"SUBTOTAL",$L$23:$AA$23)</f>
        <v>47.622536677386314</v>
      </c>
    </row>
    <row r="24" spans="1:28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'TE BE'!$L$24*'TE BF'!$L$52</f>
        <v>0</v>
      </c>
      <c r="M24" s="20">
        <f>'TE BE'!$M$24*'TE BF'!$M$52</f>
        <v>17.790522980675732</v>
      </c>
      <c r="N24" s="20">
        <f>'TE BE'!$N$24*'TE BF'!$N$52</f>
        <v>0</v>
      </c>
      <c r="O24" s="20">
        <f>'TE BE'!$O$24*'TE BF'!$O$52</f>
        <v>0.36953694072647275</v>
      </c>
      <c r="P24" s="20">
        <f>'TE BE'!$P$24*'TE BF'!$P$52</f>
        <v>0</v>
      </c>
      <c r="Q24" s="20">
        <f>SUM($L$24:$P$24)</f>
        <v>18.160059921402205</v>
      </c>
      <c r="R24" s="20">
        <f>'TE BE'!$R$24*'TE BF'!$R$52</f>
        <v>48.027510921649849</v>
      </c>
      <c r="S24" s="20">
        <f>SUM($R$24:$R$24)</f>
        <v>48.027510921649849</v>
      </c>
      <c r="T24" s="20">
        <f>'TE BE'!$T$24*'TE BF'!$T$52</f>
        <v>-0.9243774979831848</v>
      </c>
      <c r="U24" s="20">
        <f>'TE BE'!$U$24*'TE BF'!$U$52</f>
        <v>-0.14993487166923838</v>
      </c>
      <c r="V24" s="20">
        <f>'TE BE'!$V$24*'TE BF'!$V$52</f>
        <v>0</v>
      </c>
      <c r="W24" s="20">
        <f>SUM($T$24:$V$24)</f>
        <v>-1.0743123696524233</v>
      </c>
      <c r="X24" s="20">
        <f>'TE BE'!$AB$24*'TE BF'!$X$52</f>
        <v>0</v>
      </c>
      <c r="Y24" s="20">
        <f>SUM($X$24:$X$24)</f>
        <v>0</v>
      </c>
      <c r="Z24" s="20">
        <f>'TE BE'!$Z$24*'TE BF'!$Z$52</f>
        <v>0.93843937159650237</v>
      </c>
      <c r="AA24" s="20">
        <f>SUM($Z$24:$Z$24)</f>
        <v>0.93843937159650237</v>
      </c>
      <c r="AB24" s="20">
        <f>SUMIF($L$4:$AA$4,"SUBTOTAL",$L$24:$AA$24)</f>
        <v>66.051697844996141</v>
      </c>
    </row>
    <row r="25" spans="1:28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'TE BE'!$L$25*'TE BF'!$L$52</f>
        <v>0</v>
      </c>
      <c r="M25" s="20">
        <f>'TE BE'!$M$25*'TE BF'!$M$52</f>
        <v>17.790522980675732</v>
      </c>
      <c r="N25" s="20">
        <f>'TE BE'!$N$25*'TE BF'!$N$52</f>
        <v>0</v>
      </c>
      <c r="O25" s="20">
        <f>'TE BE'!$O$25*'TE BF'!$O$52</f>
        <v>0.36953694072647275</v>
      </c>
      <c r="P25" s="20">
        <f>'TE BE'!$P$25*'TE BF'!$P$52</f>
        <v>0</v>
      </c>
      <c r="Q25" s="20">
        <f>SUM($L$25:$P$25)</f>
        <v>18.160059921402205</v>
      </c>
      <c r="R25" s="20">
        <f>'TE BE'!$R$25*'TE BF'!$R$52</f>
        <v>27.922971466075499</v>
      </c>
      <c r="S25" s="20">
        <f>SUM($R$25:$R$25)</f>
        <v>27.922971466075499</v>
      </c>
      <c r="T25" s="20">
        <f>'TE BE'!$T$25*'TE BF'!$T$52</f>
        <v>-0.9243774979831848</v>
      </c>
      <c r="U25" s="20">
        <f>'TE BE'!$U$25*'TE BF'!$U$52</f>
        <v>-0.14993487166923838</v>
      </c>
      <c r="V25" s="20">
        <f>'TE BE'!$V$25*'TE BF'!$V$52</f>
        <v>0</v>
      </c>
      <c r="W25" s="20">
        <f>SUM($T$25:$V$25)</f>
        <v>-1.0743123696524233</v>
      </c>
      <c r="X25" s="20">
        <f>'TE BE'!$AB$25*'TE BF'!$X$52</f>
        <v>0</v>
      </c>
      <c r="Y25" s="20">
        <f>SUM($X$25:$X$25)</f>
        <v>0</v>
      </c>
      <c r="Z25" s="20">
        <f>'TE BE'!$Z$25*'TE BF'!$Z$52</f>
        <v>0.93843937159650237</v>
      </c>
      <c r="AA25" s="20">
        <f>SUM($Z$25:$Z$25)</f>
        <v>0.93843937159650237</v>
      </c>
      <c r="AB25" s="20">
        <f>SUMIF($L$4:$AA$4,"SUBTOTAL",$L$25:$AA$25)</f>
        <v>45.94715838942178</v>
      </c>
    </row>
    <row r="26" spans="1:28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'TE BE'!$L$26*'TE BF'!$L$52</f>
        <v>0</v>
      </c>
      <c r="M26" s="20">
        <f>'TE BE'!$M$26*'TE BF'!$M$52</f>
        <v>17.790522980675732</v>
      </c>
      <c r="N26" s="20">
        <f>'TE BE'!$N$26*'TE BF'!$N$52</f>
        <v>0</v>
      </c>
      <c r="O26" s="20">
        <f>'TE BE'!$O$26*'TE BF'!$O$52</f>
        <v>0.36953694072647275</v>
      </c>
      <c r="P26" s="20">
        <f>'TE BE'!$P$26*'TE BF'!$P$52</f>
        <v>0</v>
      </c>
      <c r="Q26" s="20">
        <f>SUM($L$26:$P$26)</f>
        <v>18.160059921402205</v>
      </c>
      <c r="R26" s="20">
        <f>'TE BE'!$R$26*'TE BF'!$R$52</f>
        <v>27.922971466075499</v>
      </c>
      <c r="S26" s="20">
        <f>SUM($R$26:$R$26)</f>
        <v>27.922971466075499</v>
      </c>
      <c r="T26" s="20">
        <f>'TE BE'!$T$26*'TE BF'!$T$52</f>
        <v>-0.9243774979831848</v>
      </c>
      <c r="U26" s="20">
        <f>'TE BE'!$U$26*'TE BF'!$U$52</f>
        <v>-0.14993487166923838</v>
      </c>
      <c r="V26" s="20">
        <f>'TE BE'!$V$26*'TE BF'!$V$52</f>
        <v>0</v>
      </c>
      <c r="W26" s="20">
        <f>SUM($T$26:$V$26)</f>
        <v>-1.0743123696524233</v>
      </c>
      <c r="X26" s="20">
        <f>'TE BE'!$AB$26*'TE BF'!$X$52</f>
        <v>0</v>
      </c>
      <c r="Y26" s="20">
        <f>SUM($X$26:$X$26)</f>
        <v>0</v>
      </c>
      <c r="Z26" s="20">
        <f>'TE BE'!$Z$26*'TE BF'!$Z$52</f>
        <v>0.93843937159650237</v>
      </c>
      <c r="AA26" s="20">
        <f>SUM($Z$26:$Z$26)</f>
        <v>0.93843937159650237</v>
      </c>
      <c r="AB26" s="20">
        <f>SUMIF($L$4:$AA$4,"SUBTOTAL",$L$26:$AA$26)</f>
        <v>45.94715838942178</v>
      </c>
    </row>
    <row r="27" spans="1:28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'TE BE'!$L$27*'TE BF'!$L$52</f>
        <v>0</v>
      </c>
      <c r="M27" s="20">
        <f>'TE BE'!$M$27*'TE BF'!$M$52</f>
        <v>17.790522980675732</v>
      </c>
      <c r="N27" s="20">
        <f>'TE BE'!$N$27*'TE BF'!$N$52</f>
        <v>0</v>
      </c>
      <c r="O27" s="20">
        <f>'TE BE'!$O$27*'TE BF'!$O$52</f>
        <v>0.36953694072647275</v>
      </c>
      <c r="P27" s="20">
        <f>'TE BE'!$P$27*'TE BF'!$P$52</f>
        <v>0</v>
      </c>
      <c r="Q27" s="20">
        <f>SUM($L$27:$P$27)</f>
        <v>18.160059921402205</v>
      </c>
      <c r="R27" s="20">
        <f>'TE BE'!$R$27*'TE BF'!$R$52</f>
        <v>29.598349754040029</v>
      </c>
      <c r="S27" s="20">
        <f>SUM($R$27:$R$27)</f>
        <v>29.598349754040029</v>
      </c>
      <c r="T27" s="20">
        <f>'TE BE'!$T$27*'TE BF'!$T$52</f>
        <v>-0.9243774979831848</v>
      </c>
      <c r="U27" s="20">
        <f>'TE BE'!$U$27*'TE BF'!$U$52</f>
        <v>-0.14993487166923838</v>
      </c>
      <c r="V27" s="20">
        <f>'TE BE'!$V$27*'TE BF'!$V$52</f>
        <v>0</v>
      </c>
      <c r="W27" s="20">
        <f>SUM($T$27:$V$27)</f>
        <v>-1.0743123696524233</v>
      </c>
      <c r="X27" s="20">
        <f>'TE BE'!$AB$27*'TE BF'!$X$52</f>
        <v>0</v>
      </c>
      <c r="Y27" s="20">
        <f>SUM($X$27:$X$27)</f>
        <v>0</v>
      </c>
      <c r="Z27" s="20">
        <f>'TE BE'!$Z$27*'TE BF'!$Z$52</f>
        <v>0.93843937159650237</v>
      </c>
      <c r="AA27" s="20">
        <f>SUM($Z$27:$Z$27)</f>
        <v>0.93843937159650237</v>
      </c>
      <c r="AB27" s="20">
        <f>SUMIF($L$4:$AA$4,"SUBTOTAL",$L$27:$AA$27)</f>
        <v>47.622536677386314</v>
      </c>
    </row>
    <row r="28" spans="1:28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'TE BE'!$L$28*'TE BF'!$L$52</f>
        <v>0</v>
      </c>
      <c r="M28" s="20">
        <f>'TE BE'!$M$28*'TE BF'!$M$52</f>
        <v>17.790522980675732</v>
      </c>
      <c r="N28" s="20">
        <f>'TE BE'!$N$28*'TE BF'!$N$52</f>
        <v>0</v>
      </c>
      <c r="O28" s="20">
        <f>'TE BE'!$O$28*'TE BF'!$O$52</f>
        <v>0.36953694072647275</v>
      </c>
      <c r="P28" s="20">
        <f>'TE BE'!$P$28*'TE BF'!$P$52</f>
        <v>0</v>
      </c>
      <c r="Q28" s="20">
        <f>SUM($L$28:$P$28)</f>
        <v>18.160059921402205</v>
      </c>
      <c r="R28" s="20">
        <f>'TE BE'!$R$28*'TE BF'!$R$52</f>
        <v>48.027510921649849</v>
      </c>
      <c r="S28" s="20">
        <f>SUM($R$28:$R$28)</f>
        <v>48.027510921649849</v>
      </c>
      <c r="T28" s="20">
        <f>'TE BE'!$T$28*'TE BF'!$T$52</f>
        <v>-0.9243774979831848</v>
      </c>
      <c r="U28" s="20">
        <f>'TE BE'!$U$28*'TE BF'!$U$52</f>
        <v>-0.14993487166923838</v>
      </c>
      <c r="V28" s="20">
        <f>'TE BE'!$V$28*'TE BF'!$V$52</f>
        <v>0</v>
      </c>
      <c r="W28" s="20">
        <f>SUM($T$28:$V$28)</f>
        <v>-1.0743123696524233</v>
      </c>
      <c r="X28" s="20">
        <f>'TE BE'!$AB$28*'TE BF'!$X$52</f>
        <v>0</v>
      </c>
      <c r="Y28" s="20">
        <f>SUM($X$28:$X$28)</f>
        <v>0</v>
      </c>
      <c r="Z28" s="20">
        <f>'TE BE'!$Z$28*'TE BF'!$Z$52</f>
        <v>0.93843937159650237</v>
      </c>
      <c r="AA28" s="20">
        <f>SUM($Z$28:$Z$28)</f>
        <v>0.93843937159650237</v>
      </c>
      <c r="AB28" s="20">
        <f>SUMIF($L$4:$AA$4,"SUBTOTAL",$L$28:$AA$28)</f>
        <v>66.051697844996141</v>
      </c>
    </row>
    <row r="29" spans="1:28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'TE BE'!$L$29*'TE BF'!$L$52</f>
        <v>0</v>
      </c>
      <c r="M29" s="20">
        <f>'TE BE'!$M$29*'TE BF'!$M$52</f>
        <v>17.790522980675732</v>
      </c>
      <c r="N29" s="20">
        <f>'TE BE'!$N$29*'TE BF'!$N$52</f>
        <v>0</v>
      </c>
      <c r="O29" s="20">
        <f>'TE BE'!$O$29*'TE BF'!$O$52</f>
        <v>0.36953694072647275</v>
      </c>
      <c r="P29" s="20">
        <f>'TE BE'!$P$29*'TE BF'!$P$52</f>
        <v>0</v>
      </c>
      <c r="Q29" s="20">
        <f>SUM($L$29:$P$29)</f>
        <v>18.160059921402205</v>
      </c>
      <c r="R29" s="20">
        <f>'TE BE'!$R$29*'TE BF'!$R$52</f>
        <v>27.922971466075499</v>
      </c>
      <c r="S29" s="20">
        <f>SUM($R$29:$R$29)</f>
        <v>27.922971466075499</v>
      </c>
      <c r="T29" s="20">
        <f>'TE BE'!$T$29*'TE BF'!$T$52</f>
        <v>-0.9243774979831848</v>
      </c>
      <c r="U29" s="20">
        <f>'TE BE'!$U$29*'TE BF'!$U$52</f>
        <v>-0.14993487166923838</v>
      </c>
      <c r="V29" s="20">
        <f>'TE BE'!$V$29*'TE BF'!$V$52</f>
        <v>0</v>
      </c>
      <c r="W29" s="20">
        <f>SUM($T$29:$V$29)</f>
        <v>-1.0743123696524233</v>
      </c>
      <c r="X29" s="20">
        <f>'TE BE'!$AB$29*'TE BF'!$X$52</f>
        <v>0</v>
      </c>
      <c r="Y29" s="20">
        <f>SUM($X$29:$X$29)</f>
        <v>0</v>
      </c>
      <c r="Z29" s="20">
        <f>'TE BE'!$Z$29*'TE BF'!$Z$52</f>
        <v>0.93843937159650237</v>
      </c>
      <c r="AA29" s="20">
        <f>SUM($Z$29:$Z$29)</f>
        <v>0.93843937159650237</v>
      </c>
      <c r="AB29" s="20">
        <f>SUMIF($L$4:$AA$4,"SUBTOTAL",$L$29:$AA$29)</f>
        <v>45.94715838942178</v>
      </c>
    </row>
    <row r="30" spans="1:28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'TE BE'!$L$30*'TE BF'!$L$52</f>
        <v>0</v>
      </c>
      <c r="M30" s="20">
        <f>'TE BE'!$M$30*'TE BF'!$M$52</f>
        <v>17.790522980675732</v>
      </c>
      <c r="N30" s="20">
        <f>'TE BE'!$N$30*'TE BF'!$N$52</f>
        <v>0</v>
      </c>
      <c r="O30" s="20">
        <f>'TE BE'!$O$30*'TE BF'!$O$52</f>
        <v>0.36953694072647275</v>
      </c>
      <c r="P30" s="20">
        <f>'TE BE'!$P$30*'TE BF'!$P$52</f>
        <v>0</v>
      </c>
      <c r="Q30" s="20">
        <f>SUM($L$30:$P$30)</f>
        <v>18.160059921402205</v>
      </c>
      <c r="R30" s="20">
        <f>'TE BE'!$R$30*'TE BF'!$R$52</f>
        <v>27.922971466075499</v>
      </c>
      <c r="S30" s="20">
        <f>SUM($R$30:$R$30)</f>
        <v>27.922971466075499</v>
      </c>
      <c r="T30" s="20">
        <f>'TE BE'!$T$30*'TE BF'!$T$52</f>
        <v>-0.9243774979831848</v>
      </c>
      <c r="U30" s="20">
        <f>'TE BE'!$U$30*'TE BF'!$U$52</f>
        <v>-0.14993487166923838</v>
      </c>
      <c r="V30" s="20">
        <f>'TE BE'!$V$30*'TE BF'!$V$52</f>
        <v>0</v>
      </c>
      <c r="W30" s="20">
        <f>SUM($T$30:$V$30)</f>
        <v>-1.0743123696524233</v>
      </c>
      <c r="X30" s="20">
        <f>'TE BE'!$AB$30*'TE BF'!$X$52</f>
        <v>0</v>
      </c>
      <c r="Y30" s="20">
        <f>SUM($X$30:$X$30)</f>
        <v>0</v>
      </c>
      <c r="Z30" s="20">
        <f>'TE BE'!$Z$30*'TE BF'!$Z$52</f>
        <v>0.93843937159650237</v>
      </c>
      <c r="AA30" s="20">
        <f>SUM($Z$30:$Z$30)</f>
        <v>0.93843937159650237</v>
      </c>
      <c r="AB30" s="20">
        <f>SUMIF($L$4:$AA$4,"SUBTOTAL",$L$30:$AA$30)</f>
        <v>45.94715838942178</v>
      </c>
    </row>
    <row r="31" spans="1:28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'TE BE'!$L$31*'TE BF'!$L$52</f>
        <v>0</v>
      </c>
      <c r="M31" s="20">
        <f>'TE BE'!$M$31*'TE BF'!$M$52</f>
        <v>17.790522980675732</v>
      </c>
      <c r="N31" s="20">
        <f>'TE BE'!$N$31*'TE BF'!$N$52</f>
        <v>0</v>
      </c>
      <c r="O31" s="20">
        <f>'TE BE'!$O$31*'TE BF'!$O$52</f>
        <v>0.36953694072647275</v>
      </c>
      <c r="P31" s="20">
        <f>'TE BE'!$P$31*'TE BF'!$P$52</f>
        <v>0</v>
      </c>
      <c r="Q31" s="20">
        <f>SUM($L$31:$P$31)</f>
        <v>18.160059921402205</v>
      </c>
      <c r="R31" s="20">
        <f>'TE BE'!$R$31*'TE BF'!$R$52</f>
        <v>29.598349754040029</v>
      </c>
      <c r="S31" s="20">
        <f>SUM($R$31:$R$31)</f>
        <v>29.598349754040029</v>
      </c>
      <c r="T31" s="20">
        <f>'TE BE'!$T$31*'TE BF'!$T$52</f>
        <v>-0.9243774979831848</v>
      </c>
      <c r="U31" s="20">
        <f>'TE BE'!$U$31*'TE BF'!$U$52</f>
        <v>-0.14993487166923838</v>
      </c>
      <c r="V31" s="20">
        <f>'TE BE'!$V$31*'TE BF'!$V$52</f>
        <v>0</v>
      </c>
      <c r="W31" s="20">
        <f>SUM($T$31:$V$31)</f>
        <v>-1.0743123696524233</v>
      </c>
      <c r="X31" s="20">
        <f>'TE BE'!$AB$31*'TE BF'!$X$52</f>
        <v>0</v>
      </c>
      <c r="Y31" s="20">
        <f>SUM($X$31:$X$31)</f>
        <v>0</v>
      </c>
      <c r="Z31" s="20">
        <f>'TE BE'!$Z$31*'TE BF'!$Z$52</f>
        <v>0.93843937159650237</v>
      </c>
      <c r="AA31" s="20">
        <f>SUM($Z$31:$Z$31)</f>
        <v>0.93843937159650237</v>
      </c>
      <c r="AB31" s="20">
        <f>SUMIF($L$4:$AA$4,"SUBTOTAL",$L$31:$AA$31)</f>
        <v>47.622536677386314</v>
      </c>
    </row>
    <row r="32" spans="1:28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'TE BE'!$L$32*'TE BF'!$L$52</f>
        <v>0</v>
      </c>
      <c r="M32" s="20">
        <f>'TE BE'!$M$32*'TE BF'!$M$52</f>
        <v>17.790522980675732</v>
      </c>
      <c r="N32" s="20">
        <f>'TE BE'!$N$32*'TE BF'!$N$52</f>
        <v>0</v>
      </c>
      <c r="O32" s="20">
        <f>'TE BE'!$O$32*'TE BF'!$O$52</f>
        <v>0.36953694072647275</v>
      </c>
      <c r="P32" s="20">
        <f>'TE BE'!$P$32*'TE BF'!$P$52</f>
        <v>0</v>
      </c>
      <c r="Q32" s="20">
        <f>SUM($L$32:$P$32)</f>
        <v>18.160059921402205</v>
      </c>
      <c r="R32" s="20">
        <f>'TE BE'!$R$32*'TE BF'!$R$52</f>
        <v>48.027510921649849</v>
      </c>
      <c r="S32" s="20">
        <f>SUM($R$32:$R$32)</f>
        <v>48.027510921649849</v>
      </c>
      <c r="T32" s="20">
        <f>'TE BE'!$T$32*'TE BF'!$T$52</f>
        <v>-0.9243774979831848</v>
      </c>
      <c r="U32" s="20">
        <f>'TE BE'!$U$32*'TE BF'!$U$52</f>
        <v>-0.14993487166923838</v>
      </c>
      <c r="V32" s="20">
        <f>'TE BE'!$V$32*'TE BF'!$V$52</f>
        <v>0</v>
      </c>
      <c r="W32" s="20">
        <f>SUM($T$32:$V$32)</f>
        <v>-1.0743123696524233</v>
      </c>
      <c r="X32" s="20">
        <f>'TE BE'!$AB$32*'TE BF'!$X$52</f>
        <v>0</v>
      </c>
      <c r="Y32" s="20">
        <f>SUM($X$32:$X$32)</f>
        <v>0</v>
      </c>
      <c r="Z32" s="20">
        <f>'TE BE'!$Z$32*'TE BF'!$Z$52</f>
        <v>0.93843937159650237</v>
      </c>
      <c r="AA32" s="20">
        <f>SUM($Z$32:$Z$32)</f>
        <v>0.93843937159650237</v>
      </c>
      <c r="AB32" s="20">
        <f>SUMIF($L$4:$AA$4,"SUBTOTAL",$L$32:$AA$32)</f>
        <v>66.051697844996141</v>
      </c>
    </row>
    <row r="33" spans="1:28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'TE BE'!$L$33*'TE BF'!$L$52</f>
        <v>0</v>
      </c>
      <c r="M33" s="20">
        <f>'TE BE'!$M$33*'TE BF'!$M$52</f>
        <v>17.790522980675732</v>
      </c>
      <c r="N33" s="20">
        <f>'TE BE'!$N$33*'TE BF'!$N$52</f>
        <v>0</v>
      </c>
      <c r="O33" s="20">
        <f>'TE BE'!$O$33*'TE BF'!$O$52</f>
        <v>0.36953694072647275</v>
      </c>
      <c r="P33" s="20">
        <f>'TE BE'!$P$33*'TE BF'!$P$52</f>
        <v>0</v>
      </c>
      <c r="Q33" s="20">
        <f>SUM($L$33:$P$33)</f>
        <v>18.160059921402205</v>
      </c>
      <c r="R33" s="20">
        <f>'TE BE'!$R$33*'TE BF'!$R$52</f>
        <v>27.922971466075499</v>
      </c>
      <c r="S33" s="20">
        <f>SUM($R$33:$R$33)</f>
        <v>27.922971466075499</v>
      </c>
      <c r="T33" s="20">
        <f>'TE BE'!$T$33*'TE BF'!$T$52</f>
        <v>-0.9243774979831848</v>
      </c>
      <c r="U33" s="20">
        <f>'TE BE'!$U$33*'TE BF'!$U$52</f>
        <v>-0.14993487166923838</v>
      </c>
      <c r="V33" s="20">
        <f>'TE BE'!$V$33*'TE BF'!$V$52</f>
        <v>0</v>
      </c>
      <c r="W33" s="20">
        <f>SUM($T$33:$V$33)</f>
        <v>-1.0743123696524233</v>
      </c>
      <c r="X33" s="20">
        <f>'TE BE'!$AB$33*'TE BF'!$X$52</f>
        <v>0</v>
      </c>
      <c r="Y33" s="20">
        <f>SUM($X$33:$X$33)</f>
        <v>0</v>
      </c>
      <c r="Z33" s="20">
        <f>'TE BE'!$Z$33*'TE BF'!$Z$52</f>
        <v>0.93843937159650237</v>
      </c>
      <c r="AA33" s="20">
        <f>SUM($Z$33:$Z$33)</f>
        <v>0.93843937159650237</v>
      </c>
      <c r="AB33" s="20">
        <f>SUMIF($L$4:$AA$4,"SUBTOTAL",$L$33:$AA$33)</f>
        <v>45.94715838942178</v>
      </c>
    </row>
    <row r="34" spans="1:28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'TE BE'!$L$34*'TE BF'!$L$52</f>
        <v>0</v>
      </c>
      <c r="M34" s="20">
        <f>'TE BE'!$M$34*'TE BF'!$M$52</f>
        <v>17.790522980675732</v>
      </c>
      <c r="N34" s="20">
        <f>'TE BE'!$N$34*'TE BF'!$N$52</f>
        <v>0</v>
      </c>
      <c r="O34" s="20">
        <f>'TE BE'!$O$34*'TE BF'!$O$52</f>
        <v>0.36953694072647275</v>
      </c>
      <c r="P34" s="20">
        <f>'TE BE'!$P$34*'TE BF'!$P$52</f>
        <v>0</v>
      </c>
      <c r="Q34" s="20">
        <f>SUM($L$34:$P$34)</f>
        <v>18.160059921402205</v>
      </c>
      <c r="R34" s="20">
        <f>'TE BE'!$R$34*'TE BF'!$R$52</f>
        <v>27.922971466075499</v>
      </c>
      <c r="S34" s="20">
        <f>SUM($R$34:$R$34)</f>
        <v>27.922971466075499</v>
      </c>
      <c r="T34" s="20">
        <f>'TE BE'!$T$34*'TE BF'!$T$52</f>
        <v>-0.9243774979831848</v>
      </c>
      <c r="U34" s="20">
        <f>'TE BE'!$U$34*'TE BF'!$U$52</f>
        <v>-0.14993487166923838</v>
      </c>
      <c r="V34" s="20">
        <f>'TE BE'!$V$34*'TE BF'!$V$52</f>
        <v>0</v>
      </c>
      <c r="W34" s="20">
        <f>SUM($T$34:$V$34)</f>
        <v>-1.0743123696524233</v>
      </c>
      <c r="X34" s="20">
        <f>'TE BE'!$AB$34*'TE BF'!$X$52</f>
        <v>0</v>
      </c>
      <c r="Y34" s="20">
        <f>SUM($X$34:$X$34)</f>
        <v>0</v>
      </c>
      <c r="Z34" s="20">
        <f>'TE BE'!$Z$34*'TE BF'!$Z$52</f>
        <v>0.93843937159650237</v>
      </c>
      <c r="AA34" s="20">
        <f>SUM($Z$34:$Z$34)</f>
        <v>0.93843937159650237</v>
      </c>
      <c r="AB34" s="20">
        <f>SUMIF($L$4:$AA$4,"SUBTOTAL",$L$34:$AA$34)</f>
        <v>45.94715838942178</v>
      </c>
    </row>
    <row r="35" spans="1:28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'TE BE'!$L$35*'TE BF'!$L$52</f>
        <v>0</v>
      </c>
      <c r="M35" s="20">
        <f>'TE BE'!$M$35*'TE BF'!$M$52</f>
        <v>17.790522980675732</v>
      </c>
      <c r="N35" s="20">
        <f>'TE BE'!$N$35*'TE BF'!$N$52</f>
        <v>0</v>
      </c>
      <c r="O35" s="20">
        <f>'TE BE'!$O$35*'TE BF'!$O$52</f>
        <v>0.36953694072647275</v>
      </c>
      <c r="P35" s="20">
        <f>'TE BE'!$P$35*'TE BF'!$P$52</f>
        <v>0</v>
      </c>
      <c r="Q35" s="20">
        <f>SUM($L$35:$P$35)</f>
        <v>18.160059921402205</v>
      </c>
      <c r="R35" s="20">
        <f>'TE BE'!$R$35*'TE BF'!$R$52</f>
        <v>29.598349754040029</v>
      </c>
      <c r="S35" s="20">
        <f>SUM($R$35:$R$35)</f>
        <v>29.598349754040029</v>
      </c>
      <c r="T35" s="20">
        <f>'TE BE'!$T$35*'TE BF'!$T$52</f>
        <v>-0.9243774979831848</v>
      </c>
      <c r="U35" s="20">
        <f>'TE BE'!$U$35*'TE BF'!$U$52</f>
        <v>-0.14993487166923838</v>
      </c>
      <c r="V35" s="20">
        <f>'TE BE'!$V$35*'TE BF'!$V$52</f>
        <v>0</v>
      </c>
      <c r="W35" s="20">
        <f>SUM($T$35:$V$35)</f>
        <v>-1.0743123696524233</v>
      </c>
      <c r="X35" s="20">
        <f>'TE BE'!$AB$35*'TE BF'!$X$52</f>
        <v>0</v>
      </c>
      <c r="Y35" s="20">
        <f>SUM($X$35:$X$35)</f>
        <v>0</v>
      </c>
      <c r="Z35" s="20">
        <f>'TE BE'!$Z$35*'TE BF'!$Z$52</f>
        <v>0.93843937159650237</v>
      </c>
      <c r="AA35" s="20">
        <f>SUM($Z$35:$Z$35)</f>
        <v>0.93843937159650237</v>
      </c>
      <c r="AB35" s="20">
        <f>SUMIF($L$4:$AA$4,"SUBTOTAL",$L$35:$AA$35)</f>
        <v>47.622536677386314</v>
      </c>
    </row>
    <row r="36" spans="1:28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'TE BE'!$L$36*'TE BF'!$L$52</f>
        <v>0</v>
      </c>
      <c r="M36" s="20">
        <f>'TE BE'!$M$36*'TE BF'!$M$52</f>
        <v>17.790522980675732</v>
      </c>
      <c r="N36" s="20">
        <f>'TE BE'!$N$36*'TE BF'!$N$52</f>
        <v>0</v>
      </c>
      <c r="O36" s="20">
        <f>'TE BE'!$O$36*'TE BF'!$O$52</f>
        <v>0.36953694072647275</v>
      </c>
      <c r="P36" s="20">
        <f>'TE BE'!$P$36*'TE BF'!$P$52</f>
        <v>0</v>
      </c>
      <c r="Q36" s="20">
        <f>SUM($L$36:$P$36)</f>
        <v>18.160059921402205</v>
      </c>
      <c r="R36" s="20">
        <f>'TE BE'!$R$36*'TE BF'!$R$52</f>
        <v>29.598349754040029</v>
      </c>
      <c r="S36" s="20">
        <f>SUM($R$36:$R$36)</f>
        <v>29.598349754040029</v>
      </c>
      <c r="T36" s="20">
        <f>'TE BE'!$T$36*'TE BF'!$T$52</f>
        <v>-0.9243774979831848</v>
      </c>
      <c r="U36" s="20">
        <f>'TE BE'!$U$36*'TE BF'!$U$52</f>
        <v>-0.14993487166923838</v>
      </c>
      <c r="V36" s="20">
        <f>'TE BE'!$V$36*'TE BF'!$V$52</f>
        <v>0</v>
      </c>
      <c r="W36" s="20">
        <f>SUM($T$36:$V$36)</f>
        <v>-1.0743123696524233</v>
      </c>
      <c r="X36" s="20">
        <f>'TE BE'!$AB$36*'TE BF'!$X$52</f>
        <v>0</v>
      </c>
      <c r="Y36" s="20">
        <f>SUM($X$36:$X$36)</f>
        <v>0</v>
      </c>
      <c r="Z36" s="20">
        <f>'TE BE'!$Z$36*'TE BF'!$Z$52</f>
        <v>0.93843937159650237</v>
      </c>
      <c r="AA36" s="20">
        <f>SUM($Z$36:$Z$36)</f>
        <v>0.93843937159650237</v>
      </c>
      <c r="AB36" s="20">
        <f>SUMIF($L$4:$AA$4,"SUBTOTAL",$L$36:$AA$36)</f>
        <v>47.622536677386314</v>
      </c>
    </row>
    <row r="37" spans="1:28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'TE BE'!$L$37*'TE BF'!$L$52</f>
        <v>0</v>
      </c>
      <c r="M37" s="20">
        <f>'TE BE'!$M$37*'TE BF'!$M$52</f>
        <v>17.790522980675732</v>
      </c>
      <c r="N37" s="20">
        <f>'TE BE'!$N$37*'TE BF'!$N$52</f>
        <v>0</v>
      </c>
      <c r="O37" s="20">
        <f>'TE BE'!$O$37*'TE BF'!$O$52</f>
        <v>0.36953694072647275</v>
      </c>
      <c r="P37" s="20">
        <f>'TE BE'!$P$37*'TE BF'!$P$52</f>
        <v>0</v>
      </c>
      <c r="Q37" s="20">
        <f>SUM($L$37:$P$37)</f>
        <v>18.160059921402205</v>
      </c>
      <c r="R37" s="20">
        <f>'TE BE'!$R$37*'TE BF'!$R$52</f>
        <v>29.598349754040029</v>
      </c>
      <c r="S37" s="20">
        <f>SUM($R$37:$R$37)</f>
        <v>29.598349754040029</v>
      </c>
      <c r="T37" s="20">
        <f>'TE BE'!$T$37*'TE BF'!$T$52</f>
        <v>-0.9243774979831848</v>
      </c>
      <c r="U37" s="20">
        <f>'TE BE'!$U$37*'TE BF'!$U$52</f>
        <v>-0.14993487166923838</v>
      </c>
      <c r="V37" s="20">
        <f>'TE BE'!$V$37*'TE BF'!$V$52</f>
        <v>0</v>
      </c>
      <c r="W37" s="20">
        <f>SUM($T$37:$V$37)</f>
        <v>-1.0743123696524233</v>
      </c>
      <c r="X37" s="20">
        <f>'TE BE'!$AB$37*'TE BF'!$X$52</f>
        <v>0</v>
      </c>
      <c r="Y37" s="20">
        <f>SUM($X$37:$X$37)</f>
        <v>0</v>
      </c>
      <c r="Z37" s="20">
        <f>'TE BE'!$Z$37*'TE BF'!$Z$52</f>
        <v>0.93843937159650237</v>
      </c>
      <c r="AA37" s="20">
        <f>SUM($Z$37:$Z$37)</f>
        <v>0.93843937159650237</v>
      </c>
      <c r="AB37" s="20">
        <f>SUMIF($L$4:$AA$4,"SUBTOTAL",$L$37:$AA$37)</f>
        <v>47.622536677386314</v>
      </c>
    </row>
    <row r="38" spans="1:28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'TE BE'!$L$38*'TE BF'!$L$52</f>
        <v>0</v>
      </c>
      <c r="M38" s="20">
        <f>'TE BE'!$M$38*'TE BF'!$M$52</f>
        <v>17.790522980675732</v>
      </c>
      <c r="N38" s="20">
        <f>'TE BE'!$N$38*'TE BF'!$N$52</f>
        <v>0</v>
      </c>
      <c r="O38" s="20">
        <f>'TE BE'!$O$38*'TE BF'!$O$52</f>
        <v>0.36953694072647275</v>
      </c>
      <c r="P38" s="20">
        <f>'TE BE'!$P$38*'TE BF'!$P$52</f>
        <v>0</v>
      </c>
      <c r="Q38" s="20">
        <f>SUM($L$38:$P$38)</f>
        <v>18.160059921402205</v>
      </c>
      <c r="R38" s="20">
        <f>'TE BE'!$R$38*'TE BF'!$R$52</f>
        <v>29.598349754040029</v>
      </c>
      <c r="S38" s="20">
        <f>SUM($R$38:$R$38)</f>
        <v>29.598349754040029</v>
      </c>
      <c r="T38" s="20">
        <f>'TE BE'!$T$38*'TE BF'!$T$52</f>
        <v>-0.9243774979831848</v>
      </c>
      <c r="U38" s="20">
        <f>'TE BE'!$U$38*'TE BF'!$U$52</f>
        <v>-0.14993487166923838</v>
      </c>
      <c r="V38" s="20">
        <f>'TE BE'!$V$38*'TE BF'!$V$52</f>
        <v>0</v>
      </c>
      <c r="W38" s="20">
        <f>SUM($T$38:$V$38)</f>
        <v>-1.0743123696524233</v>
      </c>
      <c r="X38" s="20">
        <f>'TE BE'!$AB$38*'TE BF'!$X$52</f>
        <v>0</v>
      </c>
      <c r="Y38" s="20">
        <f>SUM($X$38:$X$38)</f>
        <v>0</v>
      </c>
      <c r="Z38" s="20">
        <f>'TE BE'!$Z$38*'TE BF'!$Z$52</f>
        <v>0.93843937159650237</v>
      </c>
      <c r="AA38" s="20">
        <f>SUM($Z$38:$Z$38)</f>
        <v>0.93843937159650237</v>
      </c>
      <c r="AB38" s="20">
        <f>SUMIF($L$4:$AA$4,"SUBTOTAL",$L$38:$AA$38)</f>
        <v>47.622536677386314</v>
      </c>
    </row>
    <row r="39" spans="1:28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'TE BE'!$L$39*'TE BF'!$L$52</f>
        <v>0</v>
      </c>
      <c r="M39" s="20">
        <f>'TE BE'!$M$39*'TE BF'!$M$52</f>
        <v>17.790522980675732</v>
      </c>
      <c r="N39" s="20">
        <f>'TE BE'!$N$39*'TE BF'!$N$52</f>
        <v>0</v>
      </c>
      <c r="O39" s="20">
        <f>'TE BE'!$O$39*'TE BF'!$O$52</f>
        <v>0.36953694072647275</v>
      </c>
      <c r="P39" s="20">
        <f>'TE BE'!$P$39*'TE BF'!$P$52</f>
        <v>0</v>
      </c>
      <c r="Q39" s="20">
        <f>SUM($L$39:$P$39)</f>
        <v>18.160059921402205</v>
      </c>
      <c r="R39" s="20">
        <f>'TE BE'!$R$39*'TE BF'!$R$52</f>
        <v>48.027510921649849</v>
      </c>
      <c r="S39" s="20">
        <f>SUM($R$39:$R$39)</f>
        <v>48.027510921649849</v>
      </c>
      <c r="T39" s="20">
        <f>'TE BE'!$T$39*'TE BF'!$T$52</f>
        <v>-0.9243774979831848</v>
      </c>
      <c r="U39" s="20">
        <f>'TE BE'!$U$39*'TE BF'!$U$52</f>
        <v>-0.14993487166923838</v>
      </c>
      <c r="V39" s="20">
        <f>'TE BE'!$V$39*'TE BF'!$V$52</f>
        <v>0</v>
      </c>
      <c r="W39" s="20">
        <f>SUM($T$39:$V$39)</f>
        <v>-1.0743123696524233</v>
      </c>
      <c r="X39" s="20">
        <f>'TE BE'!$AB$39*'TE BF'!$X$52</f>
        <v>0</v>
      </c>
      <c r="Y39" s="20">
        <f>SUM($X$39:$X$39)</f>
        <v>0</v>
      </c>
      <c r="Z39" s="20">
        <f>'TE BE'!$Z$39*'TE BF'!$Z$52</f>
        <v>0.93843937159650237</v>
      </c>
      <c r="AA39" s="20">
        <f>SUM($Z$39:$Z$39)</f>
        <v>0.93843937159650237</v>
      </c>
      <c r="AB39" s="20">
        <f>SUMIF($L$4:$AA$4,"SUBTOTAL",$L$39:$AA$39)</f>
        <v>66.051697844996141</v>
      </c>
    </row>
    <row r="40" spans="1:28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'TE BE'!$L$40*'TE BF'!$L$52</f>
        <v>0</v>
      </c>
      <c r="M40" s="20">
        <f>'TE BE'!$M$40*'TE BF'!$M$52</f>
        <v>17.790522980675732</v>
      </c>
      <c r="N40" s="20">
        <f>'TE BE'!$N$40*'TE BF'!$N$52</f>
        <v>0</v>
      </c>
      <c r="O40" s="20">
        <f>'TE BE'!$O$40*'TE BF'!$O$52</f>
        <v>0.36953694072647275</v>
      </c>
      <c r="P40" s="20">
        <f>'TE BE'!$P$40*'TE BF'!$P$52</f>
        <v>0</v>
      </c>
      <c r="Q40" s="20">
        <f>SUM($L$40:$P$40)</f>
        <v>18.160059921402205</v>
      </c>
      <c r="R40" s="20">
        <f>'TE BE'!$R$40*'TE BF'!$R$52</f>
        <v>27.922971466075499</v>
      </c>
      <c r="S40" s="20">
        <f>SUM($R$40:$R$40)</f>
        <v>27.922971466075499</v>
      </c>
      <c r="T40" s="20">
        <f>'TE BE'!$T$40*'TE BF'!$T$52</f>
        <v>-0.9243774979831848</v>
      </c>
      <c r="U40" s="20">
        <f>'TE BE'!$U$40*'TE BF'!$U$52</f>
        <v>-0.14993487166923838</v>
      </c>
      <c r="V40" s="20">
        <f>'TE BE'!$V$40*'TE BF'!$V$52</f>
        <v>0</v>
      </c>
      <c r="W40" s="20">
        <f>SUM($T$40:$V$40)</f>
        <v>-1.0743123696524233</v>
      </c>
      <c r="X40" s="20">
        <f>'TE BE'!$AB$40*'TE BF'!$X$52</f>
        <v>0</v>
      </c>
      <c r="Y40" s="20">
        <f>SUM($X$40:$X$40)</f>
        <v>0</v>
      </c>
      <c r="Z40" s="20">
        <f>'TE BE'!$Z$40*'TE BF'!$Z$52</f>
        <v>0.93843937159650237</v>
      </c>
      <c r="AA40" s="20">
        <f>SUM($Z$40:$Z$40)</f>
        <v>0.93843937159650237</v>
      </c>
      <c r="AB40" s="20">
        <f>SUMIF($L$4:$AA$4,"SUBTOTAL",$L$40:$AA$40)</f>
        <v>45.94715838942178</v>
      </c>
    </row>
    <row r="41" spans="1:28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'TE BE'!$L$41*'TE BF'!$L$52</f>
        <v>0</v>
      </c>
      <c r="M41" s="20">
        <f>'TE BE'!$M$41*'TE BF'!$M$52</f>
        <v>17.790522980675732</v>
      </c>
      <c r="N41" s="20">
        <f>'TE BE'!$N$41*'TE BF'!$N$52</f>
        <v>0</v>
      </c>
      <c r="O41" s="20">
        <f>'TE BE'!$O$41*'TE BF'!$O$52</f>
        <v>0.36953694072647275</v>
      </c>
      <c r="P41" s="20">
        <f>'TE BE'!$P$41*'TE BF'!$P$52</f>
        <v>0</v>
      </c>
      <c r="Q41" s="20">
        <f>SUM($L$41:$P$41)</f>
        <v>18.160059921402205</v>
      </c>
      <c r="R41" s="20">
        <f>'TE BE'!$R$41*'TE BF'!$R$52</f>
        <v>27.922971466075499</v>
      </c>
      <c r="S41" s="20">
        <f>SUM($R$41:$R$41)</f>
        <v>27.922971466075499</v>
      </c>
      <c r="T41" s="20">
        <f>'TE BE'!$T$41*'TE BF'!$T$52</f>
        <v>-0.9243774979831848</v>
      </c>
      <c r="U41" s="20">
        <f>'TE BE'!$U$41*'TE BF'!$U$52</f>
        <v>-0.14993487166923838</v>
      </c>
      <c r="V41" s="20">
        <f>'TE BE'!$V$41*'TE BF'!$V$52</f>
        <v>0</v>
      </c>
      <c r="W41" s="20">
        <f>SUM($T$41:$V$41)</f>
        <v>-1.0743123696524233</v>
      </c>
      <c r="X41" s="20">
        <f>'TE BE'!$AB$41*'TE BF'!$X$52</f>
        <v>0</v>
      </c>
      <c r="Y41" s="20">
        <f>SUM($X$41:$X$41)</f>
        <v>0</v>
      </c>
      <c r="Z41" s="20">
        <f>'TE BE'!$Z$41*'TE BF'!$Z$52</f>
        <v>0.93843937159650237</v>
      </c>
      <c r="AA41" s="20">
        <f>SUM($Z$41:$Z$41)</f>
        <v>0.93843937159650237</v>
      </c>
      <c r="AB41" s="20">
        <f>SUMIF($L$4:$AA$4,"SUBTOTAL",$L$41:$AA$41)</f>
        <v>45.94715838942178</v>
      </c>
    </row>
    <row r="42" spans="1:28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'TE BE'!$L$42*'TE BF'!$L$52</f>
        <v>0</v>
      </c>
      <c r="M42" s="20">
        <f>'TE BE'!$M$42*'TE BF'!$M$52</f>
        <v>17.790522980675732</v>
      </c>
      <c r="N42" s="20">
        <f>'TE BE'!$N$42*'TE BF'!$N$52</f>
        <v>0</v>
      </c>
      <c r="O42" s="20">
        <f>'TE BE'!$O$42*'TE BF'!$O$52</f>
        <v>0.36953694072647275</v>
      </c>
      <c r="P42" s="20">
        <f>'TE BE'!$P$42*'TE BF'!$P$52</f>
        <v>0</v>
      </c>
      <c r="Q42" s="20">
        <f>SUM($L$42:$P$42)</f>
        <v>18.160059921402205</v>
      </c>
      <c r="R42" s="20">
        <f>'TE BE'!$R$42*'TE BF'!$R$52</f>
        <v>29.598349754040029</v>
      </c>
      <c r="S42" s="20">
        <f>SUM($R$42:$R$42)</f>
        <v>29.598349754040029</v>
      </c>
      <c r="T42" s="20">
        <f>'TE BE'!$T$42*'TE BF'!$T$52</f>
        <v>-0.9243774979831848</v>
      </c>
      <c r="U42" s="20">
        <f>'TE BE'!$U$42*'TE BF'!$U$52</f>
        <v>-0.14993487166923838</v>
      </c>
      <c r="V42" s="20">
        <f>'TE BE'!$V$42*'TE BF'!$V$52</f>
        <v>0</v>
      </c>
      <c r="W42" s="20">
        <f>SUM($T$42:$V$42)</f>
        <v>-1.0743123696524233</v>
      </c>
      <c r="X42" s="20">
        <f>'TE BE'!$AB$42*'TE BF'!$X$52</f>
        <v>0</v>
      </c>
      <c r="Y42" s="20">
        <f>SUM($X$42:$X$42)</f>
        <v>0</v>
      </c>
      <c r="Z42" s="20">
        <f>'TE BE'!$Z$42*'TE BF'!$Z$52</f>
        <v>0.93843937159650237</v>
      </c>
      <c r="AA42" s="20">
        <f>SUM($Z$42:$Z$42)</f>
        <v>0.93843937159650237</v>
      </c>
      <c r="AB42" s="20">
        <f>SUMIF($L$4:$AA$4,"SUBTOTAL",$L$42:$AA$42)</f>
        <v>47.622536677386314</v>
      </c>
    </row>
    <row r="43" spans="1:28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'TE BE'!$L$43*'TE BF'!$L$52</f>
        <v>0</v>
      </c>
      <c r="M43" s="20">
        <f>'TE BE'!$M$43*'TE BF'!$M$52</f>
        <v>17.790522980675732</v>
      </c>
      <c r="N43" s="20">
        <f>'TE BE'!$N$43*'TE BF'!$N$52</f>
        <v>0</v>
      </c>
      <c r="O43" s="20">
        <f>'TE BE'!$O$43*'TE BF'!$O$52</f>
        <v>0.36953694072647275</v>
      </c>
      <c r="P43" s="20">
        <f>'TE BE'!$P$43*'TE BF'!$P$52</f>
        <v>0</v>
      </c>
      <c r="Q43" s="20">
        <f>SUM($L$43:$P$43)</f>
        <v>18.160059921402205</v>
      </c>
      <c r="R43" s="20">
        <f>'TE BE'!$R$43*'TE BF'!$R$52</f>
        <v>29.598349754040029</v>
      </c>
      <c r="S43" s="20">
        <f>SUM($R$43:$R$43)</f>
        <v>29.598349754040029</v>
      </c>
      <c r="T43" s="20">
        <f>'TE BE'!$T$43*'TE BF'!$T$52</f>
        <v>-0.9243774979831848</v>
      </c>
      <c r="U43" s="20">
        <f>'TE BE'!$U$43*'TE BF'!$U$52</f>
        <v>-0.14993487166923838</v>
      </c>
      <c r="V43" s="20">
        <f>'TE BE'!$V$43*'TE BF'!$V$52</f>
        <v>0</v>
      </c>
      <c r="W43" s="20">
        <f>SUM($T$43:$V$43)</f>
        <v>-1.0743123696524233</v>
      </c>
      <c r="X43" s="20">
        <f>'TE BE'!$AB$43*'TE BF'!$X$52</f>
        <v>0</v>
      </c>
      <c r="Y43" s="20">
        <f>SUM($X$43:$X$43)</f>
        <v>0</v>
      </c>
      <c r="Z43" s="20">
        <f>'TE BE'!$Z$43*'TE BF'!$Z$52</f>
        <v>0.93843937159650237</v>
      </c>
      <c r="AA43" s="20">
        <f>SUM($Z$43:$Z$43)</f>
        <v>0.93843937159650237</v>
      </c>
      <c r="AB43" s="20">
        <f>SUMIF($L$4:$AA$4,"SUBTOTAL",$L$43:$AA$43)</f>
        <v>47.622536677386314</v>
      </c>
    </row>
    <row r="44" spans="1:28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'TE BE'!$L$44*'TE BF'!$L$52</f>
        <v>0</v>
      </c>
      <c r="M44" s="20">
        <f>'TE BE'!$M$44*'TE BF'!$M$52</f>
        <v>9.7847876393716522</v>
      </c>
      <c r="N44" s="20">
        <f>'TE BE'!$N$44*'TE BF'!$N$52</f>
        <v>0</v>
      </c>
      <c r="O44" s="20">
        <f>'TE BE'!$O$44*'TE BF'!$O$52</f>
        <v>0.20324531739956003</v>
      </c>
      <c r="P44" s="20">
        <f>'TE BE'!$P$44*'TE BF'!$P$52</f>
        <v>0</v>
      </c>
      <c r="Q44" s="20">
        <f>SUM($L$44:$P$44)</f>
        <v>9.9880329567712121</v>
      </c>
      <c r="R44" s="20">
        <f>'TE BE'!$R$44*'TE BF'!$R$52</f>
        <v>16.279092364722015</v>
      </c>
      <c r="S44" s="20">
        <f>SUM($R$44:$R$44)</f>
        <v>16.279092364722015</v>
      </c>
      <c r="T44" s="20">
        <f>'TE BE'!$T$44*'TE BF'!$T$52</f>
        <v>-0.50840762389075167</v>
      </c>
      <c r="U44" s="20">
        <f>'TE BE'!$U$44*'TE BF'!$U$52</f>
        <v>-8.2464179418081124E-2</v>
      </c>
      <c r="V44" s="20">
        <f>'TE BE'!$V$44*'TE BF'!$V$52</f>
        <v>0</v>
      </c>
      <c r="W44" s="20">
        <f>SUM($T$44:$V$44)</f>
        <v>-0.59087180330883282</v>
      </c>
      <c r="X44" s="20">
        <f>'TE BE'!$AB$44*'TE BF'!$X$52</f>
        <v>0</v>
      </c>
      <c r="Y44" s="20">
        <f>SUM($X$44:$X$44)</f>
        <v>0</v>
      </c>
      <c r="Z44" s="20">
        <f>'TE BE'!$Z$44*'TE BF'!$Z$52</f>
        <v>0.51614165437807635</v>
      </c>
      <c r="AA44" s="20">
        <f>SUM($Z$44:$Z$44)</f>
        <v>0.51614165437807635</v>
      </c>
      <c r="AB44" s="20">
        <f>SUMIF($L$4:$AA$4,"SUBTOTAL",$L$44:$AA$44)</f>
        <v>26.19239517256247</v>
      </c>
    </row>
    <row r="45" spans="1:28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'TE BE'!$L$45*'TE BF'!$L$52</f>
        <v>0</v>
      </c>
      <c r="M45" s="20">
        <f>'TE BE'!$M$45*'TE BF'!$M$52</f>
        <v>10.674313788405437</v>
      </c>
      <c r="N45" s="20">
        <f>'TE BE'!$N$45*'TE BF'!$N$52</f>
        <v>0</v>
      </c>
      <c r="O45" s="20">
        <f>'TE BE'!$O$45*'TE BF'!$O$52</f>
        <v>0.22172216443588363</v>
      </c>
      <c r="P45" s="20">
        <f>'TE BE'!$P$45*'TE BF'!$P$52</f>
        <v>0</v>
      </c>
      <c r="Q45" s="20">
        <f>SUM($L$45:$P$45)</f>
        <v>10.89603595284132</v>
      </c>
      <c r="R45" s="20">
        <f>'TE BE'!$R$45*'TE BF'!$R$52</f>
        <v>17.759009852424018</v>
      </c>
      <c r="S45" s="20">
        <f>SUM($R$45:$R$45)</f>
        <v>17.759009852424018</v>
      </c>
      <c r="T45" s="20">
        <f>'TE BE'!$T$45*'TE BF'!$T$52</f>
        <v>-0.55462649878991088</v>
      </c>
      <c r="U45" s="20">
        <f>'TE BE'!$U$45*'TE BF'!$U$52</f>
        <v>-8.9960923001543014E-2</v>
      </c>
      <c r="V45" s="20">
        <f>'TE BE'!$V$45*'TE BF'!$V$52</f>
        <v>0</v>
      </c>
      <c r="W45" s="20">
        <f>SUM($T$45:$V$45)</f>
        <v>-0.6445874217914539</v>
      </c>
      <c r="X45" s="20">
        <f>'TE BE'!$AB$45*'TE BF'!$X$52</f>
        <v>0</v>
      </c>
      <c r="Y45" s="20">
        <f>SUM($X$45:$X$45)</f>
        <v>0</v>
      </c>
      <c r="Z45" s="20">
        <f>'TE BE'!$Z$45*'TE BF'!$Z$52</f>
        <v>0.56306362295790147</v>
      </c>
      <c r="AA45" s="20">
        <f>SUM($Z$45:$Z$45)</f>
        <v>0.56306362295790147</v>
      </c>
      <c r="AB45" s="20">
        <f>SUMIF($L$4:$AA$4,"SUBTOTAL",$L$45:$AA$45)</f>
        <v>28.573522006431787</v>
      </c>
    </row>
    <row r="47" spans="1:28" ht="11.25" customHeight="1" x14ac:dyDescent="0.25">
      <c r="K47" s="25" t="s">
        <v>704</v>
      </c>
      <c r="L47" s="20">
        <f t="shared" ref="L47:AB47" si="0">SUMPRODUCT($I$5:$I$45,L$5:L$45)</f>
        <v>0</v>
      </c>
      <c r="M47" s="20">
        <f t="shared" si="0"/>
        <v>3430068.2356999991</v>
      </c>
      <c r="N47" s="20">
        <f t="shared" si="0"/>
        <v>0</v>
      </c>
      <c r="O47" s="20">
        <f t="shared" si="0"/>
        <v>71247.873020958461</v>
      </c>
      <c r="P47" s="20">
        <f t="shared" si="0"/>
        <v>0</v>
      </c>
      <c r="Q47" s="20">
        <f t="shared" si="0"/>
        <v>3501316.1087209582</v>
      </c>
      <c r="R47" s="20">
        <f t="shared" si="0"/>
        <v>5685725.32587808</v>
      </c>
      <c r="S47" s="20">
        <f t="shared" si="0"/>
        <v>5685725.32587808</v>
      </c>
      <c r="T47" s="20">
        <f t="shared" si="0"/>
        <v>-178222.86040000001</v>
      </c>
      <c r="U47" s="20">
        <f t="shared" si="0"/>
        <v>-28907.910199999998</v>
      </c>
      <c r="V47" s="20">
        <f t="shared" si="0"/>
        <v>0</v>
      </c>
      <c r="W47" s="20">
        <f t="shared" si="0"/>
        <v>-207130.77060000002</v>
      </c>
      <c r="X47" s="20">
        <f t="shared" si="0"/>
        <v>0</v>
      </c>
      <c r="Y47" s="20">
        <f t="shared" si="0"/>
        <v>0</v>
      </c>
      <c r="Z47" s="20">
        <f t="shared" si="0"/>
        <v>180934.03342554058</v>
      </c>
      <c r="AA47" s="20">
        <f t="shared" si="0"/>
        <v>180934.03342554058</v>
      </c>
      <c r="AB47" s="20">
        <f t="shared" si="0"/>
        <v>9160844.6974245813</v>
      </c>
    </row>
    <row r="48" spans="1:28" ht="11.25" customHeight="1" x14ac:dyDescent="0.25">
      <c r="K48" s="25" t="s">
        <v>623</v>
      </c>
      <c r="L48" s="20">
        <f>CUSTOS!$D$30</f>
        <v>490441.64912756049</v>
      </c>
      <c r="M48" s="20">
        <f>CUSTOS!$D$31</f>
        <v>2519008.7404471575</v>
      </c>
      <c r="N48" s="20">
        <f>CUSTOS!$D$32</f>
        <v>0</v>
      </c>
      <c r="O48" s="20">
        <f>CUSTOS!$D$33</f>
        <v>794008.21351846925</v>
      </c>
      <c r="P48" s="20">
        <f>CUSTOS!$D$34</f>
        <v>-3150000</v>
      </c>
      <c r="Q48" s="20">
        <f>CUSTOS!$D$35</f>
        <v>653458.60309318732</v>
      </c>
      <c r="R48" s="20">
        <f>CUSTOS!$D$36</f>
        <v>41430078.225968428</v>
      </c>
      <c r="S48" s="20">
        <f>CUSTOS!$D$37</f>
        <v>41430078.225968428</v>
      </c>
      <c r="T48" s="20">
        <f>CUSTOS!$D$38</f>
        <v>1559392.1738818092</v>
      </c>
      <c r="U48" s="20">
        <f>CUSTOS!$D$39</f>
        <v>1295788.6175304062</v>
      </c>
      <c r="V48" s="20">
        <f>CUSTOS!$D$40</f>
        <v>0</v>
      </c>
      <c r="W48" s="20">
        <f>CUSTOS!$D$41</f>
        <v>2855180.7914122157</v>
      </c>
      <c r="X48" s="20">
        <f>CUSTOS!$D$42</f>
        <v>0</v>
      </c>
      <c r="Y48" s="20">
        <f>CUSTOS!$D$43</f>
        <v>0</v>
      </c>
      <c r="Z48" s="20">
        <f>CUSTOS!$D$44</f>
        <v>1318408.9502956187</v>
      </c>
      <c r="AA48" s="20">
        <f>CUSTOS!$D$45</f>
        <v>1318408.9502956187</v>
      </c>
      <c r="AB48" s="20">
        <f>CUSTOS!$D$46</f>
        <v>46257126.570769452</v>
      </c>
    </row>
    <row r="49" spans="11:28" ht="11.25" customHeight="1" x14ac:dyDescent="0.25">
      <c r="K49" s="25" t="s">
        <v>624</v>
      </c>
      <c r="L49" s="20">
        <f>CUSTOS!$E$30</f>
        <v>2.1730396836747649E-2</v>
      </c>
      <c r="M49" s="20">
        <f>CUSTOS!$E$31</f>
        <v>-926119.86971880542</v>
      </c>
      <c r="N49" s="20">
        <f>CUSTOS!$E$32</f>
        <v>0</v>
      </c>
      <c r="O49" s="20">
        <f>CUSTOS!$E$33</f>
        <v>291007.82484533184</v>
      </c>
      <c r="P49" s="20">
        <f>CUSTOS!$E$34</f>
        <v>0</v>
      </c>
      <c r="Q49" s="20">
        <f>CUSTOS!$E$35</f>
        <v>-635112.0231430768</v>
      </c>
      <c r="R49" s="20">
        <f>CUSTOS!$E$36</f>
        <v>-2992739.8518927954</v>
      </c>
      <c r="S49" s="20">
        <f>CUSTOS!$E$37</f>
        <v>-2992739.8518927954</v>
      </c>
      <c r="T49" s="20">
        <f>CUSTOS!$E$38</f>
        <v>571663.31939759804</v>
      </c>
      <c r="U49" s="20">
        <f>CUSTOS!$E$39</f>
        <v>20862.520133608137</v>
      </c>
      <c r="V49" s="20">
        <f>CUSTOS!$E$40</f>
        <v>0</v>
      </c>
      <c r="W49" s="20">
        <f>CUSTOS!$E$41</f>
        <v>592525.83953120618</v>
      </c>
      <c r="X49" s="20">
        <f>CUSTOS!$E$42</f>
        <v>0</v>
      </c>
      <c r="Y49" s="20">
        <f>CUSTOS!$E$43</f>
        <v>0</v>
      </c>
      <c r="Z49" s="20">
        <f>CUSTOS!$E$44</f>
        <v>-95236.484592701177</v>
      </c>
      <c r="AA49" s="20">
        <f>CUSTOS!$E$45</f>
        <v>-95236.484592701177</v>
      </c>
      <c r="AB49" s="20">
        <f>CUSTOS!$E$46</f>
        <v>-3130562.5200973675</v>
      </c>
    </row>
    <row r="50" spans="11:28" ht="11.25" customHeight="1" x14ac:dyDescent="0.25">
      <c r="K50" s="25" t="s">
        <v>625</v>
      </c>
      <c r="L50" s="20">
        <f>CUSTOS!$F$30</f>
        <v>0</v>
      </c>
      <c r="M50" s="20">
        <f>CUSTOS!$F$31</f>
        <v>3430068.2357000001</v>
      </c>
      <c r="N50" s="20">
        <f>CUSTOS!$F$32</f>
        <v>0</v>
      </c>
      <c r="O50" s="20">
        <f>CUSTOS!$F$33</f>
        <v>71247.873020958446</v>
      </c>
      <c r="P50" s="20">
        <f>CUSTOS!$F$34</f>
        <v>0</v>
      </c>
      <c r="Q50" s="20">
        <f>CUSTOS!$F$35</f>
        <v>3501316.1087209587</v>
      </c>
      <c r="R50" s="20">
        <f>CUSTOS!$F$36</f>
        <v>5685725.32587808</v>
      </c>
      <c r="S50" s="20">
        <f>CUSTOS!$F$37</f>
        <v>5685725.32587808</v>
      </c>
      <c r="T50" s="20">
        <f>CUSTOS!$F$38</f>
        <v>-178222.86040000001</v>
      </c>
      <c r="U50" s="20">
        <f>CUSTOS!$F$39</f>
        <v>-28907.910200000002</v>
      </c>
      <c r="V50" s="20">
        <f>CUSTOS!$F$40</f>
        <v>0</v>
      </c>
      <c r="W50" s="20">
        <f>CUSTOS!$F$41</f>
        <v>-207130.77060000002</v>
      </c>
      <c r="X50" s="20">
        <f>CUSTOS!$F$42</f>
        <v>0</v>
      </c>
      <c r="Y50" s="20">
        <f>CUSTOS!$F$43</f>
        <v>0</v>
      </c>
      <c r="Z50" s="20">
        <f>CUSTOS!$F$44</f>
        <v>180934.03342554063</v>
      </c>
      <c r="AA50" s="20">
        <f>CUSTOS!$F$45</f>
        <v>180934.03342554063</v>
      </c>
      <c r="AB50" s="20">
        <f>CUSTOS!$F$46</f>
        <v>9160844.6974245775</v>
      </c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67">
    <mergeCell ref="E39:E41"/>
    <mergeCell ref="F39:F41"/>
    <mergeCell ref="A44:A45"/>
    <mergeCell ref="B44:B45"/>
    <mergeCell ref="C44:C45"/>
    <mergeCell ref="D39:D41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A8:A10"/>
    <mergeCell ref="B8:B9"/>
    <mergeCell ref="C8:C9"/>
    <mergeCell ref="D8:D9"/>
    <mergeCell ref="E8:E9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785" priority="33" operator="notEqual">
      <formula>$L$50</formula>
    </cfRule>
    <cfRule type="cellIs" dxfId="784" priority="34" operator="equal">
      <formula>$L$50</formula>
    </cfRule>
  </conditionalFormatting>
  <conditionalFormatting sqref="M47">
    <cfRule type="cellIs" dxfId="783" priority="31" operator="notEqual">
      <formula>$M$50</formula>
    </cfRule>
    <cfRule type="cellIs" dxfId="782" priority="32" operator="equal">
      <formula>$M$50</formula>
    </cfRule>
  </conditionalFormatting>
  <conditionalFormatting sqref="N47">
    <cfRule type="cellIs" dxfId="781" priority="29" operator="notEqual">
      <formula>$N$50</formula>
    </cfRule>
    <cfRule type="cellIs" dxfId="780" priority="30" operator="equal">
      <formula>$N$50</formula>
    </cfRule>
  </conditionalFormatting>
  <conditionalFormatting sqref="O47">
    <cfRule type="cellIs" dxfId="779" priority="27" operator="notEqual">
      <formula>$O$50</formula>
    </cfRule>
    <cfRule type="cellIs" dxfId="778" priority="28" operator="equal">
      <formula>$O$50</formula>
    </cfRule>
  </conditionalFormatting>
  <conditionalFormatting sqref="P47">
    <cfRule type="cellIs" dxfId="777" priority="25" operator="notEqual">
      <formula>$P$50</formula>
    </cfRule>
    <cfRule type="cellIs" dxfId="776" priority="26" operator="equal">
      <formula>$P$50</formula>
    </cfRule>
  </conditionalFormatting>
  <conditionalFormatting sqref="Q47">
    <cfRule type="cellIs" dxfId="775" priority="23" operator="notEqual">
      <formula>$Q$50</formula>
    </cfRule>
    <cfRule type="cellIs" dxfId="774" priority="24" operator="equal">
      <formula>$Q$50</formula>
    </cfRule>
  </conditionalFormatting>
  <conditionalFormatting sqref="R47">
    <cfRule type="cellIs" dxfId="773" priority="21" operator="notEqual">
      <formula>$R$50</formula>
    </cfRule>
    <cfRule type="cellIs" dxfId="772" priority="22" operator="equal">
      <formula>$R$50</formula>
    </cfRule>
  </conditionalFormatting>
  <conditionalFormatting sqref="S47">
    <cfRule type="cellIs" dxfId="771" priority="19" operator="notEqual">
      <formula>$S$50</formula>
    </cfRule>
    <cfRule type="cellIs" dxfId="770" priority="20" operator="equal">
      <formula>$S$50</formula>
    </cfRule>
  </conditionalFormatting>
  <conditionalFormatting sqref="T47">
    <cfRule type="cellIs" dxfId="769" priority="17" operator="notEqual">
      <formula>$T$50</formula>
    </cfRule>
    <cfRule type="cellIs" dxfId="768" priority="18" operator="equal">
      <formula>$T$50</formula>
    </cfRule>
  </conditionalFormatting>
  <conditionalFormatting sqref="U47">
    <cfRule type="cellIs" dxfId="767" priority="15" operator="notEqual">
      <formula>$U$50</formula>
    </cfRule>
    <cfRule type="cellIs" dxfId="766" priority="16" operator="equal">
      <formula>$U$50</formula>
    </cfRule>
  </conditionalFormatting>
  <conditionalFormatting sqref="V47">
    <cfRule type="cellIs" dxfId="765" priority="13" operator="notEqual">
      <formula>$V$50</formula>
    </cfRule>
    <cfRule type="cellIs" dxfId="764" priority="14" operator="equal">
      <formula>$V$50</formula>
    </cfRule>
  </conditionalFormatting>
  <conditionalFormatting sqref="W47">
    <cfRule type="cellIs" dxfId="763" priority="11" operator="notEqual">
      <formula>$W$50</formula>
    </cfRule>
    <cfRule type="cellIs" dxfId="762" priority="12" operator="equal">
      <formula>$W$50</formula>
    </cfRule>
  </conditionalFormatting>
  <conditionalFormatting sqref="X47">
    <cfRule type="cellIs" dxfId="761" priority="9" operator="notEqual">
      <formula>$X$50</formula>
    </cfRule>
    <cfRule type="cellIs" dxfId="760" priority="10" operator="equal">
      <formula>$X$50</formula>
    </cfRule>
  </conditionalFormatting>
  <conditionalFormatting sqref="Y47">
    <cfRule type="cellIs" dxfId="759" priority="7" operator="notEqual">
      <formula>$Y$50</formula>
    </cfRule>
    <cfRule type="cellIs" dxfId="758" priority="8" operator="equal">
      <formula>$Y$50</formula>
    </cfRule>
  </conditionalFormatting>
  <conditionalFormatting sqref="Z47">
    <cfRule type="cellIs" dxfId="757" priority="5" operator="notEqual">
      <formula>$Z$50</formula>
    </cfRule>
    <cfRule type="cellIs" dxfId="756" priority="6" operator="equal">
      <formula>$Z$50</formula>
    </cfRule>
  </conditionalFormatting>
  <conditionalFormatting sqref="AA47">
    <cfRule type="cellIs" dxfId="755" priority="3" operator="notEqual">
      <formula>$AA$50</formula>
    </cfRule>
    <cfRule type="cellIs" dxfId="754" priority="4" operator="equal">
      <formula>$AA$50</formula>
    </cfRule>
  </conditionalFormatting>
  <conditionalFormatting sqref="AB47">
    <cfRule type="cellIs" dxfId="753" priority="1" operator="notEqual">
      <formula>$AB$50</formula>
    </cfRule>
    <cfRule type="cellIs" dxfId="752" priority="2" operator="equal">
      <formula>$AB$50</formula>
    </cfRule>
  </conditionalFormatting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9826-D887-41A5-B691-0FDC7CB529F3}">
  <dimension ref="A1:AV987"/>
  <sheetViews>
    <sheetView showGridLines="0" topLeftCell="AH1" workbookViewId="0">
      <selection activeCell="AR26" sqref="AR26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1.7109375" style="4" bestFit="1" customWidth="1"/>
    <col min="47" max="47" width="13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729</v>
      </c>
      <c r="W1" s="1" t="s">
        <v>730</v>
      </c>
      <c r="X1" s="1" t="s">
        <v>731</v>
      </c>
      <c r="Y1" s="1" t="s">
        <v>732</v>
      </c>
      <c r="Z1" s="1" t="s">
        <v>733</v>
      </c>
      <c r="AA1" s="1" t="s">
        <v>734</v>
      </c>
      <c r="AB1" s="1" t="s">
        <v>747</v>
      </c>
      <c r="AC1" s="1" t="s">
        <v>748</v>
      </c>
      <c r="AD1" s="1" t="s">
        <v>749</v>
      </c>
      <c r="AE1" s="1" t="s">
        <v>750</v>
      </c>
      <c r="AF1" s="1" t="s">
        <v>751</v>
      </c>
      <c r="AG1" s="1" t="s">
        <v>752</v>
      </c>
      <c r="AI1" s="34" t="s">
        <v>61</v>
      </c>
      <c r="AJ1" s="34" t="s">
        <v>753</v>
      </c>
      <c r="AK1" s="34" t="s">
        <v>754</v>
      </c>
      <c r="AL1" s="34" t="s">
        <v>755</v>
      </c>
      <c r="AN1" s="34" t="s">
        <v>61</v>
      </c>
      <c r="AO1" s="34" t="s">
        <v>756</v>
      </c>
      <c r="AP1" s="34" t="s">
        <v>757</v>
      </c>
      <c r="AQ1" s="34" t="s">
        <v>755</v>
      </c>
      <c r="AS1" s="34" t="s">
        <v>61</v>
      </c>
      <c r="AT1" s="34" t="s">
        <v>758</v>
      </c>
      <c r="AU1" s="34" t="s">
        <v>759</v>
      </c>
      <c r="AV1" s="34" t="s">
        <v>755</v>
      </c>
    </row>
    <row r="2" spans="1:48" ht="11.25" customHeight="1" x14ac:dyDescent="0.25">
      <c r="A2" s="4" t="s">
        <v>28</v>
      </c>
      <c r="B2" s="4" t="s">
        <v>42</v>
      </c>
      <c r="C2" s="4" t="s">
        <v>34</v>
      </c>
      <c r="D2" s="4" t="s">
        <v>43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0</v>
      </c>
      <c r="K2" s="6">
        <v>0</v>
      </c>
      <c r="L2" s="6">
        <v>2E-3</v>
      </c>
      <c r="M2" s="6">
        <v>2E-3</v>
      </c>
      <c r="N2" s="6">
        <v>2E-3</v>
      </c>
      <c r="O2" s="6">
        <v>2E-3</v>
      </c>
      <c r="P2" s="6">
        <v>0</v>
      </c>
      <c r="Q2" s="4" t="s">
        <v>26</v>
      </c>
      <c r="R2" s="4">
        <v>0</v>
      </c>
      <c r="S2" s="6">
        <v>0</v>
      </c>
      <c r="T2" s="6">
        <v>8</v>
      </c>
      <c r="U2" s="6">
        <v>63</v>
      </c>
      <c r="V2" s="6">
        <f>IF(ISERROR(VLOOKUP($S$2,'TAR FIN'!$A$1:$O$103,15,0)),0,VLOOKUP($S$2,'TAR FIN'!$A$1:$O$103,15,0))</f>
        <v>0</v>
      </c>
      <c r="W2" s="6">
        <f>IF(ISERROR(VLOOKUP($T$2,'TAR FIN'!$A$1:$O$103,15,0)),0,VLOOKUP($T$2,'TAR FIN'!$A$1:$O$103,15,0))</f>
        <v>69.37</v>
      </c>
      <c r="X2" s="6">
        <f>IF(ISERROR(VLOOKUP($U$2,'TAR FIN'!$A$1:$O$103,15,0)),0,VLOOKUP($U$2,'TAR FIN'!$A$1:$O$103,15,0))</f>
        <v>284.36</v>
      </c>
      <c r="Y2" s="6"/>
      <c r="Z2" s="6">
        <f ca="1">('TUSD BE'!$AM$12+'TUSD BF'!$AM$12+'TUSD CVA'!$AM$12)*1</f>
        <v>111.236500713561</v>
      </c>
      <c r="AA2" s="6">
        <f>('TE BE'!$AB$6+'TE BF'!$AB$6+'TE CVA'!$AB$6)*1</f>
        <v>259.03677522481752</v>
      </c>
      <c r="AB2" s="6">
        <f>$K$2*$V$2</f>
        <v>0</v>
      </c>
      <c r="AC2" s="6">
        <f>$M$2*$W$2</f>
        <v>0.13874</v>
      </c>
      <c r="AD2" s="6">
        <f>$O$2*$X$2</f>
        <v>0.56872</v>
      </c>
      <c r="AE2" s="6">
        <f>$K$2*$Y$2</f>
        <v>0</v>
      </c>
      <c r="AF2" s="6">
        <f ca="1">$M$2*$Z$2</f>
        <v>0.22247300142712201</v>
      </c>
      <c r="AG2" s="6">
        <f>$O$2*$AA$2</f>
        <v>0.5180735504496351</v>
      </c>
      <c r="AI2" s="35" t="s">
        <v>42</v>
      </c>
      <c r="AJ2" s="36">
        <f t="shared" ref="AJ2:AJ7" si="0">SUMIF($B$2:$B$987,AI2,$AB$2:$AB$987)+SUMIF($B$2:$B$987,AI2,$AC$2:$AC$987)</f>
        <v>1414342.493485</v>
      </c>
      <c r="AK2" s="36">
        <f t="shared" ref="AK2:AK7" ca="1" si="1">SUMIF($B$2:$B$987,AI2,$AE$2:$AE$987)+SUMIF($B$2:$B$987,AI2,$AF$2:$AF$987)</f>
        <v>2054695.8252590634</v>
      </c>
      <c r="AL2" s="37">
        <f t="shared" ref="AL2:AL10" ca="1" si="2">IF(AJ2&lt;&gt;0,AK2/AJ2-1,0)</f>
        <v>0.45275690628244192</v>
      </c>
      <c r="AN2" s="35" t="s">
        <v>42</v>
      </c>
      <c r="AO2" s="36">
        <f t="shared" ref="AO2:AO7" si="3">SUMIF($B$2:$B$987,AN2,$AD$2:$AD$987)</f>
        <v>1211383.4273399997</v>
      </c>
      <c r="AP2" s="36">
        <f t="shared" ref="AP2:AP7" si="4">SUMIF($B$2:$B$987,AN2,$AG$2:$AG$987)</f>
        <v>1103662.4410425031</v>
      </c>
      <c r="AQ2" s="37">
        <f t="shared" ref="AQ2:AQ10" si="5">IF(AO2&lt;&gt;0,AP2/AO2-1,0)</f>
        <v>-8.8923939246910666E-2</v>
      </c>
      <c r="AS2" s="35" t="s">
        <v>42</v>
      </c>
      <c r="AT2" s="36">
        <f t="shared" ref="AT2:AT7" si="6">SUMIF($B$2:$B$987,AS2,$AB$2:$AB$987)+SUMIF($B$2:$B$987,AS2,$AC$2:$AC$987)+SUMIF($B$2:$B$987,AS2,$AD$2:$AD$987)</f>
        <v>2625725.9208249999</v>
      </c>
      <c r="AU2" s="36">
        <f t="shared" ref="AU2:AU7" ca="1" si="7">SUMIF($B$2:$B$987,AS2,$AE$2:$AE$987)+SUMIF($B$2:$B$987,AS2,$AF$2:$AF$987)+SUMIF($B$2:$B$987,AS2,$AG$2:$AG$987)</f>
        <v>3158358.2663015667</v>
      </c>
      <c r="AV2" s="37">
        <f t="shared" ref="AV2:AV10" ca="1" si="8">IF(AT2&lt;&gt;0,AU2/AT2-1,0)</f>
        <v>0.20285146338092064</v>
      </c>
    </row>
    <row r="3" spans="1:48" ht="11.25" customHeight="1" x14ac:dyDescent="0.25">
      <c r="A3" s="4" t="s">
        <v>28</v>
      </c>
      <c r="B3" s="4" t="s">
        <v>42</v>
      </c>
      <c r="C3" s="4" t="s">
        <v>34</v>
      </c>
      <c r="D3" s="4" t="s">
        <v>43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44621</v>
      </c>
      <c r="J3" s="6">
        <v>0</v>
      </c>
      <c r="K3" s="6">
        <v>0</v>
      </c>
      <c r="L3" s="6">
        <v>1E-3</v>
      </c>
      <c r="M3" s="6">
        <v>1E-3</v>
      </c>
      <c r="N3" s="6">
        <v>1E-3</v>
      </c>
      <c r="O3" s="6">
        <v>1E-3</v>
      </c>
      <c r="P3" s="6">
        <v>0</v>
      </c>
      <c r="Q3" s="4" t="s">
        <v>26</v>
      </c>
      <c r="R3" s="4">
        <v>0</v>
      </c>
      <c r="S3" s="6">
        <v>0</v>
      </c>
      <c r="T3" s="6">
        <v>8</v>
      </c>
      <c r="U3" s="6">
        <v>63</v>
      </c>
      <c r="V3" s="6">
        <f>IF(ISERROR(VLOOKUP($S$3,'TAR FIN'!$A$1:$O$103,15,0)),0,VLOOKUP($S$3,'TAR FIN'!$A$1:$O$103,15,0))</f>
        <v>0</v>
      </c>
      <c r="W3" s="6">
        <f>IF(ISERROR(VLOOKUP($T$3,'TAR FIN'!$A$1:$O$103,15,0)),0,VLOOKUP($T$3,'TAR FIN'!$A$1:$O$103,15,0))</f>
        <v>69.37</v>
      </c>
      <c r="X3" s="6">
        <f>IF(ISERROR(VLOOKUP($U$3,'TAR FIN'!$A$1:$O$103,15,0)),0,VLOOKUP($U$3,'TAR FIN'!$A$1:$O$103,15,0))</f>
        <v>284.36</v>
      </c>
      <c r="Y3" s="6"/>
      <c r="Z3" s="6">
        <f ca="1">('TUSD BE'!$AM$12+'TUSD BF'!$AM$12+'TUSD CVA'!$AM$12)*1</f>
        <v>111.236500713561</v>
      </c>
      <c r="AA3" s="6">
        <f>('TE BE'!$AB$6+'TE BF'!$AB$6+'TE CVA'!$AB$6)*1</f>
        <v>259.03677522481752</v>
      </c>
      <c r="AB3" s="6">
        <f>$K$3*$V$3</f>
        <v>0</v>
      </c>
      <c r="AC3" s="6">
        <f>$M$3*$W$3</f>
        <v>6.9370000000000001E-2</v>
      </c>
      <c r="AD3" s="6">
        <f>$O$3*$X$3</f>
        <v>0.28436</v>
      </c>
      <c r="AE3" s="6">
        <f>$K$3*$Y$3</f>
        <v>0</v>
      </c>
      <c r="AF3" s="6">
        <f ca="1">$M$3*$Z$3</f>
        <v>0.111236500713561</v>
      </c>
      <c r="AG3" s="6">
        <f>$O$3*$AA$3</f>
        <v>0.25903677522481755</v>
      </c>
      <c r="AI3" s="35" t="s">
        <v>33</v>
      </c>
      <c r="AJ3" s="36">
        <f t="shared" si="0"/>
        <v>30770081.458675206</v>
      </c>
      <c r="AK3" s="36">
        <f t="shared" ca="1" si="1"/>
        <v>44832499.304507107</v>
      </c>
      <c r="AL3" s="37">
        <f t="shared" ca="1" si="2"/>
        <v>0.45701594468373408</v>
      </c>
      <c r="AN3" s="35" t="s">
        <v>33</v>
      </c>
      <c r="AO3" s="36">
        <f t="shared" si="3"/>
        <v>16051245.387650797</v>
      </c>
      <c r="AP3" s="36">
        <f t="shared" si="4"/>
        <v>14673695.370006854</v>
      </c>
      <c r="AQ3" s="37">
        <f t="shared" si="5"/>
        <v>-8.5822002241880635E-2</v>
      </c>
      <c r="AS3" s="35" t="s">
        <v>33</v>
      </c>
      <c r="AT3" s="36">
        <f t="shared" si="6"/>
        <v>46821326.846326001</v>
      </c>
      <c r="AU3" s="36">
        <f t="shared" ca="1" si="7"/>
        <v>59506194.674513958</v>
      </c>
      <c r="AV3" s="37">
        <f t="shared" ca="1" si="8"/>
        <v>0.27092072528874356</v>
      </c>
    </row>
    <row r="4" spans="1:48" ht="11.25" customHeight="1" x14ac:dyDescent="0.25">
      <c r="A4" s="4" t="s">
        <v>28</v>
      </c>
      <c r="B4" s="4" t="s">
        <v>42</v>
      </c>
      <c r="C4" s="4" t="s">
        <v>34</v>
      </c>
      <c r="D4" s="4" t="s">
        <v>43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44652</v>
      </c>
      <c r="J4" s="6">
        <v>0</v>
      </c>
      <c r="K4" s="6">
        <v>0</v>
      </c>
      <c r="L4" s="6">
        <v>2E-3</v>
      </c>
      <c r="M4" s="6">
        <v>2E-3</v>
      </c>
      <c r="N4" s="6">
        <v>2E-3</v>
      </c>
      <c r="O4" s="6">
        <v>2E-3</v>
      </c>
      <c r="P4" s="6">
        <v>0</v>
      </c>
      <c r="Q4" s="4" t="s">
        <v>26</v>
      </c>
      <c r="R4" s="4">
        <v>0</v>
      </c>
      <c r="S4" s="6">
        <v>0</v>
      </c>
      <c r="T4" s="6">
        <v>8</v>
      </c>
      <c r="U4" s="6">
        <v>63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69.37</v>
      </c>
      <c r="X4" s="6">
        <f>IF(ISERROR(VLOOKUP($U$4,'TAR FIN'!$A$1:$O$103,15,0)),0,VLOOKUP($U$4,'TAR FIN'!$A$1:$O$103,15,0))</f>
        <v>284.36</v>
      </c>
      <c r="Y4" s="6"/>
      <c r="Z4" s="6">
        <f ca="1">('TUSD BE'!$AM$12+'TUSD BF'!$AM$12+'TUSD CVA'!$AM$12)*1</f>
        <v>111.236500713561</v>
      </c>
      <c r="AA4" s="6">
        <f>('TE BE'!$AB$6+'TE BF'!$AB$6+'TE CVA'!$AB$6)*1</f>
        <v>259.03677522481752</v>
      </c>
      <c r="AB4" s="6">
        <f>$K$4*$V$4</f>
        <v>0</v>
      </c>
      <c r="AC4" s="6">
        <f>$M$4*$W$4</f>
        <v>0.13874</v>
      </c>
      <c r="AD4" s="6">
        <f>$O$4*$X$4</f>
        <v>0.56872</v>
      </c>
      <c r="AE4" s="6">
        <f>$K$4*$Y$4</f>
        <v>0</v>
      </c>
      <c r="AF4" s="6">
        <f ca="1">$M$4*$Z$4</f>
        <v>0.22247300142712201</v>
      </c>
      <c r="AG4" s="6">
        <f>$O$4*$AA$4</f>
        <v>0.5180735504496351</v>
      </c>
      <c r="AI4" s="35" t="s">
        <v>22</v>
      </c>
      <c r="AJ4" s="36">
        <f t="shared" si="0"/>
        <v>23708467.420930002</v>
      </c>
      <c r="AK4" s="36">
        <f t="shared" ca="1" si="1"/>
        <v>31737705.410588428</v>
      </c>
      <c r="AL4" s="37">
        <f t="shared" ca="1" si="2"/>
        <v>0.33866541633012348</v>
      </c>
      <c r="AN4" s="35" t="s">
        <v>22</v>
      </c>
      <c r="AO4" s="36">
        <f t="shared" si="3"/>
        <v>25764418.66601998</v>
      </c>
      <c r="AP4" s="36">
        <f t="shared" si="4"/>
        <v>24260660.649096552</v>
      </c>
      <c r="AQ4" s="37">
        <f t="shared" si="5"/>
        <v>-5.836568782771312E-2</v>
      </c>
      <c r="AS4" s="35" t="s">
        <v>22</v>
      </c>
      <c r="AT4" s="36">
        <f t="shared" si="6"/>
        <v>49472886.086949982</v>
      </c>
      <c r="AU4" s="36">
        <f t="shared" ca="1" si="7"/>
        <v>55998366.059684977</v>
      </c>
      <c r="AV4" s="37">
        <f t="shared" ca="1" si="8"/>
        <v>0.13190012729935097</v>
      </c>
    </row>
    <row r="5" spans="1:48" ht="11.25" customHeight="1" x14ac:dyDescent="0.25">
      <c r="A5" s="4" t="s">
        <v>28</v>
      </c>
      <c r="B5" s="4" t="s">
        <v>42</v>
      </c>
      <c r="C5" s="4" t="s">
        <v>34</v>
      </c>
      <c r="D5" s="4" t="s">
        <v>43</v>
      </c>
      <c r="E5" s="4" t="s">
        <v>25</v>
      </c>
      <c r="F5" s="4" t="s">
        <v>25</v>
      </c>
      <c r="G5" s="4" t="s">
        <v>25</v>
      </c>
      <c r="H5" s="4" t="s">
        <v>25</v>
      </c>
      <c r="I5" s="5">
        <v>44531</v>
      </c>
      <c r="J5" s="6">
        <v>636</v>
      </c>
      <c r="K5" s="6">
        <v>636</v>
      </c>
      <c r="L5" s="6">
        <v>0</v>
      </c>
      <c r="M5" s="6">
        <v>0</v>
      </c>
      <c r="N5" s="6">
        <v>0</v>
      </c>
      <c r="O5" s="6">
        <v>0</v>
      </c>
      <c r="P5" s="6">
        <v>6</v>
      </c>
      <c r="Q5" s="4" t="s">
        <v>26</v>
      </c>
      <c r="R5" s="4">
        <v>0</v>
      </c>
      <c r="S5" s="6">
        <v>6</v>
      </c>
      <c r="T5" s="6">
        <v>0</v>
      </c>
      <c r="U5" s="6">
        <v>0</v>
      </c>
      <c r="V5" s="6">
        <f>IF(ISERROR(VLOOKUP($S$5,'TAR FIN'!$A$1:$O$103,15,0)),0,VLOOKUP($S$5,'TAR FIN'!$A$1:$O$103,15,0))</f>
        <v>12.42</v>
      </c>
      <c r="W5" s="6">
        <f>IF(ISERROR(VLOOKUP($T$5,'TAR FIN'!$A$1:$O$103,15,0)),0,VLOOKUP($T$5,'TAR FIN'!$A$1:$O$103,15,0))</f>
        <v>0</v>
      </c>
      <c r="X5" s="6">
        <f>IF(ISERROR(VLOOKUP($U$5,'TAR FIN'!$A$1:$O$103,15,0)),0,VLOOKUP($U$5,'TAR FIN'!$A$1:$O$103,15,0))</f>
        <v>0</v>
      </c>
      <c r="Y5" s="6">
        <f ca="1">('TUSD BE'!$AM$10+'TUSD BF'!$AM$10+'TUSD CVA'!$AM$10)*1</f>
        <v>16.518304697547443</v>
      </c>
      <c r="Z5" s="6"/>
      <c r="AA5" s="6"/>
      <c r="AB5" s="6">
        <f>$K$5*$V$5</f>
        <v>7899.12</v>
      </c>
      <c r="AC5" s="6">
        <f>$M$5*$W$5</f>
        <v>0</v>
      </c>
      <c r="AD5" s="6">
        <f>$O$5*$X$5</f>
        <v>0</v>
      </c>
      <c r="AE5" s="6">
        <f ca="1">$K$5*$Y$5</f>
        <v>10505.641787640174</v>
      </c>
      <c r="AF5" s="6">
        <f>$M$5*$Z$5</f>
        <v>0</v>
      </c>
      <c r="AG5" s="6">
        <f>$O$5*$AA$5</f>
        <v>0</v>
      </c>
      <c r="AI5" s="35" t="s">
        <v>44</v>
      </c>
      <c r="AJ5" s="36">
        <f t="shared" si="0"/>
        <v>1506915.95</v>
      </c>
      <c r="AK5" s="36">
        <f t="shared" ca="1" si="1"/>
        <v>2161772.7920607193</v>
      </c>
      <c r="AL5" s="37">
        <f t="shared" ca="1" si="2"/>
        <v>0.43456759619587237</v>
      </c>
      <c r="AN5" s="35" t="s">
        <v>44</v>
      </c>
      <c r="AO5" s="36">
        <f t="shared" si="3"/>
        <v>1612930.4562499998</v>
      </c>
      <c r="AP5" s="36">
        <f t="shared" si="4"/>
        <v>1622357.9209379642</v>
      </c>
      <c r="AQ5" s="37">
        <f t="shared" si="5"/>
        <v>5.8449294273250629E-3</v>
      </c>
      <c r="AS5" s="35" t="s">
        <v>44</v>
      </c>
      <c r="AT5" s="36">
        <f t="shared" si="6"/>
        <v>3119846.40625</v>
      </c>
      <c r="AU5" s="36">
        <f t="shared" ca="1" si="7"/>
        <v>3784130.7129986836</v>
      </c>
      <c r="AV5" s="37">
        <f t="shared" ca="1" si="8"/>
        <v>0.21292211867158595</v>
      </c>
    </row>
    <row r="6" spans="1:48" ht="11.25" customHeight="1" x14ac:dyDescent="0.25">
      <c r="A6" s="4" t="s">
        <v>28</v>
      </c>
      <c r="B6" s="4" t="s">
        <v>42</v>
      </c>
      <c r="C6" s="4" t="s">
        <v>34</v>
      </c>
      <c r="D6" s="4" t="s">
        <v>43</v>
      </c>
      <c r="E6" s="4" t="s">
        <v>25</v>
      </c>
      <c r="F6" s="4" t="s">
        <v>25</v>
      </c>
      <c r="G6" s="4" t="s">
        <v>25</v>
      </c>
      <c r="H6" s="4" t="s">
        <v>25</v>
      </c>
      <c r="I6" s="5">
        <v>44562</v>
      </c>
      <c r="J6" s="6">
        <v>639</v>
      </c>
      <c r="K6" s="6">
        <v>639</v>
      </c>
      <c r="L6" s="6">
        <v>0</v>
      </c>
      <c r="M6" s="6">
        <v>0</v>
      </c>
      <c r="N6" s="6">
        <v>0</v>
      </c>
      <c r="O6" s="6">
        <v>0</v>
      </c>
      <c r="P6" s="6">
        <v>6</v>
      </c>
      <c r="Q6" s="4" t="s">
        <v>26</v>
      </c>
      <c r="R6" s="4">
        <v>0</v>
      </c>
      <c r="S6" s="6">
        <v>6</v>
      </c>
      <c r="T6" s="6">
        <v>0</v>
      </c>
      <c r="U6" s="6">
        <v>0</v>
      </c>
      <c r="V6" s="6">
        <f>IF(ISERROR(VLOOKUP($S$6,'TAR FIN'!$A$1:$O$103,15,0)),0,VLOOKUP($S$6,'TAR FIN'!$A$1:$O$103,15,0))</f>
        <v>12.42</v>
      </c>
      <c r="W6" s="6">
        <f>IF(ISERROR(VLOOKUP($T$6,'TAR FIN'!$A$1:$O$103,15,0)),0,VLOOKUP($T$6,'TAR FIN'!$A$1:$O$103,15,0))</f>
        <v>0</v>
      </c>
      <c r="X6" s="6">
        <f>IF(ISERROR(VLOOKUP($U$6,'TAR FIN'!$A$1:$O$103,15,0)),0,VLOOKUP($U$6,'TAR FIN'!$A$1:$O$103,15,0))</f>
        <v>0</v>
      </c>
      <c r="Y6" s="6">
        <f ca="1">('TUSD BE'!$AM$10+'TUSD BF'!$AM$10+'TUSD CVA'!$AM$10)*1</f>
        <v>16.518304697547443</v>
      </c>
      <c r="Z6" s="6"/>
      <c r="AA6" s="6"/>
      <c r="AB6" s="6">
        <f>$K$6*$V$6</f>
        <v>7936.38</v>
      </c>
      <c r="AC6" s="6">
        <f>$M$6*$W$6</f>
        <v>0</v>
      </c>
      <c r="AD6" s="6">
        <f>$O$6*$X$6</f>
        <v>0</v>
      </c>
      <c r="AE6" s="6">
        <f ca="1">$K$6*$Y$6</f>
        <v>10555.196701732815</v>
      </c>
      <c r="AF6" s="6">
        <f>$M$6*$Z$6</f>
        <v>0</v>
      </c>
      <c r="AG6" s="6">
        <f>$O$6*$AA$6</f>
        <v>0</v>
      </c>
      <c r="AI6" s="35" t="s">
        <v>39</v>
      </c>
      <c r="AJ6" s="36">
        <f t="shared" si="0"/>
        <v>7848772.5954192039</v>
      </c>
      <c r="AK6" s="36">
        <f t="shared" ca="1" si="1"/>
        <v>10545633.895828836</v>
      </c>
      <c r="AL6" s="37">
        <f t="shared" ca="1" si="2"/>
        <v>0.34360293506064976</v>
      </c>
      <c r="AN6" s="35" t="s">
        <v>39</v>
      </c>
      <c r="AO6" s="36">
        <f t="shared" si="3"/>
        <v>8404959.8976879958</v>
      </c>
      <c r="AP6" s="36">
        <f t="shared" si="4"/>
        <v>7919776.47312022</v>
      </c>
      <c r="AQ6" s="37">
        <f t="shared" si="5"/>
        <v>-5.7725846461354147E-2</v>
      </c>
      <c r="AS6" s="35" t="s">
        <v>39</v>
      </c>
      <c r="AT6" s="36">
        <f t="shared" si="6"/>
        <v>16253732.4931072</v>
      </c>
      <c r="AU6" s="36">
        <f t="shared" ca="1" si="7"/>
        <v>18465410.368949056</v>
      </c>
      <c r="AV6" s="37">
        <f t="shared" ca="1" si="8"/>
        <v>0.13607199926415503</v>
      </c>
    </row>
    <row r="7" spans="1:48" ht="11.25" customHeight="1" x14ac:dyDescent="0.25">
      <c r="A7" s="4" t="s">
        <v>28</v>
      </c>
      <c r="B7" s="4" t="s">
        <v>42</v>
      </c>
      <c r="C7" s="4" t="s">
        <v>34</v>
      </c>
      <c r="D7" s="4" t="s">
        <v>43</v>
      </c>
      <c r="E7" s="4" t="s">
        <v>25</v>
      </c>
      <c r="F7" s="4" t="s">
        <v>25</v>
      </c>
      <c r="G7" s="4" t="s">
        <v>25</v>
      </c>
      <c r="H7" s="4" t="s">
        <v>25</v>
      </c>
      <c r="I7" s="5">
        <v>44593</v>
      </c>
      <c r="J7" s="6">
        <v>632</v>
      </c>
      <c r="K7" s="6">
        <v>632</v>
      </c>
      <c r="L7" s="6">
        <v>0</v>
      </c>
      <c r="M7" s="6">
        <v>0</v>
      </c>
      <c r="N7" s="6">
        <v>0</v>
      </c>
      <c r="O7" s="6">
        <v>0</v>
      </c>
      <c r="P7" s="6">
        <v>6</v>
      </c>
      <c r="Q7" s="4" t="s">
        <v>26</v>
      </c>
      <c r="R7" s="4">
        <v>0</v>
      </c>
      <c r="S7" s="6">
        <v>6</v>
      </c>
      <c r="T7" s="6">
        <v>0</v>
      </c>
      <c r="U7" s="6">
        <v>0</v>
      </c>
      <c r="V7" s="6">
        <f>IF(ISERROR(VLOOKUP($S$7,'TAR FIN'!$A$1:$O$103,15,0)),0,VLOOKUP($S$7,'TAR FIN'!$A$1:$O$103,15,0))</f>
        <v>12.42</v>
      </c>
      <c r="W7" s="6">
        <f>IF(ISERROR(VLOOKUP($T$7,'TAR FIN'!$A$1:$O$103,15,0)),0,VLOOKUP($T$7,'TAR FIN'!$A$1:$O$103,15,0))</f>
        <v>0</v>
      </c>
      <c r="X7" s="6">
        <f>IF(ISERROR(VLOOKUP($U$7,'TAR FIN'!$A$1:$O$103,15,0)),0,VLOOKUP($U$7,'TAR FIN'!$A$1:$O$103,15,0))</f>
        <v>0</v>
      </c>
      <c r="Y7" s="6">
        <f ca="1">('TUSD BE'!$AM$10+'TUSD BF'!$AM$10+'TUSD CVA'!$AM$10)*1</f>
        <v>16.518304697547443</v>
      </c>
      <c r="Z7" s="6"/>
      <c r="AA7" s="6"/>
      <c r="AB7" s="6">
        <f>$K$7*$V$7</f>
        <v>7849.44</v>
      </c>
      <c r="AC7" s="6">
        <f>$M$7*$W$7</f>
        <v>0</v>
      </c>
      <c r="AD7" s="6">
        <f>$O$7*$X$7</f>
        <v>0</v>
      </c>
      <c r="AE7" s="6">
        <f ca="1">$K$7*$Y$7</f>
        <v>10439.568568849983</v>
      </c>
      <c r="AF7" s="6">
        <f>$M$7*$Z$7</f>
        <v>0</v>
      </c>
      <c r="AG7" s="6">
        <f>$O$7*$AA$7</f>
        <v>0</v>
      </c>
      <c r="AI7" s="35" t="s">
        <v>47</v>
      </c>
      <c r="AJ7" s="36">
        <f t="shared" si="0"/>
        <v>1811165.1156999997</v>
      </c>
      <c r="AK7" s="36">
        <f t="shared" ca="1" si="1"/>
        <v>2432393.7574280207</v>
      </c>
      <c r="AL7" s="37">
        <f t="shared" ca="1" si="2"/>
        <v>0.34299945175783786</v>
      </c>
      <c r="AN7" s="35" t="s">
        <v>47</v>
      </c>
      <c r="AO7" s="36">
        <f t="shared" si="3"/>
        <v>1938660.4034000002</v>
      </c>
      <c r="AP7" s="36">
        <f t="shared" si="4"/>
        <v>1825452.375798319</v>
      </c>
      <c r="AQ7" s="37">
        <f t="shared" si="5"/>
        <v>-5.8394975934484616E-2</v>
      </c>
      <c r="AS7" s="35" t="s">
        <v>47</v>
      </c>
      <c r="AT7" s="36">
        <f t="shared" si="6"/>
        <v>3749825.5191000002</v>
      </c>
      <c r="AU7" s="36">
        <f t="shared" ca="1" si="7"/>
        <v>4257846.1332263397</v>
      </c>
      <c r="AV7" s="37">
        <f t="shared" ca="1" si="8"/>
        <v>0.13547846734166713</v>
      </c>
    </row>
    <row r="8" spans="1:48" ht="11.25" customHeight="1" x14ac:dyDescent="0.25">
      <c r="A8" s="4" t="s">
        <v>28</v>
      </c>
      <c r="B8" s="4" t="s">
        <v>42</v>
      </c>
      <c r="C8" s="4" t="s">
        <v>34</v>
      </c>
      <c r="D8" s="4" t="s">
        <v>43</v>
      </c>
      <c r="E8" s="4" t="s">
        <v>25</v>
      </c>
      <c r="F8" s="4" t="s">
        <v>25</v>
      </c>
      <c r="G8" s="4" t="s">
        <v>25</v>
      </c>
      <c r="H8" s="4" t="s">
        <v>25</v>
      </c>
      <c r="I8" s="5">
        <v>44621</v>
      </c>
      <c r="J8" s="6">
        <v>633</v>
      </c>
      <c r="K8" s="6">
        <v>633</v>
      </c>
      <c r="L8" s="6">
        <v>0</v>
      </c>
      <c r="M8" s="6">
        <v>0</v>
      </c>
      <c r="N8" s="6">
        <v>0</v>
      </c>
      <c r="O8" s="6">
        <v>0</v>
      </c>
      <c r="P8" s="6">
        <v>6</v>
      </c>
      <c r="Q8" s="4" t="s">
        <v>26</v>
      </c>
      <c r="R8" s="4">
        <v>0</v>
      </c>
      <c r="S8" s="6">
        <v>6</v>
      </c>
      <c r="T8" s="6">
        <v>0</v>
      </c>
      <c r="U8" s="6">
        <v>0</v>
      </c>
      <c r="V8" s="6">
        <f>IF(ISERROR(VLOOKUP($S$8,'TAR FIN'!$A$1:$O$103,15,0)),0,VLOOKUP($S$8,'TAR FIN'!$A$1:$O$103,15,0))</f>
        <v>12.42</v>
      </c>
      <c r="W8" s="6">
        <f>IF(ISERROR(VLOOKUP($T$8,'TAR FIN'!$A$1:$O$103,15,0)),0,VLOOKUP($T$8,'TAR FIN'!$A$1:$O$103,15,0))</f>
        <v>0</v>
      </c>
      <c r="X8" s="6">
        <f>IF(ISERROR(VLOOKUP($U$8,'TAR FIN'!$A$1:$O$103,15,0)),0,VLOOKUP($U$8,'TAR FIN'!$A$1:$O$103,15,0))</f>
        <v>0</v>
      </c>
      <c r="Y8" s="6">
        <f ca="1">('TUSD BE'!$AM$10+'TUSD BF'!$AM$10+'TUSD CVA'!$AM$10)*1</f>
        <v>16.518304697547443</v>
      </c>
      <c r="Z8" s="6"/>
      <c r="AA8" s="6"/>
      <c r="AB8" s="6">
        <f>$K$8*$V$8</f>
        <v>7861.86</v>
      </c>
      <c r="AC8" s="6">
        <f>$M$8*$W$8</f>
        <v>0</v>
      </c>
      <c r="AD8" s="6">
        <f>$O$8*$X$8</f>
        <v>0</v>
      </c>
      <c r="AE8" s="6">
        <f ca="1">$K$8*$Y$8</f>
        <v>10456.086873547531</v>
      </c>
      <c r="AF8" s="6">
        <f>$M$8*$Z$8</f>
        <v>0</v>
      </c>
      <c r="AG8" s="6">
        <f>$O$8*$AA$8</f>
        <v>0</v>
      </c>
      <c r="AI8" s="35" t="s">
        <v>760</v>
      </c>
      <c r="AJ8" s="36">
        <f>+$AJ$2+$AJ$3</f>
        <v>32184423.952160206</v>
      </c>
      <c r="AK8" s="36">
        <f ca="1">+$AK$2+$AK$3</f>
        <v>46887195.129766166</v>
      </c>
      <c r="AL8" s="37">
        <f t="shared" ca="1" si="2"/>
        <v>0.45682878150811579</v>
      </c>
      <c r="AN8" s="35" t="s">
        <v>760</v>
      </c>
      <c r="AO8" s="36">
        <f>+$AO$2+$AO$3</f>
        <v>17262628.814990796</v>
      </c>
      <c r="AP8" s="36">
        <f>+$AP$2+$AP$3</f>
        <v>15777357.811049357</v>
      </c>
      <c r="AQ8" s="37">
        <f t="shared" si="5"/>
        <v>-8.6039676798914666E-2</v>
      </c>
      <c r="AS8" s="35" t="s">
        <v>760</v>
      </c>
      <c r="AT8" s="36">
        <f>+$AT$2+$AT$3</f>
        <v>49447052.767150998</v>
      </c>
      <c r="AU8" s="36">
        <f ca="1">+$AU$2+$AU$3</f>
        <v>62664552.940815523</v>
      </c>
      <c r="AV8" s="37">
        <f t="shared" ca="1" si="8"/>
        <v>0.26730612713980118</v>
      </c>
    </row>
    <row r="9" spans="1:48" ht="11.25" customHeight="1" x14ac:dyDescent="0.25">
      <c r="A9" s="4" t="s">
        <v>28</v>
      </c>
      <c r="B9" s="4" t="s">
        <v>42</v>
      </c>
      <c r="C9" s="4" t="s">
        <v>34</v>
      </c>
      <c r="D9" s="4" t="s">
        <v>43</v>
      </c>
      <c r="E9" s="4" t="s">
        <v>25</v>
      </c>
      <c r="F9" s="4" t="s">
        <v>25</v>
      </c>
      <c r="G9" s="4" t="s">
        <v>25</v>
      </c>
      <c r="H9" s="4" t="s">
        <v>25</v>
      </c>
      <c r="I9" s="5">
        <v>44652</v>
      </c>
      <c r="J9" s="6">
        <v>631</v>
      </c>
      <c r="K9" s="6">
        <v>631</v>
      </c>
      <c r="L9" s="6">
        <v>0</v>
      </c>
      <c r="M9" s="6">
        <v>0</v>
      </c>
      <c r="N9" s="6">
        <v>0</v>
      </c>
      <c r="O9" s="6">
        <v>0</v>
      </c>
      <c r="P9" s="6">
        <v>6</v>
      </c>
      <c r="Q9" s="4" t="s">
        <v>26</v>
      </c>
      <c r="R9" s="4">
        <v>0</v>
      </c>
      <c r="S9" s="6">
        <v>6</v>
      </c>
      <c r="T9" s="6">
        <v>0</v>
      </c>
      <c r="U9" s="6">
        <v>0</v>
      </c>
      <c r="V9" s="6">
        <f>IF(ISERROR(VLOOKUP($S$9,'TAR FIN'!$A$1:$O$103,15,0)),0,VLOOKUP($S$9,'TAR FIN'!$A$1:$O$103,15,0))</f>
        <v>12.42</v>
      </c>
      <c r="W9" s="6">
        <f>IF(ISERROR(VLOOKUP($T$9,'TAR FIN'!$A$1:$O$103,15,0)),0,VLOOKUP($T$9,'TAR FIN'!$A$1:$O$103,15,0))</f>
        <v>0</v>
      </c>
      <c r="X9" s="6">
        <f>IF(ISERROR(VLOOKUP($U$9,'TAR FIN'!$A$1:$O$103,15,0)),0,VLOOKUP($U$9,'TAR FIN'!$A$1:$O$103,15,0))</f>
        <v>0</v>
      </c>
      <c r="Y9" s="6">
        <f ca="1">('TUSD BE'!$AM$10+'TUSD BF'!$AM$10+'TUSD CVA'!$AM$10)*1</f>
        <v>16.518304697547443</v>
      </c>
      <c r="Z9" s="6"/>
      <c r="AA9" s="6"/>
      <c r="AB9" s="6">
        <f>$K$9*$V$9</f>
        <v>7837.0199999999995</v>
      </c>
      <c r="AC9" s="6">
        <f>$M$9*$W$9</f>
        <v>0</v>
      </c>
      <c r="AD9" s="6">
        <f>$O$9*$X$9</f>
        <v>0</v>
      </c>
      <c r="AE9" s="6">
        <f ca="1">$K$9*$Y$9</f>
        <v>10423.050264152436</v>
      </c>
      <c r="AF9" s="6">
        <f>$M$9*$Z$9</f>
        <v>0</v>
      </c>
      <c r="AG9" s="6">
        <f>$O$9*$AA$9</f>
        <v>0</v>
      </c>
      <c r="AI9" s="35" t="s">
        <v>81</v>
      </c>
      <c r="AJ9" s="36">
        <f>+$AJ$4+$AJ$5+$AJ$6+$AJ$7</f>
        <v>34875321.082049206</v>
      </c>
      <c r="AK9" s="36">
        <f ca="1">+$AK$4+$AK$5+$AK$6+$AK$7</f>
        <v>46877505.855906002</v>
      </c>
      <c r="AL9" s="37">
        <f t="shared" ca="1" si="2"/>
        <v>0.34414549892228763</v>
      </c>
      <c r="AN9" s="35" t="s">
        <v>81</v>
      </c>
      <c r="AO9" s="36">
        <f>+$AO$4+$AO$5+$AO$6+$AO$7</f>
        <v>37720969.423357978</v>
      </c>
      <c r="AP9" s="36">
        <f>+$AP$4+$AP$5+$AP$6+$AP$7</f>
        <v>35628247.418953054</v>
      </c>
      <c r="AQ9" s="37">
        <f t="shared" si="5"/>
        <v>-5.54790090603835E-2</v>
      </c>
      <c r="AS9" s="35" t="s">
        <v>81</v>
      </c>
      <c r="AT9" s="36">
        <f>+$AT$4+$AT$5+$AT$6+$AT$7</f>
        <v>72596290.505407169</v>
      </c>
      <c r="AU9" s="36">
        <f ca="1">+$AU$4+$AU$5+$AU$6+$AU$7</f>
        <v>82505753.274859041</v>
      </c>
      <c r="AV9" s="37">
        <f t="shared" ca="1" si="8"/>
        <v>0.13650095205227863</v>
      </c>
    </row>
    <row r="10" spans="1:48" ht="11.25" customHeight="1" x14ac:dyDescent="0.25">
      <c r="A10" s="4" t="s">
        <v>28</v>
      </c>
      <c r="B10" s="4" t="s">
        <v>42</v>
      </c>
      <c r="C10" s="4" t="s">
        <v>34</v>
      </c>
      <c r="D10" s="4" t="s">
        <v>43</v>
      </c>
      <c r="E10" s="4" t="s">
        <v>25</v>
      </c>
      <c r="F10" s="4" t="s">
        <v>25</v>
      </c>
      <c r="G10" s="4" t="s">
        <v>25</v>
      </c>
      <c r="H10" s="4" t="s">
        <v>25</v>
      </c>
      <c r="I10" s="5">
        <v>44682</v>
      </c>
      <c r="J10" s="6">
        <v>648</v>
      </c>
      <c r="K10" s="6">
        <v>648</v>
      </c>
      <c r="L10" s="6">
        <v>0</v>
      </c>
      <c r="M10" s="6">
        <v>0</v>
      </c>
      <c r="N10" s="6">
        <v>0</v>
      </c>
      <c r="O10" s="6">
        <v>0</v>
      </c>
      <c r="P10" s="6">
        <v>6</v>
      </c>
      <c r="Q10" s="4" t="s">
        <v>26</v>
      </c>
      <c r="R10" s="4">
        <v>0</v>
      </c>
      <c r="S10" s="6">
        <v>6</v>
      </c>
      <c r="T10" s="6">
        <v>0</v>
      </c>
      <c r="U10" s="6">
        <v>0</v>
      </c>
      <c r="V10" s="6">
        <f>IF(ISERROR(VLOOKUP($S$10,'TAR FIN'!$A$1:$O$103,15,0)),0,VLOOKUP($S$10,'TAR FIN'!$A$1:$O$103,15,0))</f>
        <v>12.42</v>
      </c>
      <c r="W10" s="6">
        <f>IF(ISERROR(VLOOKUP($T$10,'TAR FIN'!$A$1:$O$103,15,0)),0,VLOOKUP($T$10,'TAR FIN'!$A$1:$O$103,15,0))</f>
        <v>0</v>
      </c>
      <c r="X10" s="6">
        <f>IF(ISERROR(VLOOKUP($U$10,'TAR FIN'!$A$1:$O$103,15,0)),0,VLOOKUP($U$10,'TAR FIN'!$A$1:$O$103,15,0))</f>
        <v>0</v>
      </c>
      <c r="Y10" s="6">
        <f ca="1">('TUSD BE'!$AM$10+'TUSD BF'!$AM$10+'TUSD CVA'!$AM$10)*1</f>
        <v>16.518304697547443</v>
      </c>
      <c r="Z10" s="6"/>
      <c r="AA10" s="6"/>
      <c r="AB10" s="6">
        <f>$K$10*$V$10</f>
        <v>8048.16</v>
      </c>
      <c r="AC10" s="6">
        <f>$M$10*$W$10</f>
        <v>0</v>
      </c>
      <c r="AD10" s="6">
        <f>$O$10*$X$10</f>
        <v>0</v>
      </c>
      <c r="AE10" s="6">
        <f ca="1">$K$10*$Y$10</f>
        <v>10703.861444010743</v>
      </c>
      <c r="AF10" s="6">
        <f>$M$10*$Z$10</f>
        <v>0</v>
      </c>
      <c r="AG10" s="6">
        <f>$O$10*$AA$10</f>
        <v>0</v>
      </c>
      <c r="AI10" s="35" t="s">
        <v>761</v>
      </c>
      <c r="AJ10" s="36">
        <f>AJ9+AJ8</f>
        <v>67059745.034209415</v>
      </c>
      <c r="AK10" s="36">
        <f ca="1">AK9+AK8</f>
        <v>93764700.985672176</v>
      </c>
      <c r="AL10" s="37">
        <f t="shared" ca="1" si="2"/>
        <v>0.39822632695426541</v>
      </c>
      <c r="AN10" s="35" t="s">
        <v>761</v>
      </c>
      <c r="AO10" s="36">
        <f>AO9+AO8</f>
        <v>54983598.238348775</v>
      </c>
      <c r="AP10" s="36">
        <f>AP9+AP8</f>
        <v>51405605.230002411</v>
      </c>
      <c r="AQ10" s="37">
        <f t="shared" si="5"/>
        <v>-6.5073824249116896E-2</v>
      </c>
      <c r="AS10" s="35" t="s">
        <v>761</v>
      </c>
      <c r="AT10" s="36">
        <f>AT9+AT8</f>
        <v>122043343.27255817</v>
      </c>
      <c r="AU10" s="36">
        <f ca="1">AU9+AU8</f>
        <v>145170306.21567458</v>
      </c>
      <c r="AV10" s="37">
        <f t="shared" ca="1" si="8"/>
        <v>0.18949794657351537</v>
      </c>
    </row>
    <row r="11" spans="1:48" ht="11.25" customHeight="1" x14ac:dyDescent="0.25">
      <c r="A11" s="4" t="s">
        <v>28</v>
      </c>
      <c r="B11" s="4" t="s">
        <v>42</v>
      </c>
      <c r="C11" s="4" t="s">
        <v>34</v>
      </c>
      <c r="D11" s="4" t="s">
        <v>43</v>
      </c>
      <c r="E11" s="4" t="s">
        <v>25</v>
      </c>
      <c r="F11" s="4" t="s">
        <v>25</v>
      </c>
      <c r="G11" s="4" t="s">
        <v>25</v>
      </c>
      <c r="H11" s="4" t="s">
        <v>37</v>
      </c>
      <c r="I11" s="5">
        <v>44562</v>
      </c>
      <c r="J11" s="6">
        <v>0</v>
      </c>
      <c r="K11" s="6">
        <v>0</v>
      </c>
      <c r="L11" s="6">
        <v>3.0000000000000001E-3</v>
      </c>
      <c r="M11" s="6">
        <v>3.0000000000000001E-3</v>
      </c>
      <c r="N11" s="6">
        <v>3.0000000000000001E-3</v>
      </c>
      <c r="O11" s="6">
        <v>3.0000000000000001E-3</v>
      </c>
      <c r="P11" s="6">
        <v>0</v>
      </c>
      <c r="Q11" s="4" t="s">
        <v>26</v>
      </c>
      <c r="R11" s="4">
        <v>0</v>
      </c>
      <c r="S11" s="6">
        <v>0</v>
      </c>
      <c r="T11" s="6">
        <v>7</v>
      </c>
      <c r="U11" s="6">
        <v>62</v>
      </c>
      <c r="V11" s="6">
        <f>IF(ISERROR(VLOOKUP($S$11,'TAR FIN'!$A$1:$O$103,15,0)),0,VLOOKUP($S$11,'TAR FIN'!$A$1:$O$103,15,0))</f>
        <v>0</v>
      </c>
      <c r="W11" s="6">
        <f>IF(ISERROR(VLOOKUP($T$11,'TAR FIN'!$A$1:$O$103,15,0)),0,VLOOKUP($T$11,'TAR FIN'!$A$1:$O$103,15,0))</f>
        <v>842.31</v>
      </c>
      <c r="X11" s="6">
        <f>IF(ISERROR(VLOOKUP($U$11,'TAR FIN'!$A$1:$O$103,15,0)),0,VLOOKUP($U$11,'TAR FIN'!$A$1:$O$103,15,0))</f>
        <v>454.9</v>
      </c>
      <c r="Y11" s="6"/>
      <c r="Z11" s="6">
        <f ca="1">('TUSD BE'!$AM$11+'TUSD BF'!$AM$11+'TUSD CVA'!$AM$11)*1</f>
        <v>1146.3801365962368</v>
      </c>
      <c r="AA11" s="6">
        <f>('TE BE'!$AB$5+'TE BF'!$AB$5+'TE CVA'!$AB$5)*1</f>
        <v>415.05449050541699</v>
      </c>
      <c r="AB11" s="6">
        <f>$K$11*$V$11</f>
        <v>0</v>
      </c>
      <c r="AC11" s="6">
        <f>$M$11*$W$11</f>
        <v>2.5269299999999997</v>
      </c>
      <c r="AD11" s="6">
        <f>$O$11*$X$11</f>
        <v>1.3647</v>
      </c>
      <c r="AE11" s="6">
        <f>$K$11*$Y$11</f>
        <v>0</v>
      </c>
      <c r="AF11" s="6">
        <f ca="1">$M$11*$Z$11</f>
        <v>3.4391404097887102</v>
      </c>
      <c r="AG11" s="6">
        <f>$O$11*$AA$11</f>
        <v>1.245163471516251</v>
      </c>
    </row>
    <row r="12" spans="1:48" ht="11.25" customHeight="1" x14ac:dyDescent="0.25">
      <c r="A12" s="4" t="s">
        <v>28</v>
      </c>
      <c r="B12" s="4" t="s">
        <v>42</v>
      </c>
      <c r="C12" s="4" t="s">
        <v>34</v>
      </c>
      <c r="D12" s="4" t="s">
        <v>43</v>
      </c>
      <c r="E12" s="4" t="s">
        <v>25</v>
      </c>
      <c r="F12" s="4" t="s">
        <v>25</v>
      </c>
      <c r="G12" s="4" t="s">
        <v>25</v>
      </c>
      <c r="H12" s="4" t="s">
        <v>37</v>
      </c>
      <c r="I12" s="5">
        <v>44593</v>
      </c>
      <c r="J12" s="6">
        <v>0</v>
      </c>
      <c r="K12" s="6">
        <v>0</v>
      </c>
      <c r="L12" s="6">
        <v>2E-3</v>
      </c>
      <c r="M12" s="6">
        <v>2E-3</v>
      </c>
      <c r="N12" s="6">
        <v>2E-3</v>
      </c>
      <c r="O12" s="6">
        <v>2E-3</v>
      </c>
      <c r="P12" s="6">
        <v>0</v>
      </c>
      <c r="Q12" s="4" t="s">
        <v>26</v>
      </c>
      <c r="R12" s="4">
        <v>0</v>
      </c>
      <c r="S12" s="6">
        <v>0</v>
      </c>
      <c r="T12" s="6">
        <v>7</v>
      </c>
      <c r="U12" s="6">
        <v>62</v>
      </c>
      <c r="V12" s="6">
        <f>IF(ISERROR(VLOOKUP($S$12,'TAR FIN'!$A$1:$O$103,15,0)),0,VLOOKUP($S$12,'TAR FIN'!$A$1:$O$103,15,0))</f>
        <v>0</v>
      </c>
      <c r="W12" s="6">
        <f>IF(ISERROR(VLOOKUP($T$12,'TAR FIN'!$A$1:$O$103,15,0)),0,VLOOKUP($T$12,'TAR FIN'!$A$1:$O$103,15,0))</f>
        <v>842.31</v>
      </c>
      <c r="X12" s="6">
        <f>IF(ISERROR(VLOOKUP($U$12,'TAR FIN'!$A$1:$O$103,15,0)),0,VLOOKUP($U$12,'TAR FIN'!$A$1:$O$103,15,0))</f>
        <v>454.9</v>
      </c>
      <c r="Y12" s="6"/>
      <c r="Z12" s="6">
        <f ca="1">('TUSD BE'!$AM$11+'TUSD BF'!$AM$11+'TUSD CVA'!$AM$11)*1</f>
        <v>1146.3801365962368</v>
      </c>
      <c r="AA12" s="6">
        <f>('TE BE'!$AB$5+'TE BF'!$AB$5+'TE CVA'!$AB$5)*1</f>
        <v>415.05449050541699</v>
      </c>
      <c r="AB12" s="6">
        <f>$K$12*$V$12</f>
        <v>0</v>
      </c>
      <c r="AC12" s="6">
        <f>$M$12*$W$12</f>
        <v>1.68462</v>
      </c>
      <c r="AD12" s="6">
        <f>$O$12*$X$12</f>
        <v>0.90979999999999994</v>
      </c>
      <c r="AE12" s="6">
        <f>$K$12*$Y$12</f>
        <v>0</v>
      </c>
      <c r="AF12" s="6">
        <f ca="1">$M$12*$Z$12</f>
        <v>2.2927602731924734</v>
      </c>
      <c r="AG12" s="6">
        <f>$O$12*$AA$12</f>
        <v>0.83010898101083397</v>
      </c>
      <c r="AS12" s="4" t="str">
        <f>AS8</f>
        <v>A</v>
      </c>
      <c r="AT12" s="113">
        <f ca="1">AV8</f>
        <v>0.26730612713980118</v>
      </c>
    </row>
    <row r="13" spans="1:48" ht="11.25" customHeight="1" x14ac:dyDescent="0.25">
      <c r="A13" s="4" t="s">
        <v>28</v>
      </c>
      <c r="B13" s="4" t="s">
        <v>42</v>
      </c>
      <c r="C13" s="4" t="s">
        <v>34</v>
      </c>
      <c r="D13" s="4" t="s">
        <v>43</v>
      </c>
      <c r="E13" s="4" t="s">
        <v>25</v>
      </c>
      <c r="F13" s="4" t="s">
        <v>25</v>
      </c>
      <c r="G13" s="4" t="s">
        <v>25</v>
      </c>
      <c r="H13" s="4" t="s">
        <v>37</v>
      </c>
      <c r="I13" s="5">
        <v>44621</v>
      </c>
      <c r="J13" s="6">
        <v>0</v>
      </c>
      <c r="K13" s="6">
        <v>0</v>
      </c>
      <c r="L13" s="6">
        <v>1E-3</v>
      </c>
      <c r="M13" s="6">
        <v>1E-3</v>
      </c>
      <c r="N13" s="6">
        <v>1E-3</v>
      </c>
      <c r="O13" s="6">
        <v>1E-3</v>
      </c>
      <c r="P13" s="6">
        <v>0</v>
      </c>
      <c r="Q13" s="4" t="s">
        <v>26</v>
      </c>
      <c r="R13" s="4">
        <v>0</v>
      </c>
      <c r="S13" s="6">
        <v>0</v>
      </c>
      <c r="T13" s="6">
        <v>7</v>
      </c>
      <c r="U13" s="6">
        <v>62</v>
      </c>
      <c r="V13" s="6">
        <f>IF(ISERROR(VLOOKUP($S$13,'TAR FIN'!$A$1:$O$103,15,0)),0,VLOOKUP($S$13,'TAR FIN'!$A$1:$O$103,15,0))</f>
        <v>0</v>
      </c>
      <c r="W13" s="6">
        <f>IF(ISERROR(VLOOKUP($T$13,'TAR FIN'!$A$1:$O$103,15,0)),0,VLOOKUP($T$13,'TAR FIN'!$A$1:$O$103,15,0))</f>
        <v>842.31</v>
      </c>
      <c r="X13" s="6">
        <f>IF(ISERROR(VLOOKUP($U$13,'TAR FIN'!$A$1:$O$103,15,0)),0,VLOOKUP($U$13,'TAR FIN'!$A$1:$O$103,15,0))</f>
        <v>454.9</v>
      </c>
      <c r="Y13" s="6"/>
      <c r="Z13" s="6">
        <f ca="1">('TUSD BE'!$AM$11+'TUSD BF'!$AM$11+'TUSD CVA'!$AM$11)*1</f>
        <v>1146.3801365962368</v>
      </c>
      <c r="AA13" s="6">
        <f>('TE BE'!$AB$5+'TE BF'!$AB$5+'TE CVA'!$AB$5)*1</f>
        <v>415.05449050541699</v>
      </c>
      <c r="AB13" s="6">
        <f>$K$13*$V$13</f>
        <v>0</v>
      </c>
      <c r="AC13" s="6">
        <f>$M$13*$W$13</f>
        <v>0.84231</v>
      </c>
      <c r="AD13" s="6">
        <f>$O$13*$X$13</f>
        <v>0.45489999999999997</v>
      </c>
      <c r="AE13" s="6">
        <f>$K$13*$Y$13</f>
        <v>0</v>
      </c>
      <c r="AF13" s="6">
        <f ca="1">$M$13*$Z$13</f>
        <v>1.1463801365962367</v>
      </c>
      <c r="AG13" s="6">
        <f>$O$13*$AA$13</f>
        <v>0.41505449050541698</v>
      </c>
      <c r="AS13" s="4" t="str">
        <f t="shared" ref="AS13:AS14" si="9">AS9</f>
        <v>B</v>
      </c>
      <c r="AT13" s="113">
        <f t="shared" ref="AT13:AT14" ca="1" si="10">AV9</f>
        <v>0.13650095205227863</v>
      </c>
      <c r="AU13" s="65">
        <f ca="1">AU10+SUM(SUBSIDIO!AJ2:AJ9)</f>
        <v>149815229.83775449</v>
      </c>
    </row>
    <row r="14" spans="1:48" ht="11.25" customHeight="1" x14ac:dyDescent="0.25">
      <c r="A14" s="4" t="s">
        <v>28</v>
      </c>
      <c r="B14" s="4" t="s">
        <v>42</v>
      </c>
      <c r="C14" s="4" t="s">
        <v>34</v>
      </c>
      <c r="D14" s="4" t="s">
        <v>43</v>
      </c>
      <c r="E14" s="4" t="s">
        <v>25</v>
      </c>
      <c r="F14" s="4" t="s">
        <v>25</v>
      </c>
      <c r="G14" s="4" t="s">
        <v>25</v>
      </c>
      <c r="H14" s="4" t="s">
        <v>37</v>
      </c>
      <c r="I14" s="5">
        <v>44652</v>
      </c>
      <c r="J14" s="6">
        <v>0</v>
      </c>
      <c r="K14" s="6">
        <v>0</v>
      </c>
      <c r="L14" s="6">
        <v>1E-3</v>
      </c>
      <c r="M14" s="6">
        <v>1E-3</v>
      </c>
      <c r="N14" s="6">
        <v>1E-3</v>
      </c>
      <c r="O14" s="6">
        <v>1E-3</v>
      </c>
      <c r="P14" s="6">
        <v>0</v>
      </c>
      <c r="Q14" s="4" t="s">
        <v>26</v>
      </c>
      <c r="R14" s="4">
        <v>0</v>
      </c>
      <c r="S14" s="6">
        <v>0</v>
      </c>
      <c r="T14" s="6">
        <v>7</v>
      </c>
      <c r="U14" s="6">
        <v>62</v>
      </c>
      <c r="V14" s="6">
        <f>IF(ISERROR(VLOOKUP($S$14,'TAR FIN'!$A$1:$O$103,15,0)),0,VLOOKUP($S$14,'TAR FIN'!$A$1:$O$103,15,0))</f>
        <v>0</v>
      </c>
      <c r="W14" s="6">
        <f>IF(ISERROR(VLOOKUP($T$14,'TAR FIN'!$A$1:$O$103,15,0)),0,VLOOKUP($T$14,'TAR FIN'!$A$1:$O$103,15,0))</f>
        <v>842.31</v>
      </c>
      <c r="X14" s="6">
        <f>IF(ISERROR(VLOOKUP($U$14,'TAR FIN'!$A$1:$O$103,15,0)),0,VLOOKUP($U$14,'TAR FIN'!$A$1:$O$103,15,0))</f>
        <v>454.9</v>
      </c>
      <c r="Y14" s="6"/>
      <c r="Z14" s="6">
        <f ca="1">('TUSD BE'!$AM$11+'TUSD BF'!$AM$11+'TUSD CVA'!$AM$11)*1</f>
        <v>1146.3801365962368</v>
      </c>
      <c r="AA14" s="6">
        <f>('TE BE'!$AB$5+'TE BF'!$AB$5+'TE CVA'!$AB$5)*1</f>
        <v>415.05449050541699</v>
      </c>
      <c r="AB14" s="6">
        <f>$K$14*$V$14</f>
        <v>0</v>
      </c>
      <c r="AC14" s="6">
        <f>$M$14*$W$14</f>
        <v>0.84231</v>
      </c>
      <c r="AD14" s="6">
        <f>$O$14*$X$14</f>
        <v>0.45489999999999997</v>
      </c>
      <c r="AE14" s="6">
        <f>$K$14*$Y$14</f>
        <v>0</v>
      </c>
      <c r="AF14" s="6">
        <f ca="1">$M$14*$Z$14</f>
        <v>1.1463801365962367</v>
      </c>
      <c r="AG14" s="6">
        <f>$O$14*$AA$14</f>
        <v>0.41505449050541698</v>
      </c>
      <c r="AS14" s="4" t="str">
        <f t="shared" si="9"/>
        <v>A+B</v>
      </c>
      <c r="AT14" s="113">
        <f t="shared" ca="1" si="10"/>
        <v>0.18949794657351537</v>
      </c>
    </row>
    <row r="15" spans="1:48" ht="11.25" customHeight="1" x14ac:dyDescent="0.25">
      <c r="A15" s="4" t="s">
        <v>21</v>
      </c>
      <c r="B15" s="4" t="s">
        <v>42</v>
      </c>
      <c r="C15" s="4" t="s">
        <v>34</v>
      </c>
      <c r="D15" s="4" t="s">
        <v>40</v>
      </c>
      <c r="E15" s="4" t="s">
        <v>25</v>
      </c>
      <c r="F15" s="4" t="s">
        <v>54</v>
      </c>
      <c r="G15" s="4" t="s">
        <v>25</v>
      </c>
      <c r="H15" s="4" t="s">
        <v>35</v>
      </c>
      <c r="I15" s="5">
        <v>44348</v>
      </c>
      <c r="J15" s="6">
        <v>0</v>
      </c>
      <c r="K15" s="6">
        <v>0</v>
      </c>
      <c r="L15" s="6">
        <v>376.49400000000003</v>
      </c>
      <c r="M15" s="6">
        <v>376.49400000000003</v>
      </c>
      <c r="N15" s="6">
        <v>0</v>
      </c>
      <c r="O15" s="6">
        <v>0</v>
      </c>
      <c r="P15" s="6">
        <v>0</v>
      </c>
      <c r="Q15" s="4" t="s">
        <v>53</v>
      </c>
      <c r="R15" s="4">
        <v>0</v>
      </c>
      <c r="S15" s="6">
        <v>0</v>
      </c>
      <c r="T15" s="6">
        <v>8</v>
      </c>
      <c r="U15" s="6">
        <v>0</v>
      </c>
      <c r="V15" s="6">
        <f>IF(ISERROR(VLOOKUP($S$15,'TAR FIN'!$A$1:$O$103,15,0)),0,VLOOKUP($S$15,'TAR FIN'!$A$1:$O$103,15,0))</f>
        <v>0</v>
      </c>
      <c r="W15" s="6">
        <f>IF(ISERROR(VLOOKUP($T$15,'TAR FIN'!$A$1:$O$103,15,0)),0,VLOOKUP($T$15,'TAR FIN'!$A$1:$O$103,15,0))</f>
        <v>69.37</v>
      </c>
      <c r="X15" s="6">
        <f>IF(ISERROR(VLOOKUP($U$15,'TAR FIN'!$A$1:$O$103,15,0)),0,VLOOKUP($U$15,'TAR FIN'!$A$1:$O$103,15,0))</f>
        <v>0</v>
      </c>
      <c r="Y15" s="6"/>
      <c r="Z15" s="6">
        <f ca="1">('TUSD BE'!$AM$12+'TUSD BF'!$AM$12+'TUSD CVA'!$AM$12)*1</f>
        <v>111.236500713561</v>
      </c>
      <c r="AA15" s="6"/>
      <c r="AB15" s="6">
        <f>$K$15*$V$15</f>
        <v>0</v>
      </c>
      <c r="AC15" s="6">
        <f>$M$15*$W$15</f>
        <v>26117.388780000005</v>
      </c>
      <c r="AD15" s="6">
        <f>$O$15*$X$15</f>
        <v>0</v>
      </c>
      <c r="AE15" s="6">
        <f>$K$15*$Y$15</f>
        <v>0</v>
      </c>
      <c r="AF15" s="6">
        <f ca="1">$M$15*$Z$15</f>
        <v>41879.875099651435</v>
      </c>
      <c r="AG15" s="6">
        <f>$O$15*$AA$15</f>
        <v>0</v>
      </c>
      <c r="AU15" s="66">
        <f ca="1">CUSTOS!I48</f>
        <v>149815229.83775464</v>
      </c>
    </row>
    <row r="16" spans="1:48" ht="11.25" customHeight="1" x14ac:dyDescent="0.25">
      <c r="A16" s="4" t="s">
        <v>21</v>
      </c>
      <c r="B16" s="4" t="s">
        <v>42</v>
      </c>
      <c r="C16" s="4" t="s">
        <v>34</v>
      </c>
      <c r="D16" s="4" t="s">
        <v>40</v>
      </c>
      <c r="E16" s="4" t="s">
        <v>25</v>
      </c>
      <c r="F16" s="4" t="s">
        <v>54</v>
      </c>
      <c r="G16" s="4" t="s">
        <v>25</v>
      </c>
      <c r="H16" s="4" t="s">
        <v>35</v>
      </c>
      <c r="I16" s="5">
        <v>44378</v>
      </c>
      <c r="J16" s="6">
        <v>0</v>
      </c>
      <c r="K16" s="6">
        <v>0</v>
      </c>
      <c r="L16" s="6">
        <v>381.70499999999998</v>
      </c>
      <c r="M16" s="6">
        <v>381.70499999999998</v>
      </c>
      <c r="N16" s="6">
        <v>0</v>
      </c>
      <c r="O16" s="6">
        <v>0</v>
      </c>
      <c r="P16" s="6">
        <v>0</v>
      </c>
      <c r="Q16" s="4" t="s">
        <v>53</v>
      </c>
      <c r="R16" s="4">
        <v>0</v>
      </c>
      <c r="S16" s="6">
        <v>0</v>
      </c>
      <c r="T16" s="6">
        <v>8</v>
      </c>
      <c r="U16" s="6">
        <v>0</v>
      </c>
      <c r="V16" s="6">
        <f>IF(ISERROR(VLOOKUP($S$16,'TAR FIN'!$A$1:$O$103,15,0)),0,VLOOKUP($S$16,'TAR FIN'!$A$1:$O$103,15,0))</f>
        <v>0</v>
      </c>
      <c r="W16" s="6">
        <f>IF(ISERROR(VLOOKUP($T$16,'TAR FIN'!$A$1:$O$103,15,0)),0,VLOOKUP($T$16,'TAR FIN'!$A$1:$O$103,15,0))</f>
        <v>69.37</v>
      </c>
      <c r="X16" s="6">
        <f>IF(ISERROR(VLOOKUP($U$16,'TAR FIN'!$A$1:$O$103,15,0)),0,VLOOKUP($U$16,'TAR FIN'!$A$1:$O$103,15,0))</f>
        <v>0</v>
      </c>
      <c r="Y16" s="6"/>
      <c r="Z16" s="6">
        <f ca="1">('TUSD BE'!$AM$12+'TUSD BF'!$AM$12+'TUSD CVA'!$AM$12)*1</f>
        <v>111.236500713561</v>
      </c>
      <c r="AA16" s="6"/>
      <c r="AB16" s="6">
        <f>$K$16*$V$16</f>
        <v>0</v>
      </c>
      <c r="AC16" s="6">
        <f>$M$16*$W$16</f>
        <v>26478.87585</v>
      </c>
      <c r="AD16" s="6">
        <f>$O$16*$X$16</f>
        <v>0</v>
      </c>
      <c r="AE16" s="6">
        <f>$K$16*$Y$16</f>
        <v>0</v>
      </c>
      <c r="AF16" s="6">
        <f ca="1">$M$16*$Z$16</f>
        <v>42459.528504869799</v>
      </c>
      <c r="AG16" s="6">
        <f>$O$16*$AA$16</f>
        <v>0</v>
      </c>
    </row>
    <row r="17" spans="1:47" ht="11.25" customHeight="1" x14ac:dyDescent="0.25">
      <c r="A17" s="4" t="s">
        <v>21</v>
      </c>
      <c r="B17" s="4" t="s">
        <v>42</v>
      </c>
      <c r="C17" s="4" t="s">
        <v>34</v>
      </c>
      <c r="D17" s="4" t="s">
        <v>40</v>
      </c>
      <c r="E17" s="4" t="s">
        <v>25</v>
      </c>
      <c r="F17" s="4" t="s">
        <v>54</v>
      </c>
      <c r="G17" s="4" t="s">
        <v>25</v>
      </c>
      <c r="H17" s="4" t="s">
        <v>35</v>
      </c>
      <c r="I17" s="5">
        <v>44409</v>
      </c>
      <c r="J17" s="6">
        <v>0</v>
      </c>
      <c r="K17" s="6">
        <v>0</v>
      </c>
      <c r="L17" s="6">
        <v>336.59899999999999</v>
      </c>
      <c r="M17" s="6">
        <v>336.59899999999999</v>
      </c>
      <c r="N17" s="6">
        <v>0</v>
      </c>
      <c r="O17" s="6">
        <v>0</v>
      </c>
      <c r="P17" s="6">
        <v>0</v>
      </c>
      <c r="Q17" s="4" t="s">
        <v>53</v>
      </c>
      <c r="R17" s="4">
        <v>0</v>
      </c>
      <c r="S17" s="6">
        <v>0</v>
      </c>
      <c r="T17" s="6">
        <v>8</v>
      </c>
      <c r="U17" s="6">
        <v>0</v>
      </c>
      <c r="V17" s="6">
        <f>IF(ISERROR(VLOOKUP($S$17,'TAR FIN'!$A$1:$O$103,15,0)),0,VLOOKUP($S$17,'TAR FIN'!$A$1:$O$103,15,0))</f>
        <v>0</v>
      </c>
      <c r="W17" s="6">
        <f>IF(ISERROR(VLOOKUP($T$17,'TAR FIN'!$A$1:$O$103,15,0)),0,VLOOKUP($T$17,'TAR FIN'!$A$1:$O$103,15,0))</f>
        <v>69.37</v>
      </c>
      <c r="X17" s="6">
        <f>IF(ISERROR(VLOOKUP($U$17,'TAR FIN'!$A$1:$O$103,15,0)),0,VLOOKUP($U$17,'TAR FIN'!$A$1:$O$103,15,0))</f>
        <v>0</v>
      </c>
      <c r="Y17" s="6"/>
      <c r="Z17" s="6">
        <f ca="1">('TUSD BE'!$AM$12+'TUSD BF'!$AM$12+'TUSD CVA'!$AM$12)*1</f>
        <v>111.236500713561</v>
      </c>
      <c r="AA17" s="6"/>
      <c r="AB17" s="6">
        <f>$K$17*$V$17</f>
        <v>0</v>
      </c>
      <c r="AC17" s="6">
        <f>$M$17*$W$17</f>
        <v>23349.872630000002</v>
      </c>
      <c r="AD17" s="6">
        <f>$O$17*$X$17</f>
        <v>0</v>
      </c>
      <c r="AE17" s="6">
        <f>$K$17*$Y$17</f>
        <v>0</v>
      </c>
      <c r="AF17" s="6">
        <f ca="1">$M$17*$Z$17</f>
        <v>37442.094903683916</v>
      </c>
      <c r="AG17" s="6">
        <f>$O$17*$AA$17</f>
        <v>0</v>
      </c>
    </row>
    <row r="18" spans="1:47" ht="11.25" customHeight="1" x14ac:dyDescent="0.25">
      <c r="A18" s="4" t="s">
        <v>21</v>
      </c>
      <c r="B18" s="4" t="s">
        <v>42</v>
      </c>
      <c r="C18" s="4" t="s">
        <v>34</v>
      </c>
      <c r="D18" s="4" t="s">
        <v>40</v>
      </c>
      <c r="E18" s="4" t="s">
        <v>25</v>
      </c>
      <c r="F18" s="4" t="s">
        <v>54</v>
      </c>
      <c r="G18" s="4" t="s">
        <v>25</v>
      </c>
      <c r="H18" s="4" t="s">
        <v>35</v>
      </c>
      <c r="I18" s="5">
        <v>44440</v>
      </c>
      <c r="J18" s="6">
        <v>0</v>
      </c>
      <c r="K18" s="6">
        <v>0</v>
      </c>
      <c r="L18" s="6">
        <v>346.28800000000001</v>
      </c>
      <c r="M18" s="6">
        <v>346.28800000000001</v>
      </c>
      <c r="N18" s="6">
        <v>0</v>
      </c>
      <c r="O18" s="6">
        <v>0</v>
      </c>
      <c r="P18" s="6">
        <v>0</v>
      </c>
      <c r="Q18" s="4" t="s">
        <v>53</v>
      </c>
      <c r="R18" s="4">
        <v>0</v>
      </c>
      <c r="S18" s="6">
        <v>0</v>
      </c>
      <c r="T18" s="6">
        <v>8</v>
      </c>
      <c r="U18" s="6">
        <v>0</v>
      </c>
      <c r="V18" s="6">
        <f>IF(ISERROR(VLOOKUP($S$18,'TAR FIN'!$A$1:$O$103,15,0)),0,VLOOKUP($S$18,'TAR FIN'!$A$1:$O$103,15,0))</f>
        <v>0</v>
      </c>
      <c r="W18" s="6">
        <f>IF(ISERROR(VLOOKUP($T$18,'TAR FIN'!$A$1:$O$103,15,0)),0,VLOOKUP($T$18,'TAR FIN'!$A$1:$O$103,15,0))</f>
        <v>69.37</v>
      </c>
      <c r="X18" s="6">
        <f>IF(ISERROR(VLOOKUP($U$18,'TAR FIN'!$A$1:$O$103,15,0)),0,VLOOKUP($U$18,'TAR FIN'!$A$1:$O$103,15,0))</f>
        <v>0</v>
      </c>
      <c r="Y18" s="6"/>
      <c r="Z18" s="6">
        <f ca="1">('TUSD BE'!$AM$12+'TUSD BF'!$AM$12+'TUSD CVA'!$AM$12)*1</f>
        <v>111.236500713561</v>
      </c>
      <c r="AA18" s="6"/>
      <c r="AB18" s="6">
        <f>$K$18*$V$18</f>
        <v>0</v>
      </c>
      <c r="AC18" s="6">
        <f>$M$18*$W$18</f>
        <v>24021.998560000004</v>
      </c>
      <c r="AD18" s="6">
        <f>$O$18*$X$18</f>
        <v>0</v>
      </c>
      <c r="AE18" s="6">
        <f>$K$18*$Y$18</f>
        <v>0</v>
      </c>
      <c r="AF18" s="6">
        <f ca="1">$M$18*$Z$18</f>
        <v>38519.86535909761</v>
      </c>
      <c r="AG18" s="6">
        <f>$O$18*$AA$18</f>
        <v>0</v>
      </c>
      <c r="AU18" s="65">
        <f ca="1">AU13-AU15</f>
        <v>0</v>
      </c>
    </row>
    <row r="19" spans="1:47" ht="11.25" customHeight="1" x14ac:dyDescent="0.25">
      <c r="A19" s="4" t="s">
        <v>21</v>
      </c>
      <c r="B19" s="4" t="s">
        <v>42</v>
      </c>
      <c r="C19" s="4" t="s">
        <v>34</v>
      </c>
      <c r="D19" s="4" t="s">
        <v>40</v>
      </c>
      <c r="E19" s="4" t="s">
        <v>25</v>
      </c>
      <c r="F19" s="4" t="s">
        <v>54</v>
      </c>
      <c r="G19" s="4" t="s">
        <v>25</v>
      </c>
      <c r="H19" s="4" t="s">
        <v>35</v>
      </c>
      <c r="I19" s="5">
        <v>44470</v>
      </c>
      <c r="J19" s="6">
        <v>0</v>
      </c>
      <c r="K19" s="6">
        <v>0</v>
      </c>
      <c r="L19" s="6">
        <v>373.08699999999999</v>
      </c>
      <c r="M19" s="6">
        <v>373.08699999999999</v>
      </c>
      <c r="N19" s="6">
        <v>0</v>
      </c>
      <c r="O19" s="6">
        <v>0</v>
      </c>
      <c r="P19" s="6">
        <v>0</v>
      </c>
      <c r="Q19" s="4" t="s">
        <v>53</v>
      </c>
      <c r="R19" s="4">
        <v>0</v>
      </c>
      <c r="S19" s="6">
        <v>0</v>
      </c>
      <c r="T19" s="6">
        <v>8</v>
      </c>
      <c r="U19" s="6">
        <v>0</v>
      </c>
      <c r="V19" s="6">
        <f>IF(ISERROR(VLOOKUP($S$19,'TAR FIN'!$A$1:$O$103,15,0)),0,VLOOKUP($S$19,'TAR FIN'!$A$1:$O$103,15,0))</f>
        <v>0</v>
      </c>
      <c r="W19" s="6">
        <f>IF(ISERROR(VLOOKUP($T$19,'TAR FIN'!$A$1:$O$103,15,0)),0,VLOOKUP($T$19,'TAR FIN'!$A$1:$O$103,15,0))</f>
        <v>69.37</v>
      </c>
      <c r="X19" s="6">
        <f>IF(ISERROR(VLOOKUP($U$19,'TAR FIN'!$A$1:$O$103,15,0)),0,VLOOKUP($U$19,'TAR FIN'!$A$1:$O$103,15,0))</f>
        <v>0</v>
      </c>
      <c r="Y19" s="6"/>
      <c r="Z19" s="6">
        <f ca="1">('TUSD BE'!$AM$12+'TUSD BF'!$AM$12+'TUSD CVA'!$AM$12)*1</f>
        <v>111.236500713561</v>
      </c>
      <c r="AA19" s="6"/>
      <c r="AB19" s="6">
        <f>$K$19*$V$19</f>
        <v>0</v>
      </c>
      <c r="AC19" s="6">
        <f>$M$19*$W$19</f>
        <v>25881.045190000001</v>
      </c>
      <c r="AD19" s="6">
        <f>$O$19*$X$19</f>
        <v>0</v>
      </c>
      <c r="AE19" s="6">
        <f>$K$19*$Y$19</f>
        <v>0</v>
      </c>
      <c r="AF19" s="6">
        <f ca="1">$M$19*$Z$19</f>
        <v>41500.892341720333</v>
      </c>
      <c r="AG19" s="6">
        <f>$O$19*$AA$19</f>
        <v>0</v>
      </c>
    </row>
    <row r="20" spans="1:47" ht="11.25" customHeight="1" x14ac:dyDescent="0.25">
      <c r="A20" s="4" t="s">
        <v>21</v>
      </c>
      <c r="B20" s="4" t="s">
        <v>42</v>
      </c>
      <c r="C20" s="4" t="s">
        <v>34</v>
      </c>
      <c r="D20" s="4" t="s">
        <v>40</v>
      </c>
      <c r="E20" s="4" t="s">
        <v>25</v>
      </c>
      <c r="F20" s="4" t="s">
        <v>54</v>
      </c>
      <c r="G20" s="4" t="s">
        <v>25</v>
      </c>
      <c r="H20" s="4" t="s">
        <v>35</v>
      </c>
      <c r="I20" s="5">
        <v>44501</v>
      </c>
      <c r="J20" s="6">
        <v>0</v>
      </c>
      <c r="K20" s="6">
        <v>0</v>
      </c>
      <c r="L20" s="6">
        <v>314.17099999999999</v>
      </c>
      <c r="M20" s="6">
        <v>314.17099999999999</v>
      </c>
      <c r="N20" s="6">
        <v>0</v>
      </c>
      <c r="O20" s="6">
        <v>0</v>
      </c>
      <c r="P20" s="6">
        <v>0</v>
      </c>
      <c r="Q20" s="4" t="s">
        <v>53</v>
      </c>
      <c r="R20" s="4">
        <v>0</v>
      </c>
      <c r="S20" s="6">
        <v>0</v>
      </c>
      <c r="T20" s="6">
        <v>8</v>
      </c>
      <c r="U20" s="6">
        <v>0</v>
      </c>
      <c r="V20" s="6">
        <f>IF(ISERROR(VLOOKUP($S$20,'TAR FIN'!$A$1:$O$103,15,0)),0,VLOOKUP($S$20,'TAR FIN'!$A$1:$O$103,15,0))</f>
        <v>0</v>
      </c>
      <c r="W20" s="6">
        <f>IF(ISERROR(VLOOKUP($T$20,'TAR FIN'!$A$1:$O$103,15,0)),0,VLOOKUP($T$20,'TAR FIN'!$A$1:$O$103,15,0))</f>
        <v>69.37</v>
      </c>
      <c r="X20" s="6">
        <f>IF(ISERROR(VLOOKUP($U$20,'TAR FIN'!$A$1:$O$103,15,0)),0,VLOOKUP($U$20,'TAR FIN'!$A$1:$O$103,15,0))</f>
        <v>0</v>
      </c>
      <c r="Y20" s="6"/>
      <c r="Z20" s="6">
        <f ca="1">('TUSD BE'!$AM$12+'TUSD BF'!$AM$12+'TUSD CVA'!$AM$12)*1</f>
        <v>111.236500713561</v>
      </c>
      <c r="AA20" s="6"/>
      <c r="AB20" s="6">
        <f>$K$20*$V$20</f>
        <v>0</v>
      </c>
      <c r="AC20" s="6">
        <f>$M$20*$W$20</f>
        <v>21794.042270000002</v>
      </c>
      <c r="AD20" s="6">
        <f>$O$20*$X$20</f>
        <v>0</v>
      </c>
      <c r="AE20" s="6">
        <f>$K$20*$Y$20</f>
        <v>0</v>
      </c>
      <c r="AF20" s="6">
        <f ca="1">$M$20*$Z$20</f>
        <v>34947.28266568017</v>
      </c>
      <c r="AG20" s="6">
        <f>$O$20*$AA$20</f>
        <v>0</v>
      </c>
    </row>
    <row r="21" spans="1:47" ht="11.25" customHeight="1" x14ac:dyDescent="0.25">
      <c r="A21" s="4" t="s">
        <v>21</v>
      </c>
      <c r="B21" s="4" t="s">
        <v>42</v>
      </c>
      <c r="C21" s="4" t="s">
        <v>34</v>
      </c>
      <c r="D21" s="4" t="s">
        <v>40</v>
      </c>
      <c r="E21" s="4" t="s">
        <v>25</v>
      </c>
      <c r="F21" s="4" t="s">
        <v>54</v>
      </c>
      <c r="G21" s="4" t="s">
        <v>25</v>
      </c>
      <c r="H21" s="4" t="s">
        <v>35</v>
      </c>
      <c r="I21" s="5">
        <v>44531</v>
      </c>
      <c r="J21" s="6">
        <v>0</v>
      </c>
      <c r="K21" s="6">
        <v>0</v>
      </c>
      <c r="L21" s="6">
        <v>296.71800000000002</v>
      </c>
      <c r="M21" s="6">
        <v>296.71800000000002</v>
      </c>
      <c r="N21" s="6">
        <v>0</v>
      </c>
      <c r="O21" s="6">
        <v>0</v>
      </c>
      <c r="P21" s="6">
        <v>0</v>
      </c>
      <c r="Q21" s="4" t="s">
        <v>53</v>
      </c>
      <c r="R21" s="4">
        <v>0</v>
      </c>
      <c r="S21" s="6">
        <v>0</v>
      </c>
      <c r="T21" s="6">
        <v>8</v>
      </c>
      <c r="U21" s="6">
        <v>0</v>
      </c>
      <c r="V21" s="6">
        <f>IF(ISERROR(VLOOKUP($S$21,'TAR FIN'!$A$1:$O$103,15,0)),0,VLOOKUP($S$21,'TAR FIN'!$A$1:$O$103,15,0))</f>
        <v>0</v>
      </c>
      <c r="W21" s="6">
        <f>IF(ISERROR(VLOOKUP($T$21,'TAR FIN'!$A$1:$O$103,15,0)),0,VLOOKUP($T$21,'TAR FIN'!$A$1:$O$103,15,0))</f>
        <v>69.37</v>
      </c>
      <c r="X21" s="6">
        <f>IF(ISERROR(VLOOKUP($U$21,'TAR FIN'!$A$1:$O$103,15,0)),0,VLOOKUP($U$21,'TAR FIN'!$A$1:$O$103,15,0))</f>
        <v>0</v>
      </c>
      <c r="Y21" s="6"/>
      <c r="Z21" s="6">
        <f ca="1">('TUSD BE'!$AM$12+'TUSD BF'!$AM$12+'TUSD CVA'!$AM$12)*1</f>
        <v>111.236500713561</v>
      </c>
      <c r="AA21" s="6"/>
      <c r="AB21" s="6">
        <f>$K$21*$V$21</f>
        <v>0</v>
      </c>
      <c r="AC21" s="6">
        <f>$M$21*$W$21</f>
        <v>20583.327660000003</v>
      </c>
      <c r="AD21" s="6">
        <f>$O$21*$X$21</f>
        <v>0</v>
      </c>
      <c r="AE21" s="6">
        <f>$K$21*$Y$21</f>
        <v>0</v>
      </c>
      <c r="AF21" s="6">
        <f ca="1">$M$21*$Z$21</f>
        <v>33005.872018726397</v>
      </c>
      <c r="AG21" s="6">
        <f>$O$21*$AA$21</f>
        <v>0</v>
      </c>
    </row>
    <row r="22" spans="1:47" ht="11.25" customHeight="1" x14ac:dyDescent="0.25">
      <c r="A22" s="4" t="s">
        <v>21</v>
      </c>
      <c r="B22" s="4" t="s">
        <v>42</v>
      </c>
      <c r="C22" s="4" t="s">
        <v>34</v>
      </c>
      <c r="D22" s="4" t="s">
        <v>40</v>
      </c>
      <c r="E22" s="4" t="s">
        <v>25</v>
      </c>
      <c r="F22" s="4" t="s">
        <v>54</v>
      </c>
      <c r="G22" s="4" t="s">
        <v>25</v>
      </c>
      <c r="H22" s="4" t="s">
        <v>35</v>
      </c>
      <c r="I22" s="5">
        <v>44562</v>
      </c>
      <c r="J22" s="6">
        <v>0</v>
      </c>
      <c r="K22" s="6">
        <v>0</v>
      </c>
      <c r="L22" s="6">
        <v>302.404</v>
      </c>
      <c r="M22" s="6">
        <v>302.404</v>
      </c>
      <c r="N22" s="6">
        <v>0</v>
      </c>
      <c r="O22" s="6">
        <v>0</v>
      </c>
      <c r="P22" s="6">
        <v>0</v>
      </c>
      <c r="Q22" s="4" t="s">
        <v>53</v>
      </c>
      <c r="R22" s="4">
        <v>0</v>
      </c>
      <c r="S22" s="6">
        <v>0</v>
      </c>
      <c r="T22" s="6">
        <v>8</v>
      </c>
      <c r="U22" s="6">
        <v>0</v>
      </c>
      <c r="V22" s="6">
        <f>IF(ISERROR(VLOOKUP($S$22,'TAR FIN'!$A$1:$O$103,15,0)),0,VLOOKUP($S$22,'TAR FIN'!$A$1:$O$103,15,0))</f>
        <v>0</v>
      </c>
      <c r="W22" s="6">
        <f>IF(ISERROR(VLOOKUP($T$22,'TAR FIN'!$A$1:$O$103,15,0)),0,VLOOKUP($T$22,'TAR FIN'!$A$1:$O$103,15,0))</f>
        <v>69.37</v>
      </c>
      <c r="X22" s="6">
        <f>IF(ISERROR(VLOOKUP($U$22,'TAR FIN'!$A$1:$O$103,15,0)),0,VLOOKUP($U$22,'TAR FIN'!$A$1:$O$103,15,0))</f>
        <v>0</v>
      </c>
      <c r="Y22" s="6"/>
      <c r="Z22" s="6">
        <f ca="1">('TUSD BE'!$AM$12+'TUSD BF'!$AM$12+'TUSD CVA'!$AM$12)*1</f>
        <v>111.236500713561</v>
      </c>
      <c r="AA22" s="6"/>
      <c r="AB22" s="6">
        <f>$K$22*$V$22</f>
        <v>0</v>
      </c>
      <c r="AC22" s="6">
        <f>$M$22*$W$22</f>
        <v>20977.765480000002</v>
      </c>
      <c r="AD22" s="6">
        <f>$O$22*$X$22</f>
        <v>0</v>
      </c>
      <c r="AE22" s="6">
        <f>$K$22*$Y$22</f>
        <v>0</v>
      </c>
      <c r="AF22" s="6">
        <f ca="1">$M$22*$Z$22</f>
        <v>33638.362761783697</v>
      </c>
      <c r="AG22" s="6">
        <f>$O$22*$AA$22</f>
        <v>0</v>
      </c>
    </row>
    <row r="23" spans="1:47" ht="11.25" customHeight="1" x14ac:dyDescent="0.25">
      <c r="A23" s="4" t="s">
        <v>21</v>
      </c>
      <c r="B23" s="4" t="s">
        <v>42</v>
      </c>
      <c r="C23" s="4" t="s">
        <v>34</v>
      </c>
      <c r="D23" s="4" t="s">
        <v>40</v>
      </c>
      <c r="E23" s="4" t="s">
        <v>25</v>
      </c>
      <c r="F23" s="4" t="s">
        <v>54</v>
      </c>
      <c r="G23" s="4" t="s">
        <v>25</v>
      </c>
      <c r="H23" s="4" t="s">
        <v>35</v>
      </c>
      <c r="I23" s="5">
        <v>44593</v>
      </c>
      <c r="J23" s="6">
        <v>0</v>
      </c>
      <c r="K23" s="6">
        <v>0</v>
      </c>
      <c r="L23" s="6">
        <v>309.673</v>
      </c>
      <c r="M23" s="6">
        <v>309.673</v>
      </c>
      <c r="N23" s="6">
        <v>0</v>
      </c>
      <c r="O23" s="6">
        <v>0</v>
      </c>
      <c r="P23" s="6">
        <v>0</v>
      </c>
      <c r="Q23" s="4" t="s">
        <v>53</v>
      </c>
      <c r="R23" s="4">
        <v>0</v>
      </c>
      <c r="S23" s="6">
        <v>0</v>
      </c>
      <c r="T23" s="6">
        <v>8</v>
      </c>
      <c r="U23" s="6">
        <v>0</v>
      </c>
      <c r="V23" s="6">
        <f>IF(ISERROR(VLOOKUP($S$23,'TAR FIN'!$A$1:$O$103,15,0)),0,VLOOKUP($S$23,'TAR FIN'!$A$1:$O$103,15,0))</f>
        <v>0</v>
      </c>
      <c r="W23" s="6">
        <f>IF(ISERROR(VLOOKUP($T$23,'TAR FIN'!$A$1:$O$103,15,0)),0,VLOOKUP($T$23,'TAR FIN'!$A$1:$O$103,15,0))</f>
        <v>69.37</v>
      </c>
      <c r="X23" s="6">
        <f>IF(ISERROR(VLOOKUP($U$23,'TAR FIN'!$A$1:$O$103,15,0)),0,VLOOKUP($U$23,'TAR FIN'!$A$1:$O$103,15,0))</f>
        <v>0</v>
      </c>
      <c r="Y23" s="6"/>
      <c r="Z23" s="6">
        <f ca="1">('TUSD BE'!$AM$12+'TUSD BF'!$AM$12+'TUSD CVA'!$AM$12)*1</f>
        <v>111.236500713561</v>
      </c>
      <c r="AA23" s="6"/>
      <c r="AB23" s="6">
        <f>$K$23*$V$23</f>
        <v>0</v>
      </c>
      <c r="AC23" s="6">
        <f>$M$23*$W$23</f>
        <v>21482.016010000003</v>
      </c>
      <c r="AD23" s="6">
        <f>$O$23*$X$23</f>
        <v>0</v>
      </c>
      <c r="AE23" s="6">
        <f>$K$23*$Y$23</f>
        <v>0</v>
      </c>
      <c r="AF23" s="6">
        <f ca="1">$M$23*$Z$23</f>
        <v>34446.940885470576</v>
      </c>
      <c r="AG23" s="6">
        <f>$O$23*$AA$23</f>
        <v>0</v>
      </c>
    </row>
    <row r="24" spans="1:47" ht="11.25" customHeight="1" x14ac:dyDescent="0.25">
      <c r="A24" s="4" t="s">
        <v>21</v>
      </c>
      <c r="B24" s="4" t="s">
        <v>42</v>
      </c>
      <c r="C24" s="4" t="s">
        <v>34</v>
      </c>
      <c r="D24" s="4" t="s">
        <v>40</v>
      </c>
      <c r="E24" s="4" t="s">
        <v>25</v>
      </c>
      <c r="F24" s="4" t="s">
        <v>54</v>
      </c>
      <c r="G24" s="4" t="s">
        <v>25</v>
      </c>
      <c r="H24" s="4" t="s">
        <v>35</v>
      </c>
      <c r="I24" s="5">
        <v>44621</v>
      </c>
      <c r="J24" s="6">
        <v>0</v>
      </c>
      <c r="K24" s="6">
        <v>0</v>
      </c>
      <c r="L24" s="6">
        <v>315.755</v>
      </c>
      <c r="M24" s="6">
        <v>315.755</v>
      </c>
      <c r="N24" s="6">
        <v>0</v>
      </c>
      <c r="O24" s="6">
        <v>0</v>
      </c>
      <c r="P24" s="6">
        <v>0</v>
      </c>
      <c r="Q24" s="4" t="s">
        <v>53</v>
      </c>
      <c r="R24" s="4">
        <v>0</v>
      </c>
      <c r="S24" s="6">
        <v>0</v>
      </c>
      <c r="T24" s="6">
        <v>8</v>
      </c>
      <c r="U24" s="6">
        <v>0</v>
      </c>
      <c r="V24" s="6">
        <f>IF(ISERROR(VLOOKUP($S$24,'TAR FIN'!$A$1:$O$103,15,0)),0,VLOOKUP($S$24,'TAR FIN'!$A$1:$O$103,15,0))</f>
        <v>0</v>
      </c>
      <c r="W24" s="6">
        <f>IF(ISERROR(VLOOKUP($T$24,'TAR FIN'!$A$1:$O$103,15,0)),0,VLOOKUP($T$24,'TAR FIN'!$A$1:$O$103,15,0))</f>
        <v>69.37</v>
      </c>
      <c r="X24" s="6">
        <f>IF(ISERROR(VLOOKUP($U$24,'TAR FIN'!$A$1:$O$103,15,0)),0,VLOOKUP($U$24,'TAR FIN'!$A$1:$O$103,15,0))</f>
        <v>0</v>
      </c>
      <c r="Y24" s="6"/>
      <c r="Z24" s="6">
        <f ca="1">('TUSD BE'!$AM$12+'TUSD BF'!$AM$12+'TUSD CVA'!$AM$12)*1</f>
        <v>111.236500713561</v>
      </c>
      <c r="AA24" s="6"/>
      <c r="AB24" s="6">
        <f>$K$24*$V$24</f>
        <v>0</v>
      </c>
      <c r="AC24" s="6">
        <f>$M$24*$W$24</f>
        <v>21903.924350000001</v>
      </c>
      <c r="AD24" s="6">
        <f>$O$24*$X$24</f>
        <v>0</v>
      </c>
      <c r="AE24" s="6">
        <f>$K$24*$Y$24</f>
        <v>0</v>
      </c>
      <c r="AF24" s="6">
        <f ca="1">$M$24*$Z$24</f>
        <v>35123.481282810455</v>
      </c>
      <c r="AG24" s="6">
        <f>$O$24*$AA$24</f>
        <v>0</v>
      </c>
    </row>
    <row r="25" spans="1:47" ht="11.25" customHeight="1" x14ac:dyDescent="0.25">
      <c r="A25" s="4" t="s">
        <v>21</v>
      </c>
      <c r="B25" s="4" t="s">
        <v>42</v>
      </c>
      <c r="C25" s="4" t="s">
        <v>34</v>
      </c>
      <c r="D25" s="4" t="s">
        <v>40</v>
      </c>
      <c r="E25" s="4" t="s">
        <v>25</v>
      </c>
      <c r="F25" s="4" t="s">
        <v>54</v>
      </c>
      <c r="G25" s="4" t="s">
        <v>25</v>
      </c>
      <c r="H25" s="4" t="s">
        <v>35</v>
      </c>
      <c r="I25" s="5">
        <v>44652</v>
      </c>
      <c r="J25" s="6">
        <v>0</v>
      </c>
      <c r="K25" s="6">
        <v>0</v>
      </c>
      <c r="L25" s="6">
        <v>367.464</v>
      </c>
      <c r="M25" s="6">
        <v>367.464</v>
      </c>
      <c r="N25" s="6">
        <v>0</v>
      </c>
      <c r="O25" s="6">
        <v>0</v>
      </c>
      <c r="P25" s="6">
        <v>0</v>
      </c>
      <c r="Q25" s="4" t="s">
        <v>53</v>
      </c>
      <c r="R25" s="4">
        <v>0</v>
      </c>
      <c r="S25" s="6">
        <v>0</v>
      </c>
      <c r="T25" s="6">
        <v>8</v>
      </c>
      <c r="U25" s="6">
        <v>0</v>
      </c>
      <c r="V25" s="6">
        <f>IF(ISERROR(VLOOKUP($S$25,'TAR FIN'!$A$1:$O$103,15,0)),0,VLOOKUP($S$25,'TAR FIN'!$A$1:$O$103,15,0))</f>
        <v>0</v>
      </c>
      <c r="W25" s="6">
        <f>IF(ISERROR(VLOOKUP($T$25,'TAR FIN'!$A$1:$O$103,15,0)),0,VLOOKUP($T$25,'TAR FIN'!$A$1:$O$103,15,0))</f>
        <v>69.37</v>
      </c>
      <c r="X25" s="6">
        <f>IF(ISERROR(VLOOKUP($U$25,'TAR FIN'!$A$1:$O$103,15,0)),0,VLOOKUP($U$25,'TAR FIN'!$A$1:$O$103,15,0))</f>
        <v>0</v>
      </c>
      <c r="Y25" s="6"/>
      <c r="Z25" s="6">
        <f ca="1">('TUSD BE'!$AM$12+'TUSD BF'!$AM$12+'TUSD CVA'!$AM$12)*1</f>
        <v>111.236500713561</v>
      </c>
      <c r="AA25" s="6"/>
      <c r="AB25" s="6">
        <f>$K$25*$V$25</f>
        <v>0</v>
      </c>
      <c r="AC25" s="6">
        <f>$M$25*$W$25</f>
        <v>25490.97768</v>
      </c>
      <c r="AD25" s="6">
        <f>$O$25*$X$25</f>
        <v>0</v>
      </c>
      <c r="AE25" s="6">
        <f>$K$25*$Y$25</f>
        <v>0</v>
      </c>
      <c r="AF25" s="6">
        <f ca="1">$M$25*$Z$25</f>
        <v>40875.409498207977</v>
      </c>
      <c r="AG25" s="6">
        <f>$O$25*$AA$25</f>
        <v>0</v>
      </c>
    </row>
    <row r="26" spans="1:47" ht="11.25" customHeight="1" x14ac:dyDescent="0.25">
      <c r="A26" s="4" t="s">
        <v>21</v>
      </c>
      <c r="B26" s="4" t="s">
        <v>42</v>
      </c>
      <c r="C26" s="4" t="s">
        <v>34</v>
      </c>
      <c r="D26" s="4" t="s">
        <v>40</v>
      </c>
      <c r="E26" s="4" t="s">
        <v>25</v>
      </c>
      <c r="F26" s="4" t="s">
        <v>54</v>
      </c>
      <c r="G26" s="4" t="s">
        <v>25</v>
      </c>
      <c r="H26" s="4" t="s">
        <v>35</v>
      </c>
      <c r="I26" s="5">
        <v>44682</v>
      </c>
      <c r="J26" s="6">
        <v>0</v>
      </c>
      <c r="K26" s="6">
        <v>0</v>
      </c>
      <c r="L26" s="6">
        <v>918.67</v>
      </c>
      <c r="M26" s="6">
        <v>918.67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6">
        <v>0</v>
      </c>
      <c r="T26" s="6">
        <v>8</v>
      </c>
      <c r="U26" s="6">
        <v>0</v>
      </c>
      <c r="V26" s="6">
        <f>IF(ISERROR(VLOOKUP($S$26,'TAR FIN'!$A$1:$O$103,15,0)),0,VLOOKUP($S$26,'TAR FIN'!$A$1:$O$103,15,0))</f>
        <v>0</v>
      </c>
      <c r="W26" s="6">
        <f>IF(ISERROR(VLOOKUP($T$26,'TAR FIN'!$A$1:$O$103,15,0)),0,VLOOKUP($T$26,'TAR FIN'!$A$1:$O$103,15,0))</f>
        <v>69.37</v>
      </c>
      <c r="X26" s="6">
        <f>IF(ISERROR(VLOOKUP($U$26,'TAR FIN'!$A$1:$O$103,15,0)),0,VLOOKUP($U$26,'TAR FIN'!$A$1:$O$103,15,0))</f>
        <v>0</v>
      </c>
      <c r="Y26" s="6"/>
      <c r="Z26" s="6">
        <f ca="1">('TUSD BE'!$AM$12+'TUSD BF'!$AM$12+'TUSD CVA'!$AM$12)*1</f>
        <v>111.236500713561</v>
      </c>
      <c r="AA26" s="6"/>
      <c r="AB26" s="6">
        <f>$K$26*$V$26</f>
        <v>0</v>
      </c>
      <c r="AC26" s="6">
        <f>$M$26*$W$26</f>
        <v>63728.137900000002</v>
      </c>
      <c r="AD26" s="6">
        <f>$O$26*$X$26</f>
        <v>0</v>
      </c>
      <c r="AE26" s="6">
        <f>$K$26*$Y$26</f>
        <v>0</v>
      </c>
      <c r="AF26" s="6">
        <f ca="1">$M$26*$Z$26</f>
        <v>102189.63611052708</v>
      </c>
      <c r="AG26" s="6">
        <f>$O$26*$AA$26</f>
        <v>0</v>
      </c>
    </row>
    <row r="27" spans="1:47" ht="11.25" customHeight="1" x14ac:dyDescent="0.25">
      <c r="A27" s="4" t="s">
        <v>21</v>
      </c>
      <c r="B27" s="4" t="s">
        <v>42</v>
      </c>
      <c r="C27" s="4" t="s">
        <v>34</v>
      </c>
      <c r="D27" s="4" t="s">
        <v>40</v>
      </c>
      <c r="E27" s="4" t="s">
        <v>25</v>
      </c>
      <c r="F27" s="4" t="s">
        <v>54</v>
      </c>
      <c r="G27" s="4" t="s">
        <v>25</v>
      </c>
      <c r="H27" s="4" t="s">
        <v>25</v>
      </c>
      <c r="I27" s="5">
        <v>44348</v>
      </c>
      <c r="J27" s="6">
        <v>2450</v>
      </c>
      <c r="K27" s="6">
        <v>1225</v>
      </c>
      <c r="L27" s="6">
        <v>0</v>
      </c>
      <c r="M27" s="6">
        <v>0</v>
      </c>
      <c r="N27" s="6">
        <v>0</v>
      </c>
      <c r="O27" s="6">
        <v>0</v>
      </c>
      <c r="P27" s="6">
        <v>2</v>
      </c>
      <c r="Q27" s="4" t="s">
        <v>53</v>
      </c>
      <c r="R27" s="4">
        <v>0</v>
      </c>
      <c r="S27" s="6">
        <v>6</v>
      </c>
      <c r="T27" s="6">
        <v>0</v>
      </c>
      <c r="U27" s="6">
        <v>0</v>
      </c>
      <c r="V27" s="6">
        <f>IF(ISERROR(VLOOKUP($S$27,'TAR FIN'!$A$1:$O$103,15,0)),0,VLOOKUP($S$27,'TAR FIN'!$A$1:$O$103,15,0))</f>
        <v>12.42</v>
      </c>
      <c r="W27" s="6">
        <f>IF(ISERROR(VLOOKUP($T$27,'TAR FIN'!$A$1:$O$103,15,0)),0,VLOOKUP($T$27,'TAR FIN'!$A$1:$O$103,15,0))</f>
        <v>0</v>
      </c>
      <c r="X27" s="6">
        <f>IF(ISERROR(VLOOKUP($U$27,'TAR FIN'!$A$1:$O$103,15,0)),0,VLOOKUP($U$27,'TAR FIN'!$A$1:$O$103,15,0))</f>
        <v>0</v>
      </c>
      <c r="Y27" s="6">
        <f ca="1">('TUSD BE'!$AM$10+'TUSD BF'!$AM$10+'TUSD CVA'!$AM$10)*1</f>
        <v>16.518304697547443</v>
      </c>
      <c r="Z27" s="6"/>
      <c r="AA27" s="6"/>
      <c r="AB27" s="6">
        <f>$K$27*$V$27</f>
        <v>15214.5</v>
      </c>
      <c r="AC27" s="6">
        <f>$M$27*$W$27</f>
        <v>0</v>
      </c>
      <c r="AD27" s="6">
        <f>$O$27*$X$27</f>
        <v>0</v>
      </c>
      <c r="AE27" s="6">
        <f ca="1">$K$27*$Y$27</f>
        <v>20234.923254495618</v>
      </c>
      <c r="AF27" s="6">
        <f>$M$27*$Z$27</f>
        <v>0</v>
      </c>
      <c r="AG27" s="6">
        <f>$O$27*$AA$27</f>
        <v>0</v>
      </c>
    </row>
    <row r="28" spans="1:47" ht="11.25" customHeight="1" x14ac:dyDescent="0.25">
      <c r="A28" s="4" t="s">
        <v>21</v>
      </c>
      <c r="B28" s="4" t="s">
        <v>42</v>
      </c>
      <c r="C28" s="4" t="s">
        <v>34</v>
      </c>
      <c r="D28" s="4" t="s">
        <v>40</v>
      </c>
      <c r="E28" s="4" t="s">
        <v>25</v>
      </c>
      <c r="F28" s="4" t="s">
        <v>54</v>
      </c>
      <c r="G28" s="4" t="s">
        <v>25</v>
      </c>
      <c r="H28" s="4" t="s">
        <v>25</v>
      </c>
      <c r="I28" s="5">
        <v>44378</v>
      </c>
      <c r="J28" s="6">
        <v>2450</v>
      </c>
      <c r="K28" s="6">
        <v>1225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53</v>
      </c>
      <c r="R28" s="4">
        <v>0</v>
      </c>
      <c r="S28" s="6">
        <v>6</v>
      </c>
      <c r="T28" s="6">
        <v>0</v>
      </c>
      <c r="U28" s="6">
        <v>0</v>
      </c>
      <c r="V28" s="6">
        <f>IF(ISERROR(VLOOKUP($S$28,'TAR FIN'!$A$1:$O$103,15,0)),0,VLOOKUP($S$28,'TAR FIN'!$A$1:$O$103,15,0))</f>
        <v>12.42</v>
      </c>
      <c r="W28" s="6">
        <f>IF(ISERROR(VLOOKUP($T$28,'TAR FIN'!$A$1:$O$103,15,0)),0,VLOOKUP($T$28,'TAR FIN'!$A$1:$O$103,15,0))</f>
        <v>0</v>
      </c>
      <c r="X28" s="6">
        <f>IF(ISERROR(VLOOKUP($U$28,'TAR FIN'!$A$1:$O$103,15,0)),0,VLOOKUP($U$28,'TAR FIN'!$A$1:$O$103,15,0))</f>
        <v>0</v>
      </c>
      <c r="Y28" s="6">
        <f ca="1">('TUSD BE'!$AM$10+'TUSD BF'!$AM$10+'TUSD CVA'!$AM$10)*1</f>
        <v>16.518304697547443</v>
      </c>
      <c r="Z28" s="6"/>
      <c r="AA28" s="6"/>
      <c r="AB28" s="6">
        <f>$K$28*$V$28</f>
        <v>15214.5</v>
      </c>
      <c r="AC28" s="6">
        <f>$M$28*$W$28</f>
        <v>0</v>
      </c>
      <c r="AD28" s="6">
        <f>$O$28*$X$28</f>
        <v>0</v>
      </c>
      <c r="AE28" s="6">
        <f ca="1">$K$28*$Y$28</f>
        <v>20234.923254495618</v>
      </c>
      <c r="AF28" s="6">
        <f>$M$28*$Z$28</f>
        <v>0</v>
      </c>
      <c r="AG28" s="6">
        <f>$O$28*$AA$28</f>
        <v>0</v>
      </c>
    </row>
    <row r="29" spans="1:47" ht="11.25" customHeight="1" x14ac:dyDescent="0.25">
      <c r="A29" s="4" t="s">
        <v>21</v>
      </c>
      <c r="B29" s="4" t="s">
        <v>42</v>
      </c>
      <c r="C29" s="4" t="s">
        <v>34</v>
      </c>
      <c r="D29" s="4" t="s">
        <v>40</v>
      </c>
      <c r="E29" s="4" t="s">
        <v>25</v>
      </c>
      <c r="F29" s="4" t="s">
        <v>54</v>
      </c>
      <c r="G29" s="4" t="s">
        <v>25</v>
      </c>
      <c r="H29" s="4" t="s">
        <v>25</v>
      </c>
      <c r="I29" s="5">
        <v>44409</v>
      </c>
      <c r="J29" s="6">
        <v>2450</v>
      </c>
      <c r="K29" s="6">
        <v>1225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4" t="s">
        <v>53</v>
      </c>
      <c r="R29" s="4">
        <v>0</v>
      </c>
      <c r="S29" s="6">
        <v>6</v>
      </c>
      <c r="T29" s="6">
        <v>0</v>
      </c>
      <c r="U29" s="6">
        <v>0</v>
      </c>
      <c r="V29" s="6">
        <f>IF(ISERROR(VLOOKUP($S$29,'TAR FIN'!$A$1:$O$103,15,0)),0,VLOOKUP($S$29,'TAR FIN'!$A$1:$O$103,15,0))</f>
        <v>12.42</v>
      </c>
      <c r="W29" s="6">
        <f>IF(ISERROR(VLOOKUP($T$29,'TAR FIN'!$A$1:$O$103,15,0)),0,VLOOKUP($T$29,'TAR FIN'!$A$1:$O$103,15,0))</f>
        <v>0</v>
      </c>
      <c r="X29" s="6">
        <f>IF(ISERROR(VLOOKUP($U$29,'TAR FIN'!$A$1:$O$103,15,0)),0,VLOOKUP($U$29,'TAR FIN'!$A$1:$O$103,15,0))</f>
        <v>0</v>
      </c>
      <c r="Y29" s="6">
        <f ca="1">('TUSD BE'!$AM$10+'TUSD BF'!$AM$10+'TUSD CVA'!$AM$10)*1</f>
        <v>16.518304697547443</v>
      </c>
      <c r="Z29" s="6"/>
      <c r="AA29" s="6"/>
      <c r="AB29" s="6">
        <f>$K$29*$V$29</f>
        <v>15214.5</v>
      </c>
      <c r="AC29" s="6">
        <f>$M$29*$W$29</f>
        <v>0</v>
      </c>
      <c r="AD29" s="6">
        <f>$O$29*$X$29</f>
        <v>0</v>
      </c>
      <c r="AE29" s="6">
        <f ca="1">$K$29*$Y$29</f>
        <v>20234.923254495618</v>
      </c>
      <c r="AF29" s="6">
        <f>$M$29*$Z$29</f>
        <v>0</v>
      </c>
      <c r="AG29" s="6">
        <f>$O$29*$AA$29</f>
        <v>0</v>
      </c>
    </row>
    <row r="30" spans="1:47" ht="11.25" customHeight="1" x14ac:dyDescent="0.25">
      <c r="A30" s="4" t="s">
        <v>21</v>
      </c>
      <c r="B30" s="4" t="s">
        <v>42</v>
      </c>
      <c r="C30" s="4" t="s">
        <v>34</v>
      </c>
      <c r="D30" s="4" t="s">
        <v>40</v>
      </c>
      <c r="E30" s="4" t="s">
        <v>25</v>
      </c>
      <c r="F30" s="4" t="s">
        <v>54</v>
      </c>
      <c r="G30" s="4" t="s">
        <v>25</v>
      </c>
      <c r="H30" s="4" t="s">
        <v>25</v>
      </c>
      <c r="I30" s="5">
        <v>44440</v>
      </c>
      <c r="J30" s="6">
        <v>2462</v>
      </c>
      <c r="K30" s="6">
        <v>1231</v>
      </c>
      <c r="L30" s="6">
        <v>0</v>
      </c>
      <c r="M30" s="6">
        <v>0</v>
      </c>
      <c r="N30" s="6">
        <v>0</v>
      </c>
      <c r="O30" s="6">
        <v>0</v>
      </c>
      <c r="P30" s="6">
        <v>2</v>
      </c>
      <c r="Q30" s="4" t="s">
        <v>53</v>
      </c>
      <c r="R30" s="4">
        <v>0</v>
      </c>
      <c r="S30" s="6">
        <v>6</v>
      </c>
      <c r="T30" s="6">
        <v>0</v>
      </c>
      <c r="U30" s="6">
        <v>0</v>
      </c>
      <c r="V30" s="6">
        <f>IF(ISERROR(VLOOKUP($S$30,'TAR FIN'!$A$1:$O$103,15,0)),0,VLOOKUP($S$30,'TAR FIN'!$A$1:$O$103,15,0))</f>
        <v>12.42</v>
      </c>
      <c r="W30" s="6">
        <f>IF(ISERROR(VLOOKUP($T$30,'TAR FIN'!$A$1:$O$103,15,0)),0,VLOOKUP($T$30,'TAR FIN'!$A$1:$O$103,15,0))</f>
        <v>0</v>
      </c>
      <c r="X30" s="6">
        <f>IF(ISERROR(VLOOKUP($U$30,'TAR FIN'!$A$1:$O$103,15,0)),0,VLOOKUP($U$30,'TAR FIN'!$A$1:$O$103,15,0))</f>
        <v>0</v>
      </c>
      <c r="Y30" s="6">
        <f ca="1">('TUSD BE'!$AM$10+'TUSD BF'!$AM$10+'TUSD CVA'!$AM$10)*1</f>
        <v>16.518304697547443</v>
      </c>
      <c r="Z30" s="6"/>
      <c r="AA30" s="6"/>
      <c r="AB30" s="6">
        <f>$K$30*$V$30</f>
        <v>15289.02</v>
      </c>
      <c r="AC30" s="6">
        <f>$M$30*$W$30</f>
        <v>0</v>
      </c>
      <c r="AD30" s="6">
        <f>$O$30*$X$30</f>
        <v>0</v>
      </c>
      <c r="AE30" s="6">
        <f ca="1">$K$30*$Y$30</f>
        <v>20334.0330826809</v>
      </c>
      <c r="AF30" s="6">
        <f>$M$30*$Z$30</f>
        <v>0</v>
      </c>
      <c r="AG30" s="6">
        <f>$O$30*$AA$30</f>
        <v>0</v>
      </c>
    </row>
    <row r="31" spans="1:47" ht="11.25" customHeight="1" x14ac:dyDescent="0.25">
      <c r="A31" s="4" t="s">
        <v>21</v>
      </c>
      <c r="B31" s="4" t="s">
        <v>42</v>
      </c>
      <c r="C31" s="4" t="s">
        <v>34</v>
      </c>
      <c r="D31" s="4" t="s">
        <v>40</v>
      </c>
      <c r="E31" s="4" t="s">
        <v>25</v>
      </c>
      <c r="F31" s="4" t="s">
        <v>54</v>
      </c>
      <c r="G31" s="4" t="s">
        <v>25</v>
      </c>
      <c r="H31" s="4" t="s">
        <v>25</v>
      </c>
      <c r="I31" s="5">
        <v>44470</v>
      </c>
      <c r="J31" s="6">
        <v>2450</v>
      </c>
      <c r="K31" s="6">
        <v>1225</v>
      </c>
      <c r="L31" s="6">
        <v>0</v>
      </c>
      <c r="M31" s="6">
        <v>0</v>
      </c>
      <c r="N31" s="6">
        <v>0</v>
      </c>
      <c r="O31" s="6">
        <v>0</v>
      </c>
      <c r="P31" s="6">
        <v>2</v>
      </c>
      <c r="Q31" s="4" t="s">
        <v>53</v>
      </c>
      <c r="R31" s="4">
        <v>0</v>
      </c>
      <c r="S31" s="6">
        <v>6</v>
      </c>
      <c r="T31" s="6">
        <v>0</v>
      </c>
      <c r="U31" s="6">
        <v>0</v>
      </c>
      <c r="V31" s="6">
        <f>IF(ISERROR(VLOOKUP($S$31,'TAR FIN'!$A$1:$O$103,15,0)),0,VLOOKUP($S$31,'TAR FIN'!$A$1:$O$103,15,0))</f>
        <v>12.42</v>
      </c>
      <c r="W31" s="6">
        <f>IF(ISERROR(VLOOKUP($T$31,'TAR FIN'!$A$1:$O$103,15,0)),0,VLOOKUP($T$31,'TAR FIN'!$A$1:$O$103,15,0))</f>
        <v>0</v>
      </c>
      <c r="X31" s="6">
        <f>IF(ISERROR(VLOOKUP($U$31,'TAR FIN'!$A$1:$O$103,15,0)),0,VLOOKUP($U$31,'TAR FIN'!$A$1:$O$103,15,0))</f>
        <v>0</v>
      </c>
      <c r="Y31" s="6">
        <f ca="1">('TUSD BE'!$AM$10+'TUSD BF'!$AM$10+'TUSD CVA'!$AM$10)*1</f>
        <v>16.518304697547443</v>
      </c>
      <c r="Z31" s="6"/>
      <c r="AA31" s="6"/>
      <c r="AB31" s="6">
        <f>$K$31*$V$31</f>
        <v>15214.5</v>
      </c>
      <c r="AC31" s="6">
        <f>$M$31*$W$31</f>
        <v>0</v>
      </c>
      <c r="AD31" s="6">
        <f>$O$31*$X$31</f>
        <v>0</v>
      </c>
      <c r="AE31" s="6">
        <f ca="1">$K$31*$Y$31</f>
        <v>20234.923254495618</v>
      </c>
      <c r="AF31" s="6">
        <f>$M$31*$Z$31</f>
        <v>0</v>
      </c>
      <c r="AG31" s="6">
        <f>$O$31*$AA$31</f>
        <v>0</v>
      </c>
    </row>
    <row r="32" spans="1:47" ht="11.25" customHeight="1" x14ac:dyDescent="0.25">
      <c r="A32" s="4" t="s">
        <v>21</v>
      </c>
      <c r="B32" s="4" t="s">
        <v>42</v>
      </c>
      <c r="C32" s="4" t="s">
        <v>34</v>
      </c>
      <c r="D32" s="4" t="s">
        <v>40</v>
      </c>
      <c r="E32" s="4" t="s">
        <v>25</v>
      </c>
      <c r="F32" s="4" t="s">
        <v>54</v>
      </c>
      <c r="G32" s="4" t="s">
        <v>25</v>
      </c>
      <c r="H32" s="4" t="s">
        <v>25</v>
      </c>
      <c r="I32" s="5">
        <v>44501</v>
      </c>
      <c r="J32" s="6">
        <v>2450</v>
      </c>
      <c r="K32" s="6">
        <v>1225</v>
      </c>
      <c r="L32" s="6">
        <v>0</v>
      </c>
      <c r="M32" s="6">
        <v>0</v>
      </c>
      <c r="N32" s="6">
        <v>0</v>
      </c>
      <c r="O32" s="6">
        <v>0</v>
      </c>
      <c r="P32" s="6">
        <v>2</v>
      </c>
      <c r="Q32" s="4" t="s">
        <v>53</v>
      </c>
      <c r="R32" s="4">
        <v>0</v>
      </c>
      <c r="S32" s="6">
        <v>6</v>
      </c>
      <c r="T32" s="6">
        <v>0</v>
      </c>
      <c r="U32" s="6">
        <v>0</v>
      </c>
      <c r="V32" s="6">
        <f>IF(ISERROR(VLOOKUP($S$32,'TAR FIN'!$A$1:$O$103,15,0)),0,VLOOKUP($S$32,'TAR FIN'!$A$1:$O$103,15,0))</f>
        <v>12.42</v>
      </c>
      <c r="W32" s="6">
        <f>IF(ISERROR(VLOOKUP($T$32,'TAR FIN'!$A$1:$O$103,15,0)),0,VLOOKUP($T$32,'TAR FIN'!$A$1:$O$103,15,0))</f>
        <v>0</v>
      </c>
      <c r="X32" s="6">
        <f>IF(ISERROR(VLOOKUP($U$32,'TAR FIN'!$A$1:$O$103,15,0)),0,VLOOKUP($U$32,'TAR FIN'!$A$1:$O$103,15,0))</f>
        <v>0</v>
      </c>
      <c r="Y32" s="6">
        <f ca="1">('TUSD BE'!$AM$10+'TUSD BF'!$AM$10+'TUSD CVA'!$AM$10)*1</f>
        <v>16.518304697547443</v>
      </c>
      <c r="Z32" s="6"/>
      <c r="AA32" s="6"/>
      <c r="AB32" s="6">
        <f>$K$32*$V$32</f>
        <v>15214.5</v>
      </c>
      <c r="AC32" s="6">
        <f>$M$32*$W$32</f>
        <v>0</v>
      </c>
      <c r="AD32" s="6">
        <f>$O$32*$X$32</f>
        <v>0</v>
      </c>
      <c r="AE32" s="6">
        <f ca="1">$K$32*$Y$32</f>
        <v>20234.923254495618</v>
      </c>
      <c r="AF32" s="6">
        <f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42</v>
      </c>
      <c r="C33" s="4" t="s">
        <v>34</v>
      </c>
      <c r="D33" s="4" t="s">
        <v>40</v>
      </c>
      <c r="E33" s="4" t="s">
        <v>25</v>
      </c>
      <c r="F33" s="4" t="s">
        <v>54</v>
      </c>
      <c r="G33" s="4" t="s">
        <v>25</v>
      </c>
      <c r="H33" s="4" t="s">
        <v>25</v>
      </c>
      <c r="I33" s="5">
        <v>44531</v>
      </c>
      <c r="J33" s="6">
        <v>2450</v>
      </c>
      <c r="K33" s="6">
        <v>1225</v>
      </c>
      <c r="L33" s="6">
        <v>0</v>
      </c>
      <c r="M33" s="6">
        <v>0</v>
      </c>
      <c r="N33" s="6">
        <v>0</v>
      </c>
      <c r="O33" s="6">
        <v>0</v>
      </c>
      <c r="P33" s="6">
        <v>2</v>
      </c>
      <c r="Q33" s="4" t="s">
        <v>53</v>
      </c>
      <c r="R33" s="4">
        <v>0</v>
      </c>
      <c r="S33" s="6">
        <v>6</v>
      </c>
      <c r="T33" s="6">
        <v>0</v>
      </c>
      <c r="U33" s="6">
        <v>0</v>
      </c>
      <c r="V33" s="6">
        <f>IF(ISERROR(VLOOKUP($S$33,'TAR FIN'!$A$1:$O$103,15,0)),0,VLOOKUP($S$33,'TAR FIN'!$A$1:$O$103,15,0))</f>
        <v>12.42</v>
      </c>
      <c r="W33" s="6">
        <f>IF(ISERROR(VLOOKUP($T$33,'TAR FIN'!$A$1:$O$103,15,0)),0,VLOOKUP($T$33,'TAR FIN'!$A$1:$O$103,15,0))</f>
        <v>0</v>
      </c>
      <c r="X33" s="6">
        <f>IF(ISERROR(VLOOKUP($U$33,'TAR FIN'!$A$1:$O$103,15,0)),0,VLOOKUP($U$33,'TAR FIN'!$A$1:$O$103,15,0))</f>
        <v>0</v>
      </c>
      <c r="Y33" s="6">
        <f ca="1">('TUSD BE'!$AM$10+'TUSD BF'!$AM$10+'TUSD CVA'!$AM$10)*1</f>
        <v>16.518304697547443</v>
      </c>
      <c r="Z33" s="6"/>
      <c r="AA33" s="6"/>
      <c r="AB33" s="6">
        <f>$K$33*$V$33</f>
        <v>15214.5</v>
      </c>
      <c r="AC33" s="6">
        <f>$M$33*$W$33</f>
        <v>0</v>
      </c>
      <c r="AD33" s="6">
        <f>$O$33*$X$33</f>
        <v>0</v>
      </c>
      <c r="AE33" s="6">
        <f ca="1">$K$33*$Y$33</f>
        <v>20234.923254495618</v>
      </c>
      <c r="AF33" s="6">
        <f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42</v>
      </c>
      <c r="C34" s="4" t="s">
        <v>34</v>
      </c>
      <c r="D34" s="4" t="s">
        <v>40</v>
      </c>
      <c r="E34" s="4" t="s">
        <v>25</v>
      </c>
      <c r="F34" s="4" t="s">
        <v>54</v>
      </c>
      <c r="G34" s="4" t="s">
        <v>25</v>
      </c>
      <c r="H34" s="4" t="s">
        <v>25</v>
      </c>
      <c r="I34" s="5">
        <v>44562</v>
      </c>
      <c r="J34" s="6">
        <v>2450</v>
      </c>
      <c r="K34" s="6">
        <v>1225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4" t="s">
        <v>53</v>
      </c>
      <c r="R34" s="4">
        <v>0</v>
      </c>
      <c r="S34" s="6">
        <v>6</v>
      </c>
      <c r="T34" s="6">
        <v>0</v>
      </c>
      <c r="U34" s="6">
        <v>0</v>
      </c>
      <c r="V34" s="6">
        <f>IF(ISERROR(VLOOKUP($S$34,'TAR FIN'!$A$1:$O$103,15,0)),0,VLOOKUP($S$34,'TAR FIN'!$A$1:$O$103,15,0))</f>
        <v>12.42</v>
      </c>
      <c r="W34" s="6">
        <f>IF(ISERROR(VLOOKUP($T$34,'TAR FIN'!$A$1:$O$103,15,0)),0,VLOOKUP($T$34,'TAR FIN'!$A$1:$O$103,15,0))</f>
        <v>0</v>
      </c>
      <c r="X34" s="6">
        <f>IF(ISERROR(VLOOKUP($U$34,'TAR FIN'!$A$1:$O$103,15,0)),0,VLOOKUP($U$34,'TAR FIN'!$A$1:$O$103,15,0))</f>
        <v>0</v>
      </c>
      <c r="Y34" s="6">
        <f ca="1">('TUSD BE'!$AM$10+'TUSD BF'!$AM$10+'TUSD CVA'!$AM$10)*1</f>
        <v>16.518304697547443</v>
      </c>
      <c r="Z34" s="6"/>
      <c r="AA34" s="6"/>
      <c r="AB34" s="6">
        <f>$K$34*$V$34</f>
        <v>15214.5</v>
      </c>
      <c r="AC34" s="6">
        <f>$M$34*$W$34</f>
        <v>0</v>
      </c>
      <c r="AD34" s="6">
        <f>$O$34*$X$34</f>
        <v>0</v>
      </c>
      <c r="AE34" s="6">
        <f ca="1">$K$34*$Y$34</f>
        <v>20234.923254495618</v>
      </c>
      <c r="AF34" s="6">
        <f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42</v>
      </c>
      <c r="C35" s="4" t="s">
        <v>34</v>
      </c>
      <c r="D35" s="4" t="s">
        <v>40</v>
      </c>
      <c r="E35" s="4" t="s">
        <v>25</v>
      </c>
      <c r="F35" s="4" t="s">
        <v>54</v>
      </c>
      <c r="G35" s="4" t="s">
        <v>25</v>
      </c>
      <c r="H35" s="4" t="s">
        <v>25</v>
      </c>
      <c r="I35" s="5">
        <v>44593</v>
      </c>
      <c r="J35" s="6">
        <v>2450</v>
      </c>
      <c r="K35" s="6">
        <v>1225</v>
      </c>
      <c r="L35" s="6">
        <v>0</v>
      </c>
      <c r="M35" s="6">
        <v>0</v>
      </c>
      <c r="N35" s="6">
        <v>0</v>
      </c>
      <c r="O35" s="6">
        <v>0</v>
      </c>
      <c r="P35" s="6">
        <v>2</v>
      </c>
      <c r="Q35" s="4" t="s">
        <v>53</v>
      </c>
      <c r="R35" s="4">
        <v>0</v>
      </c>
      <c r="S35" s="6">
        <v>6</v>
      </c>
      <c r="T35" s="6">
        <v>0</v>
      </c>
      <c r="U35" s="6">
        <v>0</v>
      </c>
      <c r="V35" s="6">
        <f>IF(ISERROR(VLOOKUP($S$35,'TAR FIN'!$A$1:$O$103,15,0)),0,VLOOKUP($S$35,'TAR FIN'!$A$1:$O$103,15,0))</f>
        <v>12.42</v>
      </c>
      <c r="W35" s="6">
        <f>IF(ISERROR(VLOOKUP($T$35,'TAR FIN'!$A$1:$O$103,15,0)),0,VLOOKUP($T$35,'TAR FIN'!$A$1:$O$103,15,0))</f>
        <v>0</v>
      </c>
      <c r="X35" s="6">
        <f>IF(ISERROR(VLOOKUP($U$35,'TAR FIN'!$A$1:$O$103,15,0)),0,VLOOKUP($U$35,'TAR FIN'!$A$1:$O$103,15,0))</f>
        <v>0</v>
      </c>
      <c r="Y35" s="6">
        <f ca="1">('TUSD BE'!$AM$10+'TUSD BF'!$AM$10+'TUSD CVA'!$AM$10)*1</f>
        <v>16.518304697547443</v>
      </c>
      <c r="Z35" s="6"/>
      <c r="AA35" s="6"/>
      <c r="AB35" s="6">
        <f>$K$35*$V$35</f>
        <v>15214.5</v>
      </c>
      <c r="AC35" s="6">
        <f>$M$35*$W$35</f>
        <v>0</v>
      </c>
      <c r="AD35" s="6">
        <f>$O$35*$X$35</f>
        <v>0</v>
      </c>
      <c r="AE35" s="6">
        <f ca="1">$K$35*$Y$35</f>
        <v>20234.923254495618</v>
      </c>
      <c r="AF35" s="6">
        <f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42</v>
      </c>
      <c r="C36" s="4" t="s">
        <v>34</v>
      </c>
      <c r="D36" s="4" t="s">
        <v>40</v>
      </c>
      <c r="E36" s="4" t="s">
        <v>25</v>
      </c>
      <c r="F36" s="4" t="s">
        <v>54</v>
      </c>
      <c r="G36" s="4" t="s">
        <v>25</v>
      </c>
      <c r="H36" s="4" t="s">
        <v>25</v>
      </c>
      <c r="I36" s="5">
        <v>44621</v>
      </c>
      <c r="J36" s="6">
        <v>2450</v>
      </c>
      <c r="K36" s="6">
        <v>1225</v>
      </c>
      <c r="L36" s="6">
        <v>0</v>
      </c>
      <c r="M36" s="6">
        <v>0</v>
      </c>
      <c r="N36" s="6">
        <v>0</v>
      </c>
      <c r="O36" s="6">
        <v>0</v>
      </c>
      <c r="P36" s="6">
        <v>2</v>
      </c>
      <c r="Q36" s="4" t="s">
        <v>53</v>
      </c>
      <c r="R36" s="4">
        <v>0</v>
      </c>
      <c r="S36" s="6">
        <v>6</v>
      </c>
      <c r="T36" s="6">
        <v>0</v>
      </c>
      <c r="U36" s="6">
        <v>0</v>
      </c>
      <c r="V36" s="6">
        <f>IF(ISERROR(VLOOKUP($S$36,'TAR FIN'!$A$1:$O$103,15,0)),0,VLOOKUP($S$36,'TAR FIN'!$A$1:$O$103,15,0))</f>
        <v>12.42</v>
      </c>
      <c r="W36" s="6">
        <f>IF(ISERROR(VLOOKUP($T$36,'TAR FIN'!$A$1:$O$103,15,0)),0,VLOOKUP($T$36,'TAR FIN'!$A$1:$O$103,15,0))</f>
        <v>0</v>
      </c>
      <c r="X36" s="6">
        <f>IF(ISERROR(VLOOKUP($U$36,'TAR FIN'!$A$1:$O$103,15,0)),0,VLOOKUP($U$36,'TAR FIN'!$A$1:$O$103,15,0))</f>
        <v>0</v>
      </c>
      <c r="Y36" s="6">
        <f ca="1">('TUSD BE'!$AM$10+'TUSD BF'!$AM$10+'TUSD CVA'!$AM$10)*1</f>
        <v>16.518304697547443</v>
      </c>
      <c r="Z36" s="6"/>
      <c r="AA36" s="6"/>
      <c r="AB36" s="6">
        <f>$K$36*$V$36</f>
        <v>15214.5</v>
      </c>
      <c r="AC36" s="6">
        <f>$M$36*$W$36</f>
        <v>0</v>
      </c>
      <c r="AD36" s="6">
        <f>$O$36*$X$36</f>
        <v>0</v>
      </c>
      <c r="AE36" s="6">
        <f ca="1">$K$36*$Y$36</f>
        <v>20234.923254495618</v>
      </c>
      <c r="AF36" s="6">
        <f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42</v>
      </c>
      <c r="C37" s="4" t="s">
        <v>34</v>
      </c>
      <c r="D37" s="4" t="s">
        <v>40</v>
      </c>
      <c r="E37" s="4" t="s">
        <v>25</v>
      </c>
      <c r="F37" s="4" t="s">
        <v>54</v>
      </c>
      <c r="G37" s="4" t="s">
        <v>25</v>
      </c>
      <c r="H37" s="4" t="s">
        <v>25</v>
      </c>
      <c r="I37" s="5">
        <v>44652</v>
      </c>
      <c r="J37" s="6">
        <v>2486</v>
      </c>
      <c r="K37" s="6">
        <v>1243</v>
      </c>
      <c r="L37" s="6">
        <v>0</v>
      </c>
      <c r="M37" s="6">
        <v>0</v>
      </c>
      <c r="N37" s="6">
        <v>0</v>
      </c>
      <c r="O37" s="6">
        <v>0</v>
      </c>
      <c r="P37" s="6">
        <v>2</v>
      </c>
      <c r="Q37" s="4" t="s">
        <v>53</v>
      </c>
      <c r="R37" s="4">
        <v>0</v>
      </c>
      <c r="S37" s="6">
        <v>6</v>
      </c>
      <c r="T37" s="6">
        <v>0</v>
      </c>
      <c r="U37" s="6">
        <v>0</v>
      </c>
      <c r="V37" s="6">
        <f>IF(ISERROR(VLOOKUP($S$37,'TAR FIN'!$A$1:$O$103,15,0)),0,VLOOKUP($S$37,'TAR FIN'!$A$1:$O$103,15,0))</f>
        <v>12.42</v>
      </c>
      <c r="W37" s="6">
        <f>IF(ISERROR(VLOOKUP($T$37,'TAR FIN'!$A$1:$O$103,15,0)),0,VLOOKUP($T$37,'TAR FIN'!$A$1:$O$103,15,0))</f>
        <v>0</v>
      </c>
      <c r="X37" s="6">
        <f>IF(ISERROR(VLOOKUP($U$37,'TAR FIN'!$A$1:$O$103,15,0)),0,VLOOKUP($U$37,'TAR FIN'!$A$1:$O$103,15,0))</f>
        <v>0</v>
      </c>
      <c r="Y37" s="6">
        <f ca="1">('TUSD BE'!$AM$10+'TUSD BF'!$AM$10+'TUSD CVA'!$AM$10)*1</f>
        <v>16.518304697547443</v>
      </c>
      <c r="Z37" s="6"/>
      <c r="AA37" s="6"/>
      <c r="AB37" s="6">
        <f>$K$37*$V$37</f>
        <v>15438.06</v>
      </c>
      <c r="AC37" s="6">
        <f>$M$37*$W$37</f>
        <v>0</v>
      </c>
      <c r="AD37" s="6">
        <f>$O$37*$X$37</f>
        <v>0</v>
      </c>
      <c r="AE37" s="6">
        <f ca="1">$K$37*$Y$37</f>
        <v>20532.25273905147</v>
      </c>
      <c r="AF37" s="6">
        <f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42</v>
      </c>
      <c r="C38" s="4" t="s">
        <v>34</v>
      </c>
      <c r="D38" s="4" t="s">
        <v>40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44682</v>
      </c>
      <c r="J38" s="6">
        <v>4014</v>
      </c>
      <c r="K38" s="6">
        <v>2007</v>
      </c>
      <c r="L38" s="6">
        <v>0</v>
      </c>
      <c r="M38" s="6">
        <v>0</v>
      </c>
      <c r="N38" s="6">
        <v>0</v>
      </c>
      <c r="O38" s="6">
        <v>0</v>
      </c>
      <c r="P38" s="6">
        <v>3</v>
      </c>
      <c r="Q38" s="4" t="s">
        <v>53</v>
      </c>
      <c r="R38" s="4">
        <v>0</v>
      </c>
      <c r="S38" s="6">
        <v>6</v>
      </c>
      <c r="T38" s="6">
        <v>0</v>
      </c>
      <c r="U38" s="6">
        <v>0</v>
      </c>
      <c r="V38" s="6">
        <f>IF(ISERROR(VLOOKUP($S$38,'TAR FIN'!$A$1:$O$103,15,0)),0,VLOOKUP($S$38,'TAR FIN'!$A$1:$O$103,15,0))</f>
        <v>12.42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BE'!$AM$10+'TUSD BF'!$AM$10+'TUSD CVA'!$AM$10)*1</f>
        <v>16.518304697547443</v>
      </c>
      <c r="Z38" s="6"/>
      <c r="AA38" s="6"/>
      <c r="AB38" s="6">
        <f>$K$38*$V$38</f>
        <v>24926.94</v>
      </c>
      <c r="AC38" s="6">
        <f>$M$38*$W$38</f>
        <v>0</v>
      </c>
      <c r="AD38" s="6">
        <f>$O$38*$X$38</f>
        <v>0</v>
      </c>
      <c r="AE38" s="6">
        <f ca="1">$K$38*$Y$38</f>
        <v>33152.237527977719</v>
      </c>
      <c r="AF38" s="6">
        <f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42</v>
      </c>
      <c r="C39" s="4" t="s">
        <v>34</v>
      </c>
      <c r="D39" s="4" t="s">
        <v>40</v>
      </c>
      <c r="E39" s="4" t="s">
        <v>25</v>
      </c>
      <c r="F39" s="4" t="s">
        <v>54</v>
      </c>
      <c r="G39" s="4" t="s">
        <v>25</v>
      </c>
      <c r="H39" s="4" t="s">
        <v>37</v>
      </c>
      <c r="I39" s="5">
        <v>44348</v>
      </c>
      <c r="J39" s="6">
        <v>0</v>
      </c>
      <c r="K39" s="6">
        <v>0</v>
      </c>
      <c r="L39" s="6">
        <v>42.637999999999998</v>
      </c>
      <c r="M39" s="6">
        <v>21.318999999999999</v>
      </c>
      <c r="N39" s="6">
        <v>0</v>
      </c>
      <c r="O39" s="6">
        <v>0</v>
      </c>
      <c r="P39" s="6">
        <v>0</v>
      </c>
      <c r="Q39" s="4" t="s">
        <v>53</v>
      </c>
      <c r="R39" s="4">
        <v>0</v>
      </c>
      <c r="S39" s="6">
        <v>0</v>
      </c>
      <c r="T39" s="6">
        <v>7</v>
      </c>
      <c r="U39" s="6">
        <v>0</v>
      </c>
      <c r="V39" s="6">
        <f>IF(ISERROR(VLOOKUP($S$39,'TAR FIN'!$A$1:$O$103,15,0)),0,VLOOKUP($S$39,'TAR FIN'!$A$1:$O$103,15,0))</f>
        <v>0</v>
      </c>
      <c r="W39" s="6">
        <f>IF(ISERROR(VLOOKUP($T$39,'TAR FIN'!$A$1:$O$103,15,0)),0,VLOOKUP($T$39,'TAR FIN'!$A$1:$O$103,15,0))</f>
        <v>842.31</v>
      </c>
      <c r="X39" s="6">
        <f>IF(ISERROR(VLOOKUP($U$39,'TAR FIN'!$A$1:$O$103,15,0)),0,VLOOKUP($U$39,'TAR FIN'!$A$1:$O$103,15,0))</f>
        <v>0</v>
      </c>
      <c r="Y39" s="6"/>
      <c r="Z39" s="6">
        <f ca="1">('TUSD BE'!$AM$11+'TUSD BF'!$AM$11+'TUSD CVA'!$AM$11)*1</f>
        <v>1146.3801365962368</v>
      </c>
      <c r="AA39" s="6"/>
      <c r="AB39" s="6">
        <f>$K$39*$V$39</f>
        <v>0</v>
      </c>
      <c r="AC39" s="6">
        <f>$M$39*$W$39</f>
        <v>17957.206889999998</v>
      </c>
      <c r="AD39" s="6">
        <f>$O$39*$X$39</f>
        <v>0</v>
      </c>
      <c r="AE39" s="6">
        <f>$K$39*$Y$39</f>
        <v>0</v>
      </c>
      <c r="AF39" s="6">
        <f ca="1">$M$39*$Z$39</f>
        <v>24439.67813209517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42</v>
      </c>
      <c r="C40" s="4" t="s">
        <v>34</v>
      </c>
      <c r="D40" s="4" t="s">
        <v>40</v>
      </c>
      <c r="E40" s="4" t="s">
        <v>25</v>
      </c>
      <c r="F40" s="4" t="s">
        <v>54</v>
      </c>
      <c r="G40" s="4" t="s">
        <v>25</v>
      </c>
      <c r="H40" s="4" t="s">
        <v>37</v>
      </c>
      <c r="I40" s="5">
        <v>44378</v>
      </c>
      <c r="J40" s="6">
        <v>0</v>
      </c>
      <c r="K40" s="6">
        <v>0</v>
      </c>
      <c r="L40" s="6">
        <v>37.92</v>
      </c>
      <c r="M40" s="6">
        <v>18.96</v>
      </c>
      <c r="N40" s="6">
        <v>0</v>
      </c>
      <c r="O40" s="6">
        <v>0</v>
      </c>
      <c r="P40" s="6">
        <v>0</v>
      </c>
      <c r="Q40" s="4" t="s">
        <v>53</v>
      </c>
      <c r="R40" s="4">
        <v>0</v>
      </c>
      <c r="S40" s="6">
        <v>0</v>
      </c>
      <c r="T40" s="6">
        <v>7</v>
      </c>
      <c r="U40" s="6">
        <v>0</v>
      </c>
      <c r="V40" s="6">
        <f>IF(ISERROR(VLOOKUP($S$40,'TAR FIN'!$A$1:$O$103,15,0)),0,VLOOKUP($S$40,'TAR FIN'!$A$1:$O$103,15,0))</f>
        <v>0</v>
      </c>
      <c r="W40" s="6">
        <f>IF(ISERROR(VLOOKUP($T$40,'TAR FIN'!$A$1:$O$103,15,0)),0,VLOOKUP($T$40,'TAR FIN'!$A$1:$O$103,15,0))</f>
        <v>842.31</v>
      </c>
      <c r="X40" s="6">
        <f>IF(ISERROR(VLOOKUP($U$40,'TAR FIN'!$A$1:$O$103,15,0)),0,VLOOKUP($U$40,'TAR FIN'!$A$1:$O$103,15,0))</f>
        <v>0</v>
      </c>
      <c r="Y40" s="6"/>
      <c r="Z40" s="6">
        <f ca="1">('TUSD BE'!$AM$11+'TUSD BF'!$AM$11+'TUSD CVA'!$AM$11)*1</f>
        <v>1146.3801365962368</v>
      </c>
      <c r="AA40" s="6"/>
      <c r="AB40" s="6">
        <f>$K$40*$V$40</f>
        <v>0</v>
      </c>
      <c r="AC40" s="6">
        <f>$M$40*$W$40</f>
        <v>15970.1976</v>
      </c>
      <c r="AD40" s="6">
        <f>$O$40*$X$40</f>
        <v>0</v>
      </c>
      <c r="AE40" s="6">
        <f>$K$40*$Y$40</f>
        <v>0</v>
      </c>
      <c r="AF40" s="6">
        <f ca="1">$M$40*$Z$40</f>
        <v>21735.367389864648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42</v>
      </c>
      <c r="C41" s="4" t="s">
        <v>34</v>
      </c>
      <c r="D41" s="4" t="s">
        <v>40</v>
      </c>
      <c r="E41" s="4" t="s">
        <v>25</v>
      </c>
      <c r="F41" s="4" t="s">
        <v>54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9.3849999999999998</v>
      </c>
      <c r="M41" s="6">
        <v>4.6924999999999999</v>
      </c>
      <c r="N41" s="6">
        <v>0</v>
      </c>
      <c r="O41" s="6">
        <v>0</v>
      </c>
      <c r="P41" s="6">
        <v>0</v>
      </c>
      <c r="Q41" s="4" t="s">
        <v>53</v>
      </c>
      <c r="R41" s="4">
        <v>0</v>
      </c>
      <c r="S41" s="6">
        <v>0</v>
      </c>
      <c r="T41" s="6">
        <v>7</v>
      </c>
      <c r="U41" s="6">
        <v>0</v>
      </c>
      <c r="V41" s="6">
        <f>IF(ISERROR(VLOOKUP($S$41,'TAR FIN'!$A$1:$O$103,15,0)),0,VLOOKUP($S$41,'TAR FIN'!$A$1:$O$103,15,0))</f>
        <v>0</v>
      </c>
      <c r="W41" s="6">
        <f>IF(ISERROR(VLOOKUP($T$41,'TAR FIN'!$A$1:$O$103,15,0)),0,VLOOKUP($T$41,'TAR FIN'!$A$1:$O$103,15,0))</f>
        <v>842.31</v>
      </c>
      <c r="X41" s="6">
        <f>IF(ISERROR(VLOOKUP($U$41,'TAR FIN'!$A$1:$O$103,15,0)),0,VLOOKUP($U$41,'TAR FIN'!$A$1:$O$103,15,0))</f>
        <v>0</v>
      </c>
      <c r="Y41" s="6"/>
      <c r="Z41" s="6">
        <f ca="1">('TUSD BE'!$AM$11+'TUSD BF'!$AM$11+'TUSD CVA'!$AM$11)*1</f>
        <v>1146.3801365962368</v>
      </c>
      <c r="AA41" s="6"/>
      <c r="AB41" s="6">
        <f>$K$41*$V$41</f>
        <v>0</v>
      </c>
      <c r="AC41" s="6">
        <f>$M$41*$W$41</f>
        <v>3952.5396749999995</v>
      </c>
      <c r="AD41" s="6">
        <f>$O$41*$X$41</f>
        <v>0</v>
      </c>
      <c r="AE41" s="6">
        <f>$K$41*$Y$41</f>
        <v>0</v>
      </c>
      <c r="AF41" s="6">
        <f ca="1">$M$41*$Z$41</f>
        <v>5379.3887909778405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42</v>
      </c>
      <c r="C42" s="4" t="s">
        <v>34</v>
      </c>
      <c r="D42" s="4" t="s">
        <v>40</v>
      </c>
      <c r="E42" s="4" t="s">
        <v>25</v>
      </c>
      <c r="F42" s="4" t="s">
        <v>54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8.7360000000000007</v>
      </c>
      <c r="M42" s="6">
        <v>4.3680000000000003</v>
      </c>
      <c r="N42" s="6">
        <v>0</v>
      </c>
      <c r="O42" s="6">
        <v>0</v>
      </c>
      <c r="P42" s="6">
        <v>0</v>
      </c>
      <c r="Q42" s="4" t="s">
        <v>53</v>
      </c>
      <c r="R42" s="4">
        <v>0</v>
      </c>
      <c r="S42" s="6">
        <v>0</v>
      </c>
      <c r="T42" s="6">
        <v>7</v>
      </c>
      <c r="U42" s="6">
        <v>0</v>
      </c>
      <c r="V42" s="6">
        <f>IF(ISERROR(VLOOKUP($S$42,'TAR FIN'!$A$1:$O$103,15,0)),0,VLOOKUP($S$42,'TAR FIN'!$A$1:$O$103,15,0))</f>
        <v>0</v>
      </c>
      <c r="W42" s="6">
        <f>IF(ISERROR(VLOOKUP($T$42,'TAR FIN'!$A$1:$O$103,15,0)),0,VLOOKUP($T$42,'TAR FIN'!$A$1:$O$103,15,0))</f>
        <v>842.31</v>
      </c>
      <c r="X42" s="6">
        <f>IF(ISERROR(VLOOKUP($U$42,'TAR FIN'!$A$1:$O$103,15,0)),0,VLOOKUP($U$42,'TAR FIN'!$A$1:$O$103,15,0))</f>
        <v>0</v>
      </c>
      <c r="Y42" s="6"/>
      <c r="Z42" s="6">
        <f ca="1">('TUSD BE'!$AM$11+'TUSD BF'!$AM$11+'TUSD CVA'!$AM$11)*1</f>
        <v>1146.3801365962368</v>
      </c>
      <c r="AA42" s="6"/>
      <c r="AB42" s="6">
        <f>$K$42*$V$42</f>
        <v>0</v>
      </c>
      <c r="AC42" s="6">
        <f>$M$42*$W$42</f>
        <v>3679.2100799999998</v>
      </c>
      <c r="AD42" s="6">
        <f>$O$42*$X$42</f>
        <v>0</v>
      </c>
      <c r="AE42" s="6">
        <f>$K$42*$Y$42</f>
        <v>0</v>
      </c>
      <c r="AF42" s="6">
        <f ca="1">$M$42*$Z$42</f>
        <v>5007.3884366523625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42</v>
      </c>
      <c r="C43" s="4" t="s">
        <v>34</v>
      </c>
      <c r="D43" s="4" t="s">
        <v>40</v>
      </c>
      <c r="E43" s="4" t="s">
        <v>25</v>
      </c>
      <c r="F43" s="4" t="s">
        <v>54</v>
      </c>
      <c r="G43" s="4" t="s">
        <v>25</v>
      </c>
      <c r="H43" s="4" t="s">
        <v>37</v>
      </c>
      <c r="I43" s="5">
        <v>44470</v>
      </c>
      <c r="J43" s="6">
        <v>0</v>
      </c>
      <c r="K43" s="6">
        <v>0</v>
      </c>
      <c r="L43" s="6">
        <v>38.771000000000001</v>
      </c>
      <c r="M43" s="6">
        <v>19.3855</v>
      </c>
      <c r="N43" s="6">
        <v>0</v>
      </c>
      <c r="O43" s="6">
        <v>0</v>
      </c>
      <c r="P43" s="6">
        <v>0</v>
      </c>
      <c r="Q43" s="4" t="s">
        <v>53</v>
      </c>
      <c r="R43" s="4">
        <v>0</v>
      </c>
      <c r="S43" s="6">
        <v>0</v>
      </c>
      <c r="T43" s="6">
        <v>7</v>
      </c>
      <c r="U43" s="6">
        <v>0</v>
      </c>
      <c r="V43" s="6">
        <f>IF(ISERROR(VLOOKUP($S$43,'TAR FIN'!$A$1:$O$103,15,0)),0,VLOOKUP($S$43,'TAR FIN'!$A$1:$O$103,15,0))</f>
        <v>0</v>
      </c>
      <c r="W43" s="6">
        <f>IF(ISERROR(VLOOKUP($T$43,'TAR FIN'!$A$1:$O$103,15,0)),0,VLOOKUP($T$43,'TAR FIN'!$A$1:$O$103,15,0))</f>
        <v>842.31</v>
      </c>
      <c r="X43" s="6">
        <f>IF(ISERROR(VLOOKUP($U$43,'TAR FIN'!$A$1:$O$103,15,0)),0,VLOOKUP($U$43,'TAR FIN'!$A$1:$O$103,15,0))</f>
        <v>0</v>
      </c>
      <c r="Y43" s="6"/>
      <c r="Z43" s="6">
        <f ca="1">('TUSD BE'!$AM$11+'TUSD BF'!$AM$11+'TUSD CVA'!$AM$11)*1</f>
        <v>1146.3801365962368</v>
      </c>
      <c r="AA43" s="6"/>
      <c r="AB43" s="6">
        <f>$K$43*$V$43</f>
        <v>0</v>
      </c>
      <c r="AC43" s="6">
        <f>$M$43*$W$43</f>
        <v>16328.600504999999</v>
      </c>
      <c r="AD43" s="6">
        <f>$O$43*$X$43</f>
        <v>0</v>
      </c>
      <c r="AE43" s="6">
        <f>$K$43*$Y$43</f>
        <v>0</v>
      </c>
      <c r="AF43" s="6">
        <f ca="1">$M$43*$Z$43</f>
        <v>22223.152137986348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42</v>
      </c>
      <c r="C44" s="4" t="s">
        <v>34</v>
      </c>
      <c r="D44" s="4" t="s">
        <v>40</v>
      </c>
      <c r="E44" s="4" t="s">
        <v>25</v>
      </c>
      <c r="F44" s="4" t="s">
        <v>54</v>
      </c>
      <c r="G44" s="4" t="s">
        <v>25</v>
      </c>
      <c r="H44" s="4" t="s">
        <v>37</v>
      </c>
      <c r="I44" s="5">
        <v>44501</v>
      </c>
      <c r="J44" s="6">
        <v>0</v>
      </c>
      <c r="K44" s="6">
        <v>0</v>
      </c>
      <c r="L44" s="6">
        <v>35.023000000000003</v>
      </c>
      <c r="M44" s="6">
        <v>17.511500000000002</v>
      </c>
      <c r="N44" s="6">
        <v>0</v>
      </c>
      <c r="O44" s="6">
        <v>0</v>
      </c>
      <c r="P44" s="6">
        <v>0</v>
      </c>
      <c r="Q44" s="4" t="s">
        <v>53</v>
      </c>
      <c r="R44" s="4">
        <v>0</v>
      </c>
      <c r="S44" s="6">
        <v>0</v>
      </c>
      <c r="T44" s="6">
        <v>7</v>
      </c>
      <c r="U44" s="6">
        <v>0</v>
      </c>
      <c r="V44" s="6">
        <f>IF(ISERROR(VLOOKUP($S$44,'TAR FIN'!$A$1:$O$103,15,0)),0,VLOOKUP($S$44,'TAR FIN'!$A$1:$O$103,15,0))</f>
        <v>0</v>
      </c>
      <c r="W44" s="6">
        <f>IF(ISERROR(VLOOKUP($T$44,'TAR FIN'!$A$1:$O$103,15,0)),0,VLOOKUP($T$44,'TAR FIN'!$A$1:$O$103,15,0))</f>
        <v>842.31</v>
      </c>
      <c r="X44" s="6">
        <f>IF(ISERROR(VLOOKUP($U$44,'TAR FIN'!$A$1:$O$103,15,0)),0,VLOOKUP($U$44,'TAR FIN'!$A$1:$O$103,15,0))</f>
        <v>0</v>
      </c>
      <c r="Y44" s="6"/>
      <c r="Z44" s="6">
        <f ca="1">('TUSD BE'!$AM$11+'TUSD BF'!$AM$11+'TUSD CVA'!$AM$11)*1</f>
        <v>1146.3801365962368</v>
      </c>
      <c r="AA44" s="6"/>
      <c r="AB44" s="6">
        <f>$K$44*$V$44</f>
        <v>0</v>
      </c>
      <c r="AC44" s="6">
        <f>$M$44*$W$44</f>
        <v>14750.111565000001</v>
      </c>
      <c r="AD44" s="6">
        <f>$O$44*$X$44</f>
        <v>0</v>
      </c>
      <c r="AE44" s="6">
        <f>$K$44*$Y$44</f>
        <v>0</v>
      </c>
      <c r="AF44" s="6">
        <f ca="1">$M$44*$Z$44</f>
        <v>20074.835762005001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42</v>
      </c>
      <c r="C45" s="4" t="s">
        <v>34</v>
      </c>
      <c r="D45" s="4" t="s">
        <v>40</v>
      </c>
      <c r="E45" s="4" t="s">
        <v>25</v>
      </c>
      <c r="F45" s="4" t="s">
        <v>54</v>
      </c>
      <c r="G45" s="4" t="s">
        <v>25</v>
      </c>
      <c r="H45" s="4" t="s">
        <v>37</v>
      </c>
      <c r="I45" s="5">
        <v>44531</v>
      </c>
      <c r="J45" s="6">
        <v>0</v>
      </c>
      <c r="K45" s="6">
        <v>0</v>
      </c>
      <c r="L45" s="6">
        <v>33.156999999999996</v>
      </c>
      <c r="M45" s="6">
        <v>16.578499999999998</v>
      </c>
      <c r="N45" s="6">
        <v>0</v>
      </c>
      <c r="O45" s="6">
        <v>0</v>
      </c>
      <c r="P45" s="6">
        <v>0</v>
      </c>
      <c r="Q45" s="4" t="s">
        <v>53</v>
      </c>
      <c r="R45" s="4">
        <v>0</v>
      </c>
      <c r="S45" s="6">
        <v>0</v>
      </c>
      <c r="T45" s="6">
        <v>7</v>
      </c>
      <c r="U45" s="6">
        <v>0</v>
      </c>
      <c r="V45" s="6">
        <f>IF(ISERROR(VLOOKUP($S$45,'TAR FIN'!$A$1:$O$103,15,0)),0,VLOOKUP($S$45,'TAR FIN'!$A$1:$O$103,15,0))</f>
        <v>0</v>
      </c>
      <c r="W45" s="6">
        <f>IF(ISERROR(VLOOKUP($T$45,'TAR FIN'!$A$1:$O$103,15,0)),0,VLOOKUP($T$45,'TAR FIN'!$A$1:$O$103,15,0))</f>
        <v>842.31</v>
      </c>
      <c r="X45" s="6">
        <f>IF(ISERROR(VLOOKUP($U$45,'TAR FIN'!$A$1:$O$103,15,0)),0,VLOOKUP($U$45,'TAR FIN'!$A$1:$O$103,15,0))</f>
        <v>0</v>
      </c>
      <c r="Y45" s="6"/>
      <c r="Z45" s="6">
        <f ca="1">('TUSD BE'!$AM$11+'TUSD BF'!$AM$11+'TUSD CVA'!$AM$11)*1</f>
        <v>1146.3801365962368</v>
      </c>
      <c r="AA45" s="6"/>
      <c r="AB45" s="6">
        <f>$K$45*$V$45</f>
        <v>0</v>
      </c>
      <c r="AC45" s="6">
        <f>$M$45*$W$45</f>
        <v>13964.236334999998</v>
      </c>
      <c r="AD45" s="6">
        <f>$O$45*$X$45</f>
        <v>0</v>
      </c>
      <c r="AE45" s="6">
        <f>$K$45*$Y$45</f>
        <v>0</v>
      </c>
      <c r="AF45" s="6">
        <f ca="1">$M$45*$Z$45</f>
        <v>19005.263094560709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42</v>
      </c>
      <c r="C46" s="4" t="s">
        <v>34</v>
      </c>
      <c r="D46" s="4" t="s">
        <v>40</v>
      </c>
      <c r="E46" s="4" t="s">
        <v>25</v>
      </c>
      <c r="F46" s="4" t="s">
        <v>54</v>
      </c>
      <c r="G46" s="4" t="s">
        <v>25</v>
      </c>
      <c r="H46" s="4" t="s">
        <v>37</v>
      </c>
      <c r="I46" s="5">
        <v>44562</v>
      </c>
      <c r="J46" s="6">
        <v>0</v>
      </c>
      <c r="K46" s="6">
        <v>0</v>
      </c>
      <c r="L46" s="6">
        <v>34.494</v>
      </c>
      <c r="M46" s="6">
        <v>17.247</v>
      </c>
      <c r="N46" s="6">
        <v>0</v>
      </c>
      <c r="O46" s="6">
        <v>0</v>
      </c>
      <c r="P46" s="6">
        <v>0</v>
      </c>
      <c r="Q46" s="4" t="s">
        <v>53</v>
      </c>
      <c r="R46" s="4">
        <v>0</v>
      </c>
      <c r="S46" s="6">
        <v>0</v>
      </c>
      <c r="T46" s="6">
        <v>7</v>
      </c>
      <c r="U46" s="6">
        <v>0</v>
      </c>
      <c r="V46" s="6">
        <f>IF(ISERROR(VLOOKUP($S$46,'TAR FIN'!$A$1:$O$103,15,0)),0,VLOOKUP($S$46,'TAR FIN'!$A$1:$O$103,15,0))</f>
        <v>0</v>
      </c>
      <c r="W46" s="6">
        <f>IF(ISERROR(VLOOKUP($T$46,'TAR FIN'!$A$1:$O$103,15,0)),0,VLOOKUP($T$46,'TAR FIN'!$A$1:$O$103,15,0))</f>
        <v>842.31</v>
      </c>
      <c r="X46" s="6">
        <f>IF(ISERROR(VLOOKUP($U$46,'TAR FIN'!$A$1:$O$103,15,0)),0,VLOOKUP($U$46,'TAR FIN'!$A$1:$O$103,15,0))</f>
        <v>0</v>
      </c>
      <c r="Y46" s="6"/>
      <c r="Z46" s="6">
        <f ca="1">('TUSD BE'!$AM$11+'TUSD BF'!$AM$11+'TUSD CVA'!$AM$11)*1</f>
        <v>1146.3801365962368</v>
      </c>
      <c r="AA46" s="6"/>
      <c r="AB46" s="6">
        <f>$K$46*$V$46</f>
        <v>0</v>
      </c>
      <c r="AC46" s="6">
        <f>$M$46*$W$46</f>
        <v>14527.32057</v>
      </c>
      <c r="AD46" s="6">
        <f>$O$46*$X$46</f>
        <v>0</v>
      </c>
      <c r="AE46" s="6">
        <f>$K$46*$Y$46</f>
        <v>0</v>
      </c>
      <c r="AF46" s="6">
        <f ca="1">$M$46*$Z$46</f>
        <v>19771.618215875296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42</v>
      </c>
      <c r="C47" s="4" t="s">
        <v>34</v>
      </c>
      <c r="D47" s="4" t="s">
        <v>40</v>
      </c>
      <c r="E47" s="4" t="s">
        <v>25</v>
      </c>
      <c r="F47" s="4" t="s">
        <v>54</v>
      </c>
      <c r="G47" s="4" t="s">
        <v>25</v>
      </c>
      <c r="H47" s="4" t="s">
        <v>37</v>
      </c>
      <c r="I47" s="5">
        <v>44593</v>
      </c>
      <c r="J47" s="6">
        <v>0</v>
      </c>
      <c r="K47" s="6">
        <v>0</v>
      </c>
      <c r="L47" s="6">
        <v>30.69</v>
      </c>
      <c r="M47" s="6">
        <v>15.345000000000001</v>
      </c>
      <c r="N47" s="6">
        <v>0</v>
      </c>
      <c r="O47" s="6">
        <v>0</v>
      </c>
      <c r="P47" s="6">
        <v>0</v>
      </c>
      <c r="Q47" s="4" t="s">
        <v>53</v>
      </c>
      <c r="R47" s="4">
        <v>0</v>
      </c>
      <c r="S47" s="6">
        <v>0</v>
      </c>
      <c r="T47" s="6">
        <v>7</v>
      </c>
      <c r="U47" s="6">
        <v>0</v>
      </c>
      <c r="V47" s="6">
        <f>IF(ISERROR(VLOOKUP($S$47,'TAR FIN'!$A$1:$O$103,15,0)),0,VLOOKUP($S$47,'TAR FIN'!$A$1:$O$103,15,0))</f>
        <v>0</v>
      </c>
      <c r="W47" s="6">
        <f>IF(ISERROR(VLOOKUP($T$47,'TAR FIN'!$A$1:$O$103,15,0)),0,VLOOKUP($T$47,'TAR FIN'!$A$1:$O$103,15,0))</f>
        <v>842.31</v>
      </c>
      <c r="X47" s="6">
        <f>IF(ISERROR(VLOOKUP($U$47,'TAR FIN'!$A$1:$O$103,15,0)),0,VLOOKUP($U$47,'TAR FIN'!$A$1:$O$103,15,0))</f>
        <v>0</v>
      </c>
      <c r="Y47" s="6"/>
      <c r="Z47" s="6">
        <f ca="1">('TUSD BE'!$AM$11+'TUSD BF'!$AM$11+'TUSD CVA'!$AM$11)*1</f>
        <v>1146.3801365962368</v>
      </c>
      <c r="AA47" s="6"/>
      <c r="AB47" s="6">
        <f>$K$47*$V$47</f>
        <v>0</v>
      </c>
      <c r="AC47" s="6">
        <f>$M$47*$W$47</f>
        <v>12925.246949999999</v>
      </c>
      <c r="AD47" s="6">
        <f>$O$47*$X$47</f>
        <v>0</v>
      </c>
      <c r="AE47" s="6">
        <f>$K$47*$Y$47</f>
        <v>0</v>
      </c>
      <c r="AF47" s="6">
        <f ca="1">$M$47*$Z$47</f>
        <v>17591.203196069255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42</v>
      </c>
      <c r="C48" s="4" t="s">
        <v>34</v>
      </c>
      <c r="D48" s="4" t="s">
        <v>40</v>
      </c>
      <c r="E48" s="4" t="s">
        <v>25</v>
      </c>
      <c r="F48" s="4" t="s">
        <v>54</v>
      </c>
      <c r="G48" s="4" t="s">
        <v>25</v>
      </c>
      <c r="H48" s="4" t="s">
        <v>37</v>
      </c>
      <c r="I48" s="5">
        <v>44621</v>
      </c>
      <c r="J48" s="6">
        <v>0</v>
      </c>
      <c r="K48" s="6">
        <v>0</v>
      </c>
      <c r="L48" s="6">
        <v>37.658999999999999</v>
      </c>
      <c r="M48" s="6">
        <v>18.829499999999999</v>
      </c>
      <c r="N48" s="6">
        <v>0</v>
      </c>
      <c r="O48" s="6">
        <v>0</v>
      </c>
      <c r="P48" s="6">
        <v>0</v>
      </c>
      <c r="Q48" s="4" t="s">
        <v>53</v>
      </c>
      <c r="R48" s="4">
        <v>0</v>
      </c>
      <c r="S48" s="6">
        <v>0</v>
      </c>
      <c r="T48" s="6">
        <v>7</v>
      </c>
      <c r="U48" s="6">
        <v>0</v>
      </c>
      <c r="V48" s="6">
        <f>IF(ISERROR(VLOOKUP($S$48,'TAR FIN'!$A$1:$O$103,15,0)),0,VLOOKUP($S$48,'TAR FIN'!$A$1:$O$103,15,0))</f>
        <v>0</v>
      </c>
      <c r="W48" s="6">
        <f>IF(ISERROR(VLOOKUP($T$48,'TAR FIN'!$A$1:$O$103,15,0)),0,VLOOKUP($T$48,'TAR FIN'!$A$1:$O$103,15,0))</f>
        <v>842.31</v>
      </c>
      <c r="X48" s="6">
        <f>IF(ISERROR(VLOOKUP($U$48,'TAR FIN'!$A$1:$O$103,15,0)),0,VLOOKUP($U$48,'TAR FIN'!$A$1:$O$103,15,0))</f>
        <v>0</v>
      </c>
      <c r="Y48" s="6"/>
      <c r="Z48" s="6">
        <f ca="1">('TUSD BE'!$AM$11+'TUSD BF'!$AM$11+'TUSD CVA'!$AM$11)*1</f>
        <v>1146.3801365962368</v>
      </c>
      <c r="AA48" s="6"/>
      <c r="AB48" s="6">
        <f>$K$48*$V$48</f>
        <v>0</v>
      </c>
      <c r="AC48" s="6">
        <f>$M$48*$W$48</f>
        <v>15860.276144999998</v>
      </c>
      <c r="AD48" s="6">
        <f>$O$48*$X$48</f>
        <v>0</v>
      </c>
      <c r="AE48" s="6">
        <f>$K$48*$Y$48</f>
        <v>0</v>
      </c>
      <c r="AF48" s="6">
        <f ca="1">$M$48*$Z$48</f>
        <v>21585.764782038841</v>
      </c>
      <c r="AG48" s="6">
        <f>$O$48*$AA$48</f>
        <v>0</v>
      </c>
    </row>
    <row r="49" spans="1:33" ht="11.25" customHeight="1" x14ac:dyDescent="0.25">
      <c r="A49" s="4" t="s">
        <v>21</v>
      </c>
      <c r="B49" s="4" t="s">
        <v>42</v>
      </c>
      <c r="C49" s="4" t="s">
        <v>34</v>
      </c>
      <c r="D49" s="4" t="s">
        <v>40</v>
      </c>
      <c r="E49" s="4" t="s">
        <v>25</v>
      </c>
      <c r="F49" s="4" t="s">
        <v>54</v>
      </c>
      <c r="G49" s="4" t="s">
        <v>25</v>
      </c>
      <c r="H49" s="4" t="s">
        <v>37</v>
      </c>
      <c r="I49" s="5">
        <v>44652</v>
      </c>
      <c r="J49" s="6">
        <v>0</v>
      </c>
      <c r="K49" s="6">
        <v>0</v>
      </c>
      <c r="L49" s="6">
        <v>44.530999999999999</v>
      </c>
      <c r="M49" s="6">
        <v>22.265499999999999</v>
      </c>
      <c r="N49" s="6">
        <v>0</v>
      </c>
      <c r="O49" s="6">
        <v>0</v>
      </c>
      <c r="P49" s="6">
        <v>0</v>
      </c>
      <c r="Q49" s="4" t="s">
        <v>53</v>
      </c>
      <c r="R49" s="4">
        <v>0</v>
      </c>
      <c r="S49" s="6">
        <v>0</v>
      </c>
      <c r="T49" s="6">
        <v>7</v>
      </c>
      <c r="U49" s="6">
        <v>0</v>
      </c>
      <c r="V49" s="6">
        <f>IF(ISERROR(VLOOKUP($S$49,'TAR FIN'!$A$1:$O$103,15,0)),0,VLOOKUP($S$49,'TAR FIN'!$A$1:$O$103,15,0))</f>
        <v>0</v>
      </c>
      <c r="W49" s="6">
        <f>IF(ISERROR(VLOOKUP($T$49,'TAR FIN'!$A$1:$O$103,15,0)),0,VLOOKUP($T$49,'TAR FIN'!$A$1:$O$103,15,0))</f>
        <v>842.31</v>
      </c>
      <c r="X49" s="6">
        <f>IF(ISERROR(VLOOKUP($U$49,'TAR FIN'!$A$1:$O$103,15,0)),0,VLOOKUP($U$49,'TAR FIN'!$A$1:$O$103,15,0))</f>
        <v>0</v>
      </c>
      <c r="Y49" s="6"/>
      <c r="Z49" s="6">
        <f ca="1">('TUSD BE'!$AM$11+'TUSD BF'!$AM$11+'TUSD CVA'!$AM$11)*1</f>
        <v>1146.3801365962368</v>
      </c>
      <c r="AA49" s="6"/>
      <c r="AB49" s="6">
        <f>$K$49*$V$49</f>
        <v>0</v>
      </c>
      <c r="AC49" s="6">
        <f>$M$49*$W$49</f>
        <v>18754.453304999999</v>
      </c>
      <c r="AD49" s="6">
        <f>$O$49*$X$49</f>
        <v>0</v>
      </c>
      <c r="AE49" s="6">
        <f>$K$49*$Y$49</f>
        <v>0</v>
      </c>
      <c r="AF49" s="6">
        <f ca="1">$M$49*$Z$49</f>
        <v>25524.72693138351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42</v>
      </c>
      <c r="C50" s="4" t="s">
        <v>34</v>
      </c>
      <c r="D50" s="4" t="s">
        <v>40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44682</v>
      </c>
      <c r="J50" s="6">
        <v>0</v>
      </c>
      <c r="K50" s="6">
        <v>0</v>
      </c>
      <c r="L50" s="6">
        <v>89.613</v>
      </c>
      <c r="M50" s="6">
        <v>44.8065</v>
      </c>
      <c r="N50" s="6">
        <v>0</v>
      </c>
      <c r="O50" s="6">
        <v>0</v>
      </c>
      <c r="P50" s="6">
        <v>0</v>
      </c>
      <c r="Q50" s="4" t="s">
        <v>53</v>
      </c>
      <c r="R50" s="4">
        <v>0</v>
      </c>
      <c r="S50" s="6">
        <v>0</v>
      </c>
      <c r="T50" s="6">
        <v>7</v>
      </c>
      <c r="U50" s="6">
        <v>0</v>
      </c>
      <c r="V50" s="6">
        <f>IF(ISERROR(VLOOKUP($S$50,'TAR FIN'!$A$1:$O$103,15,0)),0,VLOOKUP($S$50,'TAR FIN'!$A$1:$O$103,15,0))</f>
        <v>0</v>
      </c>
      <c r="W50" s="6">
        <f>IF(ISERROR(VLOOKUP($T$50,'TAR FIN'!$A$1:$O$103,15,0)),0,VLOOKUP($T$50,'TAR FIN'!$A$1:$O$103,15,0))</f>
        <v>842.31</v>
      </c>
      <c r="X50" s="6">
        <f>IF(ISERROR(VLOOKUP($U$50,'TAR FIN'!$A$1:$O$103,15,0)),0,VLOOKUP($U$50,'TAR FIN'!$A$1:$O$103,15,0))</f>
        <v>0</v>
      </c>
      <c r="Y50" s="6"/>
      <c r="Z50" s="6">
        <f ca="1">('TUSD BE'!$AM$11+'TUSD BF'!$AM$11+'TUSD CVA'!$AM$11)*1</f>
        <v>1146.3801365962368</v>
      </c>
      <c r="AA50" s="6"/>
      <c r="AB50" s="6">
        <f>$K$50*$V$50</f>
        <v>0</v>
      </c>
      <c r="AC50" s="6">
        <f>$M$50*$W$50</f>
        <v>37740.963014999994</v>
      </c>
      <c r="AD50" s="6">
        <f>$O$50*$X$50</f>
        <v>0</v>
      </c>
      <c r="AE50" s="6">
        <f>$K$50*$Y$50</f>
        <v>0</v>
      </c>
      <c r="AF50" s="6">
        <f ca="1">$M$50*$Z$50</f>
        <v>51365.281590399281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42</v>
      </c>
      <c r="C51" s="4" t="s">
        <v>34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44348</v>
      </c>
      <c r="J51" s="6">
        <v>0</v>
      </c>
      <c r="K51" s="6">
        <v>0</v>
      </c>
      <c r="L51" s="6">
        <v>319.72199999999998</v>
      </c>
      <c r="M51" s="6">
        <v>319.72199999999998</v>
      </c>
      <c r="N51" s="6">
        <v>319.72199999999998</v>
      </c>
      <c r="O51" s="6">
        <v>319.72199999999998</v>
      </c>
      <c r="P51" s="6">
        <v>0</v>
      </c>
      <c r="Q51" s="4" t="s">
        <v>26</v>
      </c>
      <c r="R51" s="4">
        <v>0</v>
      </c>
      <c r="S51" s="6">
        <v>0</v>
      </c>
      <c r="T51" s="6">
        <v>8</v>
      </c>
      <c r="U51" s="6">
        <v>63</v>
      </c>
      <c r="V51" s="6">
        <f>IF(ISERROR(VLOOKUP($S$51,'TAR FIN'!$A$1:$O$103,15,0)),0,VLOOKUP($S$51,'TAR FIN'!$A$1:$O$103,15,0))</f>
        <v>0</v>
      </c>
      <c r="W51" s="6">
        <f>IF(ISERROR(VLOOKUP($T$51,'TAR FIN'!$A$1:$O$103,15,0)),0,VLOOKUP($T$51,'TAR FIN'!$A$1:$O$103,15,0))</f>
        <v>69.37</v>
      </c>
      <c r="X51" s="6">
        <f>IF(ISERROR(VLOOKUP($U$51,'TAR FIN'!$A$1:$O$103,15,0)),0,VLOOKUP($U$51,'TAR FIN'!$A$1:$O$103,15,0))</f>
        <v>284.36</v>
      </c>
      <c r="Y51" s="6"/>
      <c r="Z51" s="6">
        <f ca="1">('TUSD BE'!$AM$12+'TUSD BF'!$AM$12+'TUSD CVA'!$AM$12)*1</f>
        <v>111.236500713561</v>
      </c>
      <c r="AA51" s="6">
        <f>('TE BE'!$AB$6+'TE BF'!$AB$6+'TE CVA'!$AB$6)*1</f>
        <v>259.03677522481752</v>
      </c>
      <c r="AB51" s="6">
        <f>$K$51*$V$51</f>
        <v>0</v>
      </c>
      <c r="AC51" s="6">
        <f>$M$51*$W$51</f>
        <v>22179.115140000002</v>
      </c>
      <c r="AD51" s="6">
        <f>$O$51*$X$51</f>
        <v>90916.147920000003</v>
      </c>
      <c r="AE51" s="6">
        <f>$K$51*$Y$51</f>
        <v>0</v>
      </c>
      <c r="AF51" s="6">
        <f ca="1">$M$51*$Z$51</f>
        <v>35564.75648114115</v>
      </c>
      <c r="AG51" s="6">
        <f>$O$51*$AA$51</f>
        <v>82819.755848429108</v>
      </c>
    </row>
    <row r="52" spans="1:33" ht="11.25" customHeight="1" x14ac:dyDescent="0.25">
      <c r="A52" s="4" t="s">
        <v>21</v>
      </c>
      <c r="B52" s="4" t="s">
        <v>42</v>
      </c>
      <c r="C52" s="4" t="s">
        <v>34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44378</v>
      </c>
      <c r="J52" s="6">
        <v>0</v>
      </c>
      <c r="K52" s="6">
        <v>0</v>
      </c>
      <c r="L52" s="6">
        <v>357.517</v>
      </c>
      <c r="M52" s="6">
        <v>357.517</v>
      </c>
      <c r="N52" s="6">
        <v>357.517</v>
      </c>
      <c r="O52" s="6">
        <v>357.517</v>
      </c>
      <c r="P52" s="6">
        <v>0</v>
      </c>
      <c r="Q52" s="4" t="s">
        <v>26</v>
      </c>
      <c r="R52" s="4">
        <v>0</v>
      </c>
      <c r="S52" s="6">
        <v>0</v>
      </c>
      <c r="T52" s="6">
        <v>8</v>
      </c>
      <c r="U52" s="6">
        <v>63</v>
      </c>
      <c r="V52" s="6">
        <f>IF(ISERROR(VLOOKUP($S$52,'TAR FIN'!$A$1:$O$103,15,0)),0,VLOOKUP($S$52,'TAR FIN'!$A$1:$O$103,15,0))</f>
        <v>0</v>
      </c>
      <c r="W52" s="6">
        <f>IF(ISERROR(VLOOKUP($T$52,'TAR FIN'!$A$1:$O$103,15,0)),0,VLOOKUP($T$52,'TAR FIN'!$A$1:$O$103,15,0))</f>
        <v>69.37</v>
      </c>
      <c r="X52" s="6">
        <f>IF(ISERROR(VLOOKUP($U$52,'TAR FIN'!$A$1:$O$103,15,0)),0,VLOOKUP($U$52,'TAR FIN'!$A$1:$O$103,15,0))</f>
        <v>284.36</v>
      </c>
      <c r="Y52" s="6"/>
      <c r="Z52" s="6">
        <f ca="1">('TUSD BE'!$AM$12+'TUSD BF'!$AM$12+'TUSD CVA'!$AM$12)*1</f>
        <v>111.236500713561</v>
      </c>
      <c r="AA52" s="6">
        <f>('TE BE'!$AB$6+'TE BF'!$AB$6+'TE CVA'!$AB$6)*1</f>
        <v>259.03677522481752</v>
      </c>
      <c r="AB52" s="6">
        <f>$K$52*$V$52</f>
        <v>0</v>
      </c>
      <c r="AC52" s="6">
        <f>$M$52*$W$52</f>
        <v>24800.954290000001</v>
      </c>
      <c r="AD52" s="6">
        <f>$O$52*$X$52</f>
        <v>101663.53412</v>
      </c>
      <c r="AE52" s="6">
        <f>$K$52*$Y$52</f>
        <v>0</v>
      </c>
      <c r="AF52" s="6">
        <f ca="1">$M$52*$Z$52</f>
        <v>39768.940025610187</v>
      </c>
      <c r="AG52" s="6">
        <f>$O$52*$AA$52</f>
        <v>92610.050768051078</v>
      </c>
    </row>
    <row r="53" spans="1:33" ht="11.25" customHeight="1" x14ac:dyDescent="0.25">
      <c r="A53" s="4" t="s">
        <v>21</v>
      </c>
      <c r="B53" s="4" t="s">
        <v>42</v>
      </c>
      <c r="C53" s="4" t="s">
        <v>34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44409</v>
      </c>
      <c r="J53" s="6">
        <v>0</v>
      </c>
      <c r="K53" s="6">
        <v>0</v>
      </c>
      <c r="L53" s="6">
        <v>340.976</v>
      </c>
      <c r="M53" s="6">
        <v>340.976</v>
      </c>
      <c r="N53" s="6">
        <v>340.976</v>
      </c>
      <c r="O53" s="6">
        <v>340.976</v>
      </c>
      <c r="P53" s="6">
        <v>0</v>
      </c>
      <c r="Q53" s="4" t="s">
        <v>26</v>
      </c>
      <c r="R53" s="4">
        <v>0</v>
      </c>
      <c r="S53" s="6">
        <v>0</v>
      </c>
      <c r="T53" s="6">
        <v>8</v>
      </c>
      <c r="U53" s="6">
        <v>63</v>
      </c>
      <c r="V53" s="6">
        <f>IF(ISERROR(VLOOKUP($S$53,'TAR FIN'!$A$1:$O$103,15,0)),0,VLOOKUP($S$53,'TAR FIN'!$A$1:$O$103,15,0))</f>
        <v>0</v>
      </c>
      <c r="W53" s="6">
        <f>IF(ISERROR(VLOOKUP($T$53,'TAR FIN'!$A$1:$O$103,15,0)),0,VLOOKUP($T$53,'TAR FIN'!$A$1:$O$103,15,0))</f>
        <v>69.37</v>
      </c>
      <c r="X53" s="6">
        <f>IF(ISERROR(VLOOKUP($U$53,'TAR FIN'!$A$1:$O$103,15,0)),0,VLOOKUP($U$53,'TAR FIN'!$A$1:$O$103,15,0))</f>
        <v>284.36</v>
      </c>
      <c r="Y53" s="6"/>
      <c r="Z53" s="6">
        <f ca="1">('TUSD BE'!$AM$12+'TUSD BF'!$AM$12+'TUSD CVA'!$AM$12)*1</f>
        <v>111.236500713561</v>
      </c>
      <c r="AA53" s="6">
        <f>('TE BE'!$AB$6+'TE BF'!$AB$6+'TE CVA'!$AB$6)*1</f>
        <v>259.03677522481752</v>
      </c>
      <c r="AB53" s="6">
        <f>$K$53*$V$53</f>
        <v>0</v>
      </c>
      <c r="AC53" s="6">
        <f>$M$53*$W$53</f>
        <v>23653.505120000002</v>
      </c>
      <c r="AD53" s="6">
        <f>$O$53*$X$53</f>
        <v>96959.935360000003</v>
      </c>
      <c r="AE53" s="6">
        <f>$K$53*$Y$53</f>
        <v>0</v>
      </c>
      <c r="AF53" s="6">
        <f ca="1">$M$53*$Z$53</f>
        <v>37928.977067307176</v>
      </c>
      <c r="AG53" s="6">
        <f>$O$53*$AA$53</f>
        <v>88325.323469057374</v>
      </c>
    </row>
    <row r="54" spans="1:33" ht="11.25" customHeight="1" x14ac:dyDescent="0.25">
      <c r="A54" s="4" t="s">
        <v>21</v>
      </c>
      <c r="B54" s="4" t="s">
        <v>42</v>
      </c>
      <c r="C54" s="4" t="s">
        <v>34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44440</v>
      </c>
      <c r="J54" s="6">
        <v>0</v>
      </c>
      <c r="K54" s="6">
        <v>0</v>
      </c>
      <c r="L54" s="6">
        <v>328.19200000000001</v>
      </c>
      <c r="M54" s="6">
        <v>328.19200000000001</v>
      </c>
      <c r="N54" s="6">
        <v>328.19200000000001</v>
      </c>
      <c r="O54" s="6">
        <v>328.19200000000001</v>
      </c>
      <c r="P54" s="6">
        <v>0</v>
      </c>
      <c r="Q54" s="4" t="s">
        <v>26</v>
      </c>
      <c r="R54" s="4">
        <v>0</v>
      </c>
      <c r="S54" s="6">
        <v>0</v>
      </c>
      <c r="T54" s="6">
        <v>8</v>
      </c>
      <c r="U54" s="6">
        <v>63</v>
      </c>
      <c r="V54" s="6">
        <f>IF(ISERROR(VLOOKUP($S$54,'TAR FIN'!$A$1:$O$103,15,0)),0,VLOOKUP($S$54,'TAR FIN'!$A$1:$O$103,15,0))</f>
        <v>0</v>
      </c>
      <c r="W54" s="6">
        <f>IF(ISERROR(VLOOKUP($T$54,'TAR FIN'!$A$1:$O$103,15,0)),0,VLOOKUP($T$54,'TAR FIN'!$A$1:$O$103,15,0))</f>
        <v>69.37</v>
      </c>
      <c r="X54" s="6">
        <f>IF(ISERROR(VLOOKUP($U$54,'TAR FIN'!$A$1:$O$103,15,0)),0,VLOOKUP($U$54,'TAR FIN'!$A$1:$O$103,15,0))</f>
        <v>284.36</v>
      </c>
      <c r="Y54" s="6"/>
      <c r="Z54" s="6">
        <f ca="1">('TUSD BE'!$AM$12+'TUSD BF'!$AM$12+'TUSD CVA'!$AM$12)*1</f>
        <v>111.236500713561</v>
      </c>
      <c r="AA54" s="6">
        <f>('TE BE'!$AB$6+'TE BF'!$AB$6+'TE CVA'!$AB$6)*1</f>
        <v>259.03677522481752</v>
      </c>
      <c r="AB54" s="6">
        <f>$K$54*$V$54</f>
        <v>0</v>
      </c>
      <c r="AC54" s="6">
        <f>$M$54*$W$54</f>
        <v>22766.679040000003</v>
      </c>
      <c r="AD54" s="6">
        <f>$O$54*$X$54</f>
        <v>93324.677120000008</v>
      </c>
      <c r="AE54" s="6">
        <f>$K$54*$Y$54</f>
        <v>0</v>
      </c>
      <c r="AF54" s="6">
        <f ca="1">$M$54*$Z$54</f>
        <v>36506.929642185016</v>
      </c>
      <c r="AG54" s="6">
        <f>$O$54*$AA$54</f>
        <v>85013.797334583316</v>
      </c>
    </row>
    <row r="55" spans="1:33" ht="11.25" customHeight="1" x14ac:dyDescent="0.25">
      <c r="A55" s="4" t="s">
        <v>21</v>
      </c>
      <c r="B55" s="4" t="s">
        <v>42</v>
      </c>
      <c r="C55" s="4" t="s">
        <v>34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44470</v>
      </c>
      <c r="J55" s="6">
        <v>0</v>
      </c>
      <c r="K55" s="6">
        <v>0</v>
      </c>
      <c r="L55" s="6">
        <v>328.95499999999998</v>
      </c>
      <c r="M55" s="6">
        <v>328.95499999999998</v>
      </c>
      <c r="N55" s="6">
        <v>328.95499999999998</v>
      </c>
      <c r="O55" s="6">
        <v>328.95499999999998</v>
      </c>
      <c r="P55" s="6">
        <v>0</v>
      </c>
      <c r="Q55" s="4" t="s">
        <v>26</v>
      </c>
      <c r="R55" s="4">
        <v>0</v>
      </c>
      <c r="S55" s="6">
        <v>0</v>
      </c>
      <c r="T55" s="6">
        <v>8</v>
      </c>
      <c r="U55" s="6">
        <v>63</v>
      </c>
      <c r="V55" s="6">
        <f>IF(ISERROR(VLOOKUP($S$55,'TAR FIN'!$A$1:$O$103,15,0)),0,VLOOKUP($S$55,'TAR FIN'!$A$1:$O$103,15,0))</f>
        <v>0</v>
      </c>
      <c r="W55" s="6">
        <f>IF(ISERROR(VLOOKUP($T$55,'TAR FIN'!$A$1:$O$103,15,0)),0,VLOOKUP($T$55,'TAR FIN'!$A$1:$O$103,15,0))</f>
        <v>69.37</v>
      </c>
      <c r="X55" s="6">
        <f>IF(ISERROR(VLOOKUP($U$55,'TAR FIN'!$A$1:$O$103,15,0)),0,VLOOKUP($U$55,'TAR FIN'!$A$1:$O$103,15,0))</f>
        <v>284.36</v>
      </c>
      <c r="Y55" s="6"/>
      <c r="Z55" s="6">
        <f ca="1">('TUSD BE'!$AM$12+'TUSD BF'!$AM$12+'TUSD CVA'!$AM$12)*1</f>
        <v>111.236500713561</v>
      </c>
      <c r="AA55" s="6">
        <f>('TE BE'!$AB$6+'TE BF'!$AB$6+'TE CVA'!$AB$6)*1</f>
        <v>259.03677522481752</v>
      </c>
      <c r="AB55" s="6">
        <f>$K$55*$V$55</f>
        <v>0</v>
      </c>
      <c r="AC55" s="6">
        <f>$M$55*$W$55</f>
        <v>22819.608349999999</v>
      </c>
      <c r="AD55" s="6">
        <f>$O$55*$X$55</f>
        <v>93541.643800000005</v>
      </c>
      <c r="AE55" s="6">
        <f>$K$55*$Y$55</f>
        <v>0</v>
      </c>
      <c r="AF55" s="6">
        <f ca="1">$M$55*$Z$55</f>
        <v>36591.803092229457</v>
      </c>
      <c r="AG55" s="6">
        <f>$O$55*$AA$55</f>
        <v>85211.442394079844</v>
      </c>
    </row>
    <row r="56" spans="1:33" ht="11.25" customHeight="1" x14ac:dyDescent="0.25">
      <c r="A56" s="4" t="s">
        <v>21</v>
      </c>
      <c r="B56" s="4" t="s">
        <v>42</v>
      </c>
      <c r="C56" s="4" t="s">
        <v>34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44501</v>
      </c>
      <c r="J56" s="6">
        <v>0</v>
      </c>
      <c r="K56" s="6">
        <v>0</v>
      </c>
      <c r="L56" s="6">
        <v>320.24299999999999</v>
      </c>
      <c r="M56" s="6">
        <v>320.24299999999999</v>
      </c>
      <c r="N56" s="6">
        <v>320.24299999999999</v>
      </c>
      <c r="O56" s="6">
        <v>320.24299999999999</v>
      </c>
      <c r="P56" s="6">
        <v>0</v>
      </c>
      <c r="Q56" s="4" t="s">
        <v>26</v>
      </c>
      <c r="R56" s="4">
        <v>0</v>
      </c>
      <c r="S56" s="6">
        <v>0</v>
      </c>
      <c r="T56" s="6">
        <v>8</v>
      </c>
      <c r="U56" s="6">
        <v>63</v>
      </c>
      <c r="V56" s="6">
        <f>IF(ISERROR(VLOOKUP($S$56,'TAR FIN'!$A$1:$O$103,15,0)),0,VLOOKUP($S$56,'TAR FIN'!$A$1:$O$103,15,0))</f>
        <v>0</v>
      </c>
      <c r="W56" s="6">
        <f>IF(ISERROR(VLOOKUP($T$56,'TAR FIN'!$A$1:$O$103,15,0)),0,VLOOKUP($T$56,'TAR FIN'!$A$1:$O$103,15,0))</f>
        <v>69.37</v>
      </c>
      <c r="X56" s="6">
        <f>IF(ISERROR(VLOOKUP($U$56,'TAR FIN'!$A$1:$O$103,15,0)),0,VLOOKUP($U$56,'TAR FIN'!$A$1:$O$103,15,0))</f>
        <v>284.36</v>
      </c>
      <c r="Y56" s="6"/>
      <c r="Z56" s="6">
        <f ca="1">('TUSD BE'!$AM$12+'TUSD BF'!$AM$12+'TUSD CVA'!$AM$12)*1</f>
        <v>111.236500713561</v>
      </c>
      <c r="AA56" s="6">
        <f>('TE BE'!$AB$6+'TE BF'!$AB$6+'TE CVA'!$AB$6)*1</f>
        <v>259.03677522481752</v>
      </c>
      <c r="AB56" s="6">
        <f>$K$56*$V$56</f>
        <v>0</v>
      </c>
      <c r="AC56" s="6">
        <f>$M$56*$W$56</f>
        <v>22215.25691</v>
      </c>
      <c r="AD56" s="6">
        <f>$O$56*$X$56</f>
        <v>91064.299480000001</v>
      </c>
      <c r="AE56" s="6">
        <f>$K$56*$Y$56</f>
        <v>0</v>
      </c>
      <c r="AF56" s="6">
        <f ca="1">$M$56*$Z$56</f>
        <v>35622.710698012917</v>
      </c>
      <c r="AG56" s="6">
        <f>$O$56*$AA$56</f>
        <v>82954.714008321229</v>
      </c>
    </row>
    <row r="57" spans="1:33" ht="11.25" customHeight="1" x14ac:dyDescent="0.25">
      <c r="A57" s="4" t="s">
        <v>21</v>
      </c>
      <c r="B57" s="4" t="s">
        <v>42</v>
      </c>
      <c r="C57" s="4" t="s">
        <v>34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44531</v>
      </c>
      <c r="J57" s="6">
        <v>0</v>
      </c>
      <c r="K57" s="6">
        <v>0</v>
      </c>
      <c r="L57" s="6">
        <v>296.29300000000001</v>
      </c>
      <c r="M57" s="6">
        <v>296.29300000000001</v>
      </c>
      <c r="N57" s="6">
        <v>296.29300000000001</v>
      </c>
      <c r="O57" s="6">
        <v>296.29300000000001</v>
      </c>
      <c r="P57" s="6">
        <v>0</v>
      </c>
      <c r="Q57" s="4" t="s">
        <v>26</v>
      </c>
      <c r="R57" s="4">
        <v>0</v>
      </c>
      <c r="S57" s="6">
        <v>0</v>
      </c>
      <c r="T57" s="6">
        <v>8</v>
      </c>
      <c r="U57" s="6">
        <v>63</v>
      </c>
      <c r="V57" s="6">
        <f>IF(ISERROR(VLOOKUP($S$57,'TAR FIN'!$A$1:$O$103,15,0)),0,VLOOKUP($S$57,'TAR FIN'!$A$1:$O$103,15,0))</f>
        <v>0</v>
      </c>
      <c r="W57" s="6">
        <f>IF(ISERROR(VLOOKUP($T$57,'TAR FIN'!$A$1:$O$103,15,0)),0,VLOOKUP($T$57,'TAR FIN'!$A$1:$O$103,15,0))</f>
        <v>69.37</v>
      </c>
      <c r="X57" s="6">
        <f>IF(ISERROR(VLOOKUP($U$57,'TAR FIN'!$A$1:$O$103,15,0)),0,VLOOKUP($U$57,'TAR FIN'!$A$1:$O$103,15,0))</f>
        <v>284.36</v>
      </c>
      <c r="Y57" s="6"/>
      <c r="Z57" s="6">
        <f ca="1">('TUSD BE'!$AM$12+'TUSD BF'!$AM$12+'TUSD CVA'!$AM$12)*1</f>
        <v>111.236500713561</v>
      </c>
      <c r="AA57" s="6">
        <f>('TE BE'!$AB$6+'TE BF'!$AB$6+'TE CVA'!$AB$6)*1</f>
        <v>259.03677522481752</v>
      </c>
      <c r="AB57" s="6">
        <f>$K$57*$V$57</f>
        <v>0</v>
      </c>
      <c r="AC57" s="6">
        <f>$M$57*$W$57</f>
        <v>20553.845410000002</v>
      </c>
      <c r="AD57" s="6">
        <f>$O$57*$X$57</f>
        <v>84253.87748000001</v>
      </c>
      <c r="AE57" s="6">
        <f>$K$57*$Y$57</f>
        <v>0</v>
      </c>
      <c r="AF57" s="6">
        <f ca="1">$M$57*$Z$57</f>
        <v>32958.596505923131</v>
      </c>
      <c r="AG57" s="6">
        <f>$O$57*$AA$57</f>
        <v>76750.783241686862</v>
      </c>
    </row>
    <row r="58" spans="1:33" ht="11.25" customHeight="1" x14ac:dyDescent="0.25">
      <c r="A58" s="4" t="s">
        <v>21</v>
      </c>
      <c r="B58" s="4" t="s">
        <v>42</v>
      </c>
      <c r="C58" s="4" t="s">
        <v>34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44562</v>
      </c>
      <c r="J58" s="6">
        <v>0</v>
      </c>
      <c r="K58" s="6">
        <v>0</v>
      </c>
      <c r="L58" s="6">
        <v>310.31400000000002</v>
      </c>
      <c r="M58" s="6">
        <v>310.31400000000002</v>
      </c>
      <c r="N58" s="6">
        <v>310.31400000000002</v>
      </c>
      <c r="O58" s="6">
        <v>310.31400000000002</v>
      </c>
      <c r="P58" s="6">
        <v>0</v>
      </c>
      <c r="Q58" s="4" t="s">
        <v>26</v>
      </c>
      <c r="R58" s="4">
        <v>0</v>
      </c>
      <c r="S58" s="6">
        <v>0</v>
      </c>
      <c r="T58" s="6">
        <v>8</v>
      </c>
      <c r="U58" s="6">
        <v>63</v>
      </c>
      <c r="V58" s="6">
        <f>IF(ISERROR(VLOOKUP($S$58,'TAR FIN'!$A$1:$O$103,15,0)),0,VLOOKUP($S$58,'TAR FIN'!$A$1:$O$103,15,0))</f>
        <v>0</v>
      </c>
      <c r="W58" s="6">
        <f>IF(ISERROR(VLOOKUP($T$58,'TAR FIN'!$A$1:$O$103,15,0)),0,VLOOKUP($T$58,'TAR FIN'!$A$1:$O$103,15,0))</f>
        <v>69.37</v>
      </c>
      <c r="X58" s="6">
        <f>IF(ISERROR(VLOOKUP($U$58,'TAR FIN'!$A$1:$O$103,15,0)),0,VLOOKUP($U$58,'TAR FIN'!$A$1:$O$103,15,0))</f>
        <v>284.36</v>
      </c>
      <c r="Y58" s="6"/>
      <c r="Z58" s="6">
        <f ca="1">('TUSD BE'!$AM$12+'TUSD BF'!$AM$12+'TUSD CVA'!$AM$12)*1</f>
        <v>111.236500713561</v>
      </c>
      <c r="AA58" s="6">
        <f>('TE BE'!$AB$6+'TE BF'!$AB$6+'TE CVA'!$AB$6)*1</f>
        <v>259.03677522481752</v>
      </c>
      <c r="AB58" s="6">
        <f>$K$58*$V$58</f>
        <v>0</v>
      </c>
      <c r="AC58" s="6">
        <f>$M$58*$W$58</f>
        <v>21526.482180000003</v>
      </c>
      <c r="AD58" s="6">
        <f>$O$58*$X$58</f>
        <v>88240.889040000009</v>
      </c>
      <c r="AE58" s="6">
        <f>$K$58*$Y$58</f>
        <v>0</v>
      </c>
      <c r="AF58" s="6">
        <f ca="1">$M$58*$Z$58</f>
        <v>34518.24348242797</v>
      </c>
      <c r="AG58" s="6">
        <f>$O$58*$AA$58</f>
        <v>80382.737867114032</v>
      </c>
    </row>
    <row r="59" spans="1:33" ht="11.25" customHeight="1" x14ac:dyDescent="0.25">
      <c r="A59" s="4" t="s">
        <v>21</v>
      </c>
      <c r="B59" s="4" t="s">
        <v>42</v>
      </c>
      <c r="C59" s="4" t="s">
        <v>34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44593</v>
      </c>
      <c r="J59" s="6">
        <v>0</v>
      </c>
      <c r="K59" s="6">
        <v>0</v>
      </c>
      <c r="L59" s="6">
        <v>296.92399999999998</v>
      </c>
      <c r="M59" s="6">
        <v>296.92399999999998</v>
      </c>
      <c r="N59" s="6">
        <v>296.92399999999998</v>
      </c>
      <c r="O59" s="6">
        <v>296.92399999999998</v>
      </c>
      <c r="P59" s="6">
        <v>0</v>
      </c>
      <c r="Q59" s="4" t="s">
        <v>26</v>
      </c>
      <c r="R59" s="4">
        <v>0</v>
      </c>
      <c r="S59" s="6">
        <v>0</v>
      </c>
      <c r="T59" s="6">
        <v>8</v>
      </c>
      <c r="U59" s="6">
        <v>63</v>
      </c>
      <c r="V59" s="6">
        <f>IF(ISERROR(VLOOKUP($S$59,'TAR FIN'!$A$1:$O$103,15,0)),0,VLOOKUP($S$59,'TAR FIN'!$A$1:$O$103,15,0))</f>
        <v>0</v>
      </c>
      <c r="W59" s="6">
        <f>IF(ISERROR(VLOOKUP($T$59,'TAR FIN'!$A$1:$O$103,15,0)),0,VLOOKUP($T$59,'TAR FIN'!$A$1:$O$103,15,0))</f>
        <v>69.37</v>
      </c>
      <c r="X59" s="6">
        <f>IF(ISERROR(VLOOKUP($U$59,'TAR FIN'!$A$1:$O$103,15,0)),0,VLOOKUP($U$59,'TAR FIN'!$A$1:$O$103,15,0))</f>
        <v>284.36</v>
      </c>
      <c r="Y59" s="6"/>
      <c r="Z59" s="6">
        <f ca="1">('TUSD BE'!$AM$12+'TUSD BF'!$AM$12+'TUSD CVA'!$AM$12)*1</f>
        <v>111.236500713561</v>
      </c>
      <c r="AA59" s="6">
        <f>('TE BE'!$AB$6+'TE BF'!$AB$6+'TE CVA'!$AB$6)*1</f>
        <v>259.03677522481752</v>
      </c>
      <c r="AB59" s="6">
        <f>$K$59*$V$59</f>
        <v>0</v>
      </c>
      <c r="AC59" s="6">
        <f>$M$59*$W$59</f>
        <v>20597.617880000002</v>
      </c>
      <c r="AD59" s="6">
        <f>$O$59*$X$59</f>
        <v>84433.308640000003</v>
      </c>
      <c r="AE59" s="6">
        <f>$K$59*$Y$59</f>
        <v>0</v>
      </c>
      <c r="AF59" s="6">
        <f ca="1">$M$59*$Z$59</f>
        <v>33028.786737873386</v>
      </c>
      <c r="AG59" s="6">
        <f>$O$59*$AA$59</f>
        <v>76914.235446853709</v>
      </c>
    </row>
    <row r="60" spans="1:33" ht="11.25" customHeight="1" x14ac:dyDescent="0.25">
      <c r="A60" s="4" t="s">
        <v>21</v>
      </c>
      <c r="B60" s="4" t="s">
        <v>42</v>
      </c>
      <c r="C60" s="4" t="s">
        <v>34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44621</v>
      </c>
      <c r="J60" s="6">
        <v>0</v>
      </c>
      <c r="K60" s="6">
        <v>0</v>
      </c>
      <c r="L60" s="6">
        <v>340.31599999999997</v>
      </c>
      <c r="M60" s="6">
        <v>340.31599999999997</v>
      </c>
      <c r="N60" s="6">
        <v>340.31599999999997</v>
      </c>
      <c r="O60" s="6">
        <v>340.31599999999997</v>
      </c>
      <c r="P60" s="6">
        <v>0</v>
      </c>
      <c r="Q60" s="4" t="s">
        <v>26</v>
      </c>
      <c r="R60" s="4">
        <v>0</v>
      </c>
      <c r="S60" s="6">
        <v>0</v>
      </c>
      <c r="T60" s="6">
        <v>8</v>
      </c>
      <c r="U60" s="6">
        <v>63</v>
      </c>
      <c r="V60" s="6">
        <f>IF(ISERROR(VLOOKUP($S$60,'TAR FIN'!$A$1:$O$103,15,0)),0,VLOOKUP($S$60,'TAR FIN'!$A$1:$O$103,15,0))</f>
        <v>0</v>
      </c>
      <c r="W60" s="6">
        <f>IF(ISERROR(VLOOKUP($T$60,'TAR FIN'!$A$1:$O$103,15,0)),0,VLOOKUP($T$60,'TAR FIN'!$A$1:$O$103,15,0))</f>
        <v>69.37</v>
      </c>
      <c r="X60" s="6">
        <f>IF(ISERROR(VLOOKUP($U$60,'TAR FIN'!$A$1:$O$103,15,0)),0,VLOOKUP($U$60,'TAR FIN'!$A$1:$O$103,15,0))</f>
        <v>284.36</v>
      </c>
      <c r="Y60" s="6"/>
      <c r="Z60" s="6">
        <f ca="1">('TUSD BE'!$AM$12+'TUSD BF'!$AM$12+'TUSD CVA'!$AM$12)*1</f>
        <v>111.236500713561</v>
      </c>
      <c r="AA60" s="6">
        <f>('TE BE'!$AB$6+'TE BF'!$AB$6+'TE CVA'!$AB$6)*1</f>
        <v>259.03677522481752</v>
      </c>
      <c r="AB60" s="6">
        <f>$K$60*$V$60</f>
        <v>0</v>
      </c>
      <c r="AC60" s="6">
        <f>$M$60*$W$60</f>
        <v>23607.72092</v>
      </c>
      <c r="AD60" s="6">
        <f>$O$60*$X$60</f>
        <v>96772.257759999993</v>
      </c>
      <c r="AE60" s="6">
        <f>$K$60*$Y$60</f>
        <v>0</v>
      </c>
      <c r="AF60" s="6">
        <f ca="1">$M$60*$Z$60</f>
        <v>37855.560976836219</v>
      </c>
      <c r="AG60" s="6">
        <f>$O$60*$AA$60</f>
        <v>88154.359197408994</v>
      </c>
    </row>
    <row r="61" spans="1:33" ht="11.25" customHeight="1" x14ac:dyDescent="0.25">
      <c r="A61" s="4" t="s">
        <v>21</v>
      </c>
      <c r="B61" s="4" t="s">
        <v>42</v>
      </c>
      <c r="C61" s="4" t="s">
        <v>34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44652</v>
      </c>
      <c r="J61" s="6">
        <v>0</v>
      </c>
      <c r="K61" s="6">
        <v>0</v>
      </c>
      <c r="L61" s="6">
        <v>310.22500000000002</v>
      </c>
      <c r="M61" s="6">
        <v>310.22500000000002</v>
      </c>
      <c r="N61" s="6">
        <v>310.22500000000002</v>
      </c>
      <c r="O61" s="6">
        <v>310.22500000000002</v>
      </c>
      <c r="P61" s="6">
        <v>0</v>
      </c>
      <c r="Q61" s="4" t="s">
        <v>26</v>
      </c>
      <c r="R61" s="4">
        <v>0</v>
      </c>
      <c r="S61" s="6">
        <v>0</v>
      </c>
      <c r="T61" s="6">
        <v>8</v>
      </c>
      <c r="U61" s="6">
        <v>63</v>
      </c>
      <c r="V61" s="6">
        <f>IF(ISERROR(VLOOKUP($S$61,'TAR FIN'!$A$1:$O$103,15,0)),0,VLOOKUP($S$61,'TAR FIN'!$A$1:$O$103,15,0))</f>
        <v>0</v>
      </c>
      <c r="W61" s="6">
        <f>IF(ISERROR(VLOOKUP($T$61,'TAR FIN'!$A$1:$O$103,15,0)),0,VLOOKUP($T$61,'TAR FIN'!$A$1:$O$103,15,0))</f>
        <v>69.37</v>
      </c>
      <c r="X61" s="6">
        <f>IF(ISERROR(VLOOKUP($U$61,'TAR FIN'!$A$1:$O$103,15,0)),0,VLOOKUP($U$61,'TAR FIN'!$A$1:$O$103,15,0))</f>
        <v>284.36</v>
      </c>
      <c r="Y61" s="6"/>
      <c r="Z61" s="6">
        <f ca="1">('TUSD BE'!$AM$12+'TUSD BF'!$AM$12+'TUSD CVA'!$AM$12)*1</f>
        <v>111.236500713561</v>
      </c>
      <c r="AA61" s="6">
        <f>('TE BE'!$AB$6+'TE BF'!$AB$6+'TE CVA'!$AB$6)*1</f>
        <v>259.03677522481752</v>
      </c>
      <c r="AB61" s="6">
        <f>$K$61*$V$61</f>
        <v>0</v>
      </c>
      <c r="AC61" s="6">
        <f>$M$61*$W$61</f>
        <v>21520.308250000002</v>
      </c>
      <c r="AD61" s="6">
        <f>$O$61*$X$61</f>
        <v>88215.581000000006</v>
      </c>
      <c r="AE61" s="6">
        <f>$K$61*$Y$61</f>
        <v>0</v>
      </c>
      <c r="AF61" s="6">
        <f ca="1">$M$61*$Z$61</f>
        <v>34508.343433864466</v>
      </c>
      <c r="AG61" s="6">
        <f>$O$61*$AA$61</f>
        <v>80359.683594119022</v>
      </c>
    </row>
    <row r="62" spans="1:33" ht="11.25" customHeight="1" x14ac:dyDescent="0.25">
      <c r="A62" s="4" t="s">
        <v>21</v>
      </c>
      <c r="B62" s="4" t="s">
        <v>42</v>
      </c>
      <c r="C62" s="4" t="s">
        <v>34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44682</v>
      </c>
      <c r="J62" s="6">
        <v>0</v>
      </c>
      <c r="K62" s="6">
        <v>0</v>
      </c>
      <c r="L62" s="6">
        <v>333.02199999999999</v>
      </c>
      <c r="M62" s="6">
        <v>333.02199999999999</v>
      </c>
      <c r="N62" s="6">
        <v>333.02199999999999</v>
      </c>
      <c r="O62" s="6">
        <v>333.02199999999999</v>
      </c>
      <c r="P62" s="6">
        <v>0</v>
      </c>
      <c r="Q62" s="4" t="s">
        <v>26</v>
      </c>
      <c r="R62" s="4">
        <v>0</v>
      </c>
      <c r="S62" s="6">
        <v>0</v>
      </c>
      <c r="T62" s="6">
        <v>8</v>
      </c>
      <c r="U62" s="6">
        <v>63</v>
      </c>
      <c r="V62" s="6">
        <f>IF(ISERROR(VLOOKUP($S$62,'TAR FIN'!$A$1:$O$103,15,0)),0,VLOOKUP($S$62,'TAR FIN'!$A$1:$O$103,15,0))</f>
        <v>0</v>
      </c>
      <c r="W62" s="6">
        <f>IF(ISERROR(VLOOKUP($T$62,'TAR FIN'!$A$1:$O$103,15,0)),0,VLOOKUP($T$62,'TAR FIN'!$A$1:$O$103,15,0))</f>
        <v>69.37</v>
      </c>
      <c r="X62" s="6">
        <f>IF(ISERROR(VLOOKUP($U$62,'TAR FIN'!$A$1:$O$103,15,0)),0,VLOOKUP($U$62,'TAR FIN'!$A$1:$O$103,15,0))</f>
        <v>284.36</v>
      </c>
      <c r="Y62" s="6"/>
      <c r="Z62" s="6">
        <f ca="1">('TUSD BE'!$AM$12+'TUSD BF'!$AM$12+'TUSD CVA'!$AM$12)*1</f>
        <v>111.236500713561</v>
      </c>
      <c r="AA62" s="6">
        <f>('TE BE'!$AB$6+'TE BF'!$AB$6+'TE CVA'!$AB$6)*1</f>
        <v>259.03677522481752</v>
      </c>
      <c r="AB62" s="6">
        <f>$K$62*$V$62</f>
        <v>0</v>
      </c>
      <c r="AC62" s="6">
        <f>$M$62*$W$62</f>
        <v>23101.736140000001</v>
      </c>
      <c r="AD62" s="6">
        <f>$O$62*$X$62</f>
        <v>94698.135920000001</v>
      </c>
      <c r="AE62" s="6">
        <f>$K$62*$Y$62</f>
        <v>0</v>
      </c>
      <c r="AF62" s="6">
        <f ca="1">$M$62*$Z$62</f>
        <v>37044.201940631508</v>
      </c>
      <c r="AG62" s="6">
        <f>$O$62*$AA$62</f>
        <v>86264.944958919179</v>
      </c>
    </row>
    <row r="63" spans="1:33" ht="11.25" customHeight="1" x14ac:dyDescent="0.25">
      <c r="A63" s="4" t="s">
        <v>21</v>
      </c>
      <c r="B63" s="4" t="s">
        <v>42</v>
      </c>
      <c r="C63" s="4" t="s">
        <v>34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44348</v>
      </c>
      <c r="J63" s="6">
        <v>1365</v>
      </c>
      <c r="K63" s="6">
        <v>1365</v>
      </c>
      <c r="L63" s="6">
        <v>0</v>
      </c>
      <c r="M63" s="6">
        <v>0</v>
      </c>
      <c r="N63" s="6">
        <v>0</v>
      </c>
      <c r="O63" s="6">
        <v>0</v>
      </c>
      <c r="P63" s="6">
        <v>4</v>
      </c>
      <c r="Q63" s="4" t="s">
        <v>26</v>
      </c>
      <c r="R63" s="4">
        <v>0</v>
      </c>
      <c r="S63" s="6">
        <v>6</v>
      </c>
      <c r="T63" s="6">
        <v>0</v>
      </c>
      <c r="U63" s="6">
        <v>0</v>
      </c>
      <c r="V63" s="6">
        <f>IF(ISERROR(VLOOKUP($S$63,'TAR FIN'!$A$1:$O$103,15,0)),0,VLOOKUP($S$63,'TAR FIN'!$A$1:$O$103,15,0))</f>
        <v>12.42</v>
      </c>
      <c r="W63" s="6">
        <f>IF(ISERROR(VLOOKUP($T$63,'TAR FIN'!$A$1:$O$103,15,0)),0,VLOOKUP($T$63,'TAR FIN'!$A$1:$O$103,15,0))</f>
        <v>0</v>
      </c>
      <c r="X63" s="6">
        <f>IF(ISERROR(VLOOKUP($U$63,'TAR FIN'!$A$1:$O$103,15,0)),0,VLOOKUP($U$63,'TAR FIN'!$A$1:$O$103,15,0))</f>
        <v>0</v>
      </c>
      <c r="Y63" s="6">
        <f ca="1">('TUSD BE'!$AM$10+'TUSD BF'!$AM$10+'TUSD CVA'!$AM$10)*1</f>
        <v>16.518304697547443</v>
      </c>
      <c r="Z63" s="6"/>
      <c r="AA63" s="6"/>
      <c r="AB63" s="6">
        <f>$K$63*$V$63</f>
        <v>16953.3</v>
      </c>
      <c r="AC63" s="6">
        <f>$M$63*$W$63</f>
        <v>0</v>
      </c>
      <c r="AD63" s="6">
        <f>$O$63*$X$63</f>
        <v>0</v>
      </c>
      <c r="AE63" s="6">
        <f ca="1">$K$63*$Y$63</f>
        <v>22547.48591215226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42</v>
      </c>
      <c r="C64" s="4" t="s">
        <v>34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44378</v>
      </c>
      <c r="J64" s="6">
        <v>1427</v>
      </c>
      <c r="K64" s="6">
        <v>1427</v>
      </c>
      <c r="L64" s="6">
        <v>0</v>
      </c>
      <c r="M64" s="6">
        <v>0</v>
      </c>
      <c r="N64" s="6">
        <v>0</v>
      </c>
      <c r="O64" s="6">
        <v>0</v>
      </c>
      <c r="P64" s="6">
        <v>4</v>
      </c>
      <c r="Q64" s="4" t="s">
        <v>26</v>
      </c>
      <c r="R64" s="4">
        <v>0</v>
      </c>
      <c r="S64" s="6">
        <v>6</v>
      </c>
      <c r="T64" s="6">
        <v>0</v>
      </c>
      <c r="U64" s="6">
        <v>0</v>
      </c>
      <c r="V64" s="6">
        <f>IF(ISERROR(VLOOKUP($S$64,'TAR FIN'!$A$1:$O$103,15,0)),0,VLOOKUP($S$64,'TAR FIN'!$A$1:$O$103,15,0))</f>
        <v>12.42</v>
      </c>
      <c r="W64" s="6">
        <f>IF(ISERROR(VLOOKUP($T$64,'TAR FIN'!$A$1:$O$103,15,0)),0,VLOOKUP($T$64,'TAR FIN'!$A$1:$O$103,15,0))</f>
        <v>0</v>
      </c>
      <c r="X64" s="6">
        <f>IF(ISERROR(VLOOKUP($U$64,'TAR FIN'!$A$1:$O$103,15,0)),0,VLOOKUP($U$64,'TAR FIN'!$A$1:$O$103,15,0))</f>
        <v>0</v>
      </c>
      <c r="Y64" s="6">
        <f ca="1">('TUSD BE'!$AM$10+'TUSD BF'!$AM$10+'TUSD CVA'!$AM$10)*1</f>
        <v>16.518304697547443</v>
      </c>
      <c r="Z64" s="6"/>
      <c r="AA64" s="6"/>
      <c r="AB64" s="6">
        <f>$K$64*$V$64</f>
        <v>17723.34</v>
      </c>
      <c r="AC64" s="6">
        <f>$M$64*$W$64</f>
        <v>0</v>
      </c>
      <c r="AD64" s="6">
        <f>$O$64*$X$64</f>
        <v>0</v>
      </c>
      <c r="AE64" s="6">
        <f ca="1">$K$64*$Y$64</f>
        <v>23571.620803400201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42</v>
      </c>
      <c r="C65" s="4" t="s">
        <v>34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1379</v>
      </c>
      <c r="K65" s="6">
        <v>1379</v>
      </c>
      <c r="L65" s="6">
        <v>0</v>
      </c>
      <c r="M65" s="6">
        <v>0</v>
      </c>
      <c r="N65" s="6">
        <v>0</v>
      </c>
      <c r="O65" s="6">
        <v>0</v>
      </c>
      <c r="P65" s="6">
        <v>4</v>
      </c>
      <c r="Q65" s="4" t="s">
        <v>26</v>
      </c>
      <c r="R65" s="4">
        <v>0</v>
      </c>
      <c r="S65" s="6">
        <v>6</v>
      </c>
      <c r="T65" s="6">
        <v>0</v>
      </c>
      <c r="U65" s="6">
        <v>0</v>
      </c>
      <c r="V65" s="6">
        <f>IF(ISERROR(VLOOKUP($S$65,'TAR FIN'!$A$1:$O$103,15,0)),0,VLOOKUP($S$65,'TAR FIN'!$A$1:$O$103,15,0))</f>
        <v>12.42</v>
      </c>
      <c r="W65" s="6">
        <f>IF(ISERROR(VLOOKUP($T$65,'TAR FIN'!$A$1:$O$103,15,0)),0,VLOOKUP($T$65,'TAR FIN'!$A$1:$O$103,15,0))</f>
        <v>0</v>
      </c>
      <c r="X65" s="6">
        <f>IF(ISERROR(VLOOKUP($U$65,'TAR FIN'!$A$1:$O$103,15,0)),0,VLOOKUP($U$65,'TAR FIN'!$A$1:$O$103,15,0))</f>
        <v>0</v>
      </c>
      <c r="Y65" s="6">
        <f ca="1">('TUSD BE'!$AM$10+'TUSD BF'!$AM$10+'TUSD CVA'!$AM$10)*1</f>
        <v>16.518304697547443</v>
      </c>
      <c r="Z65" s="6"/>
      <c r="AA65" s="6"/>
      <c r="AB65" s="6">
        <f>$K$65*$V$65</f>
        <v>17127.18</v>
      </c>
      <c r="AC65" s="6">
        <f>$M$65*$W$65</f>
        <v>0</v>
      </c>
      <c r="AD65" s="6">
        <f>$O$65*$X$65</f>
        <v>0</v>
      </c>
      <c r="AE65" s="6">
        <f ca="1">$K$65*$Y$65</f>
        <v>22778.742177917924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42</v>
      </c>
      <c r="C66" s="4" t="s">
        <v>34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1272</v>
      </c>
      <c r="K66" s="6">
        <v>1272</v>
      </c>
      <c r="L66" s="6">
        <v>0</v>
      </c>
      <c r="M66" s="6">
        <v>0</v>
      </c>
      <c r="N66" s="6">
        <v>0</v>
      </c>
      <c r="O66" s="6">
        <v>0</v>
      </c>
      <c r="P66" s="6">
        <v>3</v>
      </c>
      <c r="Q66" s="4" t="s">
        <v>26</v>
      </c>
      <c r="R66" s="4">
        <v>0</v>
      </c>
      <c r="S66" s="6">
        <v>6</v>
      </c>
      <c r="T66" s="6">
        <v>0</v>
      </c>
      <c r="U66" s="6">
        <v>0</v>
      </c>
      <c r="V66" s="6">
        <f>IF(ISERROR(VLOOKUP($S$66,'TAR FIN'!$A$1:$O$103,15,0)),0,VLOOKUP($S$66,'TAR FIN'!$A$1:$O$103,15,0))</f>
        <v>12.42</v>
      </c>
      <c r="W66" s="6">
        <f>IF(ISERROR(VLOOKUP($T$66,'TAR FIN'!$A$1:$O$103,15,0)),0,VLOOKUP($T$66,'TAR FIN'!$A$1:$O$103,15,0))</f>
        <v>0</v>
      </c>
      <c r="X66" s="6">
        <f>IF(ISERROR(VLOOKUP($U$66,'TAR FIN'!$A$1:$O$103,15,0)),0,VLOOKUP($U$66,'TAR FIN'!$A$1:$O$103,15,0))</f>
        <v>0</v>
      </c>
      <c r="Y66" s="6">
        <f ca="1">('TUSD BE'!$AM$10+'TUSD BF'!$AM$10+'TUSD CVA'!$AM$10)*1</f>
        <v>16.518304697547443</v>
      </c>
      <c r="Z66" s="6"/>
      <c r="AA66" s="6"/>
      <c r="AB66" s="6">
        <f>$K$66*$V$66</f>
        <v>15798.24</v>
      </c>
      <c r="AC66" s="6">
        <f>$M$66*$W$66</f>
        <v>0</v>
      </c>
      <c r="AD66" s="6">
        <f>$O$66*$X$66</f>
        <v>0</v>
      </c>
      <c r="AE66" s="6">
        <f ca="1">$K$66*$Y$66</f>
        <v>21011.283575280348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42</v>
      </c>
      <c r="C67" s="4" t="s">
        <v>34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44470</v>
      </c>
      <c r="J67" s="6">
        <v>1164</v>
      </c>
      <c r="K67" s="6">
        <v>1164</v>
      </c>
      <c r="L67" s="6">
        <v>0</v>
      </c>
      <c r="M67" s="6">
        <v>0</v>
      </c>
      <c r="N67" s="6">
        <v>0</v>
      </c>
      <c r="O67" s="6">
        <v>0</v>
      </c>
      <c r="P67" s="6">
        <v>2</v>
      </c>
      <c r="Q67" s="4" t="s">
        <v>26</v>
      </c>
      <c r="R67" s="4">
        <v>0</v>
      </c>
      <c r="S67" s="6">
        <v>6</v>
      </c>
      <c r="T67" s="6">
        <v>0</v>
      </c>
      <c r="U67" s="6">
        <v>0</v>
      </c>
      <c r="V67" s="6">
        <f>IF(ISERROR(VLOOKUP($S$67,'TAR FIN'!$A$1:$O$103,15,0)),0,VLOOKUP($S$67,'TAR FIN'!$A$1:$O$103,15,0))</f>
        <v>12.42</v>
      </c>
      <c r="W67" s="6">
        <f>IF(ISERROR(VLOOKUP($T$67,'TAR FIN'!$A$1:$O$103,15,0)),0,VLOOKUP($T$67,'TAR FIN'!$A$1:$O$103,15,0))</f>
        <v>0</v>
      </c>
      <c r="X67" s="6">
        <f>IF(ISERROR(VLOOKUP($U$67,'TAR FIN'!$A$1:$O$103,15,0)),0,VLOOKUP($U$67,'TAR FIN'!$A$1:$O$103,15,0))</f>
        <v>0</v>
      </c>
      <c r="Y67" s="6">
        <f ca="1">('TUSD BE'!$AM$10+'TUSD BF'!$AM$10+'TUSD CVA'!$AM$10)*1</f>
        <v>16.518304697547443</v>
      </c>
      <c r="Z67" s="6"/>
      <c r="AA67" s="6"/>
      <c r="AB67" s="6">
        <f>$K$67*$V$67</f>
        <v>14456.88</v>
      </c>
      <c r="AC67" s="6">
        <f>$M$67*$W$67</f>
        <v>0</v>
      </c>
      <c r="AD67" s="6">
        <f>$O$67*$X$67</f>
        <v>0</v>
      </c>
      <c r="AE67" s="6">
        <f ca="1">$K$67*$Y$67</f>
        <v>19227.306667945224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42</v>
      </c>
      <c r="C68" s="4" t="s">
        <v>34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44501</v>
      </c>
      <c r="J68" s="6">
        <v>1136</v>
      </c>
      <c r="K68" s="6">
        <v>1136</v>
      </c>
      <c r="L68" s="6">
        <v>0</v>
      </c>
      <c r="M68" s="6">
        <v>0</v>
      </c>
      <c r="N68" s="6">
        <v>0</v>
      </c>
      <c r="O68" s="6">
        <v>0</v>
      </c>
      <c r="P68" s="6">
        <v>2</v>
      </c>
      <c r="Q68" s="4" t="s">
        <v>26</v>
      </c>
      <c r="R68" s="4">
        <v>0</v>
      </c>
      <c r="S68" s="6">
        <v>6</v>
      </c>
      <c r="T68" s="6">
        <v>0</v>
      </c>
      <c r="U68" s="6">
        <v>0</v>
      </c>
      <c r="V68" s="6">
        <f>IF(ISERROR(VLOOKUP($S$68,'TAR FIN'!$A$1:$O$103,15,0)),0,VLOOKUP($S$68,'TAR FIN'!$A$1:$O$103,15,0))</f>
        <v>12.42</v>
      </c>
      <c r="W68" s="6">
        <f>IF(ISERROR(VLOOKUP($T$68,'TAR FIN'!$A$1:$O$103,15,0)),0,VLOOKUP($T$68,'TAR FIN'!$A$1:$O$103,15,0))</f>
        <v>0</v>
      </c>
      <c r="X68" s="6">
        <f>IF(ISERROR(VLOOKUP($U$68,'TAR FIN'!$A$1:$O$103,15,0)),0,VLOOKUP($U$68,'TAR FIN'!$A$1:$O$103,15,0))</f>
        <v>0</v>
      </c>
      <c r="Y68" s="6">
        <f ca="1">('TUSD BE'!$AM$10+'TUSD BF'!$AM$10+'TUSD CVA'!$AM$10)*1</f>
        <v>16.518304697547443</v>
      </c>
      <c r="Z68" s="6"/>
      <c r="AA68" s="6"/>
      <c r="AB68" s="6">
        <f>$K$68*$V$68</f>
        <v>14109.12</v>
      </c>
      <c r="AC68" s="6">
        <f>$M$68*$W$68</f>
        <v>0</v>
      </c>
      <c r="AD68" s="6">
        <f>$O$68*$X$68</f>
        <v>0</v>
      </c>
      <c r="AE68" s="6">
        <f ca="1">$K$68*$Y$68</f>
        <v>18764.794136413893</v>
      </c>
      <c r="AF68" s="6">
        <f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42</v>
      </c>
      <c r="C69" s="4" t="s">
        <v>34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1114</v>
      </c>
      <c r="K69" s="6">
        <v>1114</v>
      </c>
      <c r="L69" s="6">
        <v>0</v>
      </c>
      <c r="M69" s="6">
        <v>0</v>
      </c>
      <c r="N69" s="6">
        <v>0</v>
      </c>
      <c r="O69" s="6">
        <v>0</v>
      </c>
      <c r="P69" s="6">
        <v>2</v>
      </c>
      <c r="Q69" s="4" t="s">
        <v>26</v>
      </c>
      <c r="R69" s="4">
        <v>0</v>
      </c>
      <c r="S69" s="6">
        <v>6</v>
      </c>
      <c r="T69" s="6">
        <v>0</v>
      </c>
      <c r="U69" s="6">
        <v>0</v>
      </c>
      <c r="V69" s="6">
        <f>IF(ISERROR(VLOOKUP($S$69,'TAR FIN'!$A$1:$O$103,15,0)),0,VLOOKUP($S$69,'TAR FIN'!$A$1:$O$103,15,0))</f>
        <v>12.42</v>
      </c>
      <c r="W69" s="6">
        <f>IF(ISERROR(VLOOKUP($T$69,'TAR FIN'!$A$1:$O$103,15,0)),0,VLOOKUP($T$69,'TAR FIN'!$A$1:$O$103,15,0))</f>
        <v>0</v>
      </c>
      <c r="X69" s="6">
        <f>IF(ISERROR(VLOOKUP($U$69,'TAR FIN'!$A$1:$O$103,15,0)),0,VLOOKUP($U$69,'TAR FIN'!$A$1:$O$103,15,0))</f>
        <v>0</v>
      </c>
      <c r="Y69" s="6">
        <f ca="1">('TUSD BE'!$AM$10+'TUSD BF'!$AM$10+'TUSD CVA'!$AM$10)*1</f>
        <v>16.518304697547443</v>
      </c>
      <c r="Z69" s="6"/>
      <c r="AA69" s="6"/>
      <c r="AB69" s="6">
        <f>$K$69*$V$69</f>
        <v>13835.88</v>
      </c>
      <c r="AC69" s="6">
        <f>$M$69*$W$69</f>
        <v>0</v>
      </c>
      <c r="AD69" s="6">
        <f>$O$69*$X$69</f>
        <v>0</v>
      </c>
      <c r="AE69" s="6">
        <f ca="1">$K$69*$Y$69</f>
        <v>18401.391433067853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28</v>
      </c>
      <c r="B70" s="4" t="s">
        <v>42</v>
      </c>
      <c r="C70" s="4" t="s">
        <v>34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44531</v>
      </c>
      <c r="J70" s="6">
        <v>216</v>
      </c>
      <c r="K70" s="6">
        <v>216</v>
      </c>
      <c r="L70" s="6">
        <v>0</v>
      </c>
      <c r="M70" s="6">
        <v>0</v>
      </c>
      <c r="N70" s="6">
        <v>0</v>
      </c>
      <c r="O70" s="6">
        <v>0</v>
      </c>
      <c r="P70" s="6">
        <v>2</v>
      </c>
      <c r="Q70" s="4" t="s">
        <v>26</v>
      </c>
      <c r="R70" s="4">
        <v>0</v>
      </c>
      <c r="S70" s="6">
        <v>6</v>
      </c>
      <c r="T70" s="6">
        <v>0</v>
      </c>
      <c r="U70" s="6">
        <v>0</v>
      </c>
      <c r="V70" s="6">
        <f>IF(ISERROR(VLOOKUP($S$70,'TAR FIN'!$A$1:$O$103,15,0)),0,VLOOKUP($S$70,'TAR FIN'!$A$1:$O$103,15,0))</f>
        <v>12.42</v>
      </c>
      <c r="W70" s="6">
        <f>IF(ISERROR(VLOOKUP($T$70,'TAR FIN'!$A$1:$O$103,15,0)),0,VLOOKUP($T$70,'TAR FIN'!$A$1:$O$103,15,0))</f>
        <v>0</v>
      </c>
      <c r="X70" s="6">
        <f>IF(ISERROR(VLOOKUP($U$70,'TAR FIN'!$A$1:$O$103,15,0)),0,VLOOKUP($U$70,'TAR FIN'!$A$1:$O$103,15,0))</f>
        <v>0</v>
      </c>
      <c r="Y70" s="6">
        <f ca="1">('TUSD BE'!$AM$10+'TUSD BF'!$AM$10+'TUSD CVA'!$AM$10)*1</f>
        <v>16.518304697547443</v>
      </c>
      <c r="Z70" s="6"/>
      <c r="AA70" s="6"/>
      <c r="AB70" s="6">
        <f>$K$70*$V$70</f>
        <v>2682.72</v>
      </c>
      <c r="AC70" s="6">
        <f>$M$70*$W$70</f>
        <v>0</v>
      </c>
      <c r="AD70" s="6">
        <f>$O$70*$X$70</f>
        <v>0</v>
      </c>
      <c r="AE70" s="6">
        <f ca="1">$K$70*$Y$70</f>
        <v>3567.9538146702475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42</v>
      </c>
      <c r="C71" s="4" t="s">
        <v>34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44562</v>
      </c>
      <c r="J71" s="6">
        <v>1105</v>
      </c>
      <c r="K71" s="6">
        <v>1105</v>
      </c>
      <c r="L71" s="6">
        <v>0</v>
      </c>
      <c r="M71" s="6">
        <v>0</v>
      </c>
      <c r="N71" s="6">
        <v>0</v>
      </c>
      <c r="O71" s="6">
        <v>0</v>
      </c>
      <c r="P71" s="6">
        <v>2</v>
      </c>
      <c r="Q71" s="4" t="s">
        <v>26</v>
      </c>
      <c r="R71" s="4">
        <v>0</v>
      </c>
      <c r="S71" s="6">
        <v>6</v>
      </c>
      <c r="T71" s="6">
        <v>0</v>
      </c>
      <c r="U71" s="6">
        <v>0</v>
      </c>
      <c r="V71" s="6">
        <f>IF(ISERROR(VLOOKUP($S$71,'TAR FIN'!$A$1:$O$103,15,0)),0,VLOOKUP($S$71,'TAR FIN'!$A$1:$O$103,15,0))</f>
        <v>12.42</v>
      </c>
      <c r="W71" s="6">
        <f>IF(ISERROR(VLOOKUP($T$71,'TAR FIN'!$A$1:$O$103,15,0)),0,VLOOKUP($T$71,'TAR FIN'!$A$1:$O$103,15,0))</f>
        <v>0</v>
      </c>
      <c r="X71" s="6">
        <f>IF(ISERROR(VLOOKUP($U$71,'TAR FIN'!$A$1:$O$103,15,0)),0,VLOOKUP($U$71,'TAR FIN'!$A$1:$O$103,15,0))</f>
        <v>0</v>
      </c>
      <c r="Y71" s="6">
        <f ca="1">('TUSD BE'!$AM$10+'TUSD BF'!$AM$10+'TUSD CVA'!$AM$10)*1</f>
        <v>16.518304697547443</v>
      </c>
      <c r="Z71" s="6"/>
      <c r="AA71" s="6"/>
      <c r="AB71" s="6">
        <f>$K$71*$V$71</f>
        <v>13724.1</v>
      </c>
      <c r="AC71" s="6">
        <f>$M$71*$W$71</f>
        <v>0</v>
      </c>
      <c r="AD71" s="6">
        <f>$O$71*$X$71</f>
        <v>0</v>
      </c>
      <c r="AE71" s="6">
        <f ca="1">$K$71*$Y$71</f>
        <v>18252.726690789925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28</v>
      </c>
      <c r="B72" s="4" t="s">
        <v>42</v>
      </c>
      <c r="C72" s="4" t="s">
        <v>34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44562</v>
      </c>
      <c r="J72" s="6">
        <v>219</v>
      </c>
      <c r="K72" s="6">
        <v>219</v>
      </c>
      <c r="L72" s="6">
        <v>0</v>
      </c>
      <c r="M72" s="6">
        <v>0</v>
      </c>
      <c r="N72" s="6">
        <v>0</v>
      </c>
      <c r="O72" s="6">
        <v>0</v>
      </c>
      <c r="P72" s="6">
        <v>2</v>
      </c>
      <c r="Q72" s="4" t="s">
        <v>26</v>
      </c>
      <c r="R72" s="4">
        <v>0</v>
      </c>
      <c r="S72" s="6">
        <v>6</v>
      </c>
      <c r="T72" s="6">
        <v>0</v>
      </c>
      <c r="U72" s="6">
        <v>0</v>
      </c>
      <c r="V72" s="6">
        <f>IF(ISERROR(VLOOKUP($S$72,'TAR FIN'!$A$1:$O$103,15,0)),0,VLOOKUP($S$72,'TAR FIN'!$A$1:$O$103,15,0))</f>
        <v>12.42</v>
      </c>
      <c r="W72" s="6">
        <f>IF(ISERROR(VLOOKUP($T$72,'TAR FIN'!$A$1:$O$103,15,0)),0,VLOOKUP($T$72,'TAR FIN'!$A$1:$O$103,15,0))</f>
        <v>0</v>
      </c>
      <c r="X72" s="6">
        <f>IF(ISERROR(VLOOKUP($U$72,'TAR FIN'!$A$1:$O$103,15,0)),0,VLOOKUP($U$72,'TAR FIN'!$A$1:$O$103,15,0))</f>
        <v>0</v>
      </c>
      <c r="Y72" s="6">
        <f ca="1">('TUSD BE'!$AM$10+'TUSD BF'!$AM$10+'TUSD CVA'!$AM$10)*1</f>
        <v>16.518304697547443</v>
      </c>
      <c r="Z72" s="6"/>
      <c r="AA72" s="6"/>
      <c r="AB72" s="6">
        <f>$K$72*$V$72</f>
        <v>2719.98</v>
      </c>
      <c r="AC72" s="6">
        <f>$M$72*$W$72</f>
        <v>0</v>
      </c>
      <c r="AD72" s="6">
        <f>$O$72*$X$72</f>
        <v>0</v>
      </c>
      <c r="AE72" s="6">
        <f ca="1">$K$72*$Y$72</f>
        <v>3617.5087287628899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42</v>
      </c>
      <c r="C73" s="4" t="s">
        <v>34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44593</v>
      </c>
      <c r="J73" s="6">
        <v>1156</v>
      </c>
      <c r="K73" s="6">
        <v>1156</v>
      </c>
      <c r="L73" s="6">
        <v>0</v>
      </c>
      <c r="M73" s="6">
        <v>0</v>
      </c>
      <c r="N73" s="6">
        <v>0</v>
      </c>
      <c r="O73" s="6">
        <v>0</v>
      </c>
      <c r="P73" s="6">
        <v>2</v>
      </c>
      <c r="Q73" s="4" t="s">
        <v>26</v>
      </c>
      <c r="R73" s="4">
        <v>0</v>
      </c>
      <c r="S73" s="6">
        <v>6</v>
      </c>
      <c r="T73" s="6">
        <v>0</v>
      </c>
      <c r="U73" s="6">
        <v>0</v>
      </c>
      <c r="V73" s="6">
        <f>IF(ISERROR(VLOOKUP($S$73,'TAR FIN'!$A$1:$O$103,15,0)),0,VLOOKUP($S$73,'TAR FIN'!$A$1:$O$103,15,0))</f>
        <v>12.42</v>
      </c>
      <c r="W73" s="6">
        <f>IF(ISERROR(VLOOKUP($T$73,'TAR FIN'!$A$1:$O$103,15,0)),0,VLOOKUP($T$73,'TAR FIN'!$A$1:$O$103,15,0))</f>
        <v>0</v>
      </c>
      <c r="X73" s="6">
        <f>IF(ISERROR(VLOOKUP($U$73,'TAR FIN'!$A$1:$O$103,15,0)),0,VLOOKUP($U$73,'TAR FIN'!$A$1:$O$103,15,0))</f>
        <v>0</v>
      </c>
      <c r="Y73" s="6">
        <f ca="1">('TUSD BE'!$AM$10+'TUSD BF'!$AM$10+'TUSD CVA'!$AM$10)*1</f>
        <v>16.518304697547443</v>
      </c>
      <c r="Z73" s="6"/>
      <c r="AA73" s="6"/>
      <c r="AB73" s="6">
        <f>$K$73*$V$73</f>
        <v>14357.52</v>
      </c>
      <c r="AC73" s="6">
        <f>$M$73*$W$73</f>
        <v>0</v>
      </c>
      <c r="AD73" s="6">
        <f>$O$73*$X$73</f>
        <v>0</v>
      </c>
      <c r="AE73" s="6">
        <f ca="1">$K$73*$Y$73</f>
        <v>19095.160230364843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28</v>
      </c>
      <c r="B74" s="4" t="s">
        <v>42</v>
      </c>
      <c r="C74" s="4" t="s">
        <v>34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44593</v>
      </c>
      <c r="J74" s="6">
        <v>216</v>
      </c>
      <c r="K74" s="6">
        <v>216</v>
      </c>
      <c r="L74" s="6">
        <v>0</v>
      </c>
      <c r="M74" s="6">
        <v>0</v>
      </c>
      <c r="N74" s="6">
        <v>0</v>
      </c>
      <c r="O74" s="6">
        <v>0</v>
      </c>
      <c r="P74" s="6">
        <v>2</v>
      </c>
      <c r="Q74" s="4" t="s">
        <v>26</v>
      </c>
      <c r="R74" s="4">
        <v>0</v>
      </c>
      <c r="S74" s="6">
        <v>6</v>
      </c>
      <c r="T74" s="6">
        <v>0</v>
      </c>
      <c r="U74" s="6">
        <v>0</v>
      </c>
      <c r="V74" s="6">
        <f>IF(ISERROR(VLOOKUP($S$74,'TAR FIN'!$A$1:$O$103,15,0)),0,VLOOKUP($S$74,'TAR FIN'!$A$1:$O$103,15,0))</f>
        <v>12.42</v>
      </c>
      <c r="W74" s="6">
        <f>IF(ISERROR(VLOOKUP($T$74,'TAR FIN'!$A$1:$O$103,15,0)),0,VLOOKUP($T$74,'TAR FIN'!$A$1:$O$103,15,0))</f>
        <v>0</v>
      </c>
      <c r="X74" s="6">
        <f>IF(ISERROR(VLOOKUP($U$74,'TAR FIN'!$A$1:$O$103,15,0)),0,VLOOKUP($U$74,'TAR FIN'!$A$1:$O$103,15,0))</f>
        <v>0</v>
      </c>
      <c r="Y74" s="6">
        <f ca="1">('TUSD BE'!$AM$10+'TUSD BF'!$AM$10+'TUSD CVA'!$AM$10)*1</f>
        <v>16.518304697547443</v>
      </c>
      <c r="Z74" s="6"/>
      <c r="AA74" s="6"/>
      <c r="AB74" s="6">
        <f>$K$74*$V$74</f>
        <v>2682.72</v>
      </c>
      <c r="AC74" s="6">
        <f>$M$74*$W$74</f>
        <v>0</v>
      </c>
      <c r="AD74" s="6">
        <f>$O$74*$X$74</f>
        <v>0</v>
      </c>
      <c r="AE74" s="6">
        <f ca="1">$K$74*$Y$74</f>
        <v>3567.9538146702475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42</v>
      </c>
      <c r="C75" s="4" t="s">
        <v>34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44621</v>
      </c>
      <c r="J75" s="6">
        <v>1177</v>
      </c>
      <c r="K75" s="6">
        <v>1177</v>
      </c>
      <c r="L75" s="6">
        <v>0</v>
      </c>
      <c r="M75" s="6">
        <v>0</v>
      </c>
      <c r="N75" s="6">
        <v>0</v>
      </c>
      <c r="O75" s="6">
        <v>0</v>
      </c>
      <c r="P75" s="6">
        <v>2</v>
      </c>
      <c r="Q75" s="4" t="s">
        <v>26</v>
      </c>
      <c r="R75" s="4">
        <v>0</v>
      </c>
      <c r="S75" s="6">
        <v>6</v>
      </c>
      <c r="T75" s="6">
        <v>0</v>
      </c>
      <c r="U75" s="6">
        <v>0</v>
      </c>
      <c r="V75" s="6">
        <f>IF(ISERROR(VLOOKUP($S$75,'TAR FIN'!$A$1:$O$103,15,0)),0,VLOOKUP($S$75,'TAR FIN'!$A$1:$O$103,15,0))</f>
        <v>12.42</v>
      </c>
      <c r="W75" s="6">
        <f>IF(ISERROR(VLOOKUP($T$75,'TAR FIN'!$A$1:$O$103,15,0)),0,VLOOKUP($T$75,'TAR FIN'!$A$1:$O$103,15,0))</f>
        <v>0</v>
      </c>
      <c r="X75" s="6">
        <f>IF(ISERROR(VLOOKUP($U$75,'TAR FIN'!$A$1:$O$103,15,0)),0,VLOOKUP($U$75,'TAR FIN'!$A$1:$O$103,15,0))</f>
        <v>0</v>
      </c>
      <c r="Y75" s="6">
        <f ca="1">('TUSD BE'!$AM$10+'TUSD BF'!$AM$10+'TUSD CVA'!$AM$10)*1</f>
        <v>16.518304697547443</v>
      </c>
      <c r="Z75" s="6"/>
      <c r="AA75" s="6"/>
      <c r="AB75" s="6">
        <f>$K$75*$V$75</f>
        <v>14618.34</v>
      </c>
      <c r="AC75" s="6">
        <f>$M$75*$W$75</f>
        <v>0</v>
      </c>
      <c r="AD75" s="6">
        <f>$O$75*$X$75</f>
        <v>0</v>
      </c>
      <c r="AE75" s="6">
        <f ca="1">$K$75*$Y$75</f>
        <v>19442.04462901334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28</v>
      </c>
      <c r="B76" s="4" t="s">
        <v>42</v>
      </c>
      <c r="C76" s="4" t="s">
        <v>34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44621</v>
      </c>
      <c r="J76" s="6">
        <v>215</v>
      </c>
      <c r="K76" s="6">
        <v>215</v>
      </c>
      <c r="L76" s="6">
        <v>0</v>
      </c>
      <c r="M76" s="6">
        <v>0</v>
      </c>
      <c r="N76" s="6">
        <v>0</v>
      </c>
      <c r="O76" s="6">
        <v>0</v>
      </c>
      <c r="P76" s="6">
        <v>2</v>
      </c>
      <c r="Q76" s="4" t="s">
        <v>26</v>
      </c>
      <c r="R76" s="4">
        <v>0</v>
      </c>
      <c r="S76" s="6">
        <v>6</v>
      </c>
      <c r="T76" s="6">
        <v>0</v>
      </c>
      <c r="U76" s="6">
        <v>0</v>
      </c>
      <c r="V76" s="6">
        <f>IF(ISERROR(VLOOKUP($S$76,'TAR FIN'!$A$1:$O$103,15,0)),0,VLOOKUP($S$76,'TAR FIN'!$A$1:$O$103,15,0))</f>
        <v>12.42</v>
      </c>
      <c r="W76" s="6">
        <f>IF(ISERROR(VLOOKUP($T$76,'TAR FIN'!$A$1:$O$103,15,0)),0,VLOOKUP($T$76,'TAR FIN'!$A$1:$O$103,15,0))</f>
        <v>0</v>
      </c>
      <c r="X76" s="6">
        <f>IF(ISERROR(VLOOKUP($U$76,'TAR FIN'!$A$1:$O$103,15,0)),0,VLOOKUP($U$76,'TAR FIN'!$A$1:$O$103,15,0))</f>
        <v>0</v>
      </c>
      <c r="Y76" s="6">
        <f ca="1">('TUSD BE'!$AM$10+'TUSD BF'!$AM$10+'TUSD CVA'!$AM$10)*1</f>
        <v>16.518304697547443</v>
      </c>
      <c r="Z76" s="6"/>
      <c r="AA76" s="6"/>
      <c r="AB76" s="6">
        <f>$K$76*$V$76</f>
        <v>2670.3</v>
      </c>
      <c r="AC76" s="6">
        <f>$M$76*$W$76</f>
        <v>0</v>
      </c>
      <c r="AD76" s="6">
        <f>$O$76*$X$76</f>
        <v>0</v>
      </c>
      <c r="AE76" s="6">
        <f ca="1">$K$76*$Y$76</f>
        <v>3551.4355099726999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42</v>
      </c>
      <c r="C77" s="4" t="s">
        <v>34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44652</v>
      </c>
      <c r="J77" s="6">
        <v>1181</v>
      </c>
      <c r="K77" s="6">
        <v>1181</v>
      </c>
      <c r="L77" s="6">
        <v>0</v>
      </c>
      <c r="M77" s="6">
        <v>0</v>
      </c>
      <c r="N77" s="6">
        <v>0</v>
      </c>
      <c r="O77" s="6">
        <v>0</v>
      </c>
      <c r="P77" s="6">
        <v>2</v>
      </c>
      <c r="Q77" s="4" t="s">
        <v>26</v>
      </c>
      <c r="R77" s="4">
        <v>0</v>
      </c>
      <c r="S77" s="6">
        <v>6</v>
      </c>
      <c r="T77" s="6">
        <v>0</v>
      </c>
      <c r="U77" s="6">
        <v>0</v>
      </c>
      <c r="V77" s="6">
        <f>IF(ISERROR(VLOOKUP($S$77,'TAR FIN'!$A$1:$O$103,15,0)),0,VLOOKUP($S$77,'TAR FIN'!$A$1:$O$103,15,0))</f>
        <v>12.42</v>
      </c>
      <c r="W77" s="6">
        <f>IF(ISERROR(VLOOKUP($T$77,'TAR FIN'!$A$1:$O$103,15,0)),0,VLOOKUP($T$77,'TAR FIN'!$A$1:$O$103,15,0))</f>
        <v>0</v>
      </c>
      <c r="X77" s="6">
        <f>IF(ISERROR(VLOOKUP($U$77,'TAR FIN'!$A$1:$O$103,15,0)),0,VLOOKUP($U$77,'TAR FIN'!$A$1:$O$103,15,0))</f>
        <v>0</v>
      </c>
      <c r="Y77" s="6">
        <f ca="1">('TUSD BE'!$AM$10+'TUSD BF'!$AM$10+'TUSD CVA'!$AM$10)*1</f>
        <v>16.518304697547443</v>
      </c>
      <c r="Z77" s="6"/>
      <c r="AA77" s="6"/>
      <c r="AB77" s="6">
        <f>$K$77*$V$77</f>
        <v>14668.02</v>
      </c>
      <c r="AC77" s="6">
        <f>$M$77*$W$77</f>
        <v>0</v>
      </c>
      <c r="AD77" s="6">
        <f>$O$77*$X$77</f>
        <v>0</v>
      </c>
      <c r="AE77" s="6">
        <f ca="1">$K$77*$Y$77</f>
        <v>19508.117847803529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28</v>
      </c>
      <c r="B78" s="4" t="s">
        <v>42</v>
      </c>
      <c r="C78" s="4" t="s">
        <v>34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44652</v>
      </c>
      <c r="J78" s="6">
        <v>209</v>
      </c>
      <c r="K78" s="6">
        <v>209</v>
      </c>
      <c r="L78" s="6">
        <v>0</v>
      </c>
      <c r="M78" s="6">
        <v>0</v>
      </c>
      <c r="N78" s="6">
        <v>0</v>
      </c>
      <c r="O78" s="6">
        <v>0</v>
      </c>
      <c r="P78" s="6">
        <v>2</v>
      </c>
      <c r="Q78" s="4" t="s">
        <v>26</v>
      </c>
      <c r="R78" s="4">
        <v>0</v>
      </c>
      <c r="S78" s="6">
        <v>6</v>
      </c>
      <c r="T78" s="6">
        <v>0</v>
      </c>
      <c r="U78" s="6">
        <v>0</v>
      </c>
      <c r="V78" s="6">
        <f>IF(ISERROR(VLOOKUP($S$78,'TAR FIN'!$A$1:$O$103,15,0)),0,VLOOKUP($S$78,'TAR FIN'!$A$1:$O$103,15,0))</f>
        <v>12.42</v>
      </c>
      <c r="W78" s="6">
        <f>IF(ISERROR(VLOOKUP($T$78,'TAR FIN'!$A$1:$O$103,15,0)),0,VLOOKUP($T$78,'TAR FIN'!$A$1:$O$103,15,0))</f>
        <v>0</v>
      </c>
      <c r="X78" s="6">
        <f>IF(ISERROR(VLOOKUP($U$78,'TAR FIN'!$A$1:$O$103,15,0)),0,VLOOKUP($U$78,'TAR FIN'!$A$1:$O$103,15,0))</f>
        <v>0</v>
      </c>
      <c r="Y78" s="6">
        <f ca="1">('TUSD BE'!$AM$10+'TUSD BF'!$AM$10+'TUSD CVA'!$AM$10)*1</f>
        <v>16.518304697547443</v>
      </c>
      <c r="Z78" s="6"/>
      <c r="AA78" s="6"/>
      <c r="AB78" s="6">
        <f>$K$78*$V$78</f>
        <v>2595.7800000000002</v>
      </c>
      <c r="AC78" s="6">
        <f>$M$78*$W$78</f>
        <v>0</v>
      </c>
      <c r="AD78" s="6">
        <f>$O$78*$X$78</f>
        <v>0</v>
      </c>
      <c r="AE78" s="6">
        <f ca="1">$K$78*$Y$78</f>
        <v>3452.3256817874153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42</v>
      </c>
      <c r="C79" s="4" t="s">
        <v>34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44682</v>
      </c>
      <c r="J79" s="6">
        <v>1180</v>
      </c>
      <c r="K79" s="6">
        <v>1180</v>
      </c>
      <c r="L79" s="6">
        <v>0</v>
      </c>
      <c r="M79" s="6">
        <v>0</v>
      </c>
      <c r="N79" s="6">
        <v>0</v>
      </c>
      <c r="O79" s="6">
        <v>0</v>
      </c>
      <c r="P79" s="6">
        <v>2</v>
      </c>
      <c r="Q79" s="4" t="s">
        <v>26</v>
      </c>
      <c r="R79" s="4">
        <v>0</v>
      </c>
      <c r="S79" s="6">
        <v>6</v>
      </c>
      <c r="T79" s="6">
        <v>0</v>
      </c>
      <c r="U79" s="6">
        <v>0</v>
      </c>
      <c r="V79" s="6">
        <f>IF(ISERROR(VLOOKUP($S$79,'TAR FIN'!$A$1:$O$103,15,0)),0,VLOOKUP($S$79,'TAR FIN'!$A$1:$O$103,15,0))</f>
        <v>12.42</v>
      </c>
      <c r="W79" s="6">
        <f>IF(ISERROR(VLOOKUP($T$79,'TAR FIN'!$A$1:$O$103,15,0)),0,VLOOKUP($T$79,'TAR FIN'!$A$1:$O$103,15,0))</f>
        <v>0</v>
      </c>
      <c r="X79" s="6">
        <f>IF(ISERROR(VLOOKUP($U$79,'TAR FIN'!$A$1:$O$103,15,0)),0,VLOOKUP($U$79,'TAR FIN'!$A$1:$O$103,15,0))</f>
        <v>0</v>
      </c>
      <c r="Y79" s="6">
        <f ca="1">('TUSD BE'!$AM$10+'TUSD BF'!$AM$10+'TUSD CVA'!$AM$10)*1</f>
        <v>16.518304697547443</v>
      </c>
      <c r="Z79" s="6"/>
      <c r="AA79" s="6"/>
      <c r="AB79" s="6">
        <f>$K$79*$V$79</f>
        <v>14655.6</v>
      </c>
      <c r="AC79" s="6">
        <f>$M$79*$W$79</f>
        <v>0</v>
      </c>
      <c r="AD79" s="6">
        <f>$O$79*$X$79</f>
        <v>0</v>
      </c>
      <c r="AE79" s="6">
        <f ca="1">$K$79*$Y$79</f>
        <v>19491.599543105982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28</v>
      </c>
      <c r="B80" s="4" t="s">
        <v>42</v>
      </c>
      <c r="C80" s="4" t="s">
        <v>34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44682</v>
      </c>
      <c r="J80" s="6">
        <v>218</v>
      </c>
      <c r="K80" s="6">
        <v>218</v>
      </c>
      <c r="L80" s="6">
        <v>0</v>
      </c>
      <c r="M80" s="6">
        <v>0</v>
      </c>
      <c r="N80" s="6">
        <v>0</v>
      </c>
      <c r="O80" s="6">
        <v>0</v>
      </c>
      <c r="P80" s="6">
        <v>2</v>
      </c>
      <c r="Q80" s="4" t="s">
        <v>26</v>
      </c>
      <c r="R80" s="4">
        <v>0</v>
      </c>
      <c r="S80" s="6">
        <v>6</v>
      </c>
      <c r="T80" s="6">
        <v>0</v>
      </c>
      <c r="U80" s="6">
        <v>0</v>
      </c>
      <c r="V80" s="6">
        <f>IF(ISERROR(VLOOKUP($S$80,'TAR FIN'!$A$1:$O$103,15,0)),0,VLOOKUP($S$80,'TAR FIN'!$A$1:$O$103,15,0))</f>
        <v>12.42</v>
      </c>
      <c r="W80" s="6">
        <f>IF(ISERROR(VLOOKUP($T$80,'TAR FIN'!$A$1:$O$103,15,0)),0,VLOOKUP($T$80,'TAR FIN'!$A$1:$O$103,15,0))</f>
        <v>0</v>
      </c>
      <c r="X80" s="6">
        <f>IF(ISERROR(VLOOKUP($U$80,'TAR FIN'!$A$1:$O$103,15,0)),0,VLOOKUP($U$80,'TAR FIN'!$A$1:$O$103,15,0))</f>
        <v>0</v>
      </c>
      <c r="Y80" s="6">
        <f ca="1">('TUSD BE'!$AM$10+'TUSD BF'!$AM$10+'TUSD CVA'!$AM$10)*1</f>
        <v>16.518304697547443</v>
      </c>
      <c r="Z80" s="6"/>
      <c r="AA80" s="6"/>
      <c r="AB80" s="6">
        <f>$K$80*$V$80</f>
        <v>2707.56</v>
      </c>
      <c r="AC80" s="6">
        <f>$M$80*$W$80</f>
        <v>0</v>
      </c>
      <c r="AD80" s="6">
        <f>$O$80*$X$80</f>
        <v>0</v>
      </c>
      <c r="AE80" s="6">
        <f ca="1">$K$80*$Y$80</f>
        <v>3600.9904240653423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42</v>
      </c>
      <c r="C81" s="4" t="s">
        <v>34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44348</v>
      </c>
      <c r="J81" s="6">
        <v>0</v>
      </c>
      <c r="K81" s="6">
        <v>0</v>
      </c>
      <c r="L81" s="6">
        <v>21.103000000000002</v>
      </c>
      <c r="M81" s="6">
        <v>21.103000000000002</v>
      </c>
      <c r="N81" s="6">
        <v>21.103000000000002</v>
      </c>
      <c r="O81" s="6">
        <v>21.103000000000002</v>
      </c>
      <c r="P81" s="6">
        <v>0</v>
      </c>
      <c r="Q81" s="4" t="s">
        <v>26</v>
      </c>
      <c r="R81" s="4">
        <v>0</v>
      </c>
      <c r="S81" s="6">
        <v>0</v>
      </c>
      <c r="T81" s="6">
        <v>7</v>
      </c>
      <c r="U81" s="6">
        <v>62</v>
      </c>
      <c r="V81" s="6">
        <f>IF(ISERROR(VLOOKUP($S$81,'TAR FIN'!$A$1:$O$103,15,0)),0,VLOOKUP($S$81,'TAR FIN'!$A$1:$O$103,15,0))</f>
        <v>0</v>
      </c>
      <c r="W81" s="6">
        <f>IF(ISERROR(VLOOKUP($T$81,'TAR FIN'!$A$1:$O$103,15,0)),0,VLOOKUP($T$81,'TAR FIN'!$A$1:$O$103,15,0))</f>
        <v>842.31</v>
      </c>
      <c r="X81" s="6">
        <f>IF(ISERROR(VLOOKUP($U$81,'TAR FIN'!$A$1:$O$103,15,0)),0,VLOOKUP($U$81,'TAR FIN'!$A$1:$O$103,15,0))</f>
        <v>454.9</v>
      </c>
      <c r="Y81" s="6"/>
      <c r="Z81" s="6">
        <f ca="1">('TUSD BE'!$AM$11+'TUSD BF'!$AM$11+'TUSD CVA'!$AM$11)*1</f>
        <v>1146.3801365962368</v>
      </c>
      <c r="AA81" s="6">
        <f>('TE BE'!$AB$5+'TE BF'!$AB$5+'TE CVA'!$AB$5)*1</f>
        <v>415.05449050541699</v>
      </c>
      <c r="AB81" s="6">
        <f>$K$81*$V$81</f>
        <v>0</v>
      </c>
      <c r="AC81" s="6">
        <f>$M$81*$W$81</f>
        <v>17775.267930000002</v>
      </c>
      <c r="AD81" s="6">
        <f>$O$81*$X$81</f>
        <v>9599.7546999999995</v>
      </c>
      <c r="AE81" s="6">
        <f>$K$81*$Y$81</f>
        <v>0</v>
      </c>
      <c r="AF81" s="6">
        <f ca="1">$M$81*$Z$81</f>
        <v>24192.060022590387</v>
      </c>
      <c r="AG81" s="6">
        <f>$O$81*$AA$81</f>
        <v>8758.8949131358149</v>
      </c>
    </row>
    <row r="82" spans="1:33" ht="11.25" customHeight="1" x14ac:dyDescent="0.25">
      <c r="A82" s="4" t="s">
        <v>21</v>
      </c>
      <c r="B82" s="4" t="s">
        <v>42</v>
      </c>
      <c r="C82" s="4" t="s">
        <v>34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44378</v>
      </c>
      <c r="J82" s="6">
        <v>0</v>
      </c>
      <c r="K82" s="6">
        <v>0</v>
      </c>
      <c r="L82" s="6">
        <v>24.123999999999999</v>
      </c>
      <c r="M82" s="6">
        <v>24.123999999999999</v>
      </c>
      <c r="N82" s="6">
        <v>24.123999999999999</v>
      </c>
      <c r="O82" s="6">
        <v>24.123999999999999</v>
      </c>
      <c r="P82" s="6">
        <v>0</v>
      </c>
      <c r="Q82" s="4" t="s">
        <v>26</v>
      </c>
      <c r="R82" s="4">
        <v>0</v>
      </c>
      <c r="S82" s="6">
        <v>0</v>
      </c>
      <c r="T82" s="6">
        <v>7</v>
      </c>
      <c r="U82" s="6">
        <v>62</v>
      </c>
      <c r="V82" s="6">
        <f>IF(ISERROR(VLOOKUP($S$82,'TAR FIN'!$A$1:$O$103,15,0)),0,VLOOKUP($S$82,'TAR FIN'!$A$1:$O$103,15,0))</f>
        <v>0</v>
      </c>
      <c r="W82" s="6">
        <f>IF(ISERROR(VLOOKUP($T$82,'TAR FIN'!$A$1:$O$103,15,0)),0,VLOOKUP($T$82,'TAR FIN'!$A$1:$O$103,15,0))</f>
        <v>842.31</v>
      </c>
      <c r="X82" s="6">
        <f>IF(ISERROR(VLOOKUP($U$82,'TAR FIN'!$A$1:$O$103,15,0)),0,VLOOKUP($U$82,'TAR FIN'!$A$1:$O$103,15,0))</f>
        <v>454.9</v>
      </c>
      <c r="Y82" s="6"/>
      <c r="Z82" s="6">
        <f ca="1">('TUSD BE'!$AM$11+'TUSD BF'!$AM$11+'TUSD CVA'!$AM$11)*1</f>
        <v>1146.3801365962368</v>
      </c>
      <c r="AA82" s="6">
        <f>('TE BE'!$AB$5+'TE BF'!$AB$5+'TE CVA'!$AB$5)*1</f>
        <v>415.05449050541699</v>
      </c>
      <c r="AB82" s="6">
        <f>$K$82*$V$82</f>
        <v>0</v>
      </c>
      <c r="AC82" s="6">
        <f>$M$82*$W$82</f>
        <v>20319.886439999998</v>
      </c>
      <c r="AD82" s="6">
        <f>$O$82*$X$82</f>
        <v>10974.007599999999</v>
      </c>
      <c r="AE82" s="6">
        <f>$K$82*$Y$82</f>
        <v>0</v>
      </c>
      <c r="AF82" s="6">
        <f ca="1">$M$82*$Z$82</f>
        <v>27655.274415247615</v>
      </c>
      <c r="AG82" s="6">
        <f>$O$82*$AA$82</f>
        <v>10012.774528952679</v>
      </c>
    </row>
    <row r="83" spans="1:33" ht="11.25" customHeight="1" x14ac:dyDescent="0.25">
      <c r="A83" s="4" t="s">
        <v>21</v>
      </c>
      <c r="B83" s="4" t="s">
        <v>42</v>
      </c>
      <c r="C83" s="4" t="s">
        <v>34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44409</v>
      </c>
      <c r="J83" s="6">
        <v>0</v>
      </c>
      <c r="K83" s="6">
        <v>0</v>
      </c>
      <c r="L83" s="6">
        <v>21.966000000000001</v>
      </c>
      <c r="M83" s="6">
        <v>21.966000000000001</v>
      </c>
      <c r="N83" s="6">
        <v>21.966000000000001</v>
      </c>
      <c r="O83" s="6">
        <v>21.966000000000001</v>
      </c>
      <c r="P83" s="6">
        <v>0</v>
      </c>
      <c r="Q83" s="4" t="s">
        <v>26</v>
      </c>
      <c r="R83" s="4">
        <v>0</v>
      </c>
      <c r="S83" s="6">
        <v>0</v>
      </c>
      <c r="T83" s="6">
        <v>7</v>
      </c>
      <c r="U83" s="6">
        <v>62</v>
      </c>
      <c r="V83" s="6">
        <f>IF(ISERROR(VLOOKUP($S$83,'TAR FIN'!$A$1:$O$103,15,0)),0,VLOOKUP($S$83,'TAR FIN'!$A$1:$O$103,15,0))</f>
        <v>0</v>
      </c>
      <c r="W83" s="6">
        <f>IF(ISERROR(VLOOKUP($T$83,'TAR FIN'!$A$1:$O$103,15,0)),0,VLOOKUP($T$83,'TAR FIN'!$A$1:$O$103,15,0))</f>
        <v>842.31</v>
      </c>
      <c r="X83" s="6">
        <f>IF(ISERROR(VLOOKUP($U$83,'TAR FIN'!$A$1:$O$103,15,0)),0,VLOOKUP($U$83,'TAR FIN'!$A$1:$O$103,15,0))</f>
        <v>454.9</v>
      </c>
      <c r="Y83" s="6"/>
      <c r="Z83" s="6">
        <f ca="1">('TUSD BE'!$AM$11+'TUSD BF'!$AM$11+'TUSD CVA'!$AM$11)*1</f>
        <v>1146.3801365962368</v>
      </c>
      <c r="AA83" s="6">
        <f>('TE BE'!$AB$5+'TE BF'!$AB$5+'TE CVA'!$AB$5)*1</f>
        <v>415.05449050541699</v>
      </c>
      <c r="AB83" s="6">
        <f>$K$83*$V$83</f>
        <v>0</v>
      </c>
      <c r="AC83" s="6">
        <f>$M$83*$W$83</f>
        <v>18502.18146</v>
      </c>
      <c r="AD83" s="6">
        <f>$O$83*$X$83</f>
        <v>9992.3333999999995</v>
      </c>
      <c r="AE83" s="6">
        <f>$K$83*$Y$83</f>
        <v>0</v>
      </c>
      <c r="AF83" s="6">
        <f ca="1">$M$83*$Z$83</f>
        <v>25181.386080472937</v>
      </c>
      <c r="AG83" s="6">
        <f>$O$83*$AA$83</f>
        <v>9117.0869384419893</v>
      </c>
    </row>
    <row r="84" spans="1:33" ht="11.25" customHeight="1" x14ac:dyDescent="0.25">
      <c r="A84" s="4" t="s">
        <v>21</v>
      </c>
      <c r="B84" s="4" t="s">
        <v>42</v>
      </c>
      <c r="C84" s="4" t="s">
        <v>34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44440</v>
      </c>
      <c r="J84" s="6">
        <v>0</v>
      </c>
      <c r="K84" s="6">
        <v>0</v>
      </c>
      <c r="L84" s="6">
        <v>20.585999999999999</v>
      </c>
      <c r="M84" s="6">
        <v>20.585999999999999</v>
      </c>
      <c r="N84" s="6">
        <v>20.585999999999999</v>
      </c>
      <c r="O84" s="6">
        <v>20.585999999999999</v>
      </c>
      <c r="P84" s="6">
        <v>0</v>
      </c>
      <c r="Q84" s="4" t="s">
        <v>26</v>
      </c>
      <c r="R84" s="4">
        <v>0</v>
      </c>
      <c r="S84" s="6">
        <v>0</v>
      </c>
      <c r="T84" s="6">
        <v>7</v>
      </c>
      <c r="U84" s="6">
        <v>62</v>
      </c>
      <c r="V84" s="6">
        <f>IF(ISERROR(VLOOKUP($S$84,'TAR FIN'!$A$1:$O$103,15,0)),0,VLOOKUP($S$84,'TAR FIN'!$A$1:$O$103,15,0))</f>
        <v>0</v>
      </c>
      <c r="W84" s="6">
        <f>IF(ISERROR(VLOOKUP($T$84,'TAR FIN'!$A$1:$O$103,15,0)),0,VLOOKUP($T$84,'TAR FIN'!$A$1:$O$103,15,0))</f>
        <v>842.31</v>
      </c>
      <c r="X84" s="6">
        <f>IF(ISERROR(VLOOKUP($U$84,'TAR FIN'!$A$1:$O$103,15,0)),0,VLOOKUP($U$84,'TAR FIN'!$A$1:$O$103,15,0))</f>
        <v>454.9</v>
      </c>
      <c r="Y84" s="6"/>
      <c r="Z84" s="6">
        <f ca="1">('TUSD BE'!$AM$11+'TUSD BF'!$AM$11+'TUSD CVA'!$AM$11)*1</f>
        <v>1146.3801365962368</v>
      </c>
      <c r="AA84" s="6">
        <f>('TE BE'!$AB$5+'TE BF'!$AB$5+'TE CVA'!$AB$5)*1</f>
        <v>415.05449050541699</v>
      </c>
      <c r="AB84" s="6">
        <f>$K$84*$V$84</f>
        <v>0</v>
      </c>
      <c r="AC84" s="6">
        <f>$M$84*$W$84</f>
        <v>17339.793659999999</v>
      </c>
      <c r="AD84" s="6">
        <f>$O$84*$X$84</f>
        <v>9364.5713999999989</v>
      </c>
      <c r="AE84" s="6">
        <f>$K$84*$Y$84</f>
        <v>0</v>
      </c>
      <c r="AF84" s="6">
        <f ca="1">$M$84*$Z$84</f>
        <v>23599.381491970129</v>
      </c>
      <c r="AG84" s="6">
        <f>$O$84*$AA$84</f>
        <v>8544.311741544514</v>
      </c>
    </row>
    <row r="85" spans="1:33" ht="11.25" customHeight="1" x14ac:dyDescent="0.25">
      <c r="A85" s="4" t="s">
        <v>21</v>
      </c>
      <c r="B85" s="4" t="s">
        <v>42</v>
      </c>
      <c r="C85" s="4" t="s">
        <v>34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44470</v>
      </c>
      <c r="J85" s="6">
        <v>0</v>
      </c>
      <c r="K85" s="6">
        <v>0</v>
      </c>
      <c r="L85" s="6">
        <v>19.867000000000001</v>
      </c>
      <c r="M85" s="6">
        <v>19.867000000000001</v>
      </c>
      <c r="N85" s="6">
        <v>19.867000000000001</v>
      </c>
      <c r="O85" s="6">
        <v>19.867000000000001</v>
      </c>
      <c r="P85" s="6">
        <v>0</v>
      </c>
      <c r="Q85" s="4" t="s">
        <v>26</v>
      </c>
      <c r="R85" s="4">
        <v>0</v>
      </c>
      <c r="S85" s="6">
        <v>0</v>
      </c>
      <c r="T85" s="6">
        <v>7</v>
      </c>
      <c r="U85" s="6">
        <v>62</v>
      </c>
      <c r="V85" s="6">
        <f>IF(ISERROR(VLOOKUP($S$85,'TAR FIN'!$A$1:$O$103,15,0)),0,VLOOKUP($S$85,'TAR FIN'!$A$1:$O$103,15,0))</f>
        <v>0</v>
      </c>
      <c r="W85" s="6">
        <f>IF(ISERROR(VLOOKUP($T$85,'TAR FIN'!$A$1:$O$103,15,0)),0,VLOOKUP($T$85,'TAR FIN'!$A$1:$O$103,15,0))</f>
        <v>842.31</v>
      </c>
      <c r="X85" s="6">
        <f>IF(ISERROR(VLOOKUP($U$85,'TAR FIN'!$A$1:$O$103,15,0)),0,VLOOKUP($U$85,'TAR FIN'!$A$1:$O$103,15,0))</f>
        <v>454.9</v>
      </c>
      <c r="Y85" s="6"/>
      <c r="Z85" s="6">
        <f ca="1">('TUSD BE'!$AM$11+'TUSD BF'!$AM$11+'TUSD CVA'!$AM$11)*1</f>
        <v>1146.3801365962368</v>
      </c>
      <c r="AA85" s="6">
        <f>('TE BE'!$AB$5+'TE BF'!$AB$5+'TE CVA'!$AB$5)*1</f>
        <v>415.05449050541699</v>
      </c>
      <c r="AB85" s="6">
        <f>$K$85*$V$85</f>
        <v>0</v>
      </c>
      <c r="AC85" s="6">
        <f>$M$85*$W$85</f>
        <v>16734.172770000001</v>
      </c>
      <c r="AD85" s="6">
        <f>$O$85*$X$85</f>
        <v>9037.4982999999993</v>
      </c>
      <c r="AE85" s="6">
        <f>$K$85*$Y$85</f>
        <v>0</v>
      </c>
      <c r="AF85" s="6">
        <f ca="1">$M$85*$Z$85</f>
        <v>22775.134173757437</v>
      </c>
      <c r="AG85" s="6">
        <f>$O$85*$AA$85</f>
        <v>8245.8875628711194</v>
      </c>
    </row>
    <row r="86" spans="1:33" ht="11.25" customHeight="1" x14ac:dyDescent="0.25">
      <c r="A86" s="4" t="s">
        <v>21</v>
      </c>
      <c r="B86" s="4" t="s">
        <v>42</v>
      </c>
      <c r="C86" s="4" t="s">
        <v>34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44501</v>
      </c>
      <c r="J86" s="6">
        <v>0</v>
      </c>
      <c r="K86" s="6">
        <v>0</v>
      </c>
      <c r="L86" s="6">
        <v>18.02</v>
      </c>
      <c r="M86" s="6">
        <v>18.02</v>
      </c>
      <c r="N86" s="6">
        <v>18.02</v>
      </c>
      <c r="O86" s="6">
        <v>18.02</v>
      </c>
      <c r="P86" s="6">
        <v>0</v>
      </c>
      <c r="Q86" s="4" t="s">
        <v>26</v>
      </c>
      <c r="R86" s="4">
        <v>0</v>
      </c>
      <c r="S86" s="6">
        <v>0</v>
      </c>
      <c r="T86" s="6">
        <v>7</v>
      </c>
      <c r="U86" s="6">
        <v>62</v>
      </c>
      <c r="V86" s="6">
        <f>IF(ISERROR(VLOOKUP($S$86,'TAR FIN'!$A$1:$O$103,15,0)),0,VLOOKUP($S$86,'TAR FIN'!$A$1:$O$103,15,0))</f>
        <v>0</v>
      </c>
      <c r="W86" s="6">
        <f>IF(ISERROR(VLOOKUP($T$86,'TAR FIN'!$A$1:$O$103,15,0)),0,VLOOKUP($T$86,'TAR FIN'!$A$1:$O$103,15,0))</f>
        <v>842.31</v>
      </c>
      <c r="X86" s="6">
        <f>IF(ISERROR(VLOOKUP($U$86,'TAR FIN'!$A$1:$O$103,15,0)),0,VLOOKUP($U$86,'TAR FIN'!$A$1:$O$103,15,0))</f>
        <v>454.9</v>
      </c>
      <c r="Y86" s="6"/>
      <c r="Z86" s="6">
        <f ca="1">('TUSD BE'!$AM$11+'TUSD BF'!$AM$11+'TUSD CVA'!$AM$11)*1</f>
        <v>1146.3801365962368</v>
      </c>
      <c r="AA86" s="6">
        <f>('TE BE'!$AB$5+'TE BF'!$AB$5+'TE CVA'!$AB$5)*1</f>
        <v>415.05449050541699</v>
      </c>
      <c r="AB86" s="6">
        <f>$K$86*$V$86</f>
        <v>0</v>
      </c>
      <c r="AC86" s="6">
        <f>$M$86*$W$86</f>
        <v>15178.426199999998</v>
      </c>
      <c r="AD86" s="6">
        <f>$O$86*$X$86</f>
        <v>8197.2979999999989</v>
      </c>
      <c r="AE86" s="6">
        <f>$K$86*$Y$86</f>
        <v>0</v>
      </c>
      <c r="AF86" s="6">
        <f ca="1">$M$86*$Z$86</f>
        <v>20657.770061464187</v>
      </c>
      <c r="AG86" s="6">
        <f>$O$86*$AA$86</f>
        <v>7479.2819189076145</v>
      </c>
    </row>
    <row r="87" spans="1:33" ht="11.25" customHeight="1" x14ac:dyDescent="0.25">
      <c r="A87" s="4" t="s">
        <v>21</v>
      </c>
      <c r="B87" s="4" t="s">
        <v>42</v>
      </c>
      <c r="C87" s="4" t="s">
        <v>34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44531</v>
      </c>
      <c r="J87" s="6">
        <v>0</v>
      </c>
      <c r="K87" s="6">
        <v>0</v>
      </c>
      <c r="L87" s="6">
        <v>18.055</v>
      </c>
      <c r="M87" s="6">
        <v>18.055</v>
      </c>
      <c r="N87" s="6">
        <v>18.055</v>
      </c>
      <c r="O87" s="6">
        <v>18.055</v>
      </c>
      <c r="P87" s="6">
        <v>0</v>
      </c>
      <c r="Q87" s="4" t="s">
        <v>26</v>
      </c>
      <c r="R87" s="4">
        <v>0</v>
      </c>
      <c r="S87" s="6">
        <v>0</v>
      </c>
      <c r="T87" s="6">
        <v>7</v>
      </c>
      <c r="U87" s="6">
        <v>62</v>
      </c>
      <c r="V87" s="6">
        <f>IF(ISERROR(VLOOKUP($S$87,'TAR FIN'!$A$1:$O$103,15,0)),0,VLOOKUP($S$87,'TAR FIN'!$A$1:$O$103,15,0))</f>
        <v>0</v>
      </c>
      <c r="W87" s="6">
        <f>IF(ISERROR(VLOOKUP($T$87,'TAR FIN'!$A$1:$O$103,15,0)),0,VLOOKUP($T$87,'TAR FIN'!$A$1:$O$103,15,0))</f>
        <v>842.31</v>
      </c>
      <c r="X87" s="6">
        <f>IF(ISERROR(VLOOKUP($U$87,'TAR FIN'!$A$1:$O$103,15,0)),0,VLOOKUP($U$87,'TAR FIN'!$A$1:$O$103,15,0))</f>
        <v>454.9</v>
      </c>
      <c r="Y87" s="6"/>
      <c r="Z87" s="6">
        <f ca="1">('TUSD BE'!$AM$11+'TUSD BF'!$AM$11+'TUSD CVA'!$AM$11)*1</f>
        <v>1146.3801365962368</v>
      </c>
      <c r="AA87" s="6">
        <f>('TE BE'!$AB$5+'TE BF'!$AB$5+'TE CVA'!$AB$5)*1</f>
        <v>415.05449050541699</v>
      </c>
      <c r="AB87" s="6">
        <f>$K$87*$V$87</f>
        <v>0</v>
      </c>
      <c r="AC87" s="6">
        <f>$M$87*$W$87</f>
        <v>15207.907049999998</v>
      </c>
      <c r="AD87" s="6">
        <f>$O$87*$X$87</f>
        <v>8213.2194999999992</v>
      </c>
      <c r="AE87" s="6">
        <f>$K$87*$Y$87</f>
        <v>0</v>
      </c>
      <c r="AF87" s="6">
        <f ca="1">$M$87*$Z$87</f>
        <v>20697.893366245054</v>
      </c>
      <c r="AG87" s="6">
        <f>$O$87*$AA$87</f>
        <v>7493.8088260753038</v>
      </c>
    </row>
    <row r="88" spans="1:33" ht="11.25" customHeight="1" x14ac:dyDescent="0.25">
      <c r="A88" s="4" t="s">
        <v>21</v>
      </c>
      <c r="B88" s="4" t="s">
        <v>42</v>
      </c>
      <c r="C88" s="4" t="s">
        <v>34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44562</v>
      </c>
      <c r="J88" s="6">
        <v>0</v>
      </c>
      <c r="K88" s="6">
        <v>0</v>
      </c>
      <c r="L88" s="6">
        <v>16.744</v>
      </c>
      <c r="M88" s="6">
        <v>16.744</v>
      </c>
      <c r="N88" s="6">
        <v>16.744</v>
      </c>
      <c r="O88" s="6">
        <v>16.744</v>
      </c>
      <c r="P88" s="6">
        <v>0</v>
      </c>
      <c r="Q88" s="4" t="s">
        <v>26</v>
      </c>
      <c r="R88" s="4">
        <v>0</v>
      </c>
      <c r="S88" s="6">
        <v>0</v>
      </c>
      <c r="T88" s="6">
        <v>7</v>
      </c>
      <c r="U88" s="6">
        <v>62</v>
      </c>
      <c r="V88" s="6">
        <f>IF(ISERROR(VLOOKUP($S$88,'TAR FIN'!$A$1:$O$103,15,0)),0,VLOOKUP($S$88,'TAR FIN'!$A$1:$O$103,15,0))</f>
        <v>0</v>
      </c>
      <c r="W88" s="6">
        <f>IF(ISERROR(VLOOKUP($T$88,'TAR FIN'!$A$1:$O$103,15,0)),0,VLOOKUP($T$88,'TAR FIN'!$A$1:$O$103,15,0))</f>
        <v>842.31</v>
      </c>
      <c r="X88" s="6">
        <f>IF(ISERROR(VLOOKUP($U$88,'TAR FIN'!$A$1:$O$103,15,0)),0,VLOOKUP($U$88,'TAR FIN'!$A$1:$O$103,15,0))</f>
        <v>454.9</v>
      </c>
      <c r="Y88" s="6"/>
      <c r="Z88" s="6">
        <f ca="1">('TUSD BE'!$AM$11+'TUSD BF'!$AM$11+'TUSD CVA'!$AM$11)*1</f>
        <v>1146.3801365962368</v>
      </c>
      <c r="AA88" s="6">
        <f>('TE BE'!$AB$5+'TE BF'!$AB$5+'TE CVA'!$AB$5)*1</f>
        <v>415.05449050541699</v>
      </c>
      <c r="AB88" s="6">
        <f>$K$88*$V$88</f>
        <v>0</v>
      </c>
      <c r="AC88" s="6">
        <f>$M$88*$W$88</f>
        <v>14103.638639999999</v>
      </c>
      <c r="AD88" s="6">
        <f>$O$88*$X$88</f>
        <v>7616.8455999999996</v>
      </c>
      <c r="AE88" s="6">
        <f>$K$88*$Y$88</f>
        <v>0</v>
      </c>
      <c r="AF88" s="6">
        <f ca="1">$M$88*$Z$88</f>
        <v>19194.989007167387</v>
      </c>
      <c r="AG88" s="6">
        <f>$O$88*$AA$88</f>
        <v>6949.6723890227022</v>
      </c>
    </row>
    <row r="89" spans="1:33" ht="11.25" customHeight="1" x14ac:dyDescent="0.25">
      <c r="A89" s="4" t="s">
        <v>21</v>
      </c>
      <c r="B89" s="4" t="s">
        <v>42</v>
      </c>
      <c r="C89" s="4" t="s">
        <v>34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44593</v>
      </c>
      <c r="J89" s="6">
        <v>0</v>
      </c>
      <c r="K89" s="6">
        <v>0</v>
      </c>
      <c r="L89" s="6">
        <v>18.311</v>
      </c>
      <c r="M89" s="6">
        <v>18.311</v>
      </c>
      <c r="N89" s="6">
        <v>18.311</v>
      </c>
      <c r="O89" s="6">
        <v>18.311</v>
      </c>
      <c r="P89" s="6">
        <v>0</v>
      </c>
      <c r="Q89" s="4" t="s">
        <v>26</v>
      </c>
      <c r="R89" s="4">
        <v>0</v>
      </c>
      <c r="S89" s="6">
        <v>0</v>
      </c>
      <c r="T89" s="6">
        <v>7</v>
      </c>
      <c r="U89" s="6">
        <v>62</v>
      </c>
      <c r="V89" s="6">
        <f>IF(ISERROR(VLOOKUP($S$89,'TAR FIN'!$A$1:$O$103,15,0)),0,VLOOKUP($S$89,'TAR FIN'!$A$1:$O$103,15,0))</f>
        <v>0</v>
      </c>
      <c r="W89" s="6">
        <f>IF(ISERROR(VLOOKUP($T$89,'TAR FIN'!$A$1:$O$103,15,0)),0,VLOOKUP($T$89,'TAR FIN'!$A$1:$O$103,15,0))</f>
        <v>842.31</v>
      </c>
      <c r="X89" s="6">
        <f>IF(ISERROR(VLOOKUP($U$89,'TAR FIN'!$A$1:$O$103,15,0)),0,VLOOKUP($U$89,'TAR FIN'!$A$1:$O$103,15,0))</f>
        <v>454.9</v>
      </c>
      <c r="Y89" s="6"/>
      <c r="Z89" s="6">
        <f ca="1">('TUSD BE'!$AM$11+'TUSD BF'!$AM$11+'TUSD CVA'!$AM$11)*1</f>
        <v>1146.3801365962368</v>
      </c>
      <c r="AA89" s="6">
        <f>('TE BE'!$AB$5+'TE BF'!$AB$5+'TE CVA'!$AB$5)*1</f>
        <v>415.05449050541699</v>
      </c>
      <c r="AB89" s="6">
        <f>$K$89*$V$89</f>
        <v>0</v>
      </c>
      <c r="AC89" s="6">
        <f>$M$89*$W$89</f>
        <v>15423.538409999999</v>
      </c>
      <c r="AD89" s="6">
        <f>$O$89*$X$89</f>
        <v>8329.6738999999998</v>
      </c>
      <c r="AE89" s="6">
        <f>$K$89*$Y$89</f>
        <v>0</v>
      </c>
      <c r="AF89" s="6">
        <f ca="1">$M$89*$Z$89</f>
        <v>20991.366681213691</v>
      </c>
      <c r="AG89" s="6">
        <f>$O$89*$AA$89</f>
        <v>7600.0627756446902</v>
      </c>
    </row>
    <row r="90" spans="1:33" ht="11.25" customHeight="1" x14ac:dyDescent="0.25">
      <c r="A90" s="4" t="s">
        <v>21</v>
      </c>
      <c r="B90" s="4" t="s">
        <v>42</v>
      </c>
      <c r="C90" s="4" t="s">
        <v>34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44621</v>
      </c>
      <c r="J90" s="6">
        <v>0</v>
      </c>
      <c r="K90" s="6">
        <v>0</v>
      </c>
      <c r="L90" s="6">
        <v>19.638999999999999</v>
      </c>
      <c r="M90" s="6">
        <v>19.638999999999999</v>
      </c>
      <c r="N90" s="6">
        <v>19.638999999999999</v>
      </c>
      <c r="O90" s="6">
        <v>19.638999999999999</v>
      </c>
      <c r="P90" s="6">
        <v>0</v>
      </c>
      <c r="Q90" s="4" t="s">
        <v>26</v>
      </c>
      <c r="R90" s="4">
        <v>0</v>
      </c>
      <c r="S90" s="6">
        <v>0</v>
      </c>
      <c r="T90" s="6">
        <v>7</v>
      </c>
      <c r="U90" s="6">
        <v>62</v>
      </c>
      <c r="V90" s="6">
        <f>IF(ISERROR(VLOOKUP($S$90,'TAR FIN'!$A$1:$O$103,15,0)),0,VLOOKUP($S$90,'TAR FIN'!$A$1:$O$103,15,0))</f>
        <v>0</v>
      </c>
      <c r="W90" s="6">
        <f>IF(ISERROR(VLOOKUP($T$90,'TAR FIN'!$A$1:$O$103,15,0)),0,VLOOKUP($T$90,'TAR FIN'!$A$1:$O$103,15,0))</f>
        <v>842.31</v>
      </c>
      <c r="X90" s="6">
        <f>IF(ISERROR(VLOOKUP($U$90,'TAR FIN'!$A$1:$O$103,15,0)),0,VLOOKUP($U$90,'TAR FIN'!$A$1:$O$103,15,0))</f>
        <v>454.9</v>
      </c>
      <c r="Y90" s="6"/>
      <c r="Z90" s="6">
        <f ca="1">('TUSD BE'!$AM$11+'TUSD BF'!$AM$11+'TUSD CVA'!$AM$11)*1</f>
        <v>1146.3801365962368</v>
      </c>
      <c r="AA90" s="6">
        <f>('TE BE'!$AB$5+'TE BF'!$AB$5+'TE CVA'!$AB$5)*1</f>
        <v>415.05449050541699</v>
      </c>
      <c r="AB90" s="6">
        <f>$K$90*$V$90</f>
        <v>0</v>
      </c>
      <c r="AC90" s="6">
        <f>$M$90*$W$90</f>
        <v>16542.126089999998</v>
      </c>
      <c r="AD90" s="6">
        <f>$O$90*$X$90</f>
        <v>8933.7811000000002</v>
      </c>
      <c r="AE90" s="6">
        <f>$K$90*$Y$90</f>
        <v>0</v>
      </c>
      <c r="AF90" s="6">
        <f ca="1">$M$90*$Z$90</f>
        <v>22513.759502613491</v>
      </c>
      <c r="AG90" s="6">
        <f>$O$90*$AA$90</f>
        <v>8151.255139035884</v>
      </c>
    </row>
    <row r="91" spans="1:33" ht="11.25" customHeight="1" x14ac:dyDescent="0.25">
      <c r="A91" s="4" t="s">
        <v>21</v>
      </c>
      <c r="B91" s="4" t="s">
        <v>42</v>
      </c>
      <c r="C91" s="4" t="s">
        <v>34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17.62</v>
      </c>
      <c r="M91" s="6">
        <v>17.62</v>
      </c>
      <c r="N91" s="6">
        <v>17.62</v>
      </c>
      <c r="O91" s="6">
        <v>17.62</v>
      </c>
      <c r="P91" s="6">
        <v>0</v>
      </c>
      <c r="Q91" s="4" t="s">
        <v>26</v>
      </c>
      <c r="R91" s="4">
        <v>0</v>
      </c>
      <c r="S91" s="6">
        <v>0</v>
      </c>
      <c r="T91" s="6">
        <v>7</v>
      </c>
      <c r="U91" s="6">
        <v>62</v>
      </c>
      <c r="V91" s="6">
        <f>IF(ISERROR(VLOOKUP($S$91,'TAR FIN'!$A$1:$O$103,15,0)),0,VLOOKUP($S$91,'TAR FIN'!$A$1:$O$103,15,0))</f>
        <v>0</v>
      </c>
      <c r="W91" s="6">
        <f>IF(ISERROR(VLOOKUP($T$91,'TAR FIN'!$A$1:$O$103,15,0)),0,VLOOKUP($T$91,'TAR FIN'!$A$1:$O$103,15,0))</f>
        <v>842.31</v>
      </c>
      <c r="X91" s="6">
        <f>IF(ISERROR(VLOOKUP($U$91,'TAR FIN'!$A$1:$O$103,15,0)),0,VLOOKUP($U$91,'TAR FIN'!$A$1:$O$103,15,0))</f>
        <v>454.9</v>
      </c>
      <c r="Y91" s="6"/>
      <c r="Z91" s="6">
        <f ca="1">('TUSD BE'!$AM$11+'TUSD BF'!$AM$11+'TUSD CVA'!$AM$11)*1</f>
        <v>1146.3801365962368</v>
      </c>
      <c r="AA91" s="6">
        <f>('TE BE'!$AB$5+'TE BF'!$AB$5+'TE CVA'!$AB$5)*1</f>
        <v>415.05449050541699</v>
      </c>
      <c r="AB91" s="6">
        <f>$K$91*$V$91</f>
        <v>0</v>
      </c>
      <c r="AC91" s="6">
        <f>$M$91*$W$91</f>
        <v>14841.502199999999</v>
      </c>
      <c r="AD91" s="6">
        <f>$O$91*$X$91</f>
        <v>8015.3379999999997</v>
      </c>
      <c r="AE91" s="6">
        <f>$K$91*$Y$91</f>
        <v>0</v>
      </c>
      <c r="AF91" s="6">
        <f ca="1">$M$91*$Z$91</f>
        <v>20199.218006825693</v>
      </c>
      <c r="AG91" s="6">
        <f>$O$91*$AA$91</f>
        <v>7313.2601227054474</v>
      </c>
    </row>
    <row r="92" spans="1:33" ht="11.25" customHeight="1" x14ac:dyDescent="0.25">
      <c r="A92" s="4" t="s">
        <v>21</v>
      </c>
      <c r="B92" s="4" t="s">
        <v>42</v>
      </c>
      <c r="C92" s="4" t="s">
        <v>34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19.829000000000001</v>
      </c>
      <c r="M92" s="6">
        <v>19.829000000000001</v>
      </c>
      <c r="N92" s="6">
        <v>19.829000000000001</v>
      </c>
      <c r="O92" s="6">
        <v>19.829000000000001</v>
      </c>
      <c r="P92" s="6">
        <v>0</v>
      </c>
      <c r="Q92" s="4" t="s">
        <v>26</v>
      </c>
      <c r="R92" s="4">
        <v>0</v>
      </c>
      <c r="S92" s="6">
        <v>0</v>
      </c>
      <c r="T92" s="6">
        <v>7</v>
      </c>
      <c r="U92" s="6">
        <v>62</v>
      </c>
      <c r="V92" s="6">
        <f>IF(ISERROR(VLOOKUP($S$92,'TAR FIN'!$A$1:$O$103,15,0)),0,VLOOKUP($S$92,'TAR FIN'!$A$1:$O$103,15,0))</f>
        <v>0</v>
      </c>
      <c r="W92" s="6">
        <f>IF(ISERROR(VLOOKUP($T$92,'TAR FIN'!$A$1:$O$103,15,0)),0,VLOOKUP($T$92,'TAR FIN'!$A$1:$O$103,15,0))</f>
        <v>842.31</v>
      </c>
      <c r="X92" s="6">
        <f>IF(ISERROR(VLOOKUP($U$92,'TAR FIN'!$A$1:$O$103,15,0)),0,VLOOKUP($U$92,'TAR FIN'!$A$1:$O$103,15,0))</f>
        <v>454.9</v>
      </c>
      <c r="Y92" s="6"/>
      <c r="Z92" s="6">
        <f ca="1">('TUSD BE'!$AM$11+'TUSD BF'!$AM$11+'TUSD CVA'!$AM$11)*1</f>
        <v>1146.3801365962368</v>
      </c>
      <c r="AA92" s="6">
        <f>('TE BE'!$AB$5+'TE BF'!$AB$5+'TE CVA'!$AB$5)*1</f>
        <v>415.05449050541699</v>
      </c>
      <c r="AB92" s="6">
        <f>$K$92*$V$92</f>
        <v>0</v>
      </c>
      <c r="AC92" s="6">
        <f>$M$92*$W$92</f>
        <v>16702.164990000001</v>
      </c>
      <c r="AD92" s="6">
        <f>$O$92*$X$92</f>
        <v>9020.2121000000006</v>
      </c>
      <c r="AE92" s="6">
        <f>$K$92*$Y$92</f>
        <v>0</v>
      </c>
      <c r="AF92" s="6">
        <f ca="1">$M$92*$Z$92</f>
        <v>22731.571728566778</v>
      </c>
      <c r="AG92" s="6">
        <f>$O$92*$AA$92</f>
        <v>8230.1154922319147</v>
      </c>
    </row>
    <row r="93" spans="1:33" ht="11.25" customHeight="1" x14ac:dyDescent="0.25">
      <c r="A93" s="4" t="s">
        <v>21</v>
      </c>
      <c r="B93" s="4" t="s">
        <v>33</v>
      </c>
      <c r="C93" s="4" t="s">
        <v>41</v>
      </c>
      <c r="D93" s="4" t="s">
        <v>43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44348</v>
      </c>
      <c r="J93" s="6">
        <v>220</v>
      </c>
      <c r="K93" s="6">
        <v>220</v>
      </c>
      <c r="L93" s="6">
        <v>44.140999999999998</v>
      </c>
      <c r="M93" s="6">
        <v>44.140999999999998</v>
      </c>
      <c r="N93" s="6">
        <v>44.140999999999998</v>
      </c>
      <c r="O93" s="6">
        <v>44.140999999999998</v>
      </c>
      <c r="P93" s="6">
        <v>0</v>
      </c>
      <c r="Q93" s="4" t="s">
        <v>26</v>
      </c>
      <c r="R93" s="4">
        <v>0</v>
      </c>
      <c r="S93" s="6">
        <v>14</v>
      </c>
      <c r="T93" s="6">
        <v>15</v>
      </c>
      <c r="U93" s="6">
        <v>66</v>
      </c>
      <c r="V93" s="6">
        <f>IF(ISERROR(VLOOKUP($S$93,'TAR FIN'!$A$1:$O$103,15,0)),0,VLOOKUP($S$93,'TAR FIN'!$A$1:$O$103,15,0))</f>
        <v>12.42</v>
      </c>
      <c r="W93" s="6">
        <f>IF(ISERROR(VLOOKUP($T$93,'TAR FIN'!$A$1:$O$103,15,0)),0,VLOOKUP($T$93,'TAR FIN'!$A$1:$O$103,15,0))</f>
        <v>69.37</v>
      </c>
      <c r="X93" s="6">
        <f>IF(ISERROR(VLOOKUP($U$93,'TAR FIN'!$A$1:$O$103,15,0)),0,VLOOKUP($U$93,'TAR FIN'!$A$1:$O$103,15,0))</f>
        <v>284.36</v>
      </c>
      <c r="Y93" s="6">
        <f ca="1">('TUSD BE'!$AM$16+'TUSD BF'!$AM$16+'TUSD CVA'!$AM$16)*1</f>
        <v>16.518304697547443</v>
      </c>
      <c r="Z93" s="6">
        <f ca="1">('TUSD BE'!$AM$17+'TUSD BF'!$AM$17+'TUSD CVA'!$AM$17)*1</f>
        <v>111.236500713561</v>
      </c>
      <c r="AA93" s="6">
        <f>('TE BE'!$AB$9+'TE BF'!$AB$9+'TE CVA'!$AB$9)*1</f>
        <v>259.03677522481752</v>
      </c>
      <c r="AB93" s="6">
        <f>$K$93*$V$93</f>
        <v>2732.4</v>
      </c>
      <c r="AC93" s="6">
        <f>$M$93*$W$93</f>
        <v>3062.0611699999999</v>
      </c>
      <c r="AD93" s="6">
        <f>$O$93*$X$93</f>
        <v>12551.93476</v>
      </c>
      <c r="AE93" s="6">
        <f ca="1">$K$93*$Y$93</f>
        <v>3634.0270334604375</v>
      </c>
      <c r="AF93" s="6">
        <f ca="1">$M$93*$Z$93</f>
        <v>4910.0903779972959</v>
      </c>
      <c r="AG93" s="6">
        <f>$O$93*$AA$93</f>
        <v>11434.14229519867</v>
      </c>
    </row>
    <row r="94" spans="1:33" ht="11.25" customHeight="1" x14ac:dyDescent="0.25">
      <c r="A94" s="4" t="s">
        <v>21</v>
      </c>
      <c r="B94" s="4" t="s">
        <v>33</v>
      </c>
      <c r="C94" s="4" t="s">
        <v>41</v>
      </c>
      <c r="D94" s="4" t="s">
        <v>43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44348</v>
      </c>
      <c r="J94" s="6">
        <v>4950</v>
      </c>
      <c r="K94" s="6">
        <v>4950</v>
      </c>
      <c r="L94" s="6">
        <v>2436.06</v>
      </c>
      <c r="M94" s="6">
        <v>2436.06</v>
      </c>
      <c r="N94" s="6">
        <v>0</v>
      </c>
      <c r="O94" s="6">
        <v>0</v>
      </c>
      <c r="P94" s="6">
        <v>0</v>
      </c>
      <c r="Q94" s="4" t="s">
        <v>53</v>
      </c>
      <c r="R94" s="4">
        <v>0</v>
      </c>
      <c r="S94" s="6">
        <v>14</v>
      </c>
      <c r="T94" s="6">
        <v>15</v>
      </c>
      <c r="U94" s="6">
        <v>0</v>
      </c>
      <c r="V94" s="6">
        <f>IF(ISERROR(VLOOKUP($S$94,'TAR FIN'!$A$1:$O$103,15,0)),0,VLOOKUP($S$94,'TAR FIN'!$A$1:$O$103,15,0))</f>
        <v>12.42</v>
      </c>
      <c r="W94" s="6">
        <f>IF(ISERROR(VLOOKUP($T$94,'TAR FIN'!$A$1:$O$103,15,0)),0,VLOOKUP($T$94,'TAR FIN'!$A$1:$O$103,15,0))</f>
        <v>69.37</v>
      </c>
      <c r="X94" s="6">
        <f>IF(ISERROR(VLOOKUP($U$94,'TAR FIN'!$A$1:$O$103,15,0)),0,VLOOKUP($U$94,'TAR FIN'!$A$1:$O$103,15,0))</f>
        <v>0</v>
      </c>
      <c r="Y94" s="6">
        <f ca="1">('TUSD BE'!$AM$16+'TUSD BF'!$AM$16+'TUSD CVA'!$AM$16)*1</f>
        <v>16.518304697547443</v>
      </c>
      <c r="Z94" s="6">
        <f ca="1">('TUSD BE'!$AM$17+'TUSD BF'!$AM$17+'TUSD CVA'!$AM$17)*1</f>
        <v>111.236500713561</v>
      </c>
      <c r="AA94" s="6"/>
      <c r="AB94" s="6">
        <f>$K$94*$V$94</f>
        <v>61479</v>
      </c>
      <c r="AC94" s="6">
        <f>$M$94*$W$94</f>
        <v>168989.4822</v>
      </c>
      <c r="AD94" s="6">
        <f>$O$94*$X$94</f>
        <v>0</v>
      </c>
      <c r="AE94" s="6">
        <f ca="1">$K$94*$Y$94</f>
        <v>81765.608252859834</v>
      </c>
      <c r="AF94" s="6">
        <f ca="1">$M$94*$Z$94</f>
        <v>270978.78992827743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33</v>
      </c>
      <c r="C95" s="4" t="s">
        <v>41</v>
      </c>
      <c r="D95" s="4" t="s">
        <v>43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44378</v>
      </c>
      <c r="J95" s="6">
        <v>220</v>
      </c>
      <c r="K95" s="6">
        <v>220</v>
      </c>
      <c r="L95" s="6">
        <v>45.847000000000001</v>
      </c>
      <c r="M95" s="6">
        <v>45.847000000000001</v>
      </c>
      <c r="N95" s="6">
        <v>45.847000000000001</v>
      </c>
      <c r="O95" s="6">
        <v>45.847000000000001</v>
      </c>
      <c r="P95" s="6">
        <v>0</v>
      </c>
      <c r="Q95" s="4" t="s">
        <v>26</v>
      </c>
      <c r="R95" s="4">
        <v>0</v>
      </c>
      <c r="S95" s="6">
        <v>14</v>
      </c>
      <c r="T95" s="6">
        <v>15</v>
      </c>
      <c r="U95" s="6">
        <v>66</v>
      </c>
      <c r="V95" s="6">
        <f>IF(ISERROR(VLOOKUP($S$95,'TAR FIN'!$A$1:$O$103,15,0)),0,VLOOKUP($S$95,'TAR FIN'!$A$1:$O$103,15,0))</f>
        <v>12.42</v>
      </c>
      <c r="W95" s="6">
        <f>IF(ISERROR(VLOOKUP($T$95,'TAR FIN'!$A$1:$O$103,15,0)),0,VLOOKUP($T$95,'TAR FIN'!$A$1:$O$103,15,0))</f>
        <v>69.37</v>
      </c>
      <c r="X95" s="6">
        <f>IF(ISERROR(VLOOKUP($U$95,'TAR FIN'!$A$1:$O$103,15,0)),0,VLOOKUP($U$95,'TAR FIN'!$A$1:$O$103,15,0))</f>
        <v>284.36</v>
      </c>
      <c r="Y95" s="6">
        <f ca="1">('TUSD BE'!$AM$16+'TUSD BF'!$AM$16+'TUSD CVA'!$AM$16)*1</f>
        <v>16.518304697547443</v>
      </c>
      <c r="Z95" s="6">
        <f ca="1">('TUSD BE'!$AM$17+'TUSD BF'!$AM$17+'TUSD CVA'!$AM$17)*1</f>
        <v>111.236500713561</v>
      </c>
      <c r="AA95" s="6">
        <f>('TE BE'!$AB$9+'TE BF'!$AB$9+'TE CVA'!$AB$9)*1</f>
        <v>259.03677522481752</v>
      </c>
      <c r="AB95" s="6">
        <f>$K$95*$V$95</f>
        <v>2732.4</v>
      </c>
      <c r="AC95" s="6">
        <f>$M$95*$W$95</f>
        <v>3180.4063900000001</v>
      </c>
      <c r="AD95" s="6">
        <f>$O$95*$X$95</f>
        <v>13037.052920000002</v>
      </c>
      <c r="AE95" s="6">
        <f ca="1">$K$95*$Y$95</f>
        <v>3634.0270334604375</v>
      </c>
      <c r="AF95" s="6">
        <f ca="1">$M$95*$Z$95</f>
        <v>5099.8598482146317</v>
      </c>
      <c r="AG95" s="6">
        <f>$O$95*$AA$95</f>
        <v>11876.059033732208</v>
      </c>
    </row>
    <row r="96" spans="1:33" ht="11.25" customHeight="1" x14ac:dyDescent="0.25">
      <c r="A96" s="4" t="s">
        <v>21</v>
      </c>
      <c r="B96" s="4" t="s">
        <v>33</v>
      </c>
      <c r="C96" s="4" t="s">
        <v>41</v>
      </c>
      <c r="D96" s="4" t="s">
        <v>43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44378</v>
      </c>
      <c r="J96" s="6">
        <v>4950</v>
      </c>
      <c r="K96" s="6">
        <v>4950</v>
      </c>
      <c r="L96" s="6">
        <v>2118.0160000000001</v>
      </c>
      <c r="M96" s="6">
        <v>2118.0160000000001</v>
      </c>
      <c r="N96" s="6">
        <v>0</v>
      </c>
      <c r="O96" s="6">
        <v>0</v>
      </c>
      <c r="P96" s="6">
        <v>0</v>
      </c>
      <c r="Q96" s="4" t="s">
        <v>53</v>
      </c>
      <c r="R96" s="4">
        <v>0</v>
      </c>
      <c r="S96" s="6">
        <v>14</v>
      </c>
      <c r="T96" s="6">
        <v>15</v>
      </c>
      <c r="U96" s="6">
        <v>0</v>
      </c>
      <c r="V96" s="6">
        <f>IF(ISERROR(VLOOKUP($S$96,'TAR FIN'!$A$1:$O$103,15,0)),0,VLOOKUP($S$96,'TAR FIN'!$A$1:$O$103,15,0))</f>
        <v>12.42</v>
      </c>
      <c r="W96" s="6">
        <f>IF(ISERROR(VLOOKUP($T$96,'TAR FIN'!$A$1:$O$103,15,0)),0,VLOOKUP($T$96,'TAR FIN'!$A$1:$O$103,15,0))</f>
        <v>69.37</v>
      </c>
      <c r="X96" s="6">
        <f>IF(ISERROR(VLOOKUP($U$96,'TAR FIN'!$A$1:$O$103,15,0)),0,VLOOKUP($U$96,'TAR FIN'!$A$1:$O$103,15,0))</f>
        <v>0</v>
      </c>
      <c r="Y96" s="6">
        <f ca="1">('TUSD BE'!$AM$16+'TUSD BF'!$AM$16+'TUSD CVA'!$AM$16)*1</f>
        <v>16.518304697547443</v>
      </c>
      <c r="Z96" s="6">
        <f ca="1">('TUSD BE'!$AM$17+'TUSD BF'!$AM$17+'TUSD CVA'!$AM$17)*1</f>
        <v>111.236500713561</v>
      </c>
      <c r="AA96" s="6"/>
      <c r="AB96" s="6">
        <f>$K$96*$V$96</f>
        <v>61479</v>
      </c>
      <c r="AC96" s="6">
        <f>$M$96*$W$96</f>
        <v>146926.76992000002</v>
      </c>
      <c r="AD96" s="6">
        <f>$O$96*$X$96</f>
        <v>0</v>
      </c>
      <c r="AE96" s="6">
        <f ca="1">$K$96*$Y$96</f>
        <v>81765.608252859834</v>
      </c>
      <c r="AF96" s="6">
        <f ca="1">$M$96*$Z$96</f>
        <v>235600.68829533362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33</v>
      </c>
      <c r="C97" s="4" t="s">
        <v>41</v>
      </c>
      <c r="D97" s="4" t="s">
        <v>43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44409</v>
      </c>
      <c r="J97" s="6">
        <v>220</v>
      </c>
      <c r="K97" s="6">
        <v>220</v>
      </c>
      <c r="L97" s="6">
        <v>46.393000000000001</v>
      </c>
      <c r="M97" s="6">
        <v>46.393000000000001</v>
      </c>
      <c r="N97" s="6">
        <v>46.393000000000001</v>
      </c>
      <c r="O97" s="6">
        <v>46.393000000000001</v>
      </c>
      <c r="P97" s="6">
        <v>0</v>
      </c>
      <c r="Q97" s="4" t="s">
        <v>26</v>
      </c>
      <c r="R97" s="4">
        <v>0</v>
      </c>
      <c r="S97" s="6">
        <v>14</v>
      </c>
      <c r="T97" s="6">
        <v>15</v>
      </c>
      <c r="U97" s="6">
        <v>66</v>
      </c>
      <c r="V97" s="6">
        <f>IF(ISERROR(VLOOKUP($S$97,'TAR FIN'!$A$1:$O$103,15,0)),0,VLOOKUP($S$97,'TAR FIN'!$A$1:$O$103,15,0))</f>
        <v>12.42</v>
      </c>
      <c r="W97" s="6">
        <f>IF(ISERROR(VLOOKUP($T$97,'TAR FIN'!$A$1:$O$103,15,0)),0,VLOOKUP($T$97,'TAR FIN'!$A$1:$O$103,15,0))</f>
        <v>69.37</v>
      </c>
      <c r="X97" s="6">
        <f>IF(ISERROR(VLOOKUP($U$97,'TAR FIN'!$A$1:$O$103,15,0)),0,VLOOKUP($U$97,'TAR FIN'!$A$1:$O$103,15,0))</f>
        <v>284.36</v>
      </c>
      <c r="Y97" s="6">
        <f ca="1">('TUSD BE'!$AM$16+'TUSD BF'!$AM$16+'TUSD CVA'!$AM$16)*1</f>
        <v>16.518304697547443</v>
      </c>
      <c r="Z97" s="6">
        <f ca="1">('TUSD BE'!$AM$17+'TUSD BF'!$AM$17+'TUSD CVA'!$AM$17)*1</f>
        <v>111.236500713561</v>
      </c>
      <c r="AA97" s="6">
        <f>('TE BE'!$AB$9+'TE BF'!$AB$9+'TE CVA'!$AB$9)*1</f>
        <v>259.03677522481752</v>
      </c>
      <c r="AB97" s="6">
        <f>$K$97*$V$97</f>
        <v>2732.4</v>
      </c>
      <c r="AC97" s="6">
        <f>$M$97*$W$97</f>
        <v>3218.2824100000003</v>
      </c>
      <c r="AD97" s="6">
        <f>$O$97*$X$97</f>
        <v>13192.313480000001</v>
      </c>
      <c r="AE97" s="6">
        <f ca="1">$K$97*$Y$97</f>
        <v>3634.0270334604375</v>
      </c>
      <c r="AF97" s="6">
        <f ca="1">$M$97*$Z$97</f>
        <v>5160.5949776042353</v>
      </c>
      <c r="AG97" s="6">
        <f>$O$97*$AA$97</f>
        <v>12017.493113004959</v>
      </c>
    </row>
    <row r="98" spans="1:33" ht="11.25" customHeight="1" x14ac:dyDescent="0.25">
      <c r="A98" s="4" t="s">
        <v>21</v>
      </c>
      <c r="B98" s="4" t="s">
        <v>33</v>
      </c>
      <c r="C98" s="4" t="s">
        <v>41</v>
      </c>
      <c r="D98" s="4" t="s">
        <v>43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44409</v>
      </c>
      <c r="J98" s="6">
        <v>4950</v>
      </c>
      <c r="K98" s="6">
        <v>4950</v>
      </c>
      <c r="L98" s="6">
        <v>2144.0639999999999</v>
      </c>
      <c r="M98" s="6">
        <v>2144.0639999999999</v>
      </c>
      <c r="N98" s="6">
        <v>0</v>
      </c>
      <c r="O98" s="6">
        <v>0</v>
      </c>
      <c r="P98" s="6">
        <v>0</v>
      </c>
      <c r="Q98" s="4" t="s">
        <v>53</v>
      </c>
      <c r="R98" s="4">
        <v>0</v>
      </c>
      <c r="S98" s="6">
        <v>14</v>
      </c>
      <c r="T98" s="6">
        <v>15</v>
      </c>
      <c r="U98" s="6">
        <v>0</v>
      </c>
      <c r="V98" s="6">
        <f>IF(ISERROR(VLOOKUP($S$98,'TAR FIN'!$A$1:$O$103,15,0)),0,VLOOKUP($S$98,'TAR FIN'!$A$1:$O$103,15,0))</f>
        <v>12.42</v>
      </c>
      <c r="W98" s="6">
        <f>IF(ISERROR(VLOOKUP($T$98,'TAR FIN'!$A$1:$O$103,15,0)),0,VLOOKUP($T$98,'TAR FIN'!$A$1:$O$103,15,0))</f>
        <v>69.37</v>
      </c>
      <c r="X98" s="6">
        <f>IF(ISERROR(VLOOKUP($U$98,'TAR FIN'!$A$1:$O$103,15,0)),0,VLOOKUP($U$98,'TAR FIN'!$A$1:$O$103,15,0))</f>
        <v>0</v>
      </c>
      <c r="Y98" s="6">
        <f ca="1">('TUSD BE'!$AM$16+'TUSD BF'!$AM$16+'TUSD CVA'!$AM$16)*1</f>
        <v>16.518304697547443</v>
      </c>
      <c r="Z98" s="6">
        <f ca="1">('TUSD BE'!$AM$17+'TUSD BF'!$AM$17+'TUSD CVA'!$AM$17)*1</f>
        <v>111.236500713561</v>
      </c>
      <c r="AA98" s="6"/>
      <c r="AB98" s="6">
        <f>$K$98*$V$98</f>
        <v>61479</v>
      </c>
      <c r="AC98" s="6">
        <f>$M$98*$W$98</f>
        <v>148733.71968000001</v>
      </c>
      <c r="AD98" s="6">
        <f>$O$98*$X$98</f>
        <v>0</v>
      </c>
      <c r="AE98" s="6">
        <f ca="1">$K$98*$Y$98</f>
        <v>81765.608252859834</v>
      </c>
      <c r="AF98" s="6">
        <f ca="1">$M$98*$Z$98</f>
        <v>238498.17666592044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33</v>
      </c>
      <c r="C99" s="4" t="s">
        <v>41</v>
      </c>
      <c r="D99" s="4" t="s">
        <v>43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44440</v>
      </c>
      <c r="J99" s="6">
        <v>220</v>
      </c>
      <c r="K99" s="6">
        <v>220</v>
      </c>
      <c r="L99" s="6">
        <v>45.607999999999997</v>
      </c>
      <c r="M99" s="6">
        <v>45.607999999999997</v>
      </c>
      <c r="N99" s="6">
        <v>45.607999999999997</v>
      </c>
      <c r="O99" s="6">
        <v>45.607999999999997</v>
      </c>
      <c r="P99" s="6">
        <v>0</v>
      </c>
      <c r="Q99" s="4" t="s">
        <v>26</v>
      </c>
      <c r="R99" s="4">
        <v>0</v>
      </c>
      <c r="S99" s="6">
        <v>14</v>
      </c>
      <c r="T99" s="6">
        <v>15</v>
      </c>
      <c r="U99" s="6">
        <v>66</v>
      </c>
      <c r="V99" s="6">
        <f>IF(ISERROR(VLOOKUP($S$99,'TAR FIN'!$A$1:$O$103,15,0)),0,VLOOKUP($S$99,'TAR FIN'!$A$1:$O$103,15,0))</f>
        <v>12.42</v>
      </c>
      <c r="W99" s="6">
        <f>IF(ISERROR(VLOOKUP($T$99,'TAR FIN'!$A$1:$O$103,15,0)),0,VLOOKUP($T$99,'TAR FIN'!$A$1:$O$103,15,0))</f>
        <v>69.37</v>
      </c>
      <c r="X99" s="6">
        <f>IF(ISERROR(VLOOKUP($U$99,'TAR FIN'!$A$1:$O$103,15,0)),0,VLOOKUP($U$99,'TAR FIN'!$A$1:$O$103,15,0))</f>
        <v>284.36</v>
      </c>
      <c r="Y99" s="6">
        <f ca="1">('TUSD BE'!$AM$16+'TUSD BF'!$AM$16+'TUSD CVA'!$AM$16)*1</f>
        <v>16.518304697547443</v>
      </c>
      <c r="Z99" s="6">
        <f ca="1">('TUSD BE'!$AM$17+'TUSD BF'!$AM$17+'TUSD CVA'!$AM$17)*1</f>
        <v>111.236500713561</v>
      </c>
      <c r="AA99" s="6">
        <f>('TE BE'!$AB$9+'TE BF'!$AB$9+'TE CVA'!$AB$9)*1</f>
        <v>259.03677522481752</v>
      </c>
      <c r="AB99" s="6">
        <f>$K$99*$V$99</f>
        <v>2732.4</v>
      </c>
      <c r="AC99" s="6">
        <f>$M$99*$W$99</f>
        <v>3163.8269599999999</v>
      </c>
      <c r="AD99" s="6">
        <f>$O$99*$X$99</f>
        <v>12969.09088</v>
      </c>
      <c r="AE99" s="6">
        <f ca="1">$K$99*$Y$99</f>
        <v>3634.0270334604375</v>
      </c>
      <c r="AF99" s="6">
        <f ca="1">$M$99*$Z$99</f>
        <v>5073.2743245440897</v>
      </c>
      <c r="AG99" s="6">
        <f>$O$99*$AA$99</f>
        <v>11814.149244453476</v>
      </c>
    </row>
    <row r="100" spans="1:33" ht="11.25" customHeight="1" x14ac:dyDescent="0.25">
      <c r="A100" s="4" t="s">
        <v>21</v>
      </c>
      <c r="B100" s="4" t="s">
        <v>33</v>
      </c>
      <c r="C100" s="4" t="s">
        <v>41</v>
      </c>
      <c r="D100" s="4" t="s">
        <v>43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44440</v>
      </c>
      <c r="J100" s="6">
        <v>4950</v>
      </c>
      <c r="K100" s="6">
        <v>4950</v>
      </c>
      <c r="L100" s="6">
        <v>2520.5880000000002</v>
      </c>
      <c r="M100" s="6">
        <v>2520.5880000000002</v>
      </c>
      <c r="N100" s="6">
        <v>0</v>
      </c>
      <c r="O100" s="6">
        <v>0</v>
      </c>
      <c r="P100" s="6">
        <v>0</v>
      </c>
      <c r="Q100" s="4" t="s">
        <v>53</v>
      </c>
      <c r="R100" s="4">
        <v>0</v>
      </c>
      <c r="S100" s="6">
        <v>14</v>
      </c>
      <c r="T100" s="6">
        <v>15</v>
      </c>
      <c r="U100" s="6">
        <v>0</v>
      </c>
      <c r="V100" s="6">
        <f>IF(ISERROR(VLOOKUP($S$100,'TAR FIN'!$A$1:$O$103,15,0)),0,VLOOKUP($S$100,'TAR FIN'!$A$1:$O$103,15,0))</f>
        <v>12.42</v>
      </c>
      <c r="W100" s="6">
        <f>IF(ISERROR(VLOOKUP($T$100,'TAR FIN'!$A$1:$O$103,15,0)),0,VLOOKUP($T$100,'TAR FIN'!$A$1:$O$103,15,0))</f>
        <v>69.37</v>
      </c>
      <c r="X100" s="6">
        <f>IF(ISERROR(VLOOKUP($U$100,'TAR FIN'!$A$1:$O$103,15,0)),0,VLOOKUP($U$100,'TAR FIN'!$A$1:$O$103,15,0))</f>
        <v>0</v>
      </c>
      <c r="Y100" s="6">
        <f ca="1">('TUSD BE'!$AM$16+'TUSD BF'!$AM$16+'TUSD CVA'!$AM$16)*1</f>
        <v>16.518304697547443</v>
      </c>
      <c r="Z100" s="6">
        <f ca="1">('TUSD BE'!$AM$17+'TUSD BF'!$AM$17+'TUSD CVA'!$AM$17)*1</f>
        <v>111.236500713561</v>
      </c>
      <c r="AA100" s="6"/>
      <c r="AB100" s="6">
        <f>$K$100*$V$100</f>
        <v>61479</v>
      </c>
      <c r="AC100" s="6">
        <f>$M$100*$W$100</f>
        <v>174853.18956000003</v>
      </c>
      <c r="AD100" s="6">
        <f>$O$100*$X$100</f>
        <v>0</v>
      </c>
      <c r="AE100" s="6">
        <f ca="1">$K$100*$Y$100</f>
        <v>81765.608252859834</v>
      </c>
      <c r="AF100" s="6">
        <f ca="1">$M$100*$Z$100</f>
        <v>280381.38886059332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33</v>
      </c>
      <c r="C101" s="4" t="s">
        <v>41</v>
      </c>
      <c r="D101" s="4" t="s">
        <v>43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44470</v>
      </c>
      <c r="J101" s="6">
        <v>220</v>
      </c>
      <c r="K101" s="6">
        <v>220</v>
      </c>
      <c r="L101" s="6">
        <v>46.792000000000002</v>
      </c>
      <c r="M101" s="6">
        <v>46.792000000000002</v>
      </c>
      <c r="N101" s="6">
        <v>46.792000000000002</v>
      </c>
      <c r="O101" s="6">
        <v>46.792000000000002</v>
      </c>
      <c r="P101" s="6">
        <v>0</v>
      </c>
      <c r="Q101" s="4" t="s">
        <v>26</v>
      </c>
      <c r="R101" s="4">
        <v>0</v>
      </c>
      <c r="S101" s="6">
        <v>14</v>
      </c>
      <c r="T101" s="6">
        <v>15</v>
      </c>
      <c r="U101" s="6">
        <v>66</v>
      </c>
      <c r="V101" s="6">
        <f>IF(ISERROR(VLOOKUP($S$101,'TAR FIN'!$A$1:$O$103,15,0)),0,VLOOKUP($S$101,'TAR FIN'!$A$1:$O$103,15,0))</f>
        <v>12.42</v>
      </c>
      <c r="W101" s="6">
        <f>IF(ISERROR(VLOOKUP($T$101,'TAR FIN'!$A$1:$O$103,15,0)),0,VLOOKUP($T$101,'TAR FIN'!$A$1:$O$103,15,0))</f>
        <v>69.37</v>
      </c>
      <c r="X101" s="6">
        <f>IF(ISERROR(VLOOKUP($U$101,'TAR FIN'!$A$1:$O$103,15,0)),0,VLOOKUP($U$101,'TAR FIN'!$A$1:$O$103,15,0))</f>
        <v>284.36</v>
      </c>
      <c r="Y101" s="6">
        <f ca="1">('TUSD BE'!$AM$16+'TUSD BF'!$AM$16+'TUSD CVA'!$AM$16)*1</f>
        <v>16.518304697547443</v>
      </c>
      <c r="Z101" s="6">
        <f ca="1">('TUSD BE'!$AM$17+'TUSD BF'!$AM$17+'TUSD CVA'!$AM$17)*1</f>
        <v>111.236500713561</v>
      </c>
      <c r="AA101" s="6">
        <f>('TE BE'!$AB$9+'TE BF'!$AB$9+'TE CVA'!$AB$9)*1</f>
        <v>259.03677522481752</v>
      </c>
      <c r="AB101" s="6">
        <f>$K$101*$V$101</f>
        <v>2732.4</v>
      </c>
      <c r="AC101" s="6">
        <f>$M$101*$W$101</f>
        <v>3245.9610400000001</v>
      </c>
      <c r="AD101" s="6">
        <f>$O$101*$X$101</f>
        <v>13305.773120000002</v>
      </c>
      <c r="AE101" s="6">
        <f ca="1">$K$101*$Y$101</f>
        <v>3634.0270334604375</v>
      </c>
      <c r="AF101" s="6">
        <f ca="1">$M$101*$Z$101</f>
        <v>5204.9783413889463</v>
      </c>
      <c r="AG101" s="6">
        <f>$O$101*$AA$101</f>
        <v>12120.848786319662</v>
      </c>
    </row>
    <row r="102" spans="1:33" ht="11.25" customHeight="1" x14ac:dyDescent="0.25">
      <c r="A102" s="4" t="s">
        <v>21</v>
      </c>
      <c r="B102" s="4" t="s">
        <v>33</v>
      </c>
      <c r="C102" s="4" t="s">
        <v>41</v>
      </c>
      <c r="D102" s="4" t="s">
        <v>43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44470</v>
      </c>
      <c r="J102" s="6">
        <v>5072</v>
      </c>
      <c r="K102" s="6">
        <v>5072</v>
      </c>
      <c r="L102" s="6">
        <v>2495.377</v>
      </c>
      <c r="M102" s="6">
        <v>2495.377</v>
      </c>
      <c r="N102" s="6">
        <v>0</v>
      </c>
      <c r="O102" s="6">
        <v>0</v>
      </c>
      <c r="P102" s="6">
        <v>0</v>
      </c>
      <c r="Q102" s="4" t="s">
        <v>53</v>
      </c>
      <c r="R102" s="4">
        <v>0</v>
      </c>
      <c r="S102" s="6">
        <v>14</v>
      </c>
      <c r="T102" s="6">
        <v>15</v>
      </c>
      <c r="U102" s="6">
        <v>0</v>
      </c>
      <c r="V102" s="6">
        <f>IF(ISERROR(VLOOKUP($S$102,'TAR FIN'!$A$1:$O$103,15,0)),0,VLOOKUP($S$102,'TAR FIN'!$A$1:$O$103,15,0))</f>
        <v>12.42</v>
      </c>
      <c r="W102" s="6">
        <f>IF(ISERROR(VLOOKUP($T$102,'TAR FIN'!$A$1:$O$103,15,0)),0,VLOOKUP($T$102,'TAR FIN'!$A$1:$O$103,15,0))</f>
        <v>69.37</v>
      </c>
      <c r="X102" s="6">
        <f>IF(ISERROR(VLOOKUP($U$102,'TAR FIN'!$A$1:$O$103,15,0)),0,VLOOKUP($U$102,'TAR FIN'!$A$1:$O$103,15,0))</f>
        <v>0</v>
      </c>
      <c r="Y102" s="6">
        <f ca="1">('TUSD BE'!$AM$16+'TUSD BF'!$AM$16+'TUSD CVA'!$AM$16)*1</f>
        <v>16.518304697547443</v>
      </c>
      <c r="Z102" s="6">
        <f ca="1">('TUSD BE'!$AM$17+'TUSD BF'!$AM$17+'TUSD CVA'!$AM$17)*1</f>
        <v>111.236500713561</v>
      </c>
      <c r="AA102" s="6"/>
      <c r="AB102" s="6">
        <f>$K$102*$V$102</f>
        <v>62994.239999999998</v>
      </c>
      <c r="AC102" s="6">
        <f>$M$102*$W$102</f>
        <v>173104.30249</v>
      </c>
      <c r="AD102" s="6">
        <f>$O$102*$X$102</f>
        <v>0</v>
      </c>
      <c r="AE102" s="6">
        <f ca="1">$K$102*$Y$102</f>
        <v>83780.841425960622</v>
      </c>
      <c r="AF102" s="6">
        <f ca="1">$M$102*$Z$102</f>
        <v>277577.00544110371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33</v>
      </c>
      <c r="C103" s="4" t="s">
        <v>41</v>
      </c>
      <c r="D103" s="4" t="s">
        <v>43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44501</v>
      </c>
      <c r="J103" s="6">
        <v>231</v>
      </c>
      <c r="K103" s="6">
        <v>231</v>
      </c>
      <c r="L103" s="6">
        <v>48.429000000000002</v>
      </c>
      <c r="M103" s="6">
        <v>48.429000000000002</v>
      </c>
      <c r="N103" s="6">
        <v>48.429000000000002</v>
      </c>
      <c r="O103" s="6">
        <v>48.429000000000002</v>
      </c>
      <c r="P103" s="6">
        <v>0</v>
      </c>
      <c r="Q103" s="4" t="s">
        <v>26</v>
      </c>
      <c r="R103" s="4">
        <v>0</v>
      </c>
      <c r="S103" s="6">
        <v>14</v>
      </c>
      <c r="T103" s="6">
        <v>15</v>
      </c>
      <c r="U103" s="6">
        <v>66</v>
      </c>
      <c r="V103" s="6">
        <f>IF(ISERROR(VLOOKUP($S$103,'TAR FIN'!$A$1:$O$103,15,0)),0,VLOOKUP($S$103,'TAR FIN'!$A$1:$O$103,15,0))</f>
        <v>12.42</v>
      </c>
      <c r="W103" s="6">
        <f>IF(ISERROR(VLOOKUP($T$103,'TAR FIN'!$A$1:$O$103,15,0)),0,VLOOKUP($T$103,'TAR FIN'!$A$1:$O$103,15,0))</f>
        <v>69.37</v>
      </c>
      <c r="X103" s="6">
        <f>IF(ISERROR(VLOOKUP($U$103,'TAR FIN'!$A$1:$O$103,15,0)),0,VLOOKUP($U$103,'TAR FIN'!$A$1:$O$103,15,0))</f>
        <v>284.36</v>
      </c>
      <c r="Y103" s="6">
        <f ca="1">('TUSD BE'!$AM$16+'TUSD BF'!$AM$16+'TUSD CVA'!$AM$16)*1</f>
        <v>16.518304697547443</v>
      </c>
      <c r="Z103" s="6">
        <f ca="1">('TUSD BE'!$AM$17+'TUSD BF'!$AM$17+'TUSD CVA'!$AM$17)*1</f>
        <v>111.236500713561</v>
      </c>
      <c r="AA103" s="6">
        <f>('TE BE'!$AB$9+'TE BF'!$AB$9+'TE CVA'!$AB$9)*1</f>
        <v>259.03677522481752</v>
      </c>
      <c r="AB103" s="6">
        <f>$K$103*$V$103</f>
        <v>2869.02</v>
      </c>
      <c r="AC103" s="6">
        <f>$M$103*$W$103</f>
        <v>3359.5197300000004</v>
      </c>
      <c r="AD103" s="6">
        <f>$O$103*$X$103</f>
        <v>13771.270440000002</v>
      </c>
      <c r="AE103" s="6">
        <f ca="1">$K$103*$Y$103</f>
        <v>3815.7283851334591</v>
      </c>
      <c r="AF103" s="6">
        <f ca="1">$M$103*$Z$103</f>
        <v>5387.0724930570459</v>
      </c>
      <c r="AG103" s="6">
        <f>$O$103*$AA$103</f>
        <v>12544.891987362687</v>
      </c>
    </row>
    <row r="104" spans="1:33" ht="11.25" customHeight="1" x14ac:dyDescent="0.25">
      <c r="A104" s="4" t="s">
        <v>21</v>
      </c>
      <c r="B104" s="4" t="s">
        <v>33</v>
      </c>
      <c r="C104" s="4" t="s">
        <v>41</v>
      </c>
      <c r="D104" s="4" t="s">
        <v>43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44501</v>
      </c>
      <c r="J104" s="6">
        <v>4959</v>
      </c>
      <c r="K104" s="6">
        <v>4959</v>
      </c>
      <c r="L104" s="6">
        <v>2724.451</v>
      </c>
      <c r="M104" s="6">
        <v>2724.451</v>
      </c>
      <c r="N104" s="6">
        <v>0</v>
      </c>
      <c r="O104" s="6">
        <v>0</v>
      </c>
      <c r="P104" s="6">
        <v>0</v>
      </c>
      <c r="Q104" s="4" t="s">
        <v>53</v>
      </c>
      <c r="R104" s="4">
        <v>0</v>
      </c>
      <c r="S104" s="6">
        <v>14</v>
      </c>
      <c r="T104" s="6">
        <v>15</v>
      </c>
      <c r="U104" s="6">
        <v>0</v>
      </c>
      <c r="V104" s="6">
        <f>IF(ISERROR(VLOOKUP($S$104,'TAR FIN'!$A$1:$O$103,15,0)),0,VLOOKUP($S$104,'TAR FIN'!$A$1:$O$103,15,0))</f>
        <v>12.42</v>
      </c>
      <c r="W104" s="6">
        <f>IF(ISERROR(VLOOKUP($T$104,'TAR FIN'!$A$1:$O$103,15,0)),0,VLOOKUP($T$104,'TAR FIN'!$A$1:$O$103,15,0))</f>
        <v>69.37</v>
      </c>
      <c r="X104" s="6">
        <f>IF(ISERROR(VLOOKUP($U$104,'TAR FIN'!$A$1:$O$103,15,0)),0,VLOOKUP($U$104,'TAR FIN'!$A$1:$O$103,15,0))</f>
        <v>0</v>
      </c>
      <c r="Y104" s="6">
        <f ca="1">('TUSD BE'!$AM$16+'TUSD BF'!$AM$16+'TUSD CVA'!$AM$16)*1</f>
        <v>16.518304697547443</v>
      </c>
      <c r="Z104" s="6">
        <f ca="1">('TUSD BE'!$AM$17+'TUSD BF'!$AM$17+'TUSD CVA'!$AM$17)*1</f>
        <v>111.236500713561</v>
      </c>
      <c r="AA104" s="6"/>
      <c r="AB104" s="6">
        <f>$K$104*$V$104</f>
        <v>61590.78</v>
      </c>
      <c r="AC104" s="6">
        <f>$M$104*$W$104</f>
        <v>188995.16587000003</v>
      </c>
      <c r="AD104" s="6">
        <f>$O$104*$X$104</f>
        <v>0</v>
      </c>
      <c r="AE104" s="6">
        <f ca="1">$K$104*$Y$104</f>
        <v>81914.27299513777</v>
      </c>
      <c r="AF104" s="6">
        <f ca="1">$M$104*$Z$104</f>
        <v>303058.39560556196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33</v>
      </c>
      <c r="C105" s="4" t="s">
        <v>41</v>
      </c>
      <c r="D105" s="4" t="s">
        <v>43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251</v>
      </c>
      <c r="K105" s="6">
        <v>251</v>
      </c>
      <c r="L105" s="6">
        <v>50.93</v>
      </c>
      <c r="M105" s="6">
        <v>50.93</v>
      </c>
      <c r="N105" s="6">
        <v>50.93</v>
      </c>
      <c r="O105" s="6">
        <v>50.93</v>
      </c>
      <c r="P105" s="6">
        <v>0</v>
      </c>
      <c r="Q105" s="4" t="s">
        <v>26</v>
      </c>
      <c r="R105" s="4">
        <v>0</v>
      </c>
      <c r="S105" s="6">
        <v>14</v>
      </c>
      <c r="T105" s="6">
        <v>15</v>
      </c>
      <c r="U105" s="6">
        <v>66</v>
      </c>
      <c r="V105" s="6">
        <f>IF(ISERROR(VLOOKUP($S$105,'TAR FIN'!$A$1:$O$103,15,0)),0,VLOOKUP($S$105,'TAR FIN'!$A$1:$O$103,15,0))</f>
        <v>12.42</v>
      </c>
      <c r="W105" s="6">
        <f>IF(ISERROR(VLOOKUP($T$105,'TAR FIN'!$A$1:$O$103,15,0)),0,VLOOKUP($T$105,'TAR FIN'!$A$1:$O$103,15,0))</f>
        <v>69.37</v>
      </c>
      <c r="X105" s="6">
        <f>IF(ISERROR(VLOOKUP($U$105,'TAR FIN'!$A$1:$O$103,15,0)),0,VLOOKUP($U$105,'TAR FIN'!$A$1:$O$103,15,0))</f>
        <v>284.36</v>
      </c>
      <c r="Y105" s="6">
        <f ca="1">('TUSD BE'!$AM$16+'TUSD BF'!$AM$16+'TUSD CVA'!$AM$16)*1</f>
        <v>16.518304697547443</v>
      </c>
      <c r="Z105" s="6">
        <f ca="1">('TUSD BE'!$AM$17+'TUSD BF'!$AM$17+'TUSD CVA'!$AM$17)*1</f>
        <v>111.236500713561</v>
      </c>
      <c r="AA105" s="6">
        <f>('TE BE'!$AB$9+'TE BF'!$AB$9+'TE CVA'!$AB$9)*1</f>
        <v>259.03677522481752</v>
      </c>
      <c r="AB105" s="6">
        <f>$K$105*$V$105</f>
        <v>3117.42</v>
      </c>
      <c r="AC105" s="6">
        <f>$M$105*$W$105</f>
        <v>3533.0141000000003</v>
      </c>
      <c r="AD105" s="6">
        <f>$O$105*$X$105</f>
        <v>14482.454800000001</v>
      </c>
      <c r="AE105" s="6">
        <f ca="1">$K$105*$Y$105</f>
        <v>4146.0944790844078</v>
      </c>
      <c r="AF105" s="6">
        <f ca="1">$M$105*$Z$105</f>
        <v>5665.2749813416613</v>
      </c>
      <c r="AG105" s="6">
        <f>$O$105*$AA$105</f>
        <v>13192.742962199956</v>
      </c>
    </row>
    <row r="106" spans="1:33" ht="11.25" customHeight="1" x14ac:dyDescent="0.25">
      <c r="A106" s="4" t="s">
        <v>21</v>
      </c>
      <c r="B106" s="4" t="s">
        <v>33</v>
      </c>
      <c r="C106" s="4" t="s">
        <v>41</v>
      </c>
      <c r="D106" s="4" t="s">
        <v>43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44531</v>
      </c>
      <c r="J106" s="6">
        <v>5167</v>
      </c>
      <c r="K106" s="6">
        <v>5167</v>
      </c>
      <c r="L106" s="6">
        <v>2521.7220000000002</v>
      </c>
      <c r="M106" s="6">
        <v>2521.7220000000002</v>
      </c>
      <c r="N106" s="6">
        <v>0</v>
      </c>
      <c r="O106" s="6">
        <v>0</v>
      </c>
      <c r="P106" s="6">
        <v>0</v>
      </c>
      <c r="Q106" s="4" t="s">
        <v>53</v>
      </c>
      <c r="R106" s="4">
        <v>0</v>
      </c>
      <c r="S106" s="6">
        <v>14</v>
      </c>
      <c r="T106" s="6">
        <v>15</v>
      </c>
      <c r="U106" s="6">
        <v>0</v>
      </c>
      <c r="V106" s="6">
        <f>IF(ISERROR(VLOOKUP($S$106,'TAR FIN'!$A$1:$O$103,15,0)),0,VLOOKUP($S$106,'TAR FIN'!$A$1:$O$103,15,0))</f>
        <v>12.42</v>
      </c>
      <c r="W106" s="6">
        <f>IF(ISERROR(VLOOKUP($T$106,'TAR FIN'!$A$1:$O$103,15,0)),0,VLOOKUP($T$106,'TAR FIN'!$A$1:$O$103,15,0))</f>
        <v>69.37</v>
      </c>
      <c r="X106" s="6">
        <f>IF(ISERROR(VLOOKUP($U$106,'TAR FIN'!$A$1:$O$103,15,0)),0,VLOOKUP($U$106,'TAR FIN'!$A$1:$O$103,15,0))</f>
        <v>0</v>
      </c>
      <c r="Y106" s="6">
        <f ca="1">('TUSD BE'!$AM$16+'TUSD BF'!$AM$16+'TUSD CVA'!$AM$16)*1</f>
        <v>16.518304697547443</v>
      </c>
      <c r="Z106" s="6">
        <f ca="1">('TUSD BE'!$AM$17+'TUSD BF'!$AM$17+'TUSD CVA'!$AM$17)*1</f>
        <v>111.236500713561</v>
      </c>
      <c r="AA106" s="6"/>
      <c r="AB106" s="6">
        <f>$K$106*$V$106</f>
        <v>64174.14</v>
      </c>
      <c r="AC106" s="6">
        <f>$M$106*$W$106</f>
        <v>174931.85514000003</v>
      </c>
      <c r="AD106" s="6">
        <f>$O$106*$X$106</f>
        <v>0</v>
      </c>
      <c r="AE106" s="6">
        <f ca="1">$K$106*$Y$106</f>
        <v>85350.080372227632</v>
      </c>
      <c r="AF106" s="6">
        <f ca="1">$M$106*$Z$106</f>
        <v>280507.53105240251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33</v>
      </c>
      <c r="C107" s="4" t="s">
        <v>41</v>
      </c>
      <c r="D107" s="4" t="s">
        <v>43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44562</v>
      </c>
      <c r="J107" s="6">
        <v>275</v>
      </c>
      <c r="K107" s="6">
        <v>275</v>
      </c>
      <c r="L107" s="6">
        <v>60.686</v>
      </c>
      <c r="M107" s="6">
        <v>60.686</v>
      </c>
      <c r="N107" s="6">
        <v>60.686</v>
      </c>
      <c r="O107" s="6">
        <v>60.686</v>
      </c>
      <c r="P107" s="6">
        <v>0</v>
      </c>
      <c r="Q107" s="4" t="s">
        <v>26</v>
      </c>
      <c r="R107" s="4">
        <v>0</v>
      </c>
      <c r="S107" s="6">
        <v>14</v>
      </c>
      <c r="T107" s="6">
        <v>15</v>
      </c>
      <c r="U107" s="6">
        <v>66</v>
      </c>
      <c r="V107" s="6">
        <f>IF(ISERROR(VLOOKUP($S$107,'TAR FIN'!$A$1:$O$103,15,0)),0,VLOOKUP($S$107,'TAR FIN'!$A$1:$O$103,15,0))</f>
        <v>12.42</v>
      </c>
      <c r="W107" s="6">
        <f>IF(ISERROR(VLOOKUP($T$107,'TAR FIN'!$A$1:$O$103,15,0)),0,VLOOKUP($T$107,'TAR FIN'!$A$1:$O$103,15,0))</f>
        <v>69.37</v>
      </c>
      <c r="X107" s="6">
        <f>IF(ISERROR(VLOOKUP($U$107,'TAR FIN'!$A$1:$O$103,15,0)),0,VLOOKUP($U$107,'TAR FIN'!$A$1:$O$103,15,0))</f>
        <v>284.36</v>
      </c>
      <c r="Y107" s="6">
        <f ca="1">('TUSD BE'!$AM$16+'TUSD BF'!$AM$16+'TUSD CVA'!$AM$16)*1</f>
        <v>16.518304697547443</v>
      </c>
      <c r="Z107" s="6">
        <f ca="1">('TUSD BE'!$AM$17+'TUSD BF'!$AM$17+'TUSD CVA'!$AM$17)*1</f>
        <v>111.236500713561</v>
      </c>
      <c r="AA107" s="6">
        <f>('TE BE'!$AB$9+'TE BF'!$AB$9+'TE CVA'!$AB$9)*1</f>
        <v>259.03677522481752</v>
      </c>
      <c r="AB107" s="6">
        <f>$K$107*$V$107</f>
        <v>3415.5</v>
      </c>
      <c r="AC107" s="6">
        <f>$M$107*$W$107</f>
        <v>4209.7878200000005</v>
      </c>
      <c r="AD107" s="6">
        <f>$O$107*$X$107</f>
        <v>17256.670959999999</v>
      </c>
      <c r="AE107" s="6">
        <f ca="1">$K$107*$Y$107</f>
        <v>4542.5337918255464</v>
      </c>
      <c r="AF107" s="6">
        <f ca="1">$M$107*$Z$107</f>
        <v>6750.4982823031633</v>
      </c>
      <c r="AG107" s="6">
        <f>$O$107*$AA$107</f>
        <v>15719.905741293276</v>
      </c>
    </row>
    <row r="108" spans="1:33" ht="11.25" customHeight="1" x14ac:dyDescent="0.25">
      <c r="A108" s="4" t="s">
        <v>21</v>
      </c>
      <c r="B108" s="4" t="s">
        <v>33</v>
      </c>
      <c r="C108" s="4" t="s">
        <v>41</v>
      </c>
      <c r="D108" s="4" t="s">
        <v>43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44562</v>
      </c>
      <c r="J108" s="6">
        <v>4951</v>
      </c>
      <c r="K108" s="6">
        <v>4951</v>
      </c>
      <c r="L108" s="6">
        <v>2388.4650000000001</v>
      </c>
      <c r="M108" s="6">
        <v>2388.4650000000001</v>
      </c>
      <c r="N108" s="6">
        <v>0</v>
      </c>
      <c r="O108" s="6">
        <v>0</v>
      </c>
      <c r="P108" s="6">
        <v>0</v>
      </c>
      <c r="Q108" s="4" t="s">
        <v>53</v>
      </c>
      <c r="R108" s="4">
        <v>0</v>
      </c>
      <c r="S108" s="6">
        <v>14</v>
      </c>
      <c r="T108" s="6">
        <v>15</v>
      </c>
      <c r="U108" s="6">
        <v>0</v>
      </c>
      <c r="V108" s="6">
        <f>IF(ISERROR(VLOOKUP($S$108,'TAR FIN'!$A$1:$O$103,15,0)),0,VLOOKUP($S$108,'TAR FIN'!$A$1:$O$103,15,0))</f>
        <v>12.42</v>
      </c>
      <c r="W108" s="6">
        <f>IF(ISERROR(VLOOKUP($T$108,'TAR FIN'!$A$1:$O$103,15,0)),0,VLOOKUP($T$108,'TAR FIN'!$A$1:$O$103,15,0))</f>
        <v>69.37</v>
      </c>
      <c r="X108" s="6">
        <f>IF(ISERROR(VLOOKUP($U$108,'TAR FIN'!$A$1:$O$103,15,0)),0,VLOOKUP($U$108,'TAR FIN'!$A$1:$O$103,15,0))</f>
        <v>0</v>
      </c>
      <c r="Y108" s="6">
        <f ca="1">('TUSD BE'!$AM$16+'TUSD BF'!$AM$16+'TUSD CVA'!$AM$16)*1</f>
        <v>16.518304697547443</v>
      </c>
      <c r="Z108" s="6">
        <f ca="1">('TUSD BE'!$AM$17+'TUSD BF'!$AM$17+'TUSD CVA'!$AM$17)*1</f>
        <v>111.236500713561</v>
      </c>
      <c r="AA108" s="6"/>
      <c r="AB108" s="6">
        <f>$K$108*$V$108</f>
        <v>61491.42</v>
      </c>
      <c r="AC108" s="6">
        <f>$M$108*$W$108</f>
        <v>165687.81705000001</v>
      </c>
      <c r="AD108" s="6">
        <f>$O$108*$X$108</f>
        <v>0</v>
      </c>
      <c r="AE108" s="6">
        <f ca="1">$K$108*$Y$108</f>
        <v>81782.126557557393</v>
      </c>
      <c r="AF108" s="6">
        <f ca="1">$M$108*$Z$108</f>
        <v>265684.48867681547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33</v>
      </c>
      <c r="C109" s="4" t="s">
        <v>41</v>
      </c>
      <c r="D109" s="4" t="s">
        <v>43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44593</v>
      </c>
      <c r="J109" s="6">
        <v>240</v>
      </c>
      <c r="K109" s="6">
        <v>240</v>
      </c>
      <c r="L109" s="6">
        <v>49.173000000000002</v>
      </c>
      <c r="M109" s="6">
        <v>49.173000000000002</v>
      </c>
      <c r="N109" s="6">
        <v>49.173000000000002</v>
      </c>
      <c r="O109" s="6">
        <v>49.173000000000002</v>
      </c>
      <c r="P109" s="6">
        <v>0</v>
      </c>
      <c r="Q109" s="4" t="s">
        <v>26</v>
      </c>
      <c r="R109" s="4">
        <v>0</v>
      </c>
      <c r="S109" s="6">
        <v>14</v>
      </c>
      <c r="T109" s="6">
        <v>15</v>
      </c>
      <c r="U109" s="6">
        <v>66</v>
      </c>
      <c r="V109" s="6">
        <f>IF(ISERROR(VLOOKUP($S$109,'TAR FIN'!$A$1:$O$103,15,0)),0,VLOOKUP($S$109,'TAR FIN'!$A$1:$O$103,15,0))</f>
        <v>12.42</v>
      </c>
      <c r="W109" s="6">
        <f>IF(ISERROR(VLOOKUP($T$109,'TAR FIN'!$A$1:$O$103,15,0)),0,VLOOKUP($T$109,'TAR FIN'!$A$1:$O$103,15,0))</f>
        <v>69.37</v>
      </c>
      <c r="X109" s="6">
        <f>IF(ISERROR(VLOOKUP($U$109,'TAR FIN'!$A$1:$O$103,15,0)),0,VLOOKUP($U$109,'TAR FIN'!$A$1:$O$103,15,0))</f>
        <v>284.36</v>
      </c>
      <c r="Y109" s="6">
        <f ca="1">('TUSD BE'!$AM$16+'TUSD BF'!$AM$16+'TUSD CVA'!$AM$16)*1</f>
        <v>16.518304697547443</v>
      </c>
      <c r="Z109" s="6">
        <f ca="1">('TUSD BE'!$AM$17+'TUSD BF'!$AM$17+'TUSD CVA'!$AM$17)*1</f>
        <v>111.236500713561</v>
      </c>
      <c r="AA109" s="6">
        <f>('TE BE'!$AB$9+'TE BF'!$AB$9+'TE CVA'!$AB$9)*1</f>
        <v>259.03677522481752</v>
      </c>
      <c r="AB109" s="6">
        <f>$K$109*$V$109</f>
        <v>2980.8</v>
      </c>
      <c r="AC109" s="6">
        <f>$M$109*$W$109</f>
        <v>3411.1310100000005</v>
      </c>
      <c r="AD109" s="6">
        <f>$O$109*$X$109</f>
        <v>13982.834280000001</v>
      </c>
      <c r="AE109" s="6">
        <f ca="1">$K$109*$Y$109</f>
        <v>3964.3931274113861</v>
      </c>
      <c r="AF109" s="6">
        <f ca="1">$M$109*$Z$109</f>
        <v>5469.8324495879351</v>
      </c>
      <c r="AG109" s="6">
        <f>$O$109*$AA$109</f>
        <v>12737.615348129952</v>
      </c>
    </row>
    <row r="110" spans="1:33" ht="11.25" customHeight="1" x14ac:dyDescent="0.25">
      <c r="A110" s="4" t="s">
        <v>21</v>
      </c>
      <c r="B110" s="4" t="s">
        <v>33</v>
      </c>
      <c r="C110" s="4" t="s">
        <v>41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44593</v>
      </c>
      <c r="J110" s="6">
        <v>4950</v>
      </c>
      <c r="K110" s="6">
        <v>4950</v>
      </c>
      <c r="L110" s="6">
        <v>2417.962</v>
      </c>
      <c r="M110" s="6">
        <v>2417.962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6">
        <v>14</v>
      </c>
      <c r="T110" s="6">
        <v>15</v>
      </c>
      <c r="U110" s="6">
        <v>0</v>
      </c>
      <c r="V110" s="6">
        <f>IF(ISERROR(VLOOKUP($S$110,'TAR FIN'!$A$1:$O$103,15,0)),0,VLOOKUP($S$110,'TAR FIN'!$A$1:$O$103,15,0))</f>
        <v>12.42</v>
      </c>
      <c r="W110" s="6">
        <f>IF(ISERROR(VLOOKUP($T$110,'TAR FIN'!$A$1:$O$103,15,0)),0,VLOOKUP($T$110,'TAR FIN'!$A$1:$O$103,15,0))</f>
        <v>69.37</v>
      </c>
      <c r="X110" s="6">
        <f>IF(ISERROR(VLOOKUP($U$110,'TAR FIN'!$A$1:$O$103,15,0)),0,VLOOKUP($U$110,'TAR FIN'!$A$1:$O$103,15,0))</f>
        <v>0</v>
      </c>
      <c r="Y110" s="6">
        <f ca="1">('TUSD BE'!$AM$16+'TUSD BF'!$AM$16+'TUSD CVA'!$AM$16)*1</f>
        <v>16.518304697547443</v>
      </c>
      <c r="Z110" s="6">
        <f ca="1">('TUSD BE'!$AM$17+'TUSD BF'!$AM$17+'TUSD CVA'!$AM$17)*1</f>
        <v>111.236500713561</v>
      </c>
      <c r="AA110" s="6"/>
      <c r="AB110" s="6">
        <f>$K$110*$V$110</f>
        <v>61479</v>
      </c>
      <c r="AC110" s="6">
        <f>$M$110*$W$110</f>
        <v>167734.02394000001</v>
      </c>
      <c r="AD110" s="6">
        <f>$O$110*$X$110</f>
        <v>0</v>
      </c>
      <c r="AE110" s="6">
        <f ca="1">$K$110*$Y$110</f>
        <v>81765.608252859834</v>
      </c>
      <c r="AF110" s="6">
        <f ca="1">$M$110*$Z$110</f>
        <v>268965.63173836336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33</v>
      </c>
      <c r="C111" s="4" t="s">
        <v>41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44621</v>
      </c>
      <c r="J111" s="6">
        <v>256</v>
      </c>
      <c r="K111" s="6">
        <v>256</v>
      </c>
      <c r="L111" s="6">
        <v>55.8</v>
      </c>
      <c r="M111" s="6">
        <v>55.8</v>
      </c>
      <c r="N111" s="6">
        <v>55.8</v>
      </c>
      <c r="O111" s="6">
        <v>55.8</v>
      </c>
      <c r="P111" s="6">
        <v>0</v>
      </c>
      <c r="Q111" s="4" t="s">
        <v>26</v>
      </c>
      <c r="R111" s="4">
        <v>0</v>
      </c>
      <c r="S111" s="6">
        <v>14</v>
      </c>
      <c r="T111" s="6">
        <v>15</v>
      </c>
      <c r="U111" s="6">
        <v>66</v>
      </c>
      <c r="V111" s="6">
        <f>IF(ISERROR(VLOOKUP($S$111,'TAR FIN'!$A$1:$O$103,15,0)),0,VLOOKUP($S$111,'TAR FIN'!$A$1:$O$103,15,0))</f>
        <v>12.42</v>
      </c>
      <c r="W111" s="6">
        <f>IF(ISERROR(VLOOKUP($T$111,'TAR FIN'!$A$1:$O$103,15,0)),0,VLOOKUP($T$111,'TAR FIN'!$A$1:$O$103,15,0))</f>
        <v>69.37</v>
      </c>
      <c r="X111" s="6">
        <f>IF(ISERROR(VLOOKUP($U$111,'TAR FIN'!$A$1:$O$103,15,0)),0,VLOOKUP($U$111,'TAR FIN'!$A$1:$O$103,15,0))</f>
        <v>284.36</v>
      </c>
      <c r="Y111" s="6">
        <f ca="1">('TUSD BE'!$AM$16+'TUSD BF'!$AM$16+'TUSD CVA'!$AM$16)*1</f>
        <v>16.518304697547443</v>
      </c>
      <c r="Z111" s="6">
        <f ca="1">('TUSD BE'!$AM$17+'TUSD BF'!$AM$17+'TUSD CVA'!$AM$17)*1</f>
        <v>111.236500713561</v>
      </c>
      <c r="AA111" s="6">
        <f>('TE BE'!$AB$9+'TE BF'!$AB$9+'TE CVA'!$AB$9)*1</f>
        <v>259.03677522481752</v>
      </c>
      <c r="AB111" s="6">
        <f>$K$111*$V$111</f>
        <v>3179.52</v>
      </c>
      <c r="AC111" s="6">
        <f>$M$111*$W$111</f>
        <v>3870.846</v>
      </c>
      <c r="AD111" s="6">
        <f>$O$111*$X$111</f>
        <v>15867.288</v>
      </c>
      <c r="AE111" s="6">
        <f ca="1">$K$111*$Y$111</f>
        <v>4228.6860025721453</v>
      </c>
      <c r="AF111" s="6">
        <f ca="1">$M$111*$Z$111</f>
        <v>6206.9967398167037</v>
      </c>
      <c r="AG111" s="6">
        <f>$O$111*$AA$111</f>
        <v>14454.252057544816</v>
      </c>
    </row>
    <row r="112" spans="1:33" ht="11.25" customHeight="1" x14ac:dyDescent="0.25">
      <c r="A112" s="4" t="s">
        <v>21</v>
      </c>
      <c r="B112" s="4" t="s">
        <v>33</v>
      </c>
      <c r="C112" s="4" t="s">
        <v>41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4994</v>
      </c>
      <c r="K112" s="6">
        <v>4994</v>
      </c>
      <c r="L112" s="6">
        <v>2358.5079999999998</v>
      </c>
      <c r="M112" s="6">
        <v>2358.5079999999998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6">
        <v>14</v>
      </c>
      <c r="T112" s="6">
        <v>15</v>
      </c>
      <c r="U112" s="6">
        <v>0</v>
      </c>
      <c r="V112" s="6">
        <f>IF(ISERROR(VLOOKUP($S$112,'TAR FIN'!$A$1:$O$103,15,0)),0,VLOOKUP($S$112,'TAR FIN'!$A$1:$O$103,15,0))</f>
        <v>12.42</v>
      </c>
      <c r="W112" s="6">
        <f>IF(ISERROR(VLOOKUP($T$112,'TAR FIN'!$A$1:$O$103,15,0)),0,VLOOKUP($T$112,'TAR FIN'!$A$1:$O$103,15,0))</f>
        <v>69.37</v>
      </c>
      <c r="X112" s="6">
        <f>IF(ISERROR(VLOOKUP($U$112,'TAR FIN'!$A$1:$O$103,15,0)),0,VLOOKUP($U$112,'TAR FIN'!$A$1:$O$103,15,0))</f>
        <v>0</v>
      </c>
      <c r="Y112" s="6">
        <f ca="1">('TUSD BE'!$AM$16+'TUSD BF'!$AM$16+'TUSD CVA'!$AM$16)*1</f>
        <v>16.518304697547443</v>
      </c>
      <c r="Z112" s="6">
        <f ca="1">('TUSD BE'!$AM$17+'TUSD BF'!$AM$17+'TUSD CVA'!$AM$17)*1</f>
        <v>111.236500713561</v>
      </c>
      <c r="AA112" s="6"/>
      <c r="AB112" s="6">
        <f>$K$112*$V$112</f>
        <v>62025.48</v>
      </c>
      <c r="AC112" s="6">
        <f>$M$112*$W$112</f>
        <v>163609.69996</v>
      </c>
      <c r="AD112" s="6">
        <f>$O$112*$X$112</f>
        <v>0</v>
      </c>
      <c r="AE112" s="6">
        <f ca="1">$K$112*$Y$112</f>
        <v>82492.413659551923</v>
      </c>
      <c r="AF112" s="6">
        <f ca="1">$M$112*$Z$112</f>
        <v>262352.17682493932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33</v>
      </c>
      <c r="C113" s="4" t="s">
        <v>41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220</v>
      </c>
      <c r="K113" s="6">
        <v>220</v>
      </c>
      <c r="L113" s="6">
        <v>48.951999999999998</v>
      </c>
      <c r="M113" s="6">
        <v>48.951999999999998</v>
      </c>
      <c r="N113" s="6">
        <v>48.951999999999998</v>
      </c>
      <c r="O113" s="6">
        <v>48.951999999999998</v>
      </c>
      <c r="P113" s="6">
        <v>0</v>
      </c>
      <c r="Q113" s="4" t="s">
        <v>26</v>
      </c>
      <c r="R113" s="4">
        <v>0</v>
      </c>
      <c r="S113" s="6">
        <v>14</v>
      </c>
      <c r="T113" s="6">
        <v>15</v>
      </c>
      <c r="U113" s="6">
        <v>66</v>
      </c>
      <c r="V113" s="6">
        <f>IF(ISERROR(VLOOKUP($S$113,'TAR FIN'!$A$1:$O$103,15,0)),0,VLOOKUP($S$113,'TAR FIN'!$A$1:$O$103,15,0))</f>
        <v>12.42</v>
      </c>
      <c r="W113" s="6">
        <f>IF(ISERROR(VLOOKUP($T$113,'TAR FIN'!$A$1:$O$103,15,0)),0,VLOOKUP($T$113,'TAR FIN'!$A$1:$O$103,15,0))</f>
        <v>69.37</v>
      </c>
      <c r="X113" s="6">
        <f>IF(ISERROR(VLOOKUP($U$113,'TAR FIN'!$A$1:$O$103,15,0)),0,VLOOKUP($U$113,'TAR FIN'!$A$1:$O$103,15,0))</f>
        <v>284.36</v>
      </c>
      <c r="Y113" s="6">
        <f ca="1">('TUSD BE'!$AM$16+'TUSD BF'!$AM$16+'TUSD CVA'!$AM$16)*1</f>
        <v>16.518304697547443</v>
      </c>
      <c r="Z113" s="6">
        <f ca="1">('TUSD BE'!$AM$17+'TUSD BF'!$AM$17+'TUSD CVA'!$AM$17)*1</f>
        <v>111.236500713561</v>
      </c>
      <c r="AA113" s="6">
        <f>('TE BE'!$AB$9+'TE BF'!$AB$9+'TE CVA'!$AB$9)*1</f>
        <v>259.03677522481752</v>
      </c>
      <c r="AB113" s="6">
        <f>$K$113*$V$113</f>
        <v>2732.4</v>
      </c>
      <c r="AC113" s="6">
        <f>$M$113*$W$113</f>
        <v>3395.80024</v>
      </c>
      <c r="AD113" s="6">
        <f>$O$113*$X$113</f>
        <v>13919.99072</v>
      </c>
      <c r="AE113" s="6">
        <f ca="1">$K$113*$Y$113</f>
        <v>3634.0270334604375</v>
      </c>
      <c r="AF113" s="6">
        <f ca="1">$M$113*$Z$113</f>
        <v>5445.249182930238</v>
      </c>
      <c r="AG113" s="6">
        <f>$O$113*$AA$113</f>
        <v>12680.368220805267</v>
      </c>
    </row>
    <row r="114" spans="1:33" ht="11.25" customHeight="1" x14ac:dyDescent="0.25">
      <c r="A114" s="4" t="s">
        <v>21</v>
      </c>
      <c r="B114" s="4" t="s">
        <v>33</v>
      </c>
      <c r="C114" s="4" t="s">
        <v>41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44652</v>
      </c>
      <c r="J114" s="6">
        <v>4950</v>
      </c>
      <c r="K114" s="6">
        <v>4950</v>
      </c>
      <c r="L114" s="6">
        <v>2402.2979999999998</v>
      </c>
      <c r="M114" s="6">
        <v>2402.2979999999998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6">
        <v>14</v>
      </c>
      <c r="T114" s="6">
        <v>15</v>
      </c>
      <c r="U114" s="6">
        <v>0</v>
      </c>
      <c r="V114" s="6">
        <f>IF(ISERROR(VLOOKUP($S$114,'TAR FIN'!$A$1:$O$103,15,0)),0,VLOOKUP($S$114,'TAR FIN'!$A$1:$O$103,15,0))</f>
        <v>12.42</v>
      </c>
      <c r="W114" s="6">
        <f>IF(ISERROR(VLOOKUP($T$114,'TAR FIN'!$A$1:$O$103,15,0)),0,VLOOKUP($T$114,'TAR FIN'!$A$1:$O$103,15,0))</f>
        <v>69.37</v>
      </c>
      <c r="X114" s="6">
        <f>IF(ISERROR(VLOOKUP($U$114,'TAR FIN'!$A$1:$O$103,15,0)),0,VLOOKUP($U$114,'TAR FIN'!$A$1:$O$103,15,0))</f>
        <v>0</v>
      </c>
      <c r="Y114" s="6">
        <f ca="1">('TUSD BE'!$AM$16+'TUSD BF'!$AM$16+'TUSD CVA'!$AM$16)*1</f>
        <v>16.518304697547443</v>
      </c>
      <c r="Z114" s="6">
        <f ca="1">('TUSD BE'!$AM$17+'TUSD BF'!$AM$17+'TUSD CVA'!$AM$17)*1</f>
        <v>111.236500713561</v>
      </c>
      <c r="AA114" s="6"/>
      <c r="AB114" s="6">
        <f>$K$114*$V$114</f>
        <v>61479</v>
      </c>
      <c r="AC114" s="6">
        <f>$M$114*$W$114</f>
        <v>166647.41225999998</v>
      </c>
      <c r="AD114" s="6">
        <f>$O$114*$X$114</f>
        <v>0</v>
      </c>
      <c r="AE114" s="6">
        <f ca="1">$K$114*$Y$114</f>
        <v>81765.608252859834</v>
      </c>
      <c r="AF114" s="6">
        <f ca="1">$M$114*$Z$114</f>
        <v>267223.22319118615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33</v>
      </c>
      <c r="C115" s="4" t="s">
        <v>41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44682</v>
      </c>
      <c r="J115" s="6">
        <v>220</v>
      </c>
      <c r="K115" s="6">
        <v>220</v>
      </c>
      <c r="L115" s="6">
        <v>48.293999999999997</v>
      </c>
      <c r="M115" s="6">
        <v>48.293999999999997</v>
      </c>
      <c r="N115" s="6">
        <v>48.293999999999997</v>
      </c>
      <c r="O115" s="6">
        <v>48.293999999999997</v>
      </c>
      <c r="P115" s="6">
        <v>0</v>
      </c>
      <c r="Q115" s="4" t="s">
        <v>26</v>
      </c>
      <c r="R115" s="4">
        <v>0</v>
      </c>
      <c r="S115" s="6">
        <v>14</v>
      </c>
      <c r="T115" s="6">
        <v>15</v>
      </c>
      <c r="U115" s="6">
        <v>66</v>
      </c>
      <c r="V115" s="6">
        <f>IF(ISERROR(VLOOKUP($S$115,'TAR FIN'!$A$1:$O$103,15,0)),0,VLOOKUP($S$115,'TAR FIN'!$A$1:$O$103,15,0))</f>
        <v>12.42</v>
      </c>
      <c r="W115" s="6">
        <f>IF(ISERROR(VLOOKUP($T$115,'TAR FIN'!$A$1:$O$103,15,0)),0,VLOOKUP($T$115,'TAR FIN'!$A$1:$O$103,15,0))</f>
        <v>69.37</v>
      </c>
      <c r="X115" s="6">
        <f>IF(ISERROR(VLOOKUP($U$115,'TAR FIN'!$A$1:$O$103,15,0)),0,VLOOKUP($U$115,'TAR FIN'!$A$1:$O$103,15,0))</f>
        <v>284.36</v>
      </c>
      <c r="Y115" s="6">
        <f ca="1">('TUSD BE'!$AM$16+'TUSD BF'!$AM$16+'TUSD CVA'!$AM$16)*1</f>
        <v>16.518304697547443</v>
      </c>
      <c r="Z115" s="6">
        <f ca="1">('TUSD BE'!$AM$17+'TUSD BF'!$AM$17+'TUSD CVA'!$AM$17)*1</f>
        <v>111.236500713561</v>
      </c>
      <c r="AA115" s="6">
        <f>('TE BE'!$AB$9+'TE BF'!$AB$9+'TE CVA'!$AB$9)*1</f>
        <v>259.03677522481752</v>
      </c>
      <c r="AB115" s="6">
        <f>$K$115*$V$115</f>
        <v>2732.4</v>
      </c>
      <c r="AC115" s="6">
        <f>$M$115*$W$115</f>
        <v>3350.1547799999998</v>
      </c>
      <c r="AD115" s="6">
        <f>$O$115*$X$115</f>
        <v>13732.88184</v>
      </c>
      <c r="AE115" s="6">
        <f ca="1">$K$115*$Y$115</f>
        <v>3634.0270334604375</v>
      </c>
      <c r="AF115" s="6">
        <f ca="1">$M$115*$Z$115</f>
        <v>5372.0555654607142</v>
      </c>
      <c r="AG115" s="6">
        <f>$O$115*$AA$115</f>
        <v>12509.922022707337</v>
      </c>
    </row>
    <row r="116" spans="1:33" ht="11.25" customHeight="1" x14ac:dyDescent="0.25">
      <c r="A116" s="4" t="s">
        <v>21</v>
      </c>
      <c r="B116" s="4" t="s">
        <v>33</v>
      </c>
      <c r="C116" s="4" t="s">
        <v>41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44682</v>
      </c>
      <c r="J116" s="6">
        <v>4950</v>
      </c>
      <c r="K116" s="6">
        <v>4950</v>
      </c>
      <c r="L116" s="6">
        <v>2323.3539999999998</v>
      </c>
      <c r="M116" s="6">
        <v>2323.3539999999998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6">
        <v>14</v>
      </c>
      <c r="T116" s="6">
        <v>15</v>
      </c>
      <c r="U116" s="6">
        <v>0</v>
      </c>
      <c r="V116" s="6">
        <f>IF(ISERROR(VLOOKUP($S$116,'TAR FIN'!$A$1:$O$103,15,0)),0,VLOOKUP($S$116,'TAR FIN'!$A$1:$O$103,15,0))</f>
        <v>12.42</v>
      </c>
      <c r="W116" s="6">
        <f>IF(ISERROR(VLOOKUP($T$116,'TAR FIN'!$A$1:$O$103,15,0)),0,VLOOKUP($T$116,'TAR FIN'!$A$1:$O$103,15,0))</f>
        <v>69.37</v>
      </c>
      <c r="X116" s="6">
        <f>IF(ISERROR(VLOOKUP($U$116,'TAR FIN'!$A$1:$O$103,15,0)),0,VLOOKUP($U$116,'TAR FIN'!$A$1:$O$103,15,0))</f>
        <v>0</v>
      </c>
      <c r="Y116" s="6">
        <f ca="1">('TUSD BE'!$AM$16+'TUSD BF'!$AM$16+'TUSD CVA'!$AM$16)*1</f>
        <v>16.518304697547443</v>
      </c>
      <c r="Z116" s="6">
        <f ca="1">('TUSD BE'!$AM$17+'TUSD BF'!$AM$17+'TUSD CVA'!$AM$17)*1</f>
        <v>111.236500713561</v>
      </c>
      <c r="AA116" s="6"/>
      <c r="AB116" s="6">
        <f>$K$116*$V$116</f>
        <v>61479</v>
      </c>
      <c r="AC116" s="6">
        <f>$M$116*$W$116</f>
        <v>161171.06698</v>
      </c>
      <c r="AD116" s="6">
        <f>$O$116*$X$116</f>
        <v>0</v>
      </c>
      <c r="AE116" s="6">
        <f ca="1">$K$116*$Y$116</f>
        <v>81765.608252859834</v>
      </c>
      <c r="AF116" s="6">
        <f ca="1">$M$116*$Z$116</f>
        <v>258441.76887885478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33</v>
      </c>
      <c r="C117" s="4" t="s">
        <v>41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44348</v>
      </c>
      <c r="J117" s="6">
        <v>220</v>
      </c>
      <c r="K117" s="6">
        <v>220</v>
      </c>
      <c r="L117" s="6">
        <v>5.8179999999999996</v>
      </c>
      <c r="M117" s="6">
        <v>5.8179999999999996</v>
      </c>
      <c r="N117" s="6">
        <v>5.8179999999999996</v>
      </c>
      <c r="O117" s="6">
        <v>5.8179999999999996</v>
      </c>
      <c r="P117" s="6">
        <v>0</v>
      </c>
      <c r="Q117" s="4" t="s">
        <v>26</v>
      </c>
      <c r="R117" s="4">
        <v>0</v>
      </c>
      <c r="S117" s="6">
        <v>13</v>
      </c>
      <c r="T117" s="6">
        <v>15</v>
      </c>
      <c r="U117" s="6">
        <v>65</v>
      </c>
      <c r="V117" s="6">
        <f>IF(ISERROR(VLOOKUP($S$117,'TAR FIN'!$A$1:$O$103,15,0)),0,VLOOKUP($S$117,'TAR FIN'!$A$1:$O$103,15,0))</f>
        <v>31.72</v>
      </c>
      <c r="W117" s="6">
        <f>IF(ISERROR(VLOOKUP($T$117,'TAR FIN'!$A$1:$O$103,15,0)),0,VLOOKUP($T$117,'TAR FIN'!$A$1:$O$103,15,0))</f>
        <v>69.37</v>
      </c>
      <c r="X117" s="6">
        <f>IF(ISERROR(VLOOKUP($U$117,'TAR FIN'!$A$1:$O$103,15,0)),0,VLOOKUP($U$117,'TAR FIN'!$A$1:$O$103,15,0))</f>
        <v>454.9</v>
      </c>
      <c r="Y117" s="6">
        <f ca="1">('TUSD BE'!$AM$15+'TUSD BF'!$AM$15+'TUSD CVA'!$AM$15)*1</f>
        <v>42.424687369311435</v>
      </c>
      <c r="Z117" s="6">
        <f ca="1">('TUSD BE'!$AM$17+'TUSD BF'!$AM$17+'TUSD CVA'!$AM$17)*1</f>
        <v>111.236500713561</v>
      </c>
      <c r="AA117" s="6">
        <f>('TE BE'!$AB$8+'TE BF'!$AB$8+'TE CVA'!$AB$8)*1</f>
        <v>415.05449050541699</v>
      </c>
      <c r="AB117" s="6">
        <f>$K$117*$V$117</f>
        <v>6978.4</v>
      </c>
      <c r="AC117" s="6">
        <f>$M$117*$W$117</f>
        <v>403.59465999999998</v>
      </c>
      <c r="AD117" s="6">
        <f>$O$117*$X$117</f>
        <v>2646.6081999999997</v>
      </c>
      <c r="AE117" s="6">
        <f ca="1">$K$117*$Y$117</f>
        <v>9333.4312212485165</v>
      </c>
      <c r="AF117" s="6">
        <f ca="1">$M$117*$Z$117</f>
        <v>647.17396115149791</v>
      </c>
      <c r="AG117" s="6">
        <f>$O$117*$AA$117</f>
        <v>2414.7870257605159</v>
      </c>
    </row>
    <row r="118" spans="1:33" ht="11.25" customHeight="1" x14ac:dyDescent="0.25">
      <c r="A118" s="4" t="s">
        <v>21</v>
      </c>
      <c r="B118" s="4" t="s">
        <v>33</v>
      </c>
      <c r="C118" s="4" t="s">
        <v>41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44348</v>
      </c>
      <c r="J118" s="6">
        <v>4519</v>
      </c>
      <c r="K118" s="6">
        <v>4519</v>
      </c>
      <c r="L118" s="6">
        <v>213.274</v>
      </c>
      <c r="M118" s="6">
        <v>213.274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6">
        <v>13</v>
      </c>
      <c r="T118" s="6">
        <v>15</v>
      </c>
      <c r="U118" s="6">
        <v>0</v>
      </c>
      <c r="V118" s="6">
        <f>IF(ISERROR(VLOOKUP($S$118,'TAR FIN'!$A$1:$O$103,15,0)),0,VLOOKUP($S$118,'TAR FIN'!$A$1:$O$103,15,0))</f>
        <v>31.72</v>
      </c>
      <c r="W118" s="6">
        <f>IF(ISERROR(VLOOKUP($T$118,'TAR FIN'!$A$1:$O$103,15,0)),0,VLOOKUP($T$118,'TAR FIN'!$A$1:$O$103,15,0))</f>
        <v>69.37</v>
      </c>
      <c r="X118" s="6">
        <f>IF(ISERROR(VLOOKUP($U$118,'TAR FIN'!$A$1:$O$103,15,0)),0,VLOOKUP($U$118,'TAR FIN'!$A$1:$O$103,15,0))</f>
        <v>0</v>
      </c>
      <c r="Y118" s="6">
        <f ca="1">('TUSD BE'!$AM$15+'TUSD BF'!$AM$15+'TUSD CVA'!$AM$15)*1</f>
        <v>42.424687369311435</v>
      </c>
      <c r="Z118" s="6">
        <f ca="1">('TUSD BE'!$AM$17+'TUSD BF'!$AM$17+'TUSD CVA'!$AM$17)*1</f>
        <v>111.236500713561</v>
      </c>
      <c r="AA118" s="6"/>
      <c r="AB118" s="6">
        <f>$K$118*$V$118</f>
        <v>143342.68</v>
      </c>
      <c r="AC118" s="6">
        <f>$M$118*$W$118</f>
        <v>14794.81738</v>
      </c>
      <c r="AD118" s="6">
        <f>$O$118*$X$118</f>
        <v>0</v>
      </c>
      <c r="AE118" s="6">
        <f ca="1">$K$118*$Y$118</f>
        <v>191717.16222191838</v>
      </c>
      <c r="AF118" s="6">
        <f ca="1">$M$118*$Z$118</f>
        <v>23723.853453184009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33</v>
      </c>
      <c r="C119" s="4" t="s">
        <v>41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44378</v>
      </c>
      <c r="J119" s="6">
        <v>220</v>
      </c>
      <c r="K119" s="6">
        <v>220</v>
      </c>
      <c r="L119" s="6">
        <v>6.56</v>
      </c>
      <c r="M119" s="6">
        <v>6.56</v>
      </c>
      <c r="N119" s="6">
        <v>6.56</v>
      </c>
      <c r="O119" s="6">
        <v>6.56</v>
      </c>
      <c r="P119" s="6">
        <v>0</v>
      </c>
      <c r="Q119" s="4" t="s">
        <v>26</v>
      </c>
      <c r="R119" s="4">
        <v>0</v>
      </c>
      <c r="S119" s="6">
        <v>13</v>
      </c>
      <c r="T119" s="6">
        <v>15</v>
      </c>
      <c r="U119" s="6">
        <v>65</v>
      </c>
      <c r="V119" s="6">
        <f>IF(ISERROR(VLOOKUP($S$119,'TAR FIN'!$A$1:$O$103,15,0)),0,VLOOKUP($S$119,'TAR FIN'!$A$1:$O$103,15,0))</f>
        <v>31.72</v>
      </c>
      <c r="W119" s="6">
        <f>IF(ISERROR(VLOOKUP($T$119,'TAR FIN'!$A$1:$O$103,15,0)),0,VLOOKUP($T$119,'TAR FIN'!$A$1:$O$103,15,0))</f>
        <v>69.37</v>
      </c>
      <c r="X119" s="6">
        <f>IF(ISERROR(VLOOKUP($U$119,'TAR FIN'!$A$1:$O$103,15,0)),0,VLOOKUP($U$119,'TAR FIN'!$A$1:$O$103,15,0))</f>
        <v>454.9</v>
      </c>
      <c r="Y119" s="6">
        <f ca="1">('TUSD BE'!$AM$15+'TUSD BF'!$AM$15+'TUSD CVA'!$AM$15)*1</f>
        <v>42.424687369311435</v>
      </c>
      <c r="Z119" s="6">
        <f ca="1">('TUSD BE'!$AM$17+'TUSD BF'!$AM$17+'TUSD CVA'!$AM$17)*1</f>
        <v>111.236500713561</v>
      </c>
      <c r="AA119" s="6">
        <f>('TE BE'!$AB$8+'TE BF'!$AB$8+'TE CVA'!$AB$8)*1</f>
        <v>415.05449050541699</v>
      </c>
      <c r="AB119" s="6">
        <f>$K$119*$V$119</f>
        <v>6978.4</v>
      </c>
      <c r="AC119" s="6">
        <f>$M$119*$W$119</f>
        <v>455.06720000000001</v>
      </c>
      <c r="AD119" s="6">
        <f>$O$119*$X$119</f>
        <v>2984.1439999999998</v>
      </c>
      <c r="AE119" s="6">
        <f ca="1">$K$119*$Y$119</f>
        <v>9333.4312212485165</v>
      </c>
      <c r="AF119" s="6">
        <f ca="1">$M$119*$Z$119</f>
        <v>729.71144468096008</v>
      </c>
      <c r="AG119" s="6">
        <f>$O$119*$AA$119</f>
        <v>2722.7574577155351</v>
      </c>
    </row>
    <row r="120" spans="1:33" ht="11.25" customHeight="1" x14ac:dyDescent="0.25">
      <c r="A120" s="4" t="s">
        <v>21</v>
      </c>
      <c r="B120" s="4" t="s">
        <v>33</v>
      </c>
      <c r="C120" s="4" t="s">
        <v>41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44378</v>
      </c>
      <c r="J120" s="6">
        <v>4692</v>
      </c>
      <c r="K120" s="6">
        <v>4692</v>
      </c>
      <c r="L120" s="6">
        <v>224.55099999999999</v>
      </c>
      <c r="M120" s="6">
        <v>224.55099999999999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6">
        <v>13</v>
      </c>
      <c r="T120" s="6">
        <v>15</v>
      </c>
      <c r="U120" s="6">
        <v>0</v>
      </c>
      <c r="V120" s="6">
        <f>IF(ISERROR(VLOOKUP($S$120,'TAR FIN'!$A$1:$O$103,15,0)),0,VLOOKUP($S$120,'TAR FIN'!$A$1:$O$103,15,0))</f>
        <v>31.72</v>
      </c>
      <c r="W120" s="6">
        <f>IF(ISERROR(VLOOKUP($T$120,'TAR FIN'!$A$1:$O$103,15,0)),0,VLOOKUP($T$120,'TAR FIN'!$A$1:$O$103,15,0))</f>
        <v>69.37</v>
      </c>
      <c r="X120" s="6">
        <f>IF(ISERROR(VLOOKUP($U$120,'TAR FIN'!$A$1:$O$103,15,0)),0,VLOOKUP($U$120,'TAR FIN'!$A$1:$O$103,15,0))</f>
        <v>0</v>
      </c>
      <c r="Y120" s="6">
        <f ca="1">('TUSD BE'!$AM$15+'TUSD BF'!$AM$15+'TUSD CVA'!$AM$15)*1</f>
        <v>42.424687369311435</v>
      </c>
      <c r="Z120" s="6">
        <f ca="1">('TUSD BE'!$AM$17+'TUSD BF'!$AM$17+'TUSD CVA'!$AM$17)*1</f>
        <v>111.236500713561</v>
      </c>
      <c r="AA120" s="6"/>
      <c r="AB120" s="6">
        <f>$K$120*$V$120</f>
        <v>148830.24</v>
      </c>
      <c r="AC120" s="6">
        <f>$M$120*$W$120</f>
        <v>15577.102870000001</v>
      </c>
      <c r="AD120" s="6">
        <f>$O$120*$X$120</f>
        <v>0</v>
      </c>
      <c r="AE120" s="6">
        <f ca="1">$K$120*$Y$120</f>
        <v>199056.63313680925</v>
      </c>
      <c r="AF120" s="6">
        <f ca="1">$M$120*$Z$120</f>
        <v>24978.267471730836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33</v>
      </c>
      <c r="C121" s="4" t="s">
        <v>41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44409</v>
      </c>
      <c r="J121" s="6">
        <v>220</v>
      </c>
      <c r="K121" s="6">
        <v>220</v>
      </c>
      <c r="L121" s="6">
        <v>6.1950000000000003</v>
      </c>
      <c r="M121" s="6">
        <v>6.1950000000000003</v>
      </c>
      <c r="N121" s="6">
        <v>6.1950000000000003</v>
      </c>
      <c r="O121" s="6">
        <v>6.1950000000000003</v>
      </c>
      <c r="P121" s="6">
        <v>0</v>
      </c>
      <c r="Q121" s="4" t="s">
        <v>26</v>
      </c>
      <c r="R121" s="4">
        <v>0</v>
      </c>
      <c r="S121" s="6">
        <v>13</v>
      </c>
      <c r="T121" s="6">
        <v>15</v>
      </c>
      <c r="U121" s="6">
        <v>65</v>
      </c>
      <c r="V121" s="6">
        <f>IF(ISERROR(VLOOKUP($S$121,'TAR FIN'!$A$1:$O$103,15,0)),0,VLOOKUP($S$121,'TAR FIN'!$A$1:$O$103,15,0))</f>
        <v>31.72</v>
      </c>
      <c r="W121" s="6">
        <f>IF(ISERROR(VLOOKUP($T$121,'TAR FIN'!$A$1:$O$103,15,0)),0,VLOOKUP($T$121,'TAR FIN'!$A$1:$O$103,15,0))</f>
        <v>69.37</v>
      </c>
      <c r="X121" s="6">
        <f>IF(ISERROR(VLOOKUP($U$121,'TAR FIN'!$A$1:$O$103,15,0)),0,VLOOKUP($U$121,'TAR FIN'!$A$1:$O$103,15,0))</f>
        <v>454.9</v>
      </c>
      <c r="Y121" s="6">
        <f ca="1">('TUSD BE'!$AM$15+'TUSD BF'!$AM$15+'TUSD CVA'!$AM$15)*1</f>
        <v>42.424687369311435</v>
      </c>
      <c r="Z121" s="6">
        <f ca="1">('TUSD BE'!$AM$17+'TUSD BF'!$AM$17+'TUSD CVA'!$AM$17)*1</f>
        <v>111.236500713561</v>
      </c>
      <c r="AA121" s="6">
        <f>('TE BE'!$AB$8+'TE BF'!$AB$8+'TE CVA'!$AB$8)*1</f>
        <v>415.05449050541699</v>
      </c>
      <c r="AB121" s="6">
        <f>$K$121*$V$121</f>
        <v>6978.4</v>
      </c>
      <c r="AC121" s="6">
        <f>$M$121*$W$121</f>
        <v>429.74715000000003</v>
      </c>
      <c r="AD121" s="6">
        <f>$O$121*$X$121</f>
        <v>2818.1055000000001</v>
      </c>
      <c r="AE121" s="6">
        <f ca="1">$K$121*$Y$121</f>
        <v>9333.4312212485165</v>
      </c>
      <c r="AF121" s="6">
        <f ca="1">$M$121*$Z$121</f>
        <v>689.11012192051044</v>
      </c>
      <c r="AG121" s="6">
        <f>$O$121*$AA$121</f>
        <v>2571.2625686810584</v>
      </c>
    </row>
    <row r="122" spans="1:33" ht="11.25" customHeight="1" x14ac:dyDescent="0.25">
      <c r="A122" s="4" t="s">
        <v>21</v>
      </c>
      <c r="B122" s="4" t="s">
        <v>33</v>
      </c>
      <c r="C122" s="4" t="s">
        <v>41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44409</v>
      </c>
      <c r="J122" s="6">
        <v>4500</v>
      </c>
      <c r="K122" s="6">
        <v>4500</v>
      </c>
      <c r="L122" s="6">
        <v>193.452</v>
      </c>
      <c r="M122" s="6">
        <v>193.452</v>
      </c>
      <c r="N122" s="6">
        <v>0</v>
      </c>
      <c r="O122" s="6">
        <v>0</v>
      </c>
      <c r="P122" s="6">
        <v>0</v>
      </c>
      <c r="Q122" s="4" t="s">
        <v>53</v>
      </c>
      <c r="R122" s="4">
        <v>0</v>
      </c>
      <c r="S122" s="6">
        <v>13</v>
      </c>
      <c r="T122" s="6">
        <v>15</v>
      </c>
      <c r="U122" s="6">
        <v>0</v>
      </c>
      <c r="V122" s="6">
        <f>IF(ISERROR(VLOOKUP($S$122,'TAR FIN'!$A$1:$O$103,15,0)),0,VLOOKUP($S$122,'TAR FIN'!$A$1:$O$103,15,0))</f>
        <v>31.72</v>
      </c>
      <c r="W122" s="6">
        <f>IF(ISERROR(VLOOKUP($T$122,'TAR FIN'!$A$1:$O$103,15,0)),0,VLOOKUP($T$122,'TAR FIN'!$A$1:$O$103,15,0))</f>
        <v>69.37</v>
      </c>
      <c r="X122" s="6">
        <f>IF(ISERROR(VLOOKUP($U$122,'TAR FIN'!$A$1:$O$103,15,0)),0,VLOOKUP($U$122,'TAR FIN'!$A$1:$O$103,15,0))</f>
        <v>0</v>
      </c>
      <c r="Y122" s="6">
        <f ca="1">('TUSD BE'!$AM$15+'TUSD BF'!$AM$15+'TUSD CVA'!$AM$15)*1</f>
        <v>42.424687369311435</v>
      </c>
      <c r="Z122" s="6">
        <f ca="1">('TUSD BE'!$AM$17+'TUSD BF'!$AM$17+'TUSD CVA'!$AM$17)*1</f>
        <v>111.236500713561</v>
      </c>
      <c r="AA122" s="6"/>
      <c r="AB122" s="6">
        <f>$K$122*$V$122</f>
        <v>142740</v>
      </c>
      <c r="AC122" s="6">
        <f>$M$122*$W$122</f>
        <v>13419.765240000001</v>
      </c>
      <c r="AD122" s="6">
        <f>$O$122*$X$122</f>
        <v>0</v>
      </c>
      <c r="AE122" s="6">
        <f ca="1">$K$122*$Y$122</f>
        <v>190911.09316190146</v>
      </c>
      <c r="AF122" s="6">
        <f ca="1">$M$122*$Z$122</f>
        <v>21518.923536039802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33</v>
      </c>
      <c r="C123" s="4" t="s">
        <v>41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44440</v>
      </c>
      <c r="J123" s="6">
        <v>220</v>
      </c>
      <c r="K123" s="6">
        <v>220</v>
      </c>
      <c r="L123" s="6">
        <v>5.8570000000000002</v>
      </c>
      <c r="M123" s="6">
        <v>5.8570000000000002</v>
      </c>
      <c r="N123" s="6">
        <v>5.8570000000000002</v>
      </c>
      <c r="O123" s="6">
        <v>5.8570000000000002</v>
      </c>
      <c r="P123" s="6">
        <v>0</v>
      </c>
      <c r="Q123" s="4" t="s">
        <v>26</v>
      </c>
      <c r="R123" s="4">
        <v>0</v>
      </c>
      <c r="S123" s="6">
        <v>13</v>
      </c>
      <c r="T123" s="6">
        <v>15</v>
      </c>
      <c r="U123" s="6">
        <v>65</v>
      </c>
      <c r="V123" s="6">
        <f>IF(ISERROR(VLOOKUP($S$123,'TAR FIN'!$A$1:$O$103,15,0)),0,VLOOKUP($S$123,'TAR FIN'!$A$1:$O$103,15,0))</f>
        <v>31.72</v>
      </c>
      <c r="W123" s="6">
        <f>IF(ISERROR(VLOOKUP($T$123,'TAR FIN'!$A$1:$O$103,15,0)),0,VLOOKUP($T$123,'TAR FIN'!$A$1:$O$103,15,0))</f>
        <v>69.37</v>
      </c>
      <c r="X123" s="6">
        <f>IF(ISERROR(VLOOKUP($U$123,'TAR FIN'!$A$1:$O$103,15,0)),0,VLOOKUP($U$123,'TAR FIN'!$A$1:$O$103,15,0))</f>
        <v>454.9</v>
      </c>
      <c r="Y123" s="6">
        <f ca="1">('TUSD BE'!$AM$15+'TUSD BF'!$AM$15+'TUSD CVA'!$AM$15)*1</f>
        <v>42.424687369311435</v>
      </c>
      <c r="Z123" s="6">
        <f ca="1">('TUSD BE'!$AM$17+'TUSD BF'!$AM$17+'TUSD CVA'!$AM$17)*1</f>
        <v>111.236500713561</v>
      </c>
      <c r="AA123" s="6">
        <f>('TE BE'!$AB$8+'TE BF'!$AB$8+'TE CVA'!$AB$8)*1</f>
        <v>415.05449050541699</v>
      </c>
      <c r="AB123" s="6">
        <f>$K$123*$V$123</f>
        <v>6978.4</v>
      </c>
      <c r="AC123" s="6">
        <f>$M$123*$W$123</f>
        <v>406.30009000000007</v>
      </c>
      <c r="AD123" s="6">
        <f>$O$123*$X$123</f>
        <v>2664.3492999999999</v>
      </c>
      <c r="AE123" s="6">
        <f ca="1">$K$123*$Y$123</f>
        <v>9333.4312212485165</v>
      </c>
      <c r="AF123" s="6">
        <f ca="1">$M$123*$Z$123</f>
        <v>651.51218467932677</v>
      </c>
      <c r="AG123" s="6">
        <f>$O$123*$AA$123</f>
        <v>2430.9741508902275</v>
      </c>
    </row>
    <row r="124" spans="1:33" ht="11.25" customHeight="1" x14ac:dyDescent="0.25">
      <c r="A124" s="4" t="s">
        <v>21</v>
      </c>
      <c r="B124" s="4" t="s">
        <v>33</v>
      </c>
      <c r="C124" s="4" t="s">
        <v>41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44440</v>
      </c>
      <c r="J124" s="6">
        <v>4657</v>
      </c>
      <c r="K124" s="6">
        <v>4657</v>
      </c>
      <c r="L124" s="6">
        <v>239.13800000000001</v>
      </c>
      <c r="M124" s="6">
        <v>239.13800000000001</v>
      </c>
      <c r="N124" s="6">
        <v>0</v>
      </c>
      <c r="O124" s="6">
        <v>0</v>
      </c>
      <c r="P124" s="6">
        <v>0</v>
      </c>
      <c r="Q124" s="4" t="s">
        <v>53</v>
      </c>
      <c r="R124" s="4">
        <v>0</v>
      </c>
      <c r="S124" s="6">
        <v>13</v>
      </c>
      <c r="T124" s="6">
        <v>15</v>
      </c>
      <c r="U124" s="6">
        <v>0</v>
      </c>
      <c r="V124" s="6">
        <f>IF(ISERROR(VLOOKUP($S$124,'TAR FIN'!$A$1:$O$103,15,0)),0,VLOOKUP($S$124,'TAR FIN'!$A$1:$O$103,15,0))</f>
        <v>31.72</v>
      </c>
      <c r="W124" s="6">
        <f>IF(ISERROR(VLOOKUP($T$124,'TAR FIN'!$A$1:$O$103,15,0)),0,VLOOKUP($T$124,'TAR FIN'!$A$1:$O$103,15,0))</f>
        <v>69.37</v>
      </c>
      <c r="X124" s="6">
        <f>IF(ISERROR(VLOOKUP($U$124,'TAR FIN'!$A$1:$O$103,15,0)),0,VLOOKUP($U$124,'TAR FIN'!$A$1:$O$103,15,0))</f>
        <v>0</v>
      </c>
      <c r="Y124" s="6">
        <f ca="1">('TUSD BE'!$AM$15+'TUSD BF'!$AM$15+'TUSD CVA'!$AM$15)*1</f>
        <v>42.424687369311435</v>
      </c>
      <c r="Z124" s="6">
        <f ca="1">('TUSD BE'!$AM$17+'TUSD BF'!$AM$17+'TUSD CVA'!$AM$17)*1</f>
        <v>111.236500713561</v>
      </c>
      <c r="AA124" s="6"/>
      <c r="AB124" s="6">
        <f>$K$124*$V$124</f>
        <v>147720.04</v>
      </c>
      <c r="AC124" s="6">
        <f>$M$124*$W$124</f>
        <v>16589.003060000003</v>
      </c>
      <c r="AD124" s="6">
        <f>$O$124*$X$124</f>
        <v>0</v>
      </c>
      <c r="AE124" s="6">
        <f ca="1">$K$124*$Y$124</f>
        <v>197571.76907888334</v>
      </c>
      <c r="AF124" s="6">
        <f ca="1">$M$124*$Z$124</f>
        <v>26600.874307639551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33</v>
      </c>
      <c r="C125" s="4" t="s">
        <v>41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44470</v>
      </c>
      <c r="J125" s="6">
        <v>220</v>
      </c>
      <c r="K125" s="6">
        <v>220</v>
      </c>
      <c r="L125" s="6">
        <v>5.5880000000000001</v>
      </c>
      <c r="M125" s="6">
        <v>5.5880000000000001</v>
      </c>
      <c r="N125" s="6">
        <v>5.5880000000000001</v>
      </c>
      <c r="O125" s="6">
        <v>5.5880000000000001</v>
      </c>
      <c r="P125" s="6">
        <v>0</v>
      </c>
      <c r="Q125" s="4" t="s">
        <v>26</v>
      </c>
      <c r="R125" s="4">
        <v>0</v>
      </c>
      <c r="S125" s="6">
        <v>13</v>
      </c>
      <c r="T125" s="6">
        <v>15</v>
      </c>
      <c r="U125" s="6">
        <v>65</v>
      </c>
      <c r="V125" s="6">
        <f>IF(ISERROR(VLOOKUP($S$125,'TAR FIN'!$A$1:$O$103,15,0)),0,VLOOKUP($S$125,'TAR FIN'!$A$1:$O$103,15,0))</f>
        <v>31.72</v>
      </c>
      <c r="W125" s="6">
        <f>IF(ISERROR(VLOOKUP($T$125,'TAR FIN'!$A$1:$O$103,15,0)),0,VLOOKUP($T$125,'TAR FIN'!$A$1:$O$103,15,0))</f>
        <v>69.37</v>
      </c>
      <c r="X125" s="6">
        <f>IF(ISERROR(VLOOKUP($U$125,'TAR FIN'!$A$1:$O$103,15,0)),0,VLOOKUP($U$125,'TAR FIN'!$A$1:$O$103,15,0))</f>
        <v>454.9</v>
      </c>
      <c r="Y125" s="6">
        <f ca="1">('TUSD BE'!$AM$15+'TUSD BF'!$AM$15+'TUSD CVA'!$AM$15)*1</f>
        <v>42.424687369311435</v>
      </c>
      <c r="Z125" s="6">
        <f ca="1">('TUSD BE'!$AM$17+'TUSD BF'!$AM$17+'TUSD CVA'!$AM$17)*1</f>
        <v>111.236500713561</v>
      </c>
      <c r="AA125" s="6">
        <f>('TE BE'!$AB$8+'TE BF'!$AB$8+'TE CVA'!$AB$8)*1</f>
        <v>415.05449050541699</v>
      </c>
      <c r="AB125" s="6">
        <f>$K$125*$V$125</f>
        <v>6978.4</v>
      </c>
      <c r="AC125" s="6">
        <f>$M$125*$W$125</f>
        <v>387.63956000000002</v>
      </c>
      <c r="AD125" s="6">
        <f>$O$125*$X$125</f>
        <v>2541.9811999999997</v>
      </c>
      <c r="AE125" s="6">
        <f ca="1">$K$125*$Y$125</f>
        <v>9333.4312212485165</v>
      </c>
      <c r="AF125" s="6">
        <f ca="1">$M$125*$Z$125</f>
        <v>621.58956598737893</v>
      </c>
      <c r="AG125" s="6">
        <f>$O$125*$AA$125</f>
        <v>2319.3244929442703</v>
      </c>
    </row>
    <row r="126" spans="1:33" ht="11.25" customHeight="1" x14ac:dyDescent="0.25">
      <c r="A126" s="4" t="s">
        <v>21</v>
      </c>
      <c r="B126" s="4" t="s">
        <v>33</v>
      </c>
      <c r="C126" s="4" t="s">
        <v>41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37</v>
      </c>
      <c r="I126" s="5">
        <v>44470</v>
      </c>
      <c r="J126" s="6">
        <v>4717</v>
      </c>
      <c r="K126" s="6">
        <v>4717</v>
      </c>
      <c r="L126" s="6">
        <v>254.001</v>
      </c>
      <c r="M126" s="6">
        <v>254.001</v>
      </c>
      <c r="N126" s="6">
        <v>0</v>
      </c>
      <c r="O126" s="6">
        <v>0</v>
      </c>
      <c r="P126" s="6">
        <v>0</v>
      </c>
      <c r="Q126" s="4" t="s">
        <v>53</v>
      </c>
      <c r="R126" s="4">
        <v>0</v>
      </c>
      <c r="S126" s="6">
        <v>13</v>
      </c>
      <c r="T126" s="6">
        <v>15</v>
      </c>
      <c r="U126" s="6">
        <v>0</v>
      </c>
      <c r="V126" s="6">
        <f>IF(ISERROR(VLOOKUP($S$126,'TAR FIN'!$A$1:$O$103,15,0)),0,VLOOKUP($S$126,'TAR FIN'!$A$1:$O$103,15,0))</f>
        <v>31.72</v>
      </c>
      <c r="W126" s="6">
        <f>IF(ISERROR(VLOOKUP($T$126,'TAR FIN'!$A$1:$O$103,15,0)),0,VLOOKUP($T$126,'TAR FIN'!$A$1:$O$103,15,0))</f>
        <v>69.37</v>
      </c>
      <c r="X126" s="6">
        <f>IF(ISERROR(VLOOKUP($U$126,'TAR FIN'!$A$1:$O$103,15,0)),0,VLOOKUP($U$126,'TAR FIN'!$A$1:$O$103,15,0))</f>
        <v>0</v>
      </c>
      <c r="Y126" s="6">
        <f ca="1">('TUSD BE'!$AM$15+'TUSD BF'!$AM$15+'TUSD CVA'!$AM$15)*1</f>
        <v>42.424687369311435</v>
      </c>
      <c r="Z126" s="6">
        <f ca="1">('TUSD BE'!$AM$17+'TUSD BF'!$AM$17+'TUSD CVA'!$AM$17)*1</f>
        <v>111.236500713561</v>
      </c>
      <c r="AA126" s="6"/>
      <c r="AB126" s="6">
        <f>$K$126*$V$126</f>
        <v>149623.24</v>
      </c>
      <c r="AC126" s="6">
        <f>$M$126*$W$126</f>
        <v>17620.049370000001</v>
      </c>
      <c r="AD126" s="6">
        <f>$O$126*$X$126</f>
        <v>0</v>
      </c>
      <c r="AE126" s="6">
        <f ca="1">$K$126*$Y$126</f>
        <v>200117.25032104205</v>
      </c>
      <c r="AF126" s="6">
        <f ca="1">$M$126*$Z$126</f>
        <v>28254.182417745207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33</v>
      </c>
      <c r="C127" s="4" t="s">
        <v>41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37</v>
      </c>
      <c r="I127" s="5">
        <v>44501</v>
      </c>
      <c r="J127" s="6">
        <v>220</v>
      </c>
      <c r="K127" s="6">
        <v>220</v>
      </c>
      <c r="L127" s="6">
        <v>5.6989999999999998</v>
      </c>
      <c r="M127" s="6">
        <v>5.6989999999999998</v>
      </c>
      <c r="N127" s="6">
        <v>5.6989999999999998</v>
      </c>
      <c r="O127" s="6">
        <v>5.6989999999999998</v>
      </c>
      <c r="P127" s="6">
        <v>0</v>
      </c>
      <c r="Q127" s="4" t="s">
        <v>26</v>
      </c>
      <c r="R127" s="4">
        <v>0</v>
      </c>
      <c r="S127" s="6">
        <v>13</v>
      </c>
      <c r="T127" s="6">
        <v>15</v>
      </c>
      <c r="U127" s="6">
        <v>65</v>
      </c>
      <c r="V127" s="6">
        <f>IF(ISERROR(VLOOKUP($S$127,'TAR FIN'!$A$1:$O$103,15,0)),0,VLOOKUP($S$127,'TAR FIN'!$A$1:$O$103,15,0))</f>
        <v>31.72</v>
      </c>
      <c r="W127" s="6">
        <f>IF(ISERROR(VLOOKUP($T$127,'TAR FIN'!$A$1:$O$103,15,0)),0,VLOOKUP($T$127,'TAR FIN'!$A$1:$O$103,15,0))</f>
        <v>69.37</v>
      </c>
      <c r="X127" s="6">
        <f>IF(ISERROR(VLOOKUP($U$127,'TAR FIN'!$A$1:$O$103,15,0)),0,VLOOKUP($U$127,'TAR FIN'!$A$1:$O$103,15,0))</f>
        <v>454.9</v>
      </c>
      <c r="Y127" s="6">
        <f ca="1">('TUSD BE'!$AM$15+'TUSD BF'!$AM$15+'TUSD CVA'!$AM$15)*1</f>
        <v>42.424687369311435</v>
      </c>
      <c r="Z127" s="6">
        <f ca="1">('TUSD BE'!$AM$17+'TUSD BF'!$AM$17+'TUSD CVA'!$AM$17)*1</f>
        <v>111.236500713561</v>
      </c>
      <c r="AA127" s="6">
        <f>('TE BE'!$AB$8+'TE BF'!$AB$8+'TE CVA'!$AB$8)*1</f>
        <v>415.05449050541699</v>
      </c>
      <c r="AB127" s="6">
        <f>$K$127*$V$127</f>
        <v>6978.4</v>
      </c>
      <c r="AC127" s="6">
        <f>$M$127*$W$127</f>
        <v>395.33963</v>
      </c>
      <c r="AD127" s="6">
        <f>$O$127*$X$127</f>
        <v>2592.4750999999997</v>
      </c>
      <c r="AE127" s="6">
        <f ca="1">$K$127*$Y$127</f>
        <v>9333.4312212485165</v>
      </c>
      <c r="AF127" s="6">
        <f ca="1">$M$127*$Z$127</f>
        <v>633.93681756658407</v>
      </c>
      <c r="AG127" s="6">
        <f>$O$127*$AA$127</f>
        <v>2365.3955413903714</v>
      </c>
    </row>
    <row r="128" spans="1:33" ht="11.25" customHeight="1" x14ac:dyDescent="0.25">
      <c r="A128" s="4" t="s">
        <v>21</v>
      </c>
      <c r="B128" s="4" t="s">
        <v>33</v>
      </c>
      <c r="C128" s="4" t="s">
        <v>41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44501</v>
      </c>
      <c r="J128" s="6">
        <v>4787</v>
      </c>
      <c r="K128" s="6">
        <v>4787</v>
      </c>
      <c r="L128" s="6">
        <v>238.483</v>
      </c>
      <c r="M128" s="6">
        <v>238.483</v>
      </c>
      <c r="N128" s="6">
        <v>0</v>
      </c>
      <c r="O128" s="6">
        <v>0</v>
      </c>
      <c r="P128" s="6">
        <v>0</v>
      </c>
      <c r="Q128" s="4" t="s">
        <v>53</v>
      </c>
      <c r="R128" s="4">
        <v>0</v>
      </c>
      <c r="S128" s="6">
        <v>13</v>
      </c>
      <c r="T128" s="6">
        <v>15</v>
      </c>
      <c r="U128" s="6">
        <v>0</v>
      </c>
      <c r="V128" s="6">
        <f>IF(ISERROR(VLOOKUP($S$128,'TAR FIN'!$A$1:$O$103,15,0)),0,VLOOKUP($S$128,'TAR FIN'!$A$1:$O$103,15,0))</f>
        <v>31.72</v>
      </c>
      <c r="W128" s="6">
        <f>IF(ISERROR(VLOOKUP($T$128,'TAR FIN'!$A$1:$O$103,15,0)),0,VLOOKUP($T$128,'TAR FIN'!$A$1:$O$103,15,0))</f>
        <v>69.37</v>
      </c>
      <c r="X128" s="6">
        <f>IF(ISERROR(VLOOKUP($U$128,'TAR FIN'!$A$1:$O$103,15,0)),0,VLOOKUP($U$128,'TAR FIN'!$A$1:$O$103,15,0))</f>
        <v>0</v>
      </c>
      <c r="Y128" s="6">
        <f ca="1">('TUSD BE'!$AM$15+'TUSD BF'!$AM$15+'TUSD CVA'!$AM$15)*1</f>
        <v>42.424687369311435</v>
      </c>
      <c r="Z128" s="6">
        <f ca="1">('TUSD BE'!$AM$17+'TUSD BF'!$AM$17+'TUSD CVA'!$AM$17)*1</f>
        <v>111.236500713561</v>
      </c>
      <c r="AA128" s="6"/>
      <c r="AB128" s="6">
        <f>$K$128*$V$128</f>
        <v>151843.63999999998</v>
      </c>
      <c r="AC128" s="6">
        <f>$M$128*$W$128</f>
        <v>16543.565710000003</v>
      </c>
      <c r="AD128" s="6">
        <f>$O$128*$X$128</f>
        <v>0</v>
      </c>
      <c r="AE128" s="6">
        <f ca="1">$K$128*$Y$128</f>
        <v>203086.97843689384</v>
      </c>
      <c r="AF128" s="6">
        <f ca="1">$M$128*$Z$128</f>
        <v>26528.014399672167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33</v>
      </c>
      <c r="C129" s="4" t="s">
        <v>41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44531</v>
      </c>
      <c r="J129" s="6">
        <v>220</v>
      </c>
      <c r="K129" s="6">
        <v>220</v>
      </c>
      <c r="L129" s="6">
        <v>6.3109999999999999</v>
      </c>
      <c r="M129" s="6">
        <v>6.3109999999999999</v>
      </c>
      <c r="N129" s="6">
        <v>6.3109999999999999</v>
      </c>
      <c r="O129" s="6">
        <v>6.3109999999999999</v>
      </c>
      <c r="P129" s="6">
        <v>0</v>
      </c>
      <c r="Q129" s="4" t="s">
        <v>26</v>
      </c>
      <c r="R129" s="4">
        <v>0</v>
      </c>
      <c r="S129" s="6">
        <v>13</v>
      </c>
      <c r="T129" s="6">
        <v>15</v>
      </c>
      <c r="U129" s="6">
        <v>65</v>
      </c>
      <c r="V129" s="6">
        <f>IF(ISERROR(VLOOKUP($S$129,'TAR FIN'!$A$1:$O$103,15,0)),0,VLOOKUP($S$129,'TAR FIN'!$A$1:$O$103,15,0))</f>
        <v>31.72</v>
      </c>
      <c r="W129" s="6">
        <f>IF(ISERROR(VLOOKUP($T$129,'TAR FIN'!$A$1:$O$103,15,0)),0,VLOOKUP($T$129,'TAR FIN'!$A$1:$O$103,15,0))</f>
        <v>69.37</v>
      </c>
      <c r="X129" s="6">
        <f>IF(ISERROR(VLOOKUP($U$129,'TAR FIN'!$A$1:$O$103,15,0)),0,VLOOKUP($U$129,'TAR FIN'!$A$1:$O$103,15,0))</f>
        <v>454.9</v>
      </c>
      <c r="Y129" s="6">
        <f ca="1">('TUSD BE'!$AM$15+'TUSD BF'!$AM$15+'TUSD CVA'!$AM$15)*1</f>
        <v>42.424687369311435</v>
      </c>
      <c r="Z129" s="6">
        <f ca="1">('TUSD BE'!$AM$17+'TUSD BF'!$AM$17+'TUSD CVA'!$AM$17)*1</f>
        <v>111.236500713561</v>
      </c>
      <c r="AA129" s="6">
        <f>('TE BE'!$AB$8+'TE BF'!$AB$8+'TE CVA'!$AB$8)*1</f>
        <v>415.05449050541699</v>
      </c>
      <c r="AB129" s="6">
        <f>$K$129*$V$129</f>
        <v>6978.4</v>
      </c>
      <c r="AC129" s="6">
        <f>$M$129*$W$129</f>
        <v>437.79407000000003</v>
      </c>
      <c r="AD129" s="6">
        <f>$O$129*$X$129</f>
        <v>2870.8739</v>
      </c>
      <c r="AE129" s="6">
        <f ca="1">$K$129*$Y$129</f>
        <v>9333.4312212485165</v>
      </c>
      <c r="AF129" s="6">
        <f ca="1">$M$129*$Z$129</f>
        <v>702.0135560032835</v>
      </c>
      <c r="AG129" s="6">
        <f>$O$129*$AA$129</f>
        <v>2619.4088895796867</v>
      </c>
    </row>
    <row r="130" spans="1:33" ht="11.25" customHeight="1" x14ac:dyDescent="0.25">
      <c r="A130" s="4" t="s">
        <v>21</v>
      </c>
      <c r="B130" s="4" t="s">
        <v>33</v>
      </c>
      <c r="C130" s="4" t="s">
        <v>41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44531</v>
      </c>
      <c r="J130" s="6">
        <v>4830</v>
      </c>
      <c r="K130" s="6">
        <v>4830</v>
      </c>
      <c r="L130" s="6">
        <v>238.26300000000001</v>
      </c>
      <c r="M130" s="6">
        <v>238.26300000000001</v>
      </c>
      <c r="N130" s="6">
        <v>0</v>
      </c>
      <c r="O130" s="6">
        <v>0</v>
      </c>
      <c r="P130" s="6">
        <v>0</v>
      </c>
      <c r="Q130" s="4" t="s">
        <v>53</v>
      </c>
      <c r="R130" s="4">
        <v>0</v>
      </c>
      <c r="S130" s="6">
        <v>13</v>
      </c>
      <c r="T130" s="6">
        <v>15</v>
      </c>
      <c r="U130" s="6">
        <v>0</v>
      </c>
      <c r="V130" s="6">
        <f>IF(ISERROR(VLOOKUP($S$130,'TAR FIN'!$A$1:$O$103,15,0)),0,VLOOKUP($S$130,'TAR FIN'!$A$1:$O$103,15,0))</f>
        <v>31.72</v>
      </c>
      <c r="W130" s="6">
        <f>IF(ISERROR(VLOOKUP($T$130,'TAR FIN'!$A$1:$O$103,15,0)),0,VLOOKUP($T$130,'TAR FIN'!$A$1:$O$103,15,0))</f>
        <v>69.37</v>
      </c>
      <c r="X130" s="6">
        <f>IF(ISERROR(VLOOKUP($U$130,'TAR FIN'!$A$1:$O$103,15,0)),0,VLOOKUP($U$130,'TAR FIN'!$A$1:$O$103,15,0))</f>
        <v>0</v>
      </c>
      <c r="Y130" s="6">
        <f ca="1">('TUSD BE'!$AM$15+'TUSD BF'!$AM$15+'TUSD CVA'!$AM$15)*1</f>
        <v>42.424687369311435</v>
      </c>
      <c r="Z130" s="6">
        <f ca="1">('TUSD BE'!$AM$17+'TUSD BF'!$AM$17+'TUSD CVA'!$AM$17)*1</f>
        <v>111.236500713561</v>
      </c>
      <c r="AA130" s="6"/>
      <c r="AB130" s="6">
        <f>$K$130*$V$130</f>
        <v>153207.6</v>
      </c>
      <c r="AC130" s="6">
        <f>$M$130*$W$130</f>
        <v>16528.304310000003</v>
      </c>
      <c r="AD130" s="6">
        <f>$O$130*$X$130</f>
        <v>0</v>
      </c>
      <c r="AE130" s="6">
        <f ca="1">$K$130*$Y$130</f>
        <v>204911.23999377424</v>
      </c>
      <c r="AF130" s="6">
        <f ca="1">$M$130*$Z$130</f>
        <v>26503.542369515184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33</v>
      </c>
      <c r="C131" s="4" t="s">
        <v>41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44562</v>
      </c>
      <c r="J131" s="6">
        <v>262</v>
      </c>
      <c r="K131" s="6">
        <v>262</v>
      </c>
      <c r="L131" s="6">
        <v>7.2290000000000001</v>
      </c>
      <c r="M131" s="6">
        <v>7.2290000000000001</v>
      </c>
      <c r="N131" s="6">
        <v>7.2290000000000001</v>
      </c>
      <c r="O131" s="6">
        <v>7.2290000000000001</v>
      </c>
      <c r="P131" s="6">
        <v>0</v>
      </c>
      <c r="Q131" s="4" t="s">
        <v>26</v>
      </c>
      <c r="R131" s="4">
        <v>0</v>
      </c>
      <c r="S131" s="6">
        <v>13</v>
      </c>
      <c r="T131" s="6">
        <v>15</v>
      </c>
      <c r="U131" s="6">
        <v>65</v>
      </c>
      <c r="V131" s="6">
        <f>IF(ISERROR(VLOOKUP($S$131,'TAR FIN'!$A$1:$O$103,15,0)),0,VLOOKUP($S$131,'TAR FIN'!$A$1:$O$103,15,0))</f>
        <v>31.72</v>
      </c>
      <c r="W131" s="6">
        <f>IF(ISERROR(VLOOKUP($T$131,'TAR FIN'!$A$1:$O$103,15,0)),0,VLOOKUP($T$131,'TAR FIN'!$A$1:$O$103,15,0))</f>
        <v>69.37</v>
      </c>
      <c r="X131" s="6">
        <f>IF(ISERROR(VLOOKUP($U$131,'TAR FIN'!$A$1:$O$103,15,0)),0,VLOOKUP($U$131,'TAR FIN'!$A$1:$O$103,15,0))</f>
        <v>454.9</v>
      </c>
      <c r="Y131" s="6">
        <f ca="1">('TUSD BE'!$AM$15+'TUSD BF'!$AM$15+'TUSD CVA'!$AM$15)*1</f>
        <v>42.424687369311435</v>
      </c>
      <c r="Z131" s="6">
        <f ca="1">('TUSD BE'!$AM$17+'TUSD BF'!$AM$17+'TUSD CVA'!$AM$17)*1</f>
        <v>111.236500713561</v>
      </c>
      <c r="AA131" s="6">
        <f>('TE BE'!$AB$8+'TE BF'!$AB$8+'TE CVA'!$AB$8)*1</f>
        <v>415.05449050541699</v>
      </c>
      <c r="AB131" s="6">
        <f>$K$131*$V$131</f>
        <v>8310.64</v>
      </c>
      <c r="AC131" s="6">
        <f>$M$131*$W$131</f>
        <v>501.47573000000006</v>
      </c>
      <c r="AD131" s="6">
        <f>$O$131*$X$131</f>
        <v>3288.4721</v>
      </c>
      <c r="AE131" s="6">
        <f ca="1">$K$131*$Y$131</f>
        <v>11115.268090759597</v>
      </c>
      <c r="AF131" s="6">
        <f ca="1">$M$131*$Z$131</f>
        <v>804.12866365833247</v>
      </c>
      <c r="AG131" s="6">
        <f>$O$131*$AA$131</f>
        <v>3000.4289118636593</v>
      </c>
    </row>
    <row r="132" spans="1:33" ht="11.25" customHeight="1" x14ac:dyDescent="0.25">
      <c r="A132" s="4" t="s">
        <v>21</v>
      </c>
      <c r="B132" s="4" t="s">
        <v>33</v>
      </c>
      <c r="C132" s="4" t="s">
        <v>41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44562</v>
      </c>
      <c r="J132" s="6">
        <v>4648</v>
      </c>
      <c r="K132" s="6">
        <v>4648</v>
      </c>
      <c r="L132" s="6">
        <v>223.71299999999999</v>
      </c>
      <c r="M132" s="6">
        <v>223.71299999999999</v>
      </c>
      <c r="N132" s="6">
        <v>0</v>
      </c>
      <c r="O132" s="6">
        <v>0</v>
      </c>
      <c r="P132" s="6">
        <v>0</v>
      </c>
      <c r="Q132" s="4" t="s">
        <v>53</v>
      </c>
      <c r="R132" s="4">
        <v>0</v>
      </c>
      <c r="S132" s="6">
        <v>13</v>
      </c>
      <c r="T132" s="6">
        <v>15</v>
      </c>
      <c r="U132" s="6">
        <v>0</v>
      </c>
      <c r="V132" s="6">
        <f>IF(ISERROR(VLOOKUP($S$132,'TAR FIN'!$A$1:$O$103,15,0)),0,VLOOKUP($S$132,'TAR FIN'!$A$1:$O$103,15,0))</f>
        <v>31.72</v>
      </c>
      <c r="W132" s="6">
        <f>IF(ISERROR(VLOOKUP($T$132,'TAR FIN'!$A$1:$O$103,15,0)),0,VLOOKUP($T$132,'TAR FIN'!$A$1:$O$103,15,0))</f>
        <v>69.37</v>
      </c>
      <c r="X132" s="6">
        <f>IF(ISERROR(VLOOKUP($U$132,'TAR FIN'!$A$1:$O$103,15,0)),0,VLOOKUP($U$132,'TAR FIN'!$A$1:$O$103,15,0))</f>
        <v>0</v>
      </c>
      <c r="Y132" s="6">
        <f ca="1">('TUSD BE'!$AM$15+'TUSD BF'!$AM$15+'TUSD CVA'!$AM$15)*1</f>
        <v>42.424687369311435</v>
      </c>
      <c r="Z132" s="6">
        <f ca="1">('TUSD BE'!$AM$17+'TUSD BF'!$AM$17+'TUSD CVA'!$AM$17)*1</f>
        <v>111.236500713561</v>
      </c>
      <c r="AA132" s="6"/>
      <c r="AB132" s="6">
        <f>$K$132*$V$132</f>
        <v>147434.56</v>
      </c>
      <c r="AC132" s="6">
        <f>$M$132*$W$132</f>
        <v>15518.970810000001</v>
      </c>
      <c r="AD132" s="6">
        <f>$O$132*$X$132</f>
        <v>0</v>
      </c>
      <c r="AE132" s="6">
        <f ca="1">$K$132*$Y$132</f>
        <v>197189.94689255956</v>
      </c>
      <c r="AF132" s="6">
        <f ca="1">$M$132*$Z$132</f>
        <v>24885.051284132871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33</v>
      </c>
      <c r="C133" s="4" t="s">
        <v>41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44593</v>
      </c>
      <c r="J133" s="6">
        <v>220</v>
      </c>
      <c r="K133" s="6">
        <v>220</v>
      </c>
      <c r="L133" s="6">
        <v>5.9640000000000004</v>
      </c>
      <c r="M133" s="6">
        <v>5.9640000000000004</v>
      </c>
      <c r="N133" s="6">
        <v>5.9640000000000004</v>
      </c>
      <c r="O133" s="6">
        <v>5.9640000000000004</v>
      </c>
      <c r="P133" s="6">
        <v>0</v>
      </c>
      <c r="Q133" s="4" t="s">
        <v>26</v>
      </c>
      <c r="R133" s="4">
        <v>0</v>
      </c>
      <c r="S133" s="6">
        <v>13</v>
      </c>
      <c r="T133" s="6">
        <v>15</v>
      </c>
      <c r="U133" s="6">
        <v>65</v>
      </c>
      <c r="V133" s="6">
        <f>IF(ISERROR(VLOOKUP($S$133,'TAR FIN'!$A$1:$O$103,15,0)),0,VLOOKUP($S$133,'TAR FIN'!$A$1:$O$103,15,0))</f>
        <v>31.72</v>
      </c>
      <c r="W133" s="6">
        <f>IF(ISERROR(VLOOKUP($T$133,'TAR FIN'!$A$1:$O$103,15,0)),0,VLOOKUP($T$133,'TAR FIN'!$A$1:$O$103,15,0))</f>
        <v>69.37</v>
      </c>
      <c r="X133" s="6">
        <f>IF(ISERROR(VLOOKUP($U$133,'TAR FIN'!$A$1:$O$103,15,0)),0,VLOOKUP($U$133,'TAR FIN'!$A$1:$O$103,15,0))</f>
        <v>454.9</v>
      </c>
      <c r="Y133" s="6">
        <f ca="1">('TUSD BE'!$AM$15+'TUSD BF'!$AM$15+'TUSD CVA'!$AM$15)*1</f>
        <v>42.424687369311435</v>
      </c>
      <c r="Z133" s="6">
        <f ca="1">('TUSD BE'!$AM$17+'TUSD BF'!$AM$17+'TUSD CVA'!$AM$17)*1</f>
        <v>111.236500713561</v>
      </c>
      <c r="AA133" s="6">
        <f>('TE BE'!$AB$8+'TE BF'!$AB$8+'TE CVA'!$AB$8)*1</f>
        <v>415.05449050541699</v>
      </c>
      <c r="AB133" s="6">
        <f>$K$133*$V$133</f>
        <v>6978.4</v>
      </c>
      <c r="AC133" s="6">
        <f>$M$133*$W$133</f>
        <v>413.72268000000008</v>
      </c>
      <c r="AD133" s="6">
        <f>$O$133*$X$133</f>
        <v>2713.0236</v>
      </c>
      <c r="AE133" s="6">
        <f ca="1">$K$133*$Y$133</f>
        <v>9333.4312212485165</v>
      </c>
      <c r="AF133" s="6">
        <f ca="1">$M$133*$Z$133</f>
        <v>663.41449025567783</v>
      </c>
      <c r="AG133" s="6">
        <f>$O$133*$AA$133</f>
        <v>2475.3849813743072</v>
      </c>
    </row>
    <row r="134" spans="1:33" ht="11.25" customHeight="1" x14ac:dyDescent="0.25">
      <c r="A134" s="4" t="s">
        <v>21</v>
      </c>
      <c r="B134" s="4" t="s">
        <v>33</v>
      </c>
      <c r="C134" s="4" t="s">
        <v>41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44593</v>
      </c>
      <c r="J134" s="6">
        <v>4709</v>
      </c>
      <c r="K134" s="6">
        <v>4709</v>
      </c>
      <c r="L134" s="6">
        <v>211.92599999999999</v>
      </c>
      <c r="M134" s="6">
        <v>211.92599999999999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6">
        <v>13</v>
      </c>
      <c r="T134" s="6">
        <v>15</v>
      </c>
      <c r="U134" s="6">
        <v>0</v>
      </c>
      <c r="V134" s="6">
        <f>IF(ISERROR(VLOOKUP($S$134,'TAR FIN'!$A$1:$O$103,15,0)),0,VLOOKUP($S$134,'TAR FIN'!$A$1:$O$103,15,0))</f>
        <v>31.72</v>
      </c>
      <c r="W134" s="6">
        <f>IF(ISERROR(VLOOKUP($T$134,'TAR FIN'!$A$1:$O$103,15,0)),0,VLOOKUP($T$134,'TAR FIN'!$A$1:$O$103,15,0))</f>
        <v>69.37</v>
      </c>
      <c r="X134" s="6">
        <f>IF(ISERROR(VLOOKUP($U$134,'TAR FIN'!$A$1:$O$103,15,0)),0,VLOOKUP($U$134,'TAR FIN'!$A$1:$O$103,15,0))</f>
        <v>0</v>
      </c>
      <c r="Y134" s="6">
        <f ca="1">('TUSD BE'!$AM$15+'TUSD BF'!$AM$15+'TUSD CVA'!$AM$15)*1</f>
        <v>42.424687369311435</v>
      </c>
      <c r="Z134" s="6">
        <f ca="1">('TUSD BE'!$AM$17+'TUSD BF'!$AM$17+'TUSD CVA'!$AM$17)*1</f>
        <v>111.236500713561</v>
      </c>
      <c r="AA134" s="6"/>
      <c r="AB134" s="6">
        <f>$K$134*$V$134</f>
        <v>149369.47999999998</v>
      </c>
      <c r="AC134" s="6">
        <f>$M$134*$W$134</f>
        <v>14701.306619999999</v>
      </c>
      <c r="AD134" s="6">
        <f>$O$134*$X$134</f>
        <v>0</v>
      </c>
      <c r="AE134" s="6">
        <f ca="1">$K$134*$Y$134</f>
        <v>199777.85282208756</v>
      </c>
      <c r="AF134" s="6">
        <f ca="1">$M$134*$Z$134</f>
        <v>23573.906650222129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33</v>
      </c>
      <c r="C135" s="4" t="s">
        <v>41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44621</v>
      </c>
      <c r="J135" s="6">
        <v>220</v>
      </c>
      <c r="K135" s="6">
        <v>220</v>
      </c>
      <c r="L135" s="6">
        <v>6.734</v>
      </c>
      <c r="M135" s="6">
        <v>6.734</v>
      </c>
      <c r="N135" s="6">
        <v>6.734</v>
      </c>
      <c r="O135" s="6">
        <v>6.734</v>
      </c>
      <c r="P135" s="6">
        <v>0</v>
      </c>
      <c r="Q135" s="4" t="s">
        <v>26</v>
      </c>
      <c r="R135" s="4">
        <v>0</v>
      </c>
      <c r="S135" s="6">
        <v>13</v>
      </c>
      <c r="T135" s="6">
        <v>15</v>
      </c>
      <c r="U135" s="6">
        <v>65</v>
      </c>
      <c r="V135" s="6">
        <f>IF(ISERROR(VLOOKUP($S$135,'TAR FIN'!$A$1:$O$103,15,0)),0,VLOOKUP($S$135,'TAR FIN'!$A$1:$O$103,15,0))</f>
        <v>31.72</v>
      </c>
      <c r="W135" s="6">
        <f>IF(ISERROR(VLOOKUP($T$135,'TAR FIN'!$A$1:$O$103,15,0)),0,VLOOKUP($T$135,'TAR FIN'!$A$1:$O$103,15,0))</f>
        <v>69.37</v>
      </c>
      <c r="X135" s="6">
        <f>IF(ISERROR(VLOOKUP($U$135,'TAR FIN'!$A$1:$O$103,15,0)),0,VLOOKUP($U$135,'TAR FIN'!$A$1:$O$103,15,0))</f>
        <v>454.9</v>
      </c>
      <c r="Y135" s="6">
        <f ca="1">('TUSD BE'!$AM$15+'TUSD BF'!$AM$15+'TUSD CVA'!$AM$15)*1</f>
        <v>42.424687369311435</v>
      </c>
      <c r="Z135" s="6">
        <f ca="1">('TUSD BE'!$AM$17+'TUSD BF'!$AM$17+'TUSD CVA'!$AM$17)*1</f>
        <v>111.236500713561</v>
      </c>
      <c r="AA135" s="6">
        <f>('TE BE'!$AB$8+'TE BF'!$AB$8+'TE CVA'!$AB$8)*1</f>
        <v>415.05449050541699</v>
      </c>
      <c r="AB135" s="6">
        <f>$K$135*$V$135</f>
        <v>6978.4</v>
      </c>
      <c r="AC135" s="6">
        <f>$M$135*$W$135</f>
        <v>467.13758000000001</v>
      </c>
      <c r="AD135" s="6">
        <f>$O$135*$X$135</f>
        <v>3063.2965999999997</v>
      </c>
      <c r="AE135" s="6">
        <f ca="1">$K$135*$Y$135</f>
        <v>9333.4312212485165</v>
      </c>
      <c r="AF135" s="6">
        <f ca="1">$M$135*$Z$135</f>
        <v>749.06659580511973</v>
      </c>
      <c r="AG135" s="6">
        <f>$O$135*$AA$135</f>
        <v>2794.9769390634779</v>
      </c>
    </row>
    <row r="136" spans="1:33" ht="11.25" customHeight="1" x14ac:dyDescent="0.25">
      <c r="A136" s="4" t="s">
        <v>21</v>
      </c>
      <c r="B136" s="4" t="s">
        <v>33</v>
      </c>
      <c r="C136" s="4" t="s">
        <v>41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44621</v>
      </c>
      <c r="J136" s="6">
        <v>4908</v>
      </c>
      <c r="K136" s="6">
        <v>4908</v>
      </c>
      <c r="L136" s="6">
        <v>224.256</v>
      </c>
      <c r="M136" s="6">
        <v>224.256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6">
        <v>13</v>
      </c>
      <c r="T136" s="6">
        <v>15</v>
      </c>
      <c r="U136" s="6">
        <v>0</v>
      </c>
      <c r="V136" s="6">
        <f>IF(ISERROR(VLOOKUP($S$136,'TAR FIN'!$A$1:$O$103,15,0)),0,VLOOKUP($S$136,'TAR FIN'!$A$1:$O$103,15,0))</f>
        <v>31.72</v>
      </c>
      <c r="W136" s="6">
        <f>IF(ISERROR(VLOOKUP($T$136,'TAR FIN'!$A$1:$O$103,15,0)),0,VLOOKUP($T$136,'TAR FIN'!$A$1:$O$103,15,0))</f>
        <v>69.37</v>
      </c>
      <c r="X136" s="6">
        <f>IF(ISERROR(VLOOKUP($U$136,'TAR FIN'!$A$1:$O$103,15,0)),0,VLOOKUP($U$136,'TAR FIN'!$A$1:$O$103,15,0))</f>
        <v>0</v>
      </c>
      <c r="Y136" s="6">
        <f ca="1">('TUSD BE'!$AM$15+'TUSD BF'!$AM$15+'TUSD CVA'!$AM$15)*1</f>
        <v>42.424687369311435</v>
      </c>
      <c r="Z136" s="6">
        <f ca="1">('TUSD BE'!$AM$17+'TUSD BF'!$AM$17+'TUSD CVA'!$AM$17)*1</f>
        <v>111.236500713561</v>
      </c>
      <c r="AA136" s="6"/>
      <c r="AB136" s="6">
        <f>$K$136*$V$136</f>
        <v>155681.75999999998</v>
      </c>
      <c r="AC136" s="6">
        <f>$M$136*$W$136</f>
        <v>15556.638720000001</v>
      </c>
      <c r="AD136" s="6">
        <f>$O$136*$X$136</f>
        <v>0</v>
      </c>
      <c r="AE136" s="6">
        <f ca="1">$K$136*$Y$136</f>
        <v>208220.36560858053</v>
      </c>
      <c r="AF136" s="6">
        <f ca="1">$M$136*$Z$136</f>
        <v>24945.452704020336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33</v>
      </c>
      <c r="C137" s="4" t="s">
        <v>41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37</v>
      </c>
      <c r="I137" s="5">
        <v>44652</v>
      </c>
      <c r="J137" s="6">
        <v>220</v>
      </c>
      <c r="K137" s="6">
        <v>220</v>
      </c>
      <c r="L137" s="6">
        <v>5.5119999999999996</v>
      </c>
      <c r="M137" s="6">
        <v>5.5119999999999996</v>
      </c>
      <c r="N137" s="6">
        <v>5.5119999999999996</v>
      </c>
      <c r="O137" s="6">
        <v>5.5119999999999996</v>
      </c>
      <c r="P137" s="6">
        <v>0</v>
      </c>
      <c r="Q137" s="4" t="s">
        <v>26</v>
      </c>
      <c r="R137" s="4">
        <v>0</v>
      </c>
      <c r="S137" s="6">
        <v>13</v>
      </c>
      <c r="T137" s="6">
        <v>15</v>
      </c>
      <c r="U137" s="6">
        <v>65</v>
      </c>
      <c r="V137" s="6">
        <f>IF(ISERROR(VLOOKUP($S$137,'TAR FIN'!$A$1:$O$103,15,0)),0,VLOOKUP($S$137,'TAR FIN'!$A$1:$O$103,15,0))</f>
        <v>31.72</v>
      </c>
      <c r="W137" s="6">
        <f>IF(ISERROR(VLOOKUP($T$137,'TAR FIN'!$A$1:$O$103,15,0)),0,VLOOKUP($T$137,'TAR FIN'!$A$1:$O$103,15,0))</f>
        <v>69.37</v>
      </c>
      <c r="X137" s="6">
        <f>IF(ISERROR(VLOOKUP($U$137,'TAR FIN'!$A$1:$O$103,15,0)),0,VLOOKUP($U$137,'TAR FIN'!$A$1:$O$103,15,0))</f>
        <v>454.9</v>
      </c>
      <c r="Y137" s="6">
        <f ca="1">('TUSD BE'!$AM$15+'TUSD BF'!$AM$15+'TUSD CVA'!$AM$15)*1</f>
        <v>42.424687369311435</v>
      </c>
      <c r="Z137" s="6">
        <f ca="1">('TUSD BE'!$AM$17+'TUSD BF'!$AM$17+'TUSD CVA'!$AM$17)*1</f>
        <v>111.236500713561</v>
      </c>
      <c r="AA137" s="6">
        <f>('TE BE'!$AB$8+'TE BF'!$AB$8+'TE CVA'!$AB$8)*1</f>
        <v>415.05449050541699</v>
      </c>
      <c r="AB137" s="6">
        <f>$K$137*$V$137</f>
        <v>6978.4</v>
      </c>
      <c r="AC137" s="6">
        <f>$M$137*$W$137</f>
        <v>382.36743999999999</v>
      </c>
      <c r="AD137" s="6">
        <f>$O$137*$X$137</f>
        <v>2507.4087999999997</v>
      </c>
      <c r="AE137" s="6">
        <f ca="1">$K$137*$Y$137</f>
        <v>9333.4312212485165</v>
      </c>
      <c r="AF137" s="6">
        <f ca="1">$M$137*$Z$137</f>
        <v>613.13559193314813</v>
      </c>
      <c r="AG137" s="6">
        <f>$O$137*$AA$137</f>
        <v>2287.7803516658582</v>
      </c>
    </row>
    <row r="138" spans="1:33" ht="11.25" customHeight="1" x14ac:dyDescent="0.25">
      <c r="A138" s="4" t="s">
        <v>21</v>
      </c>
      <c r="B138" s="4" t="s">
        <v>33</v>
      </c>
      <c r="C138" s="4" t="s">
        <v>41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44652</v>
      </c>
      <c r="J138" s="6">
        <v>4692</v>
      </c>
      <c r="K138" s="6">
        <v>4692</v>
      </c>
      <c r="L138" s="6">
        <v>237.881</v>
      </c>
      <c r="M138" s="6">
        <v>237.881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6">
        <v>13</v>
      </c>
      <c r="T138" s="6">
        <v>15</v>
      </c>
      <c r="U138" s="6">
        <v>0</v>
      </c>
      <c r="V138" s="6">
        <f>IF(ISERROR(VLOOKUP($S$138,'TAR FIN'!$A$1:$O$103,15,0)),0,VLOOKUP($S$138,'TAR FIN'!$A$1:$O$103,15,0))</f>
        <v>31.72</v>
      </c>
      <c r="W138" s="6">
        <f>IF(ISERROR(VLOOKUP($T$138,'TAR FIN'!$A$1:$O$103,15,0)),0,VLOOKUP($T$138,'TAR FIN'!$A$1:$O$103,15,0))</f>
        <v>69.37</v>
      </c>
      <c r="X138" s="6">
        <f>IF(ISERROR(VLOOKUP($U$138,'TAR FIN'!$A$1:$O$103,15,0)),0,VLOOKUP($U$138,'TAR FIN'!$A$1:$O$103,15,0))</f>
        <v>0</v>
      </c>
      <c r="Y138" s="6">
        <f ca="1">('TUSD BE'!$AM$15+'TUSD BF'!$AM$15+'TUSD CVA'!$AM$15)*1</f>
        <v>42.424687369311435</v>
      </c>
      <c r="Z138" s="6">
        <f ca="1">('TUSD BE'!$AM$17+'TUSD BF'!$AM$17+'TUSD CVA'!$AM$17)*1</f>
        <v>111.236500713561</v>
      </c>
      <c r="AA138" s="6"/>
      <c r="AB138" s="6">
        <f>$K$138*$V$138</f>
        <v>148830.24</v>
      </c>
      <c r="AC138" s="6">
        <f>$M$138*$W$138</f>
        <v>16501.804970000001</v>
      </c>
      <c r="AD138" s="6">
        <f>$O$138*$X$138</f>
        <v>0</v>
      </c>
      <c r="AE138" s="6">
        <f ca="1">$K$138*$Y$138</f>
        <v>199056.63313680925</v>
      </c>
      <c r="AF138" s="6">
        <f ca="1">$M$138*$Z$138</f>
        <v>26461.050026242603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33</v>
      </c>
      <c r="C139" s="4" t="s">
        <v>41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44682</v>
      </c>
      <c r="J139" s="6">
        <v>220</v>
      </c>
      <c r="K139" s="6">
        <v>220</v>
      </c>
      <c r="L139" s="6">
        <v>6.3659999999999997</v>
      </c>
      <c r="M139" s="6">
        <v>6.3659999999999997</v>
      </c>
      <c r="N139" s="6">
        <v>6.3659999999999997</v>
      </c>
      <c r="O139" s="6">
        <v>6.3659999999999997</v>
      </c>
      <c r="P139" s="6">
        <v>0</v>
      </c>
      <c r="Q139" s="4" t="s">
        <v>26</v>
      </c>
      <c r="R139" s="4">
        <v>0</v>
      </c>
      <c r="S139" s="6">
        <v>13</v>
      </c>
      <c r="T139" s="6">
        <v>15</v>
      </c>
      <c r="U139" s="6">
        <v>65</v>
      </c>
      <c r="V139" s="6">
        <f>IF(ISERROR(VLOOKUP($S$139,'TAR FIN'!$A$1:$O$103,15,0)),0,VLOOKUP($S$139,'TAR FIN'!$A$1:$O$103,15,0))</f>
        <v>31.72</v>
      </c>
      <c r="W139" s="6">
        <f>IF(ISERROR(VLOOKUP($T$139,'TAR FIN'!$A$1:$O$103,15,0)),0,VLOOKUP($T$139,'TAR FIN'!$A$1:$O$103,15,0))</f>
        <v>69.37</v>
      </c>
      <c r="X139" s="6">
        <f>IF(ISERROR(VLOOKUP($U$139,'TAR FIN'!$A$1:$O$103,15,0)),0,VLOOKUP($U$139,'TAR FIN'!$A$1:$O$103,15,0))</f>
        <v>454.9</v>
      </c>
      <c r="Y139" s="6">
        <f ca="1">('TUSD BE'!$AM$15+'TUSD BF'!$AM$15+'TUSD CVA'!$AM$15)*1</f>
        <v>42.424687369311435</v>
      </c>
      <c r="Z139" s="6">
        <f ca="1">('TUSD BE'!$AM$17+'TUSD BF'!$AM$17+'TUSD CVA'!$AM$17)*1</f>
        <v>111.236500713561</v>
      </c>
      <c r="AA139" s="6">
        <f>('TE BE'!$AB$8+'TE BF'!$AB$8+'TE CVA'!$AB$8)*1</f>
        <v>415.05449050541699</v>
      </c>
      <c r="AB139" s="6">
        <f>$K$139*$V$139</f>
        <v>6978.4</v>
      </c>
      <c r="AC139" s="6">
        <f>$M$139*$W$139</f>
        <v>441.60942</v>
      </c>
      <c r="AD139" s="6">
        <f>$O$139*$X$139</f>
        <v>2895.8933999999995</v>
      </c>
      <c r="AE139" s="6">
        <f ca="1">$K$139*$Y$139</f>
        <v>9333.4312212485165</v>
      </c>
      <c r="AF139" s="6">
        <f ca="1">$M$139*$Z$139</f>
        <v>708.13156354252931</v>
      </c>
      <c r="AG139" s="6">
        <f>$O$139*$AA$139</f>
        <v>2642.2368865574845</v>
      </c>
    </row>
    <row r="140" spans="1:33" ht="11.25" customHeight="1" x14ac:dyDescent="0.25">
      <c r="A140" s="4" t="s">
        <v>21</v>
      </c>
      <c r="B140" s="4" t="s">
        <v>33</v>
      </c>
      <c r="C140" s="4" t="s">
        <v>41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37</v>
      </c>
      <c r="I140" s="5">
        <v>44682</v>
      </c>
      <c r="J140" s="6">
        <v>4666</v>
      </c>
      <c r="K140" s="6">
        <v>4666</v>
      </c>
      <c r="L140" s="6">
        <v>207.71199999999999</v>
      </c>
      <c r="M140" s="6">
        <v>207.71199999999999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6">
        <v>13</v>
      </c>
      <c r="T140" s="6">
        <v>15</v>
      </c>
      <c r="U140" s="6">
        <v>0</v>
      </c>
      <c r="V140" s="6">
        <f>IF(ISERROR(VLOOKUP($S$140,'TAR FIN'!$A$1:$O$103,15,0)),0,VLOOKUP($S$140,'TAR FIN'!$A$1:$O$103,15,0))</f>
        <v>31.72</v>
      </c>
      <c r="W140" s="6">
        <f>IF(ISERROR(VLOOKUP($T$140,'TAR FIN'!$A$1:$O$103,15,0)),0,VLOOKUP($T$140,'TAR FIN'!$A$1:$O$103,15,0))</f>
        <v>69.37</v>
      </c>
      <c r="X140" s="6">
        <f>IF(ISERROR(VLOOKUP($U$140,'TAR FIN'!$A$1:$O$103,15,0)),0,VLOOKUP($U$140,'TAR FIN'!$A$1:$O$103,15,0))</f>
        <v>0</v>
      </c>
      <c r="Y140" s="6">
        <f ca="1">('TUSD BE'!$AM$15+'TUSD BF'!$AM$15+'TUSD CVA'!$AM$15)*1</f>
        <v>42.424687369311435</v>
      </c>
      <c r="Z140" s="6">
        <f ca="1">('TUSD BE'!$AM$17+'TUSD BF'!$AM$17+'TUSD CVA'!$AM$17)*1</f>
        <v>111.236500713561</v>
      </c>
      <c r="AA140" s="6"/>
      <c r="AB140" s="6">
        <f>$K$140*$V$140</f>
        <v>148005.51999999999</v>
      </c>
      <c r="AC140" s="6">
        <f>$M$140*$W$140</f>
        <v>14408.98144</v>
      </c>
      <c r="AD140" s="6">
        <f>$O$140*$X$140</f>
        <v>0</v>
      </c>
      <c r="AE140" s="6">
        <f ca="1">$K$140*$Y$140</f>
        <v>197953.59126520716</v>
      </c>
      <c r="AF140" s="6">
        <f ca="1">$M$140*$Z$140</f>
        <v>23105.156036215179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33</v>
      </c>
      <c r="C141" s="4" t="s">
        <v>41</v>
      </c>
      <c r="D141" s="4" t="s">
        <v>40</v>
      </c>
      <c r="E141" s="4" t="s">
        <v>25</v>
      </c>
      <c r="F141" s="4" t="s">
        <v>54</v>
      </c>
      <c r="G141" s="4" t="s">
        <v>25</v>
      </c>
      <c r="H141" s="4" t="s">
        <v>35</v>
      </c>
      <c r="I141" s="5">
        <v>44621</v>
      </c>
      <c r="J141" s="6">
        <v>500</v>
      </c>
      <c r="K141" s="6">
        <v>250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6">
        <v>14</v>
      </c>
      <c r="T141" s="6">
        <v>0</v>
      </c>
      <c r="U141" s="6">
        <v>0</v>
      </c>
      <c r="V141" s="6">
        <f>IF(ISERROR(VLOOKUP($S$141,'TAR FIN'!$A$1:$O$103,15,0)),0,VLOOKUP($S$141,'TAR FIN'!$A$1:$O$103,15,0))</f>
        <v>12.42</v>
      </c>
      <c r="W141" s="6">
        <f>IF(ISERROR(VLOOKUP($T$141,'TAR FIN'!$A$1:$O$103,15,0)),0,VLOOKUP($T$141,'TAR FIN'!$A$1:$O$103,15,0))</f>
        <v>0</v>
      </c>
      <c r="X141" s="6">
        <f>IF(ISERROR(VLOOKUP($U$141,'TAR FIN'!$A$1:$O$103,15,0)),0,VLOOKUP($U$141,'TAR FIN'!$A$1:$O$103,15,0))</f>
        <v>0</v>
      </c>
      <c r="Y141" s="6">
        <f ca="1">('TUSD BE'!$AM$16+'TUSD BF'!$AM$16+'TUSD CVA'!$AM$16)*1</f>
        <v>16.518304697547443</v>
      </c>
      <c r="Z141" s="6">
        <f ca="1">('TUSD BE'!$AM$17+'TUSD BF'!$AM$17+'TUSD CVA'!$AM$17)*1</f>
        <v>111.236500713561</v>
      </c>
      <c r="AA141" s="6"/>
      <c r="AB141" s="6">
        <f>$K$141*$V$141</f>
        <v>3105</v>
      </c>
      <c r="AC141" s="6">
        <f>$M$141*$W$141</f>
        <v>0</v>
      </c>
      <c r="AD141" s="6">
        <f>$O$141*$X$141</f>
        <v>0</v>
      </c>
      <c r="AE141" s="6">
        <f ca="1">$K$141*$Y$141</f>
        <v>4129.5761743868607</v>
      </c>
      <c r="AF141" s="6">
        <f ca="1"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33</v>
      </c>
      <c r="C142" s="4" t="s">
        <v>41</v>
      </c>
      <c r="D142" s="4" t="s">
        <v>40</v>
      </c>
      <c r="E142" s="4" t="s">
        <v>25</v>
      </c>
      <c r="F142" s="4" t="s">
        <v>54</v>
      </c>
      <c r="G142" s="4" t="s">
        <v>25</v>
      </c>
      <c r="H142" s="4" t="s">
        <v>35</v>
      </c>
      <c r="I142" s="5">
        <v>44652</v>
      </c>
      <c r="J142" s="6">
        <v>500</v>
      </c>
      <c r="K142" s="6">
        <v>250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6">
        <v>14</v>
      </c>
      <c r="T142" s="6">
        <v>0</v>
      </c>
      <c r="U142" s="6">
        <v>0</v>
      </c>
      <c r="V142" s="6">
        <f>IF(ISERROR(VLOOKUP($S$142,'TAR FIN'!$A$1:$O$103,15,0)),0,VLOOKUP($S$142,'TAR FIN'!$A$1:$O$103,15,0))</f>
        <v>12.42</v>
      </c>
      <c r="W142" s="6">
        <f>IF(ISERROR(VLOOKUP($T$142,'TAR FIN'!$A$1:$O$103,15,0)),0,VLOOKUP($T$142,'TAR FIN'!$A$1:$O$103,15,0))</f>
        <v>0</v>
      </c>
      <c r="X142" s="6">
        <f>IF(ISERROR(VLOOKUP($U$142,'TAR FIN'!$A$1:$O$103,15,0)),0,VLOOKUP($U$142,'TAR FIN'!$A$1:$O$103,15,0))</f>
        <v>0</v>
      </c>
      <c r="Y142" s="6">
        <f ca="1">('TUSD BE'!$AM$16+'TUSD BF'!$AM$16+'TUSD CVA'!$AM$16)*1</f>
        <v>16.518304697547443</v>
      </c>
      <c r="Z142" s="6">
        <f ca="1">('TUSD BE'!$AM$17+'TUSD BF'!$AM$17+'TUSD CVA'!$AM$17)*1</f>
        <v>111.236500713561</v>
      </c>
      <c r="AA142" s="6"/>
      <c r="AB142" s="6">
        <f>$K$142*$V$142</f>
        <v>3105</v>
      </c>
      <c r="AC142" s="6">
        <f>$M$142*$W$142</f>
        <v>0</v>
      </c>
      <c r="AD142" s="6">
        <f>$O$142*$X$142</f>
        <v>0</v>
      </c>
      <c r="AE142" s="6">
        <f ca="1">$K$142*$Y$142</f>
        <v>4129.5761743868607</v>
      </c>
      <c r="AF142" s="6">
        <f ca="1"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33</v>
      </c>
      <c r="C143" s="4" t="s">
        <v>41</v>
      </c>
      <c r="D143" s="4" t="s">
        <v>40</v>
      </c>
      <c r="E143" s="4" t="s">
        <v>25</v>
      </c>
      <c r="F143" s="4" t="s">
        <v>54</v>
      </c>
      <c r="G143" s="4" t="s">
        <v>25</v>
      </c>
      <c r="H143" s="4" t="s">
        <v>35</v>
      </c>
      <c r="I143" s="5">
        <v>44682</v>
      </c>
      <c r="J143" s="6">
        <v>500</v>
      </c>
      <c r="K143" s="6">
        <v>250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6">
        <v>14</v>
      </c>
      <c r="T143" s="6">
        <v>0</v>
      </c>
      <c r="U143" s="6">
        <v>0</v>
      </c>
      <c r="V143" s="6">
        <f>IF(ISERROR(VLOOKUP($S$143,'TAR FIN'!$A$1:$O$103,15,0)),0,VLOOKUP($S$143,'TAR FIN'!$A$1:$O$103,15,0))</f>
        <v>12.42</v>
      </c>
      <c r="W143" s="6">
        <f>IF(ISERROR(VLOOKUP($T$143,'TAR FIN'!$A$1:$O$103,15,0)),0,VLOOKUP($T$143,'TAR FIN'!$A$1:$O$103,15,0))</f>
        <v>0</v>
      </c>
      <c r="X143" s="6">
        <f>IF(ISERROR(VLOOKUP($U$143,'TAR FIN'!$A$1:$O$103,15,0)),0,VLOOKUP($U$143,'TAR FIN'!$A$1:$O$103,15,0))</f>
        <v>0</v>
      </c>
      <c r="Y143" s="6">
        <f ca="1">('TUSD BE'!$AM$16+'TUSD BF'!$AM$16+'TUSD CVA'!$AM$16)*1</f>
        <v>16.518304697547443</v>
      </c>
      <c r="Z143" s="6">
        <f ca="1">('TUSD BE'!$AM$17+'TUSD BF'!$AM$17+'TUSD CVA'!$AM$17)*1</f>
        <v>111.236500713561</v>
      </c>
      <c r="AA143" s="6"/>
      <c r="AB143" s="6">
        <f>$K$143*$V$143</f>
        <v>3105</v>
      </c>
      <c r="AC143" s="6">
        <f>$M$143*$W$143</f>
        <v>0</v>
      </c>
      <c r="AD143" s="6">
        <f>$O$143*$X$143</f>
        <v>0</v>
      </c>
      <c r="AE143" s="6">
        <f ca="1">$K$143*$Y$143</f>
        <v>4129.5761743868607</v>
      </c>
      <c r="AF143" s="6">
        <f ca="1"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33</v>
      </c>
      <c r="C144" s="4" t="s">
        <v>41</v>
      </c>
      <c r="D144" s="4" t="s">
        <v>40</v>
      </c>
      <c r="E144" s="4" t="s">
        <v>25</v>
      </c>
      <c r="F144" s="4" t="s">
        <v>54</v>
      </c>
      <c r="G144" s="4" t="s">
        <v>25</v>
      </c>
      <c r="H144" s="4" t="s">
        <v>25</v>
      </c>
      <c r="I144" s="5">
        <v>44621</v>
      </c>
      <c r="J144" s="6">
        <v>0</v>
      </c>
      <c r="K144" s="6">
        <v>0</v>
      </c>
      <c r="L144" s="6">
        <v>115.642</v>
      </c>
      <c r="M144" s="6">
        <v>115.642</v>
      </c>
      <c r="N144" s="6">
        <v>0</v>
      </c>
      <c r="O144" s="6">
        <v>0</v>
      </c>
      <c r="P144" s="6">
        <v>2</v>
      </c>
      <c r="Q144" s="4" t="s">
        <v>53</v>
      </c>
      <c r="R144" s="4">
        <v>0</v>
      </c>
      <c r="S144" s="6">
        <v>0</v>
      </c>
      <c r="T144" s="6">
        <v>15</v>
      </c>
      <c r="U144" s="6">
        <v>0</v>
      </c>
      <c r="V144" s="6">
        <f>IF(ISERROR(VLOOKUP($S$144,'TAR FIN'!$A$1:$O$103,15,0)),0,VLOOKUP($S$144,'TAR FIN'!$A$1:$O$103,15,0))</f>
        <v>0</v>
      </c>
      <c r="W144" s="6">
        <f>IF(ISERROR(VLOOKUP($T$144,'TAR FIN'!$A$1:$O$103,15,0)),0,VLOOKUP($T$144,'TAR FIN'!$A$1:$O$103,15,0))</f>
        <v>69.37</v>
      </c>
      <c r="X144" s="6">
        <f>IF(ISERROR(VLOOKUP($U$144,'TAR FIN'!$A$1:$O$103,15,0)),0,VLOOKUP($U$144,'TAR FIN'!$A$1:$O$103,15,0))</f>
        <v>0</v>
      </c>
      <c r="Y144" s="6"/>
      <c r="Z144" s="6">
        <f ca="1">('TUSD BE'!$AM$17+'TUSD BF'!$AM$17+'TUSD CVA'!$AM$17)*1</f>
        <v>111.236500713561</v>
      </c>
      <c r="AA144" s="6"/>
      <c r="AB144" s="6">
        <f>$K$144*$V$144</f>
        <v>0</v>
      </c>
      <c r="AC144" s="6">
        <f>$M$144*$W$144</f>
        <v>8022.08554</v>
      </c>
      <c r="AD144" s="6">
        <f>$O$144*$X$144</f>
        <v>0</v>
      </c>
      <c r="AE144" s="6">
        <f>$K$144*$Y$144</f>
        <v>0</v>
      </c>
      <c r="AF144" s="6">
        <f ca="1">$M$144*$Z$144</f>
        <v>12863.61141551762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33</v>
      </c>
      <c r="C145" s="4" t="s">
        <v>41</v>
      </c>
      <c r="D145" s="4" t="s">
        <v>40</v>
      </c>
      <c r="E145" s="4" t="s">
        <v>25</v>
      </c>
      <c r="F145" s="4" t="s">
        <v>54</v>
      </c>
      <c r="G145" s="4" t="s">
        <v>25</v>
      </c>
      <c r="H145" s="4" t="s">
        <v>25</v>
      </c>
      <c r="I145" s="5">
        <v>44652</v>
      </c>
      <c r="J145" s="6">
        <v>0</v>
      </c>
      <c r="K145" s="6">
        <v>0</v>
      </c>
      <c r="L145" s="6">
        <v>138.791</v>
      </c>
      <c r="M145" s="6">
        <v>138.791</v>
      </c>
      <c r="N145" s="6">
        <v>0</v>
      </c>
      <c r="O145" s="6">
        <v>0</v>
      </c>
      <c r="P145" s="6">
        <v>2</v>
      </c>
      <c r="Q145" s="4" t="s">
        <v>53</v>
      </c>
      <c r="R145" s="4">
        <v>0</v>
      </c>
      <c r="S145" s="6">
        <v>0</v>
      </c>
      <c r="T145" s="6">
        <v>15</v>
      </c>
      <c r="U145" s="6">
        <v>0</v>
      </c>
      <c r="V145" s="6">
        <f>IF(ISERROR(VLOOKUP($S$145,'TAR FIN'!$A$1:$O$103,15,0)),0,VLOOKUP($S$145,'TAR FIN'!$A$1:$O$103,15,0))</f>
        <v>0</v>
      </c>
      <c r="W145" s="6">
        <f>IF(ISERROR(VLOOKUP($T$145,'TAR FIN'!$A$1:$O$103,15,0)),0,VLOOKUP($T$145,'TAR FIN'!$A$1:$O$103,15,0))</f>
        <v>69.37</v>
      </c>
      <c r="X145" s="6">
        <f>IF(ISERROR(VLOOKUP($U$145,'TAR FIN'!$A$1:$O$103,15,0)),0,VLOOKUP($U$145,'TAR FIN'!$A$1:$O$103,15,0))</f>
        <v>0</v>
      </c>
      <c r="Y145" s="6"/>
      <c r="Z145" s="6">
        <f ca="1">('TUSD BE'!$AM$17+'TUSD BF'!$AM$17+'TUSD CVA'!$AM$17)*1</f>
        <v>111.236500713561</v>
      </c>
      <c r="AA145" s="6"/>
      <c r="AB145" s="6">
        <f>$K$145*$V$145</f>
        <v>0</v>
      </c>
      <c r="AC145" s="6">
        <f>$M$145*$W$145</f>
        <v>9627.9316699999999</v>
      </c>
      <c r="AD145" s="6">
        <f>$O$145*$X$145</f>
        <v>0</v>
      </c>
      <c r="AE145" s="6">
        <f>$K$145*$Y$145</f>
        <v>0</v>
      </c>
      <c r="AF145" s="6">
        <f ca="1">$M$145*$Z$145</f>
        <v>15438.625170535845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33</v>
      </c>
      <c r="C146" s="4" t="s">
        <v>41</v>
      </c>
      <c r="D146" s="4" t="s">
        <v>40</v>
      </c>
      <c r="E146" s="4" t="s">
        <v>25</v>
      </c>
      <c r="F146" s="4" t="s">
        <v>54</v>
      </c>
      <c r="G146" s="4" t="s">
        <v>25</v>
      </c>
      <c r="H146" s="4" t="s">
        <v>25</v>
      </c>
      <c r="I146" s="5">
        <v>44682</v>
      </c>
      <c r="J146" s="6">
        <v>0</v>
      </c>
      <c r="K146" s="6">
        <v>0</v>
      </c>
      <c r="L146" s="6">
        <v>138.709</v>
      </c>
      <c r="M146" s="6">
        <v>138.709</v>
      </c>
      <c r="N146" s="6">
        <v>0</v>
      </c>
      <c r="O146" s="6">
        <v>0</v>
      </c>
      <c r="P146" s="6">
        <v>2</v>
      </c>
      <c r="Q146" s="4" t="s">
        <v>53</v>
      </c>
      <c r="R146" s="4">
        <v>0</v>
      </c>
      <c r="S146" s="6">
        <v>0</v>
      </c>
      <c r="T146" s="6">
        <v>15</v>
      </c>
      <c r="U146" s="6">
        <v>0</v>
      </c>
      <c r="V146" s="6">
        <f>IF(ISERROR(VLOOKUP($S$146,'TAR FIN'!$A$1:$O$103,15,0)),0,VLOOKUP($S$146,'TAR FIN'!$A$1:$O$103,15,0))</f>
        <v>0</v>
      </c>
      <c r="W146" s="6">
        <f>IF(ISERROR(VLOOKUP($T$146,'TAR FIN'!$A$1:$O$103,15,0)),0,VLOOKUP($T$146,'TAR FIN'!$A$1:$O$103,15,0))</f>
        <v>69.37</v>
      </c>
      <c r="X146" s="6">
        <f>IF(ISERROR(VLOOKUP($U$146,'TAR FIN'!$A$1:$O$103,15,0)),0,VLOOKUP($U$146,'TAR FIN'!$A$1:$O$103,15,0))</f>
        <v>0</v>
      </c>
      <c r="Y146" s="6"/>
      <c r="Z146" s="6">
        <f ca="1">('TUSD BE'!$AM$17+'TUSD BF'!$AM$17+'TUSD CVA'!$AM$17)*1</f>
        <v>111.236500713561</v>
      </c>
      <c r="AA146" s="6"/>
      <c r="AB146" s="6">
        <f>$K$146*$V$146</f>
        <v>0</v>
      </c>
      <c r="AC146" s="6">
        <f>$M$146*$W$146</f>
        <v>9622.2433300000012</v>
      </c>
      <c r="AD146" s="6">
        <f>$O$146*$X$146</f>
        <v>0</v>
      </c>
      <c r="AE146" s="6">
        <f>$K$146*$Y$146</f>
        <v>0</v>
      </c>
      <c r="AF146" s="6">
        <f ca="1">$M$146*$Z$146</f>
        <v>15429.503777477334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33</v>
      </c>
      <c r="C147" s="4" t="s">
        <v>41</v>
      </c>
      <c r="D147" s="4" t="s">
        <v>40</v>
      </c>
      <c r="E147" s="4" t="s">
        <v>25</v>
      </c>
      <c r="F147" s="4" t="s">
        <v>54</v>
      </c>
      <c r="G147" s="4" t="s">
        <v>25</v>
      </c>
      <c r="H147" s="4" t="s">
        <v>37</v>
      </c>
      <c r="I147" s="5">
        <v>44621</v>
      </c>
      <c r="J147" s="6">
        <v>389</v>
      </c>
      <c r="K147" s="6">
        <v>194.5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53</v>
      </c>
      <c r="R147" s="4">
        <v>0</v>
      </c>
      <c r="S147" s="6">
        <v>13</v>
      </c>
      <c r="T147" s="6">
        <v>0</v>
      </c>
      <c r="U147" s="6">
        <v>0</v>
      </c>
      <c r="V147" s="6">
        <f>IF(ISERROR(VLOOKUP($S$147,'TAR FIN'!$A$1:$O$103,15,0)),0,VLOOKUP($S$147,'TAR FIN'!$A$1:$O$103,15,0))</f>
        <v>31.72</v>
      </c>
      <c r="W147" s="6">
        <f>IF(ISERROR(VLOOKUP($T$147,'TAR FIN'!$A$1:$O$103,15,0)),0,VLOOKUP($T$147,'TAR FIN'!$A$1:$O$103,15,0))</f>
        <v>0</v>
      </c>
      <c r="X147" s="6">
        <f>IF(ISERROR(VLOOKUP($U$147,'TAR FIN'!$A$1:$O$103,15,0)),0,VLOOKUP($U$147,'TAR FIN'!$A$1:$O$103,15,0))</f>
        <v>0</v>
      </c>
      <c r="Y147" s="6">
        <f ca="1">('TUSD BE'!$AM$15+'TUSD BF'!$AM$15+'TUSD CVA'!$AM$15)*1</f>
        <v>42.424687369311435</v>
      </c>
      <c r="Z147" s="6">
        <f ca="1">('TUSD BE'!$AM$17+'TUSD BF'!$AM$17+'TUSD CVA'!$AM$17)*1</f>
        <v>111.236500713561</v>
      </c>
      <c r="AA147" s="6"/>
      <c r="AB147" s="6">
        <f>$K$147*$V$147</f>
        <v>6169.54</v>
      </c>
      <c r="AC147" s="6">
        <f>$M$147*$W$147</f>
        <v>0</v>
      </c>
      <c r="AD147" s="6">
        <f>$O$147*$X$147</f>
        <v>0</v>
      </c>
      <c r="AE147" s="6">
        <f ca="1">$K$147*$Y$147</f>
        <v>8251.6016933310748</v>
      </c>
      <c r="AF147" s="6">
        <f ca="1"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33</v>
      </c>
      <c r="C148" s="4" t="s">
        <v>41</v>
      </c>
      <c r="D148" s="4" t="s">
        <v>40</v>
      </c>
      <c r="E148" s="4" t="s">
        <v>25</v>
      </c>
      <c r="F148" s="4" t="s">
        <v>54</v>
      </c>
      <c r="G148" s="4" t="s">
        <v>25</v>
      </c>
      <c r="H148" s="4" t="s">
        <v>37</v>
      </c>
      <c r="I148" s="5">
        <v>44652</v>
      </c>
      <c r="J148" s="6">
        <v>389</v>
      </c>
      <c r="K148" s="6">
        <v>194.5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53</v>
      </c>
      <c r="R148" s="4">
        <v>0</v>
      </c>
      <c r="S148" s="6">
        <v>13</v>
      </c>
      <c r="T148" s="6">
        <v>0</v>
      </c>
      <c r="U148" s="6">
        <v>0</v>
      </c>
      <c r="V148" s="6">
        <f>IF(ISERROR(VLOOKUP($S$148,'TAR FIN'!$A$1:$O$103,15,0)),0,VLOOKUP($S$148,'TAR FIN'!$A$1:$O$103,15,0))</f>
        <v>31.72</v>
      </c>
      <c r="W148" s="6">
        <f>IF(ISERROR(VLOOKUP($T$148,'TAR FIN'!$A$1:$O$103,15,0)),0,VLOOKUP($T$148,'TAR FIN'!$A$1:$O$103,15,0))</f>
        <v>0</v>
      </c>
      <c r="X148" s="6">
        <f>IF(ISERROR(VLOOKUP($U$148,'TAR FIN'!$A$1:$O$103,15,0)),0,VLOOKUP($U$148,'TAR FIN'!$A$1:$O$103,15,0))</f>
        <v>0</v>
      </c>
      <c r="Y148" s="6">
        <f ca="1">('TUSD BE'!$AM$15+'TUSD BF'!$AM$15+'TUSD CVA'!$AM$15)*1</f>
        <v>42.424687369311435</v>
      </c>
      <c r="Z148" s="6">
        <f ca="1">('TUSD BE'!$AM$17+'TUSD BF'!$AM$17+'TUSD CVA'!$AM$17)*1</f>
        <v>111.236500713561</v>
      </c>
      <c r="AA148" s="6"/>
      <c r="AB148" s="6">
        <f>$K$148*$V$148</f>
        <v>6169.54</v>
      </c>
      <c r="AC148" s="6">
        <f>$M$148*$W$148</f>
        <v>0</v>
      </c>
      <c r="AD148" s="6">
        <f>$O$148*$X$148</f>
        <v>0</v>
      </c>
      <c r="AE148" s="6">
        <f ca="1">$K$148*$Y$148</f>
        <v>8251.6016933310748</v>
      </c>
      <c r="AF148" s="6">
        <f ca="1"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33</v>
      </c>
      <c r="C149" s="4" t="s">
        <v>41</v>
      </c>
      <c r="D149" s="4" t="s">
        <v>40</v>
      </c>
      <c r="E149" s="4" t="s">
        <v>25</v>
      </c>
      <c r="F149" s="4" t="s">
        <v>54</v>
      </c>
      <c r="G149" s="4" t="s">
        <v>25</v>
      </c>
      <c r="H149" s="4" t="s">
        <v>37</v>
      </c>
      <c r="I149" s="5">
        <v>44682</v>
      </c>
      <c r="J149" s="6">
        <v>389</v>
      </c>
      <c r="K149" s="6">
        <v>194.5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53</v>
      </c>
      <c r="R149" s="4">
        <v>0</v>
      </c>
      <c r="S149" s="6">
        <v>13</v>
      </c>
      <c r="T149" s="6">
        <v>0</v>
      </c>
      <c r="U149" s="6">
        <v>0</v>
      </c>
      <c r="V149" s="6">
        <f>IF(ISERROR(VLOOKUP($S$149,'TAR FIN'!$A$1:$O$103,15,0)),0,VLOOKUP($S$149,'TAR FIN'!$A$1:$O$103,15,0))</f>
        <v>31.72</v>
      </c>
      <c r="W149" s="6">
        <f>IF(ISERROR(VLOOKUP($T$149,'TAR FIN'!$A$1:$O$103,15,0)),0,VLOOKUP($T$149,'TAR FIN'!$A$1:$O$103,15,0))</f>
        <v>0</v>
      </c>
      <c r="X149" s="6">
        <f>IF(ISERROR(VLOOKUP($U$149,'TAR FIN'!$A$1:$O$103,15,0)),0,VLOOKUP($U$149,'TAR FIN'!$A$1:$O$103,15,0))</f>
        <v>0</v>
      </c>
      <c r="Y149" s="6">
        <f ca="1">('TUSD BE'!$AM$15+'TUSD BF'!$AM$15+'TUSD CVA'!$AM$15)*1</f>
        <v>42.424687369311435</v>
      </c>
      <c r="Z149" s="6">
        <f ca="1">('TUSD BE'!$AM$17+'TUSD BF'!$AM$17+'TUSD CVA'!$AM$17)*1</f>
        <v>111.236500713561</v>
      </c>
      <c r="AA149" s="6"/>
      <c r="AB149" s="6">
        <f>$K$149*$V$149</f>
        <v>6169.54</v>
      </c>
      <c r="AC149" s="6">
        <f>$M$149*$W$149</f>
        <v>0</v>
      </c>
      <c r="AD149" s="6">
        <f>$O$149*$X$149</f>
        <v>0</v>
      </c>
      <c r="AE149" s="6">
        <f ca="1">$K$149*$Y$149</f>
        <v>8251.6016933310748</v>
      </c>
      <c r="AF149" s="6">
        <f ca="1"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33</v>
      </c>
      <c r="C150" s="4" t="s">
        <v>41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44348</v>
      </c>
      <c r="J150" s="6">
        <v>607</v>
      </c>
      <c r="K150" s="6">
        <v>607</v>
      </c>
      <c r="L150" s="6">
        <v>192.94499999999999</v>
      </c>
      <c r="M150" s="6">
        <v>192.94499999999999</v>
      </c>
      <c r="N150" s="6">
        <v>192.94499999999999</v>
      </c>
      <c r="O150" s="6">
        <v>192.94499999999999</v>
      </c>
      <c r="P150" s="6">
        <v>0</v>
      </c>
      <c r="Q150" s="4" t="s">
        <v>26</v>
      </c>
      <c r="R150" s="4">
        <v>0</v>
      </c>
      <c r="S150" s="6">
        <v>14</v>
      </c>
      <c r="T150" s="6">
        <v>15</v>
      </c>
      <c r="U150" s="6">
        <v>66</v>
      </c>
      <c r="V150" s="6">
        <f>IF(ISERROR(VLOOKUP($S$150,'TAR FIN'!$A$1:$O$103,15,0)),0,VLOOKUP($S$150,'TAR FIN'!$A$1:$O$103,15,0))</f>
        <v>12.42</v>
      </c>
      <c r="W150" s="6">
        <f>IF(ISERROR(VLOOKUP($T$150,'TAR FIN'!$A$1:$O$103,15,0)),0,VLOOKUP($T$150,'TAR FIN'!$A$1:$O$103,15,0))</f>
        <v>69.37</v>
      </c>
      <c r="X150" s="6">
        <f>IF(ISERROR(VLOOKUP($U$150,'TAR FIN'!$A$1:$O$103,15,0)),0,VLOOKUP($U$150,'TAR FIN'!$A$1:$O$103,15,0))</f>
        <v>284.36</v>
      </c>
      <c r="Y150" s="6">
        <f ca="1">('TUSD BE'!$AM$16+'TUSD BF'!$AM$16+'TUSD CVA'!$AM$16)*1</f>
        <v>16.518304697547443</v>
      </c>
      <c r="Z150" s="6">
        <f ca="1">('TUSD BE'!$AM$17+'TUSD BF'!$AM$17+'TUSD CVA'!$AM$17)*1</f>
        <v>111.236500713561</v>
      </c>
      <c r="AA150" s="6">
        <f>('TE BE'!$AB$9+'TE BF'!$AB$9+'TE CVA'!$AB$9)*1</f>
        <v>259.03677522481752</v>
      </c>
      <c r="AB150" s="6">
        <f>$K$150*$V$150</f>
        <v>7538.94</v>
      </c>
      <c r="AC150" s="6">
        <f>$M$150*$W$150</f>
        <v>13384.594650000001</v>
      </c>
      <c r="AD150" s="6">
        <f>$O$150*$X$150</f>
        <v>54865.840199999999</v>
      </c>
      <c r="AE150" s="6">
        <f ca="1">$K$150*$Y$150</f>
        <v>10026.610951411298</v>
      </c>
      <c r="AF150" s="6">
        <f ca="1">$M$150*$Z$150</f>
        <v>21462.526630178025</v>
      </c>
      <c r="AG150" s="6">
        <f>$O$150*$AA$150</f>
        <v>49979.850595752418</v>
      </c>
    </row>
    <row r="151" spans="1:33" ht="11.25" customHeight="1" x14ac:dyDescent="0.25">
      <c r="A151" s="4" t="s">
        <v>21</v>
      </c>
      <c r="B151" s="4" t="s">
        <v>33</v>
      </c>
      <c r="C151" s="4" t="s">
        <v>41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44348</v>
      </c>
      <c r="J151" s="6">
        <v>9141</v>
      </c>
      <c r="K151" s="6">
        <v>9141</v>
      </c>
      <c r="L151" s="6">
        <v>5105.5860000000002</v>
      </c>
      <c r="M151" s="6">
        <v>5105.5860000000002</v>
      </c>
      <c r="N151" s="6">
        <v>0</v>
      </c>
      <c r="O151" s="6">
        <v>0</v>
      </c>
      <c r="P151" s="6">
        <v>0</v>
      </c>
      <c r="Q151" s="4" t="s">
        <v>53</v>
      </c>
      <c r="R151" s="4">
        <v>0</v>
      </c>
      <c r="S151" s="6">
        <v>14</v>
      </c>
      <c r="T151" s="6">
        <v>15</v>
      </c>
      <c r="U151" s="6">
        <v>0</v>
      </c>
      <c r="V151" s="6">
        <f>IF(ISERROR(VLOOKUP($S$151,'TAR FIN'!$A$1:$O$103,15,0)),0,VLOOKUP($S$151,'TAR FIN'!$A$1:$O$103,15,0))</f>
        <v>12.42</v>
      </c>
      <c r="W151" s="6">
        <f>IF(ISERROR(VLOOKUP($T$151,'TAR FIN'!$A$1:$O$103,15,0)),0,VLOOKUP($T$151,'TAR FIN'!$A$1:$O$103,15,0))</f>
        <v>69.37</v>
      </c>
      <c r="X151" s="6">
        <f>IF(ISERROR(VLOOKUP($U$151,'TAR FIN'!$A$1:$O$103,15,0)),0,VLOOKUP($U$151,'TAR FIN'!$A$1:$O$103,15,0))</f>
        <v>0</v>
      </c>
      <c r="Y151" s="6">
        <f ca="1">('TUSD BE'!$AM$16+'TUSD BF'!$AM$16+'TUSD CVA'!$AM$16)*1</f>
        <v>16.518304697547443</v>
      </c>
      <c r="Z151" s="6">
        <f ca="1">('TUSD BE'!$AM$17+'TUSD BF'!$AM$17+'TUSD CVA'!$AM$17)*1</f>
        <v>111.236500713561</v>
      </c>
      <c r="AA151" s="6"/>
      <c r="AB151" s="6">
        <f>$K$151*$V$151</f>
        <v>113531.22</v>
      </c>
      <c r="AC151" s="6">
        <f>$M$151*$W$151</f>
        <v>354174.50082000002</v>
      </c>
      <c r="AD151" s="6">
        <f>$O$151*$X$151</f>
        <v>0</v>
      </c>
      <c r="AE151" s="6">
        <f ca="1">$K$151*$Y$151</f>
        <v>150993.82324028117</v>
      </c>
      <c r="AF151" s="6">
        <f ca="1">$M$151*$Z$151</f>
        <v>567927.52073214704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33</v>
      </c>
      <c r="C152" s="4" t="s">
        <v>41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44378</v>
      </c>
      <c r="J152" s="6">
        <v>612</v>
      </c>
      <c r="K152" s="6">
        <v>612</v>
      </c>
      <c r="L152" s="6">
        <v>204.67699999999999</v>
      </c>
      <c r="M152" s="6">
        <v>204.67699999999999</v>
      </c>
      <c r="N152" s="6">
        <v>204.67699999999999</v>
      </c>
      <c r="O152" s="6">
        <v>204.67699999999999</v>
      </c>
      <c r="P152" s="6">
        <v>0</v>
      </c>
      <c r="Q152" s="4" t="s">
        <v>26</v>
      </c>
      <c r="R152" s="4">
        <v>0</v>
      </c>
      <c r="S152" s="6">
        <v>14</v>
      </c>
      <c r="T152" s="6">
        <v>15</v>
      </c>
      <c r="U152" s="6">
        <v>66</v>
      </c>
      <c r="V152" s="6">
        <f>IF(ISERROR(VLOOKUP($S$152,'TAR FIN'!$A$1:$O$103,15,0)),0,VLOOKUP($S$152,'TAR FIN'!$A$1:$O$103,15,0))</f>
        <v>12.42</v>
      </c>
      <c r="W152" s="6">
        <f>IF(ISERROR(VLOOKUP($T$152,'TAR FIN'!$A$1:$O$103,15,0)),0,VLOOKUP($T$152,'TAR FIN'!$A$1:$O$103,15,0))</f>
        <v>69.37</v>
      </c>
      <c r="X152" s="6">
        <f>IF(ISERROR(VLOOKUP($U$152,'TAR FIN'!$A$1:$O$103,15,0)),0,VLOOKUP($U$152,'TAR FIN'!$A$1:$O$103,15,0))</f>
        <v>284.36</v>
      </c>
      <c r="Y152" s="6">
        <f ca="1">('TUSD BE'!$AM$16+'TUSD BF'!$AM$16+'TUSD CVA'!$AM$16)*1</f>
        <v>16.518304697547443</v>
      </c>
      <c r="Z152" s="6">
        <f ca="1">('TUSD BE'!$AM$17+'TUSD BF'!$AM$17+'TUSD CVA'!$AM$17)*1</f>
        <v>111.236500713561</v>
      </c>
      <c r="AA152" s="6">
        <f>('TE BE'!$AB$9+'TE BF'!$AB$9+'TE CVA'!$AB$9)*1</f>
        <v>259.03677522481752</v>
      </c>
      <c r="AB152" s="6">
        <f>$K$152*$V$152</f>
        <v>7601.04</v>
      </c>
      <c r="AC152" s="6">
        <f>$M$152*$W$152</f>
        <v>14198.44349</v>
      </c>
      <c r="AD152" s="6">
        <f>$O$152*$X$152</f>
        <v>58201.951719999997</v>
      </c>
      <c r="AE152" s="6">
        <f ca="1">$K$152*$Y$152</f>
        <v>10109.202474899035</v>
      </c>
      <c r="AF152" s="6">
        <f ca="1">$M$152*$Z$152</f>
        <v>22767.553256549523</v>
      </c>
      <c r="AG152" s="6">
        <f>$O$152*$AA$152</f>
        <v>53018.870042689974</v>
      </c>
    </row>
    <row r="153" spans="1:33" ht="11.25" customHeight="1" x14ac:dyDescent="0.25">
      <c r="A153" s="4" t="s">
        <v>21</v>
      </c>
      <c r="B153" s="4" t="s">
        <v>33</v>
      </c>
      <c r="C153" s="4" t="s">
        <v>41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44378</v>
      </c>
      <c r="J153" s="6">
        <v>9086</v>
      </c>
      <c r="K153" s="6">
        <v>9086</v>
      </c>
      <c r="L153" s="6">
        <v>4991.241</v>
      </c>
      <c r="M153" s="6">
        <v>4991.241</v>
      </c>
      <c r="N153" s="6">
        <v>0</v>
      </c>
      <c r="O153" s="6">
        <v>0</v>
      </c>
      <c r="P153" s="6">
        <v>0</v>
      </c>
      <c r="Q153" s="4" t="s">
        <v>53</v>
      </c>
      <c r="R153" s="4">
        <v>0</v>
      </c>
      <c r="S153" s="6">
        <v>14</v>
      </c>
      <c r="T153" s="6">
        <v>15</v>
      </c>
      <c r="U153" s="6">
        <v>0</v>
      </c>
      <c r="V153" s="6">
        <f>IF(ISERROR(VLOOKUP($S$153,'TAR FIN'!$A$1:$O$103,15,0)),0,VLOOKUP($S$153,'TAR FIN'!$A$1:$O$103,15,0))</f>
        <v>12.42</v>
      </c>
      <c r="W153" s="6">
        <f>IF(ISERROR(VLOOKUP($T$153,'TAR FIN'!$A$1:$O$103,15,0)),0,VLOOKUP($T$153,'TAR FIN'!$A$1:$O$103,15,0))</f>
        <v>69.37</v>
      </c>
      <c r="X153" s="6">
        <f>IF(ISERROR(VLOOKUP($U$153,'TAR FIN'!$A$1:$O$103,15,0)),0,VLOOKUP($U$153,'TAR FIN'!$A$1:$O$103,15,0))</f>
        <v>0</v>
      </c>
      <c r="Y153" s="6">
        <f ca="1">('TUSD BE'!$AM$16+'TUSD BF'!$AM$16+'TUSD CVA'!$AM$16)*1</f>
        <v>16.518304697547443</v>
      </c>
      <c r="Z153" s="6">
        <f ca="1">('TUSD BE'!$AM$17+'TUSD BF'!$AM$17+'TUSD CVA'!$AM$17)*1</f>
        <v>111.236500713561</v>
      </c>
      <c r="AA153" s="6"/>
      <c r="AB153" s="6">
        <f>$K$153*$V$153</f>
        <v>112848.12</v>
      </c>
      <c r="AC153" s="6">
        <f>$M$153*$W$153</f>
        <v>346242.38817000005</v>
      </c>
      <c r="AD153" s="6">
        <f>$O$153*$X$153</f>
        <v>0</v>
      </c>
      <c r="AE153" s="6">
        <f ca="1">$K$153*$Y$153</f>
        <v>150085.31648191606</v>
      </c>
      <c r="AF153" s="6">
        <f ca="1">$M$153*$Z$153</f>
        <v>555208.18305805488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33</v>
      </c>
      <c r="C154" s="4" t="s">
        <v>41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44409</v>
      </c>
      <c r="J154" s="6">
        <v>607</v>
      </c>
      <c r="K154" s="6">
        <v>607</v>
      </c>
      <c r="L154" s="6">
        <v>203.184</v>
      </c>
      <c r="M154" s="6">
        <v>203.184</v>
      </c>
      <c r="N154" s="6">
        <v>203.184</v>
      </c>
      <c r="O154" s="6">
        <v>203.184</v>
      </c>
      <c r="P154" s="6">
        <v>0</v>
      </c>
      <c r="Q154" s="4" t="s">
        <v>26</v>
      </c>
      <c r="R154" s="4">
        <v>0</v>
      </c>
      <c r="S154" s="6">
        <v>14</v>
      </c>
      <c r="T154" s="6">
        <v>15</v>
      </c>
      <c r="U154" s="6">
        <v>66</v>
      </c>
      <c r="V154" s="6">
        <f>IF(ISERROR(VLOOKUP($S$154,'TAR FIN'!$A$1:$O$103,15,0)),0,VLOOKUP($S$154,'TAR FIN'!$A$1:$O$103,15,0))</f>
        <v>12.42</v>
      </c>
      <c r="W154" s="6">
        <f>IF(ISERROR(VLOOKUP($T$154,'TAR FIN'!$A$1:$O$103,15,0)),0,VLOOKUP($T$154,'TAR FIN'!$A$1:$O$103,15,0))</f>
        <v>69.37</v>
      </c>
      <c r="X154" s="6">
        <f>IF(ISERROR(VLOOKUP($U$154,'TAR FIN'!$A$1:$O$103,15,0)),0,VLOOKUP($U$154,'TAR FIN'!$A$1:$O$103,15,0))</f>
        <v>284.36</v>
      </c>
      <c r="Y154" s="6">
        <f ca="1">('TUSD BE'!$AM$16+'TUSD BF'!$AM$16+'TUSD CVA'!$AM$16)*1</f>
        <v>16.518304697547443</v>
      </c>
      <c r="Z154" s="6">
        <f ca="1">('TUSD BE'!$AM$17+'TUSD BF'!$AM$17+'TUSD CVA'!$AM$17)*1</f>
        <v>111.236500713561</v>
      </c>
      <c r="AA154" s="6">
        <f>('TE BE'!$AB$9+'TE BF'!$AB$9+'TE CVA'!$AB$9)*1</f>
        <v>259.03677522481752</v>
      </c>
      <c r="AB154" s="6">
        <f>$K$154*$V$154</f>
        <v>7538.94</v>
      </c>
      <c r="AC154" s="6">
        <f>$M$154*$W$154</f>
        <v>14094.874080000001</v>
      </c>
      <c r="AD154" s="6">
        <f>$O$154*$X$154</f>
        <v>57777.402240000003</v>
      </c>
      <c r="AE154" s="6">
        <f ca="1">$K$154*$Y$154</f>
        <v>10026.610951411298</v>
      </c>
      <c r="AF154" s="6">
        <f ca="1">$M$154*$Z$154</f>
        <v>22601.477160984177</v>
      </c>
      <c r="AG154" s="6">
        <f>$O$154*$AA$154</f>
        <v>52632.128137279324</v>
      </c>
    </row>
    <row r="155" spans="1:33" ht="11.25" customHeight="1" x14ac:dyDescent="0.25">
      <c r="A155" s="4" t="s">
        <v>21</v>
      </c>
      <c r="B155" s="4" t="s">
        <v>33</v>
      </c>
      <c r="C155" s="4" t="s">
        <v>41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44409</v>
      </c>
      <c r="J155" s="6">
        <v>9115</v>
      </c>
      <c r="K155" s="6">
        <v>9115</v>
      </c>
      <c r="L155" s="6">
        <v>5068.4369999999999</v>
      </c>
      <c r="M155" s="6">
        <v>5068.4369999999999</v>
      </c>
      <c r="N155" s="6">
        <v>0</v>
      </c>
      <c r="O155" s="6">
        <v>0</v>
      </c>
      <c r="P155" s="6">
        <v>0</v>
      </c>
      <c r="Q155" s="4" t="s">
        <v>53</v>
      </c>
      <c r="R155" s="4">
        <v>0</v>
      </c>
      <c r="S155" s="6">
        <v>14</v>
      </c>
      <c r="T155" s="6">
        <v>15</v>
      </c>
      <c r="U155" s="6">
        <v>0</v>
      </c>
      <c r="V155" s="6">
        <f>IF(ISERROR(VLOOKUP($S$155,'TAR FIN'!$A$1:$O$103,15,0)),0,VLOOKUP($S$155,'TAR FIN'!$A$1:$O$103,15,0))</f>
        <v>12.42</v>
      </c>
      <c r="W155" s="6">
        <f>IF(ISERROR(VLOOKUP($T$155,'TAR FIN'!$A$1:$O$103,15,0)),0,VLOOKUP($T$155,'TAR FIN'!$A$1:$O$103,15,0))</f>
        <v>69.37</v>
      </c>
      <c r="X155" s="6">
        <f>IF(ISERROR(VLOOKUP($U$155,'TAR FIN'!$A$1:$O$103,15,0)),0,VLOOKUP($U$155,'TAR FIN'!$A$1:$O$103,15,0))</f>
        <v>0</v>
      </c>
      <c r="Y155" s="6">
        <f ca="1">('TUSD BE'!$AM$16+'TUSD BF'!$AM$16+'TUSD CVA'!$AM$16)*1</f>
        <v>16.518304697547443</v>
      </c>
      <c r="Z155" s="6">
        <f ca="1">('TUSD BE'!$AM$17+'TUSD BF'!$AM$17+'TUSD CVA'!$AM$17)*1</f>
        <v>111.236500713561</v>
      </c>
      <c r="AA155" s="6"/>
      <c r="AB155" s="6">
        <f>$K$155*$V$155</f>
        <v>113208.3</v>
      </c>
      <c r="AC155" s="6">
        <f>$M$155*$W$155</f>
        <v>351597.47469</v>
      </c>
      <c r="AD155" s="6">
        <f>$O$155*$X$155</f>
        <v>0</v>
      </c>
      <c r="AE155" s="6">
        <f ca="1">$K$155*$Y$155</f>
        <v>150564.34731814495</v>
      </c>
      <c r="AF155" s="6">
        <f ca="1">$M$155*$Z$155</f>
        <v>563795.19596713898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33</v>
      </c>
      <c r="C156" s="4" t="s">
        <v>41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44440</v>
      </c>
      <c r="J156" s="6">
        <v>607</v>
      </c>
      <c r="K156" s="6">
        <v>607</v>
      </c>
      <c r="L156" s="6">
        <v>188.74100000000001</v>
      </c>
      <c r="M156" s="6">
        <v>188.74100000000001</v>
      </c>
      <c r="N156" s="6">
        <v>188.74100000000001</v>
      </c>
      <c r="O156" s="6">
        <v>188.74100000000001</v>
      </c>
      <c r="P156" s="6">
        <v>0</v>
      </c>
      <c r="Q156" s="4" t="s">
        <v>26</v>
      </c>
      <c r="R156" s="4">
        <v>0</v>
      </c>
      <c r="S156" s="6">
        <v>14</v>
      </c>
      <c r="T156" s="6">
        <v>15</v>
      </c>
      <c r="U156" s="6">
        <v>66</v>
      </c>
      <c r="V156" s="6">
        <f>IF(ISERROR(VLOOKUP($S$156,'TAR FIN'!$A$1:$O$103,15,0)),0,VLOOKUP($S$156,'TAR FIN'!$A$1:$O$103,15,0))</f>
        <v>12.42</v>
      </c>
      <c r="W156" s="6">
        <f>IF(ISERROR(VLOOKUP($T$156,'TAR FIN'!$A$1:$O$103,15,0)),0,VLOOKUP($T$156,'TAR FIN'!$A$1:$O$103,15,0))</f>
        <v>69.37</v>
      </c>
      <c r="X156" s="6">
        <f>IF(ISERROR(VLOOKUP($U$156,'TAR FIN'!$A$1:$O$103,15,0)),0,VLOOKUP($U$156,'TAR FIN'!$A$1:$O$103,15,0))</f>
        <v>284.36</v>
      </c>
      <c r="Y156" s="6">
        <f ca="1">('TUSD BE'!$AM$16+'TUSD BF'!$AM$16+'TUSD CVA'!$AM$16)*1</f>
        <v>16.518304697547443</v>
      </c>
      <c r="Z156" s="6">
        <f ca="1">('TUSD BE'!$AM$17+'TUSD BF'!$AM$17+'TUSD CVA'!$AM$17)*1</f>
        <v>111.236500713561</v>
      </c>
      <c r="AA156" s="6">
        <f>('TE BE'!$AB$9+'TE BF'!$AB$9+'TE CVA'!$AB$9)*1</f>
        <v>259.03677522481752</v>
      </c>
      <c r="AB156" s="6">
        <f>$K$156*$V$156</f>
        <v>7538.94</v>
      </c>
      <c r="AC156" s="6">
        <f>$M$156*$W$156</f>
        <v>13092.963170000003</v>
      </c>
      <c r="AD156" s="6">
        <f>$O$156*$X$156</f>
        <v>53670.390760000009</v>
      </c>
      <c r="AE156" s="6">
        <f ca="1">$K$156*$Y$156</f>
        <v>10026.610951411298</v>
      </c>
      <c r="AF156" s="6">
        <f ca="1">$M$156*$Z$156</f>
        <v>20994.888381178218</v>
      </c>
      <c r="AG156" s="6">
        <f>$O$156*$AA$156</f>
        <v>48890.859992707286</v>
      </c>
    </row>
    <row r="157" spans="1:33" ht="11.25" customHeight="1" x14ac:dyDescent="0.25">
      <c r="A157" s="4" t="s">
        <v>21</v>
      </c>
      <c r="B157" s="4" t="s">
        <v>33</v>
      </c>
      <c r="C157" s="4" t="s">
        <v>41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44440</v>
      </c>
      <c r="J157" s="6">
        <v>9607</v>
      </c>
      <c r="K157" s="6">
        <v>9607</v>
      </c>
      <c r="L157" s="6">
        <v>5270.0829999999996</v>
      </c>
      <c r="M157" s="6">
        <v>5270.0829999999996</v>
      </c>
      <c r="N157" s="6">
        <v>0</v>
      </c>
      <c r="O157" s="6">
        <v>0</v>
      </c>
      <c r="P157" s="6">
        <v>0</v>
      </c>
      <c r="Q157" s="4" t="s">
        <v>53</v>
      </c>
      <c r="R157" s="4">
        <v>0</v>
      </c>
      <c r="S157" s="6">
        <v>14</v>
      </c>
      <c r="T157" s="6">
        <v>15</v>
      </c>
      <c r="U157" s="6">
        <v>0</v>
      </c>
      <c r="V157" s="6">
        <f>IF(ISERROR(VLOOKUP($S$157,'TAR FIN'!$A$1:$O$103,15,0)),0,VLOOKUP($S$157,'TAR FIN'!$A$1:$O$103,15,0))</f>
        <v>12.42</v>
      </c>
      <c r="W157" s="6">
        <f>IF(ISERROR(VLOOKUP($T$157,'TAR FIN'!$A$1:$O$103,15,0)),0,VLOOKUP($T$157,'TAR FIN'!$A$1:$O$103,15,0))</f>
        <v>69.37</v>
      </c>
      <c r="X157" s="6">
        <f>IF(ISERROR(VLOOKUP($U$157,'TAR FIN'!$A$1:$O$103,15,0)),0,VLOOKUP($U$157,'TAR FIN'!$A$1:$O$103,15,0))</f>
        <v>0</v>
      </c>
      <c r="Y157" s="6">
        <f ca="1">('TUSD BE'!$AM$16+'TUSD BF'!$AM$16+'TUSD CVA'!$AM$16)*1</f>
        <v>16.518304697547443</v>
      </c>
      <c r="Z157" s="6">
        <f ca="1">('TUSD BE'!$AM$17+'TUSD BF'!$AM$17+'TUSD CVA'!$AM$17)*1</f>
        <v>111.236500713561</v>
      </c>
      <c r="AA157" s="6"/>
      <c r="AB157" s="6">
        <f>$K$157*$V$157</f>
        <v>119318.94</v>
      </c>
      <c r="AC157" s="6">
        <f>$M$157*$W$157</f>
        <v>365585.65771</v>
      </c>
      <c r="AD157" s="6">
        <f>$O$157*$X$157</f>
        <v>0</v>
      </c>
      <c r="AE157" s="6">
        <f ca="1">$K$157*$Y$157</f>
        <v>158691.35322933827</v>
      </c>
      <c r="AF157" s="6">
        <f ca="1">$M$157*$Z$157</f>
        <v>586225.59139002569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33</v>
      </c>
      <c r="C158" s="4" t="s">
        <v>41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44470</v>
      </c>
      <c r="J158" s="6">
        <v>607</v>
      </c>
      <c r="K158" s="6">
        <v>607</v>
      </c>
      <c r="L158" s="6">
        <v>186.57400000000001</v>
      </c>
      <c r="M158" s="6">
        <v>186.57400000000001</v>
      </c>
      <c r="N158" s="6">
        <v>186.57400000000001</v>
      </c>
      <c r="O158" s="6">
        <v>186.57400000000001</v>
      </c>
      <c r="P158" s="6">
        <v>0</v>
      </c>
      <c r="Q158" s="4" t="s">
        <v>26</v>
      </c>
      <c r="R158" s="4">
        <v>0</v>
      </c>
      <c r="S158" s="6">
        <v>14</v>
      </c>
      <c r="T158" s="6">
        <v>15</v>
      </c>
      <c r="U158" s="6">
        <v>66</v>
      </c>
      <c r="V158" s="6">
        <f>IF(ISERROR(VLOOKUP($S$158,'TAR FIN'!$A$1:$O$103,15,0)),0,VLOOKUP($S$158,'TAR FIN'!$A$1:$O$103,15,0))</f>
        <v>12.42</v>
      </c>
      <c r="W158" s="6">
        <f>IF(ISERROR(VLOOKUP($T$158,'TAR FIN'!$A$1:$O$103,15,0)),0,VLOOKUP($T$158,'TAR FIN'!$A$1:$O$103,15,0))</f>
        <v>69.37</v>
      </c>
      <c r="X158" s="6">
        <f>IF(ISERROR(VLOOKUP($U$158,'TAR FIN'!$A$1:$O$103,15,0)),0,VLOOKUP($U$158,'TAR FIN'!$A$1:$O$103,15,0))</f>
        <v>284.36</v>
      </c>
      <c r="Y158" s="6">
        <f ca="1">('TUSD BE'!$AM$16+'TUSD BF'!$AM$16+'TUSD CVA'!$AM$16)*1</f>
        <v>16.518304697547443</v>
      </c>
      <c r="Z158" s="6">
        <f ca="1">('TUSD BE'!$AM$17+'TUSD BF'!$AM$17+'TUSD CVA'!$AM$17)*1</f>
        <v>111.236500713561</v>
      </c>
      <c r="AA158" s="6">
        <f>('TE BE'!$AB$9+'TE BF'!$AB$9+'TE CVA'!$AB$9)*1</f>
        <v>259.03677522481752</v>
      </c>
      <c r="AB158" s="6">
        <f>$K$158*$V$158</f>
        <v>7538.94</v>
      </c>
      <c r="AC158" s="6">
        <f>$M$158*$W$158</f>
        <v>12942.638380000002</v>
      </c>
      <c r="AD158" s="6">
        <f>$O$158*$X$158</f>
        <v>53054.182640000006</v>
      </c>
      <c r="AE158" s="6">
        <f ca="1">$K$158*$Y$158</f>
        <v>10026.610951411298</v>
      </c>
      <c r="AF158" s="6">
        <f ca="1">$M$158*$Z$158</f>
        <v>20753.838884131932</v>
      </c>
      <c r="AG158" s="6">
        <f>$O$158*$AA$158</f>
        <v>48329.527300795104</v>
      </c>
    </row>
    <row r="159" spans="1:33" ht="11.25" customHeight="1" x14ac:dyDescent="0.25">
      <c r="A159" s="4" t="s">
        <v>21</v>
      </c>
      <c r="B159" s="4" t="s">
        <v>33</v>
      </c>
      <c r="C159" s="4" t="s">
        <v>41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44470</v>
      </c>
      <c r="J159" s="6">
        <v>9590</v>
      </c>
      <c r="K159" s="6">
        <v>9590</v>
      </c>
      <c r="L159" s="6">
        <v>5215.5379999999996</v>
      </c>
      <c r="M159" s="6">
        <v>5215.5379999999996</v>
      </c>
      <c r="N159" s="6">
        <v>0</v>
      </c>
      <c r="O159" s="6">
        <v>0</v>
      </c>
      <c r="P159" s="6">
        <v>0</v>
      </c>
      <c r="Q159" s="4" t="s">
        <v>53</v>
      </c>
      <c r="R159" s="4">
        <v>0</v>
      </c>
      <c r="S159" s="6">
        <v>14</v>
      </c>
      <c r="T159" s="6">
        <v>15</v>
      </c>
      <c r="U159" s="6">
        <v>0</v>
      </c>
      <c r="V159" s="6">
        <f>IF(ISERROR(VLOOKUP($S$159,'TAR FIN'!$A$1:$O$103,15,0)),0,VLOOKUP($S$159,'TAR FIN'!$A$1:$O$103,15,0))</f>
        <v>12.42</v>
      </c>
      <c r="W159" s="6">
        <f>IF(ISERROR(VLOOKUP($T$159,'TAR FIN'!$A$1:$O$103,15,0)),0,VLOOKUP($T$159,'TAR FIN'!$A$1:$O$103,15,0))</f>
        <v>69.37</v>
      </c>
      <c r="X159" s="6">
        <f>IF(ISERROR(VLOOKUP($U$159,'TAR FIN'!$A$1:$O$103,15,0)),0,VLOOKUP($U$159,'TAR FIN'!$A$1:$O$103,15,0))</f>
        <v>0</v>
      </c>
      <c r="Y159" s="6">
        <f ca="1">('TUSD BE'!$AM$16+'TUSD BF'!$AM$16+'TUSD CVA'!$AM$16)*1</f>
        <v>16.518304697547443</v>
      </c>
      <c r="Z159" s="6">
        <f ca="1">('TUSD BE'!$AM$17+'TUSD BF'!$AM$17+'TUSD CVA'!$AM$17)*1</f>
        <v>111.236500713561</v>
      </c>
      <c r="AA159" s="6"/>
      <c r="AB159" s="6">
        <f>$K$159*$V$159</f>
        <v>119107.8</v>
      </c>
      <c r="AC159" s="6">
        <f>$M$159*$W$159</f>
        <v>361801.87105999998</v>
      </c>
      <c r="AD159" s="6">
        <f>$O$159*$X$159</f>
        <v>0</v>
      </c>
      <c r="AE159" s="6">
        <f ca="1">$K$159*$Y$159</f>
        <v>158410.54204947996</v>
      </c>
      <c r="AF159" s="6">
        <f ca="1">$M$159*$Z$159</f>
        <v>580158.19645860442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33</v>
      </c>
      <c r="C160" s="4" t="s">
        <v>41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44501</v>
      </c>
      <c r="J160" s="6">
        <v>619</v>
      </c>
      <c r="K160" s="6">
        <v>619</v>
      </c>
      <c r="L160" s="6">
        <v>152.964</v>
      </c>
      <c r="M160" s="6">
        <v>152.964</v>
      </c>
      <c r="N160" s="6">
        <v>152.964</v>
      </c>
      <c r="O160" s="6">
        <v>152.964</v>
      </c>
      <c r="P160" s="6">
        <v>0</v>
      </c>
      <c r="Q160" s="4" t="s">
        <v>26</v>
      </c>
      <c r="R160" s="4">
        <v>0</v>
      </c>
      <c r="S160" s="6">
        <v>14</v>
      </c>
      <c r="T160" s="6">
        <v>15</v>
      </c>
      <c r="U160" s="6">
        <v>66</v>
      </c>
      <c r="V160" s="6">
        <f>IF(ISERROR(VLOOKUP($S$160,'TAR FIN'!$A$1:$O$103,15,0)),0,VLOOKUP($S$160,'TAR FIN'!$A$1:$O$103,15,0))</f>
        <v>12.42</v>
      </c>
      <c r="W160" s="6">
        <f>IF(ISERROR(VLOOKUP($T$160,'TAR FIN'!$A$1:$O$103,15,0)),0,VLOOKUP($T$160,'TAR FIN'!$A$1:$O$103,15,0))</f>
        <v>69.37</v>
      </c>
      <c r="X160" s="6">
        <f>IF(ISERROR(VLOOKUP($U$160,'TAR FIN'!$A$1:$O$103,15,0)),0,VLOOKUP($U$160,'TAR FIN'!$A$1:$O$103,15,0))</f>
        <v>284.36</v>
      </c>
      <c r="Y160" s="6">
        <f ca="1">('TUSD BE'!$AM$16+'TUSD BF'!$AM$16+'TUSD CVA'!$AM$16)*1</f>
        <v>16.518304697547443</v>
      </c>
      <c r="Z160" s="6">
        <f ca="1">('TUSD BE'!$AM$17+'TUSD BF'!$AM$17+'TUSD CVA'!$AM$17)*1</f>
        <v>111.236500713561</v>
      </c>
      <c r="AA160" s="6">
        <f>('TE BE'!$AB$9+'TE BF'!$AB$9+'TE CVA'!$AB$9)*1</f>
        <v>259.03677522481752</v>
      </c>
      <c r="AB160" s="6">
        <f>$K$160*$V$160</f>
        <v>7687.98</v>
      </c>
      <c r="AC160" s="6">
        <f>$M$160*$W$160</f>
        <v>10611.11268</v>
      </c>
      <c r="AD160" s="6">
        <f>$O$160*$X$160</f>
        <v>43496.84304</v>
      </c>
      <c r="AE160" s="6">
        <f ca="1">$K$160*$Y$160</f>
        <v>10224.830607781867</v>
      </c>
      <c r="AF160" s="6">
        <f ca="1">$M$160*$Z$160</f>
        <v>17015.180095149146</v>
      </c>
      <c r="AG160" s="6">
        <f>$O$160*$AA$160</f>
        <v>39623.301285488989</v>
      </c>
    </row>
    <row r="161" spans="1:33" ht="11.25" customHeight="1" x14ac:dyDescent="0.25">
      <c r="A161" s="4" t="s">
        <v>21</v>
      </c>
      <c r="B161" s="4" t="s">
        <v>33</v>
      </c>
      <c r="C161" s="4" t="s">
        <v>41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9624</v>
      </c>
      <c r="K161" s="6">
        <v>9624</v>
      </c>
      <c r="L161" s="6">
        <v>5336.5339999999997</v>
      </c>
      <c r="M161" s="6">
        <v>5336.5339999999997</v>
      </c>
      <c r="N161" s="6">
        <v>0</v>
      </c>
      <c r="O161" s="6">
        <v>0</v>
      </c>
      <c r="P161" s="6">
        <v>0</v>
      </c>
      <c r="Q161" s="4" t="s">
        <v>53</v>
      </c>
      <c r="R161" s="4">
        <v>0</v>
      </c>
      <c r="S161" s="6">
        <v>14</v>
      </c>
      <c r="T161" s="6">
        <v>15</v>
      </c>
      <c r="U161" s="6">
        <v>0</v>
      </c>
      <c r="V161" s="6">
        <f>IF(ISERROR(VLOOKUP($S$161,'TAR FIN'!$A$1:$O$103,15,0)),0,VLOOKUP($S$161,'TAR FIN'!$A$1:$O$103,15,0))</f>
        <v>12.42</v>
      </c>
      <c r="W161" s="6">
        <f>IF(ISERROR(VLOOKUP($T$161,'TAR FIN'!$A$1:$O$103,15,0)),0,VLOOKUP($T$161,'TAR FIN'!$A$1:$O$103,15,0))</f>
        <v>69.37</v>
      </c>
      <c r="X161" s="6">
        <f>IF(ISERROR(VLOOKUP($U$161,'TAR FIN'!$A$1:$O$103,15,0)),0,VLOOKUP($U$161,'TAR FIN'!$A$1:$O$103,15,0))</f>
        <v>0</v>
      </c>
      <c r="Y161" s="6">
        <f ca="1">('TUSD BE'!$AM$16+'TUSD BF'!$AM$16+'TUSD CVA'!$AM$16)*1</f>
        <v>16.518304697547443</v>
      </c>
      <c r="Z161" s="6">
        <f ca="1">('TUSD BE'!$AM$17+'TUSD BF'!$AM$17+'TUSD CVA'!$AM$17)*1</f>
        <v>111.236500713561</v>
      </c>
      <c r="AA161" s="6"/>
      <c r="AB161" s="6">
        <f>$K$161*$V$161</f>
        <v>119530.08</v>
      </c>
      <c r="AC161" s="6">
        <f>$M$161*$W$161</f>
        <v>370195.36358</v>
      </c>
      <c r="AD161" s="6">
        <f>$O$161*$X$161</f>
        <v>0</v>
      </c>
      <c r="AE161" s="6">
        <f ca="1">$K$161*$Y$161</f>
        <v>158972.16440919659</v>
      </c>
      <c r="AF161" s="6">
        <f ca="1">$M$161*$Z$161</f>
        <v>593617.36809894245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33</v>
      </c>
      <c r="C162" s="4" t="s">
        <v>41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44531</v>
      </c>
      <c r="J162" s="6">
        <v>616</v>
      </c>
      <c r="K162" s="6">
        <v>616</v>
      </c>
      <c r="L162" s="6">
        <v>145.905</v>
      </c>
      <c r="M162" s="6">
        <v>145.905</v>
      </c>
      <c r="N162" s="6">
        <v>145.905</v>
      </c>
      <c r="O162" s="6">
        <v>145.905</v>
      </c>
      <c r="P162" s="6">
        <v>0</v>
      </c>
      <c r="Q162" s="4" t="s">
        <v>26</v>
      </c>
      <c r="R162" s="4">
        <v>0</v>
      </c>
      <c r="S162" s="6">
        <v>14</v>
      </c>
      <c r="T162" s="6">
        <v>15</v>
      </c>
      <c r="U162" s="6">
        <v>66</v>
      </c>
      <c r="V162" s="6">
        <f>IF(ISERROR(VLOOKUP($S$162,'TAR FIN'!$A$1:$O$103,15,0)),0,VLOOKUP($S$162,'TAR FIN'!$A$1:$O$103,15,0))</f>
        <v>12.42</v>
      </c>
      <c r="W162" s="6">
        <f>IF(ISERROR(VLOOKUP($T$162,'TAR FIN'!$A$1:$O$103,15,0)),0,VLOOKUP($T$162,'TAR FIN'!$A$1:$O$103,15,0))</f>
        <v>69.37</v>
      </c>
      <c r="X162" s="6">
        <f>IF(ISERROR(VLOOKUP($U$162,'TAR FIN'!$A$1:$O$103,15,0)),0,VLOOKUP($U$162,'TAR FIN'!$A$1:$O$103,15,0))</f>
        <v>284.36</v>
      </c>
      <c r="Y162" s="6">
        <f ca="1">('TUSD BE'!$AM$16+'TUSD BF'!$AM$16+'TUSD CVA'!$AM$16)*1</f>
        <v>16.518304697547443</v>
      </c>
      <c r="Z162" s="6">
        <f ca="1">('TUSD BE'!$AM$17+'TUSD BF'!$AM$17+'TUSD CVA'!$AM$17)*1</f>
        <v>111.236500713561</v>
      </c>
      <c r="AA162" s="6">
        <f>('TE BE'!$AB$9+'TE BF'!$AB$9+'TE CVA'!$AB$9)*1</f>
        <v>259.03677522481752</v>
      </c>
      <c r="AB162" s="6">
        <f>$K$162*$V$162</f>
        <v>7650.72</v>
      </c>
      <c r="AC162" s="6">
        <f>$M$162*$W$162</f>
        <v>10121.42985</v>
      </c>
      <c r="AD162" s="6">
        <f>$O$162*$X$162</f>
        <v>41489.5458</v>
      </c>
      <c r="AE162" s="6">
        <f ca="1">$K$162*$Y$162</f>
        <v>10175.275693689224</v>
      </c>
      <c r="AF162" s="6">
        <f ca="1">$M$162*$Z$162</f>
        <v>16229.961636612117</v>
      </c>
      <c r="AG162" s="6">
        <f>$O$162*$AA$162</f>
        <v>37794.760689176997</v>
      </c>
    </row>
    <row r="163" spans="1:33" ht="11.25" customHeight="1" x14ac:dyDescent="0.25">
      <c r="A163" s="4" t="s">
        <v>21</v>
      </c>
      <c r="B163" s="4" t="s">
        <v>33</v>
      </c>
      <c r="C163" s="4" t="s">
        <v>41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44531</v>
      </c>
      <c r="J163" s="6">
        <v>9538</v>
      </c>
      <c r="K163" s="6">
        <v>9538</v>
      </c>
      <c r="L163" s="6">
        <v>5107.6130000000003</v>
      </c>
      <c r="M163" s="6">
        <v>5107.6130000000003</v>
      </c>
      <c r="N163" s="6">
        <v>0</v>
      </c>
      <c r="O163" s="6">
        <v>0</v>
      </c>
      <c r="P163" s="6">
        <v>0</v>
      </c>
      <c r="Q163" s="4" t="s">
        <v>53</v>
      </c>
      <c r="R163" s="4">
        <v>0</v>
      </c>
      <c r="S163" s="6">
        <v>14</v>
      </c>
      <c r="T163" s="6">
        <v>15</v>
      </c>
      <c r="U163" s="6">
        <v>0</v>
      </c>
      <c r="V163" s="6">
        <f>IF(ISERROR(VLOOKUP($S$163,'TAR FIN'!$A$1:$O$103,15,0)),0,VLOOKUP($S$163,'TAR FIN'!$A$1:$O$103,15,0))</f>
        <v>12.42</v>
      </c>
      <c r="W163" s="6">
        <f>IF(ISERROR(VLOOKUP($T$163,'TAR FIN'!$A$1:$O$103,15,0)),0,VLOOKUP($T$163,'TAR FIN'!$A$1:$O$103,15,0))</f>
        <v>69.37</v>
      </c>
      <c r="X163" s="6">
        <f>IF(ISERROR(VLOOKUP($U$163,'TAR FIN'!$A$1:$O$103,15,0)),0,VLOOKUP($U$163,'TAR FIN'!$A$1:$O$103,15,0))</f>
        <v>0</v>
      </c>
      <c r="Y163" s="6">
        <f ca="1">('TUSD BE'!$AM$16+'TUSD BF'!$AM$16+'TUSD CVA'!$AM$16)*1</f>
        <v>16.518304697547443</v>
      </c>
      <c r="Z163" s="6">
        <f ca="1">('TUSD BE'!$AM$17+'TUSD BF'!$AM$17+'TUSD CVA'!$AM$17)*1</f>
        <v>111.236500713561</v>
      </c>
      <c r="AA163" s="6"/>
      <c r="AB163" s="6">
        <f>$K$163*$V$163</f>
        <v>118461.96</v>
      </c>
      <c r="AC163" s="6">
        <f>$M$163*$W$163</f>
        <v>354315.11381000007</v>
      </c>
      <c r="AD163" s="6">
        <f>$O$163*$X$163</f>
        <v>0</v>
      </c>
      <c r="AE163" s="6">
        <f ca="1">$K$163*$Y$163</f>
        <v>157551.5902052075</v>
      </c>
      <c r="AF163" s="6">
        <f ca="1">$M$163*$Z$163</f>
        <v>568152.99711909343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33</v>
      </c>
      <c r="C164" s="4" t="s">
        <v>41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44562</v>
      </c>
      <c r="J164" s="6">
        <v>615</v>
      </c>
      <c r="K164" s="6">
        <v>615</v>
      </c>
      <c r="L164" s="6">
        <v>154.41999999999999</v>
      </c>
      <c r="M164" s="6">
        <v>154.41999999999999</v>
      </c>
      <c r="N164" s="6">
        <v>154.41999999999999</v>
      </c>
      <c r="O164" s="6">
        <v>154.41999999999999</v>
      </c>
      <c r="P164" s="6">
        <v>0</v>
      </c>
      <c r="Q164" s="4" t="s">
        <v>26</v>
      </c>
      <c r="R164" s="4">
        <v>0</v>
      </c>
      <c r="S164" s="6">
        <v>14</v>
      </c>
      <c r="T164" s="6">
        <v>15</v>
      </c>
      <c r="U164" s="6">
        <v>66</v>
      </c>
      <c r="V164" s="6">
        <f>IF(ISERROR(VLOOKUP($S$164,'TAR FIN'!$A$1:$O$103,15,0)),0,VLOOKUP($S$164,'TAR FIN'!$A$1:$O$103,15,0))</f>
        <v>12.42</v>
      </c>
      <c r="W164" s="6">
        <f>IF(ISERROR(VLOOKUP($T$164,'TAR FIN'!$A$1:$O$103,15,0)),0,VLOOKUP($T$164,'TAR FIN'!$A$1:$O$103,15,0))</f>
        <v>69.37</v>
      </c>
      <c r="X164" s="6">
        <f>IF(ISERROR(VLOOKUP($U$164,'TAR FIN'!$A$1:$O$103,15,0)),0,VLOOKUP($U$164,'TAR FIN'!$A$1:$O$103,15,0))</f>
        <v>284.36</v>
      </c>
      <c r="Y164" s="6">
        <f ca="1">('TUSD BE'!$AM$16+'TUSD BF'!$AM$16+'TUSD CVA'!$AM$16)*1</f>
        <v>16.518304697547443</v>
      </c>
      <c r="Z164" s="6">
        <f ca="1">('TUSD BE'!$AM$17+'TUSD BF'!$AM$17+'TUSD CVA'!$AM$17)*1</f>
        <v>111.236500713561</v>
      </c>
      <c r="AA164" s="6">
        <f>('TE BE'!$AB$9+'TE BF'!$AB$9+'TE CVA'!$AB$9)*1</f>
        <v>259.03677522481752</v>
      </c>
      <c r="AB164" s="6">
        <f>$K$164*$V$164</f>
        <v>7638.3</v>
      </c>
      <c r="AC164" s="6">
        <f>$M$164*$W$164</f>
        <v>10712.115400000001</v>
      </c>
      <c r="AD164" s="6">
        <f>$O$164*$X$164</f>
        <v>43910.871200000001</v>
      </c>
      <c r="AE164" s="6">
        <f ca="1">$K$164*$Y$164</f>
        <v>10158.757388991677</v>
      </c>
      <c r="AF164" s="6">
        <f ca="1">$M$164*$Z$164</f>
        <v>17177.14044018809</v>
      </c>
      <c r="AG164" s="6">
        <f>$O$164*$AA$164</f>
        <v>40000.458830216317</v>
      </c>
    </row>
    <row r="165" spans="1:33" ht="11.25" customHeight="1" x14ac:dyDescent="0.25">
      <c r="A165" s="4" t="s">
        <v>21</v>
      </c>
      <c r="B165" s="4" t="s">
        <v>33</v>
      </c>
      <c r="C165" s="4" t="s">
        <v>41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44562</v>
      </c>
      <c r="J165" s="6">
        <v>9469</v>
      </c>
      <c r="K165" s="6">
        <v>9469</v>
      </c>
      <c r="L165" s="6">
        <v>5066.165</v>
      </c>
      <c r="M165" s="6">
        <v>5066.165</v>
      </c>
      <c r="N165" s="6">
        <v>0</v>
      </c>
      <c r="O165" s="6">
        <v>0</v>
      </c>
      <c r="P165" s="6">
        <v>0</v>
      </c>
      <c r="Q165" s="4" t="s">
        <v>53</v>
      </c>
      <c r="R165" s="4">
        <v>0</v>
      </c>
      <c r="S165" s="6">
        <v>14</v>
      </c>
      <c r="T165" s="6">
        <v>15</v>
      </c>
      <c r="U165" s="6">
        <v>0</v>
      </c>
      <c r="V165" s="6">
        <f>IF(ISERROR(VLOOKUP($S$165,'TAR FIN'!$A$1:$O$103,15,0)),0,VLOOKUP($S$165,'TAR FIN'!$A$1:$O$103,15,0))</f>
        <v>12.42</v>
      </c>
      <c r="W165" s="6">
        <f>IF(ISERROR(VLOOKUP($T$165,'TAR FIN'!$A$1:$O$103,15,0)),0,VLOOKUP($T$165,'TAR FIN'!$A$1:$O$103,15,0))</f>
        <v>69.37</v>
      </c>
      <c r="X165" s="6">
        <f>IF(ISERROR(VLOOKUP($U$165,'TAR FIN'!$A$1:$O$103,15,0)),0,VLOOKUP($U$165,'TAR FIN'!$A$1:$O$103,15,0))</f>
        <v>0</v>
      </c>
      <c r="Y165" s="6">
        <f ca="1">('TUSD BE'!$AM$16+'TUSD BF'!$AM$16+'TUSD CVA'!$AM$16)*1</f>
        <v>16.518304697547443</v>
      </c>
      <c r="Z165" s="6">
        <f ca="1">('TUSD BE'!$AM$17+'TUSD BF'!$AM$17+'TUSD CVA'!$AM$17)*1</f>
        <v>111.236500713561</v>
      </c>
      <c r="AA165" s="6"/>
      <c r="AB165" s="6">
        <f>$K$165*$V$165</f>
        <v>117604.98</v>
      </c>
      <c r="AC165" s="6">
        <f>$M$165*$W$165</f>
        <v>351439.86605000001</v>
      </c>
      <c r="AD165" s="6">
        <f>$O$165*$X$165</f>
        <v>0</v>
      </c>
      <c r="AE165" s="6">
        <f ca="1">$K$165*$Y$165</f>
        <v>156411.82718107675</v>
      </c>
      <c r="AF165" s="6">
        <f ca="1">$M$165*$Z$165</f>
        <v>563542.46663751779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33</v>
      </c>
      <c r="C166" s="4" t="s">
        <v>41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44593</v>
      </c>
      <c r="J166" s="6">
        <v>116</v>
      </c>
      <c r="K166" s="6">
        <v>116</v>
      </c>
      <c r="L166" s="6">
        <v>38.347000000000001</v>
      </c>
      <c r="M166" s="6">
        <v>38.347000000000001</v>
      </c>
      <c r="N166" s="6">
        <v>38.347000000000001</v>
      </c>
      <c r="O166" s="6">
        <v>38.347000000000001</v>
      </c>
      <c r="P166" s="6">
        <v>0</v>
      </c>
      <c r="Q166" s="4" t="s">
        <v>26</v>
      </c>
      <c r="R166" s="4">
        <v>0</v>
      </c>
      <c r="S166" s="6">
        <v>14</v>
      </c>
      <c r="T166" s="6">
        <v>15</v>
      </c>
      <c r="U166" s="6">
        <v>66</v>
      </c>
      <c r="V166" s="6">
        <f>IF(ISERROR(VLOOKUP($S$166,'TAR FIN'!$A$1:$O$103,15,0)),0,VLOOKUP($S$166,'TAR FIN'!$A$1:$O$103,15,0))</f>
        <v>12.42</v>
      </c>
      <c r="W166" s="6">
        <f>IF(ISERROR(VLOOKUP($T$166,'TAR FIN'!$A$1:$O$103,15,0)),0,VLOOKUP($T$166,'TAR FIN'!$A$1:$O$103,15,0))</f>
        <v>69.37</v>
      </c>
      <c r="X166" s="6">
        <f>IF(ISERROR(VLOOKUP($U$166,'TAR FIN'!$A$1:$O$103,15,0)),0,VLOOKUP($U$166,'TAR FIN'!$A$1:$O$103,15,0))</f>
        <v>284.36</v>
      </c>
      <c r="Y166" s="6">
        <f ca="1">('TUSD BE'!$AM$16+'TUSD BF'!$AM$16+'TUSD CVA'!$AM$16)*1</f>
        <v>16.518304697547443</v>
      </c>
      <c r="Z166" s="6">
        <f ca="1">('TUSD BE'!$AM$17+'TUSD BF'!$AM$17+'TUSD CVA'!$AM$17)*1</f>
        <v>111.236500713561</v>
      </c>
      <c r="AA166" s="6">
        <f>('TE BE'!$AB$9+'TE BF'!$AB$9+'TE CVA'!$AB$9)*1</f>
        <v>259.03677522481752</v>
      </c>
      <c r="AB166" s="6">
        <f>$K$166*$V$166</f>
        <v>1440.72</v>
      </c>
      <c r="AC166" s="6">
        <f>$M$166*$W$166</f>
        <v>2660.1313900000005</v>
      </c>
      <c r="AD166" s="6">
        <f>$O$166*$X$166</f>
        <v>10904.352920000001</v>
      </c>
      <c r="AE166" s="6">
        <f ca="1">$K$166*$Y$166</f>
        <v>1916.1233449155034</v>
      </c>
      <c r="AF166" s="6">
        <f ca="1">$M$166*$Z$166</f>
        <v>4265.5860928629236</v>
      </c>
      <c r="AG166" s="6">
        <f>$O$166*$AA$166</f>
        <v>9933.2832195460778</v>
      </c>
    </row>
    <row r="167" spans="1:33" ht="11.25" customHeight="1" x14ac:dyDescent="0.25">
      <c r="A167" s="4" t="s">
        <v>21</v>
      </c>
      <c r="B167" s="4" t="s">
        <v>33</v>
      </c>
      <c r="C167" s="4" t="s">
        <v>41</v>
      </c>
      <c r="D167" s="4" t="s">
        <v>40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44593</v>
      </c>
      <c r="J167" s="6">
        <v>9504</v>
      </c>
      <c r="K167" s="6">
        <v>9504</v>
      </c>
      <c r="L167" s="6">
        <v>5285.5519999999997</v>
      </c>
      <c r="M167" s="6">
        <v>5285.5519999999997</v>
      </c>
      <c r="N167" s="6">
        <v>0</v>
      </c>
      <c r="O167" s="6">
        <v>0</v>
      </c>
      <c r="P167" s="6">
        <v>0</v>
      </c>
      <c r="Q167" s="4" t="s">
        <v>53</v>
      </c>
      <c r="R167" s="4">
        <v>0</v>
      </c>
      <c r="S167" s="6">
        <v>14</v>
      </c>
      <c r="T167" s="6">
        <v>15</v>
      </c>
      <c r="U167" s="6">
        <v>0</v>
      </c>
      <c r="V167" s="6">
        <f>IF(ISERROR(VLOOKUP($S$167,'TAR FIN'!$A$1:$O$103,15,0)),0,VLOOKUP($S$167,'TAR FIN'!$A$1:$O$103,15,0))</f>
        <v>12.42</v>
      </c>
      <c r="W167" s="6">
        <f>IF(ISERROR(VLOOKUP($T$167,'TAR FIN'!$A$1:$O$103,15,0)),0,VLOOKUP($T$167,'TAR FIN'!$A$1:$O$103,15,0))</f>
        <v>69.37</v>
      </c>
      <c r="X167" s="6">
        <f>IF(ISERROR(VLOOKUP($U$167,'TAR FIN'!$A$1:$O$103,15,0)),0,VLOOKUP($U$167,'TAR FIN'!$A$1:$O$103,15,0))</f>
        <v>0</v>
      </c>
      <c r="Y167" s="6">
        <f ca="1">('TUSD BE'!$AM$16+'TUSD BF'!$AM$16+'TUSD CVA'!$AM$16)*1</f>
        <v>16.518304697547443</v>
      </c>
      <c r="Z167" s="6">
        <f ca="1">('TUSD BE'!$AM$17+'TUSD BF'!$AM$17+'TUSD CVA'!$AM$17)*1</f>
        <v>111.236500713561</v>
      </c>
      <c r="AA167" s="6"/>
      <c r="AB167" s="6">
        <f>$K$167*$V$167</f>
        <v>118039.67999999999</v>
      </c>
      <c r="AC167" s="6">
        <f>$M$167*$W$167</f>
        <v>366658.74223999999</v>
      </c>
      <c r="AD167" s="6">
        <f>$O$167*$X$167</f>
        <v>0</v>
      </c>
      <c r="AE167" s="6">
        <f ca="1">$K$167*$Y$167</f>
        <v>156989.9678454909</v>
      </c>
      <c r="AF167" s="6">
        <f ca="1">$M$167*$Z$167</f>
        <v>587946.30881956371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33</v>
      </c>
      <c r="C168" s="4" t="s">
        <v>41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44621</v>
      </c>
      <c r="J168" s="6">
        <v>114</v>
      </c>
      <c r="K168" s="6">
        <v>114</v>
      </c>
      <c r="L168" s="6">
        <v>40.164000000000001</v>
      </c>
      <c r="M168" s="6">
        <v>40.164000000000001</v>
      </c>
      <c r="N168" s="6">
        <v>40.164000000000001</v>
      </c>
      <c r="O168" s="6">
        <v>40.164000000000001</v>
      </c>
      <c r="P168" s="6">
        <v>0</v>
      </c>
      <c r="Q168" s="4" t="s">
        <v>26</v>
      </c>
      <c r="R168" s="4">
        <v>0</v>
      </c>
      <c r="S168" s="6">
        <v>14</v>
      </c>
      <c r="T168" s="6">
        <v>15</v>
      </c>
      <c r="U168" s="6">
        <v>66</v>
      </c>
      <c r="V168" s="6">
        <f>IF(ISERROR(VLOOKUP($S$168,'TAR FIN'!$A$1:$O$103,15,0)),0,VLOOKUP($S$168,'TAR FIN'!$A$1:$O$103,15,0))</f>
        <v>12.42</v>
      </c>
      <c r="W168" s="6">
        <f>IF(ISERROR(VLOOKUP($T$168,'TAR FIN'!$A$1:$O$103,15,0)),0,VLOOKUP($T$168,'TAR FIN'!$A$1:$O$103,15,0))</f>
        <v>69.37</v>
      </c>
      <c r="X168" s="6">
        <f>IF(ISERROR(VLOOKUP($U$168,'TAR FIN'!$A$1:$O$103,15,0)),0,VLOOKUP($U$168,'TAR FIN'!$A$1:$O$103,15,0))</f>
        <v>284.36</v>
      </c>
      <c r="Y168" s="6">
        <f ca="1">('TUSD BE'!$AM$16+'TUSD BF'!$AM$16+'TUSD CVA'!$AM$16)*1</f>
        <v>16.518304697547443</v>
      </c>
      <c r="Z168" s="6">
        <f ca="1">('TUSD BE'!$AM$17+'TUSD BF'!$AM$17+'TUSD CVA'!$AM$17)*1</f>
        <v>111.236500713561</v>
      </c>
      <c r="AA168" s="6">
        <f>('TE BE'!$AB$9+'TE BF'!$AB$9+'TE CVA'!$AB$9)*1</f>
        <v>259.03677522481752</v>
      </c>
      <c r="AB168" s="6">
        <f>$K$168*$V$168</f>
        <v>1415.8799999999999</v>
      </c>
      <c r="AC168" s="6">
        <f>$M$168*$W$168</f>
        <v>2786.1766800000005</v>
      </c>
      <c r="AD168" s="6">
        <f>$O$168*$X$168</f>
        <v>11421.035040000001</v>
      </c>
      <c r="AE168" s="6">
        <f ca="1">$K$168*$Y$168</f>
        <v>1883.0867355204084</v>
      </c>
      <c r="AF168" s="6">
        <f ca="1">$M$168*$Z$168</f>
        <v>4467.7028146594639</v>
      </c>
      <c r="AG168" s="6">
        <f>$O$168*$AA$168</f>
        <v>10403.953040129571</v>
      </c>
    </row>
    <row r="169" spans="1:33" ht="11.25" customHeight="1" x14ac:dyDescent="0.25">
      <c r="A169" s="4" t="s">
        <v>21</v>
      </c>
      <c r="B169" s="4" t="s">
        <v>33</v>
      </c>
      <c r="C169" s="4" t="s">
        <v>41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44621</v>
      </c>
      <c r="J169" s="6">
        <v>9469</v>
      </c>
      <c r="K169" s="6">
        <v>9469</v>
      </c>
      <c r="L169" s="6">
        <v>4649.5370000000003</v>
      </c>
      <c r="M169" s="6">
        <v>4649.5370000000003</v>
      </c>
      <c r="N169" s="6">
        <v>0</v>
      </c>
      <c r="O169" s="6">
        <v>0</v>
      </c>
      <c r="P169" s="6">
        <v>0</v>
      </c>
      <c r="Q169" s="4" t="s">
        <v>53</v>
      </c>
      <c r="R169" s="4">
        <v>0</v>
      </c>
      <c r="S169" s="6">
        <v>14</v>
      </c>
      <c r="T169" s="6">
        <v>15</v>
      </c>
      <c r="U169" s="6">
        <v>0</v>
      </c>
      <c r="V169" s="6">
        <f>IF(ISERROR(VLOOKUP($S$169,'TAR FIN'!$A$1:$O$103,15,0)),0,VLOOKUP($S$169,'TAR FIN'!$A$1:$O$103,15,0))</f>
        <v>12.42</v>
      </c>
      <c r="W169" s="6">
        <f>IF(ISERROR(VLOOKUP($T$169,'TAR FIN'!$A$1:$O$103,15,0)),0,VLOOKUP($T$169,'TAR FIN'!$A$1:$O$103,15,0))</f>
        <v>69.37</v>
      </c>
      <c r="X169" s="6">
        <f>IF(ISERROR(VLOOKUP($U$169,'TAR FIN'!$A$1:$O$103,15,0)),0,VLOOKUP($U$169,'TAR FIN'!$A$1:$O$103,15,0))</f>
        <v>0</v>
      </c>
      <c r="Y169" s="6">
        <f ca="1">('TUSD BE'!$AM$16+'TUSD BF'!$AM$16+'TUSD CVA'!$AM$16)*1</f>
        <v>16.518304697547443</v>
      </c>
      <c r="Z169" s="6">
        <f ca="1">('TUSD BE'!$AM$17+'TUSD BF'!$AM$17+'TUSD CVA'!$AM$17)*1</f>
        <v>111.236500713561</v>
      </c>
      <c r="AA169" s="6"/>
      <c r="AB169" s="6">
        <f>$K$169*$V$169</f>
        <v>117604.98</v>
      </c>
      <c r="AC169" s="6">
        <f>$M$169*$W$169</f>
        <v>322538.38169000007</v>
      </c>
      <c r="AD169" s="6">
        <f>$O$169*$X$169</f>
        <v>0</v>
      </c>
      <c r="AE169" s="6">
        <f ca="1">$K$169*$Y$169</f>
        <v>156411.82718107675</v>
      </c>
      <c r="AF169" s="6">
        <f ca="1">$M$169*$Z$169</f>
        <v>517198.22581822833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33</v>
      </c>
      <c r="C170" s="4" t="s">
        <v>41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44652</v>
      </c>
      <c r="J170" s="6">
        <v>107</v>
      </c>
      <c r="K170" s="6">
        <v>107</v>
      </c>
      <c r="L170" s="6">
        <v>37.094999999999999</v>
      </c>
      <c r="M170" s="6">
        <v>37.094999999999999</v>
      </c>
      <c r="N170" s="6">
        <v>37.094999999999999</v>
      </c>
      <c r="O170" s="6">
        <v>37.094999999999999</v>
      </c>
      <c r="P170" s="6">
        <v>0</v>
      </c>
      <c r="Q170" s="4" t="s">
        <v>26</v>
      </c>
      <c r="R170" s="4">
        <v>0</v>
      </c>
      <c r="S170" s="6">
        <v>14</v>
      </c>
      <c r="T170" s="6">
        <v>15</v>
      </c>
      <c r="U170" s="6">
        <v>66</v>
      </c>
      <c r="V170" s="6">
        <f>IF(ISERROR(VLOOKUP($S$170,'TAR FIN'!$A$1:$O$103,15,0)),0,VLOOKUP($S$170,'TAR FIN'!$A$1:$O$103,15,0))</f>
        <v>12.42</v>
      </c>
      <c r="W170" s="6">
        <f>IF(ISERROR(VLOOKUP($T$170,'TAR FIN'!$A$1:$O$103,15,0)),0,VLOOKUP($T$170,'TAR FIN'!$A$1:$O$103,15,0))</f>
        <v>69.37</v>
      </c>
      <c r="X170" s="6">
        <f>IF(ISERROR(VLOOKUP($U$170,'TAR FIN'!$A$1:$O$103,15,0)),0,VLOOKUP($U$170,'TAR FIN'!$A$1:$O$103,15,0))</f>
        <v>284.36</v>
      </c>
      <c r="Y170" s="6">
        <f ca="1">('TUSD BE'!$AM$16+'TUSD BF'!$AM$16+'TUSD CVA'!$AM$16)*1</f>
        <v>16.518304697547443</v>
      </c>
      <c r="Z170" s="6">
        <f ca="1">('TUSD BE'!$AM$17+'TUSD BF'!$AM$17+'TUSD CVA'!$AM$17)*1</f>
        <v>111.236500713561</v>
      </c>
      <c r="AA170" s="6">
        <f>('TE BE'!$AB$9+'TE BF'!$AB$9+'TE CVA'!$AB$9)*1</f>
        <v>259.03677522481752</v>
      </c>
      <c r="AB170" s="6">
        <f>$K$170*$V$170</f>
        <v>1328.94</v>
      </c>
      <c r="AC170" s="6">
        <f>$M$170*$W$170</f>
        <v>2573.28015</v>
      </c>
      <c r="AD170" s="6">
        <f>$O$170*$X$170</f>
        <v>10548.334199999999</v>
      </c>
      <c r="AE170" s="6">
        <f ca="1">$K$170*$Y$170</f>
        <v>1767.4586026375764</v>
      </c>
      <c r="AF170" s="6">
        <f ca="1">$M$170*$Z$170</f>
        <v>4126.3179939695456</v>
      </c>
      <c r="AG170" s="6">
        <f>$O$170*$AA$170</f>
        <v>9608.9691769646051</v>
      </c>
    </row>
    <row r="171" spans="1:33" ht="11.25" customHeight="1" x14ac:dyDescent="0.25">
      <c r="A171" s="4" t="s">
        <v>21</v>
      </c>
      <c r="B171" s="4" t="s">
        <v>33</v>
      </c>
      <c r="C171" s="4" t="s">
        <v>41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44652</v>
      </c>
      <c r="J171" s="6">
        <v>9780</v>
      </c>
      <c r="K171" s="6">
        <v>9780</v>
      </c>
      <c r="L171" s="6">
        <v>5263.1970000000001</v>
      </c>
      <c r="M171" s="6">
        <v>5263.1970000000001</v>
      </c>
      <c r="N171" s="6">
        <v>0</v>
      </c>
      <c r="O171" s="6">
        <v>0</v>
      </c>
      <c r="P171" s="6">
        <v>0</v>
      </c>
      <c r="Q171" s="4" t="s">
        <v>53</v>
      </c>
      <c r="R171" s="4">
        <v>0</v>
      </c>
      <c r="S171" s="6">
        <v>14</v>
      </c>
      <c r="T171" s="6">
        <v>15</v>
      </c>
      <c r="U171" s="6">
        <v>0</v>
      </c>
      <c r="V171" s="6">
        <f>IF(ISERROR(VLOOKUP($S$171,'TAR FIN'!$A$1:$O$103,15,0)),0,VLOOKUP($S$171,'TAR FIN'!$A$1:$O$103,15,0))</f>
        <v>12.42</v>
      </c>
      <c r="W171" s="6">
        <f>IF(ISERROR(VLOOKUP($T$171,'TAR FIN'!$A$1:$O$103,15,0)),0,VLOOKUP($T$171,'TAR FIN'!$A$1:$O$103,15,0))</f>
        <v>69.37</v>
      </c>
      <c r="X171" s="6">
        <f>IF(ISERROR(VLOOKUP($U$171,'TAR FIN'!$A$1:$O$103,15,0)),0,VLOOKUP($U$171,'TAR FIN'!$A$1:$O$103,15,0))</f>
        <v>0</v>
      </c>
      <c r="Y171" s="6">
        <f ca="1">('TUSD BE'!$AM$16+'TUSD BF'!$AM$16+'TUSD CVA'!$AM$16)*1</f>
        <v>16.518304697547443</v>
      </c>
      <c r="Z171" s="6">
        <f ca="1">('TUSD BE'!$AM$17+'TUSD BF'!$AM$17+'TUSD CVA'!$AM$17)*1</f>
        <v>111.236500713561</v>
      </c>
      <c r="AA171" s="6"/>
      <c r="AB171" s="6">
        <f>$K$171*$V$171</f>
        <v>121467.6</v>
      </c>
      <c r="AC171" s="6">
        <f>$M$171*$W$171</f>
        <v>365107.97589000006</v>
      </c>
      <c r="AD171" s="6">
        <f>$O$171*$X$171</f>
        <v>0</v>
      </c>
      <c r="AE171" s="6">
        <f ca="1">$K$171*$Y$171</f>
        <v>161549.01994201398</v>
      </c>
      <c r="AF171" s="6">
        <f ca="1">$M$171*$Z$171</f>
        <v>585459.61684611219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33</v>
      </c>
      <c r="C172" s="4" t="s">
        <v>41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44682</v>
      </c>
      <c r="J172" s="6">
        <v>107</v>
      </c>
      <c r="K172" s="6">
        <v>107</v>
      </c>
      <c r="L172" s="6">
        <v>37.933</v>
      </c>
      <c r="M172" s="6">
        <v>37.933</v>
      </c>
      <c r="N172" s="6">
        <v>37.933</v>
      </c>
      <c r="O172" s="6">
        <v>37.933</v>
      </c>
      <c r="P172" s="6">
        <v>0</v>
      </c>
      <c r="Q172" s="4" t="s">
        <v>26</v>
      </c>
      <c r="R172" s="4">
        <v>0</v>
      </c>
      <c r="S172" s="6">
        <v>14</v>
      </c>
      <c r="T172" s="6">
        <v>15</v>
      </c>
      <c r="U172" s="6">
        <v>66</v>
      </c>
      <c r="V172" s="6">
        <f>IF(ISERROR(VLOOKUP($S$172,'TAR FIN'!$A$1:$O$103,15,0)),0,VLOOKUP($S$172,'TAR FIN'!$A$1:$O$103,15,0))</f>
        <v>12.42</v>
      </c>
      <c r="W172" s="6">
        <f>IF(ISERROR(VLOOKUP($T$172,'TAR FIN'!$A$1:$O$103,15,0)),0,VLOOKUP($T$172,'TAR FIN'!$A$1:$O$103,15,0))</f>
        <v>69.37</v>
      </c>
      <c r="X172" s="6">
        <f>IF(ISERROR(VLOOKUP($U$172,'TAR FIN'!$A$1:$O$103,15,0)),0,VLOOKUP($U$172,'TAR FIN'!$A$1:$O$103,15,0))</f>
        <v>284.36</v>
      </c>
      <c r="Y172" s="6">
        <f ca="1">('TUSD BE'!$AM$16+'TUSD BF'!$AM$16+'TUSD CVA'!$AM$16)*1</f>
        <v>16.518304697547443</v>
      </c>
      <c r="Z172" s="6">
        <f ca="1">('TUSD BE'!$AM$17+'TUSD BF'!$AM$17+'TUSD CVA'!$AM$17)*1</f>
        <v>111.236500713561</v>
      </c>
      <c r="AA172" s="6">
        <f>('TE BE'!$AB$9+'TE BF'!$AB$9+'TE CVA'!$AB$9)*1</f>
        <v>259.03677522481752</v>
      </c>
      <c r="AB172" s="6">
        <f>$K$172*$V$172</f>
        <v>1328.94</v>
      </c>
      <c r="AC172" s="6">
        <f>$M$172*$W$172</f>
        <v>2631.41221</v>
      </c>
      <c r="AD172" s="6">
        <f>$O$172*$X$172</f>
        <v>10786.62788</v>
      </c>
      <c r="AE172" s="6">
        <f ca="1">$K$172*$Y$172</f>
        <v>1767.4586026375764</v>
      </c>
      <c r="AF172" s="6">
        <f ca="1">$M$172*$Z$172</f>
        <v>4219.5341815675092</v>
      </c>
      <c r="AG172" s="6">
        <f>$O$172*$AA$172</f>
        <v>9826.0419946030033</v>
      </c>
    </row>
    <row r="173" spans="1:33" ht="11.25" customHeight="1" x14ac:dyDescent="0.25">
      <c r="A173" s="4" t="s">
        <v>21</v>
      </c>
      <c r="B173" s="4" t="s">
        <v>33</v>
      </c>
      <c r="C173" s="4" t="s">
        <v>41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44682</v>
      </c>
      <c r="J173" s="6">
        <v>9400</v>
      </c>
      <c r="K173" s="6">
        <v>9400</v>
      </c>
      <c r="L173" s="6">
        <v>4687.8620000000001</v>
      </c>
      <c r="M173" s="6">
        <v>4687.8620000000001</v>
      </c>
      <c r="N173" s="6">
        <v>0</v>
      </c>
      <c r="O173" s="6">
        <v>0</v>
      </c>
      <c r="P173" s="6">
        <v>0</v>
      </c>
      <c r="Q173" s="4" t="s">
        <v>53</v>
      </c>
      <c r="R173" s="4">
        <v>0</v>
      </c>
      <c r="S173" s="6">
        <v>14</v>
      </c>
      <c r="T173" s="6">
        <v>15</v>
      </c>
      <c r="U173" s="6">
        <v>0</v>
      </c>
      <c r="V173" s="6">
        <f>IF(ISERROR(VLOOKUP($S$173,'TAR FIN'!$A$1:$O$103,15,0)),0,VLOOKUP($S$173,'TAR FIN'!$A$1:$O$103,15,0))</f>
        <v>12.42</v>
      </c>
      <c r="W173" s="6">
        <f>IF(ISERROR(VLOOKUP($T$173,'TAR FIN'!$A$1:$O$103,15,0)),0,VLOOKUP($T$173,'TAR FIN'!$A$1:$O$103,15,0))</f>
        <v>69.37</v>
      </c>
      <c r="X173" s="6">
        <f>IF(ISERROR(VLOOKUP($U$173,'TAR FIN'!$A$1:$O$103,15,0)),0,VLOOKUP($U$173,'TAR FIN'!$A$1:$O$103,15,0))</f>
        <v>0</v>
      </c>
      <c r="Y173" s="6">
        <f ca="1">('TUSD BE'!$AM$16+'TUSD BF'!$AM$16+'TUSD CVA'!$AM$16)*1</f>
        <v>16.518304697547443</v>
      </c>
      <c r="Z173" s="6">
        <f ca="1">('TUSD BE'!$AM$17+'TUSD BF'!$AM$17+'TUSD CVA'!$AM$17)*1</f>
        <v>111.236500713561</v>
      </c>
      <c r="AA173" s="6"/>
      <c r="AB173" s="6">
        <f>$K$173*$V$173</f>
        <v>116748</v>
      </c>
      <c r="AC173" s="6">
        <f>$M$173*$W$173</f>
        <v>325196.98694000003</v>
      </c>
      <c r="AD173" s="6">
        <f>$O$173*$X$173</f>
        <v>0</v>
      </c>
      <c r="AE173" s="6">
        <f ca="1">$K$173*$Y$173</f>
        <v>155272.06415694597</v>
      </c>
      <c r="AF173" s="6">
        <f ca="1">$M$173*$Z$173</f>
        <v>521461.36470807553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33</v>
      </c>
      <c r="C174" s="4" t="s">
        <v>41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44348</v>
      </c>
      <c r="J174" s="6">
        <v>479</v>
      </c>
      <c r="K174" s="6">
        <v>479</v>
      </c>
      <c r="L174" s="6">
        <v>21.751000000000001</v>
      </c>
      <c r="M174" s="6">
        <v>21.751000000000001</v>
      </c>
      <c r="N174" s="6">
        <v>21.751000000000001</v>
      </c>
      <c r="O174" s="6">
        <v>21.751000000000001</v>
      </c>
      <c r="P174" s="6">
        <v>0</v>
      </c>
      <c r="Q174" s="4" t="s">
        <v>26</v>
      </c>
      <c r="R174" s="4">
        <v>0</v>
      </c>
      <c r="S174" s="6">
        <v>13</v>
      </c>
      <c r="T174" s="6">
        <v>15</v>
      </c>
      <c r="U174" s="6">
        <v>65</v>
      </c>
      <c r="V174" s="6">
        <f>IF(ISERROR(VLOOKUP($S$174,'TAR FIN'!$A$1:$O$103,15,0)),0,VLOOKUP($S$174,'TAR FIN'!$A$1:$O$103,15,0))</f>
        <v>31.72</v>
      </c>
      <c r="W174" s="6">
        <f>IF(ISERROR(VLOOKUP($T$174,'TAR FIN'!$A$1:$O$103,15,0)),0,VLOOKUP($T$174,'TAR FIN'!$A$1:$O$103,15,0))</f>
        <v>69.37</v>
      </c>
      <c r="X174" s="6">
        <f>IF(ISERROR(VLOOKUP($U$174,'TAR FIN'!$A$1:$O$103,15,0)),0,VLOOKUP($U$174,'TAR FIN'!$A$1:$O$103,15,0))</f>
        <v>454.9</v>
      </c>
      <c r="Y174" s="6">
        <f ca="1">('TUSD BE'!$AM$15+'TUSD BF'!$AM$15+'TUSD CVA'!$AM$15)*1</f>
        <v>42.424687369311435</v>
      </c>
      <c r="Z174" s="6">
        <f ca="1">('TUSD BE'!$AM$17+'TUSD BF'!$AM$17+'TUSD CVA'!$AM$17)*1</f>
        <v>111.236500713561</v>
      </c>
      <c r="AA174" s="6">
        <f>('TE BE'!$AB$8+'TE BF'!$AB$8+'TE CVA'!$AB$8)*1</f>
        <v>415.05449050541699</v>
      </c>
      <c r="AB174" s="6">
        <f>$K$174*$V$174</f>
        <v>15193.88</v>
      </c>
      <c r="AC174" s="6">
        <f>$M$174*$W$174</f>
        <v>1508.8668700000003</v>
      </c>
      <c r="AD174" s="6">
        <f>$O$174*$X$174</f>
        <v>9894.5298999999995</v>
      </c>
      <c r="AE174" s="6">
        <f ca="1">$K$174*$Y$174</f>
        <v>20321.425249900178</v>
      </c>
      <c r="AF174" s="6">
        <f ca="1">$M$174*$Z$174</f>
        <v>2419.5051270206654</v>
      </c>
      <c r="AG174" s="6">
        <f>$O$174*$AA$174</f>
        <v>9027.8502229833248</v>
      </c>
    </row>
    <row r="175" spans="1:33" ht="11.25" customHeight="1" x14ac:dyDescent="0.25">
      <c r="A175" s="4" t="s">
        <v>21</v>
      </c>
      <c r="B175" s="4" t="s">
        <v>33</v>
      </c>
      <c r="C175" s="4" t="s">
        <v>41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44348</v>
      </c>
      <c r="J175" s="6">
        <v>8591</v>
      </c>
      <c r="K175" s="6">
        <v>8591</v>
      </c>
      <c r="L175" s="6">
        <v>477</v>
      </c>
      <c r="M175" s="6">
        <v>477</v>
      </c>
      <c r="N175" s="6">
        <v>0</v>
      </c>
      <c r="O175" s="6">
        <v>0</v>
      </c>
      <c r="P175" s="6">
        <v>0</v>
      </c>
      <c r="Q175" s="4" t="s">
        <v>53</v>
      </c>
      <c r="R175" s="4">
        <v>0</v>
      </c>
      <c r="S175" s="6">
        <v>13</v>
      </c>
      <c r="T175" s="6">
        <v>15</v>
      </c>
      <c r="U175" s="6">
        <v>0</v>
      </c>
      <c r="V175" s="6">
        <f>IF(ISERROR(VLOOKUP($S$175,'TAR FIN'!$A$1:$O$103,15,0)),0,VLOOKUP($S$175,'TAR FIN'!$A$1:$O$103,15,0))</f>
        <v>31.72</v>
      </c>
      <c r="W175" s="6">
        <f>IF(ISERROR(VLOOKUP($T$175,'TAR FIN'!$A$1:$O$103,15,0)),0,VLOOKUP($T$175,'TAR FIN'!$A$1:$O$103,15,0))</f>
        <v>69.37</v>
      </c>
      <c r="X175" s="6">
        <f>IF(ISERROR(VLOOKUP($U$175,'TAR FIN'!$A$1:$O$103,15,0)),0,VLOOKUP($U$175,'TAR FIN'!$A$1:$O$103,15,0))</f>
        <v>0</v>
      </c>
      <c r="Y175" s="6">
        <f ca="1">('TUSD BE'!$AM$15+'TUSD BF'!$AM$15+'TUSD CVA'!$AM$15)*1</f>
        <v>42.424687369311435</v>
      </c>
      <c r="Z175" s="6">
        <f ca="1">('TUSD BE'!$AM$17+'TUSD BF'!$AM$17+'TUSD CVA'!$AM$17)*1</f>
        <v>111.236500713561</v>
      </c>
      <c r="AA175" s="6"/>
      <c r="AB175" s="6">
        <f>$K$175*$V$175</f>
        <v>272506.52</v>
      </c>
      <c r="AC175" s="6">
        <f>$M$175*$W$175</f>
        <v>33089.490000000005</v>
      </c>
      <c r="AD175" s="6">
        <f>$O$175*$X$175</f>
        <v>0</v>
      </c>
      <c r="AE175" s="6">
        <f ca="1">$K$175*$Y$175</f>
        <v>364470.48918975453</v>
      </c>
      <c r="AF175" s="6">
        <f ca="1">$M$175*$Z$175</f>
        <v>53059.810840368598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33</v>
      </c>
      <c r="C176" s="4" t="s">
        <v>41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44378</v>
      </c>
      <c r="J176" s="6">
        <v>476</v>
      </c>
      <c r="K176" s="6">
        <v>476</v>
      </c>
      <c r="L176" s="6">
        <v>22.577999999999999</v>
      </c>
      <c r="M176" s="6">
        <v>22.577999999999999</v>
      </c>
      <c r="N176" s="6">
        <v>22.577999999999999</v>
      </c>
      <c r="O176" s="6">
        <v>22.577999999999999</v>
      </c>
      <c r="P176" s="6">
        <v>0</v>
      </c>
      <c r="Q176" s="4" t="s">
        <v>26</v>
      </c>
      <c r="R176" s="4">
        <v>0</v>
      </c>
      <c r="S176" s="6">
        <v>13</v>
      </c>
      <c r="T176" s="6">
        <v>15</v>
      </c>
      <c r="U176" s="6">
        <v>65</v>
      </c>
      <c r="V176" s="6">
        <f>IF(ISERROR(VLOOKUP($S$176,'TAR FIN'!$A$1:$O$103,15,0)),0,VLOOKUP($S$176,'TAR FIN'!$A$1:$O$103,15,0))</f>
        <v>31.72</v>
      </c>
      <c r="W176" s="6">
        <f>IF(ISERROR(VLOOKUP($T$176,'TAR FIN'!$A$1:$O$103,15,0)),0,VLOOKUP($T$176,'TAR FIN'!$A$1:$O$103,15,0))</f>
        <v>69.37</v>
      </c>
      <c r="X176" s="6">
        <f>IF(ISERROR(VLOOKUP($U$176,'TAR FIN'!$A$1:$O$103,15,0)),0,VLOOKUP($U$176,'TAR FIN'!$A$1:$O$103,15,0))</f>
        <v>454.9</v>
      </c>
      <c r="Y176" s="6">
        <f ca="1">('TUSD BE'!$AM$15+'TUSD BF'!$AM$15+'TUSD CVA'!$AM$15)*1</f>
        <v>42.424687369311435</v>
      </c>
      <c r="Z176" s="6">
        <f ca="1">('TUSD BE'!$AM$17+'TUSD BF'!$AM$17+'TUSD CVA'!$AM$17)*1</f>
        <v>111.236500713561</v>
      </c>
      <c r="AA176" s="6">
        <f>('TE BE'!$AB$8+'TE BF'!$AB$8+'TE CVA'!$AB$8)*1</f>
        <v>415.05449050541699</v>
      </c>
      <c r="AB176" s="6">
        <f>$K$176*$V$176</f>
        <v>15098.72</v>
      </c>
      <c r="AC176" s="6">
        <f>$M$176*$W$176</f>
        <v>1566.23586</v>
      </c>
      <c r="AD176" s="6">
        <f>$O$176*$X$176</f>
        <v>10270.732199999999</v>
      </c>
      <c r="AE176" s="6">
        <f ca="1">$K$176*$Y$176</f>
        <v>20194.151187792242</v>
      </c>
      <c r="AF176" s="6">
        <f ca="1">$M$176*$Z$176</f>
        <v>2511.4977131107803</v>
      </c>
      <c r="AG176" s="6">
        <f>$O$176*$AA$176</f>
        <v>9371.1002866313047</v>
      </c>
    </row>
    <row r="177" spans="1:33" ht="11.25" customHeight="1" x14ac:dyDescent="0.25">
      <c r="A177" s="4" t="s">
        <v>21</v>
      </c>
      <c r="B177" s="4" t="s">
        <v>33</v>
      </c>
      <c r="C177" s="4" t="s">
        <v>41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44378</v>
      </c>
      <c r="J177" s="6">
        <v>8594</v>
      </c>
      <c r="K177" s="6">
        <v>8594</v>
      </c>
      <c r="L177" s="6">
        <v>506.93200000000002</v>
      </c>
      <c r="M177" s="6">
        <v>506.93200000000002</v>
      </c>
      <c r="N177" s="6">
        <v>0</v>
      </c>
      <c r="O177" s="6">
        <v>0</v>
      </c>
      <c r="P177" s="6">
        <v>0</v>
      </c>
      <c r="Q177" s="4" t="s">
        <v>53</v>
      </c>
      <c r="R177" s="4">
        <v>0</v>
      </c>
      <c r="S177" s="6">
        <v>13</v>
      </c>
      <c r="T177" s="6">
        <v>15</v>
      </c>
      <c r="U177" s="6">
        <v>0</v>
      </c>
      <c r="V177" s="6">
        <f>IF(ISERROR(VLOOKUP($S$177,'TAR FIN'!$A$1:$O$103,15,0)),0,VLOOKUP($S$177,'TAR FIN'!$A$1:$O$103,15,0))</f>
        <v>31.72</v>
      </c>
      <c r="W177" s="6">
        <f>IF(ISERROR(VLOOKUP($T$177,'TAR FIN'!$A$1:$O$103,15,0)),0,VLOOKUP($T$177,'TAR FIN'!$A$1:$O$103,15,0))</f>
        <v>69.37</v>
      </c>
      <c r="X177" s="6">
        <f>IF(ISERROR(VLOOKUP($U$177,'TAR FIN'!$A$1:$O$103,15,0)),0,VLOOKUP($U$177,'TAR FIN'!$A$1:$O$103,15,0))</f>
        <v>0</v>
      </c>
      <c r="Y177" s="6">
        <f ca="1">('TUSD BE'!$AM$15+'TUSD BF'!$AM$15+'TUSD CVA'!$AM$15)*1</f>
        <v>42.424687369311435</v>
      </c>
      <c r="Z177" s="6">
        <f ca="1">('TUSD BE'!$AM$17+'TUSD BF'!$AM$17+'TUSD CVA'!$AM$17)*1</f>
        <v>111.236500713561</v>
      </c>
      <c r="AA177" s="6"/>
      <c r="AB177" s="6">
        <f>$K$177*$V$177</f>
        <v>272601.68</v>
      </c>
      <c r="AC177" s="6">
        <f>$M$177*$W$177</f>
        <v>35165.872840000004</v>
      </c>
      <c r="AD177" s="6">
        <f>$O$177*$X$177</f>
        <v>0</v>
      </c>
      <c r="AE177" s="6">
        <f ca="1">$K$177*$Y$177</f>
        <v>364597.76325186249</v>
      </c>
      <c r="AF177" s="6">
        <f ca="1">$M$177*$Z$177</f>
        <v>56389.341779726907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33</v>
      </c>
      <c r="C178" s="4" t="s">
        <v>41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44409</v>
      </c>
      <c r="J178" s="6">
        <v>481</v>
      </c>
      <c r="K178" s="6">
        <v>481</v>
      </c>
      <c r="L178" s="6">
        <v>21.027000000000001</v>
      </c>
      <c r="M178" s="6">
        <v>21.027000000000001</v>
      </c>
      <c r="N178" s="6">
        <v>21.027000000000001</v>
      </c>
      <c r="O178" s="6">
        <v>21.027000000000001</v>
      </c>
      <c r="P178" s="6">
        <v>0</v>
      </c>
      <c r="Q178" s="4" t="s">
        <v>26</v>
      </c>
      <c r="R178" s="4">
        <v>0</v>
      </c>
      <c r="S178" s="6">
        <v>13</v>
      </c>
      <c r="T178" s="6">
        <v>15</v>
      </c>
      <c r="U178" s="6">
        <v>65</v>
      </c>
      <c r="V178" s="6">
        <f>IF(ISERROR(VLOOKUP($S$178,'TAR FIN'!$A$1:$O$103,15,0)),0,VLOOKUP($S$178,'TAR FIN'!$A$1:$O$103,15,0))</f>
        <v>31.72</v>
      </c>
      <c r="W178" s="6">
        <f>IF(ISERROR(VLOOKUP($T$178,'TAR FIN'!$A$1:$O$103,15,0)),0,VLOOKUP($T$178,'TAR FIN'!$A$1:$O$103,15,0))</f>
        <v>69.37</v>
      </c>
      <c r="X178" s="6">
        <f>IF(ISERROR(VLOOKUP($U$178,'TAR FIN'!$A$1:$O$103,15,0)),0,VLOOKUP($U$178,'TAR FIN'!$A$1:$O$103,15,0))</f>
        <v>454.9</v>
      </c>
      <c r="Y178" s="6">
        <f ca="1">('TUSD BE'!$AM$15+'TUSD BF'!$AM$15+'TUSD CVA'!$AM$15)*1</f>
        <v>42.424687369311435</v>
      </c>
      <c r="Z178" s="6">
        <f ca="1">('TUSD BE'!$AM$17+'TUSD BF'!$AM$17+'TUSD CVA'!$AM$17)*1</f>
        <v>111.236500713561</v>
      </c>
      <c r="AA178" s="6">
        <f>('TE BE'!$AB$8+'TE BF'!$AB$8+'TE CVA'!$AB$8)*1</f>
        <v>415.05449050541699</v>
      </c>
      <c r="AB178" s="6">
        <f>$K$178*$V$178</f>
        <v>15257.32</v>
      </c>
      <c r="AC178" s="6">
        <f>$M$178*$W$178</f>
        <v>1458.6429900000001</v>
      </c>
      <c r="AD178" s="6">
        <f>$O$178*$X$178</f>
        <v>9565.1823000000004</v>
      </c>
      <c r="AE178" s="6">
        <f ca="1">$K$178*$Y$178</f>
        <v>20406.274624638801</v>
      </c>
      <c r="AF178" s="6">
        <f ca="1">$M$178*$Z$178</f>
        <v>2338.9699005040475</v>
      </c>
      <c r="AG178" s="6">
        <f>$O$178*$AA$178</f>
        <v>8727.3507718574037</v>
      </c>
    </row>
    <row r="179" spans="1:33" ht="11.25" customHeight="1" x14ac:dyDescent="0.25">
      <c r="A179" s="4" t="s">
        <v>21</v>
      </c>
      <c r="B179" s="4" t="s">
        <v>33</v>
      </c>
      <c r="C179" s="4" t="s">
        <v>41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44409</v>
      </c>
      <c r="J179" s="6">
        <v>8660</v>
      </c>
      <c r="K179" s="6">
        <v>8660</v>
      </c>
      <c r="L179" s="6">
        <v>489.07400000000001</v>
      </c>
      <c r="M179" s="6">
        <v>489.07400000000001</v>
      </c>
      <c r="N179" s="6">
        <v>0</v>
      </c>
      <c r="O179" s="6">
        <v>0</v>
      </c>
      <c r="P179" s="6">
        <v>0</v>
      </c>
      <c r="Q179" s="4" t="s">
        <v>53</v>
      </c>
      <c r="R179" s="4">
        <v>0</v>
      </c>
      <c r="S179" s="6">
        <v>13</v>
      </c>
      <c r="T179" s="6">
        <v>15</v>
      </c>
      <c r="U179" s="6">
        <v>0</v>
      </c>
      <c r="V179" s="6">
        <f>IF(ISERROR(VLOOKUP($S$179,'TAR FIN'!$A$1:$O$103,15,0)),0,VLOOKUP($S$179,'TAR FIN'!$A$1:$O$103,15,0))</f>
        <v>31.72</v>
      </c>
      <c r="W179" s="6">
        <f>IF(ISERROR(VLOOKUP($T$179,'TAR FIN'!$A$1:$O$103,15,0)),0,VLOOKUP($T$179,'TAR FIN'!$A$1:$O$103,15,0))</f>
        <v>69.37</v>
      </c>
      <c r="X179" s="6">
        <f>IF(ISERROR(VLOOKUP($U$179,'TAR FIN'!$A$1:$O$103,15,0)),0,VLOOKUP($U$179,'TAR FIN'!$A$1:$O$103,15,0))</f>
        <v>0</v>
      </c>
      <c r="Y179" s="6">
        <f ca="1">('TUSD BE'!$AM$15+'TUSD BF'!$AM$15+'TUSD CVA'!$AM$15)*1</f>
        <v>42.424687369311435</v>
      </c>
      <c r="Z179" s="6">
        <f ca="1">('TUSD BE'!$AM$17+'TUSD BF'!$AM$17+'TUSD CVA'!$AM$17)*1</f>
        <v>111.236500713561</v>
      </c>
      <c r="AA179" s="6"/>
      <c r="AB179" s="6">
        <f>$K$179*$V$179</f>
        <v>274695.2</v>
      </c>
      <c r="AC179" s="6">
        <f>$M$179*$W$179</f>
        <v>33927.06338</v>
      </c>
      <c r="AD179" s="6">
        <f>$O$179*$X$179</f>
        <v>0</v>
      </c>
      <c r="AE179" s="6">
        <f ca="1">$K$179*$Y$179</f>
        <v>367397.79261823703</v>
      </c>
      <c r="AF179" s="6">
        <f ca="1">$M$179*$Z$179</f>
        <v>54402.880349984131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33</v>
      </c>
      <c r="C180" s="4" t="s">
        <v>41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44440</v>
      </c>
      <c r="J180" s="6">
        <v>484</v>
      </c>
      <c r="K180" s="6">
        <v>484</v>
      </c>
      <c r="L180" s="6">
        <v>19.154</v>
      </c>
      <c r="M180" s="6">
        <v>19.154</v>
      </c>
      <c r="N180" s="6">
        <v>19.154</v>
      </c>
      <c r="O180" s="6">
        <v>19.154</v>
      </c>
      <c r="P180" s="6">
        <v>0</v>
      </c>
      <c r="Q180" s="4" t="s">
        <v>26</v>
      </c>
      <c r="R180" s="4">
        <v>0</v>
      </c>
      <c r="S180" s="6">
        <v>13</v>
      </c>
      <c r="T180" s="6">
        <v>15</v>
      </c>
      <c r="U180" s="6">
        <v>65</v>
      </c>
      <c r="V180" s="6">
        <f>IF(ISERROR(VLOOKUP($S$180,'TAR FIN'!$A$1:$O$103,15,0)),0,VLOOKUP($S$180,'TAR FIN'!$A$1:$O$103,15,0))</f>
        <v>31.72</v>
      </c>
      <c r="W180" s="6">
        <f>IF(ISERROR(VLOOKUP($T$180,'TAR FIN'!$A$1:$O$103,15,0)),0,VLOOKUP($T$180,'TAR FIN'!$A$1:$O$103,15,0))</f>
        <v>69.37</v>
      </c>
      <c r="X180" s="6">
        <f>IF(ISERROR(VLOOKUP($U$180,'TAR FIN'!$A$1:$O$103,15,0)),0,VLOOKUP($U$180,'TAR FIN'!$A$1:$O$103,15,0))</f>
        <v>454.9</v>
      </c>
      <c r="Y180" s="6">
        <f ca="1">('TUSD BE'!$AM$15+'TUSD BF'!$AM$15+'TUSD CVA'!$AM$15)*1</f>
        <v>42.424687369311435</v>
      </c>
      <c r="Z180" s="6">
        <f ca="1">('TUSD BE'!$AM$17+'TUSD BF'!$AM$17+'TUSD CVA'!$AM$17)*1</f>
        <v>111.236500713561</v>
      </c>
      <c r="AA180" s="6">
        <f>('TE BE'!$AB$8+'TE BF'!$AB$8+'TE CVA'!$AB$8)*1</f>
        <v>415.05449050541699</v>
      </c>
      <c r="AB180" s="6">
        <f>$K$180*$V$180</f>
        <v>15352.48</v>
      </c>
      <c r="AC180" s="6">
        <f>$M$180*$W$180</f>
        <v>1328.71298</v>
      </c>
      <c r="AD180" s="6">
        <f>$O$180*$X$180</f>
        <v>8713.1545999999998</v>
      </c>
      <c r="AE180" s="6">
        <f ca="1">$K$180*$Y$180</f>
        <v>20533.548686746733</v>
      </c>
      <c r="AF180" s="6">
        <f ca="1">$M$180*$Z$180</f>
        <v>2130.6239346675475</v>
      </c>
      <c r="AG180" s="6">
        <f>$O$180*$AA$180</f>
        <v>7949.9537111407572</v>
      </c>
    </row>
    <row r="181" spans="1:33" ht="11.25" customHeight="1" x14ac:dyDescent="0.25">
      <c r="A181" s="4" t="s">
        <v>21</v>
      </c>
      <c r="B181" s="4" t="s">
        <v>33</v>
      </c>
      <c r="C181" s="4" t="s">
        <v>41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44440</v>
      </c>
      <c r="J181" s="6">
        <v>9000</v>
      </c>
      <c r="K181" s="6">
        <v>9000</v>
      </c>
      <c r="L181" s="6">
        <v>511.15499999999997</v>
      </c>
      <c r="M181" s="6">
        <v>511.15499999999997</v>
      </c>
      <c r="N181" s="6">
        <v>0</v>
      </c>
      <c r="O181" s="6">
        <v>0</v>
      </c>
      <c r="P181" s="6">
        <v>0</v>
      </c>
      <c r="Q181" s="4" t="s">
        <v>53</v>
      </c>
      <c r="R181" s="4">
        <v>0</v>
      </c>
      <c r="S181" s="6">
        <v>13</v>
      </c>
      <c r="T181" s="6">
        <v>15</v>
      </c>
      <c r="U181" s="6">
        <v>0</v>
      </c>
      <c r="V181" s="6">
        <f>IF(ISERROR(VLOOKUP($S$181,'TAR FIN'!$A$1:$O$103,15,0)),0,VLOOKUP($S$181,'TAR FIN'!$A$1:$O$103,15,0))</f>
        <v>31.72</v>
      </c>
      <c r="W181" s="6">
        <f>IF(ISERROR(VLOOKUP($T$181,'TAR FIN'!$A$1:$O$103,15,0)),0,VLOOKUP($T$181,'TAR FIN'!$A$1:$O$103,15,0))</f>
        <v>69.37</v>
      </c>
      <c r="X181" s="6">
        <f>IF(ISERROR(VLOOKUP($U$181,'TAR FIN'!$A$1:$O$103,15,0)),0,VLOOKUP($U$181,'TAR FIN'!$A$1:$O$103,15,0))</f>
        <v>0</v>
      </c>
      <c r="Y181" s="6">
        <f ca="1">('TUSD BE'!$AM$15+'TUSD BF'!$AM$15+'TUSD CVA'!$AM$15)*1</f>
        <v>42.424687369311435</v>
      </c>
      <c r="Z181" s="6">
        <f ca="1">('TUSD BE'!$AM$17+'TUSD BF'!$AM$17+'TUSD CVA'!$AM$17)*1</f>
        <v>111.236500713561</v>
      </c>
      <c r="AA181" s="6"/>
      <c r="AB181" s="6">
        <f>$K$181*$V$181</f>
        <v>285480</v>
      </c>
      <c r="AC181" s="6">
        <f>$M$181*$W$181</f>
        <v>35458.822350000002</v>
      </c>
      <c r="AD181" s="6">
        <f>$O$181*$X$181</f>
        <v>0</v>
      </c>
      <c r="AE181" s="6">
        <f ca="1">$K$181*$Y$181</f>
        <v>381822.18632380292</v>
      </c>
      <c r="AF181" s="6">
        <f ca="1">$M$181*$Z$181</f>
        <v>56859.09352224027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33</v>
      </c>
      <c r="C182" s="4" t="s">
        <v>41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44470</v>
      </c>
      <c r="J182" s="6">
        <v>476</v>
      </c>
      <c r="K182" s="6">
        <v>476</v>
      </c>
      <c r="L182" s="6">
        <v>19.699000000000002</v>
      </c>
      <c r="M182" s="6">
        <v>19.699000000000002</v>
      </c>
      <c r="N182" s="6">
        <v>19.699000000000002</v>
      </c>
      <c r="O182" s="6">
        <v>19.699000000000002</v>
      </c>
      <c r="P182" s="6">
        <v>0</v>
      </c>
      <c r="Q182" s="4" t="s">
        <v>26</v>
      </c>
      <c r="R182" s="4">
        <v>0</v>
      </c>
      <c r="S182" s="6">
        <v>13</v>
      </c>
      <c r="T182" s="6">
        <v>15</v>
      </c>
      <c r="U182" s="6">
        <v>65</v>
      </c>
      <c r="V182" s="6">
        <f>IF(ISERROR(VLOOKUP($S$182,'TAR FIN'!$A$1:$O$103,15,0)),0,VLOOKUP($S$182,'TAR FIN'!$A$1:$O$103,15,0))</f>
        <v>31.72</v>
      </c>
      <c r="W182" s="6">
        <f>IF(ISERROR(VLOOKUP($T$182,'TAR FIN'!$A$1:$O$103,15,0)),0,VLOOKUP($T$182,'TAR FIN'!$A$1:$O$103,15,0))</f>
        <v>69.37</v>
      </c>
      <c r="X182" s="6">
        <f>IF(ISERROR(VLOOKUP($U$182,'TAR FIN'!$A$1:$O$103,15,0)),0,VLOOKUP($U$182,'TAR FIN'!$A$1:$O$103,15,0))</f>
        <v>454.9</v>
      </c>
      <c r="Y182" s="6">
        <f ca="1">('TUSD BE'!$AM$15+'TUSD BF'!$AM$15+'TUSD CVA'!$AM$15)*1</f>
        <v>42.424687369311435</v>
      </c>
      <c r="Z182" s="6">
        <f ca="1">('TUSD BE'!$AM$17+'TUSD BF'!$AM$17+'TUSD CVA'!$AM$17)*1</f>
        <v>111.236500713561</v>
      </c>
      <c r="AA182" s="6">
        <f>('TE BE'!$AB$8+'TE BF'!$AB$8+'TE CVA'!$AB$8)*1</f>
        <v>415.05449050541699</v>
      </c>
      <c r="AB182" s="6">
        <f>$K$182*$V$182</f>
        <v>15098.72</v>
      </c>
      <c r="AC182" s="6">
        <f>$M$182*$W$182</f>
        <v>1366.5196300000002</v>
      </c>
      <c r="AD182" s="6">
        <f>$O$182*$X$182</f>
        <v>8961.0751</v>
      </c>
      <c r="AE182" s="6">
        <f ca="1">$K$182*$Y$182</f>
        <v>20194.151187792242</v>
      </c>
      <c r="AF182" s="6">
        <f ca="1">$M$182*$Z$182</f>
        <v>2191.2478275564381</v>
      </c>
      <c r="AG182" s="6">
        <f>$O$182*$AA$182</f>
        <v>8176.1584084662099</v>
      </c>
    </row>
    <row r="183" spans="1:33" ht="11.25" customHeight="1" x14ac:dyDescent="0.25">
      <c r="A183" s="4" t="s">
        <v>21</v>
      </c>
      <c r="B183" s="4" t="s">
        <v>33</v>
      </c>
      <c r="C183" s="4" t="s">
        <v>41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44470</v>
      </c>
      <c r="J183" s="6">
        <v>9041</v>
      </c>
      <c r="K183" s="6">
        <v>9041</v>
      </c>
      <c r="L183" s="6">
        <v>523.86800000000005</v>
      </c>
      <c r="M183" s="6">
        <v>523.86800000000005</v>
      </c>
      <c r="N183" s="6">
        <v>0</v>
      </c>
      <c r="O183" s="6">
        <v>0</v>
      </c>
      <c r="P183" s="6">
        <v>0</v>
      </c>
      <c r="Q183" s="4" t="s">
        <v>53</v>
      </c>
      <c r="R183" s="4">
        <v>0</v>
      </c>
      <c r="S183" s="6">
        <v>13</v>
      </c>
      <c r="T183" s="6">
        <v>15</v>
      </c>
      <c r="U183" s="6">
        <v>0</v>
      </c>
      <c r="V183" s="6">
        <f>IF(ISERROR(VLOOKUP($S$183,'TAR FIN'!$A$1:$O$103,15,0)),0,VLOOKUP($S$183,'TAR FIN'!$A$1:$O$103,15,0))</f>
        <v>31.72</v>
      </c>
      <c r="W183" s="6">
        <f>IF(ISERROR(VLOOKUP($T$183,'TAR FIN'!$A$1:$O$103,15,0)),0,VLOOKUP($T$183,'TAR FIN'!$A$1:$O$103,15,0))</f>
        <v>69.37</v>
      </c>
      <c r="X183" s="6">
        <f>IF(ISERROR(VLOOKUP($U$183,'TAR FIN'!$A$1:$O$103,15,0)),0,VLOOKUP($U$183,'TAR FIN'!$A$1:$O$103,15,0))</f>
        <v>0</v>
      </c>
      <c r="Y183" s="6">
        <f ca="1">('TUSD BE'!$AM$15+'TUSD BF'!$AM$15+'TUSD CVA'!$AM$15)*1</f>
        <v>42.424687369311435</v>
      </c>
      <c r="Z183" s="6">
        <f ca="1">('TUSD BE'!$AM$17+'TUSD BF'!$AM$17+'TUSD CVA'!$AM$17)*1</f>
        <v>111.236500713561</v>
      </c>
      <c r="AA183" s="6"/>
      <c r="AB183" s="6">
        <f>$K$183*$V$183</f>
        <v>286780.52</v>
      </c>
      <c r="AC183" s="6">
        <f>$M$183*$W$183</f>
        <v>36340.723160000009</v>
      </c>
      <c r="AD183" s="6">
        <f>$O$183*$X$183</f>
        <v>0</v>
      </c>
      <c r="AE183" s="6">
        <f ca="1">$K$183*$Y$183</f>
        <v>383561.59850594471</v>
      </c>
      <c r="AF183" s="6">
        <f ca="1">$M$183*$Z$183</f>
        <v>58273.243155811782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33</v>
      </c>
      <c r="C184" s="4" t="s">
        <v>41</v>
      </c>
      <c r="D184" s="4" t="s">
        <v>40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44501</v>
      </c>
      <c r="J184" s="6">
        <v>495</v>
      </c>
      <c r="K184" s="6">
        <v>495</v>
      </c>
      <c r="L184" s="6">
        <v>22.966000000000001</v>
      </c>
      <c r="M184" s="6">
        <v>22.966000000000001</v>
      </c>
      <c r="N184" s="6">
        <v>22.966000000000001</v>
      </c>
      <c r="O184" s="6">
        <v>22.966000000000001</v>
      </c>
      <c r="P184" s="6">
        <v>0</v>
      </c>
      <c r="Q184" s="4" t="s">
        <v>26</v>
      </c>
      <c r="R184" s="4">
        <v>0</v>
      </c>
      <c r="S184" s="6">
        <v>13</v>
      </c>
      <c r="T184" s="6">
        <v>15</v>
      </c>
      <c r="U184" s="6">
        <v>65</v>
      </c>
      <c r="V184" s="6">
        <f>IF(ISERROR(VLOOKUP($S$184,'TAR FIN'!$A$1:$O$103,15,0)),0,VLOOKUP($S$184,'TAR FIN'!$A$1:$O$103,15,0))</f>
        <v>31.72</v>
      </c>
      <c r="W184" s="6">
        <f>IF(ISERROR(VLOOKUP($T$184,'TAR FIN'!$A$1:$O$103,15,0)),0,VLOOKUP($T$184,'TAR FIN'!$A$1:$O$103,15,0))</f>
        <v>69.37</v>
      </c>
      <c r="X184" s="6">
        <f>IF(ISERROR(VLOOKUP($U$184,'TAR FIN'!$A$1:$O$103,15,0)),0,VLOOKUP($U$184,'TAR FIN'!$A$1:$O$103,15,0))</f>
        <v>454.9</v>
      </c>
      <c r="Y184" s="6">
        <f ca="1">('TUSD BE'!$AM$15+'TUSD BF'!$AM$15+'TUSD CVA'!$AM$15)*1</f>
        <v>42.424687369311435</v>
      </c>
      <c r="Z184" s="6">
        <f ca="1">('TUSD BE'!$AM$17+'TUSD BF'!$AM$17+'TUSD CVA'!$AM$17)*1</f>
        <v>111.236500713561</v>
      </c>
      <c r="AA184" s="6">
        <f>('TE BE'!$AB$8+'TE BF'!$AB$8+'TE CVA'!$AB$8)*1</f>
        <v>415.05449050541699</v>
      </c>
      <c r="AB184" s="6">
        <f>$K$184*$V$184</f>
        <v>15701.4</v>
      </c>
      <c r="AC184" s="6">
        <f>$M$184*$W$184</f>
        <v>1593.1514200000001</v>
      </c>
      <c r="AD184" s="6">
        <f>$O$184*$X$184</f>
        <v>10447.233399999999</v>
      </c>
      <c r="AE184" s="6">
        <f ca="1">$K$184*$Y$184</f>
        <v>21000.22024780916</v>
      </c>
      <c r="AF184" s="6">
        <f ca="1">$M$184*$Z$184</f>
        <v>2554.6574753876421</v>
      </c>
      <c r="AG184" s="6">
        <f>$O$184*$AA$184</f>
        <v>9532.1414289474069</v>
      </c>
    </row>
    <row r="185" spans="1:33" ht="11.25" customHeight="1" x14ac:dyDescent="0.25">
      <c r="A185" s="4" t="s">
        <v>21</v>
      </c>
      <c r="B185" s="4" t="s">
        <v>33</v>
      </c>
      <c r="C185" s="4" t="s">
        <v>41</v>
      </c>
      <c r="D185" s="4" t="s">
        <v>40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44501</v>
      </c>
      <c r="J185" s="6">
        <v>9058</v>
      </c>
      <c r="K185" s="6">
        <v>9058</v>
      </c>
      <c r="L185" s="6">
        <v>492.63200000000001</v>
      </c>
      <c r="M185" s="6">
        <v>492.63200000000001</v>
      </c>
      <c r="N185" s="6">
        <v>0</v>
      </c>
      <c r="O185" s="6">
        <v>0</v>
      </c>
      <c r="P185" s="6">
        <v>0</v>
      </c>
      <c r="Q185" s="4" t="s">
        <v>53</v>
      </c>
      <c r="R185" s="4">
        <v>0</v>
      </c>
      <c r="S185" s="6">
        <v>13</v>
      </c>
      <c r="T185" s="6">
        <v>15</v>
      </c>
      <c r="U185" s="6">
        <v>0</v>
      </c>
      <c r="V185" s="6">
        <f>IF(ISERROR(VLOOKUP($S$185,'TAR FIN'!$A$1:$O$103,15,0)),0,VLOOKUP($S$185,'TAR FIN'!$A$1:$O$103,15,0))</f>
        <v>31.72</v>
      </c>
      <c r="W185" s="6">
        <f>IF(ISERROR(VLOOKUP($T$185,'TAR FIN'!$A$1:$O$103,15,0)),0,VLOOKUP($T$185,'TAR FIN'!$A$1:$O$103,15,0))</f>
        <v>69.37</v>
      </c>
      <c r="X185" s="6">
        <f>IF(ISERROR(VLOOKUP($U$185,'TAR FIN'!$A$1:$O$103,15,0)),0,VLOOKUP($U$185,'TAR FIN'!$A$1:$O$103,15,0))</f>
        <v>0</v>
      </c>
      <c r="Y185" s="6">
        <f ca="1">('TUSD BE'!$AM$15+'TUSD BF'!$AM$15+'TUSD CVA'!$AM$15)*1</f>
        <v>42.424687369311435</v>
      </c>
      <c r="Z185" s="6">
        <f ca="1">('TUSD BE'!$AM$17+'TUSD BF'!$AM$17+'TUSD CVA'!$AM$17)*1</f>
        <v>111.236500713561</v>
      </c>
      <c r="AA185" s="6"/>
      <c r="AB185" s="6">
        <f>$K$185*$V$185</f>
        <v>287319.76</v>
      </c>
      <c r="AC185" s="6">
        <f>$M$185*$W$185</f>
        <v>34173.881840000002</v>
      </c>
      <c r="AD185" s="6">
        <f>$O$185*$X$185</f>
        <v>0</v>
      </c>
      <c r="AE185" s="6">
        <f ca="1">$K$185*$Y$185</f>
        <v>384282.81819122296</v>
      </c>
      <c r="AF185" s="6">
        <f ca="1">$M$185*$Z$185</f>
        <v>54798.659819522982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33</v>
      </c>
      <c r="C186" s="4" t="s">
        <v>41</v>
      </c>
      <c r="D186" s="4" t="s">
        <v>40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44531</v>
      </c>
      <c r="J186" s="6">
        <v>505</v>
      </c>
      <c r="K186" s="6">
        <v>505</v>
      </c>
      <c r="L186" s="6">
        <v>18.074999999999999</v>
      </c>
      <c r="M186" s="6">
        <v>18.074999999999999</v>
      </c>
      <c r="N186" s="6">
        <v>18.074999999999999</v>
      </c>
      <c r="O186" s="6">
        <v>18.074999999999999</v>
      </c>
      <c r="P186" s="6">
        <v>0</v>
      </c>
      <c r="Q186" s="4" t="s">
        <v>26</v>
      </c>
      <c r="R186" s="4">
        <v>0</v>
      </c>
      <c r="S186" s="6">
        <v>13</v>
      </c>
      <c r="T186" s="6">
        <v>15</v>
      </c>
      <c r="U186" s="6">
        <v>65</v>
      </c>
      <c r="V186" s="6">
        <f>IF(ISERROR(VLOOKUP($S$186,'TAR FIN'!$A$1:$O$103,15,0)),0,VLOOKUP($S$186,'TAR FIN'!$A$1:$O$103,15,0))</f>
        <v>31.72</v>
      </c>
      <c r="W186" s="6">
        <f>IF(ISERROR(VLOOKUP($T$186,'TAR FIN'!$A$1:$O$103,15,0)),0,VLOOKUP($T$186,'TAR FIN'!$A$1:$O$103,15,0))</f>
        <v>69.37</v>
      </c>
      <c r="X186" s="6">
        <f>IF(ISERROR(VLOOKUP($U$186,'TAR FIN'!$A$1:$O$103,15,0)),0,VLOOKUP($U$186,'TAR FIN'!$A$1:$O$103,15,0))</f>
        <v>454.9</v>
      </c>
      <c r="Y186" s="6">
        <f ca="1">('TUSD BE'!$AM$15+'TUSD BF'!$AM$15+'TUSD CVA'!$AM$15)*1</f>
        <v>42.424687369311435</v>
      </c>
      <c r="Z186" s="6">
        <f ca="1">('TUSD BE'!$AM$17+'TUSD BF'!$AM$17+'TUSD CVA'!$AM$17)*1</f>
        <v>111.236500713561</v>
      </c>
      <c r="AA186" s="6">
        <f>('TE BE'!$AB$8+'TE BF'!$AB$8+'TE CVA'!$AB$8)*1</f>
        <v>415.05449050541699</v>
      </c>
      <c r="AB186" s="6">
        <f>$K$186*$V$186</f>
        <v>16018.599999999999</v>
      </c>
      <c r="AC186" s="6">
        <f>$M$186*$W$186</f>
        <v>1253.86275</v>
      </c>
      <c r="AD186" s="6">
        <f>$O$186*$X$186</f>
        <v>8222.3174999999992</v>
      </c>
      <c r="AE186" s="6">
        <f ca="1">$K$186*$Y$186</f>
        <v>21424.467121502275</v>
      </c>
      <c r="AF186" s="6">
        <f ca="1">$M$186*$Z$186</f>
        <v>2010.599750397615</v>
      </c>
      <c r="AG186" s="6">
        <f>$O$186*$AA$186</f>
        <v>7502.1099158854122</v>
      </c>
    </row>
    <row r="187" spans="1:33" ht="11.25" customHeight="1" x14ac:dyDescent="0.25">
      <c r="A187" s="4" t="s">
        <v>21</v>
      </c>
      <c r="B187" s="4" t="s">
        <v>33</v>
      </c>
      <c r="C187" s="4" t="s">
        <v>41</v>
      </c>
      <c r="D187" s="4" t="s">
        <v>40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8989</v>
      </c>
      <c r="K187" s="6">
        <v>8989</v>
      </c>
      <c r="L187" s="6">
        <v>513.66800000000001</v>
      </c>
      <c r="M187" s="6">
        <v>513.66800000000001</v>
      </c>
      <c r="N187" s="6">
        <v>0</v>
      </c>
      <c r="O187" s="6">
        <v>0</v>
      </c>
      <c r="P187" s="6">
        <v>0</v>
      </c>
      <c r="Q187" s="4" t="s">
        <v>53</v>
      </c>
      <c r="R187" s="4">
        <v>0</v>
      </c>
      <c r="S187" s="6">
        <v>13</v>
      </c>
      <c r="T187" s="6">
        <v>15</v>
      </c>
      <c r="U187" s="6">
        <v>0</v>
      </c>
      <c r="V187" s="6">
        <f>IF(ISERROR(VLOOKUP($S$187,'TAR FIN'!$A$1:$O$103,15,0)),0,VLOOKUP($S$187,'TAR FIN'!$A$1:$O$103,15,0))</f>
        <v>31.72</v>
      </c>
      <c r="W187" s="6">
        <f>IF(ISERROR(VLOOKUP($T$187,'TAR FIN'!$A$1:$O$103,15,0)),0,VLOOKUP($T$187,'TAR FIN'!$A$1:$O$103,15,0))</f>
        <v>69.37</v>
      </c>
      <c r="X187" s="6">
        <f>IF(ISERROR(VLOOKUP($U$187,'TAR FIN'!$A$1:$O$103,15,0)),0,VLOOKUP($U$187,'TAR FIN'!$A$1:$O$103,15,0))</f>
        <v>0</v>
      </c>
      <c r="Y187" s="6">
        <f ca="1">('TUSD BE'!$AM$15+'TUSD BF'!$AM$15+'TUSD CVA'!$AM$15)*1</f>
        <v>42.424687369311435</v>
      </c>
      <c r="Z187" s="6">
        <f ca="1">('TUSD BE'!$AM$17+'TUSD BF'!$AM$17+'TUSD CVA'!$AM$17)*1</f>
        <v>111.236500713561</v>
      </c>
      <c r="AA187" s="6"/>
      <c r="AB187" s="6">
        <f>$K$187*$V$187</f>
        <v>285131.08</v>
      </c>
      <c r="AC187" s="6">
        <f>$M$187*$W$187</f>
        <v>35633.149160000001</v>
      </c>
      <c r="AD187" s="6">
        <f>$O$187*$X$187</f>
        <v>0</v>
      </c>
      <c r="AE187" s="6">
        <f ca="1">$K$187*$Y$187</f>
        <v>381355.51476274047</v>
      </c>
      <c r="AF187" s="6">
        <f ca="1">$M$187*$Z$187</f>
        <v>57138.630848533452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33</v>
      </c>
      <c r="C188" s="4" t="s">
        <v>41</v>
      </c>
      <c r="D188" s="4" t="s">
        <v>40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488</v>
      </c>
      <c r="K188" s="6">
        <v>488</v>
      </c>
      <c r="L188" s="6">
        <v>18.401</v>
      </c>
      <c r="M188" s="6">
        <v>18.401</v>
      </c>
      <c r="N188" s="6">
        <v>18.401</v>
      </c>
      <c r="O188" s="6">
        <v>18.401</v>
      </c>
      <c r="P188" s="6">
        <v>0</v>
      </c>
      <c r="Q188" s="4" t="s">
        <v>26</v>
      </c>
      <c r="R188" s="4">
        <v>0</v>
      </c>
      <c r="S188" s="6">
        <v>13</v>
      </c>
      <c r="T188" s="6">
        <v>15</v>
      </c>
      <c r="U188" s="6">
        <v>65</v>
      </c>
      <c r="V188" s="6">
        <f>IF(ISERROR(VLOOKUP($S$188,'TAR FIN'!$A$1:$O$103,15,0)),0,VLOOKUP($S$188,'TAR FIN'!$A$1:$O$103,15,0))</f>
        <v>31.72</v>
      </c>
      <c r="W188" s="6">
        <f>IF(ISERROR(VLOOKUP($T$188,'TAR FIN'!$A$1:$O$103,15,0)),0,VLOOKUP($T$188,'TAR FIN'!$A$1:$O$103,15,0))</f>
        <v>69.37</v>
      </c>
      <c r="X188" s="6">
        <f>IF(ISERROR(VLOOKUP($U$188,'TAR FIN'!$A$1:$O$103,15,0)),0,VLOOKUP($U$188,'TAR FIN'!$A$1:$O$103,15,0))</f>
        <v>454.9</v>
      </c>
      <c r="Y188" s="6">
        <f ca="1">('TUSD BE'!$AM$15+'TUSD BF'!$AM$15+'TUSD CVA'!$AM$15)*1</f>
        <v>42.424687369311435</v>
      </c>
      <c r="Z188" s="6">
        <f ca="1">('TUSD BE'!$AM$17+'TUSD BF'!$AM$17+'TUSD CVA'!$AM$17)*1</f>
        <v>111.236500713561</v>
      </c>
      <c r="AA188" s="6">
        <f>('TE BE'!$AB$8+'TE BF'!$AB$8+'TE CVA'!$AB$8)*1</f>
        <v>415.05449050541699</v>
      </c>
      <c r="AB188" s="6">
        <f>$K$188*$V$188</f>
        <v>15479.359999999999</v>
      </c>
      <c r="AC188" s="6">
        <f>$M$188*$W$188</f>
        <v>1276.4773700000001</v>
      </c>
      <c r="AD188" s="6">
        <f>$O$188*$X$188</f>
        <v>8370.6148999999987</v>
      </c>
      <c r="AE188" s="6">
        <f ca="1">$K$188*$Y$188</f>
        <v>20703.247436223981</v>
      </c>
      <c r="AF188" s="6">
        <f ca="1">$M$188*$Z$188</f>
        <v>2046.862849630236</v>
      </c>
      <c r="AG188" s="6">
        <f>$O$188*$AA$188</f>
        <v>7637.4176797901782</v>
      </c>
    </row>
    <row r="189" spans="1:33" ht="11.25" customHeight="1" x14ac:dyDescent="0.25">
      <c r="A189" s="4" t="s">
        <v>21</v>
      </c>
      <c r="B189" s="4" t="s">
        <v>33</v>
      </c>
      <c r="C189" s="4" t="s">
        <v>41</v>
      </c>
      <c r="D189" s="4" t="s">
        <v>40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44562</v>
      </c>
      <c r="J189" s="6">
        <v>9075</v>
      </c>
      <c r="K189" s="6">
        <v>9075</v>
      </c>
      <c r="L189" s="6">
        <v>507.16899999999998</v>
      </c>
      <c r="M189" s="6">
        <v>507.16899999999998</v>
      </c>
      <c r="N189" s="6">
        <v>0</v>
      </c>
      <c r="O189" s="6">
        <v>0</v>
      </c>
      <c r="P189" s="6">
        <v>0</v>
      </c>
      <c r="Q189" s="4" t="s">
        <v>53</v>
      </c>
      <c r="R189" s="4">
        <v>0</v>
      </c>
      <c r="S189" s="6">
        <v>13</v>
      </c>
      <c r="T189" s="6">
        <v>15</v>
      </c>
      <c r="U189" s="6">
        <v>0</v>
      </c>
      <c r="V189" s="6">
        <f>IF(ISERROR(VLOOKUP($S$189,'TAR FIN'!$A$1:$O$103,15,0)),0,VLOOKUP($S$189,'TAR FIN'!$A$1:$O$103,15,0))</f>
        <v>31.72</v>
      </c>
      <c r="W189" s="6">
        <f>IF(ISERROR(VLOOKUP($T$189,'TAR FIN'!$A$1:$O$103,15,0)),0,VLOOKUP($T$189,'TAR FIN'!$A$1:$O$103,15,0))</f>
        <v>69.37</v>
      </c>
      <c r="X189" s="6">
        <f>IF(ISERROR(VLOOKUP($U$189,'TAR FIN'!$A$1:$O$103,15,0)),0,VLOOKUP($U$189,'TAR FIN'!$A$1:$O$103,15,0))</f>
        <v>0</v>
      </c>
      <c r="Y189" s="6">
        <f ca="1">('TUSD BE'!$AM$15+'TUSD BF'!$AM$15+'TUSD CVA'!$AM$15)*1</f>
        <v>42.424687369311435</v>
      </c>
      <c r="Z189" s="6">
        <f ca="1">('TUSD BE'!$AM$17+'TUSD BF'!$AM$17+'TUSD CVA'!$AM$17)*1</f>
        <v>111.236500713561</v>
      </c>
      <c r="AA189" s="6"/>
      <c r="AB189" s="6">
        <f>$K$189*$V$189</f>
        <v>287859</v>
      </c>
      <c r="AC189" s="6">
        <f>$M$189*$W$189</f>
        <v>35182.313529999999</v>
      </c>
      <c r="AD189" s="6">
        <f>$O$189*$X$189</f>
        <v>0</v>
      </c>
      <c r="AE189" s="6">
        <f ca="1">$K$189*$Y$189</f>
        <v>385004.03787650127</v>
      </c>
      <c r="AF189" s="6">
        <f ca="1">$M$189*$Z$189</f>
        <v>56415.704830396018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33</v>
      </c>
      <c r="C190" s="4" t="s">
        <v>41</v>
      </c>
      <c r="D190" s="4" t="s">
        <v>40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44593</v>
      </c>
      <c r="J190" s="6">
        <v>98</v>
      </c>
      <c r="K190" s="6">
        <v>98</v>
      </c>
      <c r="L190" s="6">
        <v>4.5609999999999999</v>
      </c>
      <c r="M190" s="6">
        <v>4.5609999999999999</v>
      </c>
      <c r="N190" s="6">
        <v>4.5609999999999999</v>
      </c>
      <c r="O190" s="6">
        <v>4.5609999999999999</v>
      </c>
      <c r="P190" s="6">
        <v>0</v>
      </c>
      <c r="Q190" s="4" t="s">
        <v>26</v>
      </c>
      <c r="R190" s="4">
        <v>0</v>
      </c>
      <c r="S190" s="6">
        <v>13</v>
      </c>
      <c r="T190" s="6">
        <v>15</v>
      </c>
      <c r="U190" s="6">
        <v>65</v>
      </c>
      <c r="V190" s="6">
        <f>IF(ISERROR(VLOOKUP($S$190,'TAR FIN'!$A$1:$O$103,15,0)),0,VLOOKUP($S$190,'TAR FIN'!$A$1:$O$103,15,0))</f>
        <v>31.72</v>
      </c>
      <c r="W190" s="6">
        <f>IF(ISERROR(VLOOKUP($T$190,'TAR FIN'!$A$1:$O$103,15,0)),0,VLOOKUP($T$190,'TAR FIN'!$A$1:$O$103,15,0))</f>
        <v>69.37</v>
      </c>
      <c r="X190" s="6">
        <f>IF(ISERROR(VLOOKUP($U$190,'TAR FIN'!$A$1:$O$103,15,0)),0,VLOOKUP($U$190,'TAR FIN'!$A$1:$O$103,15,0))</f>
        <v>454.9</v>
      </c>
      <c r="Y190" s="6">
        <f ca="1">('TUSD BE'!$AM$15+'TUSD BF'!$AM$15+'TUSD CVA'!$AM$15)*1</f>
        <v>42.424687369311435</v>
      </c>
      <c r="Z190" s="6">
        <f ca="1">('TUSD BE'!$AM$17+'TUSD BF'!$AM$17+'TUSD CVA'!$AM$17)*1</f>
        <v>111.236500713561</v>
      </c>
      <c r="AA190" s="6">
        <f>('TE BE'!$AB$8+'TE BF'!$AB$8+'TE CVA'!$AB$8)*1</f>
        <v>415.05449050541699</v>
      </c>
      <c r="AB190" s="6">
        <f>$K$190*$V$190</f>
        <v>3108.56</v>
      </c>
      <c r="AC190" s="6">
        <f>$M$190*$W$190</f>
        <v>316.39657</v>
      </c>
      <c r="AD190" s="6">
        <f>$O$190*$X$190</f>
        <v>2074.7988999999998</v>
      </c>
      <c r="AE190" s="6">
        <f ca="1">$K$190*$Y$190</f>
        <v>4157.6193621925204</v>
      </c>
      <c r="AF190" s="6">
        <f ca="1">$M$190*$Z$190</f>
        <v>507.34967975455169</v>
      </c>
      <c r="AG190" s="6">
        <f>$O$190*$AA$190</f>
        <v>1893.0635311952069</v>
      </c>
    </row>
    <row r="191" spans="1:33" ht="11.25" customHeight="1" x14ac:dyDescent="0.25">
      <c r="A191" s="4" t="s">
        <v>21</v>
      </c>
      <c r="B191" s="4" t="s">
        <v>33</v>
      </c>
      <c r="C191" s="4" t="s">
        <v>41</v>
      </c>
      <c r="D191" s="4" t="s">
        <v>40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44593</v>
      </c>
      <c r="J191" s="6">
        <v>9127</v>
      </c>
      <c r="K191" s="6">
        <v>9127</v>
      </c>
      <c r="L191" s="6">
        <v>498.80099999999999</v>
      </c>
      <c r="M191" s="6">
        <v>498.80099999999999</v>
      </c>
      <c r="N191" s="6">
        <v>0</v>
      </c>
      <c r="O191" s="6">
        <v>0</v>
      </c>
      <c r="P191" s="6">
        <v>0</v>
      </c>
      <c r="Q191" s="4" t="s">
        <v>53</v>
      </c>
      <c r="R191" s="4">
        <v>0</v>
      </c>
      <c r="S191" s="6">
        <v>13</v>
      </c>
      <c r="T191" s="6">
        <v>15</v>
      </c>
      <c r="U191" s="6">
        <v>0</v>
      </c>
      <c r="V191" s="6">
        <f>IF(ISERROR(VLOOKUP($S$191,'TAR FIN'!$A$1:$O$103,15,0)),0,VLOOKUP($S$191,'TAR FIN'!$A$1:$O$103,15,0))</f>
        <v>31.72</v>
      </c>
      <c r="W191" s="6">
        <f>IF(ISERROR(VLOOKUP($T$191,'TAR FIN'!$A$1:$O$103,15,0)),0,VLOOKUP($T$191,'TAR FIN'!$A$1:$O$103,15,0))</f>
        <v>69.37</v>
      </c>
      <c r="X191" s="6">
        <f>IF(ISERROR(VLOOKUP($U$191,'TAR FIN'!$A$1:$O$103,15,0)),0,VLOOKUP($U$191,'TAR FIN'!$A$1:$O$103,15,0))</f>
        <v>0</v>
      </c>
      <c r="Y191" s="6">
        <f ca="1">('TUSD BE'!$AM$15+'TUSD BF'!$AM$15+'TUSD CVA'!$AM$15)*1</f>
        <v>42.424687369311435</v>
      </c>
      <c r="Z191" s="6">
        <f ca="1">('TUSD BE'!$AM$17+'TUSD BF'!$AM$17+'TUSD CVA'!$AM$17)*1</f>
        <v>111.236500713561</v>
      </c>
      <c r="AA191" s="6"/>
      <c r="AB191" s="6">
        <f>$K$191*$V$191</f>
        <v>289508.44</v>
      </c>
      <c r="AC191" s="6">
        <f>$M$191*$W$191</f>
        <v>34601.825369999999</v>
      </c>
      <c r="AD191" s="6">
        <f>$O$191*$X$191</f>
        <v>0</v>
      </c>
      <c r="AE191" s="6">
        <f ca="1">$K$191*$Y$191</f>
        <v>387210.12161970546</v>
      </c>
      <c r="AF191" s="6">
        <f ca="1">$M$191*$Z$191</f>
        <v>55484.877792424937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33</v>
      </c>
      <c r="C192" s="4" t="s">
        <v>41</v>
      </c>
      <c r="D192" s="4" t="s">
        <v>40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44621</v>
      </c>
      <c r="J192" s="6">
        <v>89</v>
      </c>
      <c r="K192" s="6">
        <v>89</v>
      </c>
      <c r="L192" s="6">
        <v>4.7130000000000001</v>
      </c>
      <c r="M192" s="6">
        <v>4.7130000000000001</v>
      </c>
      <c r="N192" s="6">
        <v>4.7130000000000001</v>
      </c>
      <c r="O192" s="6">
        <v>4.7130000000000001</v>
      </c>
      <c r="P192" s="6">
        <v>0</v>
      </c>
      <c r="Q192" s="4" t="s">
        <v>26</v>
      </c>
      <c r="R192" s="4">
        <v>0</v>
      </c>
      <c r="S192" s="6">
        <v>13</v>
      </c>
      <c r="T192" s="6">
        <v>15</v>
      </c>
      <c r="U192" s="6">
        <v>65</v>
      </c>
      <c r="V192" s="6">
        <f>IF(ISERROR(VLOOKUP($S$192,'TAR FIN'!$A$1:$O$103,15,0)),0,VLOOKUP($S$192,'TAR FIN'!$A$1:$O$103,15,0))</f>
        <v>31.72</v>
      </c>
      <c r="W192" s="6">
        <f>IF(ISERROR(VLOOKUP($T$192,'TAR FIN'!$A$1:$O$103,15,0)),0,VLOOKUP($T$192,'TAR FIN'!$A$1:$O$103,15,0))</f>
        <v>69.37</v>
      </c>
      <c r="X192" s="6">
        <f>IF(ISERROR(VLOOKUP($U$192,'TAR FIN'!$A$1:$O$103,15,0)),0,VLOOKUP($U$192,'TAR FIN'!$A$1:$O$103,15,0))</f>
        <v>454.9</v>
      </c>
      <c r="Y192" s="6">
        <f ca="1">('TUSD BE'!$AM$15+'TUSD BF'!$AM$15+'TUSD CVA'!$AM$15)*1</f>
        <v>42.424687369311435</v>
      </c>
      <c r="Z192" s="6">
        <f ca="1">('TUSD BE'!$AM$17+'TUSD BF'!$AM$17+'TUSD CVA'!$AM$17)*1</f>
        <v>111.236500713561</v>
      </c>
      <c r="AA192" s="6">
        <f>('TE BE'!$AB$8+'TE BF'!$AB$8+'TE CVA'!$AB$8)*1</f>
        <v>415.05449050541699</v>
      </c>
      <c r="AB192" s="6">
        <f>$K$192*$V$192</f>
        <v>2823.08</v>
      </c>
      <c r="AC192" s="6">
        <f>$M$192*$W$192</f>
        <v>326.94081</v>
      </c>
      <c r="AD192" s="6">
        <f>$O$192*$X$192</f>
        <v>2143.9436999999998</v>
      </c>
      <c r="AE192" s="6">
        <f ca="1">$K$192*$Y$192</f>
        <v>3775.7971758687177</v>
      </c>
      <c r="AF192" s="6">
        <f ca="1">$M$192*$Z$192</f>
        <v>524.257627863013</v>
      </c>
      <c r="AG192" s="6">
        <f>$O$192*$AA$192</f>
        <v>1956.1518137520304</v>
      </c>
    </row>
    <row r="193" spans="1:33" ht="11.25" customHeight="1" x14ac:dyDescent="0.25">
      <c r="A193" s="4" t="s">
        <v>21</v>
      </c>
      <c r="B193" s="4" t="s">
        <v>33</v>
      </c>
      <c r="C193" s="4" t="s">
        <v>41</v>
      </c>
      <c r="D193" s="4" t="s">
        <v>40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44621</v>
      </c>
      <c r="J193" s="6">
        <v>9000</v>
      </c>
      <c r="K193" s="6">
        <v>9000</v>
      </c>
      <c r="L193" s="6">
        <v>445.197</v>
      </c>
      <c r="M193" s="6">
        <v>445.197</v>
      </c>
      <c r="N193" s="6">
        <v>0</v>
      </c>
      <c r="O193" s="6">
        <v>0</v>
      </c>
      <c r="P193" s="6">
        <v>0</v>
      </c>
      <c r="Q193" s="4" t="s">
        <v>53</v>
      </c>
      <c r="R193" s="4">
        <v>0</v>
      </c>
      <c r="S193" s="6">
        <v>13</v>
      </c>
      <c r="T193" s="6">
        <v>15</v>
      </c>
      <c r="U193" s="6">
        <v>0</v>
      </c>
      <c r="V193" s="6">
        <f>IF(ISERROR(VLOOKUP($S$193,'TAR FIN'!$A$1:$O$103,15,0)),0,VLOOKUP($S$193,'TAR FIN'!$A$1:$O$103,15,0))</f>
        <v>31.72</v>
      </c>
      <c r="W193" s="6">
        <f>IF(ISERROR(VLOOKUP($T$193,'TAR FIN'!$A$1:$O$103,15,0)),0,VLOOKUP($T$193,'TAR FIN'!$A$1:$O$103,15,0))</f>
        <v>69.37</v>
      </c>
      <c r="X193" s="6">
        <f>IF(ISERROR(VLOOKUP($U$193,'TAR FIN'!$A$1:$O$103,15,0)),0,VLOOKUP($U$193,'TAR FIN'!$A$1:$O$103,15,0))</f>
        <v>0</v>
      </c>
      <c r="Y193" s="6">
        <f ca="1">('TUSD BE'!$AM$15+'TUSD BF'!$AM$15+'TUSD CVA'!$AM$15)*1</f>
        <v>42.424687369311435</v>
      </c>
      <c r="Z193" s="6">
        <f ca="1">('TUSD BE'!$AM$17+'TUSD BF'!$AM$17+'TUSD CVA'!$AM$17)*1</f>
        <v>111.236500713561</v>
      </c>
      <c r="AA193" s="6"/>
      <c r="AB193" s="6">
        <f>$K$193*$V$193</f>
        <v>285480</v>
      </c>
      <c r="AC193" s="6">
        <f>$M$193*$W$193</f>
        <v>30883.315890000002</v>
      </c>
      <c r="AD193" s="6">
        <f>$O$193*$X$193</f>
        <v>0</v>
      </c>
      <c r="AE193" s="6">
        <f ca="1">$K$193*$Y$193</f>
        <v>381822.18632380292</v>
      </c>
      <c r="AF193" s="6">
        <f ca="1">$M$193*$Z$193</f>
        <v>49522.156408175215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33</v>
      </c>
      <c r="C194" s="4" t="s">
        <v>41</v>
      </c>
      <c r="D194" s="4" t="s">
        <v>40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44652</v>
      </c>
      <c r="J194" s="6">
        <v>99</v>
      </c>
      <c r="K194" s="6">
        <v>99</v>
      </c>
      <c r="L194" s="6">
        <v>4.2839999999999998</v>
      </c>
      <c r="M194" s="6">
        <v>4.2839999999999998</v>
      </c>
      <c r="N194" s="6">
        <v>4.2839999999999998</v>
      </c>
      <c r="O194" s="6">
        <v>4.2839999999999998</v>
      </c>
      <c r="P194" s="6">
        <v>0</v>
      </c>
      <c r="Q194" s="4" t="s">
        <v>26</v>
      </c>
      <c r="R194" s="4">
        <v>0</v>
      </c>
      <c r="S194" s="6">
        <v>13</v>
      </c>
      <c r="T194" s="6">
        <v>15</v>
      </c>
      <c r="U194" s="6">
        <v>65</v>
      </c>
      <c r="V194" s="6">
        <f>IF(ISERROR(VLOOKUP($S$194,'TAR FIN'!$A$1:$O$103,15,0)),0,VLOOKUP($S$194,'TAR FIN'!$A$1:$O$103,15,0))</f>
        <v>31.72</v>
      </c>
      <c r="W194" s="6">
        <f>IF(ISERROR(VLOOKUP($T$194,'TAR FIN'!$A$1:$O$103,15,0)),0,VLOOKUP($T$194,'TAR FIN'!$A$1:$O$103,15,0))</f>
        <v>69.37</v>
      </c>
      <c r="X194" s="6">
        <f>IF(ISERROR(VLOOKUP($U$194,'TAR FIN'!$A$1:$O$103,15,0)),0,VLOOKUP($U$194,'TAR FIN'!$A$1:$O$103,15,0))</f>
        <v>454.9</v>
      </c>
      <c r="Y194" s="6">
        <f ca="1">('TUSD BE'!$AM$15+'TUSD BF'!$AM$15+'TUSD CVA'!$AM$15)*1</f>
        <v>42.424687369311435</v>
      </c>
      <c r="Z194" s="6">
        <f ca="1">('TUSD BE'!$AM$17+'TUSD BF'!$AM$17+'TUSD CVA'!$AM$17)*1</f>
        <v>111.236500713561</v>
      </c>
      <c r="AA194" s="6">
        <f>('TE BE'!$AB$8+'TE BF'!$AB$8+'TE CVA'!$AB$8)*1</f>
        <v>415.05449050541699</v>
      </c>
      <c r="AB194" s="6">
        <f>$K$194*$V$194</f>
        <v>3140.2799999999997</v>
      </c>
      <c r="AC194" s="6">
        <f>$M$194*$W$194</f>
        <v>297.18108000000001</v>
      </c>
      <c r="AD194" s="6">
        <f>$O$194*$X$194</f>
        <v>1948.7915999999998</v>
      </c>
      <c r="AE194" s="6">
        <f ca="1">$K$194*$Y$194</f>
        <v>4200.0440495618323</v>
      </c>
      <c r="AF194" s="6">
        <f ca="1">$M$194*$Z$194</f>
        <v>476.53716905689532</v>
      </c>
      <c r="AG194" s="6">
        <f>$O$194*$AA$194</f>
        <v>1778.0934373252064</v>
      </c>
    </row>
    <row r="195" spans="1:33" ht="11.25" customHeight="1" x14ac:dyDescent="0.25">
      <c r="A195" s="4" t="s">
        <v>21</v>
      </c>
      <c r="B195" s="4" t="s">
        <v>33</v>
      </c>
      <c r="C195" s="4" t="s">
        <v>41</v>
      </c>
      <c r="D195" s="4" t="s">
        <v>40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44652</v>
      </c>
      <c r="J195" s="6">
        <v>9455</v>
      </c>
      <c r="K195" s="6">
        <v>9455</v>
      </c>
      <c r="L195" s="6">
        <v>539.15800000000002</v>
      </c>
      <c r="M195" s="6">
        <v>539.15800000000002</v>
      </c>
      <c r="N195" s="6">
        <v>0</v>
      </c>
      <c r="O195" s="6">
        <v>0</v>
      </c>
      <c r="P195" s="6">
        <v>0</v>
      </c>
      <c r="Q195" s="4" t="s">
        <v>53</v>
      </c>
      <c r="R195" s="4">
        <v>0</v>
      </c>
      <c r="S195" s="6">
        <v>13</v>
      </c>
      <c r="T195" s="6">
        <v>15</v>
      </c>
      <c r="U195" s="6">
        <v>0</v>
      </c>
      <c r="V195" s="6">
        <f>IF(ISERROR(VLOOKUP($S$195,'TAR FIN'!$A$1:$O$103,15,0)),0,VLOOKUP($S$195,'TAR FIN'!$A$1:$O$103,15,0))</f>
        <v>31.72</v>
      </c>
      <c r="W195" s="6">
        <f>IF(ISERROR(VLOOKUP($T$195,'TAR FIN'!$A$1:$O$103,15,0)),0,VLOOKUP($T$195,'TAR FIN'!$A$1:$O$103,15,0))</f>
        <v>69.37</v>
      </c>
      <c r="X195" s="6">
        <f>IF(ISERROR(VLOOKUP($U$195,'TAR FIN'!$A$1:$O$103,15,0)),0,VLOOKUP($U$195,'TAR FIN'!$A$1:$O$103,15,0))</f>
        <v>0</v>
      </c>
      <c r="Y195" s="6">
        <f ca="1">('TUSD BE'!$AM$15+'TUSD BF'!$AM$15+'TUSD CVA'!$AM$15)*1</f>
        <v>42.424687369311435</v>
      </c>
      <c r="Z195" s="6">
        <f ca="1">('TUSD BE'!$AM$17+'TUSD BF'!$AM$17+'TUSD CVA'!$AM$17)*1</f>
        <v>111.236500713561</v>
      </c>
      <c r="AA195" s="6"/>
      <c r="AB195" s="6">
        <f>$K$195*$V$195</f>
        <v>299912.59999999998</v>
      </c>
      <c r="AC195" s="6">
        <f>$M$195*$W$195</f>
        <v>37401.390460000002</v>
      </c>
      <c r="AD195" s="6">
        <f>$O$195*$X$195</f>
        <v>0</v>
      </c>
      <c r="AE195" s="6">
        <f ca="1">$K$195*$Y$195</f>
        <v>401125.41907683964</v>
      </c>
      <c r="AF195" s="6">
        <f ca="1">$M$195*$Z$195</f>
        <v>59974.049251722121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33</v>
      </c>
      <c r="C196" s="4" t="s">
        <v>41</v>
      </c>
      <c r="D196" s="4" t="s">
        <v>40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44682</v>
      </c>
      <c r="J196" s="6">
        <v>92</v>
      </c>
      <c r="K196" s="6">
        <v>92</v>
      </c>
      <c r="L196" s="6">
        <v>4.9260000000000002</v>
      </c>
      <c r="M196" s="6">
        <v>4.9260000000000002</v>
      </c>
      <c r="N196" s="6">
        <v>4.9260000000000002</v>
      </c>
      <c r="O196" s="6">
        <v>4.9260000000000002</v>
      </c>
      <c r="P196" s="6">
        <v>0</v>
      </c>
      <c r="Q196" s="4" t="s">
        <v>26</v>
      </c>
      <c r="R196" s="4">
        <v>0</v>
      </c>
      <c r="S196" s="6">
        <v>13</v>
      </c>
      <c r="T196" s="6">
        <v>15</v>
      </c>
      <c r="U196" s="6">
        <v>65</v>
      </c>
      <c r="V196" s="6">
        <f>IF(ISERROR(VLOOKUP($S$196,'TAR FIN'!$A$1:$O$103,15,0)),0,VLOOKUP($S$196,'TAR FIN'!$A$1:$O$103,15,0))</f>
        <v>31.72</v>
      </c>
      <c r="W196" s="6">
        <f>IF(ISERROR(VLOOKUP($T$196,'TAR FIN'!$A$1:$O$103,15,0)),0,VLOOKUP($T$196,'TAR FIN'!$A$1:$O$103,15,0))</f>
        <v>69.37</v>
      </c>
      <c r="X196" s="6">
        <f>IF(ISERROR(VLOOKUP($U$196,'TAR FIN'!$A$1:$O$103,15,0)),0,VLOOKUP($U$196,'TAR FIN'!$A$1:$O$103,15,0))</f>
        <v>454.9</v>
      </c>
      <c r="Y196" s="6">
        <f ca="1">('TUSD BE'!$AM$15+'TUSD BF'!$AM$15+'TUSD CVA'!$AM$15)*1</f>
        <v>42.424687369311435</v>
      </c>
      <c r="Z196" s="6">
        <f ca="1">('TUSD BE'!$AM$17+'TUSD BF'!$AM$17+'TUSD CVA'!$AM$17)*1</f>
        <v>111.236500713561</v>
      </c>
      <c r="AA196" s="6">
        <f>('TE BE'!$AB$8+'TE BF'!$AB$8+'TE CVA'!$AB$8)*1</f>
        <v>415.05449050541699</v>
      </c>
      <c r="AB196" s="6">
        <f>$K$196*$V$196</f>
        <v>2918.24</v>
      </c>
      <c r="AC196" s="6">
        <f>$M$196*$W$196</f>
        <v>341.71662000000003</v>
      </c>
      <c r="AD196" s="6">
        <f>$O$196*$X$196</f>
        <v>2240.8373999999999</v>
      </c>
      <c r="AE196" s="6">
        <f ca="1">$K$196*$Y$196</f>
        <v>3903.0712379766519</v>
      </c>
      <c r="AF196" s="6">
        <f ca="1">$M$196*$Z$196</f>
        <v>547.95100251500151</v>
      </c>
      <c r="AG196" s="6">
        <f>$O$196*$AA$196</f>
        <v>2044.5584202296841</v>
      </c>
    </row>
    <row r="197" spans="1:33" ht="11.25" customHeight="1" x14ac:dyDescent="0.25">
      <c r="A197" s="4" t="s">
        <v>21</v>
      </c>
      <c r="B197" s="4" t="s">
        <v>33</v>
      </c>
      <c r="C197" s="4" t="s">
        <v>41</v>
      </c>
      <c r="D197" s="4" t="s">
        <v>40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44682</v>
      </c>
      <c r="J197" s="6">
        <v>9000</v>
      </c>
      <c r="K197" s="6">
        <v>9000</v>
      </c>
      <c r="L197" s="6">
        <v>455.83199999999999</v>
      </c>
      <c r="M197" s="6">
        <v>455.83199999999999</v>
      </c>
      <c r="N197" s="6">
        <v>0</v>
      </c>
      <c r="O197" s="6">
        <v>0</v>
      </c>
      <c r="P197" s="6">
        <v>0</v>
      </c>
      <c r="Q197" s="4" t="s">
        <v>53</v>
      </c>
      <c r="R197" s="4">
        <v>0</v>
      </c>
      <c r="S197" s="6">
        <v>13</v>
      </c>
      <c r="T197" s="6">
        <v>15</v>
      </c>
      <c r="U197" s="6">
        <v>0</v>
      </c>
      <c r="V197" s="6">
        <f>IF(ISERROR(VLOOKUP($S$197,'TAR FIN'!$A$1:$O$103,15,0)),0,VLOOKUP($S$197,'TAR FIN'!$A$1:$O$103,15,0))</f>
        <v>31.72</v>
      </c>
      <c r="W197" s="6">
        <f>IF(ISERROR(VLOOKUP($T$197,'TAR FIN'!$A$1:$O$103,15,0)),0,VLOOKUP($T$197,'TAR FIN'!$A$1:$O$103,15,0))</f>
        <v>69.37</v>
      </c>
      <c r="X197" s="6">
        <f>IF(ISERROR(VLOOKUP($U$197,'TAR FIN'!$A$1:$O$103,15,0)),0,VLOOKUP($U$197,'TAR FIN'!$A$1:$O$103,15,0))</f>
        <v>0</v>
      </c>
      <c r="Y197" s="6">
        <f ca="1">('TUSD BE'!$AM$15+'TUSD BF'!$AM$15+'TUSD CVA'!$AM$15)*1</f>
        <v>42.424687369311435</v>
      </c>
      <c r="Z197" s="6">
        <f ca="1">('TUSD BE'!$AM$17+'TUSD BF'!$AM$17+'TUSD CVA'!$AM$17)*1</f>
        <v>111.236500713561</v>
      </c>
      <c r="AA197" s="6"/>
      <c r="AB197" s="6">
        <f>$K$197*$V$197</f>
        <v>285480</v>
      </c>
      <c r="AC197" s="6">
        <f>$M$197*$W$197</f>
        <v>31621.065840000003</v>
      </c>
      <c r="AD197" s="6">
        <f>$O$197*$X$197</f>
        <v>0</v>
      </c>
      <c r="AE197" s="6">
        <f ca="1">$K$197*$Y$197</f>
        <v>381822.18632380292</v>
      </c>
      <c r="AF197" s="6">
        <f ca="1">$M$197*$Z$197</f>
        <v>50705.156593263935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33</v>
      </c>
      <c r="C198" s="4" t="s">
        <v>41</v>
      </c>
      <c r="D198" s="4" t="s">
        <v>46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44348</v>
      </c>
      <c r="J198" s="6">
        <v>229</v>
      </c>
      <c r="K198" s="6">
        <v>229</v>
      </c>
      <c r="L198" s="6">
        <v>68.180000000000007</v>
      </c>
      <c r="M198" s="6">
        <v>68.180000000000007</v>
      </c>
      <c r="N198" s="6">
        <v>68.180000000000007</v>
      </c>
      <c r="O198" s="6">
        <v>68.180000000000007</v>
      </c>
      <c r="P198" s="6">
        <v>0</v>
      </c>
      <c r="Q198" s="4" t="s">
        <v>26</v>
      </c>
      <c r="R198" s="4">
        <v>0</v>
      </c>
      <c r="S198" s="6">
        <v>14</v>
      </c>
      <c r="T198" s="6">
        <v>15</v>
      </c>
      <c r="U198" s="6">
        <v>66</v>
      </c>
      <c r="V198" s="6">
        <f>IF(ISERROR(VLOOKUP($S$198,'TAR FIN'!$A$1:$O$103,15,0)),0,VLOOKUP($S$198,'TAR FIN'!$A$1:$O$103,15,0))</f>
        <v>12.42</v>
      </c>
      <c r="W198" s="6">
        <f>IF(ISERROR(VLOOKUP($T$198,'TAR FIN'!$A$1:$O$103,15,0)),0,VLOOKUP($T$198,'TAR FIN'!$A$1:$O$103,15,0))</f>
        <v>69.37</v>
      </c>
      <c r="X198" s="6">
        <f>IF(ISERROR(VLOOKUP($U$198,'TAR FIN'!$A$1:$O$103,15,0)),0,VLOOKUP($U$198,'TAR FIN'!$A$1:$O$103,15,0))</f>
        <v>284.36</v>
      </c>
      <c r="Y198" s="6">
        <f ca="1">('TUSD BE'!$AM$16+'TUSD BF'!$AM$16+'TUSD CVA'!$AM$16)*1</f>
        <v>16.518304697547443</v>
      </c>
      <c r="Z198" s="6">
        <f ca="1">('TUSD BE'!$AM$17+'TUSD BF'!$AM$17+'TUSD CVA'!$AM$17)*1</f>
        <v>111.236500713561</v>
      </c>
      <c r="AA198" s="6">
        <f>('TE BE'!$AB$9+'TE BF'!$AB$9+'TE CVA'!$AB$9)*1</f>
        <v>259.03677522481752</v>
      </c>
      <c r="AB198" s="6">
        <f>$K$198*$V$198</f>
        <v>2844.18</v>
      </c>
      <c r="AC198" s="6">
        <f>$M$198*$W$198</f>
        <v>4729.6466000000009</v>
      </c>
      <c r="AD198" s="6">
        <f>$O$198*$X$198</f>
        <v>19387.664800000002</v>
      </c>
      <c r="AE198" s="6">
        <f ca="1">$K$198*$Y$198</f>
        <v>3782.6917757383644</v>
      </c>
      <c r="AF198" s="6">
        <f ca="1">$M$198*$Z$198</f>
        <v>7584.1046186505901</v>
      </c>
      <c r="AG198" s="6">
        <f>$O$198*$AA$198</f>
        <v>17661.127334828059</v>
      </c>
    </row>
    <row r="199" spans="1:33" ht="11.25" customHeight="1" x14ac:dyDescent="0.25">
      <c r="A199" s="4" t="s">
        <v>21</v>
      </c>
      <c r="B199" s="4" t="s">
        <v>33</v>
      </c>
      <c r="C199" s="4" t="s">
        <v>41</v>
      </c>
      <c r="D199" s="4" t="s">
        <v>46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44378</v>
      </c>
      <c r="J199" s="6">
        <v>202</v>
      </c>
      <c r="K199" s="6">
        <v>202</v>
      </c>
      <c r="L199" s="6">
        <v>75.519000000000005</v>
      </c>
      <c r="M199" s="6">
        <v>75.519000000000005</v>
      </c>
      <c r="N199" s="6">
        <v>75.519000000000005</v>
      </c>
      <c r="O199" s="6">
        <v>75.519000000000005</v>
      </c>
      <c r="P199" s="6">
        <v>0</v>
      </c>
      <c r="Q199" s="4" t="s">
        <v>26</v>
      </c>
      <c r="R199" s="4">
        <v>0</v>
      </c>
      <c r="S199" s="6">
        <v>14</v>
      </c>
      <c r="T199" s="6">
        <v>15</v>
      </c>
      <c r="U199" s="6">
        <v>66</v>
      </c>
      <c r="V199" s="6">
        <f>IF(ISERROR(VLOOKUP($S$199,'TAR FIN'!$A$1:$O$103,15,0)),0,VLOOKUP($S$199,'TAR FIN'!$A$1:$O$103,15,0))</f>
        <v>12.42</v>
      </c>
      <c r="W199" s="6">
        <f>IF(ISERROR(VLOOKUP($T$199,'TAR FIN'!$A$1:$O$103,15,0)),0,VLOOKUP($T$199,'TAR FIN'!$A$1:$O$103,15,0))</f>
        <v>69.37</v>
      </c>
      <c r="X199" s="6">
        <f>IF(ISERROR(VLOOKUP($U$199,'TAR FIN'!$A$1:$O$103,15,0)),0,VLOOKUP($U$199,'TAR FIN'!$A$1:$O$103,15,0))</f>
        <v>284.36</v>
      </c>
      <c r="Y199" s="6">
        <f ca="1">('TUSD BE'!$AM$16+'TUSD BF'!$AM$16+'TUSD CVA'!$AM$16)*1</f>
        <v>16.518304697547443</v>
      </c>
      <c r="Z199" s="6">
        <f ca="1">('TUSD BE'!$AM$17+'TUSD BF'!$AM$17+'TUSD CVA'!$AM$17)*1</f>
        <v>111.236500713561</v>
      </c>
      <c r="AA199" s="6">
        <f>('TE BE'!$AB$9+'TE BF'!$AB$9+'TE CVA'!$AB$9)*1</f>
        <v>259.03677522481752</v>
      </c>
      <c r="AB199" s="6">
        <f>$K$199*$V$199</f>
        <v>2508.84</v>
      </c>
      <c r="AC199" s="6">
        <f>$M$199*$W$199</f>
        <v>5238.7530300000008</v>
      </c>
      <c r="AD199" s="6">
        <f>$O$199*$X$199</f>
        <v>21474.582840000003</v>
      </c>
      <c r="AE199" s="6">
        <f ca="1">$K$199*$Y$199</f>
        <v>3336.6975489045835</v>
      </c>
      <c r="AF199" s="6">
        <f ca="1">$M$199*$Z$199</f>
        <v>8400.4692973874135</v>
      </c>
      <c r="AG199" s="6">
        <f>$O$199*$AA$199</f>
        <v>19562.198228202997</v>
      </c>
    </row>
    <row r="200" spans="1:33" ht="11.25" customHeight="1" x14ac:dyDescent="0.25">
      <c r="A200" s="4" t="s">
        <v>21</v>
      </c>
      <c r="B200" s="4" t="s">
        <v>33</v>
      </c>
      <c r="C200" s="4" t="s">
        <v>41</v>
      </c>
      <c r="D200" s="4" t="s">
        <v>46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44409</v>
      </c>
      <c r="J200" s="6">
        <v>180</v>
      </c>
      <c r="K200" s="6">
        <v>180</v>
      </c>
      <c r="L200" s="6">
        <v>66.025000000000006</v>
      </c>
      <c r="M200" s="6">
        <v>66.025000000000006</v>
      </c>
      <c r="N200" s="6">
        <v>66.025000000000006</v>
      </c>
      <c r="O200" s="6">
        <v>66.025000000000006</v>
      </c>
      <c r="P200" s="6">
        <v>0</v>
      </c>
      <c r="Q200" s="4" t="s">
        <v>26</v>
      </c>
      <c r="R200" s="4">
        <v>0</v>
      </c>
      <c r="S200" s="6">
        <v>14</v>
      </c>
      <c r="T200" s="6">
        <v>15</v>
      </c>
      <c r="U200" s="6">
        <v>66</v>
      </c>
      <c r="V200" s="6">
        <f>IF(ISERROR(VLOOKUP($S$200,'TAR FIN'!$A$1:$O$103,15,0)),0,VLOOKUP($S$200,'TAR FIN'!$A$1:$O$103,15,0))</f>
        <v>12.42</v>
      </c>
      <c r="W200" s="6">
        <f>IF(ISERROR(VLOOKUP($T$200,'TAR FIN'!$A$1:$O$103,15,0)),0,VLOOKUP($T$200,'TAR FIN'!$A$1:$O$103,15,0))</f>
        <v>69.37</v>
      </c>
      <c r="X200" s="6">
        <f>IF(ISERROR(VLOOKUP($U$200,'TAR FIN'!$A$1:$O$103,15,0)),0,VLOOKUP($U$200,'TAR FIN'!$A$1:$O$103,15,0))</f>
        <v>284.36</v>
      </c>
      <c r="Y200" s="6">
        <f ca="1">('TUSD BE'!$AM$16+'TUSD BF'!$AM$16+'TUSD CVA'!$AM$16)*1</f>
        <v>16.518304697547443</v>
      </c>
      <c r="Z200" s="6">
        <f ca="1">('TUSD BE'!$AM$17+'TUSD BF'!$AM$17+'TUSD CVA'!$AM$17)*1</f>
        <v>111.236500713561</v>
      </c>
      <c r="AA200" s="6">
        <f>('TE BE'!$AB$9+'TE BF'!$AB$9+'TE CVA'!$AB$9)*1</f>
        <v>259.03677522481752</v>
      </c>
      <c r="AB200" s="6">
        <f>$K$200*$V$200</f>
        <v>2235.6</v>
      </c>
      <c r="AC200" s="6">
        <f>$M$200*$W$200</f>
        <v>4580.1542500000005</v>
      </c>
      <c r="AD200" s="6">
        <f>$O$200*$X$200</f>
        <v>18774.869000000002</v>
      </c>
      <c r="AE200" s="6">
        <f ca="1">$K$200*$Y$200</f>
        <v>2973.2948455585397</v>
      </c>
      <c r="AF200" s="6">
        <f ca="1">$M$200*$Z$200</f>
        <v>7344.3899596128658</v>
      </c>
      <c r="AG200" s="6">
        <f>$O$200*$AA$200</f>
        <v>17102.903084218578</v>
      </c>
    </row>
    <row r="201" spans="1:33" ht="11.25" customHeight="1" x14ac:dyDescent="0.25">
      <c r="A201" s="4" t="s">
        <v>21</v>
      </c>
      <c r="B201" s="4" t="s">
        <v>33</v>
      </c>
      <c r="C201" s="4" t="s">
        <v>41</v>
      </c>
      <c r="D201" s="4" t="s">
        <v>46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44440</v>
      </c>
      <c r="J201" s="6">
        <v>180</v>
      </c>
      <c r="K201" s="6">
        <v>180</v>
      </c>
      <c r="L201" s="6">
        <v>61.225999999999999</v>
      </c>
      <c r="M201" s="6">
        <v>61.225999999999999</v>
      </c>
      <c r="N201" s="6">
        <v>61.225999999999999</v>
      </c>
      <c r="O201" s="6">
        <v>61.225999999999999</v>
      </c>
      <c r="P201" s="6">
        <v>0</v>
      </c>
      <c r="Q201" s="4" t="s">
        <v>26</v>
      </c>
      <c r="R201" s="4">
        <v>0</v>
      </c>
      <c r="S201" s="6">
        <v>14</v>
      </c>
      <c r="T201" s="6">
        <v>15</v>
      </c>
      <c r="U201" s="6">
        <v>66</v>
      </c>
      <c r="V201" s="6">
        <f>IF(ISERROR(VLOOKUP($S$201,'TAR FIN'!$A$1:$O$103,15,0)),0,VLOOKUP($S$201,'TAR FIN'!$A$1:$O$103,15,0))</f>
        <v>12.42</v>
      </c>
      <c r="W201" s="6">
        <f>IF(ISERROR(VLOOKUP($T$201,'TAR FIN'!$A$1:$O$103,15,0)),0,VLOOKUP($T$201,'TAR FIN'!$A$1:$O$103,15,0))</f>
        <v>69.37</v>
      </c>
      <c r="X201" s="6">
        <f>IF(ISERROR(VLOOKUP($U$201,'TAR FIN'!$A$1:$O$103,15,0)),0,VLOOKUP($U$201,'TAR FIN'!$A$1:$O$103,15,0))</f>
        <v>284.36</v>
      </c>
      <c r="Y201" s="6">
        <f ca="1">('TUSD BE'!$AM$16+'TUSD BF'!$AM$16+'TUSD CVA'!$AM$16)*1</f>
        <v>16.518304697547443</v>
      </c>
      <c r="Z201" s="6">
        <f ca="1">('TUSD BE'!$AM$17+'TUSD BF'!$AM$17+'TUSD CVA'!$AM$17)*1</f>
        <v>111.236500713561</v>
      </c>
      <c r="AA201" s="6">
        <f>('TE BE'!$AB$9+'TE BF'!$AB$9+'TE CVA'!$AB$9)*1</f>
        <v>259.03677522481752</v>
      </c>
      <c r="AB201" s="6">
        <f>$K$201*$V$201</f>
        <v>2235.6</v>
      </c>
      <c r="AC201" s="6">
        <f>$M$201*$W$201</f>
        <v>4247.2476200000001</v>
      </c>
      <c r="AD201" s="6">
        <f>$O$201*$X$201</f>
        <v>17410.22536</v>
      </c>
      <c r="AE201" s="6">
        <f ca="1">$K$201*$Y$201</f>
        <v>2973.2948455585397</v>
      </c>
      <c r="AF201" s="6">
        <f ca="1">$M$201*$Z$201</f>
        <v>6810.5659926884855</v>
      </c>
      <c r="AG201" s="6">
        <f>$O$201*$AA$201</f>
        <v>15859.785599914678</v>
      </c>
    </row>
    <row r="202" spans="1:33" ht="11.25" customHeight="1" x14ac:dyDescent="0.25">
      <c r="A202" s="4" t="s">
        <v>21</v>
      </c>
      <c r="B202" s="4" t="s">
        <v>33</v>
      </c>
      <c r="C202" s="4" t="s">
        <v>41</v>
      </c>
      <c r="D202" s="4" t="s">
        <v>46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44470</v>
      </c>
      <c r="J202" s="6">
        <v>165</v>
      </c>
      <c r="K202" s="6">
        <v>165</v>
      </c>
      <c r="L202" s="6">
        <v>52.749000000000002</v>
      </c>
      <c r="M202" s="6">
        <v>52.749000000000002</v>
      </c>
      <c r="N202" s="6">
        <v>52.749000000000002</v>
      </c>
      <c r="O202" s="6">
        <v>52.749000000000002</v>
      </c>
      <c r="P202" s="6">
        <v>0</v>
      </c>
      <c r="Q202" s="4" t="s">
        <v>26</v>
      </c>
      <c r="R202" s="4">
        <v>0</v>
      </c>
      <c r="S202" s="6">
        <v>14</v>
      </c>
      <c r="T202" s="6">
        <v>15</v>
      </c>
      <c r="U202" s="6">
        <v>66</v>
      </c>
      <c r="V202" s="6">
        <f>IF(ISERROR(VLOOKUP($S$202,'TAR FIN'!$A$1:$O$103,15,0)),0,VLOOKUP($S$202,'TAR FIN'!$A$1:$O$103,15,0))</f>
        <v>12.42</v>
      </c>
      <c r="W202" s="6">
        <f>IF(ISERROR(VLOOKUP($T$202,'TAR FIN'!$A$1:$O$103,15,0)),0,VLOOKUP($T$202,'TAR FIN'!$A$1:$O$103,15,0))</f>
        <v>69.37</v>
      </c>
      <c r="X202" s="6">
        <f>IF(ISERROR(VLOOKUP($U$202,'TAR FIN'!$A$1:$O$103,15,0)),0,VLOOKUP($U$202,'TAR FIN'!$A$1:$O$103,15,0))</f>
        <v>284.36</v>
      </c>
      <c r="Y202" s="6">
        <f ca="1">('TUSD BE'!$AM$16+'TUSD BF'!$AM$16+'TUSD CVA'!$AM$16)*1</f>
        <v>16.518304697547443</v>
      </c>
      <c r="Z202" s="6">
        <f ca="1">('TUSD BE'!$AM$17+'TUSD BF'!$AM$17+'TUSD CVA'!$AM$17)*1</f>
        <v>111.236500713561</v>
      </c>
      <c r="AA202" s="6">
        <f>('TE BE'!$AB$9+'TE BF'!$AB$9+'TE CVA'!$AB$9)*1</f>
        <v>259.03677522481752</v>
      </c>
      <c r="AB202" s="6">
        <f>$K$202*$V$202</f>
        <v>2049.3000000000002</v>
      </c>
      <c r="AC202" s="6">
        <f>$M$202*$W$202</f>
        <v>3659.1981300000002</v>
      </c>
      <c r="AD202" s="6">
        <f>$O$202*$X$202</f>
        <v>14999.705640000002</v>
      </c>
      <c r="AE202" s="6">
        <f ca="1">$K$202*$Y$202</f>
        <v>2725.5202750953281</v>
      </c>
      <c r="AF202" s="6">
        <f ca="1">$M$202*$Z$202</f>
        <v>5867.6141761396293</v>
      </c>
      <c r="AG202" s="6">
        <f>$O$202*$AA$202</f>
        <v>13663.9308563339</v>
      </c>
    </row>
    <row r="203" spans="1:33" ht="11.25" customHeight="1" x14ac:dyDescent="0.25">
      <c r="A203" s="4" t="s">
        <v>21</v>
      </c>
      <c r="B203" s="4" t="s">
        <v>33</v>
      </c>
      <c r="C203" s="4" t="s">
        <v>41</v>
      </c>
      <c r="D203" s="4" t="s">
        <v>46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44501</v>
      </c>
      <c r="J203" s="6">
        <v>194</v>
      </c>
      <c r="K203" s="6">
        <v>194</v>
      </c>
      <c r="L203" s="6">
        <v>58.695</v>
      </c>
      <c r="M203" s="6">
        <v>58.695</v>
      </c>
      <c r="N203" s="6">
        <v>58.695</v>
      </c>
      <c r="O203" s="6">
        <v>58.695</v>
      </c>
      <c r="P203" s="6">
        <v>0</v>
      </c>
      <c r="Q203" s="4" t="s">
        <v>26</v>
      </c>
      <c r="R203" s="4">
        <v>0</v>
      </c>
      <c r="S203" s="6">
        <v>14</v>
      </c>
      <c r="T203" s="6">
        <v>15</v>
      </c>
      <c r="U203" s="6">
        <v>66</v>
      </c>
      <c r="V203" s="6">
        <f>IF(ISERROR(VLOOKUP($S$203,'TAR FIN'!$A$1:$O$103,15,0)),0,VLOOKUP($S$203,'TAR FIN'!$A$1:$O$103,15,0))</f>
        <v>12.42</v>
      </c>
      <c r="W203" s="6">
        <f>IF(ISERROR(VLOOKUP($T$203,'TAR FIN'!$A$1:$O$103,15,0)),0,VLOOKUP($T$203,'TAR FIN'!$A$1:$O$103,15,0))</f>
        <v>69.37</v>
      </c>
      <c r="X203" s="6">
        <f>IF(ISERROR(VLOOKUP($U$203,'TAR FIN'!$A$1:$O$103,15,0)),0,VLOOKUP($U$203,'TAR FIN'!$A$1:$O$103,15,0))</f>
        <v>284.36</v>
      </c>
      <c r="Y203" s="6">
        <f ca="1">('TUSD BE'!$AM$16+'TUSD BF'!$AM$16+'TUSD CVA'!$AM$16)*1</f>
        <v>16.518304697547443</v>
      </c>
      <c r="Z203" s="6">
        <f ca="1">('TUSD BE'!$AM$17+'TUSD BF'!$AM$17+'TUSD CVA'!$AM$17)*1</f>
        <v>111.236500713561</v>
      </c>
      <c r="AA203" s="6">
        <f>('TE BE'!$AB$9+'TE BF'!$AB$9+'TE CVA'!$AB$9)*1</f>
        <v>259.03677522481752</v>
      </c>
      <c r="AB203" s="6">
        <f>$K$203*$V$203</f>
        <v>2409.48</v>
      </c>
      <c r="AC203" s="6">
        <f>$M$203*$W$203</f>
        <v>4071.6721500000003</v>
      </c>
      <c r="AD203" s="6">
        <f>$O$203*$X$203</f>
        <v>16690.510200000001</v>
      </c>
      <c r="AE203" s="6">
        <f ca="1">$K$203*$Y$203</f>
        <v>3204.5511113242037</v>
      </c>
      <c r="AF203" s="6">
        <f ca="1">$M$203*$Z$203</f>
        <v>6529.0264093824626</v>
      </c>
      <c r="AG203" s="6">
        <f>$O$203*$AA$203</f>
        <v>15204.163521820665</v>
      </c>
    </row>
    <row r="204" spans="1:33" ht="11.25" customHeight="1" x14ac:dyDescent="0.25">
      <c r="A204" s="4" t="s">
        <v>21</v>
      </c>
      <c r="B204" s="4" t="s">
        <v>33</v>
      </c>
      <c r="C204" s="4" t="s">
        <v>41</v>
      </c>
      <c r="D204" s="4" t="s">
        <v>46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44531</v>
      </c>
      <c r="J204" s="6">
        <v>207</v>
      </c>
      <c r="K204" s="6">
        <v>207</v>
      </c>
      <c r="L204" s="6">
        <v>63.817</v>
      </c>
      <c r="M204" s="6">
        <v>63.817</v>
      </c>
      <c r="N204" s="6">
        <v>63.817</v>
      </c>
      <c r="O204" s="6">
        <v>63.817</v>
      </c>
      <c r="P204" s="6">
        <v>0</v>
      </c>
      <c r="Q204" s="4" t="s">
        <v>26</v>
      </c>
      <c r="R204" s="4">
        <v>0</v>
      </c>
      <c r="S204" s="6">
        <v>14</v>
      </c>
      <c r="T204" s="6">
        <v>15</v>
      </c>
      <c r="U204" s="6">
        <v>66</v>
      </c>
      <c r="V204" s="6">
        <f>IF(ISERROR(VLOOKUP($S$204,'TAR FIN'!$A$1:$O$103,15,0)),0,VLOOKUP($S$204,'TAR FIN'!$A$1:$O$103,15,0))</f>
        <v>12.42</v>
      </c>
      <c r="W204" s="6">
        <f>IF(ISERROR(VLOOKUP($T$204,'TAR FIN'!$A$1:$O$103,15,0)),0,VLOOKUP($T$204,'TAR FIN'!$A$1:$O$103,15,0))</f>
        <v>69.37</v>
      </c>
      <c r="X204" s="6">
        <f>IF(ISERROR(VLOOKUP($U$204,'TAR FIN'!$A$1:$O$103,15,0)),0,VLOOKUP($U$204,'TAR FIN'!$A$1:$O$103,15,0))</f>
        <v>284.36</v>
      </c>
      <c r="Y204" s="6">
        <f ca="1">('TUSD BE'!$AM$16+'TUSD BF'!$AM$16+'TUSD CVA'!$AM$16)*1</f>
        <v>16.518304697547443</v>
      </c>
      <c r="Z204" s="6">
        <f ca="1">('TUSD BE'!$AM$17+'TUSD BF'!$AM$17+'TUSD CVA'!$AM$17)*1</f>
        <v>111.236500713561</v>
      </c>
      <c r="AA204" s="6">
        <f>('TE BE'!$AB$9+'TE BF'!$AB$9+'TE CVA'!$AB$9)*1</f>
        <v>259.03677522481752</v>
      </c>
      <c r="AB204" s="6">
        <f>$K$204*$V$204</f>
        <v>2570.94</v>
      </c>
      <c r="AC204" s="6">
        <f>$M$204*$W$204</f>
        <v>4426.9852900000005</v>
      </c>
      <c r="AD204" s="6">
        <f>$O$204*$X$204</f>
        <v>18147.002120000001</v>
      </c>
      <c r="AE204" s="6">
        <f ca="1">$K$204*$Y$204</f>
        <v>3419.2890723923206</v>
      </c>
      <c r="AF204" s="6">
        <f ca="1">$M$204*$Z$204</f>
        <v>7098.7797660373226</v>
      </c>
      <c r="AG204" s="6">
        <f>$O$204*$AA$204</f>
        <v>16530.949884522179</v>
      </c>
    </row>
    <row r="205" spans="1:33" ht="11.25" customHeight="1" x14ac:dyDescent="0.25">
      <c r="A205" s="4" t="s">
        <v>21</v>
      </c>
      <c r="B205" s="4" t="s">
        <v>33</v>
      </c>
      <c r="C205" s="4" t="s">
        <v>41</v>
      </c>
      <c r="D205" s="4" t="s">
        <v>46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211</v>
      </c>
      <c r="K205" s="6">
        <v>211</v>
      </c>
      <c r="L205" s="6">
        <v>70.194000000000003</v>
      </c>
      <c r="M205" s="6">
        <v>70.194000000000003</v>
      </c>
      <c r="N205" s="6">
        <v>70.194000000000003</v>
      </c>
      <c r="O205" s="6">
        <v>70.194000000000003</v>
      </c>
      <c r="P205" s="6">
        <v>0</v>
      </c>
      <c r="Q205" s="4" t="s">
        <v>26</v>
      </c>
      <c r="R205" s="4">
        <v>0</v>
      </c>
      <c r="S205" s="6">
        <v>14</v>
      </c>
      <c r="T205" s="6">
        <v>15</v>
      </c>
      <c r="U205" s="6">
        <v>66</v>
      </c>
      <c r="V205" s="6">
        <f>IF(ISERROR(VLOOKUP($S$205,'TAR FIN'!$A$1:$O$103,15,0)),0,VLOOKUP($S$205,'TAR FIN'!$A$1:$O$103,15,0))</f>
        <v>12.42</v>
      </c>
      <c r="W205" s="6">
        <f>IF(ISERROR(VLOOKUP($T$205,'TAR FIN'!$A$1:$O$103,15,0)),0,VLOOKUP($T$205,'TAR FIN'!$A$1:$O$103,15,0))</f>
        <v>69.37</v>
      </c>
      <c r="X205" s="6">
        <f>IF(ISERROR(VLOOKUP($U$205,'TAR FIN'!$A$1:$O$103,15,0)),0,VLOOKUP($U$205,'TAR FIN'!$A$1:$O$103,15,0))</f>
        <v>284.36</v>
      </c>
      <c r="Y205" s="6">
        <f ca="1">('TUSD BE'!$AM$16+'TUSD BF'!$AM$16+'TUSD CVA'!$AM$16)*1</f>
        <v>16.518304697547443</v>
      </c>
      <c r="Z205" s="6">
        <f ca="1">('TUSD BE'!$AM$17+'TUSD BF'!$AM$17+'TUSD CVA'!$AM$17)*1</f>
        <v>111.236500713561</v>
      </c>
      <c r="AA205" s="6">
        <f>('TE BE'!$AB$9+'TE BF'!$AB$9+'TE CVA'!$AB$9)*1</f>
        <v>259.03677522481752</v>
      </c>
      <c r="AB205" s="6">
        <f>$K$205*$V$205</f>
        <v>2620.62</v>
      </c>
      <c r="AC205" s="6">
        <f>$M$205*$W$205</f>
        <v>4869.3577800000003</v>
      </c>
      <c r="AD205" s="6">
        <f>$O$205*$X$205</f>
        <v>19960.365840000002</v>
      </c>
      <c r="AE205" s="6">
        <f ca="1">$K$205*$Y$205</f>
        <v>3485.3622911825105</v>
      </c>
      <c r="AF205" s="6">
        <f ca="1">$M$205*$Z$205</f>
        <v>7808.1349310877013</v>
      </c>
      <c r="AG205" s="6">
        <f>$O$205*$AA$205</f>
        <v>18182.827400130842</v>
      </c>
    </row>
    <row r="206" spans="1:33" ht="11.25" customHeight="1" x14ac:dyDescent="0.25">
      <c r="A206" s="4" t="s">
        <v>21</v>
      </c>
      <c r="B206" s="4" t="s">
        <v>33</v>
      </c>
      <c r="C206" s="4" t="s">
        <v>41</v>
      </c>
      <c r="D206" s="4" t="s">
        <v>46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213</v>
      </c>
      <c r="K206" s="6">
        <v>213</v>
      </c>
      <c r="L206" s="6">
        <v>67.41</v>
      </c>
      <c r="M206" s="6">
        <v>67.41</v>
      </c>
      <c r="N206" s="6">
        <v>67.41</v>
      </c>
      <c r="O206" s="6">
        <v>67.41</v>
      </c>
      <c r="P206" s="6">
        <v>0</v>
      </c>
      <c r="Q206" s="4" t="s">
        <v>26</v>
      </c>
      <c r="R206" s="4">
        <v>0</v>
      </c>
      <c r="S206" s="6">
        <v>14</v>
      </c>
      <c r="T206" s="6">
        <v>15</v>
      </c>
      <c r="U206" s="6">
        <v>66</v>
      </c>
      <c r="V206" s="6">
        <f>IF(ISERROR(VLOOKUP($S$206,'TAR FIN'!$A$1:$O$103,15,0)),0,VLOOKUP($S$206,'TAR FIN'!$A$1:$O$103,15,0))</f>
        <v>12.42</v>
      </c>
      <c r="W206" s="6">
        <f>IF(ISERROR(VLOOKUP($T$206,'TAR FIN'!$A$1:$O$103,15,0)),0,VLOOKUP($T$206,'TAR FIN'!$A$1:$O$103,15,0))</f>
        <v>69.37</v>
      </c>
      <c r="X206" s="6">
        <f>IF(ISERROR(VLOOKUP($U$206,'TAR FIN'!$A$1:$O$103,15,0)),0,VLOOKUP($U$206,'TAR FIN'!$A$1:$O$103,15,0))</f>
        <v>284.36</v>
      </c>
      <c r="Y206" s="6">
        <f ca="1">('TUSD BE'!$AM$16+'TUSD BF'!$AM$16+'TUSD CVA'!$AM$16)*1</f>
        <v>16.518304697547443</v>
      </c>
      <c r="Z206" s="6">
        <f ca="1">('TUSD BE'!$AM$17+'TUSD BF'!$AM$17+'TUSD CVA'!$AM$17)*1</f>
        <v>111.236500713561</v>
      </c>
      <c r="AA206" s="6">
        <f>('TE BE'!$AB$9+'TE BF'!$AB$9+'TE CVA'!$AB$9)*1</f>
        <v>259.03677522481752</v>
      </c>
      <c r="AB206" s="6">
        <f>$K$206*$V$206</f>
        <v>2645.46</v>
      </c>
      <c r="AC206" s="6">
        <f>$M$206*$W$206</f>
        <v>4676.2317000000003</v>
      </c>
      <c r="AD206" s="6">
        <f>$O$206*$X$206</f>
        <v>19168.707600000002</v>
      </c>
      <c r="AE206" s="6">
        <f ca="1">$K$206*$Y$206</f>
        <v>3518.3989005776052</v>
      </c>
      <c r="AF206" s="6">
        <f ca="1">$M$206*$Z$206</f>
        <v>7498.4525131011469</v>
      </c>
      <c r="AG206" s="6">
        <f>$O$206*$AA$206</f>
        <v>17461.669017904947</v>
      </c>
    </row>
    <row r="207" spans="1:33" ht="11.25" customHeight="1" x14ac:dyDescent="0.25">
      <c r="A207" s="4" t="s">
        <v>21</v>
      </c>
      <c r="B207" s="4" t="s">
        <v>33</v>
      </c>
      <c r="C207" s="4" t="s">
        <v>41</v>
      </c>
      <c r="D207" s="4" t="s">
        <v>46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44621</v>
      </c>
      <c r="J207" s="6">
        <v>199</v>
      </c>
      <c r="K207" s="6">
        <v>199</v>
      </c>
      <c r="L207" s="6">
        <v>74.602000000000004</v>
      </c>
      <c r="M207" s="6">
        <v>74.602000000000004</v>
      </c>
      <c r="N207" s="6">
        <v>74.602000000000004</v>
      </c>
      <c r="O207" s="6">
        <v>74.602000000000004</v>
      </c>
      <c r="P207" s="6">
        <v>0</v>
      </c>
      <c r="Q207" s="4" t="s">
        <v>26</v>
      </c>
      <c r="R207" s="4">
        <v>0</v>
      </c>
      <c r="S207" s="6">
        <v>14</v>
      </c>
      <c r="T207" s="6">
        <v>15</v>
      </c>
      <c r="U207" s="6">
        <v>66</v>
      </c>
      <c r="V207" s="6">
        <f>IF(ISERROR(VLOOKUP($S$207,'TAR FIN'!$A$1:$O$103,15,0)),0,VLOOKUP($S$207,'TAR FIN'!$A$1:$O$103,15,0))</f>
        <v>12.42</v>
      </c>
      <c r="W207" s="6">
        <f>IF(ISERROR(VLOOKUP($T$207,'TAR FIN'!$A$1:$O$103,15,0)),0,VLOOKUP($T$207,'TAR FIN'!$A$1:$O$103,15,0))</f>
        <v>69.37</v>
      </c>
      <c r="X207" s="6">
        <f>IF(ISERROR(VLOOKUP($U$207,'TAR FIN'!$A$1:$O$103,15,0)),0,VLOOKUP($U$207,'TAR FIN'!$A$1:$O$103,15,0))</f>
        <v>284.36</v>
      </c>
      <c r="Y207" s="6">
        <f ca="1">('TUSD BE'!$AM$16+'TUSD BF'!$AM$16+'TUSD CVA'!$AM$16)*1</f>
        <v>16.518304697547443</v>
      </c>
      <c r="Z207" s="6">
        <f ca="1">('TUSD BE'!$AM$17+'TUSD BF'!$AM$17+'TUSD CVA'!$AM$17)*1</f>
        <v>111.236500713561</v>
      </c>
      <c r="AA207" s="6">
        <f>('TE BE'!$AB$9+'TE BF'!$AB$9+'TE CVA'!$AB$9)*1</f>
        <v>259.03677522481752</v>
      </c>
      <c r="AB207" s="6">
        <f>$K$207*$V$207</f>
        <v>2471.58</v>
      </c>
      <c r="AC207" s="6">
        <f>$M$207*$W$207</f>
        <v>5175.1407400000007</v>
      </c>
      <c r="AD207" s="6">
        <f>$O$207*$X$207</f>
        <v>21213.824720000001</v>
      </c>
      <c r="AE207" s="6">
        <f ca="1">$K$207*$Y$207</f>
        <v>3287.1426348119412</v>
      </c>
      <c r="AF207" s="6">
        <f ca="1">$M$207*$Z$207</f>
        <v>8298.4654262330787</v>
      </c>
      <c r="AG207" s="6">
        <f>$O$207*$AA$207</f>
        <v>19324.661505321837</v>
      </c>
    </row>
    <row r="208" spans="1:33" ht="11.25" customHeight="1" x14ac:dyDescent="0.25">
      <c r="A208" s="4" t="s">
        <v>21</v>
      </c>
      <c r="B208" s="4" t="s">
        <v>33</v>
      </c>
      <c r="C208" s="4" t="s">
        <v>41</v>
      </c>
      <c r="D208" s="4" t="s">
        <v>46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44652</v>
      </c>
      <c r="J208" s="6">
        <v>194</v>
      </c>
      <c r="K208" s="6">
        <v>194</v>
      </c>
      <c r="L208" s="6">
        <v>58.408999999999999</v>
      </c>
      <c r="M208" s="6">
        <v>58.408999999999999</v>
      </c>
      <c r="N208" s="6">
        <v>58.408999999999999</v>
      </c>
      <c r="O208" s="6">
        <v>58.408999999999999</v>
      </c>
      <c r="P208" s="6">
        <v>0</v>
      </c>
      <c r="Q208" s="4" t="s">
        <v>26</v>
      </c>
      <c r="R208" s="4">
        <v>0</v>
      </c>
      <c r="S208" s="6">
        <v>14</v>
      </c>
      <c r="T208" s="6">
        <v>15</v>
      </c>
      <c r="U208" s="6">
        <v>66</v>
      </c>
      <c r="V208" s="6">
        <f>IF(ISERROR(VLOOKUP($S$208,'TAR FIN'!$A$1:$O$103,15,0)),0,VLOOKUP($S$208,'TAR FIN'!$A$1:$O$103,15,0))</f>
        <v>12.42</v>
      </c>
      <c r="W208" s="6">
        <f>IF(ISERROR(VLOOKUP($T$208,'TAR FIN'!$A$1:$O$103,15,0)),0,VLOOKUP($T$208,'TAR FIN'!$A$1:$O$103,15,0))</f>
        <v>69.37</v>
      </c>
      <c r="X208" s="6">
        <f>IF(ISERROR(VLOOKUP($U$208,'TAR FIN'!$A$1:$O$103,15,0)),0,VLOOKUP($U$208,'TAR FIN'!$A$1:$O$103,15,0))</f>
        <v>284.36</v>
      </c>
      <c r="Y208" s="6">
        <f ca="1">('TUSD BE'!$AM$16+'TUSD BF'!$AM$16+'TUSD CVA'!$AM$16)*1</f>
        <v>16.518304697547443</v>
      </c>
      <c r="Z208" s="6">
        <f ca="1">('TUSD BE'!$AM$17+'TUSD BF'!$AM$17+'TUSD CVA'!$AM$17)*1</f>
        <v>111.236500713561</v>
      </c>
      <c r="AA208" s="6">
        <f>('TE BE'!$AB$9+'TE BF'!$AB$9+'TE CVA'!$AB$9)*1</f>
        <v>259.03677522481752</v>
      </c>
      <c r="AB208" s="6">
        <f>$K$208*$V$208</f>
        <v>2409.48</v>
      </c>
      <c r="AC208" s="6">
        <f>$M$208*$W$208</f>
        <v>4051.8323300000002</v>
      </c>
      <c r="AD208" s="6">
        <f>$O$208*$X$208</f>
        <v>16609.183240000002</v>
      </c>
      <c r="AE208" s="6">
        <f ca="1">$K$208*$Y$208</f>
        <v>3204.5511113242037</v>
      </c>
      <c r="AF208" s="6">
        <f ca="1">$M$208*$Z$208</f>
        <v>6497.2127701783847</v>
      </c>
      <c r="AG208" s="6">
        <f>$O$208*$AA$208</f>
        <v>15130.079004106366</v>
      </c>
    </row>
    <row r="209" spans="1:33" ht="11.25" customHeight="1" x14ac:dyDescent="0.25">
      <c r="A209" s="4" t="s">
        <v>21</v>
      </c>
      <c r="B209" s="4" t="s">
        <v>33</v>
      </c>
      <c r="C209" s="4" t="s">
        <v>41</v>
      </c>
      <c r="D209" s="4" t="s">
        <v>46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44682</v>
      </c>
      <c r="J209" s="6">
        <v>192</v>
      </c>
      <c r="K209" s="6">
        <v>192</v>
      </c>
      <c r="L209" s="6">
        <v>61.29</v>
      </c>
      <c r="M209" s="6">
        <v>61.29</v>
      </c>
      <c r="N209" s="6">
        <v>61.29</v>
      </c>
      <c r="O209" s="6">
        <v>61.29</v>
      </c>
      <c r="P209" s="6">
        <v>0</v>
      </c>
      <c r="Q209" s="4" t="s">
        <v>26</v>
      </c>
      <c r="R209" s="4">
        <v>0</v>
      </c>
      <c r="S209" s="6">
        <v>14</v>
      </c>
      <c r="T209" s="6">
        <v>15</v>
      </c>
      <c r="U209" s="6">
        <v>66</v>
      </c>
      <c r="V209" s="6">
        <f>IF(ISERROR(VLOOKUP($S$209,'TAR FIN'!$A$1:$O$103,15,0)),0,VLOOKUP($S$209,'TAR FIN'!$A$1:$O$103,15,0))</f>
        <v>12.42</v>
      </c>
      <c r="W209" s="6">
        <f>IF(ISERROR(VLOOKUP($T$209,'TAR FIN'!$A$1:$O$103,15,0)),0,VLOOKUP($T$209,'TAR FIN'!$A$1:$O$103,15,0))</f>
        <v>69.37</v>
      </c>
      <c r="X209" s="6">
        <f>IF(ISERROR(VLOOKUP($U$209,'TAR FIN'!$A$1:$O$103,15,0)),0,VLOOKUP($U$209,'TAR FIN'!$A$1:$O$103,15,0))</f>
        <v>284.36</v>
      </c>
      <c r="Y209" s="6">
        <f ca="1">('TUSD BE'!$AM$16+'TUSD BF'!$AM$16+'TUSD CVA'!$AM$16)*1</f>
        <v>16.518304697547443</v>
      </c>
      <c r="Z209" s="6">
        <f ca="1">('TUSD BE'!$AM$17+'TUSD BF'!$AM$17+'TUSD CVA'!$AM$17)*1</f>
        <v>111.236500713561</v>
      </c>
      <c r="AA209" s="6">
        <f>('TE BE'!$AB$9+'TE BF'!$AB$9+'TE CVA'!$AB$9)*1</f>
        <v>259.03677522481752</v>
      </c>
      <c r="AB209" s="6">
        <f>$K$209*$V$209</f>
        <v>2384.64</v>
      </c>
      <c r="AC209" s="6">
        <f>$M$209*$W$209</f>
        <v>4251.6873000000005</v>
      </c>
      <c r="AD209" s="6">
        <f>$O$209*$X$209</f>
        <v>17428.4244</v>
      </c>
      <c r="AE209" s="6">
        <f ca="1">$K$209*$Y$209</f>
        <v>3171.514501929109</v>
      </c>
      <c r="AF209" s="6">
        <f ca="1">$M$209*$Z$209</f>
        <v>6817.6851287341533</v>
      </c>
      <c r="AG209" s="6">
        <f>$O$209*$AA$209</f>
        <v>15876.363953529066</v>
      </c>
    </row>
    <row r="210" spans="1:33" ht="11.25" customHeight="1" x14ac:dyDescent="0.25">
      <c r="A210" s="4" t="s">
        <v>21</v>
      </c>
      <c r="B210" s="4" t="s">
        <v>33</v>
      </c>
      <c r="C210" s="4" t="s">
        <v>41</v>
      </c>
      <c r="D210" s="4" t="s">
        <v>46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44348</v>
      </c>
      <c r="J210" s="6">
        <v>179</v>
      </c>
      <c r="K210" s="6">
        <v>179</v>
      </c>
      <c r="L210" s="6">
        <v>7.194</v>
      </c>
      <c r="M210" s="6">
        <v>7.194</v>
      </c>
      <c r="N210" s="6">
        <v>7.194</v>
      </c>
      <c r="O210" s="6">
        <v>7.194</v>
      </c>
      <c r="P210" s="6">
        <v>0</v>
      </c>
      <c r="Q210" s="4" t="s">
        <v>26</v>
      </c>
      <c r="R210" s="4">
        <v>0</v>
      </c>
      <c r="S210" s="6">
        <v>13</v>
      </c>
      <c r="T210" s="6">
        <v>15</v>
      </c>
      <c r="U210" s="6">
        <v>65</v>
      </c>
      <c r="V210" s="6">
        <f>IF(ISERROR(VLOOKUP($S$210,'TAR FIN'!$A$1:$O$103,15,0)),0,VLOOKUP($S$210,'TAR FIN'!$A$1:$O$103,15,0))</f>
        <v>31.72</v>
      </c>
      <c r="W210" s="6">
        <f>IF(ISERROR(VLOOKUP($T$210,'TAR FIN'!$A$1:$O$103,15,0)),0,VLOOKUP($T$210,'TAR FIN'!$A$1:$O$103,15,0))</f>
        <v>69.37</v>
      </c>
      <c r="X210" s="6">
        <f>IF(ISERROR(VLOOKUP($U$210,'TAR FIN'!$A$1:$O$103,15,0)),0,VLOOKUP($U$210,'TAR FIN'!$A$1:$O$103,15,0))</f>
        <v>454.9</v>
      </c>
      <c r="Y210" s="6">
        <f ca="1">('TUSD BE'!$AM$15+'TUSD BF'!$AM$15+'TUSD CVA'!$AM$15)*1</f>
        <v>42.424687369311435</v>
      </c>
      <c r="Z210" s="6">
        <f ca="1">('TUSD BE'!$AM$17+'TUSD BF'!$AM$17+'TUSD CVA'!$AM$17)*1</f>
        <v>111.236500713561</v>
      </c>
      <c r="AA210" s="6">
        <f>('TE BE'!$AB$8+'TE BF'!$AB$8+'TE CVA'!$AB$8)*1</f>
        <v>415.05449050541699</v>
      </c>
      <c r="AB210" s="6">
        <f>$K$210*$V$210</f>
        <v>5677.88</v>
      </c>
      <c r="AC210" s="6">
        <f>$M$210*$W$210</f>
        <v>499.04778000000005</v>
      </c>
      <c r="AD210" s="6">
        <f>$O$210*$X$210</f>
        <v>3272.5506</v>
      </c>
      <c r="AE210" s="6">
        <f ca="1">$K$210*$Y$210</f>
        <v>7594.0190391067472</v>
      </c>
      <c r="AF210" s="6">
        <f ca="1">$M$210*$Z$210</f>
        <v>800.23538613335779</v>
      </c>
      <c r="AG210" s="6">
        <f>$O$210*$AA$210</f>
        <v>2985.9020046959699</v>
      </c>
    </row>
    <row r="211" spans="1:33" ht="11.25" customHeight="1" x14ac:dyDescent="0.25">
      <c r="A211" s="4" t="s">
        <v>21</v>
      </c>
      <c r="B211" s="4" t="s">
        <v>33</v>
      </c>
      <c r="C211" s="4" t="s">
        <v>41</v>
      </c>
      <c r="D211" s="4" t="s">
        <v>46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44378</v>
      </c>
      <c r="J211" s="6">
        <v>173</v>
      </c>
      <c r="K211" s="6">
        <v>173</v>
      </c>
      <c r="L211" s="6">
        <v>7.718</v>
      </c>
      <c r="M211" s="6">
        <v>7.718</v>
      </c>
      <c r="N211" s="6">
        <v>7.718</v>
      </c>
      <c r="O211" s="6">
        <v>7.718</v>
      </c>
      <c r="P211" s="6">
        <v>0</v>
      </c>
      <c r="Q211" s="4" t="s">
        <v>26</v>
      </c>
      <c r="R211" s="4">
        <v>0</v>
      </c>
      <c r="S211" s="6">
        <v>13</v>
      </c>
      <c r="T211" s="6">
        <v>15</v>
      </c>
      <c r="U211" s="6">
        <v>65</v>
      </c>
      <c r="V211" s="6">
        <f>IF(ISERROR(VLOOKUP($S$211,'TAR FIN'!$A$1:$O$103,15,0)),0,VLOOKUP($S$211,'TAR FIN'!$A$1:$O$103,15,0))</f>
        <v>31.72</v>
      </c>
      <c r="W211" s="6">
        <f>IF(ISERROR(VLOOKUP($T$211,'TAR FIN'!$A$1:$O$103,15,0)),0,VLOOKUP($T$211,'TAR FIN'!$A$1:$O$103,15,0))</f>
        <v>69.37</v>
      </c>
      <c r="X211" s="6">
        <f>IF(ISERROR(VLOOKUP($U$211,'TAR FIN'!$A$1:$O$103,15,0)),0,VLOOKUP($U$211,'TAR FIN'!$A$1:$O$103,15,0))</f>
        <v>454.9</v>
      </c>
      <c r="Y211" s="6">
        <f ca="1">('TUSD BE'!$AM$15+'TUSD BF'!$AM$15+'TUSD CVA'!$AM$15)*1</f>
        <v>42.424687369311435</v>
      </c>
      <c r="Z211" s="6">
        <f ca="1">('TUSD BE'!$AM$17+'TUSD BF'!$AM$17+'TUSD CVA'!$AM$17)*1</f>
        <v>111.236500713561</v>
      </c>
      <c r="AA211" s="6">
        <f>('TE BE'!$AB$8+'TE BF'!$AB$8+'TE CVA'!$AB$8)*1</f>
        <v>415.05449050541699</v>
      </c>
      <c r="AB211" s="6">
        <f>$K$211*$V$211</f>
        <v>5487.5599999999995</v>
      </c>
      <c r="AC211" s="6">
        <f>$M$211*$W$211</f>
        <v>535.39766000000009</v>
      </c>
      <c r="AD211" s="6">
        <f>$O$211*$X$211</f>
        <v>3510.9181999999996</v>
      </c>
      <c r="AE211" s="6">
        <f ca="1">$K$211*$Y$211</f>
        <v>7339.4709148908787</v>
      </c>
      <c r="AF211" s="6">
        <f ca="1">$M$211*$Z$211</f>
        <v>858.52331250726377</v>
      </c>
      <c r="AG211" s="6">
        <f>$O$211*$AA$211</f>
        <v>3203.3905577208084</v>
      </c>
    </row>
    <row r="212" spans="1:33" ht="11.25" customHeight="1" x14ac:dyDescent="0.25">
      <c r="A212" s="4" t="s">
        <v>21</v>
      </c>
      <c r="B212" s="4" t="s">
        <v>33</v>
      </c>
      <c r="C212" s="4" t="s">
        <v>41</v>
      </c>
      <c r="D212" s="4" t="s">
        <v>46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44409</v>
      </c>
      <c r="J212" s="6">
        <v>154</v>
      </c>
      <c r="K212" s="6">
        <v>154</v>
      </c>
      <c r="L212" s="6">
        <v>6.681</v>
      </c>
      <c r="M212" s="6">
        <v>6.681</v>
      </c>
      <c r="N212" s="6">
        <v>6.681</v>
      </c>
      <c r="O212" s="6">
        <v>6.681</v>
      </c>
      <c r="P212" s="6">
        <v>0</v>
      </c>
      <c r="Q212" s="4" t="s">
        <v>26</v>
      </c>
      <c r="R212" s="4">
        <v>0</v>
      </c>
      <c r="S212" s="6">
        <v>13</v>
      </c>
      <c r="T212" s="6">
        <v>15</v>
      </c>
      <c r="U212" s="6">
        <v>65</v>
      </c>
      <c r="V212" s="6">
        <f>IF(ISERROR(VLOOKUP($S$212,'TAR FIN'!$A$1:$O$103,15,0)),0,VLOOKUP($S$212,'TAR FIN'!$A$1:$O$103,15,0))</f>
        <v>31.72</v>
      </c>
      <c r="W212" s="6">
        <f>IF(ISERROR(VLOOKUP($T$212,'TAR FIN'!$A$1:$O$103,15,0)),0,VLOOKUP($T$212,'TAR FIN'!$A$1:$O$103,15,0))</f>
        <v>69.37</v>
      </c>
      <c r="X212" s="6">
        <f>IF(ISERROR(VLOOKUP($U$212,'TAR FIN'!$A$1:$O$103,15,0)),0,VLOOKUP($U$212,'TAR FIN'!$A$1:$O$103,15,0))</f>
        <v>454.9</v>
      </c>
      <c r="Y212" s="6">
        <f ca="1">('TUSD BE'!$AM$15+'TUSD BF'!$AM$15+'TUSD CVA'!$AM$15)*1</f>
        <v>42.424687369311435</v>
      </c>
      <c r="Z212" s="6">
        <f ca="1">('TUSD BE'!$AM$17+'TUSD BF'!$AM$17+'TUSD CVA'!$AM$17)*1</f>
        <v>111.236500713561</v>
      </c>
      <c r="AA212" s="6">
        <f>('TE BE'!$AB$8+'TE BF'!$AB$8+'TE CVA'!$AB$8)*1</f>
        <v>415.05449050541699</v>
      </c>
      <c r="AB212" s="6">
        <f>$K$212*$V$212</f>
        <v>4884.88</v>
      </c>
      <c r="AC212" s="6">
        <f>$M$212*$W$212</f>
        <v>463.46097000000003</v>
      </c>
      <c r="AD212" s="6">
        <f>$O$212*$X$212</f>
        <v>3039.1868999999997</v>
      </c>
      <c r="AE212" s="6">
        <f ca="1">$K$212*$Y$212</f>
        <v>6533.4018548739614</v>
      </c>
      <c r="AF212" s="6">
        <f ca="1">$M$212*$Z$212</f>
        <v>743.17106126730107</v>
      </c>
      <c r="AG212" s="6">
        <f>$O$212*$AA$212</f>
        <v>2772.9790510666908</v>
      </c>
    </row>
    <row r="213" spans="1:33" ht="11.25" customHeight="1" x14ac:dyDescent="0.25">
      <c r="A213" s="4" t="s">
        <v>21</v>
      </c>
      <c r="B213" s="4" t="s">
        <v>33</v>
      </c>
      <c r="C213" s="4" t="s">
        <v>41</v>
      </c>
      <c r="D213" s="4" t="s">
        <v>46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44440</v>
      </c>
      <c r="J213" s="6">
        <v>176</v>
      </c>
      <c r="K213" s="6">
        <v>176</v>
      </c>
      <c r="L213" s="6">
        <v>7.0259999999999998</v>
      </c>
      <c r="M213" s="6">
        <v>7.0259999999999998</v>
      </c>
      <c r="N213" s="6">
        <v>7.0259999999999998</v>
      </c>
      <c r="O213" s="6">
        <v>7.0259999999999998</v>
      </c>
      <c r="P213" s="6">
        <v>0</v>
      </c>
      <c r="Q213" s="4" t="s">
        <v>26</v>
      </c>
      <c r="R213" s="4">
        <v>0</v>
      </c>
      <c r="S213" s="6">
        <v>13</v>
      </c>
      <c r="T213" s="6">
        <v>15</v>
      </c>
      <c r="U213" s="6">
        <v>65</v>
      </c>
      <c r="V213" s="6">
        <f>IF(ISERROR(VLOOKUP($S$213,'TAR FIN'!$A$1:$O$103,15,0)),0,VLOOKUP($S$213,'TAR FIN'!$A$1:$O$103,15,0))</f>
        <v>31.72</v>
      </c>
      <c r="W213" s="6">
        <f>IF(ISERROR(VLOOKUP($T$213,'TAR FIN'!$A$1:$O$103,15,0)),0,VLOOKUP($T$213,'TAR FIN'!$A$1:$O$103,15,0))</f>
        <v>69.37</v>
      </c>
      <c r="X213" s="6">
        <f>IF(ISERROR(VLOOKUP($U$213,'TAR FIN'!$A$1:$O$103,15,0)),0,VLOOKUP($U$213,'TAR FIN'!$A$1:$O$103,15,0))</f>
        <v>454.9</v>
      </c>
      <c r="Y213" s="6">
        <f ca="1">('TUSD BE'!$AM$15+'TUSD BF'!$AM$15+'TUSD CVA'!$AM$15)*1</f>
        <v>42.424687369311435</v>
      </c>
      <c r="Z213" s="6">
        <f ca="1">('TUSD BE'!$AM$17+'TUSD BF'!$AM$17+'TUSD CVA'!$AM$17)*1</f>
        <v>111.236500713561</v>
      </c>
      <c r="AA213" s="6">
        <f>('TE BE'!$AB$8+'TE BF'!$AB$8+'TE CVA'!$AB$8)*1</f>
        <v>415.05449050541699</v>
      </c>
      <c r="AB213" s="6">
        <f>$K$213*$V$213</f>
        <v>5582.7199999999993</v>
      </c>
      <c r="AC213" s="6">
        <f>$M$213*$W$213</f>
        <v>487.39362</v>
      </c>
      <c r="AD213" s="6">
        <f>$O$213*$X$213</f>
        <v>3196.1273999999999</v>
      </c>
      <c r="AE213" s="6">
        <f ca="1">$K$213*$Y$213</f>
        <v>7466.7449769988125</v>
      </c>
      <c r="AF213" s="6">
        <f ca="1">$M$213*$Z$213</f>
        <v>781.54765401347959</v>
      </c>
      <c r="AG213" s="6">
        <f>$O$213*$AA$213</f>
        <v>2916.1728502910596</v>
      </c>
    </row>
    <row r="214" spans="1:33" ht="11.25" customHeight="1" x14ac:dyDescent="0.25">
      <c r="A214" s="4" t="s">
        <v>21</v>
      </c>
      <c r="B214" s="4" t="s">
        <v>33</v>
      </c>
      <c r="C214" s="4" t="s">
        <v>41</v>
      </c>
      <c r="D214" s="4" t="s">
        <v>46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44470</v>
      </c>
      <c r="J214" s="6">
        <v>126</v>
      </c>
      <c r="K214" s="6">
        <v>126</v>
      </c>
      <c r="L214" s="6">
        <v>5.4720000000000004</v>
      </c>
      <c r="M214" s="6">
        <v>5.4720000000000004</v>
      </c>
      <c r="N214" s="6">
        <v>5.4720000000000004</v>
      </c>
      <c r="O214" s="6">
        <v>5.4720000000000004</v>
      </c>
      <c r="P214" s="6">
        <v>0</v>
      </c>
      <c r="Q214" s="4" t="s">
        <v>26</v>
      </c>
      <c r="R214" s="4">
        <v>0</v>
      </c>
      <c r="S214" s="6">
        <v>13</v>
      </c>
      <c r="T214" s="6">
        <v>15</v>
      </c>
      <c r="U214" s="6">
        <v>65</v>
      </c>
      <c r="V214" s="6">
        <f>IF(ISERROR(VLOOKUP($S$214,'TAR FIN'!$A$1:$O$103,15,0)),0,VLOOKUP($S$214,'TAR FIN'!$A$1:$O$103,15,0))</f>
        <v>31.72</v>
      </c>
      <c r="W214" s="6">
        <f>IF(ISERROR(VLOOKUP($T$214,'TAR FIN'!$A$1:$O$103,15,0)),0,VLOOKUP($T$214,'TAR FIN'!$A$1:$O$103,15,0))</f>
        <v>69.37</v>
      </c>
      <c r="X214" s="6">
        <f>IF(ISERROR(VLOOKUP($U$214,'TAR FIN'!$A$1:$O$103,15,0)),0,VLOOKUP($U$214,'TAR FIN'!$A$1:$O$103,15,0))</f>
        <v>454.9</v>
      </c>
      <c r="Y214" s="6">
        <f ca="1">('TUSD BE'!$AM$15+'TUSD BF'!$AM$15+'TUSD CVA'!$AM$15)*1</f>
        <v>42.424687369311435</v>
      </c>
      <c r="Z214" s="6">
        <f ca="1">('TUSD BE'!$AM$17+'TUSD BF'!$AM$17+'TUSD CVA'!$AM$17)*1</f>
        <v>111.236500713561</v>
      </c>
      <c r="AA214" s="6">
        <f>('TE BE'!$AB$8+'TE BF'!$AB$8+'TE CVA'!$AB$8)*1</f>
        <v>415.05449050541699</v>
      </c>
      <c r="AB214" s="6">
        <f>$K$214*$V$214</f>
        <v>3996.72</v>
      </c>
      <c r="AC214" s="6">
        <f>$M$214*$W$214</f>
        <v>379.59264000000007</v>
      </c>
      <c r="AD214" s="6">
        <f>$O$214*$X$214</f>
        <v>2489.2128000000002</v>
      </c>
      <c r="AE214" s="6">
        <f ca="1">$K$214*$Y$214</f>
        <v>5345.5106085332409</v>
      </c>
      <c r="AF214" s="6">
        <f ca="1">$M$214*$Z$214</f>
        <v>608.68613190460587</v>
      </c>
      <c r="AG214" s="6">
        <f>$O$214*$AA$214</f>
        <v>2271.178172045642</v>
      </c>
    </row>
    <row r="215" spans="1:33" ht="11.25" customHeight="1" x14ac:dyDescent="0.25">
      <c r="A215" s="4" t="s">
        <v>21</v>
      </c>
      <c r="B215" s="4" t="s">
        <v>33</v>
      </c>
      <c r="C215" s="4" t="s">
        <v>41</v>
      </c>
      <c r="D215" s="4" t="s">
        <v>46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44501</v>
      </c>
      <c r="J215" s="6">
        <v>126</v>
      </c>
      <c r="K215" s="6">
        <v>126</v>
      </c>
      <c r="L215" s="6">
        <v>6.4649999999999999</v>
      </c>
      <c r="M215" s="6">
        <v>6.4649999999999999</v>
      </c>
      <c r="N215" s="6">
        <v>6.4649999999999999</v>
      </c>
      <c r="O215" s="6">
        <v>6.4649999999999999</v>
      </c>
      <c r="P215" s="6">
        <v>0</v>
      </c>
      <c r="Q215" s="4" t="s">
        <v>26</v>
      </c>
      <c r="R215" s="4">
        <v>0</v>
      </c>
      <c r="S215" s="6">
        <v>13</v>
      </c>
      <c r="T215" s="6">
        <v>15</v>
      </c>
      <c r="U215" s="6">
        <v>65</v>
      </c>
      <c r="V215" s="6">
        <f>IF(ISERROR(VLOOKUP($S$215,'TAR FIN'!$A$1:$O$103,15,0)),0,VLOOKUP($S$215,'TAR FIN'!$A$1:$O$103,15,0))</f>
        <v>31.72</v>
      </c>
      <c r="W215" s="6">
        <f>IF(ISERROR(VLOOKUP($T$215,'TAR FIN'!$A$1:$O$103,15,0)),0,VLOOKUP($T$215,'TAR FIN'!$A$1:$O$103,15,0))</f>
        <v>69.37</v>
      </c>
      <c r="X215" s="6">
        <f>IF(ISERROR(VLOOKUP($U$215,'TAR FIN'!$A$1:$O$103,15,0)),0,VLOOKUP($U$215,'TAR FIN'!$A$1:$O$103,15,0))</f>
        <v>454.9</v>
      </c>
      <c r="Y215" s="6">
        <f ca="1">('TUSD BE'!$AM$15+'TUSD BF'!$AM$15+'TUSD CVA'!$AM$15)*1</f>
        <v>42.424687369311435</v>
      </c>
      <c r="Z215" s="6">
        <f ca="1">('TUSD BE'!$AM$17+'TUSD BF'!$AM$17+'TUSD CVA'!$AM$17)*1</f>
        <v>111.236500713561</v>
      </c>
      <c r="AA215" s="6">
        <f>('TE BE'!$AB$8+'TE BF'!$AB$8+'TE CVA'!$AB$8)*1</f>
        <v>415.05449050541699</v>
      </c>
      <c r="AB215" s="6">
        <f>$K$215*$V$215</f>
        <v>3996.72</v>
      </c>
      <c r="AC215" s="6">
        <f>$M$215*$W$215</f>
        <v>448.47705000000002</v>
      </c>
      <c r="AD215" s="6">
        <f>$O$215*$X$215</f>
        <v>2940.9285</v>
      </c>
      <c r="AE215" s="6">
        <f ca="1">$K$215*$Y$215</f>
        <v>5345.5106085332409</v>
      </c>
      <c r="AF215" s="6">
        <f ca="1">$M$215*$Z$215</f>
        <v>719.1439771131719</v>
      </c>
      <c r="AG215" s="6">
        <f>$O$215*$AA$215</f>
        <v>2683.3272811175207</v>
      </c>
    </row>
    <row r="216" spans="1:33" ht="11.25" customHeight="1" x14ac:dyDescent="0.25">
      <c r="A216" s="4" t="s">
        <v>21</v>
      </c>
      <c r="B216" s="4" t="s">
        <v>33</v>
      </c>
      <c r="C216" s="4" t="s">
        <v>41</v>
      </c>
      <c r="D216" s="4" t="s">
        <v>46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44531</v>
      </c>
      <c r="J216" s="6">
        <v>149</v>
      </c>
      <c r="K216" s="6">
        <v>149</v>
      </c>
      <c r="L216" s="6">
        <v>6.9580000000000002</v>
      </c>
      <c r="M216" s="6">
        <v>6.9580000000000002</v>
      </c>
      <c r="N216" s="6">
        <v>6.9580000000000002</v>
      </c>
      <c r="O216" s="6">
        <v>6.9580000000000002</v>
      </c>
      <c r="P216" s="6">
        <v>0</v>
      </c>
      <c r="Q216" s="4" t="s">
        <v>26</v>
      </c>
      <c r="R216" s="4">
        <v>0</v>
      </c>
      <c r="S216" s="6">
        <v>13</v>
      </c>
      <c r="T216" s="6">
        <v>15</v>
      </c>
      <c r="U216" s="6">
        <v>65</v>
      </c>
      <c r="V216" s="6">
        <f>IF(ISERROR(VLOOKUP($S$216,'TAR FIN'!$A$1:$O$103,15,0)),0,VLOOKUP($S$216,'TAR FIN'!$A$1:$O$103,15,0))</f>
        <v>31.72</v>
      </c>
      <c r="W216" s="6">
        <f>IF(ISERROR(VLOOKUP($T$216,'TAR FIN'!$A$1:$O$103,15,0)),0,VLOOKUP($T$216,'TAR FIN'!$A$1:$O$103,15,0))</f>
        <v>69.37</v>
      </c>
      <c r="X216" s="6">
        <f>IF(ISERROR(VLOOKUP($U$216,'TAR FIN'!$A$1:$O$103,15,0)),0,VLOOKUP($U$216,'TAR FIN'!$A$1:$O$103,15,0))</f>
        <v>454.9</v>
      </c>
      <c r="Y216" s="6">
        <f ca="1">('TUSD BE'!$AM$15+'TUSD BF'!$AM$15+'TUSD CVA'!$AM$15)*1</f>
        <v>42.424687369311435</v>
      </c>
      <c r="Z216" s="6">
        <f ca="1">('TUSD BE'!$AM$17+'TUSD BF'!$AM$17+'TUSD CVA'!$AM$17)*1</f>
        <v>111.236500713561</v>
      </c>
      <c r="AA216" s="6">
        <f>('TE BE'!$AB$8+'TE BF'!$AB$8+'TE CVA'!$AB$8)*1</f>
        <v>415.05449050541699</v>
      </c>
      <c r="AB216" s="6">
        <f>$K$216*$V$216</f>
        <v>4726.28</v>
      </c>
      <c r="AC216" s="6">
        <f>$M$216*$W$216</f>
        <v>482.67646000000002</v>
      </c>
      <c r="AD216" s="6">
        <f>$O$216*$X$216</f>
        <v>3165.1941999999999</v>
      </c>
      <c r="AE216" s="6">
        <f ca="1">$K$216*$Y$216</f>
        <v>6321.2784180274039</v>
      </c>
      <c r="AF216" s="6">
        <f ca="1">$M$216*$Z$216</f>
        <v>773.98357196495749</v>
      </c>
      <c r="AG216" s="6">
        <f>$O$216*$AA$216</f>
        <v>2887.9491449366915</v>
      </c>
    </row>
    <row r="217" spans="1:33" ht="11.25" customHeight="1" x14ac:dyDescent="0.25">
      <c r="A217" s="4" t="s">
        <v>21</v>
      </c>
      <c r="B217" s="4" t="s">
        <v>33</v>
      </c>
      <c r="C217" s="4" t="s">
        <v>41</v>
      </c>
      <c r="D217" s="4" t="s">
        <v>46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177</v>
      </c>
      <c r="K217" s="6">
        <v>177</v>
      </c>
      <c r="L217" s="6">
        <v>6.9720000000000004</v>
      </c>
      <c r="M217" s="6">
        <v>6.9720000000000004</v>
      </c>
      <c r="N217" s="6">
        <v>6.9720000000000004</v>
      </c>
      <c r="O217" s="6">
        <v>6.9720000000000004</v>
      </c>
      <c r="P217" s="6">
        <v>0</v>
      </c>
      <c r="Q217" s="4" t="s">
        <v>26</v>
      </c>
      <c r="R217" s="4">
        <v>0</v>
      </c>
      <c r="S217" s="6">
        <v>13</v>
      </c>
      <c r="T217" s="6">
        <v>15</v>
      </c>
      <c r="U217" s="6">
        <v>65</v>
      </c>
      <c r="V217" s="6">
        <f>IF(ISERROR(VLOOKUP($S$217,'TAR FIN'!$A$1:$O$103,15,0)),0,VLOOKUP($S$217,'TAR FIN'!$A$1:$O$103,15,0))</f>
        <v>31.72</v>
      </c>
      <c r="W217" s="6">
        <f>IF(ISERROR(VLOOKUP($T$217,'TAR FIN'!$A$1:$O$103,15,0)),0,VLOOKUP($T$217,'TAR FIN'!$A$1:$O$103,15,0))</f>
        <v>69.37</v>
      </c>
      <c r="X217" s="6">
        <f>IF(ISERROR(VLOOKUP($U$217,'TAR FIN'!$A$1:$O$103,15,0)),0,VLOOKUP($U$217,'TAR FIN'!$A$1:$O$103,15,0))</f>
        <v>454.9</v>
      </c>
      <c r="Y217" s="6">
        <f ca="1">('TUSD BE'!$AM$15+'TUSD BF'!$AM$15+'TUSD CVA'!$AM$15)*1</f>
        <v>42.424687369311435</v>
      </c>
      <c r="Z217" s="6">
        <f ca="1">('TUSD BE'!$AM$17+'TUSD BF'!$AM$17+'TUSD CVA'!$AM$17)*1</f>
        <v>111.236500713561</v>
      </c>
      <c r="AA217" s="6">
        <f>('TE BE'!$AB$8+'TE BF'!$AB$8+'TE CVA'!$AB$8)*1</f>
        <v>415.05449050541699</v>
      </c>
      <c r="AB217" s="6">
        <f>$K$217*$V$217</f>
        <v>5614.44</v>
      </c>
      <c r="AC217" s="6">
        <f>$M$217*$W$217</f>
        <v>483.64764000000008</v>
      </c>
      <c r="AD217" s="6">
        <f>$O$217*$X$217</f>
        <v>3171.5628000000002</v>
      </c>
      <c r="AE217" s="6">
        <f ca="1">$K$217*$Y$217</f>
        <v>7509.1696643681244</v>
      </c>
      <c r="AF217" s="6">
        <f ca="1">$M$217*$Z$217</f>
        <v>775.54088297494729</v>
      </c>
      <c r="AG217" s="6">
        <f>$O$217*$AA$217</f>
        <v>2893.7599078037674</v>
      </c>
    </row>
    <row r="218" spans="1:33" ht="11.25" customHeight="1" x14ac:dyDescent="0.25">
      <c r="A218" s="4" t="s">
        <v>21</v>
      </c>
      <c r="B218" s="4" t="s">
        <v>33</v>
      </c>
      <c r="C218" s="4" t="s">
        <v>41</v>
      </c>
      <c r="D218" s="4" t="s">
        <v>46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153</v>
      </c>
      <c r="K218" s="6">
        <v>153</v>
      </c>
      <c r="L218" s="6">
        <v>7.0359999999999996</v>
      </c>
      <c r="M218" s="6">
        <v>7.0359999999999996</v>
      </c>
      <c r="N218" s="6">
        <v>7.0359999999999996</v>
      </c>
      <c r="O218" s="6">
        <v>7.0359999999999996</v>
      </c>
      <c r="P218" s="6">
        <v>0</v>
      </c>
      <c r="Q218" s="4" t="s">
        <v>26</v>
      </c>
      <c r="R218" s="4">
        <v>0</v>
      </c>
      <c r="S218" s="6">
        <v>13</v>
      </c>
      <c r="T218" s="6">
        <v>15</v>
      </c>
      <c r="U218" s="6">
        <v>65</v>
      </c>
      <c r="V218" s="6">
        <f>IF(ISERROR(VLOOKUP($S$218,'TAR FIN'!$A$1:$O$103,15,0)),0,VLOOKUP($S$218,'TAR FIN'!$A$1:$O$103,15,0))</f>
        <v>31.72</v>
      </c>
      <c r="W218" s="6">
        <f>IF(ISERROR(VLOOKUP($T$218,'TAR FIN'!$A$1:$O$103,15,0)),0,VLOOKUP($T$218,'TAR FIN'!$A$1:$O$103,15,0))</f>
        <v>69.37</v>
      </c>
      <c r="X218" s="6">
        <f>IF(ISERROR(VLOOKUP($U$218,'TAR FIN'!$A$1:$O$103,15,0)),0,VLOOKUP($U$218,'TAR FIN'!$A$1:$O$103,15,0))</f>
        <v>454.9</v>
      </c>
      <c r="Y218" s="6">
        <f ca="1">('TUSD BE'!$AM$15+'TUSD BF'!$AM$15+'TUSD CVA'!$AM$15)*1</f>
        <v>42.424687369311435</v>
      </c>
      <c r="Z218" s="6">
        <f ca="1">('TUSD BE'!$AM$17+'TUSD BF'!$AM$17+'TUSD CVA'!$AM$17)*1</f>
        <v>111.236500713561</v>
      </c>
      <c r="AA218" s="6">
        <f>('TE BE'!$AB$8+'TE BF'!$AB$8+'TE CVA'!$AB$8)*1</f>
        <v>415.05449050541699</v>
      </c>
      <c r="AB218" s="6">
        <f>$K$218*$V$218</f>
        <v>4853.16</v>
      </c>
      <c r="AC218" s="6">
        <f>$M$218*$W$218</f>
        <v>488.08731999999998</v>
      </c>
      <c r="AD218" s="6">
        <f>$O$218*$X$218</f>
        <v>3200.6763999999998</v>
      </c>
      <c r="AE218" s="6">
        <f ca="1">$K$218*$Y$218</f>
        <v>6490.9771675046495</v>
      </c>
      <c r="AF218" s="6">
        <f ca="1">$M$218*$Z$218</f>
        <v>782.6600190206151</v>
      </c>
      <c r="AG218" s="6">
        <f>$O$218*$AA$218</f>
        <v>2920.3233951961138</v>
      </c>
    </row>
    <row r="219" spans="1:33" ht="11.25" customHeight="1" x14ac:dyDescent="0.25">
      <c r="A219" s="4" t="s">
        <v>21</v>
      </c>
      <c r="B219" s="4" t="s">
        <v>33</v>
      </c>
      <c r="C219" s="4" t="s">
        <v>41</v>
      </c>
      <c r="D219" s="4" t="s">
        <v>46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44621</v>
      </c>
      <c r="J219" s="6">
        <v>187</v>
      </c>
      <c r="K219" s="6">
        <v>187</v>
      </c>
      <c r="L219" s="6">
        <v>7.6870000000000003</v>
      </c>
      <c r="M219" s="6">
        <v>7.6870000000000003</v>
      </c>
      <c r="N219" s="6">
        <v>7.6870000000000003</v>
      </c>
      <c r="O219" s="6">
        <v>7.6870000000000003</v>
      </c>
      <c r="P219" s="6">
        <v>0</v>
      </c>
      <c r="Q219" s="4" t="s">
        <v>26</v>
      </c>
      <c r="R219" s="4">
        <v>0</v>
      </c>
      <c r="S219" s="6">
        <v>13</v>
      </c>
      <c r="T219" s="6">
        <v>15</v>
      </c>
      <c r="U219" s="6">
        <v>65</v>
      </c>
      <c r="V219" s="6">
        <f>IF(ISERROR(VLOOKUP($S$219,'TAR FIN'!$A$1:$O$103,15,0)),0,VLOOKUP($S$219,'TAR FIN'!$A$1:$O$103,15,0))</f>
        <v>31.72</v>
      </c>
      <c r="W219" s="6">
        <f>IF(ISERROR(VLOOKUP($T$219,'TAR FIN'!$A$1:$O$103,15,0)),0,VLOOKUP($T$219,'TAR FIN'!$A$1:$O$103,15,0))</f>
        <v>69.37</v>
      </c>
      <c r="X219" s="6">
        <f>IF(ISERROR(VLOOKUP($U$219,'TAR FIN'!$A$1:$O$103,15,0)),0,VLOOKUP($U$219,'TAR FIN'!$A$1:$O$103,15,0))</f>
        <v>454.9</v>
      </c>
      <c r="Y219" s="6">
        <f ca="1">('TUSD BE'!$AM$15+'TUSD BF'!$AM$15+'TUSD CVA'!$AM$15)*1</f>
        <v>42.424687369311435</v>
      </c>
      <c r="Z219" s="6">
        <f ca="1">('TUSD BE'!$AM$17+'TUSD BF'!$AM$17+'TUSD CVA'!$AM$17)*1</f>
        <v>111.236500713561</v>
      </c>
      <c r="AA219" s="6">
        <f>('TE BE'!$AB$8+'TE BF'!$AB$8+'TE CVA'!$AB$8)*1</f>
        <v>415.05449050541699</v>
      </c>
      <c r="AB219" s="6">
        <f>$K$219*$V$219</f>
        <v>5931.6399999999994</v>
      </c>
      <c r="AC219" s="6">
        <f>$M$219*$W$219</f>
        <v>533.24719000000005</v>
      </c>
      <c r="AD219" s="6">
        <f>$O$219*$X$219</f>
        <v>3496.8163</v>
      </c>
      <c r="AE219" s="6">
        <f ca="1">$K$219*$Y$219</f>
        <v>7933.4165380612385</v>
      </c>
      <c r="AF219" s="6">
        <f ca="1">$M$219*$Z$219</f>
        <v>855.07498098514338</v>
      </c>
      <c r="AG219" s="6">
        <f>$O$219*$AA$219</f>
        <v>3190.5238685151407</v>
      </c>
    </row>
    <row r="220" spans="1:33" ht="11.25" customHeight="1" x14ac:dyDescent="0.25">
      <c r="A220" s="4" t="s">
        <v>21</v>
      </c>
      <c r="B220" s="4" t="s">
        <v>33</v>
      </c>
      <c r="C220" s="4" t="s">
        <v>41</v>
      </c>
      <c r="D220" s="4" t="s">
        <v>46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44652</v>
      </c>
      <c r="J220" s="6">
        <v>128</v>
      </c>
      <c r="K220" s="6">
        <v>128</v>
      </c>
      <c r="L220" s="6">
        <v>5.65</v>
      </c>
      <c r="M220" s="6">
        <v>5.65</v>
      </c>
      <c r="N220" s="6">
        <v>5.65</v>
      </c>
      <c r="O220" s="6">
        <v>5.65</v>
      </c>
      <c r="P220" s="6">
        <v>0</v>
      </c>
      <c r="Q220" s="4" t="s">
        <v>26</v>
      </c>
      <c r="R220" s="4">
        <v>0</v>
      </c>
      <c r="S220" s="6">
        <v>13</v>
      </c>
      <c r="T220" s="6">
        <v>15</v>
      </c>
      <c r="U220" s="6">
        <v>65</v>
      </c>
      <c r="V220" s="6">
        <f>IF(ISERROR(VLOOKUP($S$220,'TAR FIN'!$A$1:$O$103,15,0)),0,VLOOKUP($S$220,'TAR FIN'!$A$1:$O$103,15,0))</f>
        <v>31.72</v>
      </c>
      <c r="W220" s="6">
        <f>IF(ISERROR(VLOOKUP($T$220,'TAR FIN'!$A$1:$O$103,15,0)),0,VLOOKUP($T$220,'TAR FIN'!$A$1:$O$103,15,0))</f>
        <v>69.37</v>
      </c>
      <c r="X220" s="6">
        <f>IF(ISERROR(VLOOKUP($U$220,'TAR FIN'!$A$1:$O$103,15,0)),0,VLOOKUP($U$220,'TAR FIN'!$A$1:$O$103,15,0))</f>
        <v>454.9</v>
      </c>
      <c r="Y220" s="6">
        <f ca="1">('TUSD BE'!$AM$15+'TUSD BF'!$AM$15+'TUSD CVA'!$AM$15)*1</f>
        <v>42.424687369311435</v>
      </c>
      <c r="Z220" s="6">
        <f ca="1">('TUSD BE'!$AM$17+'TUSD BF'!$AM$17+'TUSD CVA'!$AM$17)*1</f>
        <v>111.236500713561</v>
      </c>
      <c r="AA220" s="6">
        <f>('TE BE'!$AB$8+'TE BF'!$AB$8+'TE CVA'!$AB$8)*1</f>
        <v>415.05449050541699</v>
      </c>
      <c r="AB220" s="6">
        <f>$K$220*$V$220</f>
        <v>4060.16</v>
      </c>
      <c r="AC220" s="6">
        <f>$M$220*$W$220</f>
        <v>391.94050000000004</v>
      </c>
      <c r="AD220" s="6">
        <f>$O$220*$X$220</f>
        <v>2570.1849999999999</v>
      </c>
      <c r="AE220" s="6">
        <f ca="1">$K$220*$Y$220</f>
        <v>5430.3599832718637</v>
      </c>
      <c r="AF220" s="6">
        <f ca="1">$M$220*$Z$220</f>
        <v>628.4862290316197</v>
      </c>
      <c r="AG220" s="6">
        <f>$O$220*$AA$220</f>
        <v>2345.057871355606</v>
      </c>
    </row>
    <row r="221" spans="1:33" ht="11.25" customHeight="1" x14ac:dyDescent="0.25">
      <c r="A221" s="4" t="s">
        <v>21</v>
      </c>
      <c r="B221" s="4" t="s">
        <v>33</v>
      </c>
      <c r="C221" s="4" t="s">
        <v>41</v>
      </c>
      <c r="D221" s="4" t="s">
        <v>46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44682</v>
      </c>
      <c r="J221" s="6">
        <v>135</v>
      </c>
      <c r="K221" s="6">
        <v>135</v>
      </c>
      <c r="L221" s="6">
        <v>6.0190000000000001</v>
      </c>
      <c r="M221" s="6">
        <v>6.0190000000000001</v>
      </c>
      <c r="N221" s="6">
        <v>6.0190000000000001</v>
      </c>
      <c r="O221" s="6">
        <v>6.0190000000000001</v>
      </c>
      <c r="P221" s="6">
        <v>0</v>
      </c>
      <c r="Q221" s="4" t="s">
        <v>26</v>
      </c>
      <c r="R221" s="4">
        <v>0</v>
      </c>
      <c r="S221" s="6">
        <v>13</v>
      </c>
      <c r="T221" s="6">
        <v>15</v>
      </c>
      <c r="U221" s="6">
        <v>65</v>
      </c>
      <c r="V221" s="6">
        <f>IF(ISERROR(VLOOKUP($S$221,'TAR FIN'!$A$1:$O$103,15,0)),0,VLOOKUP($S$221,'TAR FIN'!$A$1:$O$103,15,0))</f>
        <v>31.72</v>
      </c>
      <c r="W221" s="6">
        <f>IF(ISERROR(VLOOKUP($T$221,'TAR FIN'!$A$1:$O$103,15,0)),0,VLOOKUP($T$221,'TAR FIN'!$A$1:$O$103,15,0))</f>
        <v>69.37</v>
      </c>
      <c r="X221" s="6">
        <f>IF(ISERROR(VLOOKUP($U$221,'TAR FIN'!$A$1:$O$103,15,0)),0,VLOOKUP($U$221,'TAR FIN'!$A$1:$O$103,15,0))</f>
        <v>454.9</v>
      </c>
      <c r="Y221" s="6">
        <f ca="1">('TUSD BE'!$AM$15+'TUSD BF'!$AM$15+'TUSD CVA'!$AM$15)*1</f>
        <v>42.424687369311435</v>
      </c>
      <c r="Z221" s="6">
        <f ca="1">('TUSD BE'!$AM$17+'TUSD BF'!$AM$17+'TUSD CVA'!$AM$17)*1</f>
        <v>111.236500713561</v>
      </c>
      <c r="AA221" s="6">
        <f>('TE BE'!$AB$8+'TE BF'!$AB$8+'TE CVA'!$AB$8)*1</f>
        <v>415.05449050541699</v>
      </c>
      <c r="AB221" s="6">
        <f>$K$221*$V$221</f>
        <v>4282.2</v>
      </c>
      <c r="AC221" s="6">
        <f>$M$221*$W$221</f>
        <v>417.53803000000005</v>
      </c>
      <c r="AD221" s="6">
        <f>$O$221*$X$221</f>
        <v>2738.0430999999999</v>
      </c>
      <c r="AE221" s="6">
        <f ca="1">$K$221*$Y$221</f>
        <v>5727.3327948570441</v>
      </c>
      <c r="AF221" s="6">
        <f ca="1">$M$221*$Z$221</f>
        <v>669.53249779492364</v>
      </c>
      <c r="AG221" s="6">
        <f>$O$221*$AA$221</f>
        <v>2498.212978352105</v>
      </c>
    </row>
    <row r="222" spans="1:33" ht="11.25" customHeight="1" x14ac:dyDescent="0.25">
      <c r="A222" s="4" t="s">
        <v>21</v>
      </c>
      <c r="B222" s="4" t="s">
        <v>33</v>
      </c>
      <c r="C222" s="4" t="s">
        <v>41</v>
      </c>
      <c r="D222" s="4" t="s">
        <v>50</v>
      </c>
      <c r="E222" s="4" t="s">
        <v>51</v>
      </c>
      <c r="F222" s="4" t="s">
        <v>25</v>
      </c>
      <c r="G222" s="4" t="s">
        <v>25</v>
      </c>
      <c r="H222" s="4" t="s">
        <v>35</v>
      </c>
      <c r="I222" s="5">
        <v>44348</v>
      </c>
      <c r="J222" s="6">
        <v>228</v>
      </c>
      <c r="K222" s="52">
        <v>228</v>
      </c>
      <c r="L222" s="6">
        <v>32.115000000000002</v>
      </c>
      <c r="M222" s="53">
        <v>32.115000000000002</v>
      </c>
      <c r="N222" s="6">
        <v>32.115000000000002</v>
      </c>
      <c r="O222" s="53">
        <v>32.115000000000002</v>
      </c>
      <c r="P222" s="6">
        <v>0</v>
      </c>
      <c r="Q222" s="4" t="s">
        <v>26</v>
      </c>
      <c r="R222" s="4">
        <v>0</v>
      </c>
      <c r="S222" s="6">
        <v>14</v>
      </c>
      <c r="T222" s="6">
        <v>15</v>
      </c>
      <c r="U222" s="6">
        <v>66</v>
      </c>
      <c r="V222" s="53">
        <f>IF(ISERROR(VLOOKUP($S$222,'TAR FIN'!$A$1:$O$103,15,0)),0,VLOOKUP($S$222,'TAR FIN'!$A$1:$O$103,15,0))*(1-0.06)</f>
        <v>11.674799999999999</v>
      </c>
      <c r="W222" s="53">
        <f>IF(ISERROR(VLOOKUP($T$222,'TAR FIN'!$A$1:$O$103,15,0)),0,VLOOKUP($T$222,'TAR FIN'!$A$1:$O$103,15,0))*(1-0.06)</f>
        <v>65.207800000000006</v>
      </c>
      <c r="X222" s="53">
        <f>IF(ISERROR(VLOOKUP($U$222,'TAR FIN'!$A$1:$O$103,15,0)),0,VLOOKUP($U$222,'TAR FIN'!$A$1:$O$103,15,0))*(1-0.06)</f>
        <v>267.29840000000002</v>
      </c>
      <c r="Y222" s="53">
        <f ca="1">('TUSD BE'!$AM$16+'TUSD BF'!$AM$16+'TUSD CVA'!$AM$16)*1*(1-0.03)</f>
        <v>16.022755556621018</v>
      </c>
      <c r="Z222" s="53">
        <f ca="1">('TUSD BE'!$AM$17+'TUSD BF'!$AM$17+'TUSD CVA'!$AM$17)*1*(1-0.03)</f>
        <v>107.89940569215416</v>
      </c>
      <c r="AA222" s="53">
        <f>('TE BE'!$AB$9+'TE BF'!$AB$9+'TE CVA'!$AB$9)*1*(1-0.03)</f>
        <v>251.26567196807298</v>
      </c>
      <c r="AB222" s="6">
        <f>$K$222*$V$222</f>
        <v>2661.8543999999997</v>
      </c>
      <c r="AC222" s="6">
        <f>$M$222*$W$222</f>
        <v>2094.1484970000001</v>
      </c>
      <c r="AD222" s="6">
        <f>$O$222*$X$222</f>
        <v>8584.2881160000015</v>
      </c>
      <c r="AE222" s="6">
        <f ca="1">$K$222*$Y$222</f>
        <v>3653.1882669095921</v>
      </c>
      <c r="AF222" s="6">
        <f ca="1">$M$222*$Z$222</f>
        <v>3465.1894138035309</v>
      </c>
      <c r="AG222" s="6">
        <f>$O$222*$AA$222</f>
        <v>8069.3970552546643</v>
      </c>
    </row>
    <row r="223" spans="1:33" ht="11.25" customHeight="1" x14ac:dyDescent="0.25">
      <c r="A223" s="4" t="s">
        <v>21</v>
      </c>
      <c r="B223" s="4" t="s">
        <v>33</v>
      </c>
      <c r="C223" s="4" t="s">
        <v>41</v>
      </c>
      <c r="D223" s="4" t="s">
        <v>50</v>
      </c>
      <c r="E223" s="4" t="s">
        <v>51</v>
      </c>
      <c r="F223" s="4" t="s">
        <v>25</v>
      </c>
      <c r="G223" s="4" t="s">
        <v>25</v>
      </c>
      <c r="H223" s="4" t="s">
        <v>35</v>
      </c>
      <c r="I223" s="5">
        <v>44378</v>
      </c>
      <c r="J223" s="6">
        <v>228</v>
      </c>
      <c r="K223" s="52">
        <v>228</v>
      </c>
      <c r="L223" s="6">
        <v>48.148000000000003</v>
      </c>
      <c r="M223" s="53">
        <v>48.148000000000003</v>
      </c>
      <c r="N223" s="6">
        <v>48.148000000000003</v>
      </c>
      <c r="O223" s="53">
        <v>48.148000000000003</v>
      </c>
      <c r="P223" s="6">
        <v>0</v>
      </c>
      <c r="Q223" s="4" t="s">
        <v>26</v>
      </c>
      <c r="R223" s="4">
        <v>0</v>
      </c>
      <c r="S223" s="6">
        <v>14</v>
      </c>
      <c r="T223" s="6">
        <v>15</v>
      </c>
      <c r="U223" s="6">
        <v>66</v>
      </c>
      <c r="V223" s="53">
        <f>IF(ISERROR(VLOOKUP($S$223,'TAR FIN'!$A$1:$O$103,15,0)),0,VLOOKUP($S$223,'TAR FIN'!$A$1:$O$103,15,0))*(1-0.06)</f>
        <v>11.674799999999999</v>
      </c>
      <c r="W223" s="53">
        <f>IF(ISERROR(VLOOKUP($T$223,'TAR FIN'!$A$1:$O$103,15,0)),0,VLOOKUP($T$223,'TAR FIN'!$A$1:$O$103,15,0))*(1-0.06)</f>
        <v>65.207800000000006</v>
      </c>
      <c r="X223" s="53">
        <f>IF(ISERROR(VLOOKUP($U$223,'TAR FIN'!$A$1:$O$103,15,0)),0,VLOOKUP($U$223,'TAR FIN'!$A$1:$O$103,15,0))*(1-0.06)</f>
        <v>267.29840000000002</v>
      </c>
      <c r="Y223" s="53">
        <f ca="1">('TUSD BE'!$AM$16+'TUSD BF'!$AM$16+'TUSD CVA'!$AM$16)*1*(1-0.03)</f>
        <v>16.022755556621018</v>
      </c>
      <c r="Z223" s="53">
        <f ca="1">('TUSD BE'!$AM$17+'TUSD BF'!$AM$17+'TUSD CVA'!$AM$17)*1*(1-0.03)</f>
        <v>107.89940569215416</v>
      </c>
      <c r="AA223" s="53">
        <f>('TE BE'!$AB$9+'TE BF'!$AB$9+'TE CVA'!$AB$9)*1*(1-0.03)</f>
        <v>251.26567196807298</v>
      </c>
      <c r="AB223" s="6">
        <f>$K$223*$V$223</f>
        <v>2661.8543999999997</v>
      </c>
      <c r="AC223" s="6">
        <f>$M$223*$W$223</f>
        <v>3139.6251544000006</v>
      </c>
      <c r="AD223" s="6">
        <f>$O$223*$X$223</f>
        <v>12869.883363200002</v>
      </c>
      <c r="AE223" s="6">
        <f ca="1">$K$223*$Y$223</f>
        <v>3653.1882669095921</v>
      </c>
      <c r="AF223" s="6">
        <f ca="1">$M$223*$Z$223</f>
        <v>5195.140585265839</v>
      </c>
      <c r="AG223" s="6">
        <f>$O$223*$AA$223</f>
        <v>12097.939573918778</v>
      </c>
    </row>
    <row r="224" spans="1:33" ht="11.25" customHeight="1" x14ac:dyDescent="0.25">
      <c r="A224" s="4" t="s">
        <v>21</v>
      </c>
      <c r="B224" s="4" t="s">
        <v>33</v>
      </c>
      <c r="C224" s="4" t="s">
        <v>41</v>
      </c>
      <c r="D224" s="4" t="s">
        <v>50</v>
      </c>
      <c r="E224" s="4" t="s">
        <v>51</v>
      </c>
      <c r="F224" s="4" t="s">
        <v>25</v>
      </c>
      <c r="G224" s="4" t="s">
        <v>25</v>
      </c>
      <c r="H224" s="4" t="s">
        <v>35</v>
      </c>
      <c r="I224" s="5">
        <v>44409</v>
      </c>
      <c r="J224" s="6">
        <v>228</v>
      </c>
      <c r="K224" s="52">
        <v>228</v>
      </c>
      <c r="L224" s="6">
        <v>47.905000000000001</v>
      </c>
      <c r="M224" s="53">
        <v>47.905000000000001</v>
      </c>
      <c r="N224" s="6">
        <v>47.905000000000001</v>
      </c>
      <c r="O224" s="53">
        <v>47.905000000000001</v>
      </c>
      <c r="P224" s="6">
        <v>0</v>
      </c>
      <c r="Q224" s="4" t="s">
        <v>26</v>
      </c>
      <c r="R224" s="4">
        <v>0</v>
      </c>
      <c r="S224" s="6">
        <v>14</v>
      </c>
      <c r="T224" s="6">
        <v>15</v>
      </c>
      <c r="U224" s="6">
        <v>66</v>
      </c>
      <c r="V224" s="53">
        <f>IF(ISERROR(VLOOKUP($S$224,'TAR FIN'!$A$1:$O$103,15,0)),0,VLOOKUP($S$224,'TAR FIN'!$A$1:$O$103,15,0))*(1-0.06)</f>
        <v>11.674799999999999</v>
      </c>
      <c r="W224" s="53">
        <f>IF(ISERROR(VLOOKUP($T$224,'TAR FIN'!$A$1:$O$103,15,0)),0,VLOOKUP($T$224,'TAR FIN'!$A$1:$O$103,15,0))*(1-0.06)</f>
        <v>65.207800000000006</v>
      </c>
      <c r="X224" s="53">
        <f>IF(ISERROR(VLOOKUP($U$224,'TAR FIN'!$A$1:$O$103,15,0)),0,VLOOKUP($U$224,'TAR FIN'!$A$1:$O$103,15,0))*(1-0.06)</f>
        <v>267.29840000000002</v>
      </c>
      <c r="Y224" s="53">
        <f ca="1">('TUSD BE'!$AM$16+'TUSD BF'!$AM$16+'TUSD CVA'!$AM$16)*1*(1-0.03)</f>
        <v>16.022755556621018</v>
      </c>
      <c r="Z224" s="53">
        <f ca="1">('TUSD BE'!$AM$17+'TUSD BF'!$AM$17+'TUSD CVA'!$AM$17)*1*(1-0.03)</f>
        <v>107.89940569215416</v>
      </c>
      <c r="AA224" s="53">
        <f>('TE BE'!$AB$9+'TE BF'!$AB$9+'TE CVA'!$AB$9)*1*(1-0.03)</f>
        <v>251.26567196807298</v>
      </c>
      <c r="AB224" s="6">
        <f>$K$224*$V$224</f>
        <v>2661.8543999999997</v>
      </c>
      <c r="AC224" s="6">
        <f>$M$224*$W$224</f>
        <v>3123.7796590000003</v>
      </c>
      <c r="AD224" s="6">
        <f>$O$224*$X$224</f>
        <v>12804.929852000001</v>
      </c>
      <c r="AE224" s="6">
        <f ca="1">$K$224*$Y$224</f>
        <v>3653.1882669095921</v>
      </c>
      <c r="AF224" s="6">
        <f ca="1">$M$224*$Z$224</f>
        <v>5168.921029682645</v>
      </c>
      <c r="AG224" s="6">
        <f>$O$224*$AA$224</f>
        <v>12036.882015630536</v>
      </c>
    </row>
    <row r="225" spans="1:33" ht="11.25" customHeight="1" x14ac:dyDescent="0.25">
      <c r="A225" s="4" t="s">
        <v>21</v>
      </c>
      <c r="B225" s="4" t="s">
        <v>33</v>
      </c>
      <c r="C225" s="4" t="s">
        <v>41</v>
      </c>
      <c r="D225" s="4" t="s">
        <v>50</v>
      </c>
      <c r="E225" s="4" t="s">
        <v>51</v>
      </c>
      <c r="F225" s="4" t="s">
        <v>25</v>
      </c>
      <c r="G225" s="4" t="s">
        <v>25</v>
      </c>
      <c r="H225" s="4" t="s">
        <v>35</v>
      </c>
      <c r="I225" s="5">
        <v>44440</v>
      </c>
      <c r="J225" s="6">
        <v>228</v>
      </c>
      <c r="K225" s="52">
        <v>228</v>
      </c>
      <c r="L225" s="6">
        <v>33.082999999999998</v>
      </c>
      <c r="M225" s="53">
        <v>33.082999999999998</v>
      </c>
      <c r="N225" s="6">
        <v>33.082999999999998</v>
      </c>
      <c r="O225" s="53">
        <v>33.082999999999998</v>
      </c>
      <c r="P225" s="6">
        <v>0</v>
      </c>
      <c r="Q225" s="4" t="s">
        <v>26</v>
      </c>
      <c r="R225" s="4">
        <v>0</v>
      </c>
      <c r="S225" s="6">
        <v>14</v>
      </c>
      <c r="T225" s="6">
        <v>15</v>
      </c>
      <c r="U225" s="6">
        <v>66</v>
      </c>
      <c r="V225" s="53">
        <f>IF(ISERROR(VLOOKUP($S$225,'TAR FIN'!$A$1:$O$103,15,0)),0,VLOOKUP($S$225,'TAR FIN'!$A$1:$O$103,15,0))*(1-0.06)</f>
        <v>11.674799999999999</v>
      </c>
      <c r="W225" s="53">
        <f>IF(ISERROR(VLOOKUP($T$225,'TAR FIN'!$A$1:$O$103,15,0)),0,VLOOKUP($T$225,'TAR FIN'!$A$1:$O$103,15,0))*(1-0.06)</f>
        <v>65.207800000000006</v>
      </c>
      <c r="X225" s="53">
        <f>IF(ISERROR(VLOOKUP($U$225,'TAR FIN'!$A$1:$O$103,15,0)),0,VLOOKUP($U$225,'TAR FIN'!$A$1:$O$103,15,0))*(1-0.06)</f>
        <v>267.29840000000002</v>
      </c>
      <c r="Y225" s="53">
        <f ca="1">('TUSD BE'!$AM$16+'TUSD BF'!$AM$16+'TUSD CVA'!$AM$16)*1*(1-0.03)</f>
        <v>16.022755556621018</v>
      </c>
      <c r="Z225" s="53">
        <f ca="1">('TUSD BE'!$AM$17+'TUSD BF'!$AM$17+'TUSD CVA'!$AM$17)*1*(1-0.03)</f>
        <v>107.89940569215416</v>
      </c>
      <c r="AA225" s="53">
        <f>('TE BE'!$AB$9+'TE BF'!$AB$9+'TE CVA'!$AB$9)*1*(1-0.03)</f>
        <v>251.26567196807298</v>
      </c>
      <c r="AB225" s="6">
        <f>$K$225*$V$225</f>
        <v>2661.8543999999997</v>
      </c>
      <c r="AC225" s="6">
        <f>$M$225*$W$225</f>
        <v>2157.2696473999999</v>
      </c>
      <c r="AD225" s="6">
        <f>$O$225*$X$225</f>
        <v>8843.0329672000007</v>
      </c>
      <c r="AE225" s="6">
        <f ca="1">$K$225*$Y$225</f>
        <v>3653.1882669095921</v>
      </c>
      <c r="AF225" s="6">
        <f ca="1">$M$225*$Z$225</f>
        <v>3569.6360385135358</v>
      </c>
      <c r="AG225" s="6">
        <f>$O$225*$AA$225</f>
        <v>8312.6222257197587</v>
      </c>
    </row>
    <row r="226" spans="1:33" ht="11.25" customHeight="1" x14ac:dyDescent="0.25">
      <c r="A226" s="4" t="s">
        <v>21</v>
      </c>
      <c r="B226" s="4" t="s">
        <v>33</v>
      </c>
      <c r="C226" s="4" t="s">
        <v>41</v>
      </c>
      <c r="D226" s="4" t="s">
        <v>50</v>
      </c>
      <c r="E226" s="4" t="s">
        <v>51</v>
      </c>
      <c r="F226" s="4" t="s">
        <v>25</v>
      </c>
      <c r="G226" s="4" t="s">
        <v>25</v>
      </c>
      <c r="H226" s="4" t="s">
        <v>35</v>
      </c>
      <c r="I226" s="5">
        <v>44470</v>
      </c>
      <c r="J226" s="6">
        <v>228</v>
      </c>
      <c r="K226" s="52">
        <v>228</v>
      </c>
      <c r="L226" s="6">
        <v>61.505000000000003</v>
      </c>
      <c r="M226" s="53">
        <v>61.505000000000003</v>
      </c>
      <c r="N226" s="6">
        <v>61.505000000000003</v>
      </c>
      <c r="O226" s="53">
        <v>61.505000000000003</v>
      </c>
      <c r="P226" s="6">
        <v>0</v>
      </c>
      <c r="Q226" s="4" t="s">
        <v>26</v>
      </c>
      <c r="R226" s="4">
        <v>0</v>
      </c>
      <c r="S226" s="6">
        <v>14</v>
      </c>
      <c r="T226" s="6">
        <v>15</v>
      </c>
      <c r="U226" s="6">
        <v>66</v>
      </c>
      <c r="V226" s="53">
        <f>IF(ISERROR(VLOOKUP($S$226,'TAR FIN'!$A$1:$O$103,15,0)),0,VLOOKUP($S$226,'TAR FIN'!$A$1:$O$103,15,0))*(1-0.06)</f>
        <v>11.674799999999999</v>
      </c>
      <c r="W226" s="53">
        <f>IF(ISERROR(VLOOKUP($T$226,'TAR FIN'!$A$1:$O$103,15,0)),0,VLOOKUP($T$226,'TAR FIN'!$A$1:$O$103,15,0))*(1-0.06)</f>
        <v>65.207800000000006</v>
      </c>
      <c r="X226" s="53">
        <f>IF(ISERROR(VLOOKUP($U$226,'TAR FIN'!$A$1:$O$103,15,0)),0,VLOOKUP($U$226,'TAR FIN'!$A$1:$O$103,15,0))*(1-0.06)</f>
        <v>267.29840000000002</v>
      </c>
      <c r="Y226" s="53">
        <f ca="1">('TUSD BE'!$AM$16+'TUSD BF'!$AM$16+'TUSD CVA'!$AM$16)*1*(1-0.03)</f>
        <v>16.022755556621018</v>
      </c>
      <c r="Z226" s="53">
        <f ca="1">('TUSD BE'!$AM$17+'TUSD BF'!$AM$17+'TUSD CVA'!$AM$17)*1*(1-0.03)</f>
        <v>107.89940569215416</v>
      </c>
      <c r="AA226" s="53">
        <f>('TE BE'!$AB$9+'TE BF'!$AB$9+'TE CVA'!$AB$9)*1*(1-0.03)</f>
        <v>251.26567196807298</v>
      </c>
      <c r="AB226" s="6">
        <f>$K$226*$V$226</f>
        <v>2661.8543999999997</v>
      </c>
      <c r="AC226" s="6">
        <f>$M$226*$W$226</f>
        <v>4010.6057390000005</v>
      </c>
      <c r="AD226" s="6">
        <f>$O$226*$X$226</f>
        <v>16440.188092</v>
      </c>
      <c r="AE226" s="6">
        <f ca="1">$K$226*$Y$226</f>
        <v>3653.1882669095921</v>
      </c>
      <c r="AF226" s="6">
        <f ca="1">$M$226*$Z$226</f>
        <v>6636.352947095942</v>
      </c>
      <c r="AG226" s="6">
        <f>$O$226*$AA$226</f>
        <v>15454.095154396329</v>
      </c>
    </row>
    <row r="227" spans="1:33" ht="11.25" customHeight="1" x14ac:dyDescent="0.25">
      <c r="A227" s="4" t="s">
        <v>21</v>
      </c>
      <c r="B227" s="4" t="s">
        <v>33</v>
      </c>
      <c r="C227" s="4" t="s">
        <v>41</v>
      </c>
      <c r="D227" s="4" t="s">
        <v>50</v>
      </c>
      <c r="E227" s="4" t="s">
        <v>51</v>
      </c>
      <c r="F227" s="4" t="s">
        <v>25</v>
      </c>
      <c r="G227" s="4" t="s">
        <v>25</v>
      </c>
      <c r="H227" s="4" t="s">
        <v>35</v>
      </c>
      <c r="I227" s="5">
        <v>44501</v>
      </c>
      <c r="J227" s="6">
        <v>228</v>
      </c>
      <c r="K227" s="52">
        <v>228</v>
      </c>
      <c r="L227" s="6">
        <v>38.808</v>
      </c>
      <c r="M227" s="53">
        <v>38.808</v>
      </c>
      <c r="N227" s="6">
        <v>38.808</v>
      </c>
      <c r="O227" s="53">
        <v>38.808</v>
      </c>
      <c r="P227" s="6">
        <v>0</v>
      </c>
      <c r="Q227" s="4" t="s">
        <v>26</v>
      </c>
      <c r="R227" s="4">
        <v>0</v>
      </c>
      <c r="S227" s="6">
        <v>14</v>
      </c>
      <c r="T227" s="6">
        <v>15</v>
      </c>
      <c r="U227" s="6">
        <v>66</v>
      </c>
      <c r="V227" s="53">
        <f>IF(ISERROR(VLOOKUP($S$227,'TAR FIN'!$A$1:$O$103,15,0)),0,VLOOKUP($S$227,'TAR FIN'!$A$1:$O$103,15,0))*(1-0.06)</f>
        <v>11.674799999999999</v>
      </c>
      <c r="W227" s="53">
        <f>IF(ISERROR(VLOOKUP($T$227,'TAR FIN'!$A$1:$O$103,15,0)),0,VLOOKUP($T$227,'TAR FIN'!$A$1:$O$103,15,0))*(1-0.06)</f>
        <v>65.207800000000006</v>
      </c>
      <c r="X227" s="53">
        <f>IF(ISERROR(VLOOKUP($U$227,'TAR FIN'!$A$1:$O$103,15,0)),0,VLOOKUP($U$227,'TAR FIN'!$A$1:$O$103,15,0))*(1-0.06)</f>
        <v>267.29840000000002</v>
      </c>
      <c r="Y227" s="53">
        <f ca="1">('TUSD BE'!$AM$16+'TUSD BF'!$AM$16+'TUSD CVA'!$AM$16)*1*(1-0.03)</f>
        <v>16.022755556621018</v>
      </c>
      <c r="Z227" s="53">
        <f ca="1">('TUSD BE'!$AM$17+'TUSD BF'!$AM$17+'TUSD CVA'!$AM$17)*1*(1-0.03)</f>
        <v>107.89940569215416</v>
      </c>
      <c r="AA227" s="53">
        <f>('TE BE'!$AB$9+'TE BF'!$AB$9+'TE CVA'!$AB$9)*1*(1-0.03)</f>
        <v>251.26567196807298</v>
      </c>
      <c r="AB227" s="6">
        <f>$K$227*$V$227</f>
        <v>2661.8543999999997</v>
      </c>
      <c r="AC227" s="6">
        <f>$M$227*$W$227</f>
        <v>2530.5843024000001</v>
      </c>
      <c r="AD227" s="6">
        <f>$O$227*$X$227</f>
        <v>10373.316307200001</v>
      </c>
      <c r="AE227" s="6">
        <f ca="1">$K$227*$Y$227</f>
        <v>3653.1882669095921</v>
      </c>
      <c r="AF227" s="6">
        <f ca="1">$M$227*$Z$227</f>
        <v>4187.3601361011188</v>
      </c>
      <c r="AG227" s="6">
        <f>$O$227*$AA$227</f>
        <v>9751.1181977369761</v>
      </c>
    </row>
    <row r="228" spans="1:33" ht="11.25" customHeight="1" x14ac:dyDescent="0.25">
      <c r="A228" s="4" t="s">
        <v>21</v>
      </c>
      <c r="B228" s="4" t="s">
        <v>33</v>
      </c>
      <c r="C228" s="4" t="s">
        <v>41</v>
      </c>
      <c r="D228" s="4" t="s">
        <v>50</v>
      </c>
      <c r="E228" s="4" t="s">
        <v>51</v>
      </c>
      <c r="F228" s="4" t="s">
        <v>25</v>
      </c>
      <c r="G228" s="4" t="s">
        <v>25</v>
      </c>
      <c r="H228" s="4" t="s">
        <v>35</v>
      </c>
      <c r="I228" s="5">
        <v>44531</v>
      </c>
      <c r="J228" s="6">
        <v>228</v>
      </c>
      <c r="K228" s="52">
        <v>228</v>
      </c>
      <c r="L228" s="6">
        <v>31.431999999999999</v>
      </c>
      <c r="M228" s="53">
        <v>31.431999999999999</v>
      </c>
      <c r="N228" s="6">
        <v>31.431999999999999</v>
      </c>
      <c r="O228" s="53">
        <v>31.431999999999999</v>
      </c>
      <c r="P228" s="6">
        <v>0</v>
      </c>
      <c r="Q228" s="4" t="s">
        <v>26</v>
      </c>
      <c r="R228" s="4">
        <v>0</v>
      </c>
      <c r="S228" s="6">
        <v>14</v>
      </c>
      <c r="T228" s="6">
        <v>15</v>
      </c>
      <c r="U228" s="6">
        <v>66</v>
      </c>
      <c r="V228" s="53">
        <f>IF(ISERROR(VLOOKUP($S$228,'TAR FIN'!$A$1:$O$103,15,0)),0,VLOOKUP($S$228,'TAR FIN'!$A$1:$O$103,15,0))*(1-0.06)</f>
        <v>11.674799999999999</v>
      </c>
      <c r="W228" s="53">
        <f>IF(ISERROR(VLOOKUP($T$228,'TAR FIN'!$A$1:$O$103,15,0)),0,VLOOKUP($T$228,'TAR FIN'!$A$1:$O$103,15,0))*(1-0.06)</f>
        <v>65.207800000000006</v>
      </c>
      <c r="X228" s="53">
        <f>IF(ISERROR(VLOOKUP($U$228,'TAR FIN'!$A$1:$O$103,15,0)),0,VLOOKUP($U$228,'TAR FIN'!$A$1:$O$103,15,0))*(1-0.06)</f>
        <v>267.29840000000002</v>
      </c>
      <c r="Y228" s="53">
        <f ca="1">('TUSD BE'!$AM$16+'TUSD BF'!$AM$16+'TUSD CVA'!$AM$16)*1*(1-0.03)</f>
        <v>16.022755556621018</v>
      </c>
      <c r="Z228" s="53">
        <f ca="1">('TUSD BE'!$AM$17+'TUSD BF'!$AM$17+'TUSD CVA'!$AM$17)*1*(1-0.03)</f>
        <v>107.89940569215416</v>
      </c>
      <c r="AA228" s="53">
        <f>('TE BE'!$AB$9+'TE BF'!$AB$9+'TE CVA'!$AB$9)*1*(1-0.03)</f>
        <v>251.26567196807298</v>
      </c>
      <c r="AB228" s="6">
        <f>$K$228*$V$228</f>
        <v>2661.8543999999997</v>
      </c>
      <c r="AC228" s="6">
        <f>$M$228*$W$228</f>
        <v>2049.6115696000002</v>
      </c>
      <c r="AD228" s="6">
        <f>$O$228*$X$228</f>
        <v>8401.7233087999994</v>
      </c>
      <c r="AE228" s="6">
        <f ca="1">$K$228*$Y$228</f>
        <v>3653.1882669095921</v>
      </c>
      <c r="AF228" s="6">
        <f ca="1">$M$228*$Z$228</f>
        <v>3391.4941197157896</v>
      </c>
      <c r="AG228" s="6">
        <f>$O$228*$AA$228</f>
        <v>7897.7826013004697</v>
      </c>
    </row>
    <row r="229" spans="1:33" ht="11.25" customHeight="1" x14ac:dyDescent="0.25">
      <c r="A229" s="4" t="s">
        <v>21</v>
      </c>
      <c r="B229" s="4" t="s">
        <v>33</v>
      </c>
      <c r="C229" s="4" t="s">
        <v>41</v>
      </c>
      <c r="D229" s="4" t="s">
        <v>50</v>
      </c>
      <c r="E229" s="4" t="s">
        <v>51</v>
      </c>
      <c r="F229" s="4" t="s">
        <v>25</v>
      </c>
      <c r="G229" s="4" t="s">
        <v>25</v>
      </c>
      <c r="H229" s="4" t="s">
        <v>35</v>
      </c>
      <c r="I229" s="5">
        <v>44562</v>
      </c>
      <c r="J229" s="6">
        <v>228</v>
      </c>
      <c r="K229" s="52">
        <v>228</v>
      </c>
      <c r="L229" s="6">
        <v>37.186</v>
      </c>
      <c r="M229" s="53">
        <v>37.186</v>
      </c>
      <c r="N229" s="6">
        <v>37.186</v>
      </c>
      <c r="O229" s="53">
        <v>37.186</v>
      </c>
      <c r="P229" s="6">
        <v>0</v>
      </c>
      <c r="Q229" s="4" t="s">
        <v>26</v>
      </c>
      <c r="R229" s="4">
        <v>0</v>
      </c>
      <c r="S229" s="6">
        <v>14</v>
      </c>
      <c r="T229" s="6">
        <v>15</v>
      </c>
      <c r="U229" s="6">
        <v>66</v>
      </c>
      <c r="V229" s="53">
        <f>IF(ISERROR(VLOOKUP($S$229,'TAR FIN'!$A$1:$O$103,15,0)),0,VLOOKUP($S$229,'TAR FIN'!$A$1:$O$103,15,0))*(1-0.06)</f>
        <v>11.674799999999999</v>
      </c>
      <c r="W229" s="53">
        <f>IF(ISERROR(VLOOKUP($T$229,'TAR FIN'!$A$1:$O$103,15,0)),0,VLOOKUP($T$229,'TAR FIN'!$A$1:$O$103,15,0))*(1-0.06)</f>
        <v>65.207800000000006</v>
      </c>
      <c r="X229" s="53">
        <f>IF(ISERROR(VLOOKUP($U$229,'TAR FIN'!$A$1:$O$103,15,0)),0,VLOOKUP($U$229,'TAR FIN'!$A$1:$O$103,15,0))*(1-0.06)</f>
        <v>267.29840000000002</v>
      </c>
      <c r="Y229" s="53">
        <f ca="1">('TUSD BE'!$AM$16+'TUSD BF'!$AM$16+'TUSD CVA'!$AM$16)*1*(1-0.03)</f>
        <v>16.022755556621018</v>
      </c>
      <c r="Z229" s="53">
        <f ca="1">('TUSD BE'!$AM$17+'TUSD BF'!$AM$17+'TUSD CVA'!$AM$17)*1*(1-0.03)</f>
        <v>107.89940569215416</v>
      </c>
      <c r="AA229" s="53">
        <f>('TE BE'!$AB$9+'TE BF'!$AB$9+'TE CVA'!$AB$9)*1*(1-0.03)</f>
        <v>251.26567196807298</v>
      </c>
      <c r="AB229" s="6">
        <f>$K$229*$V$229</f>
        <v>2661.8543999999997</v>
      </c>
      <c r="AC229" s="6">
        <f>$M$229*$W$229</f>
        <v>2424.8172508000002</v>
      </c>
      <c r="AD229" s="6">
        <f>$O$229*$X$229</f>
        <v>9939.7583024000014</v>
      </c>
      <c r="AE229" s="6">
        <f ca="1">$K$229*$Y$229</f>
        <v>3653.1882669095921</v>
      </c>
      <c r="AF229" s="6">
        <f ca="1">$M$229*$Z$229</f>
        <v>4012.3473000684448</v>
      </c>
      <c r="AG229" s="6">
        <f>$O$229*$AA$229</f>
        <v>9343.5652778047624</v>
      </c>
    </row>
    <row r="230" spans="1:33" ht="11.25" customHeight="1" x14ac:dyDescent="0.25">
      <c r="A230" s="4" t="s">
        <v>21</v>
      </c>
      <c r="B230" s="4" t="s">
        <v>33</v>
      </c>
      <c r="C230" s="4" t="s">
        <v>41</v>
      </c>
      <c r="D230" s="4" t="s">
        <v>50</v>
      </c>
      <c r="E230" s="4" t="s">
        <v>51</v>
      </c>
      <c r="F230" s="4" t="s">
        <v>25</v>
      </c>
      <c r="G230" s="4" t="s">
        <v>25</v>
      </c>
      <c r="H230" s="4" t="s">
        <v>35</v>
      </c>
      <c r="I230" s="5">
        <v>44593</v>
      </c>
      <c r="J230" s="6">
        <v>228</v>
      </c>
      <c r="K230" s="52">
        <v>228</v>
      </c>
      <c r="L230" s="6">
        <v>56.317</v>
      </c>
      <c r="M230" s="53">
        <v>56.317</v>
      </c>
      <c r="N230" s="6">
        <v>56.317</v>
      </c>
      <c r="O230" s="53">
        <v>56.317</v>
      </c>
      <c r="P230" s="6">
        <v>0</v>
      </c>
      <c r="Q230" s="4" t="s">
        <v>26</v>
      </c>
      <c r="R230" s="4">
        <v>0</v>
      </c>
      <c r="S230" s="6">
        <v>14</v>
      </c>
      <c r="T230" s="6">
        <v>15</v>
      </c>
      <c r="U230" s="6">
        <v>66</v>
      </c>
      <c r="V230" s="53">
        <f>IF(ISERROR(VLOOKUP($S$230,'TAR FIN'!$A$1:$O$103,15,0)),0,VLOOKUP($S$230,'TAR FIN'!$A$1:$O$103,15,0))*(1-0.06)</f>
        <v>11.674799999999999</v>
      </c>
      <c r="W230" s="53">
        <f>IF(ISERROR(VLOOKUP($T$230,'TAR FIN'!$A$1:$O$103,15,0)),0,VLOOKUP($T$230,'TAR FIN'!$A$1:$O$103,15,0))*(1-0.06)</f>
        <v>65.207800000000006</v>
      </c>
      <c r="X230" s="53">
        <f>IF(ISERROR(VLOOKUP($U$230,'TAR FIN'!$A$1:$O$103,15,0)),0,VLOOKUP($U$230,'TAR FIN'!$A$1:$O$103,15,0))*(1-0.06)</f>
        <v>267.29840000000002</v>
      </c>
      <c r="Y230" s="53">
        <f ca="1">('TUSD BE'!$AM$16+'TUSD BF'!$AM$16+'TUSD CVA'!$AM$16)*1*(1-0.03)</f>
        <v>16.022755556621018</v>
      </c>
      <c r="Z230" s="53">
        <f ca="1">('TUSD BE'!$AM$17+'TUSD BF'!$AM$17+'TUSD CVA'!$AM$17)*1*(1-0.03)</f>
        <v>107.89940569215416</v>
      </c>
      <c r="AA230" s="53">
        <f>('TE BE'!$AB$9+'TE BF'!$AB$9+'TE CVA'!$AB$9)*1*(1-0.03)</f>
        <v>251.26567196807298</v>
      </c>
      <c r="AB230" s="6">
        <f>$K$230*$V$230</f>
        <v>2661.8543999999997</v>
      </c>
      <c r="AC230" s="6">
        <f>$M$230*$W$230</f>
        <v>3672.3076726000004</v>
      </c>
      <c r="AD230" s="6">
        <f>$O$230*$X$230</f>
        <v>15053.443992800001</v>
      </c>
      <c r="AE230" s="6">
        <f ca="1">$K$230*$Y$230</f>
        <v>3653.1882669095921</v>
      </c>
      <c r="AF230" s="6">
        <f ca="1">$M$230*$Z$230</f>
        <v>6076.5708303650463</v>
      </c>
      <c r="AG230" s="6">
        <f>$O$230*$AA$230</f>
        <v>14150.528848225966</v>
      </c>
    </row>
    <row r="231" spans="1:33" ht="11.25" customHeight="1" x14ac:dyDescent="0.25">
      <c r="A231" s="4" t="s">
        <v>21</v>
      </c>
      <c r="B231" s="4" t="s">
        <v>33</v>
      </c>
      <c r="C231" s="4" t="s">
        <v>41</v>
      </c>
      <c r="D231" s="4" t="s">
        <v>50</v>
      </c>
      <c r="E231" s="4" t="s">
        <v>51</v>
      </c>
      <c r="F231" s="4" t="s">
        <v>25</v>
      </c>
      <c r="G231" s="4" t="s">
        <v>25</v>
      </c>
      <c r="H231" s="4" t="s">
        <v>35</v>
      </c>
      <c r="I231" s="5">
        <v>44621</v>
      </c>
      <c r="J231" s="6">
        <v>228</v>
      </c>
      <c r="K231" s="52">
        <v>228</v>
      </c>
      <c r="L231" s="6">
        <v>20.756</v>
      </c>
      <c r="M231" s="53">
        <v>20.756</v>
      </c>
      <c r="N231" s="6">
        <v>20.756</v>
      </c>
      <c r="O231" s="53">
        <v>20.756</v>
      </c>
      <c r="P231" s="6">
        <v>0</v>
      </c>
      <c r="Q231" s="4" t="s">
        <v>26</v>
      </c>
      <c r="R231" s="4">
        <v>0</v>
      </c>
      <c r="S231" s="6">
        <v>14</v>
      </c>
      <c r="T231" s="6">
        <v>15</v>
      </c>
      <c r="U231" s="6">
        <v>66</v>
      </c>
      <c r="V231" s="53">
        <f>IF(ISERROR(VLOOKUP($S$231,'TAR FIN'!$A$1:$O$103,15,0)),0,VLOOKUP($S$231,'TAR FIN'!$A$1:$O$103,15,0))*(1-0.06)</f>
        <v>11.674799999999999</v>
      </c>
      <c r="W231" s="53">
        <f>IF(ISERROR(VLOOKUP($T$231,'TAR FIN'!$A$1:$O$103,15,0)),0,VLOOKUP($T$231,'TAR FIN'!$A$1:$O$103,15,0))*(1-0.06)</f>
        <v>65.207800000000006</v>
      </c>
      <c r="X231" s="53">
        <f>IF(ISERROR(VLOOKUP($U$231,'TAR FIN'!$A$1:$O$103,15,0)),0,VLOOKUP($U$231,'TAR FIN'!$A$1:$O$103,15,0))*(1-0.06)</f>
        <v>267.29840000000002</v>
      </c>
      <c r="Y231" s="53">
        <f ca="1">('TUSD BE'!$AM$16+'TUSD BF'!$AM$16+'TUSD CVA'!$AM$16)*1*(1-0.03)</f>
        <v>16.022755556621018</v>
      </c>
      <c r="Z231" s="53">
        <f ca="1">('TUSD BE'!$AM$17+'TUSD BF'!$AM$17+'TUSD CVA'!$AM$17)*1*(1-0.03)</f>
        <v>107.89940569215416</v>
      </c>
      <c r="AA231" s="53">
        <f>('TE BE'!$AB$9+'TE BF'!$AB$9+'TE CVA'!$AB$9)*1*(1-0.03)</f>
        <v>251.26567196807298</v>
      </c>
      <c r="AB231" s="6">
        <f>$K$231*$V$231</f>
        <v>2661.8543999999997</v>
      </c>
      <c r="AC231" s="6">
        <f>$M$231*$W$231</f>
        <v>1353.4530968000001</v>
      </c>
      <c r="AD231" s="6">
        <f>$O$231*$X$231</f>
        <v>5548.0455904</v>
      </c>
      <c r="AE231" s="6">
        <f ca="1">$K$231*$Y$231</f>
        <v>3653.1882669095921</v>
      </c>
      <c r="AF231" s="6">
        <f ca="1">$M$231*$Z$231</f>
        <v>2239.5600645463519</v>
      </c>
      <c r="AG231" s="6">
        <f>$O$231*$AA$231</f>
        <v>5215.2702873693224</v>
      </c>
    </row>
    <row r="232" spans="1:33" ht="11.25" customHeight="1" x14ac:dyDescent="0.25">
      <c r="A232" s="4" t="s">
        <v>21</v>
      </c>
      <c r="B232" s="4" t="s">
        <v>33</v>
      </c>
      <c r="C232" s="4" t="s">
        <v>41</v>
      </c>
      <c r="D232" s="4" t="s">
        <v>50</v>
      </c>
      <c r="E232" s="4" t="s">
        <v>51</v>
      </c>
      <c r="F232" s="4" t="s">
        <v>25</v>
      </c>
      <c r="G232" s="4" t="s">
        <v>25</v>
      </c>
      <c r="H232" s="4" t="s">
        <v>35</v>
      </c>
      <c r="I232" s="5">
        <v>44652</v>
      </c>
      <c r="J232" s="6">
        <v>228</v>
      </c>
      <c r="K232" s="52">
        <v>228</v>
      </c>
      <c r="L232" s="6">
        <v>24.324999999999999</v>
      </c>
      <c r="M232" s="53">
        <v>24.324999999999999</v>
      </c>
      <c r="N232" s="6">
        <v>24.324999999999999</v>
      </c>
      <c r="O232" s="53">
        <v>24.324999999999999</v>
      </c>
      <c r="P232" s="6">
        <v>0</v>
      </c>
      <c r="Q232" s="4" t="s">
        <v>26</v>
      </c>
      <c r="R232" s="4">
        <v>0</v>
      </c>
      <c r="S232" s="6">
        <v>14</v>
      </c>
      <c r="T232" s="6">
        <v>15</v>
      </c>
      <c r="U232" s="6">
        <v>66</v>
      </c>
      <c r="V232" s="53">
        <f>IF(ISERROR(VLOOKUP($S$232,'TAR FIN'!$A$1:$O$103,15,0)),0,VLOOKUP($S$232,'TAR FIN'!$A$1:$O$103,15,0))*(1-0.06)</f>
        <v>11.674799999999999</v>
      </c>
      <c r="W232" s="53">
        <f>IF(ISERROR(VLOOKUP($T$232,'TAR FIN'!$A$1:$O$103,15,0)),0,VLOOKUP($T$232,'TAR FIN'!$A$1:$O$103,15,0))*(1-0.06)</f>
        <v>65.207800000000006</v>
      </c>
      <c r="X232" s="53">
        <f>IF(ISERROR(VLOOKUP($U$232,'TAR FIN'!$A$1:$O$103,15,0)),0,VLOOKUP($U$232,'TAR FIN'!$A$1:$O$103,15,0))*(1-0.06)</f>
        <v>267.29840000000002</v>
      </c>
      <c r="Y232" s="53">
        <f ca="1">('TUSD BE'!$AM$16+'TUSD BF'!$AM$16+'TUSD CVA'!$AM$16)*1*(1-0.03)</f>
        <v>16.022755556621018</v>
      </c>
      <c r="Z232" s="53">
        <f ca="1">('TUSD BE'!$AM$17+'TUSD BF'!$AM$17+'TUSD CVA'!$AM$17)*1*(1-0.03)</f>
        <v>107.89940569215416</v>
      </c>
      <c r="AA232" s="53">
        <f>('TE BE'!$AB$9+'TE BF'!$AB$9+'TE CVA'!$AB$9)*1*(1-0.03)</f>
        <v>251.26567196807298</v>
      </c>
      <c r="AB232" s="6">
        <f>$K$232*$V$232</f>
        <v>2661.8543999999997</v>
      </c>
      <c r="AC232" s="6">
        <f>$M$232*$W$232</f>
        <v>1586.1797350000002</v>
      </c>
      <c r="AD232" s="6">
        <f>$O$232*$X$232</f>
        <v>6502.0335800000003</v>
      </c>
      <c r="AE232" s="6">
        <f ca="1">$K$232*$Y$232</f>
        <v>3653.1882669095921</v>
      </c>
      <c r="AF232" s="6">
        <f ca="1">$M$232*$Z$232</f>
        <v>2624.6530434616498</v>
      </c>
      <c r="AG232" s="6">
        <f>$O$232*$AA$232</f>
        <v>6112.0374706233752</v>
      </c>
    </row>
    <row r="233" spans="1:33" ht="11.25" customHeight="1" x14ac:dyDescent="0.25">
      <c r="A233" s="4" t="s">
        <v>21</v>
      </c>
      <c r="B233" s="4" t="s">
        <v>33</v>
      </c>
      <c r="C233" s="4" t="s">
        <v>41</v>
      </c>
      <c r="D233" s="4" t="s">
        <v>50</v>
      </c>
      <c r="E233" s="4" t="s">
        <v>51</v>
      </c>
      <c r="F233" s="4" t="s">
        <v>25</v>
      </c>
      <c r="G233" s="4" t="s">
        <v>25</v>
      </c>
      <c r="H233" s="4" t="s">
        <v>35</v>
      </c>
      <c r="I233" s="5">
        <v>44682</v>
      </c>
      <c r="J233" s="6">
        <v>228</v>
      </c>
      <c r="K233" s="52">
        <v>228</v>
      </c>
      <c r="L233" s="6">
        <v>29.733000000000001</v>
      </c>
      <c r="M233" s="53">
        <v>29.733000000000001</v>
      </c>
      <c r="N233" s="6">
        <v>29.733000000000001</v>
      </c>
      <c r="O233" s="53">
        <v>29.733000000000001</v>
      </c>
      <c r="P233" s="6">
        <v>0</v>
      </c>
      <c r="Q233" s="4" t="s">
        <v>26</v>
      </c>
      <c r="R233" s="4">
        <v>0</v>
      </c>
      <c r="S233" s="6">
        <v>14</v>
      </c>
      <c r="T233" s="6">
        <v>15</v>
      </c>
      <c r="U233" s="6">
        <v>66</v>
      </c>
      <c r="V233" s="53">
        <f>IF(ISERROR(VLOOKUP($S$233,'TAR FIN'!$A$1:$O$103,15,0)),0,VLOOKUP($S$233,'TAR FIN'!$A$1:$O$103,15,0))*(1-0.06)</f>
        <v>11.674799999999999</v>
      </c>
      <c r="W233" s="53">
        <f>IF(ISERROR(VLOOKUP($T$233,'TAR FIN'!$A$1:$O$103,15,0)),0,VLOOKUP($T$233,'TAR FIN'!$A$1:$O$103,15,0))*(1-0.06)</f>
        <v>65.207800000000006</v>
      </c>
      <c r="X233" s="53">
        <f>IF(ISERROR(VLOOKUP($U$233,'TAR FIN'!$A$1:$O$103,15,0)),0,VLOOKUP($U$233,'TAR FIN'!$A$1:$O$103,15,0))*(1-0.06)</f>
        <v>267.29840000000002</v>
      </c>
      <c r="Y233" s="53">
        <f ca="1">('TUSD BE'!$AM$16+'TUSD BF'!$AM$16+'TUSD CVA'!$AM$16)*1*(1-0.03)</f>
        <v>16.022755556621018</v>
      </c>
      <c r="Z233" s="53">
        <f ca="1">('TUSD BE'!$AM$17+'TUSD BF'!$AM$17+'TUSD CVA'!$AM$17)*1*(1-0.03)</f>
        <v>107.89940569215416</v>
      </c>
      <c r="AA233" s="53">
        <f>('TE BE'!$AB$9+'TE BF'!$AB$9+'TE CVA'!$AB$9)*1*(1-0.03)</f>
        <v>251.26567196807298</v>
      </c>
      <c r="AB233" s="6">
        <f>$K$233*$V$233</f>
        <v>2661.8543999999997</v>
      </c>
      <c r="AC233" s="6">
        <f>$M$233*$W$233</f>
        <v>1938.8235174000001</v>
      </c>
      <c r="AD233" s="6">
        <f>$O$233*$X$233</f>
        <v>7947.5833272000009</v>
      </c>
      <c r="AE233" s="6">
        <f ca="1">$K$233*$Y$233</f>
        <v>3653.1882669095921</v>
      </c>
      <c r="AF233" s="6">
        <f ca="1">$M$233*$Z$233</f>
        <v>3208.1730294448198</v>
      </c>
      <c r="AG233" s="6">
        <f>$O$233*$AA$233</f>
        <v>7470.8822246267137</v>
      </c>
    </row>
    <row r="234" spans="1:33" ht="11.25" customHeight="1" x14ac:dyDescent="0.25">
      <c r="A234" s="4" t="s">
        <v>21</v>
      </c>
      <c r="B234" s="4" t="s">
        <v>33</v>
      </c>
      <c r="C234" s="4" t="s">
        <v>41</v>
      </c>
      <c r="D234" s="4" t="s">
        <v>50</v>
      </c>
      <c r="E234" s="4" t="s">
        <v>51</v>
      </c>
      <c r="F234" s="4" t="s">
        <v>25</v>
      </c>
      <c r="G234" s="4" t="s">
        <v>25</v>
      </c>
      <c r="H234" s="4" t="s">
        <v>37</v>
      </c>
      <c r="I234" s="5">
        <v>44348</v>
      </c>
      <c r="J234" s="6">
        <v>228</v>
      </c>
      <c r="K234" s="52">
        <v>228</v>
      </c>
      <c r="L234" s="6">
        <v>4.1959999999999997</v>
      </c>
      <c r="M234" s="53">
        <v>4.1959999999999997</v>
      </c>
      <c r="N234" s="6">
        <v>4.1959999999999997</v>
      </c>
      <c r="O234" s="53">
        <v>4.1959999999999997</v>
      </c>
      <c r="P234" s="6">
        <v>0</v>
      </c>
      <c r="Q234" s="4" t="s">
        <v>26</v>
      </c>
      <c r="R234" s="4">
        <v>0</v>
      </c>
      <c r="S234" s="6">
        <v>13</v>
      </c>
      <c r="T234" s="6">
        <v>15</v>
      </c>
      <c r="U234" s="6">
        <v>65</v>
      </c>
      <c r="V234" s="53">
        <f>IF(ISERROR(VLOOKUP($S$234,'TAR FIN'!$A$1:$O$103,15,0)),0,VLOOKUP($S$234,'TAR FIN'!$A$1:$O$103,15,0))*(1-0.06)</f>
        <v>29.816799999999997</v>
      </c>
      <c r="W234" s="53">
        <f>IF(ISERROR(VLOOKUP($T$234,'TAR FIN'!$A$1:$O$103,15,0)),0,VLOOKUP($T$234,'TAR FIN'!$A$1:$O$103,15,0))*(1-0.06)</f>
        <v>65.207800000000006</v>
      </c>
      <c r="X234" s="53">
        <f>IF(ISERROR(VLOOKUP($U$234,'TAR FIN'!$A$1:$O$103,15,0)),0,VLOOKUP($U$234,'TAR FIN'!$A$1:$O$103,15,0))*(1-0.06)</f>
        <v>427.60599999999994</v>
      </c>
      <c r="Y234" s="53">
        <f ca="1">('TUSD BE'!$AM$15+'TUSD BF'!$AM$15+'TUSD CVA'!$AM$15)*1*(1-0.03)</f>
        <v>41.151946748232092</v>
      </c>
      <c r="Z234" s="53">
        <f ca="1">('TUSD BE'!$AM$17+'TUSD BF'!$AM$17+'TUSD CVA'!$AM$17)*1*(1-0.03)</f>
        <v>107.89940569215416</v>
      </c>
      <c r="AA234" s="53">
        <f>('TE BE'!$AB$8+'TE BF'!$AB$8+'TE CVA'!$AB$8)*1*(1-0.03)</f>
        <v>402.60285579025447</v>
      </c>
      <c r="AB234" s="6">
        <f>$K$234*$V$234</f>
        <v>6798.2303999999995</v>
      </c>
      <c r="AC234" s="6">
        <f>$M$234*$W$234</f>
        <v>273.61192879999999</v>
      </c>
      <c r="AD234" s="6">
        <f>$O$234*$X$234</f>
        <v>1794.2347759999996</v>
      </c>
      <c r="AE234" s="6">
        <f ca="1">$K$234*$Y$234</f>
        <v>9382.6438585969172</v>
      </c>
      <c r="AF234" s="6">
        <f ca="1">$M$234*$Z$234</f>
        <v>452.74590628427882</v>
      </c>
      <c r="AG234" s="6">
        <f>$O$234*$AA$234</f>
        <v>1689.3215828959076</v>
      </c>
    </row>
    <row r="235" spans="1:33" ht="11.25" customHeight="1" x14ac:dyDescent="0.25">
      <c r="A235" s="4" t="s">
        <v>21</v>
      </c>
      <c r="B235" s="4" t="s">
        <v>33</v>
      </c>
      <c r="C235" s="4" t="s">
        <v>41</v>
      </c>
      <c r="D235" s="4" t="s">
        <v>50</v>
      </c>
      <c r="E235" s="4" t="s">
        <v>51</v>
      </c>
      <c r="F235" s="4" t="s">
        <v>25</v>
      </c>
      <c r="G235" s="4" t="s">
        <v>25</v>
      </c>
      <c r="H235" s="4" t="s">
        <v>37</v>
      </c>
      <c r="I235" s="5">
        <v>44378</v>
      </c>
      <c r="J235" s="6">
        <v>228</v>
      </c>
      <c r="K235" s="52">
        <v>228</v>
      </c>
      <c r="L235" s="6">
        <v>6.3650000000000002</v>
      </c>
      <c r="M235" s="53">
        <v>6.3650000000000002</v>
      </c>
      <c r="N235" s="6">
        <v>6.3650000000000002</v>
      </c>
      <c r="O235" s="53">
        <v>6.3650000000000002</v>
      </c>
      <c r="P235" s="6">
        <v>0</v>
      </c>
      <c r="Q235" s="4" t="s">
        <v>26</v>
      </c>
      <c r="R235" s="4">
        <v>0</v>
      </c>
      <c r="S235" s="6">
        <v>13</v>
      </c>
      <c r="T235" s="6">
        <v>15</v>
      </c>
      <c r="U235" s="6">
        <v>65</v>
      </c>
      <c r="V235" s="53">
        <f>IF(ISERROR(VLOOKUP($S$235,'TAR FIN'!$A$1:$O$103,15,0)),0,VLOOKUP($S$235,'TAR FIN'!$A$1:$O$103,15,0))*(1-0.06)</f>
        <v>29.816799999999997</v>
      </c>
      <c r="W235" s="53">
        <f>IF(ISERROR(VLOOKUP($T$235,'TAR FIN'!$A$1:$O$103,15,0)),0,VLOOKUP($T$235,'TAR FIN'!$A$1:$O$103,15,0))*(1-0.06)</f>
        <v>65.207800000000006</v>
      </c>
      <c r="X235" s="53">
        <f>IF(ISERROR(VLOOKUP($U$235,'TAR FIN'!$A$1:$O$103,15,0)),0,VLOOKUP($U$235,'TAR FIN'!$A$1:$O$103,15,0))*(1-0.06)</f>
        <v>427.60599999999994</v>
      </c>
      <c r="Y235" s="53">
        <f ca="1">('TUSD BE'!$AM$15+'TUSD BF'!$AM$15+'TUSD CVA'!$AM$15)*1*(1-0.03)</f>
        <v>41.151946748232092</v>
      </c>
      <c r="Z235" s="53">
        <f ca="1">('TUSD BE'!$AM$17+'TUSD BF'!$AM$17+'TUSD CVA'!$AM$17)*1*(1-0.03)</f>
        <v>107.89940569215416</v>
      </c>
      <c r="AA235" s="53">
        <f>('TE BE'!$AB$8+'TE BF'!$AB$8+'TE CVA'!$AB$8)*1*(1-0.03)</f>
        <v>402.60285579025447</v>
      </c>
      <c r="AB235" s="6">
        <f>$K$235*$V$235</f>
        <v>6798.2303999999995</v>
      </c>
      <c r="AC235" s="6">
        <f>$M$235*$W$235</f>
        <v>415.04764700000004</v>
      </c>
      <c r="AD235" s="6">
        <f>$O$235*$X$235</f>
        <v>2721.7121899999997</v>
      </c>
      <c r="AE235" s="6">
        <f ca="1">$K$235*$Y$235</f>
        <v>9382.6438585969172</v>
      </c>
      <c r="AF235" s="6">
        <f ca="1">$M$235*$Z$235</f>
        <v>686.77971723056123</v>
      </c>
      <c r="AG235" s="6">
        <f>$O$235*$AA$235</f>
        <v>2562.5671771049697</v>
      </c>
    </row>
    <row r="236" spans="1:33" ht="11.25" customHeight="1" x14ac:dyDescent="0.25">
      <c r="A236" s="4" t="s">
        <v>21</v>
      </c>
      <c r="B236" s="4" t="s">
        <v>33</v>
      </c>
      <c r="C236" s="4" t="s">
        <v>41</v>
      </c>
      <c r="D236" s="4" t="s">
        <v>50</v>
      </c>
      <c r="E236" s="4" t="s">
        <v>51</v>
      </c>
      <c r="F236" s="4" t="s">
        <v>25</v>
      </c>
      <c r="G236" s="4" t="s">
        <v>25</v>
      </c>
      <c r="H236" s="4" t="s">
        <v>37</v>
      </c>
      <c r="I236" s="5">
        <v>44409</v>
      </c>
      <c r="J236" s="6">
        <v>228</v>
      </c>
      <c r="K236" s="52">
        <v>228</v>
      </c>
      <c r="L236" s="6">
        <v>6.4050000000000002</v>
      </c>
      <c r="M236" s="53">
        <v>6.4050000000000002</v>
      </c>
      <c r="N236" s="6">
        <v>6.4050000000000002</v>
      </c>
      <c r="O236" s="53">
        <v>6.4050000000000002</v>
      </c>
      <c r="P236" s="6">
        <v>0</v>
      </c>
      <c r="Q236" s="4" t="s">
        <v>26</v>
      </c>
      <c r="R236" s="4">
        <v>0</v>
      </c>
      <c r="S236" s="6">
        <v>13</v>
      </c>
      <c r="T236" s="6">
        <v>15</v>
      </c>
      <c r="U236" s="6">
        <v>65</v>
      </c>
      <c r="V236" s="53">
        <f>IF(ISERROR(VLOOKUP($S$236,'TAR FIN'!$A$1:$O$103,15,0)),0,VLOOKUP($S$236,'TAR FIN'!$A$1:$O$103,15,0))*(1-0.06)</f>
        <v>29.816799999999997</v>
      </c>
      <c r="W236" s="53">
        <f>IF(ISERROR(VLOOKUP($T$236,'TAR FIN'!$A$1:$O$103,15,0)),0,VLOOKUP($T$236,'TAR FIN'!$A$1:$O$103,15,0))*(1-0.06)</f>
        <v>65.207800000000006</v>
      </c>
      <c r="X236" s="53">
        <f>IF(ISERROR(VLOOKUP($U$236,'TAR FIN'!$A$1:$O$103,15,0)),0,VLOOKUP($U$236,'TAR FIN'!$A$1:$O$103,15,0))*(1-0.06)</f>
        <v>427.60599999999994</v>
      </c>
      <c r="Y236" s="53">
        <f ca="1">('TUSD BE'!$AM$15+'TUSD BF'!$AM$15+'TUSD CVA'!$AM$15)*1*(1-0.03)</f>
        <v>41.151946748232092</v>
      </c>
      <c r="Z236" s="53">
        <f ca="1">('TUSD BE'!$AM$17+'TUSD BF'!$AM$17+'TUSD CVA'!$AM$17)*1*(1-0.03)</f>
        <v>107.89940569215416</v>
      </c>
      <c r="AA236" s="53">
        <f>('TE BE'!$AB$8+'TE BF'!$AB$8+'TE CVA'!$AB$8)*1*(1-0.03)</f>
        <v>402.60285579025447</v>
      </c>
      <c r="AB236" s="6">
        <f>$K$236*$V$236</f>
        <v>6798.2303999999995</v>
      </c>
      <c r="AC236" s="6">
        <f>$M$236*$W$236</f>
        <v>417.65595900000005</v>
      </c>
      <c r="AD236" s="6">
        <f>$O$236*$X$236</f>
        <v>2738.8164299999999</v>
      </c>
      <c r="AE236" s="6">
        <f ca="1">$K$236*$Y$236</f>
        <v>9382.6438585969172</v>
      </c>
      <c r="AF236" s="6">
        <f ca="1">$M$236*$Z$236</f>
        <v>691.09569345824741</v>
      </c>
      <c r="AG236" s="6">
        <f>$O$236*$AA$236</f>
        <v>2578.67129133658</v>
      </c>
    </row>
    <row r="237" spans="1:33" ht="11.25" customHeight="1" x14ac:dyDescent="0.25">
      <c r="A237" s="4" t="s">
        <v>21</v>
      </c>
      <c r="B237" s="4" t="s">
        <v>33</v>
      </c>
      <c r="C237" s="4" t="s">
        <v>41</v>
      </c>
      <c r="D237" s="4" t="s">
        <v>50</v>
      </c>
      <c r="E237" s="4" t="s">
        <v>51</v>
      </c>
      <c r="F237" s="4" t="s">
        <v>25</v>
      </c>
      <c r="G237" s="4" t="s">
        <v>25</v>
      </c>
      <c r="H237" s="4" t="s">
        <v>37</v>
      </c>
      <c r="I237" s="5">
        <v>44440</v>
      </c>
      <c r="J237" s="6">
        <v>228</v>
      </c>
      <c r="K237" s="52">
        <v>228</v>
      </c>
      <c r="L237" s="6">
        <v>3.7879999999999998</v>
      </c>
      <c r="M237" s="53">
        <v>3.7879999999999998</v>
      </c>
      <c r="N237" s="6">
        <v>3.7879999999999998</v>
      </c>
      <c r="O237" s="53">
        <v>3.7879999999999998</v>
      </c>
      <c r="P237" s="6">
        <v>0</v>
      </c>
      <c r="Q237" s="4" t="s">
        <v>26</v>
      </c>
      <c r="R237" s="4">
        <v>0</v>
      </c>
      <c r="S237" s="6">
        <v>13</v>
      </c>
      <c r="T237" s="6">
        <v>15</v>
      </c>
      <c r="U237" s="6">
        <v>65</v>
      </c>
      <c r="V237" s="53">
        <f>IF(ISERROR(VLOOKUP($S$237,'TAR FIN'!$A$1:$O$103,15,0)),0,VLOOKUP($S$237,'TAR FIN'!$A$1:$O$103,15,0))*(1-0.06)</f>
        <v>29.816799999999997</v>
      </c>
      <c r="W237" s="53">
        <f>IF(ISERROR(VLOOKUP($T$237,'TAR FIN'!$A$1:$O$103,15,0)),0,VLOOKUP($T$237,'TAR FIN'!$A$1:$O$103,15,0))*(1-0.06)</f>
        <v>65.207800000000006</v>
      </c>
      <c r="X237" s="53">
        <f>IF(ISERROR(VLOOKUP($U$237,'TAR FIN'!$A$1:$O$103,15,0)),0,VLOOKUP($U$237,'TAR FIN'!$A$1:$O$103,15,0))*(1-0.06)</f>
        <v>427.60599999999994</v>
      </c>
      <c r="Y237" s="53">
        <f ca="1">('TUSD BE'!$AM$15+'TUSD BF'!$AM$15+'TUSD CVA'!$AM$15)*1*(1-0.03)</f>
        <v>41.151946748232092</v>
      </c>
      <c r="Z237" s="53">
        <f ca="1">('TUSD BE'!$AM$17+'TUSD BF'!$AM$17+'TUSD CVA'!$AM$17)*1*(1-0.03)</f>
        <v>107.89940569215416</v>
      </c>
      <c r="AA237" s="53">
        <f>('TE BE'!$AB$8+'TE BF'!$AB$8+'TE CVA'!$AB$8)*1*(1-0.03)</f>
        <v>402.60285579025447</v>
      </c>
      <c r="AB237" s="6">
        <f>$K$237*$V$237</f>
        <v>6798.2303999999995</v>
      </c>
      <c r="AC237" s="6">
        <f>$M$237*$W$237</f>
        <v>247.00714640000001</v>
      </c>
      <c r="AD237" s="6">
        <f>$O$237*$X$237</f>
        <v>1619.7715279999998</v>
      </c>
      <c r="AE237" s="6">
        <f ca="1">$K$237*$Y$237</f>
        <v>9382.6438585969172</v>
      </c>
      <c r="AF237" s="6">
        <f ca="1">$M$237*$Z$237</f>
        <v>408.72294876187993</v>
      </c>
      <c r="AG237" s="6">
        <f>$O$237*$AA$237</f>
        <v>1525.0596177334839</v>
      </c>
    </row>
    <row r="238" spans="1:33" ht="11.25" customHeight="1" x14ac:dyDescent="0.25">
      <c r="A238" s="4" t="s">
        <v>21</v>
      </c>
      <c r="B238" s="4" t="s">
        <v>33</v>
      </c>
      <c r="C238" s="4" t="s">
        <v>41</v>
      </c>
      <c r="D238" s="4" t="s">
        <v>50</v>
      </c>
      <c r="E238" s="4" t="s">
        <v>51</v>
      </c>
      <c r="F238" s="4" t="s">
        <v>25</v>
      </c>
      <c r="G238" s="4" t="s">
        <v>25</v>
      </c>
      <c r="H238" s="4" t="s">
        <v>37</v>
      </c>
      <c r="I238" s="5">
        <v>44470</v>
      </c>
      <c r="J238" s="6">
        <v>228</v>
      </c>
      <c r="K238" s="52">
        <v>228</v>
      </c>
      <c r="L238" s="6">
        <v>8.0120000000000005</v>
      </c>
      <c r="M238" s="53">
        <v>8.0120000000000005</v>
      </c>
      <c r="N238" s="6">
        <v>8.0120000000000005</v>
      </c>
      <c r="O238" s="53">
        <v>8.0120000000000005</v>
      </c>
      <c r="P238" s="6">
        <v>0</v>
      </c>
      <c r="Q238" s="4" t="s">
        <v>26</v>
      </c>
      <c r="R238" s="4">
        <v>0</v>
      </c>
      <c r="S238" s="6">
        <v>13</v>
      </c>
      <c r="T238" s="6">
        <v>15</v>
      </c>
      <c r="U238" s="6">
        <v>65</v>
      </c>
      <c r="V238" s="53">
        <f>IF(ISERROR(VLOOKUP($S$238,'TAR FIN'!$A$1:$O$103,15,0)),0,VLOOKUP($S$238,'TAR FIN'!$A$1:$O$103,15,0))*(1-0.06)</f>
        <v>29.816799999999997</v>
      </c>
      <c r="W238" s="53">
        <f>IF(ISERROR(VLOOKUP($T$238,'TAR FIN'!$A$1:$O$103,15,0)),0,VLOOKUP($T$238,'TAR FIN'!$A$1:$O$103,15,0))*(1-0.06)</f>
        <v>65.207800000000006</v>
      </c>
      <c r="X238" s="53">
        <f>IF(ISERROR(VLOOKUP($U$238,'TAR FIN'!$A$1:$O$103,15,0)),0,VLOOKUP($U$238,'TAR FIN'!$A$1:$O$103,15,0))*(1-0.06)</f>
        <v>427.60599999999994</v>
      </c>
      <c r="Y238" s="53">
        <f ca="1">('TUSD BE'!$AM$15+'TUSD BF'!$AM$15+'TUSD CVA'!$AM$15)*1*(1-0.03)</f>
        <v>41.151946748232092</v>
      </c>
      <c r="Z238" s="53">
        <f ca="1">('TUSD BE'!$AM$17+'TUSD BF'!$AM$17+'TUSD CVA'!$AM$17)*1*(1-0.03)</f>
        <v>107.89940569215416</v>
      </c>
      <c r="AA238" s="53">
        <f>('TE BE'!$AB$8+'TE BF'!$AB$8+'TE CVA'!$AB$8)*1*(1-0.03)</f>
        <v>402.60285579025447</v>
      </c>
      <c r="AB238" s="6">
        <f>$K$238*$V$238</f>
        <v>6798.2303999999995</v>
      </c>
      <c r="AC238" s="6">
        <f>$M$238*$W$238</f>
        <v>522.44489360000011</v>
      </c>
      <c r="AD238" s="6">
        <f>$O$238*$X$238</f>
        <v>3425.9792719999996</v>
      </c>
      <c r="AE238" s="6">
        <f ca="1">$K$238*$Y$238</f>
        <v>9382.6438585969172</v>
      </c>
      <c r="AF238" s="6">
        <f ca="1">$M$238*$Z$238</f>
        <v>864.49003840553917</v>
      </c>
      <c r="AG238" s="6">
        <f>$O$238*$AA$238</f>
        <v>3225.6540805915188</v>
      </c>
    </row>
    <row r="239" spans="1:33" ht="11.25" customHeight="1" x14ac:dyDescent="0.25">
      <c r="A239" s="4" t="s">
        <v>21</v>
      </c>
      <c r="B239" s="4" t="s">
        <v>33</v>
      </c>
      <c r="C239" s="4" t="s">
        <v>41</v>
      </c>
      <c r="D239" s="4" t="s">
        <v>50</v>
      </c>
      <c r="E239" s="4" t="s">
        <v>51</v>
      </c>
      <c r="F239" s="4" t="s">
        <v>25</v>
      </c>
      <c r="G239" s="4" t="s">
        <v>25</v>
      </c>
      <c r="H239" s="4" t="s">
        <v>37</v>
      </c>
      <c r="I239" s="5">
        <v>44501</v>
      </c>
      <c r="J239" s="6">
        <v>228</v>
      </c>
      <c r="K239" s="52">
        <v>228</v>
      </c>
      <c r="L239" s="6">
        <v>4.8719999999999999</v>
      </c>
      <c r="M239" s="53">
        <v>4.8719999999999999</v>
      </c>
      <c r="N239" s="6">
        <v>4.8719999999999999</v>
      </c>
      <c r="O239" s="53">
        <v>4.8719999999999999</v>
      </c>
      <c r="P239" s="6">
        <v>0</v>
      </c>
      <c r="Q239" s="4" t="s">
        <v>26</v>
      </c>
      <c r="R239" s="4">
        <v>0</v>
      </c>
      <c r="S239" s="6">
        <v>13</v>
      </c>
      <c r="T239" s="6">
        <v>15</v>
      </c>
      <c r="U239" s="6">
        <v>65</v>
      </c>
      <c r="V239" s="53">
        <f>IF(ISERROR(VLOOKUP($S$239,'TAR FIN'!$A$1:$O$103,15,0)),0,VLOOKUP($S$239,'TAR FIN'!$A$1:$O$103,15,0))*(1-0.06)</f>
        <v>29.816799999999997</v>
      </c>
      <c r="W239" s="53">
        <f>IF(ISERROR(VLOOKUP($T$239,'TAR FIN'!$A$1:$O$103,15,0)),0,VLOOKUP($T$239,'TAR FIN'!$A$1:$O$103,15,0))*(1-0.06)</f>
        <v>65.207800000000006</v>
      </c>
      <c r="X239" s="53">
        <f>IF(ISERROR(VLOOKUP($U$239,'TAR FIN'!$A$1:$O$103,15,0)),0,VLOOKUP($U$239,'TAR FIN'!$A$1:$O$103,15,0))*(1-0.06)</f>
        <v>427.60599999999994</v>
      </c>
      <c r="Y239" s="53">
        <f ca="1">('TUSD BE'!$AM$15+'TUSD BF'!$AM$15+'TUSD CVA'!$AM$15)*1*(1-0.03)</f>
        <v>41.151946748232092</v>
      </c>
      <c r="Z239" s="53">
        <f ca="1">('TUSD BE'!$AM$17+'TUSD BF'!$AM$17+'TUSD CVA'!$AM$17)*1*(1-0.03)</f>
        <v>107.89940569215416</v>
      </c>
      <c r="AA239" s="53">
        <f>('TE BE'!$AB$8+'TE BF'!$AB$8+'TE CVA'!$AB$8)*1*(1-0.03)</f>
        <v>402.60285579025447</v>
      </c>
      <c r="AB239" s="6">
        <f>$K$239*$V$239</f>
        <v>6798.2303999999995</v>
      </c>
      <c r="AC239" s="6">
        <f>$M$239*$W$239</f>
        <v>317.69240160000004</v>
      </c>
      <c r="AD239" s="6">
        <f>$O$239*$X$239</f>
        <v>2083.2964319999996</v>
      </c>
      <c r="AE239" s="6">
        <f ca="1">$K$239*$Y$239</f>
        <v>9382.6438585969172</v>
      </c>
      <c r="AF239" s="6">
        <f ca="1">$M$239*$Z$239</f>
        <v>525.68590453217507</v>
      </c>
      <c r="AG239" s="6">
        <f>$O$239*$AA$239</f>
        <v>1961.4811134101196</v>
      </c>
    </row>
    <row r="240" spans="1:33" ht="11.25" customHeight="1" x14ac:dyDescent="0.25">
      <c r="A240" s="4" t="s">
        <v>21</v>
      </c>
      <c r="B240" s="4" t="s">
        <v>33</v>
      </c>
      <c r="C240" s="4" t="s">
        <v>41</v>
      </c>
      <c r="D240" s="4" t="s">
        <v>50</v>
      </c>
      <c r="E240" s="4" t="s">
        <v>51</v>
      </c>
      <c r="F240" s="4" t="s">
        <v>25</v>
      </c>
      <c r="G240" s="4" t="s">
        <v>25</v>
      </c>
      <c r="H240" s="4" t="s">
        <v>37</v>
      </c>
      <c r="I240" s="5">
        <v>44531</v>
      </c>
      <c r="J240" s="6">
        <v>228</v>
      </c>
      <c r="K240" s="52">
        <v>228</v>
      </c>
      <c r="L240" s="6">
        <v>1.9990000000000001</v>
      </c>
      <c r="M240" s="53">
        <v>1.9990000000000001</v>
      </c>
      <c r="N240" s="6">
        <v>1.9990000000000001</v>
      </c>
      <c r="O240" s="53">
        <v>1.9990000000000001</v>
      </c>
      <c r="P240" s="6">
        <v>0</v>
      </c>
      <c r="Q240" s="4" t="s">
        <v>26</v>
      </c>
      <c r="R240" s="4">
        <v>0</v>
      </c>
      <c r="S240" s="6">
        <v>13</v>
      </c>
      <c r="T240" s="6">
        <v>15</v>
      </c>
      <c r="U240" s="6">
        <v>65</v>
      </c>
      <c r="V240" s="53">
        <f>IF(ISERROR(VLOOKUP($S$240,'TAR FIN'!$A$1:$O$103,15,0)),0,VLOOKUP($S$240,'TAR FIN'!$A$1:$O$103,15,0))*(1-0.06)</f>
        <v>29.816799999999997</v>
      </c>
      <c r="W240" s="53">
        <f>IF(ISERROR(VLOOKUP($T$240,'TAR FIN'!$A$1:$O$103,15,0)),0,VLOOKUP($T$240,'TAR FIN'!$A$1:$O$103,15,0))*(1-0.06)</f>
        <v>65.207800000000006</v>
      </c>
      <c r="X240" s="53">
        <f>IF(ISERROR(VLOOKUP($U$240,'TAR FIN'!$A$1:$O$103,15,0)),0,VLOOKUP($U$240,'TAR FIN'!$A$1:$O$103,15,0))*(1-0.06)</f>
        <v>427.60599999999994</v>
      </c>
      <c r="Y240" s="53">
        <f ca="1">('TUSD BE'!$AM$15+'TUSD BF'!$AM$15+'TUSD CVA'!$AM$15)*1*(1-0.03)</f>
        <v>41.151946748232092</v>
      </c>
      <c r="Z240" s="53">
        <f ca="1">('TUSD BE'!$AM$17+'TUSD BF'!$AM$17+'TUSD CVA'!$AM$17)*1*(1-0.03)</f>
        <v>107.89940569215416</v>
      </c>
      <c r="AA240" s="53">
        <f>('TE BE'!$AB$8+'TE BF'!$AB$8+'TE CVA'!$AB$8)*1*(1-0.03)</f>
        <v>402.60285579025447</v>
      </c>
      <c r="AB240" s="6">
        <f>$K$240*$V$240</f>
        <v>6798.2303999999995</v>
      </c>
      <c r="AC240" s="6">
        <f>$M$240*$W$240</f>
        <v>130.35039220000002</v>
      </c>
      <c r="AD240" s="6">
        <f>$O$240*$X$240</f>
        <v>854.78439399999991</v>
      </c>
      <c r="AE240" s="6">
        <f ca="1">$K$240*$Y$240</f>
        <v>9382.6438585969172</v>
      </c>
      <c r="AF240" s="6">
        <f ca="1">$M$240*$Z$240</f>
        <v>215.69091197861619</v>
      </c>
      <c r="AG240" s="6">
        <f>$O$240*$AA$240</f>
        <v>804.80310872471875</v>
      </c>
    </row>
    <row r="241" spans="1:33" ht="11.25" customHeight="1" x14ac:dyDescent="0.25">
      <c r="A241" s="4" t="s">
        <v>21</v>
      </c>
      <c r="B241" s="4" t="s">
        <v>33</v>
      </c>
      <c r="C241" s="4" t="s">
        <v>41</v>
      </c>
      <c r="D241" s="4" t="s">
        <v>50</v>
      </c>
      <c r="E241" s="4" t="s">
        <v>51</v>
      </c>
      <c r="F241" s="4" t="s">
        <v>25</v>
      </c>
      <c r="G241" s="4" t="s">
        <v>25</v>
      </c>
      <c r="H241" s="4" t="s">
        <v>37</v>
      </c>
      <c r="I241" s="5">
        <v>44562</v>
      </c>
      <c r="J241" s="6">
        <v>228</v>
      </c>
      <c r="K241" s="52">
        <v>228</v>
      </c>
      <c r="L241" s="6">
        <v>4.0750000000000002</v>
      </c>
      <c r="M241" s="53">
        <v>4.0750000000000002</v>
      </c>
      <c r="N241" s="6">
        <v>4.0750000000000002</v>
      </c>
      <c r="O241" s="53">
        <v>4.0750000000000002</v>
      </c>
      <c r="P241" s="6">
        <v>0</v>
      </c>
      <c r="Q241" s="4" t="s">
        <v>26</v>
      </c>
      <c r="R241" s="4">
        <v>0</v>
      </c>
      <c r="S241" s="6">
        <v>13</v>
      </c>
      <c r="T241" s="6">
        <v>15</v>
      </c>
      <c r="U241" s="6">
        <v>65</v>
      </c>
      <c r="V241" s="53">
        <f>IF(ISERROR(VLOOKUP($S$241,'TAR FIN'!$A$1:$O$103,15,0)),0,VLOOKUP($S$241,'TAR FIN'!$A$1:$O$103,15,0))*(1-0.06)</f>
        <v>29.816799999999997</v>
      </c>
      <c r="W241" s="53">
        <f>IF(ISERROR(VLOOKUP($T$241,'TAR FIN'!$A$1:$O$103,15,0)),0,VLOOKUP($T$241,'TAR FIN'!$A$1:$O$103,15,0))*(1-0.06)</f>
        <v>65.207800000000006</v>
      </c>
      <c r="X241" s="53">
        <f>IF(ISERROR(VLOOKUP($U$241,'TAR FIN'!$A$1:$O$103,15,0)),0,VLOOKUP($U$241,'TAR FIN'!$A$1:$O$103,15,0))*(1-0.06)</f>
        <v>427.60599999999994</v>
      </c>
      <c r="Y241" s="53">
        <f ca="1">('TUSD BE'!$AM$15+'TUSD BF'!$AM$15+'TUSD CVA'!$AM$15)*1*(1-0.03)</f>
        <v>41.151946748232092</v>
      </c>
      <c r="Z241" s="53">
        <f ca="1">('TUSD BE'!$AM$17+'TUSD BF'!$AM$17+'TUSD CVA'!$AM$17)*1*(1-0.03)</f>
        <v>107.89940569215416</v>
      </c>
      <c r="AA241" s="53">
        <f>('TE BE'!$AB$8+'TE BF'!$AB$8+'TE CVA'!$AB$8)*1*(1-0.03)</f>
        <v>402.60285579025447</v>
      </c>
      <c r="AB241" s="6">
        <f>$K$241*$V$241</f>
        <v>6798.2303999999995</v>
      </c>
      <c r="AC241" s="6">
        <f>$M$241*$W$241</f>
        <v>265.72178500000001</v>
      </c>
      <c r="AD241" s="6">
        <f>$O$241*$X$241</f>
        <v>1742.4944499999999</v>
      </c>
      <c r="AE241" s="6">
        <f ca="1">$K$241*$Y$241</f>
        <v>9382.6438585969172</v>
      </c>
      <c r="AF241" s="6">
        <f ca="1">$M$241*$Z$241</f>
        <v>439.6900781955282</v>
      </c>
      <c r="AG241" s="6">
        <f>$O$241*$AA$241</f>
        <v>1640.606637345287</v>
      </c>
    </row>
    <row r="242" spans="1:33" ht="11.25" customHeight="1" x14ac:dyDescent="0.25">
      <c r="A242" s="4" t="s">
        <v>21</v>
      </c>
      <c r="B242" s="4" t="s">
        <v>33</v>
      </c>
      <c r="C242" s="4" t="s">
        <v>41</v>
      </c>
      <c r="D242" s="4" t="s">
        <v>50</v>
      </c>
      <c r="E242" s="4" t="s">
        <v>51</v>
      </c>
      <c r="F242" s="4" t="s">
        <v>25</v>
      </c>
      <c r="G242" s="4" t="s">
        <v>25</v>
      </c>
      <c r="H242" s="4" t="s">
        <v>37</v>
      </c>
      <c r="I242" s="5">
        <v>44593</v>
      </c>
      <c r="J242" s="6">
        <v>228</v>
      </c>
      <c r="K242" s="52">
        <v>228</v>
      </c>
      <c r="L242" s="6">
        <v>1.7290000000000001</v>
      </c>
      <c r="M242" s="53">
        <v>1.7290000000000001</v>
      </c>
      <c r="N242" s="6">
        <v>1.7290000000000001</v>
      </c>
      <c r="O242" s="53">
        <v>1.7290000000000001</v>
      </c>
      <c r="P242" s="6">
        <v>0</v>
      </c>
      <c r="Q242" s="4" t="s">
        <v>26</v>
      </c>
      <c r="R242" s="4">
        <v>0</v>
      </c>
      <c r="S242" s="6">
        <v>13</v>
      </c>
      <c r="T242" s="6">
        <v>15</v>
      </c>
      <c r="U242" s="6">
        <v>65</v>
      </c>
      <c r="V242" s="53">
        <f>IF(ISERROR(VLOOKUP($S$242,'TAR FIN'!$A$1:$O$103,15,0)),0,VLOOKUP($S$242,'TAR FIN'!$A$1:$O$103,15,0))*(1-0.06)</f>
        <v>29.816799999999997</v>
      </c>
      <c r="W242" s="53">
        <f>IF(ISERROR(VLOOKUP($T$242,'TAR FIN'!$A$1:$O$103,15,0)),0,VLOOKUP($T$242,'TAR FIN'!$A$1:$O$103,15,0))*(1-0.06)</f>
        <v>65.207800000000006</v>
      </c>
      <c r="X242" s="53">
        <f>IF(ISERROR(VLOOKUP($U$242,'TAR FIN'!$A$1:$O$103,15,0)),0,VLOOKUP($U$242,'TAR FIN'!$A$1:$O$103,15,0))*(1-0.06)</f>
        <v>427.60599999999994</v>
      </c>
      <c r="Y242" s="53">
        <f ca="1">('TUSD BE'!$AM$15+'TUSD BF'!$AM$15+'TUSD CVA'!$AM$15)*1*(1-0.03)</f>
        <v>41.151946748232092</v>
      </c>
      <c r="Z242" s="53">
        <f ca="1">('TUSD BE'!$AM$17+'TUSD BF'!$AM$17+'TUSD CVA'!$AM$17)*1*(1-0.03)</f>
        <v>107.89940569215416</v>
      </c>
      <c r="AA242" s="53">
        <f>('TE BE'!$AB$8+'TE BF'!$AB$8+'TE CVA'!$AB$8)*1*(1-0.03)</f>
        <v>402.60285579025447</v>
      </c>
      <c r="AB242" s="6">
        <f>$K$242*$V$242</f>
        <v>6798.2303999999995</v>
      </c>
      <c r="AC242" s="6">
        <f>$M$242*$W$242</f>
        <v>112.74428620000002</v>
      </c>
      <c r="AD242" s="6">
        <f>$O$242*$X$242</f>
        <v>739.33077399999991</v>
      </c>
      <c r="AE242" s="6">
        <f ca="1">$K$242*$Y$242</f>
        <v>9382.6438585969172</v>
      </c>
      <c r="AF242" s="6">
        <f ca="1">$M$242*$Z$242</f>
        <v>186.55807244173457</v>
      </c>
      <c r="AG242" s="6">
        <f>$O$242*$AA$242</f>
        <v>696.10033766134995</v>
      </c>
    </row>
    <row r="243" spans="1:33" ht="11.25" customHeight="1" x14ac:dyDescent="0.25">
      <c r="A243" s="4" t="s">
        <v>21</v>
      </c>
      <c r="B243" s="4" t="s">
        <v>33</v>
      </c>
      <c r="C243" s="4" t="s">
        <v>41</v>
      </c>
      <c r="D243" s="4" t="s">
        <v>50</v>
      </c>
      <c r="E243" s="4" t="s">
        <v>51</v>
      </c>
      <c r="F243" s="4" t="s">
        <v>25</v>
      </c>
      <c r="G243" s="4" t="s">
        <v>25</v>
      </c>
      <c r="H243" s="4" t="s">
        <v>37</v>
      </c>
      <c r="I243" s="5">
        <v>44621</v>
      </c>
      <c r="J243" s="6">
        <v>228</v>
      </c>
      <c r="K243" s="52">
        <v>228</v>
      </c>
      <c r="L243" s="6">
        <v>0.53400000000000003</v>
      </c>
      <c r="M243" s="53">
        <v>0.53400000000000003</v>
      </c>
      <c r="N243" s="6">
        <v>0.53400000000000003</v>
      </c>
      <c r="O243" s="53">
        <v>0.53400000000000003</v>
      </c>
      <c r="P243" s="6">
        <v>0</v>
      </c>
      <c r="Q243" s="4" t="s">
        <v>26</v>
      </c>
      <c r="R243" s="4">
        <v>0</v>
      </c>
      <c r="S243" s="6">
        <v>13</v>
      </c>
      <c r="T243" s="6">
        <v>15</v>
      </c>
      <c r="U243" s="6">
        <v>65</v>
      </c>
      <c r="V243" s="53">
        <f>IF(ISERROR(VLOOKUP($S$243,'TAR FIN'!$A$1:$O$103,15,0)),0,VLOOKUP($S$243,'TAR FIN'!$A$1:$O$103,15,0))*(1-0.06)</f>
        <v>29.816799999999997</v>
      </c>
      <c r="W243" s="53">
        <f>IF(ISERROR(VLOOKUP($T$243,'TAR FIN'!$A$1:$O$103,15,0)),0,VLOOKUP($T$243,'TAR FIN'!$A$1:$O$103,15,0))*(1-0.06)</f>
        <v>65.207800000000006</v>
      </c>
      <c r="X243" s="53">
        <f>IF(ISERROR(VLOOKUP($U$243,'TAR FIN'!$A$1:$O$103,15,0)),0,VLOOKUP($U$243,'TAR FIN'!$A$1:$O$103,15,0))*(1-0.06)</f>
        <v>427.60599999999994</v>
      </c>
      <c r="Y243" s="53">
        <f ca="1">('TUSD BE'!$AM$15+'TUSD BF'!$AM$15+'TUSD CVA'!$AM$15)*1*(1-0.03)</f>
        <v>41.151946748232092</v>
      </c>
      <c r="Z243" s="53">
        <f ca="1">('TUSD BE'!$AM$17+'TUSD BF'!$AM$17+'TUSD CVA'!$AM$17)*1*(1-0.03)</f>
        <v>107.89940569215416</v>
      </c>
      <c r="AA243" s="53">
        <f>('TE BE'!$AB$8+'TE BF'!$AB$8+'TE CVA'!$AB$8)*1*(1-0.03)</f>
        <v>402.60285579025447</v>
      </c>
      <c r="AB243" s="6">
        <f>$K$243*$V$243</f>
        <v>6798.2303999999995</v>
      </c>
      <c r="AC243" s="6">
        <f>$M$243*$W$243</f>
        <v>34.820965200000003</v>
      </c>
      <c r="AD243" s="6">
        <f>$O$243*$X$243</f>
        <v>228.34160399999999</v>
      </c>
      <c r="AE243" s="6">
        <f ca="1">$K$243*$Y$243</f>
        <v>9382.6438585969172</v>
      </c>
      <c r="AF243" s="6">
        <f ca="1">$M$243*$Z$243</f>
        <v>57.618282639610328</v>
      </c>
      <c r="AG243" s="6">
        <f>$O$243*$AA$243</f>
        <v>214.98992499199591</v>
      </c>
    </row>
    <row r="244" spans="1:33" ht="11.25" customHeight="1" x14ac:dyDescent="0.25">
      <c r="A244" s="4" t="s">
        <v>21</v>
      </c>
      <c r="B244" s="4" t="s">
        <v>33</v>
      </c>
      <c r="C244" s="4" t="s">
        <v>41</v>
      </c>
      <c r="D244" s="4" t="s">
        <v>50</v>
      </c>
      <c r="E244" s="4" t="s">
        <v>51</v>
      </c>
      <c r="F244" s="4" t="s">
        <v>25</v>
      </c>
      <c r="G244" s="4" t="s">
        <v>25</v>
      </c>
      <c r="H244" s="4" t="s">
        <v>37</v>
      </c>
      <c r="I244" s="5">
        <v>44652</v>
      </c>
      <c r="J244" s="6">
        <v>228</v>
      </c>
      <c r="K244" s="52">
        <v>228</v>
      </c>
      <c r="L244" s="6">
        <v>0.55200000000000005</v>
      </c>
      <c r="M244" s="53">
        <v>0.55200000000000005</v>
      </c>
      <c r="N244" s="6">
        <v>0.55200000000000005</v>
      </c>
      <c r="O244" s="53">
        <v>0.55200000000000005</v>
      </c>
      <c r="P244" s="6">
        <v>0</v>
      </c>
      <c r="Q244" s="4" t="s">
        <v>26</v>
      </c>
      <c r="R244" s="4">
        <v>0</v>
      </c>
      <c r="S244" s="6">
        <v>13</v>
      </c>
      <c r="T244" s="6">
        <v>15</v>
      </c>
      <c r="U244" s="6">
        <v>65</v>
      </c>
      <c r="V244" s="53">
        <f>IF(ISERROR(VLOOKUP($S$244,'TAR FIN'!$A$1:$O$103,15,0)),0,VLOOKUP($S$244,'TAR FIN'!$A$1:$O$103,15,0))*(1-0.06)</f>
        <v>29.816799999999997</v>
      </c>
      <c r="W244" s="53">
        <f>IF(ISERROR(VLOOKUP($T$244,'TAR FIN'!$A$1:$O$103,15,0)),0,VLOOKUP($T$244,'TAR FIN'!$A$1:$O$103,15,0))*(1-0.06)</f>
        <v>65.207800000000006</v>
      </c>
      <c r="X244" s="53">
        <f>IF(ISERROR(VLOOKUP($U$244,'TAR FIN'!$A$1:$O$103,15,0)),0,VLOOKUP($U$244,'TAR FIN'!$A$1:$O$103,15,0))*(1-0.06)</f>
        <v>427.60599999999994</v>
      </c>
      <c r="Y244" s="53">
        <f ca="1">('TUSD BE'!$AM$15+'TUSD BF'!$AM$15+'TUSD CVA'!$AM$15)*1*(1-0.03)</f>
        <v>41.151946748232092</v>
      </c>
      <c r="Z244" s="53">
        <f ca="1">('TUSD BE'!$AM$17+'TUSD BF'!$AM$17+'TUSD CVA'!$AM$17)*1*(1-0.03)</f>
        <v>107.89940569215416</v>
      </c>
      <c r="AA244" s="53">
        <f>('TE BE'!$AB$8+'TE BF'!$AB$8+'TE CVA'!$AB$8)*1*(1-0.03)</f>
        <v>402.60285579025447</v>
      </c>
      <c r="AB244" s="6">
        <f>$K$244*$V$244</f>
        <v>6798.2303999999995</v>
      </c>
      <c r="AC244" s="6">
        <f>$M$244*$W$244</f>
        <v>35.994705600000003</v>
      </c>
      <c r="AD244" s="6">
        <f>$O$244*$X$244</f>
        <v>236.038512</v>
      </c>
      <c r="AE244" s="6">
        <f ca="1">$K$244*$Y$244</f>
        <v>9382.6438585969172</v>
      </c>
      <c r="AF244" s="6">
        <f ca="1">$M$244*$Z$244</f>
        <v>59.5604719420691</v>
      </c>
      <c r="AG244" s="6">
        <f>$O$244*$AA$244</f>
        <v>222.23677639622048</v>
      </c>
    </row>
    <row r="245" spans="1:33" ht="11.25" customHeight="1" x14ac:dyDescent="0.25">
      <c r="A245" s="4" t="s">
        <v>21</v>
      </c>
      <c r="B245" s="4" t="s">
        <v>33</v>
      </c>
      <c r="C245" s="4" t="s">
        <v>41</v>
      </c>
      <c r="D245" s="4" t="s">
        <v>50</v>
      </c>
      <c r="E245" s="4" t="s">
        <v>51</v>
      </c>
      <c r="F245" s="4" t="s">
        <v>25</v>
      </c>
      <c r="G245" s="4" t="s">
        <v>25</v>
      </c>
      <c r="H245" s="4" t="s">
        <v>37</v>
      </c>
      <c r="I245" s="5">
        <v>44682</v>
      </c>
      <c r="J245" s="6">
        <v>228</v>
      </c>
      <c r="K245" s="52">
        <v>228</v>
      </c>
      <c r="L245" s="6">
        <v>0.63400000000000001</v>
      </c>
      <c r="M245" s="53">
        <v>0.63400000000000001</v>
      </c>
      <c r="N245" s="6">
        <v>0.63400000000000001</v>
      </c>
      <c r="O245" s="53">
        <v>0.63400000000000001</v>
      </c>
      <c r="P245" s="6">
        <v>0</v>
      </c>
      <c r="Q245" s="4" t="s">
        <v>26</v>
      </c>
      <c r="R245" s="4">
        <v>0</v>
      </c>
      <c r="S245" s="6">
        <v>13</v>
      </c>
      <c r="T245" s="6">
        <v>15</v>
      </c>
      <c r="U245" s="6">
        <v>65</v>
      </c>
      <c r="V245" s="53">
        <f>IF(ISERROR(VLOOKUP($S$245,'TAR FIN'!$A$1:$O$103,15,0)),0,VLOOKUP($S$245,'TAR FIN'!$A$1:$O$103,15,0))*(1-0.06)</f>
        <v>29.816799999999997</v>
      </c>
      <c r="W245" s="53">
        <f>IF(ISERROR(VLOOKUP($T$245,'TAR FIN'!$A$1:$O$103,15,0)),0,VLOOKUP($T$245,'TAR FIN'!$A$1:$O$103,15,0))*(1-0.06)</f>
        <v>65.207800000000006</v>
      </c>
      <c r="X245" s="53">
        <f>IF(ISERROR(VLOOKUP($U$245,'TAR FIN'!$A$1:$O$103,15,0)),0,VLOOKUP($U$245,'TAR FIN'!$A$1:$O$103,15,0))*(1-0.06)</f>
        <v>427.60599999999994</v>
      </c>
      <c r="Y245" s="53">
        <f ca="1">('TUSD BE'!$AM$15+'TUSD BF'!$AM$15+'TUSD CVA'!$AM$15)*1*(1-0.03)</f>
        <v>41.151946748232092</v>
      </c>
      <c r="Z245" s="53">
        <f ca="1">('TUSD BE'!$AM$17+'TUSD BF'!$AM$17+'TUSD CVA'!$AM$17)*1*(1-0.03)</f>
        <v>107.89940569215416</v>
      </c>
      <c r="AA245" s="53">
        <f>('TE BE'!$AB$8+'TE BF'!$AB$8+'TE CVA'!$AB$8)*1*(1-0.03)</f>
        <v>402.60285579025447</v>
      </c>
      <c r="AB245" s="6">
        <f>$K$245*$V$245</f>
        <v>6798.2303999999995</v>
      </c>
      <c r="AC245" s="6">
        <f>$M$245*$W$245</f>
        <v>41.341745200000005</v>
      </c>
      <c r="AD245" s="6">
        <f>$O$245*$X$245</f>
        <v>271.10220399999997</v>
      </c>
      <c r="AE245" s="6">
        <f ca="1">$K$245*$Y$245</f>
        <v>9382.6438585969172</v>
      </c>
      <c r="AF245" s="6">
        <f ca="1">$M$245*$Z$245</f>
        <v>68.408223208825746</v>
      </c>
      <c r="AG245" s="6">
        <f>$O$245*$AA$245</f>
        <v>255.25021057102134</v>
      </c>
    </row>
    <row r="246" spans="1:33" ht="11.25" customHeight="1" x14ac:dyDescent="0.25">
      <c r="A246" s="4" t="s">
        <v>21</v>
      </c>
      <c r="B246" s="4" t="s">
        <v>33</v>
      </c>
      <c r="C246" s="4" t="s">
        <v>34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44348</v>
      </c>
      <c r="J246" s="6">
        <v>0</v>
      </c>
      <c r="K246" s="6">
        <v>0</v>
      </c>
      <c r="L246" s="6">
        <v>841.98099999999999</v>
      </c>
      <c r="M246" s="6">
        <v>841.98099999999999</v>
      </c>
      <c r="N246" s="6">
        <v>841.98099999999999</v>
      </c>
      <c r="O246" s="6">
        <v>841.98099999999999</v>
      </c>
      <c r="P246" s="6">
        <v>0</v>
      </c>
      <c r="Q246" s="4" t="s">
        <v>26</v>
      </c>
      <c r="R246" s="4">
        <v>0</v>
      </c>
      <c r="S246" s="6">
        <v>0</v>
      </c>
      <c r="T246" s="6">
        <v>20</v>
      </c>
      <c r="U246" s="6">
        <v>66</v>
      </c>
      <c r="V246" s="6">
        <f>IF(ISERROR(VLOOKUP($S$246,'TAR FIN'!$A$1:$O$103,15,0)),0,VLOOKUP($S$246,'TAR FIN'!$A$1:$O$103,15,0))</f>
        <v>0</v>
      </c>
      <c r="W246" s="6">
        <f>IF(ISERROR(VLOOKUP($T$246,'TAR FIN'!$A$1:$O$103,15,0)),0,VLOOKUP($T$246,'TAR FIN'!$A$1:$O$103,15,0))</f>
        <v>69.37</v>
      </c>
      <c r="X246" s="6">
        <f>IF(ISERROR(VLOOKUP($U$246,'TAR FIN'!$A$1:$O$103,15,0)),0,VLOOKUP($U$246,'TAR FIN'!$A$1:$O$103,15,0))</f>
        <v>284.36</v>
      </c>
      <c r="Y246" s="6"/>
      <c r="Z246" s="6">
        <f ca="1">('TUSD BE'!$AM$22+'TUSD BF'!$AM$22+'TUSD CVA'!$AM$22)*1</f>
        <v>111.236500713561</v>
      </c>
      <c r="AA246" s="6">
        <f>('TE BE'!$AB$9+'TE BF'!$AB$9+'TE CVA'!$AB$9)*1</f>
        <v>259.03677522481752</v>
      </c>
      <c r="AB246" s="6">
        <f>$K$246*$V$246</f>
        <v>0</v>
      </c>
      <c r="AC246" s="6">
        <f>$M$246*$W$246</f>
        <v>58408.221970000006</v>
      </c>
      <c r="AD246" s="6">
        <f>$O$246*$X$246</f>
        <v>239425.71716</v>
      </c>
      <c r="AE246" s="6">
        <f>$K$246*$Y$246</f>
        <v>0</v>
      </c>
      <c r="AF246" s="6">
        <f ca="1">$M$246*$Z$246</f>
        <v>93659.020107304808</v>
      </c>
      <c r="AG246" s="6">
        <f>$O$246*$AA$246</f>
        <v>218104.04304056708</v>
      </c>
    </row>
    <row r="247" spans="1:33" ht="11.25" customHeight="1" x14ac:dyDescent="0.25">
      <c r="A247" s="4" t="s">
        <v>21</v>
      </c>
      <c r="B247" s="4" t="s">
        <v>33</v>
      </c>
      <c r="C247" s="4" t="s">
        <v>34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44378</v>
      </c>
      <c r="J247" s="6">
        <v>0</v>
      </c>
      <c r="K247" s="6">
        <v>0</v>
      </c>
      <c r="L247" s="6">
        <v>872.77300000000002</v>
      </c>
      <c r="M247" s="6">
        <v>872.77300000000002</v>
      </c>
      <c r="N247" s="6">
        <v>872.77300000000002</v>
      </c>
      <c r="O247" s="6">
        <v>872.77300000000002</v>
      </c>
      <c r="P247" s="6">
        <v>0</v>
      </c>
      <c r="Q247" s="4" t="s">
        <v>26</v>
      </c>
      <c r="R247" s="4">
        <v>0</v>
      </c>
      <c r="S247" s="6">
        <v>0</v>
      </c>
      <c r="T247" s="6">
        <v>20</v>
      </c>
      <c r="U247" s="6">
        <v>66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69.37</v>
      </c>
      <c r="X247" s="6">
        <f>IF(ISERROR(VLOOKUP($U$247,'TAR FIN'!$A$1:$O$103,15,0)),0,VLOOKUP($U$247,'TAR FIN'!$A$1:$O$103,15,0))</f>
        <v>284.36</v>
      </c>
      <c r="Y247" s="6"/>
      <c r="Z247" s="6">
        <f ca="1">('TUSD BE'!$AM$22+'TUSD BF'!$AM$22+'TUSD CVA'!$AM$22)*1</f>
        <v>111.236500713561</v>
      </c>
      <c r="AA247" s="6">
        <f>('TE BE'!$AB$9+'TE BF'!$AB$9+'TE CVA'!$AB$9)*1</f>
        <v>259.03677522481752</v>
      </c>
      <c r="AB247" s="6">
        <f>$K$247*$V$247</f>
        <v>0</v>
      </c>
      <c r="AC247" s="6">
        <f>$M$247*$W$247</f>
        <v>60544.263010000002</v>
      </c>
      <c r="AD247" s="6">
        <f>$O$247*$X$247</f>
        <v>248181.73028000002</v>
      </c>
      <c r="AE247" s="6">
        <f>$K$247*$Y$247</f>
        <v>0</v>
      </c>
      <c r="AF247" s="6">
        <f ca="1">$M$247*$Z$247</f>
        <v>97084.21443727678</v>
      </c>
      <c r="AG247" s="6">
        <f>$O$247*$AA$247</f>
        <v>226080.30342328968</v>
      </c>
    </row>
    <row r="248" spans="1:33" ht="11.25" customHeight="1" x14ac:dyDescent="0.25">
      <c r="A248" s="4" t="s">
        <v>21</v>
      </c>
      <c r="B248" s="4" t="s">
        <v>33</v>
      </c>
      <c r="C248" s="4" t="s">
        <v>34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44409</v>
      </c>
      <c r="J248" s="6">
        <v>0</v>
      </c>
      <c r="K248" s="6">
        <v>0</v>
      </c>
      <c r="L248" s="6">
        <v>884.68600000000004</v>
      </c>
      <c r="M248" s="6">
        <v>884.68600000000004</v>
      </c>
      <c r="N248" s="6">
        <v>884.68600000000004</v>
      </c>
      <c r="O248" s="6">
        <v>884.68600000000004</v>
      </c>
      <c r="P248" s="6">
        <v>0</v>
      </c>
      <c r="Q248" s="4" t="s">
        <v>26</v>
      </c>
      <c r="R248" s="4">
        <v>0</v>
      </c>
      <c r="S248" s="6">
        <v>0</v>
      </c>
      <c r="T248" s="6">
        <v>20</v>
      </c>
      <c r="U248" s="6">
        <v>66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69.37</v>
      </c>
      <c r="X248" s="6">
        <f>IF(ISERROR(VLOOKUP($U$248,'TAR FIN'!$A$1:$O$103,15,0)),0,VLOOKUP($U$248,'TAR FIN'!$A$1:$O$103,15,0))</f>
        <v>284.36</v>
      </c>
      <c r="Y248" s="6"/>
      <c r="Z248" s="6">
        <f ca="1">('TUSD BE'!$AM$22+'TUSD BF'!$AM$22+'TUSD CVA'!$AM$22)*1</f>
        <v>111.236500713561</v>
      </c>
      <c r="AA248" s="6">
        <f>('TE BE'!$AB$9+'TE BF'!$AB$9+'TE CVA'!$AB$9)*1</f>
        <v>259.03677522481752</v>
      </c>
      <c r="AB248" s="6">
        <f>$K$248*$V$248</f>
        <v>0</v>
      </c>
      <c r="AC248" s="6">
        <f>$M$248*$W$248</f>
        <v>61370.66782000001</v>
      </c>
      <c r="AD248" s="6">
        <f>$O$248*$X$248</f>
        <v>251569.31096000003</v>
      </c>
      <c r="AE248" s="6">
        <f>$K$248*$Y$248</f>
        <v>0</v>
      </c>
      <c r="AF248" s="6">
        <f ca="1">$M$248*$Z$248</f>
        <v>98409.374870277432</v>
      </c>
      <c r="AG248" s="6">
        <f>$O$248*$AA$248</f>
        <v>229166.20852654293</v>
      </c>
    </row>
    <row r="249" spans="1:33" ht="11.25" customHeight="1" x14ac:dyDescent="0.25">
      <c r="A249" s="4" t="s">
        <v>28</v>
      </c>
      <c r="B249" s="4" t="s">
        <v>33</v>
      </c>
      <c r="C249" s="4" t="s">
        <v>34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44409</v>
      </c>
      <c r="J249" s="6">
        <v>0</v>
      </c>
      <c r="K249" s="6">
        <v>0</v>
      </c>
      <c r="L249" s="6">
        <v>4.5960000000000001</v>
      </c>
      <c r="M249" s="6">
        <v>4.5960000000000001</v>
      </c>
      <c r="N249" s="6">
        <v>4.5960000000000001</v>
      </c>
      <c r="O249" s="6">
        <v>4.5960000000000001</v>
      </c>
      <c r="P249" s="6">
        <v>0</v>
      </c>
      <c r="Q249" s="4" t="s">
        <v>26</v>
      </c>
      <c r="R249" s="4">
        <v>0</v>
      </c>
      <c r="S249" s="6">
        <v>0</v>
      </c>
      <c r="T249" s="6">
        <v>20</v>
      </c>
      <c r="U249" s="6">
        <v>66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69.37</v>
      </c>
      <c r="X249" s="6">
        <f>IF(ISERROR(VLOOKUP($U$249,'TAR FIN'!$A$1:$O$103,15,0)),0,VLOOKUP($U$249,'TAR FIN'!$A$1:$O$103,15,0))</f>
        <v>284.36</v>
      </c>
      <c r="Y249" s="6"/>
      <c r="Z249" s="6">
        <f ca="1">('TUSD BE'!$AM$22+'TUSD BF'!$AM$22+'TUSD CVA'!$AM$22)*1</f>
        <v>111.236500713561</v>
      </c>
      <c r="AA249" s="6">
        <f>('TE BE'!$AB$9+'TE BF'!$AB$9+'TE CVA'!$AB$9)*1</f>
        <v>259.03677522481752</v>
      </c>
      <c r="AB249" s="6">
        <f>$K$249*$V$249</f>
        <v>0</v>
      </c>
      <c r="AC249" s="6">
        <f>$M$249*$W$249</f>
        <v>318.82452000000001</v>
      </c>
      <c r="AD249" s="6">
        <f>$O$249*$X$249</f>
        <v>1306.9185600000001</v>
      </c>
      <c r="AE249" s="6">
        <f>$K$249*$Y$249</f>
        <v>0</v>
      </c>
      <c r="AF249" s="6">
        <f ca="1">$M$249*$Z$249</f>
        <v>511.24295727952637</v>
      </c>
      <c r="AG249" s="6">
        <f>$O$249*$AA$249</f>
        <v>1190.5330189332612</v>
      </c>
    </row>
    <row r="250" spans="1:33" ht="11.25" customHeight="1" x14ac:dyDescent="0.25">
      <c r="A250" s="4" t="s">
        <v>21</v>
      </c>
      <c r="B250" s="4" t="s">
        <v>33</v>
      </c>
      <c r="C250" s="4" t="s">
        <v>34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44440</v>
      </c>
      <c r="J250" s="6">
        <v>0</v>
      </c>
      <c r="K250" s="6">
        <v>0</v>
      </c>
      <c r="L250" s="6">
        <v>910.68399999999997</v>
      </c>
      <c r="M250" s="6">
        <v>910.68399999999997</v>
      </c>
      <c r="N250" s="6">
        <v>910.68399999999997</v>
      </c>
      <c r="O250" s="6">
        <v>910.68399999999997</v>
      </c>
      <c r="P250" s="6">
        <v>0</v>
      </c>
      <c r="Q250" s="4" t="s">
        <v>26</v>
      </c>
      <c r="R250" s="4">
        <v>0</v>
      </c>
      <c r="S250" s="6">
        <v>0</v>
      </c>
      <c r="T250" s="6">
        <v>20</v>
      </c>
      <c r="U250" s="6">
        <v>66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69.37</v>
      </c>
      <c r="X250" s="6">
        <f>IF(ISERROR(VLOOKUP($U$250,'TAR FIN'!$A$1:$O$103,15,0)),0,VLOOKUP($U$250,'TAR FIN'!$A$1:$O$103,15,0))</f>
        <v>284.36</v>
      </c>
      <c r="Y250" s="6"/>
      <c r="Z250" s="6">
        <f ca="1">('TUSD BE'!$AM$22+'TUSD BF'!$AM$22+'TUSD CVA'!$AM$22)*1</f>
        <v>111.236500713561</v>
      </c>
      <c r="AA250" s="6">
        <f>('TE BE'!$AB$9+'TE BF'!$AB$9+'TE CVA'!$AB$9)*1</f>
        <v>259.03677522481752</v>
      </c>
      <c r="AB250" s="6">
        <f>$K$250*$V$250</f>
        <v>0</v>
      </c>
      <c r="AC250" s="6">
        <f>$M$250*$W$250</f>
        <v>63174.149080000003</v>
      </c>
      <c r="AD250" s="6">
        <f>$O$250*$X$250</f>
        <v>258962.10224000001</v>
      </c>
      <c r="AE250" s="6">
        <f>$K$250*$Y$250</f>
        <v>0</v>
      </c>
      <c r="AF250" s="6">
        <f ca="1">$M$250*$Z$250</f>
        <v>101301.30141582858</v>
      </c>
      <c r="AG250" s="6">
        <f>$O$250*$AA$250</f>
        <v>235900.64660883771</v>
      </c>
    </row>
    <row r="251" spans="1:33" ht="11.25" customHeight="1" x14ac:dyDescent="0.25">
      <c r="A251" s="4" t="s">
        <v>27</v>
      </c>
      <c r="B251" s="4" t="s">
        <v>33</v>
      </c>
      <c r="C251" s="4" t="s">
        <v>34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44440</v>
      </c>
      <c r="J251" s="6">
        <v>0</v>
      </c>
      <c r="K251" s="6">
        <v>0</v>
      </c>
      <c r="L251" s="6">
        <v>64.281999999999996</v>
      </c>
      <c r="M251" s="6">
        <v>64.281999999999996</v>
      </c>
      <c r="N251" s="6">
        <v>64.281999999999996</v>
      </c>
      <c r="O251" s="6">
        <v>64.281999999999996</v>
      </c>
      <c r="P251" s="6">
        <v>0</v>
      </c>
      <c r="Q251" s="4" t="s">
        <v>26</v>
      </c>
      <c r="R251" s="4">
        <v>0</v>
      </c>
      <c r="S251" s="6">
        <v>0</v>
      </c>
      <c r="T251" s="6">
        <v>20</v>
      </c>
      <c r="U251" s="6">
        <v>66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69.37</v>
      </c>
      <c r="X251" s="6">
        <f>IF(ISERROR(VLOOKUP($U$251,'TAR FIN'!$A$1:$O$103,15,0)),0,VLOOKUP($U$251,'TAR FIN'!$A$1:$O$103,15,0))</f>
        <v>284.36</v>
      </c>
      <c r="Y251" s="6"/>
      <c r="Z251" s="6">
        <f ca="1">('TUSD BE'!$AM$22+'TUSD BF'!$AM$22+'TUSD CVA'!$AM$22)*1</f>
        <v>111.236500713561</v>
      </c>
      <c r="AA251" s="6">
        <f>('TE BE'!$AB$9+'TE BF'!$AB$9+'TE CVA'!$AB$9)*1</f>
        <v>259.03677522481752</v>
      </c>
      <c r="AB251" s="6">
        <f>$K$251*$V$251</f>
        <v>0</v>
      </c>
      <c r="AC251" s="6">
        <f>$M$251*$W$251</f>
        <v>4459.2423399999998</v>
      </c>
      <c r="AD251" s="6">
        <f>$O$251*$X$251</f>
        <v>18279.229520000001</v>
      </c>
      <c r="AE251" s="6">
        <f>$K$251*$Y$251</f>
        <v>0</v>
      </c>
      <c r="AF251" s="6">
        <f ca="1">$M$251*$Z$251</f>
        <v>7150.5047388691282</v>
      </c>
      <c r="AG251" s="6">
        <f>$O$251*$AA$251</f>
        <v>16651.401985001718</v>
      </c>
    </row>
    <row r="252" spans="1:33" ht="11.25" customHeight="1" x14ac:dyDescent="0.25">
      <c r="A252" s="4" t="s">
        <v>28</v>
      </c>
      <c r="B252" s="4" t="s">
        <v>33</v>
      </c>
      <c r="C252" s="4" t="s">
        <v>34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44440</v>
      </c>
      <c r="J252" s="6">
        <v>0</v>
      </c>
      <c r="K252" s="6">
        <v>0</v>
      </c>
      <c r="L252" s="6">
        <v>12.022</v>
      </c>
      <c r="M252" s="6">
        <v>12.022</v>
      </c>
      <c r="N252" s="6">
        <v>12.022</v>
      </c>
      <c r="O252" s="6">
        <v>12.022</v>
      </c>
      <c r="P252" s="6">
        <v>0</v>
      </c>
      <c r="Q252" s="4" t="s">
        <v>26</v>
      </c>
      <c r="R252" s="4">
        <v>0</v>
      </c>
      <c r="S252" s="6">
        <v>0</v>
      </c>
      <c r="T252" s="6">
        <v>20</v>
      </c>
      <c r="U252" s="6">
        <v>66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69.37</v>
      </c>
      <c r="X252" s="6">
        <f>IF(ISERROR(VLOOKUP($U$252,'TAR FIN'!$A$1:$O$103,15,0)),0,VLOOKUP($U$252,'TAR FIN'!$A$1:$O$103,15,0))</f>
        <v>284.36</v>
      </c>
      <c r="Y252" s="6"/>
      <c r="Z252" s="6">
        <f ca="1">('TUSD BE'!$AM$22+'TUSD BF'!$AM$22+'TUSD CVA'!$AM$22)*1</f>
        <v>111.236500713561</v>
      </c>
      <c r="AA252" s="6">
        <f>('TE BE'!$AB$9+'TE BF'!$AB$9+'TE CVA'!$AB$9)*1</f>
        <v>259.03677522481752</v>
      </c>
      <c r="AB252" s="6">
        <f>$K$252*$V$252</f>
        <v>0</v>
      </c>
      <c r="AC252" s="6">
        <f>$M$252*$W$252</f>
        <v>833.96614000000011</v>
      </c>
      <c r="AD252" s="6">
        <f>$O$252*$X$252</f>
        <v>3418.5759200000002</v>
      </c>
      <c r="AE252" s="6">
        <f>$K$252*$Y$252</f>
        <v>0</v>
      </c>
      <c r="AF252" s="6">
        <f ca="1">$M$252*$Z$252</f>
        <v>1337.2852115784303</v>
      </c>
      <c r="AG252" s="6">
        <f>$O$252*$AA$252</f>
        <v>3114.1401117527562</v>
      </c>
    </row>
    <row r="253" spans="1:33" ht="11.25" customHeight="1" x14ac:dyDescent="0.25">
      <c r="A253" s="4" t="s">
        <v>21</v>
      </c>
      <c r="B253" s="4" t="s">
        <v>33</v>
      </c>
      <c r="C253" s="4" t="s">
        <v>34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44470</v>
      </c>
      <c r="J253" s="6">
        <v>0</v>
      </c>
      <c r="K253" s="6">
        <v>0</v>
      </c>
      <c r="L253" s="6">
        <v>944.654</v>
      </c>
      <c r="M253" s="6">
        <v>944.654</v>
      </c>
      <c r="N253" s="6">
        <v>944.654</v>
      </c>
      <c r="O253" s="6">
        <v>944.654</v>
      </c>
      <c r="P253" s="6">
        <v>0</v>
      </c>
      <c r="Q253" s="4" t="s">
        <v>26</v>
      </c>
      <c r="R253" s="4">
        <v>0</v>
      </c>
      <c r="S253" s="6">
        <v>0</v>
      </c>
      <c r="T253" s="6">
        <v>20</v>
      </c>
      <c r="U253" s="6">
        <v>66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69.37</v>
      </c>
      <c r="X253" s="6">
        <f>IF(ISERROR(VLOOKUP($U$253,'TAR FIN'!$A$1:$O$103,15,0)),0,VLOOKUP($U$253,'TAR FIN'!$A$1:$O$103,15,0))</f>
        <v>284.36</v>
      </c>
      <c r="Y253" s="6"/>
      <c r="Z253" s="6">
        <f ca="1">('TUSD BE'!$AM$22+'TUSD BF'!$AM$22+'TUSD CVA'!$AM$22)*1</f>
        <v>111.236500713561</v>
      </c>
      <c r="AA253" s="6">
        <f>('TE BE'!$AB$9+'TE BF'!$AB$9+'TE CVA'!$AB$9)*1</f>
        <v>259.03677522481752</v>
      </c>
      <c r="AB253" s="6">
        <f>$K$253*$V$253</f>
        <v>0</v>
      </c>
      <c r="AC253" s="6">
        <f>$M$253*$W$253</f>
        <v>65530.647980000002</v>
      </c>
      <c r="AD253" s="6">
        <f>$O$253*$X$253</f>
        <v>268621.81144000002</v>
      </c>
      <c r="AE253" s="6">
        <f>$K$253*$Y$253</f>
        <v>0</v>
      </c>
      <c r="AF253" s="6">
        <f ca="1">$M$253*$Z$253</f>
        <v>105080.00534506825</v>
      </c>
      <c r="AG253" s="6">
        <f>$O$253*$AA$253</f>
        <v>244700.12586322476</v>
      </c>
    </row>
    <row r="254" spans="1:33" ht="11.25" customHeight="1" x14ac:dyDescent="0.25">
      <c r="A254" s="4" t="s">
        <v>28</v>
      </c>
      <c r="B254" s="4" t="s">
        <v>33</v>
      </c>
      <c r="C254" s="4" t="s">
        <v>34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44470</v>
      </c>
      <c r="J254" s="6">
        <v>0</v>
      </c>
      <c r="K254" s="6">
        <v>0</v>
      </c>
      <c r="L254" s="6">
        <v>7.556</v>
      </c>
      <c r="M254" s="6">
        <v>7.556</v>
      </c>
      <c r="N254" s="6">
        <v>7.556</v>
      </c>
      <c r="O254" s="6">
        <v>7.556</v>
      </c>
      <c r="P254" s="6">
        <v>0</v>
      </c>
      <c r="Q254" s="4" t="s">
        <v>26</v>
      </c>
      <c r="R254" s="4">
        <v>0</v>
      </c>
      <c r="S254" s="6">
        <v>0</v>
      </c>
      <c r="T254" s="6">
        <v>20</v>
      </c>
      <c r="U254" s="6">
        <v>66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69.37</v>
      </c>
      <c r="X254" s="6">
        <f>IF(ISERROR(VLOOKUP($U$254,'TAR FIN'!$A$1:$O$103,15,0)),0,VLOOKUP($U$254,'TAR FIN'!$A$1:$O$103,15,0))</f>
        <v>284.36</v>
      </c>
      <c r="Y254" s="6"/>
      <c r="Z254" s="6">
        <f ca="1">('TUSD BE'!$AM$22+'TUSD BF'!$AM$22+'TUSD CVA'!$AM$22)*1</f>
        <v>111.236500713561</v>
      </c>
      <c r="AA254" s="6">
        <f>('TE BE'!$AB$9+'TE BF'!$AB$9+'TE CVA'!$AB$9)*1</f>
        <v>259.03677522481752</v>
      </c>
      <c r="AB254" s="6">
        <f>$K$254*$V$254</f>
        <v>0</v>
      </c>
      <c r="AC254" s="6">
        <f>$M$254*$W$254</f>
        <v>524.15971999999999</v>
      </c>
      <c r="AD254" s="6">
        <f>$O$254*$X$254</f>
        <v>2148.6241600000003</v>
      </c>
      <c r="AE254" s="6">
        <f>$K$254*$Y$254</f>
        <v>0</v>
      </c>
      <c r="AF254" s="6">
        <f ca="1">$M$254*$Z$254</f>
        <v>840.50299939166689</v>
      </c>
      <c r="AG254" s="6">
        <f>$O$254*$AA$254</f>
        <v>1957.2818735987212</v>
      </c>
    </row>
    <row r="255" spans="1:33" ht="11.25" customHeight="1" x14ac:dyDescent="0.25">
      <c r="A255" s="4" t="s">
        <v>21</v>
      </c>
      <c r="B255" s="4" t="s">
        <v>33</v>
      </c>
      <c r="C255" s="4" t="s">
        <v>34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44501</v>
      </c>
      <c r="J255" s="6">
        <v>0</v>
      </c>
      <c r="K255" s="6">
        <v>0</v>
      </c>
      <c r="L255" s="6">
        <v>1113.5930000000001</v>
      </c>
      <c r="M255" s="6">
        <v>1113.5930000000001</v>
      </c>
      <c r="N255" s="6">
        <v>1113.5930000000001</v>
      </c>
      <c r="O255" s="6">
        <v>1113.5930000000001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20</v>
      </c>
      <c r="U255" s="6">
        <v>66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69.37</v>
      </c>
      <c r="X255" s="6">
        <f>IF(ISERROR(VLOOKUP($U$255,'TAR FIN'!$A$1:$O$103,15,0)),0,VLOOKUP($U$255,'TAR FIN'!$A$1:$O$103,15,0))</f>
        <v>284.36</v>
      </c>
      <c r="Y255" s="6"/>
      <c r="Z255" s="6">
        <f ca="1">('TUSD BE'!$AM$22+'TUSD BF'!$AM$22+'TUSD CVA'!$AM$22)*1</f>
        <v>111.236500713561</v>
      </c>
      <c r="AA255" s="6">
        <f>('TE BE'!$AB$9+'TE BF'!$AB$9+'TE CVA'!$AB$9)*1</f>
        <v>259.03677522481752</v>
      </c>
      <c r="AB255" s="6">
        <f>$K$255*$V$255</f>
        <v>0</v>
      </c>
      <c r="AC255" s="6">
        <f>$M$255*$W$255</f>
        <v>77249.946410000004</v>
      </c>
      <c r="AD255" s="6">
        <f>$O$255*$X$255</f>
        <v>316661.30548000004</v>
      </c>
      <c r="AE255" s="6">
        <f>$K$255*$Y$255</f>
        <v>0</v>
      </c>
      <c r="AF255" s="6">
        <f ca="1">$M$255*$Z$255</f>
        <v>123872.18853911654</v>
      </c>
      <c r="AG255" s="6">
        <f>$O$255*$AA$255</f>
        <v>288461.53963293025</v>
      </c>
    </row>
    <row r="256" spans="1:33" ht="11.25" customHeight="1" x14ac:dyDescent="0.25">
      <c r="A256" s="4" t="s">
        <v>21</v>
      </c>
      <c r="B256" s="4" t="s">
        <v>33</v>
      </c>
      <c r="C256" s="4" t="s">
        <v>34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44531</v>
      </c>
      <c r="J256" s="6">
        <v>0</v>
      </c>
      <c r="K256" s="6">
        <v>0</v>
      </c>
      <c r="L256" s="6">
        <v>837.38800000000003</v>
      </c>
      <c r="M256" s="6">
        <v>837.38800000000003</v>
      </c>
      <c r="N256" s="6">
        <v>837.38800000000003</v>
      </c>
      <c r="O256" s="6">
        <v>837.38800000000003</v>
      </c>
      <c r="P256" s="6">
        <v>0</v>
      </c>
      <c r="Q256" s="4" t="s">
        <v>26</v>
      </c>
      <c r="R256" s="4">
        <v>0</v>
      </c>
      <c r="S256" s="6">
        <v>0</v>
      </c>
      <c r="T256" s="6">
        <v>20</v>
      </c>
      <c r="U256" s="6">
        <v>66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69.37</v>
      </c>
      <c r="X256" s="6">
        <f>IF(ISERROR(VLOOKUP($U$256,'TAR FIN'!$A$1:$O$103,15,0)),0,VLOOKUP($U$256,'TAR FIN'!$A$1:$O$103,15,0))</f>
        <v>284.36</v>
      </c>
      <c r="Y256" s="6"/>
      <c r="Z256" s="6">
        <f ca="1">('TUSD BE'!$AM$22+'TUSD BF'!$AM$22+'TUSD CVA'!$AM$22)*1</f>
        <v>111.236500713561</v>
      </c>
      <c r="AA256" s="6">
        <f>('TE BE'!$AB$9+'TE BF'!$AB$9+'TE CVA'!$AB$9)*1</f>
        <v>259.03677522481752</v>
      </c>
      <c r="AB256" s="6">
        <f>$K$256*$V$256</f>
        <v>0</v>
      </c>
      <c r="AC256" s="6">
        <f>$M$256*$W$256</f>
        <v>58089.605560000004</v>
      </c>
      <c r="AD256" s="6">
        <f>$O$256*$X$256</f>
        <v>238119.65168000001</v>
      </c>
      <c r="AE256" s="6">
        <f>$K$256*$Y$256</f>
        <v>0</v>
      </c>
      <c r="AF256" s="6">
        <f ca="1">$M$256*$Z$256</f>
        <v>93148.110859527427</v>
      </c>
      <c r="AG256" s="6">
        <f>$O$256*$AA$256</f>
        <v>216914.28713195951</v>
      </c>
    </row>
    <row r="257" spans="1:33" ht="11.25" customHeight="1" x14ac:dyDescent="0.25">
      <c r="A257" s="4" t="s">
        <v>28</v>
      </c>
      <c r="B257" s="4" t="s">
        <v>33</v>
      </c>
      <c r="C257" s="4" t="s">
        <v>34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44531</v>
      </c>
      <c r="J257" s="6">
        <v>0</v>
      </c>
      <c r="K257" s="6">
        <v>0</v>
      </c>
      <c r="L257" s="6">
        <v>186.56700000000001</v>
      </c>
      <c r="M257" s="6">
        <v>186.56700000000001</v>
      </c>
      <c r="N257" s="6">
        <v>186.56700000000001</v>
      </c>
      <c r="O257" s="6">
        <v>186.56700000000001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20</v>
      </c>
      <c r="U257" s="6">
        <v>66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69.37</v>
      </c>
      <c r="X257" s="6">
        <f>IF(ISERROR(VLOOKUP($U$257,'TAR FIN'!$A$1:$O$103,15,0)),0,VLOOKUP($U$257,'TAR FIN'!$A$1:$O$103,15,0))</f>
        <v>284.36</v>
      </c>
      <c r="Y257" s="6"/>
      <c r="Z257" s="6">
        <f ca="1">('TUSD BE'!$AM$22+'TUSD BF'!$AM$22+'TUSD CVA'!$AM$22)*1</f>
        <v>111.236500713561</v>
      </c>
      <c r="AA257" s="6">
        <f>('TE BE'!$AB$9+'TE BF'!$AB$9+'TE CVA'!$AB$9)*1</f>
        <v>259.03677522481752</v>
      </c>
      <c r="AB257" s="6">
        <f>$K$257*$V$257</f>
        <v>0</v>
      </c>
      <c r="AC257" s="6">
        <f>$M$257*$W$257</f>
        <v>12942.152790000002</v>
      </c>
      <c r="AD257" s="6">
        <f>$O$257*$X$257</f>
        <v>53052.192120000007</v>
      </c>
      <c r="AE257" s="6">
        <f>$K$257*$Y$257</f>
        <v>0</v>
      </c>
      <c r="AF257" s="6">
        <f ca="1">$M$257*$Z$257</f>
        <v>20753.060228626935</v>
      </c>
      <c r="AG257" s="6">
        <f>$O$257*$AA$257</f>
        <v>48327.714043368534</v>
      </c>
    </row>
    <row r="258" spans="1:33" ht="11.25" customHeight="1" x14ac:dyDescent="0.25">
      <c r="A258" s="4" t="s">
        <v>21</v>
      </c>
      <c r="B258" s="4" t="s">
        <v>33</v>
      </c>
      <c r="C258" s="4" t="s">
        <v>34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44562</v>
      </c>
      <c r="J258" s="6">
        <v>0</v>
      </c>
      <c r="K258" s="6">
        <v>0</v>
      </c>
      <c r="L258" s="6">
        <v>1032.8920000000001</v>
      </c>
      <c r="M258" s="6">
        <v>1032.8920000000001</v>
      </c>
      <c r="N258" s="6">
        <v>1032.8920000000001</v>
      </c>
      <c r="O258" s="6">
        <v>1032.8920000000001</v>
      </c>
      <c r="P258" s="6">
        <v>0</v>
      </c>
      <c r="Q258" s="4" t="s">
        <v>26</v>
      </c>
      <c r="R258" s="4">
        <v>0</v>
      </c>
      <c r="S258" s="6">
        <v>0</v>
      </c>
      <c r="T258" s="6">
        <v>20</v>
      </c>
      <c r="U258" s="6">
        <v>66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69.37</v>
      </c>
      <c r="X258" s="6">
        <f>IF(ISERROR(VLOOKUP($U$258,'TAR FIN'!$A$1:$O$103,15,0)),0,VLOOKUP($U$258,'TAR FIN'!$A$1:$O$103,15,0))</f>
        <v>284.36</v>
      </c>
      <c r="Y258" s="6"/>
      <c r="Z258" s="6">
        <f ca="1">('TUSD BE'!$AM$22+'TUSD BF'!$AM$22+'TUSD CVA'!$AM$22)*1</f>
        <v>111.236500713561</v>
      </c>
      <c r="AA258" s="6">
        <f>('TE BE'!$AB$9+'TE BF'!$AB$9+'TE CVA'!$AB$9)*1</f>
        <v>259.03677522481752</v>
      </c>
      <c r="AB258" s="6">
        <f>$K$258*$V$258</f>
        <v>0</v>
      </c>
      <c r="AC258" s="6">
        <f>$M$258*$W$258</f>
        <v>71651.718040000007</v>
      </c>
      <c r="AD258" s="6">
        <f>$O$258*$X$258</f>
        <v>293713.16912000004</v>
      </c>
      <c r="AE258" s="6">
        <f>$K$258*$Y$258</f>
        <v>0</v>
      </c>
      <c r="AF258" s="6">
        <f ca="1">$M$258*$Z$258</f>
        <v>114895.29169503145</v>
      </c>
      <c r="AG258" s="6">
        <f>$O$258*$AA$258</f>
        <v>267557.01283551223</v>
      </c>
    </row>
    <row r="259" spans="1:33" ht="11.25" customHeight="1" x14ac:dyDescent="0.25">
      <c r="A259" s="4" t="s">
        <v>28</v>
      </c>
      <c r="B259" s="4" t="s">
        <v>33</v>
      </c>
      <c r="C259" s="4" t="s">
        <v>34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44562</v>
      </c>
      <c r="J259" s="6">
        <v>0</v>
      </c>
      <c r="K259" s="6">
        <v>0</v>
      </c>
      <c r="L259" s="6">
        <v>22.465</v>
      </c>
      <c r="M259" s="6">
        <v>22.465</v>
      </c>
      <c r="N259" s="6">
        <v>22.465</v>
      </c>
      <c r="O259" s="6">
        <v>22.465</v>
      </c>
      <c r="P259" s="6">
        <v>0</v>
      </c>
      <c r="Q259" s="4" t="s">
        <v>26</v>
      </c>
      <c r="R259" s="4">
        <v>0</v>
      </c>
      <c r="S259" s="6">
        <v>0</v>
      </c>
      <c r="T259" s="6">
        <v>20</v>
      </c>
      <c r="U259" s="6">
        <v>66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69.37</v>
      </c>
      <c r="X259" s="6">
        <f>IF(ISERROR(VLOOKUP($U$259,'TAR FIN'!$A$1:$O$103,15,0)),0,VLOOKUP($U$259,'TAR FIN'!$A$1:$O$103,15,0))</f>
        <v>284.36</v>
      </c>
      <c r="Y259" s="6"/>
      <c r="Z259" s="6">
        <f ca="1">('TUSD BE'!$AM$22+'TUSD BF'!$AM$22+'TUSD CVA'!$AM$22)*1</f>
        <v>111.236500713561</v>
      </c>
      <c r="AA259" s="6">
        <f>('TE BE'!$AB$9+'TE BF'!$AB$9+'TE CVA'!$AB$9)*1</f>
        <v>259.03677522481752</v>
      </c>
      <c r="AB259" s="6">
        <f>$K$259*$V$259</f>
        <v>0</v>
      </c>
      <c r="AC259" s="6">
        <f>$M$259*$W$259</f>
        <v>1558.39705</v>
      </c>
      <c r="AD259" s="6">
        <f>$O$259*$X$259</f>
        <v>6388.1473999999998</v>
      </c>
      <c r="AE259" s="6">
        <f>$K$259*$Y$259</f>
        <v>0</v>
      </c>
      <c r="AF259" s="6">
        <f ca="1">$M$259*$Z$259</f>
        <v>2498.927988530148</v>
      </c>
      <c r="AG259" s="6">
        <f>$O$259*$AA$259</f>
        <v>5819.2611554255254</v>
      </c>
    </row>
    <row r="260" spans="1:33" ht="11.25" customHeight="1" x14ac:dyDescent="0.25">
      <c r="A260" s="4" t="s">
        <v>21</v>
      </c>
      <c r="B260" s="4" t="s">
        <v>33</v>
      </c>
      <c r="C260" s="4" t="s">
        <v>34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44593</v>
      </c>
      <c r="J260" s="6">
        <v>0</v>
      </c>
      <c r="K260" s="6">
        <v>0</v>
      </c>
      <c r="L260" s="6">
        <v>944.30499999999995</v>
      </c>
      <c r="M260" s="6">
        <v>944.30499999999995</v>
      </c>
      <c r="N260" s="6">
        <v>944.30499999999995</v>
      </c>
      <c r="O260" s="6">
        <v>944.30499999999995</v>
      </c>
      <c r="P260" s="6">
        <v>0</v>
      </c>
      <c r="Q260" s="4" t="s">
        <v>26</v>
      </c>
      <c r="R260" s="4">
        <v>0</v>
      </c>
      <c r="S260" s="6">
        <v>0</v>
      </c>
      <c r="T260" s="6">
        <v>20</v>
      </c>
      <c r="U260" s="6">
        <v>66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69.37</v>
      </c>
      <c r="X260" s="6">
        <f>IF(ISERROR(VLOOKUP($U$260,'TAR FIN'!$A$1:$O$103,15,0)),0,VLOOKUP($U$260,'TAR FIN'!$A$1:$O$103,15,0))</f>
        <v>284.36</v>
      </c>
      <c r="Y260" s="6"/>
      <c r="Z260" s="6">
        <f ca="1">('TUSD BE'!$AM$22+'TUSD BF'!$AM$22+'TUSD CVA'!$AM$22)*1</f>
        <v>111.236500713561</v>
      </c>
      <c r="AA260" s="6">
        <f>('TE BE'!$AB$9+'TE BF'!$AB$9+'TE CVA'!$AB$9)*1</f>
        <v>259.03677522481752</v>
      </c>
      <c r="AB260" s="6">
        <f>$K$260*$V$260</f>
        <v>0</v>
      </c>
      <c r="AC260" s="6">
        <f>$M$260*$W$260</f>
        <v>65506.437850000002</v>
      </c>
      <c r="AD260" s="6">
        <f>$O$260*$X$260</f>
        <v>268522.5698</v>
      </c>
      <c r="AE260" s="6">
        <f>$K$260*$Y$260</f>
        <v>0</v>
      </c>
      <c r="AF260" s="6">
        <f ca="1">$M$260*$Z$260</f>
        <v>105041.18380631921</v>
      </c>
      <c r="AG260" s="6">
        <f>$O$260*$AA$260</f>
        <v>244609.7220286713</v>
      </c>
    </row>
    <row r="261" spans="1:33" ht="11.25" customHeight="1" x14ac:dyDescent="0.25">
      <c r="A261" s="4" t="s">
        <v>28</v>
      </c>
      <c r="B261" s="4" t="s">
        <v>33</v>
      </c>
      <c r="C261" s="4" t="s">
        <v>34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44593</v>
      </c>
      <c r="J261" s="6">
        <v>0</v>
      </c>
      <c r="K261" s="6">
        <v>0</v>
      </c>
      <c r="L261" s="6">
        <v>21.838999999999999</v>
      </c>
      <c r="M261" s="6">
        <v>21.838999999999999</v>
      </c>
      <c r="N261" s="6">
        <v>21.838999999999999</v>
      </c>
      <c r="O261" s="6">
        <v>21.838999999999999</v>
      </c>
      <c r="P261" s="6">
        <v>0</v>
      </c>
      <c r="Q261" s="4" t="s">
        <v>26</v>
      </c>
      <c r="R261" s="4">
        <v>0</v>
      </c>
      <c r="S261" s="6">
        <v>0</v>
      </c>
      <c r="T261" s="6">
        <v>20</v>
      </c>
      <c r="U261" s="6">
        <v>66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69.37</v>
      </c>
      <c r="X261" s="6">
        <f>IF(ISERROR(VLOOKUP($U$261,'TAR FIN'!$A$1:$O$103,15,0)),0,VLOOKUP($U$261,'TAR FIN'!$A$1:$O$103,15,0))</f>
        <v>284.36</v>
      </c>
      <c r="Y261" s="6"/>
      <c r="Z261" s="6">
        <f ca="1">('TUSD BE'!$AM$22+'TUSD BF'!$AM$22+'TUSD CVA'!$AM$22)*1</f>
        <v>111.236500713561</v>
      </c>
      <c r="AA261" s="6">
        <f>('TE BE'!$AB$9+'TE BF'!$AB$9+'TE CVA'!$AB$9)*1</f>
        <v>259.03677522481752</v>
      </c>
      <c r="AB261" s="6">
        <f>$K$261*$V$261</f>
        <v>0</v>
      </c>
      <c r="AC261" s="6">
        <f>$M$261*$W$261</f>
        <v>1514.9714300000001</v>
      </c>
      <c r="AD261" s="6">
        <f>$O$261*$X$261</f>
        <v>6210.1380399999998</v>
      </c>
      <c r="AE261" s="6">
        <f>$K$261*$Y$261</f>
        <v>0</v>
      </c>
      <c r="AF261" s="6">
        <f ca="1">$M$261*$Z$261</f>
        <v>2429.2939390834586</v>
      </c>
      <c r="AG261" s="6">
        <f>$O$261*$AA$261</f>
        <v>5657.1041341347891</v>
      </c>
    </row>
    <row r="262" spans="1:33" ht="11.25" customHeight="1" x14ac:dyDescent="0.25">
      <c r="A262" s="4" t="s">
        <v>21</v>
      </c>
      <c r="B262" s="4" t="s">
        <v>33</v>
      </c>
      <c r="C262" s="4" t="s">
        <v>34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44621</v>
      </c>
      <c r="J262" s="6">
        <v>0</v>
      </c>
      <c r="K262" s="6">
        <v>0</v>
      </c>
      <c r="L262" s="6">
        <v>993.05100000000004</v>
      </c>
      <c r="M262" s="6">
        <v>993.05100000000004</v>
      </c>
      <c r="N262" s="6">
        <v>993.05100000000004</v>
      </c>
      <c r="O262" s="6">
        <v>993.05100000000004</v>
      </c>
      <c r="P262" s="6">
        <v>0</v>
      </c>
      <c r="Q262" s="4" t="s">
        <v>26</v>
      </c>
      <c r="R262" s="4">
        <v>0</v>
      </c>
      <c r="S262" s="6">
        <v>0</v>
      </c>
      <c r="T262" s="6">
        <v>20</v>
      </c>
      <c r="U262" s="6">
        <v>66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69.37</v>
      </c>
      <c r="X262" s="6">
        <f>IF(ISERROR(VLOOKUP($U$262,'TAR FIN'!$A$1:$O$103,15,0)),0,VLOOKUP($U$262,'TAR FIN'!$A$1:$O$103,15,0))</f>
        <v>284.36</v>
      </c>
      <c r="Y262" s="6"/>
      <c r="Z262" s="6">
        <f ca="1">('TUSD BE'!$AM$22+'TUSD BF'!$AM$22+'TUSD CVA'!$AM$22)*1</f>
        <v>111.236500713561</v>
      </c>
      <c r="AA262" s="6">
        <f>('TE BE'!$AB$9+'TE BF'!$AB$9+'TE CVA'!$AB$9)*1</f>
        <v>259.03677522481752</v>
      </c>
      <c r="AB262" s="6">
        <f>$K$262*$V$262</f>
        <v>0</v>
      </c>
      <c r="AC262" s="6">
        <f>$M$262*$W$262</f>
        <v>68887.947870000004</v>
      </c>
      <c r="AD262" s="6">
        <f>$O$262*$X$262</f>
        <v>282383.98236000002</v>
      </c>
      <c r="AE262" s="6">
        <f>$K$262*$Y$262</f>
        <v>0</v>
      </c>
      <c r="AF262" s="6">
        <f ca="1">$M$262*$Z$262</f>
        <v>110463.51827010248</v>
      </c>
      <c r="AG262" s="6">
        <f>$O$262*$AA$262</f>
        <v>257236.72867378028</v>
      </c>
    </row>
    <row r="263" spans="1:33" ht="11.25" customHeight="1" x14ac:dyDescent="0.25">
      <c r="A263" s="4" t="s">
        <v>28</v>
      </c>
      <c r="B263" s="4" t="s">
        <v>33</v>
      </c>
      <c r="C263" s="4" t="s">
        <v>34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44621</v>
      </c>
      <c r="J263" s="6">
        <v>0</v>
      </c>
      <c r="K263" s="6">
        <v>0</v>
      </c>
      <c r="L263" s="6">
        <v>39.170999999999999</v>
      </c>
      <c r="M263" s="6">
        <v>39.170999999999999</v>
      </c>
      <c r="N263" s="6">
        <v>39.170999999999999</v>
      </c>
      <c r="O263" s="6">
        <v>39.170999999999999</v>
      </c>
      <c r="P263" s="6">
        <v>0</v>
      </c>
      <c r="Q263" s="4" t="s">
        <v>26</v>
      </c>
      <c r="R263" s="4">
        <v>0</v>
      </c>
      <c r="S263" s="6">
        <v>0</v>
      </c>
      <c r="T263" s="6">
        <v>20</v>
      </c>
      <c r="U263" s="6">
        <v>66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69.37</v>
      </c>
      <c r="X263" s="6">
        <f>IF(ISERROR(VLOOKUP($U$263,'TAR FIN'!$A$1:$O$103,15,0)),0,VLOOKUP($U$263,'TAR FIN'!$A$1:$O$103,15,0))</f>
        <v>284.36</v>
      </c>
      <c r="Y263" s="6"/>
      <c r="Z263" s="6">
        <f ca="1">('TUSD BE'!$AM$22+'TUSD BF'!$AM$22+'TUSD CVA'!$AM$22)*1</f>
        <v>111.236500713561</v>
      </c>
      <c r="AA263" s="6">
        <f>('TE BE'!$AB$9+'TE BF'!$AB$9+'TE CVA'!$AB$9)*1</f>
        <v>259.03677522481752</v>
      </c>
      <c r="AB263" s="6">
        <f>$K$263*$V$263</f>
        <v>0</v>
      </c>
      <c r="AC263" s="6">
        <f>$M$263*$W$263</f>
        <v>2717.2922699999999</v>
      </c>
      <c r="AD263" s="6">
        <f>$O$263*$X$263</f>
        <v>11138.665559999999</v>
      </c>
      <c r="AE263" s="6">
        <f>$K$263*$Y$263</f>
        <v>0</v>
      </c>
      <c r="AF263" s="6">
        <f ca="1">$M$263*$Z$263</f>
        <v>4357.2449694508978</v>
      </c>
      <c r="AG263" s="6">
        <f>$O$263*$AA$263</f>
        <v>10146.729522331327</v>
      </c>
    </row>
    <row r="264" spans="1:33" ht="11.25" customHeight="1" x14ac:dyDescent="0.25">
      <c r="A264" s="4" t="s">
        <v>21</v>
      </c>
      <c r="B264" s="4" t="s">
        <v>33</v>
      </c>
      <c r="C264" s="4" t="s">
        <v>34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35</v>
      </c>
      <c r="I264" s="5">
        <v>44652</v>
      </c>
      <c r="J264" s="6">
        <v>0</v>
      </c>
      <c r="K264" s="6">
        <v>0</v>
      </c>
      <c r="L264" s="6">
        <v>962.26</v>
      </c>
      <c r="M264" s="6">
        <v>962.26</v>
      </c>
      <c r="N264" s="6">
        <v>962.26</v>
      </c>
      <c r="O264" s="6">
        <v>962.26</v>
      </c>
      <c r="P264" s="6">
        <v>0</v>
      </c>
      <c r="Q264" s="4" t="s">
        <v>26</v>
      </c>
      <c r="R264" s="4">
        <v>0</v>
      </c>
      <c r="S264" s="6">
        <v>0</v>
      </c>
      <c r="T264" s="6">
        <v>20</v>
      </c>
      <c r="U264" s="6">
        <v>66</v>
      </c>
      <c r="V264" s="6">
        <f>IF(ISERROR(VLOOKUP($S$264,'TAR FIN'!$A$1:$O$103,15,0)),0,VLOOKUP($S$264,'TAR FIN'!$A$1:$O$103,15,0))</f>
        <v>0</v>
      </c>
      <c r="W264" s="6">
        <f>IF(ISERROR(VLOOKUP($T$264,'TAR FIN'!$A$1:$O$103,15,0)),0,VLOOKUP($T$264,'TAR FIN'!$A$1:$O$103,15,0))</f>
        <v>69.37</v>
      </c>
      <c r="X264" s="6">
        <f>IF(ISERROR(VLOOKUP($U$264,'TAR FIN'!$A$1:$O$103,15,0)),0,VLOOKUP($U$264,'TAR FIN'!$A$1:$O$103,15,0))</f>
        <v>284.36</v>
      </c>
      <c r="Y264" s="6"/>
      <c r="Z264" s="6">
        <f ca="1">('TUSD BE'!$AM$22+'TUSD BF'!$AM$22+'TUSD CVA'!$AM$22)*1</f>
        <v>111.236500713561</v>
      </c>
      <c r="AA264" s="6">
        <f>('TE BE'!$AB$9+'TE BF'!$AB$9+'TE CVA'!$AB$9)*1</f>
        <v>259.03677522481752</v>
      </c>
      <c r="AB264" s="6">
        <f>$K$264*$V$264</f>
        <v>0</v>
      </c>
      <c r="AC264" s="6">
        <f>$M$264*$W$264</f>
        <v>66751.976200000005</v>
      </c>
      <c r="AD264" s="6">
        <f>$O$264*$X$264</f>
        <v>273628.2536</v>
      </c>
      <c r="AE264" s="6">
        <f>$K$264*$Y$264</f>
        <v>0</v>
      </c>
      <c r="AF264" s="6">
        <f ca="1">$M$264*$Z$264</f>
        <v>107038.4351766312</v>
      </c>
      <c r="AG264" s="6">
        <f>$O$264*$AA$264</f>
        <v>249260.72732783289</v>
      </c>
    </row>
    <row r="265" spans="1:33" ht="11.25" customHeight="1" x14ac:dyDescent="0.25">
      <c r="A265" s="4" t="s">
        <v>27</v>
      </c>
      <c r="B265" s="4" t="s">
        <v>33</v>
      </c>
      <c r="C265" s="4" t="s">
        <v>34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35</v>
      </c>
      <c r="I265" s="5">
        <v>44652</v>
      </c>
      <c r="J265" s="6">
        <v>0</v>
      </c>
      <c r="K265" s="6">
        <v>0</v>
      </c>
      <c r="L265" s="6">
        <v>31.629000000000001</v>
      </c>
      <c r="M265" s="6">
        <v>31.629000000000001</v>
      </c>
      <c r="N265" s="6">
        <v>31.629000000000001</v>
      </c>
      <c r="O265" s="6">
        <v>31.629000000000001</v>
      </c>
      <c r="P265" s="6">
        <v>0</v>
      </c>
      <c r="Q265" s="4" t="s">
        <v>26</v>
      </c>
      <c r="R265" s="4">
        <v>0</v>
      </c>
      <c r="S265" s="6">
        <v>0</v>
      </c>
      <c r="T265" s="6">
        <v>20</v>
      </c>
      <c r="U265" s="6">
        <v>66</v>
      </c>
      <c r="V265" s="6">
        <f>IF(ISERROR(VLOOKUP($S$265,'TAR FIN'!$A$1:$O$103,15,0)),0,VLOOKUP($S$265,'TAR FIN'!$A$1:$O$103,15,0))</f>
        <v>0</v>
      </c>
      <c r="W265" s="6">
        <f>IF(ISERROR(VLOOKUP($T$265,'TAR FIN'!$A$1:$O$103,15,0)),0,VLOOKUP($T$265,'TAR FIN'!$A$1:$O$103,15,0))</f>
        <v>69.37</v>
      </c>
      <c r="X265" s="6">
        <f>IF(ISERROR(VLOOKUP($U$265,'TAR FIN'!$A$1:$O$103,15,0)),0,VLOOKUP($U$265,'TAR FIN'!$A$1:$O$103,15,0))</f>
        <v>284.36</v>
      </c>
      <c r="Y265" s="6"/>
      <c r="Z265" s="6">
        <f ca="1">('TUSD BE'!$AM$22+'TUSD BF'!$AM$22+'TUSD CVA'!$AM$22)*1</f>
        <v>111.236500713561</v>
      </c>
      <c r="AA265" s="6">
        <f>('TE BE'!$AB$9+'TE BF'!$AB$9+'TE CVA'!$AB$9)*1</f>
        <v>259.03677522481752</v>
      </c>
      <c r="AB265" s="6">
        <f>$K$265*$V$265</f>
        <v>0</v>
      </c>
      <c r="AC265" s="6">
        <f>$M$265*$W$265</f>
        <v>2194.1037300000003</v>
      </c>
      <c r="AD265" s="6">
        <f>$O$265*$X$265</f>
        <v>8994.0224400000006</v>
      </c>
      <c r="AE265" s="6">
        <f>$K$265*$Y$265</f>
        <v>0</v>
      </c>
      <c r="AF265" s="6">
        <f ca="1">$M$265*$Z$265</f>
        <v>3518.2992810692208</v>
      </c>
      <c r="AG265" s="6">
        <f>$O$265*$AA$265</f>
        <v>8193.0741635857539</v>
      </c>
    </row>
    <row r="266" spans="1:33" ht="11.25" customHeight="1" x14ac:dyDescent="0.25">
      <c r="A266" s="4" t="s">
        <v>21</v>
      </c>
      <c r="B266" s="4" t="s">
        <v>33</v>
      </c>
      <c r="C266" s="4" t="s">
        <v>34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35</v>
      </c>
      <c r="I266" s="5">
        <v>44682</v>
      </c>
      <c r="J266" s="6">
        <v>0</v>
      </c>
      <c r="K266" s="6">
        <v>0</v>
      </c>
      <c r="L266" s="6">
        <v>956.60799999999995</v>
      </c>
      <c r="M266" s="6">
        <v>956.60799999999995</v>
      </c>
      <c r="N266" s="6">
        <v>956.60799999999995</v>
      </c>
      <c r="O266" s="6">
        <v>956.60799999999995</v>
      </c>
      <c r="P266" s="6">
        <v>0</v>
      </c>
      <c r="Q266" s="4" t="s">
        <v>26</v>
      </c>
      <c r="R266" s="4">
        <v>0</v>
      </c>
      <c r="S266" s="6">
        <v>0</v>
      </c>
      <c r="T266" s="6">
        <v>20</v>
      </c>
      <c r="U266" s="6">
        <v>66</v>
      </c>
      <c r="V266" s="6">
        <f>IF(ISERROR(VLOOKUP($S$266,'TAR FIN'!$A$1:$O$103,15,0)),0,VLOOKUP($S$266,'TAR FIN'!$A$1:$O$103,15,0))</f>
        <v>0</v>
      </c>
      <c r="W266" s="6">
        <f>IF(ISERROR(VLOOKUP($T$266,'TAR FIN'!$A$1:$O$103,15,0)),0,VLOOKUP($T$266,'TAR FIN'!$A$1:$O$103,15,0))</f>
        <v>69.37</v>
      </c>
      <c r="X266" s="6">
        <f>IF(ISERROR(VLOOKUP($U$266,'TAR FIN'!$A$1:$O$103,15,0)),0,VLOOKUP($U$266,'TAR FIN'!$A$1:$O$103,15,0))</f>
        <v>284.36</v>
      </c>
      <c r="Y266" s="6"/>
      <c r="Z266" s="6">
        <f ca="1">('TUSD BE'!$AM$22+'TUSD BF'!$AM$22+'TUSD CVA'!$AM$22)*1</f>
        <v>111.236500713561</v>
      </c>
      <c r="AA266" s="6">
        <f>('TE BE'!$AB$9+'TE BF'!$AB$9+'TE CVA'!$AB$9)*1</f>
        <v>259.03677522481752</v>
      </c>
      <c r="AB266" s="6">
        <f>$K$266*$V$266</f>
        <v>0</v>
      </c>
      <c r="AC266" s="6">
        <f>$M$266*$W$266</f>
        <v>66359.896959999998</v>
      </c>
      <c r="AD266" s="6">
        <f>$O$266*$X$266</f>
        <v>272021.05088</v>
      </c>
      <c r="AE266" s="6">
        <f>$K$266*$Y$266</f>
        <v>0</v>
      </c>
      <c r="AF266" s="6">
        <f ca="1">$M$266*$Z$266</f>
        <v>106409.72647459815</v>
      </c>
      <c r="AG266" s="6">
        <f>$O$266*$AA$266</f>
        <v>247796.65147426221</v>
      </c>
    </row>
    <row r="267" spans="1:33" ht="11.25" customHeight="1" x14ac:dyDescent="0.25">
      <c r="A267" s="4" t="s">
        <v>21</v>
      </c>
      <c r="B267" s="4" t="s">
        <v>33</v>
      </c>
      <c r="C267" s="4" t="s">
        <v>34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44348</v>
      </c>
      <c r="J267" s="6">
        <v>4469</v>
      </c>
      <c r="K267" s="6">
        <v>4469</v>
      </c>
      <c r="L267" s="6">
        <v>0</v>
      </c>
      <c r="M267" s="6">
        <v>0</v>
      </c>
      <c r="N267" s="6">
        <v>0</v>
      </c>
      <c r="O267" s="6">
        <v>0</v>
      </c>
      <c r="P267" s="6">
        <v>58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FIN'!$A$1:$O$103,15,0)),0,VLOOKUP($S$267,'TAR FIN'!$A$1:$O$103,15,0))</f>
        <v>12.42</v>
      </c>
      <c r="W267" s="6">
        <f>IF(ISERROR(VLOOKUP($T$267,'TAR FIN'!$A$1:$O$103,15,0)),0,VLOOKUP($T$267,'TAR FIN'!$A$1:$O$103,15,0))</f>
        <v>0</v>
      </c>
      <c r="X267" s="6">
        <f>IF(ISERROR(VLOOKUP($U$267,'TAR FIN'!$A$1:$O$103,15,0)),0,VLOOKUP($U$267,'TAR FIN'!$A$1:$O$103,15,0))</f>
        <v>0</v>
      </c>
      <c r="Y267" s="6">
        <f ca="1">('TUSD BE'!$AM$20+'TUSD BF'!$AM$20+'TUSD CVA'!$AM$20)*1</f>
        <v>16.518304697547443</v>
      </c>
      <c r="Z267" s="6"/>
      <c r="AA267" s="6"/>
      <c r="AB267" s="6">
        <f>$K$267*$V$267</f>
        <v>55504.98</v>
      </c>
      <c r="AC267" s="6">
        <f>$M$267*$W$267</f>
        <v>0</v>
      </c>
      <c r="AD267" s="6">
        <f>$O$267*$X$267</f>
        <v>0</v>
      </c>
      <c r="AE267" s="6">
        <f ca="1">$K$267*$Y$267</f>
        <v>73820.30369333952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28</v>
      </c>
      <c r="B268" s="4" t="s">
        <v>33</v>
      </c>
      <c r="C268" s="4" t="s">
        <v>34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44348</v>
      </c>
      <c r="J268" s="6">
        <v>278</v>
      </c>
      <c r="K268" s="6">
        <v>278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FIN'!$A$1:$O$103,15,0)),0,VLOOKUP($S$268,'TAR FIN'!$A$1:$O$103,15,0))</f>
        <v>12.42</v>
      </c>
      <c r="W268" s="6">
        <f>IF(ISERROR(VLOOKUP($T$268,'TAR FIN'!$A$1:$O$103,15,0)),0,VLOOKUP($T$268,'TAR FIN'!$A$1:$O$103,15,0))</f>
        <v>0</v>
      </c>
      <c r="X268" s="6">
        <f>IF(ISERROR(VLOOKUP($U$268,'TAR FIN'!$A$1:$O$103,15,0)),0,VLOOKUP($U$268,'TAR FIN'!$A$1:$O$103,15,0))</f>
        <v>0</v>
      </c>
      <c r="Y268" s="6">
        <f ca="1">('TUSD BE'!$AM$20+'TUSD BF'!$AM$20+'TUSD CVA'!$AM$20)*1</f>
        <v>16.518304697547443</v>
      </c>
      <c r="Z268" s="6"/>
      <c r="AA268" s="6"/>
      <c r="AB268" s="6">
        <f>$K$268*$V$268</f>
        <v>3452.7599999999998</v>
      </c>
      <c r="AC268" s="6">
        <f>$M$268*$W$268</f>
        <v>0</v>
      </c>
      <c r="AD268" s="6">
        <f>$O$268*$X$268</f>
        <v>0</v>
      </c>
      <c r="AE268" s="6">
        <f ca="1">$K$268*$Y$268</f>
        <v>4592.0887059181887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33</v>
      </c>
      <c r="C269" s="4" t="s">
        <v>34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44378</v>
      </c>
      <c r="J269" s="6">
        <v>4491</v>
      </c>
      <c r="K269" s="6">
        <v>4491</v>
      </c>
      <c r="L269" s="6">
        <v>0</v>
      </c>
      <c r="M269" s="6">
        <v>0</v>
      </c>
      <c r="N269" s="6">
        <v>0</v>
      </c>
      <c r="O269" s="6">
        <v>0</v>
      </c>
      <c r="P269" s="6">
        <v>58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FIN'!$A$1:$O$103,15,0)),0,VLOOKUP($S$269,'TAR FIN'!$A$1:$O$103,15,0))</f>
        <v>12.42</v>
      </c>
      <c r="W269" s="6">
        <f>IF(ISERROR(VLOOKUP($T$269,'TAR FIN'!$A$1:$O$103,15,0)),0,VLOOKUP($T$269,'TAR FIN'!$A$1:$O$103,15,0))</f>
        <v>0</v>
      </c>
      <c r="X269" s="6">
        <f>IF(ISERROR(VLOOKUP($U$269,'TAR FIN'!$A$1:$O$103,15,0)),0,VLOOKUP($U$269,'TAR FIN'!$A$1:$O$103,15,0))</f>
        <v>0</v>
      </c>
      <c r="Y269" s="6">
        <f ca="1">('TUSD BE'!$AM$20+'TUSD BF'!$AM$20+'TUSD CVA'!$AM$20)*1</f>
        <v>16.518304697547443</v>
      </c>
      <c r="Z269" s="6"/>
      <c r="AA269" s="6"/>
      <c r="AB269" s="6">
        <f>$K$269*$V$269</f>
        <v>55778.22</v>
      </c>
      <c r="AC269" s="6">
        <f>$M$269*$W$269</f>
        <v>0</v>
      </c>
      <c r="AD269" s="6">
        <f>$O$269*$X$269</f>
        <v>0</v>
      </c>
      <c r="AE269" s="6">
        <f ca="1">$K$269*$Y$269</f>
        <v>74183.706396685564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28</v>
      </c>
      <c r="B270" s="4" t="s">
        <v>33</v>
      </c>
      <c r="C270" s="4" t="s">
        <v>34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44378</v>
      </c>
      <c r="J270" s="6">
        <v>325</v>
      </c>
      <c r="K270" s="6">
        <v>325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FIN'!$A$1:$O$103,15,0)),0,VLOOKUP($S$270,'TAR FIN'!$A$1:$O$103,15,0))</f>
        <v>12.42</v>
      </c>
      <c r="W270" s="6">
        <f>IF(ISERROR(VLOOKUP($T$270,'TAR FIN'!$A$1:$O$103,15,0)),0,VLOOKUP($T$270,'TAR FIN'!$A$1:$O$103,15,0))</f>
        <v>0</v>
      </c>
      <c r="X270" s="6">
        <f>IF(ISERROR(VLOOKUP($U$270,'TAR FIN'!$A$1:$O$103,15,0)),0,VLOOKUP($U$270,'TAR FIN'!$A$1:$O$103,15,0))</f>
        <v>0</v>
      </c>
      <c r="Y270" s="6">
        <f ca="1">('TUSD BE'!$AM$20+'TUSD BF'!$AM$20+'TUSD CVA'!$AM$20)*1</f>
        <v>16.518304697547443</v>
      </c>
      <c r="Z270" s="6"/>
      <c r="AA270" s="6"/>
      <c r="AB270" s="6">
        <f>$K$270*$V$270</f>
        <v>4036.5</v>
      </c>
      <c r="AC270" s="6">
        <f>$M$270*$W$270</f>
        <v>0</v>
      </c>
      <c r="AD270" s="6">
        <f>$O$270*$X$270</f>
        <v>0</v>
      </c>
      <c r="AE270" s="6">
        <f ca="1">$K$270*$Y$270</f>
        <v>5368.4490267029187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33</v>
      </c>
      <c r="C271" s="4" t="s">
        <v>34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44409</v>
      </c>
      <c r="J271" s="6">
        <v>4436</v>
      </c>
      <c r="K271" s="6">
        <v>4436</v>
      </c>
      <c r="L271" s="6">
        <v>0</v>
      </c>
      <c r="M271" s="6">
        <v>0</v>
      </c>
      <c r="N271" s="6">
        <v>0</v>
      </c>
      <c r="O271" s="6">
        <v>0</v>
      </c>
      <c r="P271" s="6">
        <v>57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FIN'!$A$1:$O$103,15,0)),0,VLOOKUP($S$271,'TAR FIN'!$A$1:$O$103,15,0))</f>
        <v>12.42</v>
      </c>
      <c r="W271" s="6">
        <f>IF(ISERROR(VLOOKUP($T$271,'TAR FIN'!$A$1:$O$103,15,0)),0,VLOOKUP($T$271,'TAR FIN'!$A$1:$O$103,15,0))</f>
        <v>0</v>
      </c>
      <c r="X271" s="6">
        <f>IF(ISERROR(VLOOKUP($U$271,'TAR FIN'!$A$1:$O$103,15,0)),0,VLOOKUP($U$271,'TAR FIN'!$A$1:$O$103,15,0))</f>
        <v>0</v>
      </c>
      <c r="Y271" s="6">
        <f ca="1">('TUSD BE'!$AM$20+'TUSD BF'!$AM$20+'TUSD CVA'!$AM$20)*1</f>
        <v>16.518304697547443</v>
      </c>
      <c r="Z271" s="6"/>
      <c r="AA271" s="6"/>
      <c r="AB271" s="6">
        <f>$K$271*$V$271</f>
        <v>55095.12</v>
      </c>
      <c r="AC271" s="6">
        <f>$M$271*$W$271</f>
        <v>0</v>
      </c>
      <c r="AD271" s="6">
        <f>$O$271*$X$271</f>
        <v>0</v>
      </c>
      <c r="AE271" s="6">
        <f ca="1">$K$271*$Y$271</f>
        <v>73275.199638320453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28</v>
      </c>
      <c r="B272" s="4" t="s">
        <v>33</v>
      </c>
      <c r="C272" s="4" t="s">
        <v>34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44409</v>
      </c>
      <c r="J272" s="6">
        <v>338</v>
      </c>
      <c r="K272" s="6">
        <v>338</v>
      </c>
      <c r="L272" s="6">
        <v>0</v>
      </c>
      <c r="M272" s="6">
        <v>0</v>
      </c>
      <c r="N272" s="6">
        <v>0</v>
      </c>
      <c r="O272" s="6">
        <v>0</v>
      </c>
      <c r="P272" s="6">
        <v>3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FIN'!$A$1:$O$103,15,0)),0,VLOOKUP($S$272,'TAR FIN'!$A$1:$O$103,15,0))</f>
        <v>12.42</v>
      </c>
      <c r="W272" s="6">
        <f>IF(ISERROR(VLOOKUP($T$272,'TAR FIN'!$A$1:$O$103,15,0)),0,VLOOKUP($T$272,'TAR FIN'!$A$1:$O$103,15,0))</f>
        <v>0</v>
      </c>
      <c r="X272" s="6">
        <f>IF(ISERROR(VLOOKUP($U$272,'TAR FIN'!$A$1:$O$103,15,0)),0,VLOOKUP($U$272,'TAR FIN'!$A$1:$O$103,15,0))</f>
        <v>0</v>
      </c>
      <c r="Y272" s="6">
        <f ca="1">('TUSD BE'!$AM$20+'TUSD BF'!$AM$20+'TUSD CVA'!$AM$20)*1</f>
        <v>16.518304697547443</v>
      </c>
      <c r="Z272" s="6"/>
      <c r="AA272" s="6"/>
      <c r="AB272" s="6">
        <f>$K$272*$V$272</f>
        <v>4197.96</v>
      </c>
      <c r="AC272" s="6">
        <f>$M$272*$W$272</f>
        <v>0</v>
      </c>
      <c r="AD272" s="6">
        <f>$O$272*$X$272</f>
        <v>0</v>
      </c>
      <c r="AE272" s="6">
        <f ca="1">$K$272*$Y$272</f>
        <v>5583.186987771036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33</v>
      </c>
      <c r="C273" s="4" t="s">
        <v>34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44440</v>
      </c>
      <c r="J273" s="6">
        <v>4617</v>
      </c>
      <c r="K273" s="6">
        <v>4617</v>
      </c>
      <c r="L273" s="6">
        <v>0</v>
      </c>
      <c r="M273" s="6">
        <v>0</v>
      </c>
      <c r="N273" s="6">
        <v>0</v>
      </c>
      <c r="O273" s="6">
        <v>0</v>
      </c>
      <c r="P273" s="6">
        <v>58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FIN'!$A$1:$O$103,15,0)),0,VLOOKUP($S$273,'TAR FIN'!$A$1:$O$103,15,0))</f>
        <v>12.42</v>
      </c>
      <c r="W273" s="6">
        <f>IF(ISERROR(VLOOKUP($T$273,'TAR FIN'!$A$1:$O$103,15,0)),0,VLOOKUP($T$273,'TAR FIN'!$A$1:$O$103,15,0))</f>
        <v>0</v>
      </c>
      <c r="X273" s="6">
        <f>IF(ISERROR(VLOOKUP($U$273,'TAR FIN'!$A$1:$O$103,15,0)),0,VLOOKUP($U$273,'TAR FIN'!$A$1:$O$103,15,0))</f>
        <v>0</v>
      </c>
      <c r="Y273" s="6">
        <f ca="1">('TUSD BE'!$AM$20+'TUSD BF'!$AM$20+'TUSD CVA'!$AM$20)*1</f>
        <v>16.518304697547443</v>
      </c>
      <c r="Z273" s="6"/>
      <c r="AA273" s="6"/>
      <c r="AB273" s="6">
        <f>$K$273*$V$273</f>
        <v>57343.14</v>
      </c>
      <c r="AC273" s="6">
        <f>$M$273*$W$273</f>
        <v>0</v>
      </c>
      <c r="AD273" s="6">
        <f>$O$273*$X$273</f>
        <v>0</v>
      </c>
      <c r="AE273" s="6">
        <f ca="1">$K$273*$Y$273</f>
        <v>76265.01278857654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27</v>
      </c>
      <c r="B274" s="4" t="s">
        <v>33</v>
      </c>
      <c r="C274" s="4" t="s">
        <v>34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44440</v>
      </c>
      <c r="J274" s="6">
        <v>88</v>
      </c>
      <c r="K274" s="6">
        <v>88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FIN'!$A$1:$O$103,15,0)),0,VLOOKUP($S$274,'TAR FIN'!$A$1:$O$103,15,0))</f>
        <v>12.42</v>
      </c>
      <c r="W274" s="6">
        <f>IF(ISERROR(VLOOKUP($T$274,'TAR FIN'!$A$1:$O$103,15,0)),0,VLOOKUP($T$274,'TAR FIN'!$A$1:$O$103,15,0))</f>
        <v>0</v>
      </c>
      <c r="X274" s="6">
        <f>IF(ISERROR(VLOOKUP($U$274,'TAR FIN'!$A$1:$O$103,15,0)),0,VLOOKUP($U$274,'TAR FIN'!$A$1:$O$103,15,0))</f>
        <v>0</v>
      </c>
      <c r="Y274" s="6">
        <f ca="1">('TUSD BE'!$AM$20+'TUSD BF'!$AM$20+'TUSD CVA'!$AM$20)*1</f>
        <v>16.518304697547443</v>
      </c>
      <c r="Z274" s="6"/>
      <c r="AA274" s="6"/>
      <c r="AB274" s="6">
        <f>$K$274*$V$274</f>
        <v>1092.96</v>
      </c>
      <c r="AC274" s="6">
        <f>$M$274*$W$274</f>
        <v>0</v>
      </c>
      <c r="AD274" s="6">
        <f>$O$274*$X$274</f>
        <v>0</v>
      </c>
      <c r="AE274" s="6">
        <f ca="1">$K$274*$Y$274</f>
        <v>1453.6108133841749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28</v>
      </c>
      <c r="B275" s="4" t="s">
        <v>33</v>
      </c>
      <c r="C275" s="4" t="s">
        <v>34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44440</v>
      </c>
      <c r="J275" s="6">
        <v>338</v>
      </c>
      <c r="K275" s="6">
        <v>338</v>
      </c>
      <c r="L275" s="6">
        <v>0</v>
      </c>
      <c r="M275" s="6">
        <v>0</v>
      </c>
      <c r="N275" s="6">
        <v>0</v>
      </c>
      <c r="O275" s="6">
        <v>0</v>
      </c>
      <c r="P275" s="6">
        <v>3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FIN'!$A$1:$O$103,15,0)),0,VLOOKUP($S$275,'TAR FIN'!$A$1:$O$103,15,0))</f>
        <v>12.42</v>
      </c>
      <c r="W275" s="6">
        <f>IF(ISERROR(VLOOKUP($T$275,'TAR FIN'!$A$1:$O$103,15,0)),0,VLOOKUP($T$275,'TAR FIN'!$A$1:$O$103,15,0))</f>
        <v>0</v>
      </c>
      <c r="X275" s="6">
        <f>IF(ISERROR(VLOOKUP($U$275,'TAR FIN'!$A$1:$O$103,15,0)),0,VLOOKUP($U$275,'TAR FIN'!$A$1:$O$103,15,0))</f>
        <v>0</v>
      </c>
      <c r="Y275" s="6">
        <f ca="1">('TUSD BE'!$AM$20+'TUSD BF'!$AM$20+'TUSD CVA'!$AM$20)*1</f>
        <v>16.518304697547443</v>
      </c>
      <c r="Z275" s="6"/>
      <c r="AA275" s="6"/>
      <c r="AB275" s="6">
        <f>$K$275*$V$275</f>
        <v>4197.96</v>
      </c>
      <c r="AC275" s="6">
        <f>$M$275*$W$275</f>
        <v>0</v>
      </c>
      <c r="AD275" s="6">
        <f>$O$275*$X$275</f>
        <v>0</v>
      </c>
      <c r="AE275" s="6">
        <f ca="1">$K$275*$Y$275</f>
        <v>5583.186987771036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33</v>
      </c>
      <c r="C276" s="4" t="s">
        <v>34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44470</v>
      </c>
      <c r="J276" s="6">
        <v>4719</v>
      </c>
      <c r="K276" s="6">
        <v>4719</v>
      </c>
      <c r="L276" s="6">
        <v>0</v>
      </c>
      <c r="M276" s="6">
        <v>0</v>
      </c>
      <c r="N276" s="6">
        <v>0</v>
      </c>
      <c r="O276" s="6">
        <v>0</v>
      </c>
      <c r="P276" s="6">
        <v>57</v>
      </c>
      <c r="Q276" s="4" t="s">
        <v>26</v>
      </c>
      <c r="R276" s="4">
        <v>0</v>
      </c>
      <c r="S276" s="6">
        <v>18</v>
      </c>
      <c r="T276" s="6">
        <v>0</v>
      </c>
      <c r="U276" s="6">
        <v>0</v>
      </c>
      <c r="V276" s="6">
        <f>IF(ISERROR(VLOOKUP($S$276,'TAR FIN'!$A$1:$O$103,15,0)),0,VLOOKUP($S$276,'TAR FIN'!$A$1:$O$103,15,0))</f>
        <v>12.42</v>
      </c>
      <c r="W276" s="6">
        <f>IF(ISERROR(VLOOKUP($T$276,'TAR FIN'!$A$1:$O$103,15,0)),0,VLOOKUP($T$276,'TAR FIN'!$A$1:$O$103,15,0))</f>
        <v>0</v>
      </c>
      <c r="X276" s="6">
        <f>IF(ISERROR(VLOOKUP($U$276,'TAR FIN'!$A$1:$O$103,15,0)),0,VLOOKUP($U$276,'TAR FIN'!$A$1:$O$103,15,0))</f>
        <v>0</v>
      </c>
      <c r="Y276" s="6">
        <f ca="1">('TUSD BE'!$AM$20+'TUSD BF'!$AM$20+'TUSD CVA'!$AM$20)*1</f>
        <v>16.518304697547443</v>
      </c>
      <c r="Z276" s="6"/>
      <c r="AA276" s="6"/>
      <c r="AB276" s="6">
        <f>$K$276*$V$276</f>
        <v>58609.98</v>
      </c>
      <c r="AC276" s="6">
        <f>$M$276*$W$276</f>
        <v>0</v>
      </c>
      <c r="AD276" s="6">
        <f>$O$276*$X$276</f>
        <v>0</v>
      </c>
      <c r="AE276" s="6">
        <f ca="1">$K$276*$Y$276</f>
        <v>77949.879867726384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28</v>
      </c>
      <c r="B277" s="4" t="s">
        <v>33</v>
      </c>
      <c r="C277" s="4" t="s">
        <v>34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44470</v>
      </c>
      <c r="J277" s="6">
        <v>338</v>
      </c>
      <c r="K277" s="6">
        <v>338</v>
      </c>
      <c r="L277" s="6">
        <v>0</v>
      </c>
      <c r="M277" s="6">
        <v>0</v>
      </c>
      <c r="N277" s="6">
        <v>0</v>
      </c>
      <c r="O277" s="6">
        <v>0</v>
      </c>
      <c r="P277" s="6">
        <v>3</v>
      </c>
      <c r="Q277" s="4" t="s">
        <v>26</v>
      </c>
      <c r="R277" s="4">
        <v>0</v>
      </c>
      <c r="S277" s="6">
        <v>18</v>
      </c>
      <c r="T277" s="6">
        <v>0</v>
      </c>
      <c r="U277" s="6">
        <v>0</v>
      </c>
      <c r="V277" s="6">
        <f>IF(ISERROR(VLOOKUP($S$277,'TAR FIN'!$A$1:$O$103,15,0)),0,VLOOKUP($S$277,'TAR FIN'!$A$1:$O$103,15,0))</f>
        <v>12.42</v>
      </c>
      <c r="W277" s="6">
        <f>IF(ISERROR(VLOOKUP($T$277,'TAR FIN'!$A$1:$O$103,15,0)),0,VLOOKUP($T$277,'TAR FIN'!$A$1:$O$103,15,0))</f>
        <v>0</v>
      </c>
      <c r="X277" s="6">
        <f>IF(ISERROR(VLOOKUP($U$277,'TAR FIN'!$A$1:$O$103,15,0)),0,VLOOKUP($U$277,'TAR FIN'!$A$1:$O$103,15,0))</f>
        <v>0</v>
      </c>
      <c r="Y277" s="6">
        <f ca="1">('TUSD BE'!$AM$20+'TUSD BF'!$AM$20+'TUSD CVA'!$AM$20)*1</f>
        <v>16.518304697547443</v>
      </c>
      <c r="Z277" s="6"/>
      <c r="AA277" s="6"/>
      <c r="AB277" s="6">
        <f>$K$277*$V$277</f>
        <v>4197.96</v>
      </c>
      <c r="AC277" s="6">
        <f>$M$277*$W$277</f>
        <v>0</v>
      </c>
      <c r="AD277" s="6">
        <f>$O$277*$X$277</f>
        <v>0</v>
      </c>
      <c r="AE277" s="6">
        <f ca="1">$K$277*$Y$277</f>
        <v>5583.186987771036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28</v>
      </c>
      <c r="B278" s="4" t="s">
        <v>33</v>
      </c>
      <c r="C278" s="4" t="s">
        <v>34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44470</v>
      </c>
      <c r="J278" s="6">
        <v>13</v>
      </c>
      <c r="K278" s="6">
        <v>13</v>
      </c>
      <c r="L278" s="6">
        <v>0</v>
      </c>
      <c r="M278" s="6">
        <v>0</v>
      </c>
      <c r="N278" s="6">
        <v>0</v>
      </c>
      <c r="O278" s="6">
        <v>0</v>
      </c>
      <c r="P278" s="6">
        <v>2</v>
      </c>
      <c r="Q278" s="4" t="s">
        <v>26</v>
      </c>
      <c r="R278" s="4">
        <v>0</v>
      </c>
      <c r="S278" s="6">
        <v>18</v>
      </c>
      <c r="T278" s="6">
        <v>0</v>
      </c>
      <c r="U278" s="6">
        <v>0</v>
      </c>
      <c r="V278" s="6">
        <f>IF(ISERROR(VLOOKUP($S$278,'TAR FIN'!$A$1:$O$103,15,0)),0,VLOOKUP($S$278,'TAR FIN'!$A$1:$O$103,15,0))</f>
        <v>12.42</v>
      </c>
      <c r="W278" s="6">
        <f>IF(ISERROR(VLOOKUP($T$278,'TAR FIN'!$A$1:$O$103,15,0)),0,VLOOKUP($T$278,'TAR FIN'!$A$1:$O$103,15,0))</f>
        <v>0</v>
      </c>
      <c r="X278" s="6">
        <f>IF(ISERROR(VLOOKUP($U$278,'TAR FIN'!$A$1:$O$103,15,0)),0,VLOOKUP($U$278,'TAR FIN'!$A$1:$O$103,15,0))</f>
        <v>0</v>
      </c>
      <c r="Y278" s="6">
        <f ca="1">('TUSD BE'!$AM$20+'TUSD BF'!$AM$20+'TUSD CVA'!$AM$20)*1</f>
        <v>16.518304697547443</v>
      </c>
      <c r="Z278" s="6"/>
      <c r="AA278" s="6"/>
      <c r="AB278" s="6">
        <f>$K$278*$V$278</f>
        <v>161.46</v>
      </c>
      <c r="AC278" s="6">
        <f>$M$278*$W$278</f>
        <v>0</v>
      </c>
      <c r="AD278" s="6">
        <f>$O$278*$X$278</f>
        <v>0</v>
      </c>
      <c r="AE278" s="6">
        <f ca="1">$K$278*$Y$278</f>
        <v>214.73796106811676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33</v>
      </c>
      <c r="C279" s="4" t="s">
        <v>34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44501</v>
      </c>
      <c r="J279" s="6">
        <v>4979</v>
      </c>
      <c r="K279" s="6">
        <v>4979</v>
      </c>
      <c r="L279" s="6">
        <v>0</v>
      </c>
      <c r="M279" s="6">
        <v>0</v>
      </c>
      <c r="N279" s="6">
        <v>0</v>
      </c>
      <c r="O279" s="6">
        <v>0</v>
      </c>
      <c r="P279" s="6">
        <v>60</v>
      </c>
      <c r="Q279" s="4" t="s">
        <v>26</v>
      </c>
      <c r="R279" s="4">
        <v>0</v>
      </c>
      <c r="S279" s="6">
        <v>18</v>
      </c>
      <c r="T279" s="6">
        <v>0</v>
      </c>
      <c r="U279" s="6">
        <v>0</v>
      </c>
      <c r="V279" s="6">
        <f>IF(ISERROR(VLOOKUP($S$279,'TAR FIN'!$A$1:$O$103,15,0)),0,VLOOKUP($S$279,'TAR FIN'!$A$1:$O$103,15,0))</f>
        <v>12.42</v>
      </c>
      <c r="W279" s="6">
        <f>IF(ISERROR(VLOOKUP($T$279,'TAR FIN'!$A$1:$O$103,15,0)),0,VLOOKUP($T$279,'TAR FIN'!$A$1:$O$103,15,0))</f>
        <v>0</v>
      </c>
      <c r="X279" s="6">
        <f>IF(ISERROR(VLOOKUP($U$279,'TAR FIN'!$A$1:$O$103,15,0)),0,VLOOKUP($U$279,'TAR FIN'!$A$1:$O$103,15,0))</f>
        <v>0</v>
      </c>
      <c r="Y279" s="6">
        <f ca="1">('TUSD BE'!$AM$20+'TUSD BF'!$AM$20+'TUSD CVA'!$AM$20)*1</f>
        <v>16.518304697547443</v>
      </c>
      <c r="Z279" s="6"/>
      <c r="AA279" s="6"/>
      <c r="AB279" s="6">
        <f>$K$279*$V$279</f>
        <v>61839.18</v>
      </c>
      <c r="AC279" s="6">
        <f>$M$279*$W$279</f>
        <v>0</v>
      </c>
      <c r="AD279" s="6">
        <f>$O$279*$X$279</f>
        <v>0</v>
      </c>
      <c r="AE279" s="6">
        <f ca="1">$K$279*$Y$279</f>
        <v>82244.639089088712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28</v>
      </c>
      <c r="B280" s="4" t="s">
        <v>33</v>
      </c>
      <c r="C280" s="4" t="s">
        <v>34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44501</v>
      </c>
      <c r="J280" s="6">
        <v>338</v>
      </c>
      <c r="K280" s="6">
        <v>338</v>
      </c>
      <c r="L280" s="6">
        <v>0</v>
      </c>
      <c r="M280" s="6">
        <v>0</v>
      </c>
      <c r="N280" s="6">
        <v>0</v>
      </c>
      <c r="O280" s="6">
        <v>0</v>
      </c>
      <c r="P280" s="6">
        <v>3</v>
      </c>
      <c r="Q280" s="4" t="s">
        <v>26</v>
      </c>
      <c r="R280" s="4">
        <v>0</v>
      </c>
      <c r="S280" s="6">
        <v>18</v>
      </c>
      <c r="T280" s="6">
        <v>0</v>
      </c>
      <c r="U280" s="6">
        <v>0</v>
      </c>
      <c r="V280" s="6">
        <f>IF(ISERROR(VLOOKUP($S$280,'TAR FIN'!$A$1:$O$103,15,0)),0,VLOOKUP($S$280,'TAR FIN'!$A$1:$O$103,15,0))</f>
        <v>12.42</v>
      </c>
      <c r="W280" s="6">
        <f>IF(ISERROR(VLOOKUP($T$280,'TAR FIN'!$A$1:$O$103,15,0)),0,VLOOKUP($T$280,'TAR FIN'!$A$1:$O$103,15,0))</f>
        <v>0</v>
      </c>
      <c r="X280" s="6">
        <f>IF(ISERROR(VLOOKUP($U$280,'TAR FIN'!$A$1:$O$103,15,0)),0,VLOOKUP($U$280,'TAR FIN'!$A$1:$O$103,15,0))</f>
        <v>0</v>
      </c>
      <c r="Y280" s="6">
        <f ca="1">('TUSD BE'!$AM$20+'TUSD BF'!$AM$20+'TUSD CVA'!$AM$20)*1</f>
        <v>16.518304697547443</v>
      </c>
      <c r="Z280" s="6"/>
      <c r="AA280" s="6"/>
      <c r="AB280" s="6">
        <f>$K$280*$V$280</f>
        <v>4197.96</v>
      </c>
      <c r="AC280" s="6">
        <f>$M$280*$W$280</f>
        <v>0</v>
      </c>
      <c r="AD280" s="6">
        <f>$O$280*$X$280</f>
        <v>0</v>
      </c>
      <c r="AE280" s="6">
        <f ca="1">$K$280*$Y$280</f>
        <v>5583.186987771036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33</v>
      </c>
      <c r="C281" s="4" t="s">
        <v>34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44531</v>
      </c>
      <c r="J281" s="6">
        <v>4348</v>
      </c>
      <c r="K281" s="6">
        <v>4348</v>
      </c>
      <c r="L281" s="6">
        <v>0</v>
      </c>
      <c r="M281" s="6">
        <v>0</v>
      </c>
      <c r="N281" s="6">
        <v>0</v>
      </c>
      <c r="O281" s="6">
        <v>0</v>
      </c>
      <c r="P281" s="6">
        <v>56</v>
      </c>
      <c r="Q281" s="4" t="s">
        <v>26</v>
      </c>
      <c r="R281" s="4">
        <v>0</v>
      </c>
      <c r="S281" s="6">
        <v>18</v>
      </c>
      <c r="T281" s="6">
        <v>0</v>
      </c>
      <c r="U281" s="6">
        <v>0</v>
      </c>
      <c r="V281" s="6">
        <f>IF(ISERROR(VLOOKUP($S$281,'TAR FIN'!$A$1:$O$103,15,0)),0,VLOOKUP($S$281,'TAR FIN'!$A$1:$O$103,15,0))</f>
        <v>12.42</v>
      </c>
      <c r="W281" s="6">
        <f>IF(ISERROR(VLOOKUP($T$281,'TAR FIN'!$A$1:$O$103,15,0)),0,VLOOKUP($T$281,'TAR FIN'!$A$1:$O$103,15,0))</f>
        <v>0</v>
      </c>
      <c r="X281" s="6">
        <f>IF(ISERROR(VLOOKUP($U$281,'TAR FIN'!$A$1:$O$103,15,0)),0,VLOOKUP($U$281,'TAR FIN'!$A$1:$O$103,15,0))</f>
        <v>0</v>
      </c>
      <c r="Y281" s="6">
        <f ca="1">('TUSD BE'!$AM$20+'TUSD BF'!$AM$20+'TUSD CVA'!$AM$20)*1</f>
        <v>16.518304697547443</v>
      </c>
      <c r="Z281" s="6"/>
      <c r="AA281" s="6"/>
      <c r="AB281" s="6">
        <f>$K$281*$V$281</f>
        <v>54002.159999999996</v>
      </c>
      <c r="AC281" s="6">
        <f>$M$281*$W$281</f>
        <v>0</v>
      </c>
      <c r="AD281" s="6">
        <f>$O$281*$X$281</f>
        <v>0</v>
      </c>
      <c r="AE281" s="6">
        <f ca="1">$K$281*$Y$281</f>
        <v>71821.588824936276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28</v>
      </c>
      <c r="B282" s="4" t="s">
        <v>33</v>
      </c>
      <c r="C282" s="4" t="s">
        <v>34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44531</v>
      </c>
      <c r="J282" s="6">
        <v>993</v>
      </c>
      <c r="K282" s="6">
        <v>993</v>
      </c>
      <c r="L282" s="6">
        <v>0</v>
      </c>
      <c r="M282" s="6">
        <v>0</v>
      </c>
      <c r="N282" s="6">
        <v>0</v>
      </c>
      <c r="O282" s="6">
        <v>0</v>
      </c>
      <c r="P282" s="6">
        <v>7</v>
      </c>
      <c r="Q282" s="4" t="s">
        <v>26</v>
      </c>
      <c r="R282" s="4">
        <v>0</v>
      </c>
      <c r="S282" s="6">
        <v>18</v>
      </c>
      <c r="T282" s="6">
        <v>0</v>
      </c>
      <c r="U282" s="6">
        <v>0</v>
      </c>
      <c r="V282" s="6">
        <f>IF(ISERROR(VLOOKUP($S$282,'TAR FIN'!$A$1:$O$103,15,0)),0,VLOOKUP($S$282,'TAR FIN'!$A$1:$O$103,15,0))</f>
        <v>12.42</v>
      </c>
      <c r="W282" s="6">
        <f>IF(ISERROR(VLOOKUP($T$282,'TAR FIN'!$A$1:$O$103,15,0)),0,VLOOKUP($T$282,'TAR FIN'!$A$1:$O$103,15,0))</f>
        <v>0</v>
      </c>
      <c r="X282" s="6">
        <f>IF(ISERROR(VLOOKUP($U$282,'TAR FIN'!$A$1:$O$103,15,0)),0,VLOOKUP($U$282,'TAR FIN'!$A$1:$O$103,15,0))</f>
        <v>0</v>
      </c>
      <c r="Y282" s="6">
        <f ca="1">('TUSD BE'!$AM$20+'TUSD BF'!$AM$20+'TUSD CVA'!$AM$20)*1</f>
        <v>16.518304697547443</v>
      </c>
      <c r="Z282" s="6"/>
      <c r="AA282" s="6"/>
      <c r="AB282" s="6">
        <f>$K$282*$V$282</f>
        <v>12333.06</v>
      </c>
      <c r="AC282" s="6">
        <f>$M$282*$W$282</f>
        <v>0</v>
      </c>
      <c r="AD282" s="6">
        <f>$O$282*$X$282</f>
        <v>0</v>
      </c>
      <c r="AE282" s="6">
        <f ca="1">$K$282*$Y$282</f>
        <v>16402.676564664609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33</v>
      </c>
      <c r="C283" s="4" t="s">
        <v>34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44562</v>
      </c>
      <c r="J283" s="6">
        <v>5051</v>
      </c>
      <c r="K283" s="6">
        <v>5051</v>
      </c>
      <c r="L283" s="6">
        <v>0</v>
      </c>
      <c r="M283" s="6">
        <v>0</v>
      </c>
      <c r="N283" s="6">
        <v>0</v>
      </c>
      <c r="O283" s="6">
        <v>0</v>
      </c>
      <c r="P283" s="6">
        <v>61</v>
      </c>
      <c r="Q283" s="4" t="s">
        <v>26</v>
      </c>
      <c r="R283" s="4">
        <v>0</v>
      </c>
      <c r="S283" s="6">
        <v>18</v>
      </c>
      <c r="T283" s="6">
        <v>0</v>
      </c>
      <c r="U283" s="6">
        <v>0</v>
      </c>
      <c r="V283" s="6">
        <f>IF(ISERROR(VLOOKUP($S$283,'TAR FIN'!$A$1:$O$103,15,0)),0,VLOOKUP($S$283,'TAR FIN'!$A$1:$O$103,15,0))</f>
        <v>12.42</v>
      </c>
      <c r="W283" s="6">
        <f>IF(ISERROR(VLOOKUP($T$283,'TAR FIN'!$A$1:$O$103,15,0)),0,VLOOKUP($T$283,'TAR FIN'!$A$1:$O$103,15,0))</f>
        <v>0</v>
      </c>
      <c r="X283" s="6">
        <f>IF(ISERROR(VLOOKUP($U$283,'TAR FIN'!$A$1:$O$103,15,0)),0,VLOOKUP($U$283,'TAR FIN'!$A$1:$O$103,15,0))</f>
        <v>0</v>
      </c>
      <c r="Y283" s="6">
        <f ca="1">('TUSD BE'!$AM$20+'TUSD BF'!$AM$20+'TUSD CVA'!$AM$20)*1</f>
        <v>16.518304697547443</v>
      </c>
      <c r="Z283" s="6"/>
      <c r="AA283" s="6"/>
      <c r="AB283" s="6">
        <f>$K$283*$V$283</f>
        <v>62733.42</v>
      </c>
      <c r="AC283" s="6">
        <f>$M$283*$W$283</f>
        <v>0</v>
      </c>
      <c r="AD283" s="6">
        <f>$O$283*$X$283</f>
        <v>0</v>
      </c>
      <c r="AE283" s="6">
        <f ca="1">$K$283*$Y$283</f>
        <v>83433.957027312135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28</v>
      </c>
      <c r="B284" s="4" t="s">
        <v>33</v>
      </c>
      <c r="C284" s="4" t="s">
        <v>34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508</v>
      </c>
      <c r="K284" s="6">
        <v>508</v>
      </c>
      <c r="L284" s="6">
        <v>0</v>
      </c>
      <c r="M284" s="6">
        <v>0</v>
      </c>
      <c r="N284" s="6">
        <v>0</v>
      </c>
      <c r="O284" s="6">
        <v>0</v>
      </c>
      <c r="P284" s="6">
        <v>4</v>
      </c>
      <c r="Q284" s="4" t="s">
        <v>26</v>
      </c>
      <c r="R284" s="4">
        <v>0</v>
      </c>
      <c r="S284" s="6">
        <v>18</v>
      </c>
      <c r="T284" s="6">
        <v>0</v>
      </c>
      <c r="U284" s="6">
        <v>0</v>
      </c>
      <c r="V284" s="6">
        <f>IF(ISERROR(VLOOKUP($S$284,'TAR FIN'!$A$1:$O$103,15,0)),0,VLOOKUP($S$284,'TAR FIN'!$A$1:$O$103,15,0))</f>
        <v>12.42</v>
      </c>
      <c r="W284" s="6">
        <f>IF(ISERROR(VLOOKUP($T$284,'TAR FIN'!$A$1:$O$103,15,0)),0,VLOOKUP($T$284,'TAR FIN'!$A$1:$O$103,15,0))</f>
        <v>0</v>
      </c>
      <c r="X284" s="6">
        <f>IF(ISERROR(VLOOKUP($U$284,'TAR FIN'!$A$1:$O$103,15,0)),0,VLOOKUP($U$284,'TAR FIN'!$A$1:$O$103,15,0))</f>
        <v>0</v>
      </c>
      <c r="Y284" s="6">
        <f ca="1">('TUSD BE'!$AM$20+'TUSD BF'!$AM$20+'TUSD CVA'!$AM$20)*1</f>
        <v>16.518304697547443</v>
      </c>
      <c r="Z284" s="6"/>
      <c r="AA284" s="6"/>
      <c r="AB284" s="6">
        <f>$K$284*$V$284</f>
        <v>6309.36</v>
      </c>
      <c r="AC284" s="6">
        <f>$M$284*$W$284</f>
        <v>0</v>
      </c>
      <c r="AD284" s="6">
        <f>$O$284*$X$284</f>
        <v>0</v>
      </c>
      <c r="AE284" s="6">
        <f ca="1">$K$284*$Y$284</f>
        <v>8391.2987863541002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33</v>
      </c>
      <c r="C285" s="4" t="s">
        <v>34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4814</v>
      </c>
      <c r="K285" s="6">
        <v>4814</v>
      </c>
      <c r="L285" s="6">
        <v>0</v>
      </c>
      <c r="M285" s="6">
        <v>0</v>
      </c>
      <c r="N285" s="6">
        <v>0</v>
      </c>
      <c r="O285" s="6">
        <v>0</v>
      </c>
      <c r="P285" s="6">
        <v>59</v>
      </c>
      <c r="Q285" s="4" t="s">
        <v>26</v>
      </c>
      <c r="R285" s="4">
        <v>0</v>
      </c>
      <c r="S285" s="6">
        <v>18</v>
      </c>
      <c r="T285" s="6">
        <v>0</v>
      </c>
      <c r="U285" s="6">
        <v>0</v>
      </c>
      <c r="V285" s="6">
        <f>IF(ISERROR(VLOOKUP($S$285,'TAR FIN'!$A$1:$O$103,15,0)),0,VLOOKUP($S$285,'TAR FIN'!$A$1:$O$103,15,0))</f>
        <v>12.42</v>
      </c>
      <c r="W285" s="6">
        <f>IF(ISERROR(VLOOKUP($T$285,'TAR FIN'!$A$1:$O$103,15,0)),0,VLOOKUP($T$285,'TAR FIN'!$A$1:$O$103,15,0))</f>
        <v>0</v>
      </c>
      <c r="X285" s="6">
        <f>IF(ISERROR(VLOOKUP($U$285,'TAR FIN'!$A$1:$O$103,15,0)),0,VLOOKUP($U$285,'TAR FIN'!$A$1:$O$103,15,0))</f>
        <v>0</v>
      </c>
      <c r="Y285" s="6">
        <f ca="1">('TUSD BE'!$AM$20+'TUSD BF'!$AM$20+'TUSD CVA'!$AM$20)*1</f>
        <v>16.518304697547443</v>
      </c>
      <c r="Z285" s="6"/>
      <c r="AA285" s="6"/>
      <c r="AB285" s="6">
        <f>$K$285*$V$285</f>
        <v>59789.88</v>
      </c>
      <c r="AC285" s="6">
        <f>$M$285*$W$285</f>
        <v>0</v>
      </c>
      <c r="AD285" s="6">
        <f>$O$285*$X$285</f>
        <v>0</v>
      </c>
      <c r="AE285" s="6">
        <f ca="1">$K$285*$Y$285</f>
        <v>79519.118813993395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28</v>
      </c>
      <c r="B286" s="4" t="s">
        <v>33</v>
      </c>
      <c r="C286" s="4" t="s">
        <v>34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44593</v>
      </c>
      <c r="J286" s="6">
        <v>508</v>
      </c>
      <c r="K286" s="6">
        <v>508</v>
      </c>
      <c r="L286" s="6">
        <v>0</v>
      </c>
      <c r="M286" s="6">
        <v>0</v>
      </c>
      <c r="N286" s="6">
        <v>0</v>
      </c>
      <c r="O286" s="6">
        <v>0</v>
      </c>
      <c r="P286" s="6">
        <v>4</v>
      </c>
      <c r="Q286" s="4" t="s">
        <v>26</v>
      </c>
      <c r="R286" s="4">
        <v>0</v>
      </c>
      <c r="S286" s="6">
        <v>18</v>
      </c>
      <c r="T286" s="6">
        <v>0</v>
      </c>
      <c r="U286" s="6">
        <v>0</v>
      </c>
      <c r="V286" s="6">
        <f>IF(ISERROR(VLOOKUP($S$286,'TAR FIN'!$A$1:$O$103,15,0)),0,VLOOKUP($S$286,'TAR FIN'!$A$1:$O$103,15,0))</f>
        <v>12.42</v>
      </c>
      <c r="W286" s="6">
        <f>IF(ISERROR(VLOOKUP($T$286,'TAR FIN'!$A$1:$O$103,15,0)),0,VLOOKUP($T$286,'TAR FIN'!$A$1:$O$103,15,0))</f>
        <v>0</v>
      </c>
      <c r="X286" s="6">
        <f>IF(ISERROR(VLOOKUP($U$286,'TAR FIN'!$A$1:$O$103,15,0)),0,VLOOKUP($U$286,'TAR FIN'!$A$1:$O$103,15,0))</f>
        <v>0</v>
      </c>
      <c r="Y286" s="6">
        <f ca="1">('TUSD BE'!$AM$20+'TUSD BF'!$AM$20+'TUSD CVA'!$AM$20)*1</f>
        <v>16.518304697547443</v>
      </c>
      <c r="Z286" s="6"/>
      <c r="AA286" s="6"/>
      <c r="AB286" s="6">
        <f>$K$286*$V$286</f>
        <v>6309.36</v>
      </c>
      <c r="AC286" s="6">
        <f>$M$286*$W$286</f>
        <v>0</v>
      </c>
      <c r="AD286" s="6">
        <f>$O$286*$X$286</f>
        <v>0</v>
      </c>
      <c r="AE286" s="6">
        <f ca="1">$K$286*$Y$286</f>
        <v>8391.2987863541002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33</v>
      </c>
      <c r="C287" s="4" t="s">
        <v>34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4985</v>
      </c>
      <c r="K287" s="6">
        <v>4985</v>
      </c>
      <c r="L287" s="6">
        <v>0</v>
      </c>
      <c r="M287" s="6">
        <v>0</v>
      </c>
      <c r="N287" s="6">
        <v>0</v>
      </c>
      <c r="O287" s="6">
        <v>0</v>
      </c>
      <c r="P287" s="6">
        <v>58</v>
      </c>
      <c r="Q287" s="4" t="s">
        <v>26</v>
      </c>
      <c r="R287" s="4">
        <v>0</v>
      </c>
      <c r="S287" s="6">
        <v>18</v>
      </c>
      <c r="T287" s="6">
        <v>0</v>
      </c>
      <c r="U287" s="6">
        <v>0</v>
      </c>
      <c r="V287" s="6">
        <f>IF(ISERROR(VLOOKUP($S$287,'TAR FIN'!$A$1:$O$103,15,0)),0,VLOOKUP($S$287,'TAR FIN'!$A$1:$O$103,15,0))</f>
        <v>12.42</v>
      </c>
      <c r="W287" s="6">
        <f>IF(ISERROR(VLOOKUP($T$287,'TAR FIN'!$A$1:$O$103,15,0)),0,VLOOKUP($T$287,'TAR FIN'!$A$1:$O$103,15,0))</f>
        <v>0</v>
      </c>
      <c r="X287" s="6">
        <f>IF(ISERROR(VLOOKUP($U$287,'TAR FIN'!$A$1:$O$103,15,0)),0,VLOOKUP($U$287,'TAR FIN'!$A$1:$O$103,15,0))</f>
        <v>0</v>
      </c>
      <c r="Y287" s="6">
        <f ca="1">('TUSD BE'!$AM$20+'TUSD BF'!$AM$20+'TUSD CVA'!$AM$20)*1</f>
        <v>16.518304697547443</v>
      </c>
      <c r="Z287" s="6"/>
      <c r="AA287" s="6"/>
      <c r="AB287" s="6">
        <f>$K$287*$V$287</f>
        <v>61913.7</v>
      </c>
      <c r="AC287" s="6">
        <f>$M$287*$W$287</f>
        <v>0</v>
      </c>
      <c r="AD287" s="6">
        <f>$O$287*$X$287</f>
        <v>0</v>
      </c>
      <c r="AE287" s="6">
        <f ca="1">$K$287*$Y$287</f>
        <v>82343.748917274002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28</v>
      </c>
      <c r="B288" s="4" t="s">
        <v>33</v>
      </c>
      <c r="C288" s="4" t="s">
        <v>34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44621</v>
      </c>
      <c r="J288" s="6">
        <v>558</v>
      </c>
      <c r="K288" s="6">
        <v>558</v>
      </c>
      <c r="L288" s="6">
        <v>0</v>
      </c>
      <c r="M288" s="6">
        <v>0</v>
      </c>
      <c r="N288" s="6">
        <v>0</v>
      </c>
      <c r="O288" s="6">
        <v>0</v>
      </c>
      <c r="P288" s="6">
        <v>5</v>
      </c>
      <c r="Q288" s="4" t="s">
        <v>26</v>
      </c>
      <c r="R288" s="4">
        <v>0</v>
      </c>
      <c r="S288" s="6">
        <v>18</v>
      </c>
      <c r="T288" s="6">
        <v>0</v>
      </c>
      <c r="U288" s="6">
        <v>0</v>
      </c>
      <c r="V288" s="6">
        <f>IF(ISERROR(VLOOKUP($S$288,'TAR FIN'!$A$1:$O$103,15,0)),0,VLOOKUP($S$288,'TAR FIN'!$A$1:$O$103,15,0))</f>
        <v>12.42</v>
      </c>
      <c r="W288" s="6">
        <f>IF(ISERROR(VLOOKUP($T$288,'TAR FIN'!$A$1:$O$103,15,0)),0,VLOOKUP($T$288,'TAR FIN'!$A$1:$O$103,15,0))</f>
        <v>0</v>
      </c>
      <c r="X288" s="6">
        <f>IF(ISERROR(VLOOKUP($U$288,'TAR FIN'!$A$1:$O$103,15,0)),0,VLOOKUP($U$288,'TAR FIN'!$A$1:$O$103,15,0))</f>
        <v>0</v>
      </c>
      <c r="Y288" s="6">
        <f ca="1">('TUSD BE'!$AM$20+'TUSD BF'!$AM$20+'TUSD CVA'!$AM$20)*1</f>
        <v>16.518304697547443</v>
      </c>
      <c r="Z288" s="6"/>
      <c r="AA288" s="6"/>
      <c r="AB288" s="6">
        <f>$K$288*$V$288</f>
        <v>6930.36</v>
      </c>
      <c r="AC288" s="6">
        <f>$M$288*$W$288</f>
        <v>0</v>
      </c>
      <c r="AD288" s="6">
        <f>$O$288*$X$288</f>
        <v>0</v>
      </c>
      <c r="AE288" s="6">
        <f ca="1">$K$288*$Y$288</f>
        <v>9217.2140212314735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33</v>
      </c>
      <c r="C289" s="4" t="s">
        <v>34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5113</v>
      </c>
      <c r="K289" s="6">
        <v>5113</v>
      </c>
      <c r="L289" s="6">
        <v>0</v>
      </c>
      <c r="M289" s="6">
        <v>0</v>
      </c>
      <c r="N289" s="6">
        <v>0</v>
      </c>
      <c r="O289" s="6">
        <v>0</v>
      </c>
      <c r="P289" s="6">
        <v>59</v>
      </c>
      <c r="Q289" s="4" t="s">
        <v>26</v>
      </c>
      <c r="R289" s="4">
        <v>0</v>
      </c>
      <c r="S289" s="6">
        <v>18</v>
      </c>
      <c r="T289" s="6">
        <v>0</v>
      </c>
      <c r="U289" s="6">
        <v>0</v>
      </c>
      <c r="V289" s="6">
        <f>IF(ISERROR(VLOOKUP($S$289,'TAR FIN'!$A$1:$O$103,15,0)),0,VLOOKUP($S$289,'TAR FIN'!$A$1:$O$103,15,0))</f>
        <v>12.42</v>
      </c>
      <c r="W289" s="6">
        <f>IF(ISERROR(VLOOKUP($T$289,'TAR FIN'!$A$1:$O$103,15,0)),0,VLOOKUP($T$289,'TAR FIN'!$A$1:$O$103,15,0))</f>
        <v>0</v>
      </c>
      <c r="X289" s="6">
        <f>IF(ISERROR(VLOOKUP($U$289,'TAR FIN'!$A$1:$O$103,15,0)),0,VLOOKUP($U$289,'TAR FIN'!$A$1:$O$103,15,0))</f>
        <v>0</v>
      </c>
      <c r="Y289" s="6">
        <f ca="1">('TUSD BE'!$AM$20+'TUSD BF'!$AM$20+'TUSD CVA'!$AM$20)*1</f>
        <v>16.518304697547443</v>
      </c>
      <c r="Z289" s="6"/>
      <c r="AA289" s="6"/>
      <c r="AB289" s="6">
        <f>$K$289*$V$289</f>
        <v>63503.46</v>
      </c>
      <c r="AC289" s="6">
        <f>$M$289*$W$289</f>
        <v>0</v>
      </c>
      <c r="AD289" s="6">
        <f>$O$289*$X$289</f>
        <v>0</v>
      </c>
      <c r="AE289" s="6">
        <f ca="1">$K$289*$Y$289</f>
        <v>84458.09191856008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28</v>
      </c>
      <c r="B290" s="4" t="s">
        <v>33</v>
      </c>
      <c r="C290" s="4" t="s">
        <v>34</v>
      </c>
      <c r="D290" s="4" t="s">
        <v>43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44652</v>
      </c>
      <c r="J290" s="6">
        <v>388</v>
      </c>
      <c r="K290" s="6">
        <v>388</v>
      </c>
      <c r="L290" s="6">
        <v>0</v>
      </c>
      <c r="M290" s="6">
        <v>0</v>
      </c>
      <c r="N290" s="6">
        <v>0</v>
      </c>
      <c r="O290" s="6">
        <v>0</v>
      </c>
      <c r="P290" s="6">
        <v>4</v>
      </c>
      <c r="Q290" s="4" t="s">
        <v>26</v>
      </c>
      <c r="R290" s="4">
        <v>0</v>
      </c>
      <c r="S290" s="6">
        <v>18</v>
      </c>
      <c r="T290" s="6">
        <v>0</v>
      </c>
      <c r="U290" s="6">
        <v>0</v>
      </c>
      <c r="V290" s="6">
        <f>IF(ISERROR(VLOOKUP($S$290,'TAR FIN'!$A$1:$O$103,15,0)),0,VLOOKUP($S$290,'TAR FIN'!$A$1:$O$103,15,0))</f>
        <v>12.42</v>
      </c>
      <c r="W290" s="6">
        <f>IF(ISERROR(VLOOKUP($T$290,'TAR FIN'!$A$1:$O$103,15,0)),0,VLOOKUP($T$290,'TAR FIN'!$A$1:$O$103,15,0))</f>
        <v>0</v>
      </c>
      <c r="X290" s="6">
        <f>IF(ISERROR(VLOOKUP($U$290,'TAR FIN'!$A$1:$O$103,15,0)),0,VLOOKUP($U$290,'TAR FIN'!$A$1:$O$103,15,0))</f>
        <v>0</v>
      </c>
      <c r="Y290" s="6">
        <f ca="1">('TUSD BE'!$AM$20+'TUSD BF'!$AM$20+'TUSD CVA'!$AM$20)*1</f>
        <v>16.518304697547443</v>
      </c>
      <c r="Z290" s="6"/>
      <c r="AA290" s="6"/>
      <c r="AB290" s="6">
        <f>$K$290*$V$290</f>
        <v>4818.96</v>
      </c>
      <c r="AC290" s="6">
        <f>$M$290*$W$290</f>
        <v>0</v>
      </c>
      <c r="AD290" s="6">
        <f>$O$290*$X$290</f>
        <v>0</v>
      </c>
      <c r="AE290" s="6">
        <f ca="1">$K$290*$Y$290</f>
        <v>6409.1022226484074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33</v>
      </c>
      <c r="C291" s="4" t="s">
        <v>34</v>
      </c>
      <c r="D291" s="4" t="s">
        <v>43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44682</v>
      </c>
      <c r="J291" s="6">
        <v>4872</v>
      </c>
      <c r="K291" s="6">
        <v>4872</v>
      </c>
      <c r="L291" s="6">
        <v>0</v>
      </c>
      <c r="M291" s="6">
        <v>0</v>
      </c>
      <c r="N291" s="6">
        <v>0</v>
      </c>
      <c r="O291" s="6">
        <v>0</v>
      </c>
      <c r="P291" s="6">
        <v>57</v>
      </c>
      <c r="Q291" s="4" t="s">
        <v>26</v>
      </c>
      <c r="R291" s="4">
        <v>0</v>
      </c>
      <c r="S291" s="6">
        <v>18</v>
      </c>
      <c r="T291" s="6">
        <v>0</v>
      </c>
      <c r="U291" s="6">
        <v>0</v>
      </c>
      <c r="V291" s="6">
        <f>IF(ISERROR(VLOOKUP($S$291,'TAR FIN'!$A$1:$O$103,15,0)),0,VLOOKUP($S$291,'TAR FIN'!$A$1:$O$103,15,0))</f>
        <v>12.42</v>
      </c>
      <c r="W291" s="6">
        <f>IF(ISERROR(VLOOKUP($T$291,'TAR FIN'!$A$1:$O$103,15,0)),0,VLOOKUP($T$291,'TAR FIN'!$A$1:$O$103,15,0))</f>
        <v>0</v>
      </c>
      <c r="X291" s="6">
        <f>IF(ISERROR(VLOOKUP($U$291,'TAR FIN'!$A$1:$O$103,15,0)),0,VLOOKUP($U$291,'TAR FIN'!$A$1:$O$103,15,0))</f>
        <v>0</v>
      </c>
      <c r="Y291" s="6">
        <f ca="1">('TUSD BE'!$AM$20+'TUSD BF'!$AM$20+'TUSD CVA'!$AM$20)*1</f>
        <v>16.518304697547443</v>
      </c>
      <c r="Z291" s="6"/>
      <c r="AA291" s="6"/>
      <c r="AB291" s="6">
        <f>$K$291*$V$291</f>
        <v>60510.239999999998</v>
      </c>
      <c r="AC291" s="6">
        <f>$M$291*$W$291</f>
        <v>0</v>
      </c>
      <c r="AD291" s="6">
        <f>$O$291*$X$291</f>
        <v>0</v>
      </c>
      <c r="AE291" s="6">
        <f ca="1">$K$291*$Y$291</f>
        <v>80477.180486451136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28</v>
      </c>
      <c r="B292" s="4" t="s">
        <v>33</v>
      </c>
      <c r="C292" s="4" t="s">
        <v>34</v>
      </c>
      <c r="D292" s="4" t="s">
        <v>43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44682</v>
      </c>
      <c r="J292" s="6">
        <v>558</v>
      </c>
      <c r="K292" s="6">
        <v>558</v>
      </c>
      <c r="L292" s="6">
        <v>0</v>
      </c>
      <c r="M292" s="6">
        <v>0</v>
      </c>
      <c r="N292" s="6">
        <v>0</v>
      </c>
      <c r="O292" s="6">
        <v>0</v>
      </c>
      <c r="P292" s="6">
        <v>5</v>
      </c>
      <c r="Q292" s="4" t="s">
        <v>26</v>
      </c>
      <c r="R292" s="4">
        <v>0</v>
      </c>
      <c r="S292" s="6">
        <v>18</v>
      </c>
      <c r="T292" s="6">
        <v>0</v>
      </c>
      <c r="U292" s="6">
        <v>0</v>
      </c>
      <c r="V292" s="6">
        <f>IF(ISERROR(VLOOKUP($S$292,'TAR FIN'!$A$1:$O$103,15,0)),0,VLOOKUP($S$292,'TAR FIN'!$A$1:$O$103,15,0))</f>
        <v>12.42</v>
      </c>
      <c r="W292" s="6">
        <f>IF(ISERROR(VLOOKUP($T$292,'TAR FIN'!$A$1:$O$103,15,0)),0,VLOOKUP($T$292,'TAR FIN'!$A$1:$O$103,15,0))</f>
        <v>0</v>
      </c>
      <c r="X292" s="6">
        <f>IF(ISERROR(VLOOKUP($U$292,'TAR FIN'!$A$1:$O$103,15,0)),0,VLOOKUP($U$292,'TAR FIN'!$A$1:$O$103,15,0))</f>
        <v>0</v>
      </c>
      <c r="Y292" s="6">
        <f ca="1">('TUSD BE'!$AM$20+'TUSD BF'!$AM$20+'TUSD CVA'!$AM$20)*1</f>
        <v>16.518304697547443</v>
      </c>
      <c r="Z292" s="6"/>
      <c r="AA292" s="6"/>
      <c r="AB292" s="6">
        <f>$K$292*$V$292</f>
        <v>6930.36</v>
      </c>
      <c r="AC292" s="6">
        <f>$M$292*$W$292</f>
        <v>0</v>
      </c>
      <c r="AD292" s="6">
        <f>$O$292*$X$292</f>
        <v>0</v>
      </c>
      <c r="AE292" s="6">
        <f ca="1">$K$292*$Y$292</f>
        <v>9217.2140212314735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33</v>
      </c>
      <c r="C293" s="4" t="s">
        <v>34</v>
      </c>
      <c r="D293" s="4" t="s">
        <v>43</v>
      </c>
      <c r="E293" s="4" t="s">
        <v>25</v>
      </c>
      <c r="F293" s="4" t="s">
        <v>25</v>
      </c>
      <c r="G293" s="4" t="s">
        <v>25</v>
      </c>
      <c r="H293" s="4" t="s">
        <v>37</v>
      </c>
      <c r="I293" s="5">
        <v>44348</v>
      </c>
      <c r="J293" s="6">
        <v>0</v>
      </c>
      <c r="K293" s="6">
        <v>0</v>
      </c>
      <c r="L293" s="6">
        <v>66.244</v>
      </c>
      <c r="M293" s="6">
        <v>66.244</v>
      </c>
      <c r="N293" s="6">
        <v>66.244</v>
      </c>
      <c r="O293" s="6">
        <v>66.244</v>
      </c>
      <c r="P293" s="6">
        <v>0</v>
      </c>
      <c r="Q293" s="4" t="s">
        <v>26</v>
      </c>
      <c r="R293" s="4">
        <v>0</v>
      </c>
      <c r="S293" s="6">
        <v>0</v>
      </c>
      <c r="T293" s="6">
        <v>19</v>
      </c>
      <c r="U293" s="6">
        <v>65</v>
      </c>
      <c r="V293" s="6">
        <f>IF(ISERROR(VLOOKUP($S$293,'TAR FIN'!$A$1:$O$103,15,0)),0,VLOOKUP($S$293,'TAR FIN'!$A$1:$O$103,15,0))</f>
        <v>0</v>
      </c>
      <c r="W293" s="6">
        <f>IF(ISERROR(VLOOKUP($T$293,'TAR FIN'!$A$1:$O$103,15,0)),0,VLOOKUP($T$293,'TAR FIN'!$A$1:$O$103,15,0))</f>
        <v>842.31</v>
      </c>
      <c r="X293" s="6">
        <f>IF(ISERROR(VLOOKUP($U$293,'TAR FIN'!$A$1:$O$103,15,0)),0,VLOOKUP($U$293,'TAR FIN'!$A$1:$O$103,15,0))</f>
        <v>454.9</v>
      </c>
      <c r="Y293" s="6"/>
      <c r="Z293" s="6">
        <f ca="1">('TUSD BE'!$AM$21+'TUSD BF'!$AM$21+'TUSD CVA'!$AM$21)*1</f>
        <v>1146.3801365962368</v>
      </c>
      <c r="AA293" s="6">
        <f>('TE BE'!$AB$8+'TE BF'!$AB$8+'TE CVA'!$AB$8)*1</f>
        <v>415.05449050541699</v>
      </c>
      <c r="AB293" s="6">
        <f>$K$293*$V$293</f>
        <v>0</v>
      </c>
      <c r="AC293" s="6">
        <f>$M$293*$W$293</f>
        <v>55797.983639999999</v>
      </c>
      <c r="AD293" s="6">
        <f>$O$293*$X$293</f>
        <v>30134.3956</v>
      </c>
      <c r="AE293" s="6">
        <f>$K$293*$Y$293</f>
        <v>0</v>
      </c>
      <c r="AF293" s="6">
        <f ca="1">$M$293*$Z$293</f>
        <v>75940.805768681108</v>
      </c>
      <c r="AG293" s="6">
        <f>$O$293*$AA$293</f>
        <v>27494.869669040843</v>
      </c>
    </row>
    <row r="294" spans="1:33" ht="11.25" customHeight="1" x14ac:dyDescent="0.25">
      <c r="A294" s="4" t="s">
        <v>21</v>
      </c>
      <c r="B294" s="4" t="s">
        <v>33</v>
      </c>
      <c r="C294" s="4" t="s">
        <v>34</v>
      </c>
      <c r="D294" s="4" t="s">
        <v>43</v>
      </c>
      <c r="E294" s="4" t="s">
        <v>25</v>
      </c>
      <c r="F294" s="4" t="s">
        <v>25</v>
      </c>
      <c r="G294" s="4" t="s">
        <v>25</v>
      </c>
      <c r="H294" s="4" t="s">
        <v>37</v>
      </c>
      <c r="I294" s="5">
        <v>44378</v>
      </c>
      <c r="J294" s="6">
        <v>0</v>
      </c>
      <c r="K294" s="6">
        <v>0</v>
      </c>
      <c r="L294" s="6">
        <v>71.768000000000001</v>
      </c>
      <c r="M294" s="6">
        <v>71.768000000000001</v>
      </c>
      <c r="N294" s="6">
        <v>71.768000000000001</v>
      </c>
      <c r="O294" s="6">
        <v>71.768000000000001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19</v>
      </c>
      <c r="U294" s="6">
        <v>65</v>
      </c>
      <c r="V294" s="6">
        <f>IF(ISERROR(VLOOKUP($S$294,'TAR FIN'!$A$1:$O$103,15,0)),0,VLOOKUP($S$294,'TAR FIN'!$A$1:$O$103,15,0))</f>
        <v>0</v>
      </c>
      <c r="W294" s="6">
        <f>IF(ISERROR(VLOOKUP($T$294,'TAR FIN'!$A$1:$O$103,15,0)),0,VLOOKUP($T$294,'TAR FIN'!$A$1:$O$103,15,0))</f>
        <v>842.31</v>
      </c>
      <c r="X294" s="6">
        <f>IF(ISERROR(VLOOKUP($U$294,'TAR FIN'!$A$1:$O$103,15,0)),0,VLOOKUP($U$294,'TAR FIN'!$A$1:$O$103,15,0))</f>
        <v>454.9</v>
      </c>
      <c r="Y294" s="6"/>
      <c r="Z294" s="6">
        <f ca="1">('TUSD BE'!$AM$21+'TUSD BF'!$AM$21+'TUSD CVA'!$AM$21)*1</f>
        <v>1146.3801365962368</v>
      </c>
      <c r="AA294" s="6">
        <f>('TE BE'!$AB$8+'TE BF'!$AB$8+'TE CVA'!$AB$8)*1</f>
        <v>415.05449050541699</v>
      </c>
      <c r="AB294" s="6">
        <f>$K$294*$V$294</f>
        <v>0</v>
      </c>
      <c r="AC294" s="6">
        <f>$M$294*$W$294</f>
        <v>60450.90408</v>
      </c>
      <c r="AD294" s="6">
        <f>$O$294*$X$294</f>
        <v>32647.263199999998</v>
      </c>
      <c r="AE294" s="6">
        <f>$K$294*$Y$294</f>
        <v>0</v>
      </c>
      <c r="AF294" s="6">
        <f ca="1">$M$294*$Z$294</f>
        <v>82273.409643238716</v>
      </c>
      <c r="AG294" s="6">
        <f>$O$294*$AA$294</f>
        <v>29787.630674592769</v>
      </c>
    </row>
    <row r="295" spans="1:33" ht="11.25" customHeight="1" x14ac:dyDescent="0.25">
      <c r="A295" s="4" t="s">
        <v>28</v>
      </c>
      <c r="B295" s="4" t="s">
        <v>33</v>
      </c>
      <c r="C295" s="4" t="s">
        <v>34</v>
      </c>
      <c r="D295" s="4" t="s">
        <v>43</v>
      </c>
      <c r="E295" s="4" t="s">
        <v>25</v>
      </c>
      <c r="F295" s="4" t="s">
        <v>25</v>
      </c>
      <c r="G295" s="4" t="s">
        <v>25</v>
      </c>
      <c r="H295" s="4" t="s">
        <v>37</v>
      </c>
      <c r="I295" s="5">
        <v>44378</v>
      </c>
      <c r="J295" s="6">
        <v>0</v>
      </c>
      <c r="K295" s="6">
        <v>0</v>
      </c>
      <c r="L295" s="6">
        <v>0.20300000000000001</v>
      </c>
      <c r="M295" s="6">
        <v>0.20300000000000001</v>
      </c>
      <c r="N295" s="6">
        <v>0.20300000000000001</v>
      </c>
      <c r="O295" s="6">
        <v>0.20300000000000001</v>
      </c>
      <c r="P295" s="6">
        <v>0</v>
      </c>
      <c r="Q295" s="4" t="s">
        <v>26</v>
      </c>
      <c r="R295" s="4">
        <v>0</v>
      </c>
      <c r="S295" s="6">
        <v>0</v>
      </c>
      <c r="T295" s="6">
        <v>19</v>
      </c>
      <c r="U295" s="6">
        <v>65</v>
      </c>
      <c r="V295" s="6">
        <f>IF(ISERROR(VLOOKUP($S$295,'TAR FIN'!$A$1:$O$103,15,0)),0,VLOOKUP($S$295,'TAR FIN'!$A$1:$O$103,15,0))</f>
        <v>0</v>
      </c>
      <c r="W295" s="6">
        <f>IF(ISERROR(VLOOKUP($T$295,'TAR FIN'!$A$1:$O$103,15,0)),0,VLOOKUP($T$295,'TAR FIN'!$A$1:$O$103,15,0))</f>
        <v>842.31</v>
      </c>
      <c r="X295" s="6">
        <f>IF(ISERROR(VLOOKUP($U$295,'TAR FIN'!$A$1:$O$103,15,0)),0,VLOOKUP($U$295,'TAR FIN'!$A$1:$O$103,15,0))</f>
        <v>454.9</v>
      </c>
      <c r="Y295" s="6"/>
      <c r="Z295" s="6">
        <f ca="1">('TUSD BE'!$AM$21+'TUSD BF'!$AM$21+'TUSD CVA'!$AM$21)*1</f>
        <v>1146.3801365962368</v>
      </c>
      <c r="AA295" s="6">
        <f>('TE BE'!$AB$8+'TE BF'!$AB$8+'TE CVA'!$AB$8)*1</f>
        <v>415.05449050541699</v>
      </c>
      <c r="AB295" s="6">
        <f>$K$295*$V$295</f>
        <v>0</v>
      </c>
      <c r="AC295" s="6">
        <f>$M$295*$W$295</f>
        <v>170.98893000000001</v>
      </c>
      <c r="AD295" s="6">
        <f>$O$295*$X$295</f>
        <v>92.344700000000003</v>
      </c>
      <c r="AE295" s="6">
        <f>$K$295*$Y$295</f>
        <v>0</v>
      </c>
      <c r="AF295" s="6">
        <f ca="1">$M$295*$Z$295</f>
        <v>232.71516772903607</v>
      </c>
      <c r="AG295" s="6">
        <f>$O$295*$AA$295</f>
        <v>84.256061572599648</v>
      </c>
    </row>
    <row r="296" spans="1:33" ht="11.25" customHeight="1" x14ac:dyDescent="0.25">
      <c r="A296" s="4" t="s">
        <v>21</v>
      </c>
      <c r="B296" s="4" t="s">
        <v>33</v>
      </c>
      <c r="C296" s="4" t="s">
        <v>34</v>
      </c>
      <c r="D296" s="4" t="s">
        <v>43</v>
      </c>
      <c r="E296" s="4" t="s">
        <v>25</v>
      </c>
      <c r="F296" s="4" t="s">
        <v>25</v>
      </c>
      <c r="G296" s="4" t="s">
        <v>25</v>
      </c>
      <c r="H296" s="4" t="s">
        <v>37</v>
      </c>
      <c r="I296" s="5">
        <v>44409</v>
      </c>
      <c r="J296" s="6">
        <v>0</v>
      </c>
      <c r="K296" s="6">
        <v>0</v>
      </c>
      <c r="L296" s="6">
        <v>71.180999999999997</v>
      </c>
      <c r="M296" s="6">
        <v>71.180999999999997</v>
      </c>
      <c r="N296" s="6">
        <v>71.180999999999997</v>
      </c>
      <c r="O296" s="6">
        <v>71.180999999999997</v>
      </c>
      <c r="P296" s="6">
        <v>0</v>
      </c>
      <c r="Q296" s="4" t="s">
        <v>26</v>
      </c>
      <c r="R296" s="4">
        <v>0</v>
      </c>
      <c r="S296" s="6">
        <v>0</v>
      </c>
      <c r="T296" s="6">
        <v>19</v>
      </c>
      <c r="U296" s="6">
        <v>65</v>
      </c>
      <c r="V296" s="6">
        <f>IF(ISERROR(VLOOKUP($S$296,'TAR FIN'!$A$1:$O$103,15,0)),0,VLOOKUP($S$296,'TAR FIN'!$A$1:$O$103,15,0))</f>
        <v>0</v>
      </c>
      <c r="W296" s="6">
        <f>IF(ISERROR(VLOOKUP($T$296,'TAR FIN'!$A$1:$O$103,15,0)),0,VLOOKUP($T$296,'TAR FIN'!$A$1:$O$103,15,0))</f>
        <v>842.31</v>
      </c>
      <c r="X296" s="6">
        <f>IF(ISERROR(VLOOKUP($U$296,'TAR FIN'!$A$1:$O$103,15,0)),0,VLOOKUP($U$296,'TAR FIN'!$A$1:$O$103,15,0))</f>
        <v>454.9</v>
      </c>
      <c r="Y296" s="6"/>
      <c r="Z296" s="6">
        <f ca="1">('TUSD BE'!$AM$21+'TUSD BF'!$AM$21+'TUSD CVA'!$AM$21)*1</f>
        <v>1146.3801365962368</v>
      </c>
      <c r="AA296" s="6">
        <f>('TE BE'!$AB$8+'TE BF'!$AB$8+'TE CVA'!$AB$8)*1</f>
        <v>415.05449050541699</v>
      </c>
      <c r="AB296" s="6">
        <f>$K$296*$V$296</f>
        <v>0</v>
      </c>
      <c r="AC296" s="6">
        <f>$M$296*$W$296</f>
        <v>59956.468109999994</v>
      </c>
      <c r="AD296" s="6">
        <f>$O$296*$X$296</f>
        <v>32380.236899999996</v>
      </c>
      <c r="AE296" s="6">
        <f>$K$296*$Y$296</f>
        <v>0</v>
      </c>
      <c r="AF296" s="6">
        <f ca="1">$M$296*$Z$296</f>
        <v>81600.484503056723</v>
      </c>
      <c r="AG296" s="6">
        <f>$O$296*$AA$296</f>
        <v>29543.993688666087</v>
      </c>
    </row>
    <row r="297" spans="1:33" ht="11.25" customHeight="1" x14ac:dyDescent="0.25">
      <c r="A297" s="4" t="s">
        <v>28</v>
      </c>
      <c r="B297" s="4" t="s">
        <v>33</v>
      </c>
      <c r="C297" s="4" t="s">
        <v>34</v>
      </c>
      <c r="D297" s="4" t="s">
        <v>43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44409</v>
      </c>
      <c r="J297" s="6">
        <v>0</v>
      </c>
      <c r="K297" s="6">
        <v>0</v>
      </c>
      <c r="L297" s="6">
        <v>0.98799999999999999</v>
      </c>
      <c r="M297" s="6">
        <v>0.98799999999999999</v>
      </c>
      <c r="N297" s="6">
        <v>0.98799999999999999</v>
      </c>
      <c r="O297" s="6">
        <v>0.98799999999999999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19</v>
      </c>
      <c r="U297" s="6">
        <v>65</v>
      </c>
      <c r="V297" s="6">
        <f>IF(ISERROR(VLOOKUP($S$297,'TAR FIN'!$A$1:$O$103,15,0)),0,VLOOKUP($S$297,'TAR FIN'!$A$1:$O$103,15,0))</f>
        <v>0</v>
      </c>
      <c r="W297" s="6">
        <f>IF(ISERROR(VLOOKUP($T$297,'TAR FIN'!$A$1:$O$103,15,0)),0,VLOOKUP($T$297,'TAR FIN'!$A$1:$O$103,15,0))</f>
        <v>842.31</v>
      </c>
      <c r="X297" s="6">
        <f>IF(ISERROR(VLOOKUP($U$297,'TAR FIN'!$A$1:$O$103,15,0)),0,VLOOKUP($U$297,'TAR FIN'!$A$1:$O$103,15,0))</f>
        <v>454.9</v>
      </c>
      <c r="Y297" s="6"/>
      <c r="Z297" s="6">
        <f ca="1">('TUSD BE'!$AM$21+'TUSD BF'!$AM$21+'TUSD CVA'!$AM$21)*1</f>
        <v>1146.3801365962368</v>
      </c>
      <c r="AA297" s="6">
        <f>('TE BE'!$AB$8+'TE BF'!$AB$8+'TE CVA'!$AB$8)*1</f>
        <v>415.05449050541699</v>
      </c>
      <c r="AB297" s="6">
        <f>$K$297*$V$297</f>
        <v>0</v>
      </c>
      <c r="AC297" s="6">
        <f>$M$297*$W$297</f>
        <v>832.20227999999997</v>
      </c>
      <c r="AD297" s="6">
        <f>$O$297*$X$297</f>
        <v>449.44119999999998</v>
      </c>
      <c r="AE297" s="6">
        <f>$K$297*$Y$297</f>
        <v>0</v>
      </c>
      <c r="AF297" s="6">
        <f ca="1">$M$297*$Z$297</f>
        <v>1132.6235749570819</v>
      </c>
      <c r="AG297" s="6">
        <f>$O$297*$AA$297</f>
        <v>410.07383661935199</v>
      </c>
    </row>
    <row r="298" spans="1:33" ht="11.25" customHeight="1" x14ac:dyDescent="0.25">
      <c r="A298" s="4" t="s">
        <v>21</v>
      </c>
      <c r="B298" s="4" t="s">
        <v>33</v>
      </c>
      <c r="C298" s="4" t="s">
        <v>34</v>
      </c>
      <c r="D298" s="4" t="s">
        <v>43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44440</v>
      </c>
      <c r="J298" s="6">
        <v>0</v>
      </c>
      <c r="K298" s="6">
        <v>0</v>
      </c>
      <c r="L298" s="6">
        <v>73.046999999999997</v>
      </c>
      <c r="M298" s="6">
        <v>73.046999999999997</v>
      </c>
      <c r="N298" s="6">
        <v>73.046999999999997</v>
      </c>
      <c r="O298" s="6">
        <v>73.046999999999997</v>
      </c>
      <c r="P298" s="6">
        <v>0</v>
      </c>
      <c r="Q298" s="4" t="s">
        <v>26</v>
      </c>
      <c r="R298" s="4">
        <v>0</v>
      </c>
      <c r="S298" s="6">
        <v>0</v>
      </c>
      <c r="T298" s="6">
        <v>19</v>
      </c>
      <c r="U298" s="6">
        <v>65</v>
      </c>
      <c r="V298" s="6">
        <f>IF(ISERROR(VLOOKUP($S$298,'TAR FIN'!$A$1:$O$103,15,0)),0,VLOOKUP($S$298,'TAR FIN'!$A$1:$O$103,15,0))</f>
        <v>0</v>
      </c>
      <c r="W298" s="6">
        <f>IF(ISERROR(VLOOKUP($T$298,'TAR FIN'!$A$1:$O$103,15,0)),0,VLOOKUP($T$298,'TAR FIN'!$A$1:$O$103,15,0))</f>
        <v>842.31</v>
      </c>
      <c r="X298" s="6">
        <f>IF(ISERROR(VLOOKUP($U$298,'TAR FIN'!$A$1:$O$103,15,0)),0,VLOOKUP($U$298,'TAR FIN'!$A$1:$O$103,15,0))</f>
        <v>454.9</v>
      </c>
      <c r="Y298" s="6"/>
      <c r="Z298" s="6">
        <f ca="1">('TUSD BE'!$AM$21+'TUSD BF'!$AM$21+'TUSD CVA'!$AM$21)*1</f>
        <v>1146.3801365962368</v>
      </c>
      <c r="AA298" s="6">
        <f>('TE BE'!$AB$8+'TE BF'!$AB$8+'TE CVA'!$AB$8)*1</f>
        <v>415.05449050541699</v>
      </c>
      <c r="AB298" s="6">
        <f>$K$298*$V$298</f>
        <v>0</v>
      </c>
      <c r="AC298" s="6">
        <f>$M$298*$W$298</f>
        <v>61528.21856999999</v>
      </c>
      <c r="AD298" s="6">
        <f>$O$298*$X$298</f>
        <v>33229.080299999994</v>
      </c>
      <c r="AE298" s="6">
        <f>$K$298*$Y$298</f>
        <v>0</v>
      </c>
      <c r="AF298" s="6">
        <f ca="1">$M$298*$Z$298</f>
        <v>83739.629837945307</v>
      </c>
      <c r="AG298" s="6">
        <f>$O$298*$AA$298</f>
        <v>30318.485367949193</v>
      </c>
    </row>
    <row r="299" spans="1:33" ht="11.25" customHeight="1" x14ac:dyDescent="0.25">
      <c r="A299" s="4" t="s">
        <v>27</v>
      </c>
      <c r="B299" s="4" t="s">
        <v>33</v>
      </c>
      <c r="C299" s="4" t="s">
        <v>34</v>
      </c>
      <c r="D299" s="4" t="s">
        <v>43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44440</v>
      </c>
      <c r="J299" s="6">
        <v>0</v>
      </c>
      <c r="K299" s="6">
        <v>0</v>
      </c>
      <c r="L299" s="6">
        <v>9.7200000000000006</v>
      </c>
      <c r="M299" s="6">
        <v>9.7200000000000006</v>
      </c>
      <c r="N299" s="6">
        <v>9.7200000000000006</v>
      </c>
      <c r="O299" s="6">
        <v>9.7200000000000006</v>
      </c>
      <c r="P299" s="6">
        <v>0</v>
      </c>
      <c r="Q299" s="4" t="s">
        <v>26</v>
      </c>
      <c r="R299" s="4">
        <v>0</v>
      </c>
      <c r="S299" s="6">
        <v>0</v>
      </c>
      <c r="T299" s="6">
        <v>19</v>
      </c>
      <c r="U299" s="6">
        <v>65</v>
      </c>
      <c r="V299" s="6">
        <f>IF(ISERROR(VLOOKUP($S$299,'TAR FIN'!$A$1:$O$103,15,0)),0,VLOOKUP($S$299,'TAR FIN'!$A$1:$O$103,15,0))</f>
        <v>0</v>
      </c>
      <c r="W299" s="6">
        <f>IF(ISERROR(VLOOKUP($T$299,'TAR FIN'!$A$1:$O$103,15,0)),0,VLOOKUP($T$299,'TAR FIN'!$A$1:$O$103,15,0))</f>
        <v>842.31</v>
      </c>
      <c r="X299" s="6">
        <f>IF(ISERROR(VLOOKUP($U$299,'TAR FIN'!$A$1:$O$103,15,0)),0,VLOOKUP($U$299,'TAR FIN'!$A$1:$O$103,15,0))</f>
        <v>454.9</v>
      </c>
      <c r="Y299" s="6"/>
      <c r="Z299" s="6">
        <f ca="1">('TUSD BE'!$AM$21+'TUSD BF'!$AM$21+'TUSD CVA'!$AM$21)*1</f>
        <v>1146.3801365962368</v>
      </c>
      <c r="AA299" s="6">
        <f>('TE BE'!$AB$8+'TE BF'!$AB$8+'TE CVA'!$AB$8)*1</f>
        <v>415.05449050541699</v>
      </c>
      <c r="AB299" s="6">
        <f>$K$299*$V$299</f>
        <v>0</v>
      </c>
      <c r="AC299" s="6">
        <f>$M$299*$W$299</f>
        <v>8187.2532000000001</v>
      </c>
      <c r="AD299" s="6">
        <f>$O$299*$X$299</f>
        <v>4421.6279999999997</v>
      </c>
      <c r="AE299" s="6">
        <f>$K$299*$Y$299</f>
        <v>0</v>
      </c>
      <c r="AF299" s="6">
        <f ca="1">$M$299*$Z$299</f>
        <v>11142.814927715423</v>
      </c>
      <c r="AG299" s="6">
        <f>$O$299*$AA$299</f>
        <v>4034.3296477126532</v>
      </c>
    </row>
    <row r="300" spans="1:33" ht="11.25" customHeight="1" x14ac:dyDescent="0.25">
      <c r="A300" s="4" t="s">
        <v>28</v>
      </c>
      <c r="B300" s="4" t="s">
        <v>33</v>
      </c>
      <c r="C300" s="4" t="s">
        <v>34</v>
      </c>
      <c r="D300" s="4" t="s">
        <v>43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44440</v>
      </c>
      <c r="J300" s="6">
        <v>0</v>
      </c>
      <c r="K300" s="6">
        <v>0</v>
      </c>
      <c r="L300" s="6">
        <v>1.278</v>
      </c>
      <c r="M300" s="6">
        <v>1.278</v>
      </c>
      <c r="N300" s="6">
        <v>1.278</v>
      </c>
      <c r="O300" s="6">
        <v>1.278</v>
      </c>
      <c r="P300" s="6">
        <v>0</v>
      </c>
      <c r="Q300" s="4" t="s">
        <v>26</v>
      </c>
      <c r="R300" s="4">
        <v>0</v>
      </c>
      <c r="S300" s="6">
        <v>0</v>
      </c>
      <c r="T300" s="6">
        <v>19</v>
      </c>
      <c r="U300" s="6">
        <v>65</v>
      </c>
      <c r="V300" s="6">
        <f>IF(ISERROR(VLOOKUP($S$300,'TAR FIN'!$A$1:$O$103,15,0)),0,VLOOKUP($S$300,'TAR FIN'!$A$1:$O$103,15,0))</f>
        <v>0</v>
      </c>
      <c r="W300" s="6">
        <f>IF(ISERROR(VLOOKUP($T$300,'TAR FIN'!$A$1:$O$103,15,0)),0,VLOOKUP($T$300,'TAR FIN'!$A$1:$O$103,15,0))</f>
        <v>842.31</v>
      </c>
      <c r="X300" s="6">
        <f>IF(ISERROR(VLOOKUP($U$300,'TAR FIN'!$A$1:$O$103,15,0)),0,VLOOKUP($U$300,'TAR FIN'!$A$1:$O$103,15,0))</f>
        <v>454.9</v>
      </c>
      <c r="Y300" s="6"/>
      <c r="Z300" s="6">
        <f ca="1">('TUSD BE'!$AM$21+'TUSD BF'!$AM$21+'TUSD CVA'!$AM$21)*1</f>
        <v>1146.3801365962368</v>
      </c>
      <c r="AA300" s="6">
        <f>('TE BE'!$AB$8+'TE BF'!$AB$8+'TE CVA'!$AB$8)*1</f>
        <v>415.05449050541699</v>
      </c>
      <c r="AB300" s="6">
        <f>$K$300*$V$300</f>
        <v>0</v>
      </c>
      <c r="AC300" s="6">
        <f>$M$300*$W$300</f>
        <v>1076.47218</v>
      </c>
      <c r="AD300" s="6">
        <f>$O$300*$X$300</f>
        <v>581.36220000000003</v>
      </c>
      <c r="AE300" s="6">
        <f>$K$300*$Y$300</f>
        <v>0</v>
      </c>
      <c r="AF300" s="6">
        <f ca="1">$M$300*$Z$300</f>
        <v>1465.0738145699906</v>
      </c>
      <c r="AG300" s="6">
        <f>$O$300*$AA$300</f>
        <v>530.43963886592292</v>
      </c>
    </row>
    <row r="301" spans="1:33" ht="11.25" customHeight="1" x14ac:dyDescent="0.25">
      <c r="A301" s="4" t="s">
        <v>21</v>
      </c>
      <c r="B301" s="4" t="s">
        <v>33</v>
      </c>
      <c r="C301" s="4" t="s">
        <v>34</v>
      </c>
      <c r="D301" s="4" t="s">
        <v>43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44470</v>
      </c>
      <c r="J301" s="6">
        <v>0</v>
      </c>
      <c r="K301" s="6">
        <v>0</v>
      </c>
      <c r="L301" s="6">
        <v>73.611999999999995</v>
      </c>
      <c r="M301" s="6">
        <v>73.611999999999995</v>
      </c>
      <c r="N301" s="6">
        <v>73.611999999999995</v>
      </c>
      <c r="O301" s="6">
        <v>73.611999999999995</v>
      </c>
      <c r="P301" s="6">
        <v>0</v>
      </c>
      <c r="Q301" s="4" t="s">
        <v>26</v>
      </c>
      <c r="R301" s="4">
        <v>0</v>
      </c>
      <c r="S301" s="6">
        <v>0</v>
      </c>
      <c r="T301" s="6">
        <v>19</v>
      </c>
      <c r="U301" s="6">
        <v>65</v>
      </c>
      <c r="V301" s="6">
        <f>IF(ISERROR(VLOOKUP($S$301,'TAR FIN'!$A$1:$O$103,15,0)),0,VLOOKUP($S$301,'TAR FIN'!$A$1:$O$103,15,0))</f>
        <v>0</v>
      </c>
      <c r="W301" s="6">
        <f>IF(ISERROR(VLOOKUP($T$301,'TAR FIN'!$A$1:$O$103,15,0)),0,VLOOKUP($T$301,'TAR FIN'!$A$1:$O$103,15,0))</f>
        <v>842.31</v>
      </c>
      <c r="X301" s="6">
        <f>IF(ISERROR(VLOOKUP($U$301,'TAR FIN'!$A$1:$O$103,15,0)),0,VLOOKUP($U$301,'TAR FIN'!$A$1:$O$103,15,0))</f>
        <v>454.9</v>
      </c>
      <c r="Y301" s="6"/>
      <c r="Z301" s="6">
        <f ca="1">('TUSD BE'!$AM$21+'TUSD BF'!$AM$21+'TUSD CVA'!$AM$21)*1</f>
        <v>1146.3801365962368</v>
      </c>
      <c r="AA301" s="6">
        <f>('TE BE'!$AB$8+'TE BF'!$AB$8+'TE CVA'!$AB$8)*1</f>
        <v>415.05449050541699</v>
      </c>
      <c r="AB301" s="6">
        <f>$K$301*$V$301</f>
        <v>0</v>
      </c>
      <c r="AC301" s="6">
        <f>$M$301*$W$301</f>
        <v>62004.123719999989</v>
      </c>
      <c r="AD301" s="6">
        <f>$O$301*$X$301</f>
        <v>33486.098799999992</v>
      </c>
      <c r="AE301" s="6">
        <f>$K$301*$Y$301</f>
        <v>0</v>
      </c>
      <c r="AF301" s="6">
        <f ca="1">$M$301*$Z$301</f>
        <v>84387.334615122178</v>
      </c>
      <c r="AG301" s="6">
        <f>$O$301*$AA$301</f>
        <v>30552.991155084754</v>
      </c>
    </row>
    <row r="302" spans="1:33" ht="11.25" customHeight="1" x14ac:dyDescent="0.25">
      <c r="A302" s="4" t="s">
        <v>28</v>
      </c>
      <c r="B302" s="4" t="s">
        <v>33</v>
      </c>
      <c r="C302" s="4" t="s">
        <v>34</v>
      </c>
      <c r="D302" s="4" t="s">
        <v>43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44470</v>
      </c>
      <c r="J302" s="6">
        <v>0</v>
      </c>
      <c r="K302" s="6">
        <v>0</v>
      </c>
      <c r="L302" s="6">
        <v>1.07</v>
      </c>
      <c r="M302" s="6">
        <v>1.07</v>
      </c>
      <c r="N302" s="6">
        <v>1.07</v>
      </c>
      <c r="O302" s="6">
        <v>1.07</v>
      </c>
      <c r="P302" s="6">
        <v>0</v>
      </c>
      <c r="Q302" s="4" t="s">
        <v>26</v>
      </c>
      <c r="R302" s="4">
        <v>0</v>
      </c>
      <c r="S302" s="6">
        <v>0</v>
      </c>
      <c r="T302" s="6">
        <v>19</v>
      </c>
      <c r="U302" s="6">
        <v>65</v>
      </c>
      <c r="V302" s="6">
        <f>IF(ISERROR(VLOOKUP($S$302,'TAR FIN'!$A$1:$O$103,15,0)),0,VLOOKUP($S$302,'TAR FIN'!$A$1:$O$103,15,0))</f>
        <v>0</v>
      </c>
      <c r="W302" s="6">
        <f>IF(ISERROR(VLOOKUP($T$302,'TAR FIN'!$A$1:$O$103,15,0)),0,VLOOKUP($T$302,'TAR FIN'!$A$1:$O$103,15,0))</f>
        <v>842.31</v>
      </c>
      <c r="X302" s="6">
        <f>IF(ISERROR(VLOOKUP($U$302,'TAR FIN'!$A$1:$O$103,15,0)),0,VLOOKUP($U$302,'TAR FIN'!$A$1:$O$103,15,0))</f>
        <v>454.9</v>
      </c>
      <c r="Y302" s="6"/>
      <c r="Z302" s="6">
        <f ca="1">('TUSD BE'!$AM$21+'TUSD BF'!$AM$21+'TUSD CVA'!$AM$21)*1</f>
        <v>1146.3801365962368</v>
      </c>
      <c r="AA302" s="6">
        <f>('TE BE'!$AB$8+'TE BF'!$AB$8+'TE CVA'!$AB$8)*1</f>
        <v>415.05449050541699</v>
      </c>
      <c r="AB302" s="6">
        <f>$K$302*$V$302</f>
        <v>0</v>
      </c>
      <c r="AC302" s="6">
        <f>$M$302*$W$302</f>
        <v>901.27170000000001</v>
      </c>
      <c r="AD302" s="6">
        <f>$O$302*$X$302</f>
        <v>486.74299999999999</v>
      </c>
      <c r="AE302" s="6">
        <f>$K$302*$Y$302</f>
        <v>0</v>
      </c>
      <c r="AF302" s="6">
        <f ca="1">$M$302*$Z$302</f>
        <v>1226.6267461579735</v>
      </c>
      <c r="AG302" s="6">
        <f>$O$302*$AA$302</f>
        <v>444.10830484079622</v>
      </c>
    </row>
    <row r="303" spans="1:33" ht="11.25" customHeight="1" x14ac:dyDescent="0.25">
      <c r="A303" s="4" t="s">
        <v>21</v>
      </c>
      <c r="B303" s="4" t="s">
        <v>33</v>
      </c>
      <c r="C303" s="4" t="s">
        <v>34</v>
      </c>
      <c r="D303" s="4" t="s">
        <v>43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44501</v>
      </c>
      <c r="J303" s="6">
        <v>0</v>
      </c>
      <c r="K303" s="6">
        <v>0</v>
      </c>
      <c r="L303" s="6">
        <v>97.316000000000003</v>
      </c>
      <c r="M303" s="6">
        <v>97.316000000000003</v>
      </c>
      <c r="N303" s="6">
        <v>97.316000000000003</v>
      </c>
      <c r="O303" s="6">
        <v>97.316000000000003</v>
      </c>
      <c r="P303" s="6">
        <v>0</v>
      </c>
      <c r="Q303" s="4" t="s">
        <v>26</v>
      </c>
      <c r="R303" s="4">
        <v>0</v>
      </c>
      <c r="S303" s="6">
        <v>0</v>
      </c>
      <c r="T303" s="6">
        <v>19</v>
      </c>
      <c r="U303" s="6">
        <v>65</v>
      </c>
      <c r="V303" s="6">
        <f>IF(ISERROR(VLOOKUP($S$303,'TAR FIN'!$A$1:$O$103,15,0)),0,VLOOKUP($S$303,'TAR FIN'!$A$1:$O$103,15,0))</f>
        <v>0</v>
      </c>
      <c r="W303" s="6">
        <f>IF(ISERROR(VLOOKUP($T$303,'TAR FIN'!$A$1:$O$103,15,0)),0,VLOOKUP($T$303,'TAR FIN'!$A$1:$O$103,15,0))</f>
        <v>842.31</v>
      </c>
      <c r="X303" s="6">
        <f>IF(ISERROR(VLOOKUP($U$303,'TAR FIN'!$A$1:$O$103,15,0)),0,VLOOKUP($U$303,'TAR FIN'!$A$1:$O$103,15,0))</f>
        <v>454.9</v>
      </c>
      <c r="Y303" s="6"/>
      <c r="Z303" s="6">
        <f ca="1">('TUSD BE'!$AM$21+'TUSD BF'!$AM$21+'TUSD CVA'!$AM$21)*1</f>
        <v>1146.3801365962368</v>
      </c>
      <c r="AA303" s="6">
        <f>('TE BE'!$AB$8+'TE BF'!$AB$8+'TE CVA'!$AB$8)*1</f>
        <v>415.05449050541699</v>
      </c>
      <c r="AB303" s="6">
        <f>$K$303*$V$303</f>
        <v>0</v>
      </c>
      <c r="AC303" s="6">
        <f>$M$303*$W$303</f>
        <v>81970.239959999992</v>
      </c>
      <c r="AD303" s="6">
        <f>$O$303*$X$303</f>
        <v>44269.0484</v>
      </c>
      <c r="AE303" s="6">
        <f>$K$303*$Y$303</f>
        <v>0</v>
      </c>
      <c r="AF303" s="6">
        <f ca="1">$M$303*$Z$303</f>
        <v>111561.12937299938</v>
      </c>
      <c r="AG303" s="6">
        <f>$O$303*$AA$303</f>
        <v>40391.442798025164</v>
      </c>
    </row>
    <row r="304" spans="1:33" ht="11.25" customHeight="1" x14ac:dyDescent="0.25">
      <c r="A304" s="4" t="s">
        <v>21</v>
      </c>
      <c r="B304" s="4" t="s">
        <v>33</v>
      </c>
      <c r="C304" s="4" t="s">
        <v>34</v>
      </c>
      <c r="D304" s="4" t="s">
        <v>43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44531</v>
      </c>
      <c r="J304" s="6">
        <v>0</v>
      </c>
      <c r="K304" s="6">
        <v>0</v>
      </c>
      <c r="L304" s="6">
        <v>83.456999999999994</v>
      </c>
      <c r="M304" s="6">
        <v>83.456999999999994</v>
      </c>
      <c r="N304" s="6">
        <v>83.456999999999994</v>
      </c>
      <c r="O304" s="6">
        <v>83.456999999999994</v>
      </c>
      <c r="P304" s="6">
        <v>0</v>
      </c>
      <c r="Q304" s="4" t="s">
        <v>26</v>
      </c>
      <c r="R304" s="4">
        <v>0</v>
      </c>
      <c r="S304" s="6">
        <v>0</v>
      </c>
      <c r="T304" s="6">
        <v>19</v>
      </c>
      <c r="U304" s="6">
        <v>65</v>
      </c>
      <c r="V304" s="6">
        <f>IF(ISERROR(VLOOKUP($S$304,'TAR FIN'!$A$1:$O$103,15,0)),0,VLOOKUP($S$304,'TAR FIN'!$A$1:$O$103,15,0))</f>
        <v>0</v>
      </c>
      <c r="W304" s="6">
        <f>IF(ISERROR(VLOOKUP($T$304,'TAR FIN'!$A$1:$O$103,15,0)),0,VLOOKUP($T$304,'TAR FIN'!$A$1:$O$103,15,0))</f>
        <v>842.31</v>
      </c>
      <c r="X304" s="6">
        <f>IF(ISERROR(VLOOKUP($U$304,'TAR FIN'!$A$1:$O$103,15,0)),0,VLOOKUP($U$304,'TAR FIN'!$A$1:$O$103,15,0))</f>
        <v>454.9</v>
      </c>
      <c r="Y304" s="6"/>
      <c r="Z304" s="6">
        <f ca="1">('TUSD BE'!$AM$21+'TUSD BF'!$AM$21+'TUSD CVA'!$AM$21)*1</f>
        <v>1146.3801365962368</v>
      </c>
      <c r="AA304" s="6">
        <f>('TE BE'!$AB$8+'TE BF'!$AB$8+'TE CVA'!$AB$8)*1</f>
        <v>415.05449050541699</v>
      </c>
      <c r="AB304" s="6">
        <f>$K$304*$V$304</f>
        <v>0</v>
      </c>
      <c r="AC304" s="6">
        <f>$M$304*$W$304</f>
        <v>70296.665669999988</v>
      </c>
      <c r="AD304" s="6">
        <f>$O$304*$X$304</f>
        <v>37964.589299999992</v>
      </c>
      <c r="AE304" s="6">
        <f>$K$304*$Y$304</f>
        <v>0</v>
      </c>
      <c r="AF304" s="6">
        <f ca="1">$M$304*$Z$304</f>
        <v>95673.447059912127</v>
      </c>
      <c r="AG304" s="6">
        <f>$O$304*$AA$304</f>
        <v>34639.202614110582</v>
      </c>
    </row>
    <row r="305" spans="1:33" ht="11.25" customHeight="1" x14ac:dyDescent="0.25">
      <c r="A305" s="4" t="s">
        <v>28</v>
      </c>
      <c r="B305" s="4" t="s">
        <v>33</v>
      </c>
      <c r="C305" s="4" t="s">
        <v>34</v>
      </c>
      <c r="D305" s="4" t="s">
        <v>43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44531</v>
      </c>
      <c r="J305" s="6">
        <v>0</v>
      </c>
      <c r="K305" s="6">
        <v>0</v>
      </c>
      <c r="L305" s="6">
        <v>15.183</v>
      </c>
      <c r="M305" s="6">
        <v>15.183</v>
      </c>
      <c r="N305" s="6">
        <v>15.183</v>
      </c>
      <c r="O305" s="6">
        <v>15.183</v>
      </c>
      <c r="P305" s="6">
        <v>0</v>
      </c>
      <c r="Q305" s="4" t="s">
        <v>26</v>
      </c>
      <c r="R305" s="4">
        <v>0</v>
      </c>
      <c r="S305" s="6">
        <v>0</v>
      </c>
      <c r="T305" s="6">
        <v>19</v>
      </c>
      <c r="U305" s="6">
        <v>65</v>
      </c>
      <c r="V305" s="6">
        <f>IF(ISERROR(VLOOKUP($S$305,'TAR FIN'!$A$1:$O$103,15,0)),0,VLOOKUP($S$305,'TAR FIN'!$A$1:$O$103,15,0))</f>
        <v>0</v>
      </c>
      <c r="W305" s="6">
        <f>IF(ISERROR(VLOOKUP($T$305,'TAR FIN'!$A$1:$O$103,15,0)),0,VLOOKUP($T$305,'TAR FIN'!$A$1:$O$103,15,0))</f>
        <v>842.31</v>
      </c>
      <c r="X305" s="6">
        <f>IF(ISERROR(VLOOKUP($U$305,'TAR FIN'!$A$1:$O$103,15,0)),0,VLOOKUP($U$305,'TAR FIN'!$A$1:$O$103,15,0))</f>
        <v>454.9</v>
      </c>
      <c r="Y305" s="6"/>
      <c r="Z305" s="6">
        <f ca="1">('TUSD BE'!$AM$21+'TUSD BF'!$AM$21+'TUSD CVA'!$AM$21)*1</f>
        <v>1146.3801365962368</v>
      </c>
      <c r="AA305" s="6">
        <f>('TE BE'!$AB$8+'TE BF'!$AB$8+'TE CVA'!$AB$8)*1</f>
        <v>415.05449050541699</v>
      </c>
      <c r="AB305" s="6">
        <f>$K$305*$V$305</f>
        <v>0</v>
      </c>
      <c r="AC305" s="6">
        <f>$M$305*$W$305</f>
        <v>12788.792729999999</v>
      </c>
      <c r="AD305" s="6">
        <f>$O$305*$X$305</f>
        <v>6906.7466999999997</v>
      </c>
      <c r="AE305" s="6">
        <f>$K$305*$Y$305</f>
        <v>0</v>
      </c>
      <c r="AF305" s="6">
        <f ca="1">$M$305*$Z$305</f>
        <v>17405.489613940663</v>
      </c>
      <c r="AG305" s="6">
        <f>$O$305*$AA$305</f>
        <v>6301.7723293437457</v>
      </c>
    </row>
    <row r="306" spans="1:33" ht="11.25" customHeight="1" x14ac:dyDescent="0.25">
      <c r="A306" s="4" t="s">
        <v>21</v>
      </c>
      <c r="B306" s="4" t="s">
        <v>33</v>
      </c>
      <c r="C306" s="4" t="s">
        <v>34</v>
      </c>
      <c r="D306" s="4" t="s">
        <v>43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44562</v>
      </c>
      <c r="J306" s="6">
        <v>0</v>
      </c>
      <c r="K306" s="6">
        <v>0</v>
      </c>
      <c r="L306" s="6">
        <v>80.004000000000005</v>
      </c>
      <c r="M306" s="6">
        <v>80.004000000000005</v>
      </c>
      <c r="N306" s="6">
        <v>80.004000000000005</v>
      </c>
      <c r="O306" s="6">
        <v>80.004000000000005</v>
      </c>
      <c r="P306" s="6">
        <v>0</v>
      </c>
      <c r="Q306" s="4" t="s">
        <v>26</v>
      </c>
      <c r="R306" s="4">
        <v>0</v>
      </c>
      <c r="S306" s="6">
        <v>0</v>
      </c>
      <c r="T306" s="6">
        <v>19</v>
      </c>
      <c r="U306" s="6">
        <v>65</v>
      </c>
      <c r="V306" s="6">
        <f>IF(ISERROR(VLOOKUP($S$306,'TAR FIN'!$A$1:$O$103,15,0)),0,VLOOKUP($S$306,'TAR FIN'!$A$1:$O$103,15,0))</f>
        <v>0</v>
      </c>
      <c r="W306" s="6">
        <f>IF(ISERROR(VLOOKUP($T$306,'TAR FIN'!$A$1:$O$103,15,0)),0,VLOOKUP($T$306,'TAR FIN'!$A$1:$O$103,15,0))</f>
        <v>842.31</v>
      </c>
      <c r="X306" s="6">
        <f>IF(ISERROR(VLOOKUP($U$306,'TAR FIN'!$A$1:$O$103,15,0)),0,VLOOKUP($U$306,'TAR FIN'!$A$1:$O$103,15,0))</f>
        <v>454.9</v>
      </c>
      <c r="Y306" s="6"/>
      <c r="Z306" s="6">
        <f ca="1">('TUSD BE'!$AM$21+'TUSD BF'!$AM$21+'TUSD CVA'!$AM$21)*1</f>
        <v>1146.3801365962368</v>
      </c>
      <c r="AA306" s="6">
        <f>('TE BE'!$AB$8+'TE BF'!$AB$8+'TE CVA'!$AB$8)*1</f>
        <v>415.05449050541699</v>
      </c>
      <c r="AB306" s="6">
        <f>$K$306*$V$306</f>
        <v>0</v>
      </c>
      <c r="AC306" s="6">
        <f>$M$306*$W$306</f>
        <v>67388.169240000003</v>
      </c>
      <c r="AD306" s="6">
        <f>$O$306*$X$306</f>
        <v>36393.819600000003</v>
      </c>
      <c r="AE306" s="6">
        <f>$K$306*$Y$306</f>
        <v>0</v>
      </c>
      <c r="AF306" s="6">
        <f ca="1">$M$306*$Z$306</f>
        <v>91714.996448245336</v>
      </c>
      <c r="AG306" s="6">
        <f>$O$306*$AA$306</f>
        <v>33206.019458395385</v>
      </c>
    </row>
    <row r="307" spans="1:33" ht="11.25" customHeight="1" x14ac:dyDescent="0.25">
      <c r="A307" s="4" t="s">
        <v>21</v>
      </c>
      <c r="B307" s="4" t="s">
        <v>33</v>
      </c>
      <c r="C307" s="4" t="s">
        <v>34</v>
      </c>
      <c r="D307" s="4" t="s">
        <v>43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44593</v>
      </c>
      <c r="J307" s="6">
        <v>0</v>
      </c>
      <c r="K307" s="6">
        <v>0</v>
      </c>
      <c r="L307" s="6">
        <v>75.513000000000005</v>
      </c>
      <c r="M307" s="6">
        <v>75.513000000000005</v>
      </c>
      <c r="N307" s="6">
        <v>75.513000000000005</v>
      </c>
      <c r="O307" s="6">
        <v>75.513000000000005</v>
      </c>
      <c r="P307" s="6">
        <v>0</v>
      </c>
      <c r="Q307" s="4" t="s">
        <v>26</v>
      </c>
      <c r="R307" s="4">
        <v>0</v>
      </c>
      <c r="S307" s="6">
        <v>0</v>
      </c>
      <c r="T307" s="6">
        <v>19</v>
      </c>
      <c r="U307" s="6">
        <v>65</v>
      </c>
      <c r="V307" s="6">
        <f>IF(ISERROR(VLOOKUP($S$307,'TAR FIN'!$A$1:$O$103,15,0)),0,VLOOKUP($S$307,'TAR FIN'!$A$1:$O$103,15,0))</f>
        <v>0</v>
      </c>
      <c r="W307" s="6">
        <f>IF(ISERROR(VLOOKUP($T$307,'TAR FIN'!$A$1:$O$103,15,0)),0,VLOOKUP($T$307,'TAR FIN'!$A$1:$O$103,15,0))</f>
        <v>842.31</v>
      </c>
      <c r="X307" s="6">
        <f>IF(ISERROR(VLOOKUP($U$307,'TAR FIN'!$A$1:$O$103,15,0)),0,VLOOKUP($U$307,'TAR FIN'!$A$1:$O$103,15,0))</f>
        <v>454.9</v>
      </c>
      <c r="Y307" s="6"/>
      <c r="Z307" s="6">
        <f ca="1">('TUSD BE'!$AM$21+'TUSD BF'!$AM$21+'TUSD CVA'!$AM$21)*1</f>
        <v>1146.3801365962368</v>
      </c>
      <c r="AA307" s="6">
        <f>('TE BE'!$AB$8+'TE BF'!$AB$8+'TE CVA'!$AB$8)*1</f>
        <v>415.05449050541699</v>
      </c>
      <c r="AB307" s="6">
        <f>$K$307*$V$307</f>
        <v>0</v>
      </c>
      <c r="AC307" s="6">
        <f>$M$307*$W$307</f>
        <v>63605.355029999999</v>
      </c>
      <c r="AD307" s="6">
        <f>$O$307*$X$307</f>
        <v>34350.863700000002</v>
      </c>
      <c r="AE307" s="6">
        <f>$K$307*$Y$307</f>
        <v>0</v>
      </c>
      <c r="AF307" s="6">
        <f ca="1">$M$307*$Z$307</f>
        <v>86566.603254791626</v>
      </c>
      <c r="AG307" s="6">
        <f>$O$307*$AA$307</f>
        <v>31342.009741535556</v>
      </c>
    </row>
    <row r="308" spans="1:33" ht="11.25" customHeight="1" x14ac:dyDescent="0.25">
      <c r="A308" s="4" t="s">
        <v>21</v>
      </c>
      <c r="B308" s="4" t="s">
        <v>33</v>
      </c>
      <c r="C308" s="4" t="s">
        <v>34</v>
      </c>
      <c r="D308" s="4" t="s">
        <v>43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44621</v>
      </c>
      <c r="J308" s="6">
        <v>0</v>
      </c>
      <c r="K308" s="6">
        <v>0</v>
      </c>
      <c r="L308" s="6">
        <v>81.575999999999993</v>
      </c>
      <c r="M308" s="6">
        <v>81.575999999999993</v>
      </c>
      <c r="N308" s="6">
        <v>81.575999999999993</v>
      </c>
      <c r="O308" s="6">
        <v>81.575999999999993</v>
      </c>
      <c r="P308" s="6">
        <v>0</v>
      </c>
      <c r="Q308" s="4" t="s">
        <v>26</v>
      </c>
      <c r="R308" s="4">
        <v>0</v>
      </c>
      <c r="S308" s="6">
        <v>0</v>
      </c>
      <c r="T308" s="6">
        <v>19</v>
      </c>
      <c r="U308" s="6">
        <v>65</v>
      </c>
      <c r="V308" s="6">
        <f>IF(ISERROR(VLOOKUP($S$308,'TAR FIN'!$A$1:$O$103,15,0)),0,VLOOKUP($S$308,'TAR FIN'!$A$1:$O$103,15,0))</f>
        <v>0</v>
      </c>
      <c r="W308" s="6">
        <f>IF(ISERROR(VLOOKUP($T$308,'TAR FIN'!$A$1:$O$103,15,0)),0,VLOOKUP($T$308,'TAR FIN'!$A$1:$O$103,15,0))</f>
        <v>842.31</v>
      </c>
      <c r="X308" s="6">
        <f>IF(ISERROR(VLOOKUP($U$308,'TAR FIN'!$A$1:$O$103,15,0)),0,VLOOKUP($U$308,'TAR FIN'!$A$1:$O$103,15,0))</f>
        <v>454.9</v>
      </c>
      <c r="Y308" s="6"/>
      <c r="Z308" s="6">
        <f ca="1">('TUSD BE'!$AM$21+'TUSD BF'!$AM$21+'TUSD CVA'!$AM$21)*1</f>
        <v>1146.3801365962368</v>
      </c>
      <c r="AA308" s="6">
        <f>('TE BE'!$AB$8+'TE BF'!$AB$8+'TE CVA'!$AB$8)*1</f>
        <v>415.05449050541699</v>
      </c>
      <c r="AB308" s="6">
        <f>$K$308*$V$308</f>
        <v>0</v>
      </c>
      <c r="AC308" s="6">
        <f>$M$308*$W$308</f>
        <v>68712.280559999985</v>
      </c>
      <c r="AD308" s="6">
        <f>$O$308*$X$308</f>
        <v>37108.922399999996</v>
      </c>
      <c r="AE308" s="6">
        <f>$K$308*$Y$308</f>
        <v>0</v>
      </c>
      <c r="AF308" s="6">
        <f ca="1">$M$308*$Z$308</f>
        <v>93517.106022974607</v>
      </c>
      <c r="AG308" s="6">
        <f>$O$308*$AA$308</f>
        <v>33858.485117469892</v>
      </c>
    </row>
    <row r="309" spans="1:33" ht="11.25" customHeight="1" x14ac:dyDescent="0.25">
      <c r="A309" s="4" t="s">
        <v>21</v>
      </c>
      <c r="B309" s="4" t="s">
        <v>33</v>
      </c>
      <c r="C309" s="4" t="s">
        <v>34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37</v>
      </c>
      <c r="I309" s="5">
        <v>44652</v>
      </c>
      <c r="J309" s="6">
        <v>0</v>
      </c>
      <c r="K309" s="6">
        <v>0</v>
      </c>
      <c r="L309" s="6">
        <v>63.951999999999998</v>
      </c>
      <c r="M309" s="6">
        <v>63.951999999999998</v>
      </c>
      <c r="N309" s="6">
        <v>63.951999999999998</v>
      </c>
      <c r="O309" s="6">
        <v>63.951999999999998</v>
      </c>
      <c r="P309" s="6">
        <v>0</v>
      </c>
      <c r="Q309" s="4" t="s">
        <v>26</v>
      </c>
      <c r="R309" s="4">
        <v>0</v>
      </c>
      <c r="S309" s="6">
        <v>0</v>
      </c>
      <c r="T309" s="6">
        <v>19</v>
      </c>
      <c r="U309" s="6">
        <v>65</v>
      </c>
      <c r="V309" s="6">
        <f>IF(ISERROR(VLOOKUP($S$309,'TAR FIN'!$A$1:$O$103,15,0)),0,VLOOKUP($S$309,'TAR FIN'!$A$1:$O$103,15,0))</f>
        <v>0</v>
      </c>
      <c r="W309" s="6">
        <f>IF(ISERROR(VLOOKUP($T$309,'TAR FIN'!$A$1:$O$103,15,0)),0,VLOOKUP($T$309,'TAR FIN'!$A$1:$O$103,15,0))</f>
        <v>842.31</v>
      </c>
      <c r="X309" s="6">
        <f>IF(ISERROR(VLOOKUP($U$309,'TAR FIN'!$A$1:$O$103,15,0)),0,VLOOKUP($U$309,'TAR FIN'!$A$1:$O$103,15,0))</f>
        <v>454.9</v>
      </c>
      <c r="Y309" s="6"/>
      <c r="Z309" s="6">
        <f ca="1">('TUSD BE'!$AM$21+'TUSD BF'!$AM$21+'TUSD CVA'!$AM$21)*1</f>
        <v>1146.3801365962368</v>
      </c>
      <c r="AA309" s="6">
        <f>('TE BE'!$AB$8+'TE BF'!$AB$8+'TE CVA'!$AB$8)*1</f>
        <v>415.05449050541699</v>
      </c>
      <c r="AB309" s="6">
        <f>$K$309*$V$309</f>
        <v>0</v>
      </c>
      <c r="AC309" s="6">
        <f>$M$309*$W$309</f>
        <v>53867.409119999997</v>
      </c>
      <c r="AD309" s="6">
        <f>$O$309*$X$309</f>
        <v>29091.764799999997</v>
      </c>
      <c r="AE309" s="6">
        <f>$K$309*$Y$309</f>
        <v>0</v>
      </c>
      <c r="AF309" s="6">
        <f ca="1">$M$309*$Z$309</f>
        <v>73313.302495602533</v>
      </c>
      <c r="AG309" s="6">
        <f>$O$309*$AA$309</f>
        <v>26543.564776802428</v>
      </c>
    </row>
    <row r="310" spans="1:33" ht="11.25" customHeight="1" x14ac:dyDescent="0.25">
      <c r="A310" s="4" t="s">
        <v>27</v>
      </c>
      <c r="B310" s="4" t="s">
        <v>33</v>
      </c>
      <c r="C310" s="4" t="s">
        <v>34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37</v>
      </c>
      <c r="I310" s="5">
        <v>44652</v>
      </c>
      <c r="J310" s="6">
        <v>0</v>
      </c>
      <c r="K310" s="6">
        <v>0</v>
      </c>
      <c r="L310" s="6">
        <v>3.145</v>
      </c>
      <c r="M310" s="6">
        <v>3.145</v>
      </c>
      <c r="N310" s="6">
        <v>3.145</v>
      </c>
      <c r="O310" s="6">
        <v>3.145</v>
      </c>
      <c r="P310" s="6">
        <v>0</v>
      </c>
      <c r="Q310" s="4" t="s">
        <v>26</v>
      </c>
      <c r="R310" s="4">
        <v>0</v>
      </c>
      <c r="S310" s="6">
        <v>0</v>
      </c>
      <c r="T310" s="6">
        <v>19</v>
      </c>
      <c r="U310" s="6">
        <v>65</v>
      </c>
      <c r="V310" s="6">
        <f>IF(ISERROR(VLOOKUP($S$310,'TAR FIN'!$A$1:$O$103,15,0)),0,VLOOKUP($S$310,'TAR FIN'!$A$1:$O$103,15,0))</f>
        <v>0</v>
      </c>
      <c r="W310" s="6">
        <f>IF(ISERROR(VLOOKUP($T$310,'TAR FIN'!$A$1:$O$103,15,0)),0,VLOOKUP($T$310,'TAR FIN'!$A$1:$O$103,15,0))</f>
        <v>842.31</v>
      </c>
      <c r="X310" s="6">
        <f>IF(ISERROR(VLOOKUP($U$310,'TAR FIN'!$A$1:$O$103,15,0)),0,VLOOKUP($U$310,'TAR FIN'!$A$1:$O$103,15,0))</f>
        <v>454.9</v>
      </c>
      <c r="Y310" s="6"/>
      <c r="Z310" s="6">
        <f ca="1">('TUSD BE'!$AM$21+'TUSD BF'!$AM$21+'TUSD CVA'!$AM$21)*1</f>
        <v>1146.3801365962368</v>
      </c>
      <c r="AA310" s="6">
        <f>('TE BE'!$AB$8+'TE BF'!$AB$8+'TE CVA'!$AB$8)*1</f>
        <v>415.05449050541699</v>
      </c>
      <c r="AB310" s="6">
        <f>$K$310*$V$310</f>
        <v>0</v>
      </c>
      <c r="AC310" s="6">
        <f>$M$310*$W$310</f>
        <v>2649.06495</v>
      </c>
      <c r="AD310" s="6">
        <f>$O$310*$X$310</f>
        <v>1430.6605</v>
      </c>
      <c r="AE310" s="6">
        <f>$K$310*$Y$310</f>
        <v>0</v>
      </c>
      <c r="AF310" s="6">
        <f ca="1">$M$310*$Z$310</f>
        <v>3605.3655295951644</v>
      </c>
      <c r="AG310" s="6">
        <f>$O$310*$AA$310</f>
        <v>1305.3463726395364</v>
      </c>
    </row>
    <row r="311" spans="1:33" ht="11.25" customHeight="1" x14ac:dyDescent="0.25">
      <c r="A311" s="4" t="s">
        <v>21</v>
      </c>
      <c r="B311" s="4" t="s">
        <v>33</v>
      </c>
      <c r="C311" s="4" t="s">
        <v>34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44682</v>
      </c>
      <c r="J311" s="6">
        <v>0</v>
      </c>
      <c r="K311" s="6">
        <v>0</v>
      </c>
      <c r="L311" s="6">
        <v>76.406999999999996</v>
      </c>
      <c r="M311" s="6">
        <v>76.406999999999996</v>
      </c>
      <c r="N311" s="6">
        <v>76.406999999999996</v>
      </c>
      <c r="O311" s="6">
        <v>76.406999999999996</v>
      </c>
      <c r="P311" s="6">
        <v>0</v>
      </c>
      <c r="Q311" s="4" t="s">
        <v>26</v>
      </c>
      <c r="R311" s="4">
        <v>0</v>
      </c>
      <c r="S311" s="6">
        <v>0</v>
      </c>
      <c r="T311" s="6">
        <v>19</v>
      </c>
      <c r="U311" s="6">
        <v>65</v>
      </c>
      <c r="V311" s="6">
        <f>IF(ISERROR(VLOOKUP($S$311,'TAR FIN'!$A$1:$O$103,15,0)),0,VLOOKUP($S$311,'TAR FIN'!$A$1:$O$103,15,0))</f>
        <v>0</v>
      </c>
      <c r="W311" s="6">
        <f>IF(ISERROR(VLOOKUP($T$311,'TAR FIN'!$A$1:$O$103,15,0)),0,VLOOKUP($T$311,'TAR FIN'!$A$1:$O$103,15,0))</f>
        <v>842.31</v>
      </c>
      <c r="X311" s="6">
        <f>IF(ISERROR(VLOOKUP($U$311,'TAR FIN'!$A$1:$O$103,15,0)),0,VLOOKUP($U$311,'TAR FIN'!$A$1:$O$103,15,0))</f>
        <v>454.9</v>
      </c>
      <c r="Y311" s="6"/>
      <c r="Z311" s="6">
        <f ca="1">('TUSD BE'!$AM$21+'TUSD BF'!$AM$21+'TUSD CVA'!$AM$21)*1</f>
        <v>1146.3801365962368</v>
      </c>
      <c r="AA311" s="6">
        <f>('TE BE'!$AB$8+'TE BF'!$AB$8+'TE CVA'!$AB$8)*1</f>
        <v>415.05449050541699</v>
      </c>
      <c r="AB311" s="6">
        <f>$K$311*$V$311</f>
        <v>0</v>
      </c>
      <c r="AC311" s="6">
        <f>$M$311*$W$311</f>
        <v>64358.380169999989</v>
      </c>
      <c r="AD311" s="6">
        <f>$O$311*$X$311</f>
        <v>34757.544299999994</v>
      </c>
      <c r="AE311" s="6">
        <f>$K$311*$Y$311</f>
        <v>0</v>
      </c>
      <c r="AF311" s="6">
        <f ca="1">$M$311*$Z$311</f>
        <v>87591.467096908658</v>
      </c>
      <c r="AG311" s="6">
        <f>$O$311*$AA$311</f>
        <v>31713.068456047396</v>
      </c>
    </row>
    <row r="312" spans="1:33" ht="11.25" customHeight="1" x14ac:dyDescent="0.25">
      <c r="A312" s="4" t="s">
        <v>21</v>
      </c>
      <c r="B312" s="4" t="s">
        <v>33</v>
      </c>
      <c r="C312" s="4" t="s">
        <v>34</v>
      </c>
      <c r="D312" s="4" t="s">
        <v>40</v>
      </c>
      <c r="E312" s="4" t="s">
        <v>25</v>
      </c>
      <c r="F312" s="4" t="s">
        <v>54</v>
      </c>
      <c r="G312" s="4" t="s">
        <v>25</v>
      </c>
      <c r="H312" s="4" t="s">
        <v>35</v>
      </c>
      <c r="I312" s="5">
        <v>44348</v>
      </c>
      <c r="J312" s="6">
        <v>0</v>
      </c>
      <c r="K312" s="6">
        <v>0</v>
      </c>
      <c r="L312" s="6">
        <v>2193.7249999999999</v>
      </c>
      <c r="M312" s="6">
        <v>2193.7249999999999</v>
      </c>
      <c r="N312" s="6">
        <v>0</v>
      </c>
      <c r="O312" s="6">
        <v>0</v>
      </c>
      <c r="P312" s="6">
        <v>0</v>
      </c>
      <c r="Q312" s="4" t="s">
        <v>53</v>
      </c>
      <c r="R312" s="4">
        <v>0</v>
      </c>
      <c r="S312" s="6">
        <v>0</v>
      </c>
      <c r="T312" s="6">
        <v>20</v>
      </c>
      <c r="U312" s="6">
        <v>0</v>
      </c>
      <c r="V312" s="6">
        <f>IF(ISERROR(VLOOKUP($S$312,'TAR FIN'!$A$1:$O$103,15,0)),0,VLOOKUP($S$312,'TAR FIN'!$A$1:$O$103,15,0))</f>
        <v>0</v>
      </c>
      <c r="W312" s="6">
        <f>IF(ISERROR(VLOOKUP($T$312,'TAR FIN'!$A$1:$O$103,15,0)),0,VLOOKUP($T$312,'TAR FIN'!$A$1:$O$103,15,0))</f>
        <v>69.37</v>
      </c>
      <c r="X312" s="6">
        <f>IF(ISERROR(VLOOKUP($U$312,'TAR FIN'!$A$1:$O$103,15,0)),0,VLOOKUP($U$312,'TAR FIN'!$A$1:$O$103,15,0))</f>
        <v>0</v>
      </c>
      <c r="Y312" s="6"/>
      <c r="Z312" s="6">
        <f ca="1">('TUSD BE'!$AM$22+'TUSD BF'!$AM$22+'TUSD CVA'!$AM$22)*1</f>
        <v>111.236500713561</v>
      </c>
      <c r="AA312" s="6"/>
      <c r="AB312" s="6">
        <f>$K$312*$V$312</f>
        <v>0</v>
      </c>
      <c r="AC312" s="6">
        <f>$M$312*$W$312</f>
        <v>152178.70324999999</v>
      </c>
      <c r="AD312" s="6">
        <f>$O$312*$X$312</f>
        <v>0</v>
      </c>
      <c r="AE312" s="6">
        <f>$K$312*$Y$312</f>
        <v>0</v>
      </c>
      <c r="AF312" s="6">
        <f ca="1">$M$312*$Z$312</f>
        <v>244022.2925278566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33</v>
      </c>
      <c r="C313" s="4" t="s">
        <v>34</v>
      </c>
      <c r="D313" s="4" t="s">
        <v>40</v>
      </c>
      <c r="E313" s="4" t="s">
        <v>25</v>
      </c>
      <c r="F313" s="4" t="s">
        <v>54</v>
      </c>
      <c r="G313" s="4" t="s">
        <v>25</v>
      </c>
      <c r="H313" s="4" t="s">
        <v>35</v>
      </c>
      <c r="I313" s="5">
        <v>44378</v>
      </c>
      <c r="J313" s="6">
        <v>0</v>
      </c>
      <c r="K313" s="6">
        <v>0</v>
      </c>
      <c r="L313" s="6">
        <v>2078.8359999999998</v>
      </c>
      <c r="M313" s="6">
        <v>2078.8359999999998</v>
      </c>
      <c r="N313" s="6">
        <v>0</v>
      </c>
      <c r="O313" s="6">
        <v>0</v>
      </c>
      <c r="P313" s="6">
        <v>0</v>
      </c>
      <c r="Q313" s="4" t="s">
        <v>53</v>
      </c>
      <c r="R313" s="4">
        <v>0</v>
      </c>
      <c r="S313" s="6">
        <v>0</v>
      </c>
      <c r="T313" s="6">
        <v>20</v>
      </c>
      <c r="U313" s="6">
        <v>0</v>
      </c>
      <c r="V313" s="6">
        <f>IF(ISERROR(VLOOKUP($S$313,'TAR FIN'!$A$1:$O$103,15,0)),0,VLOOKUP($S$313,'TAR FIN'!$A$1:$O$103,15,0))</f>
        <v>0</v>
      </c>
      <c r="W313" s="6">
        <f>IF(ISERROR(VLOOKUP($T$313,'TAR FIN'!$A$1:$O$103,15,0)),0,VLOOKUP($T$313,'TAR FIN'!$A$1:$O$103,15,0))</f>
        <v>69.37</v>
      </c>
      <c r="X313" s="6">
        <f>IF(ISERROR(VLOOKUP($U$313,'TAR FIN'!$A$1:$O$103,15,0)),0,VLOOKUP($U$313,'TAR FIN'!$A$1:$O$103,15,0))</f>
        <v>0</v>
      </c>
      <c r="Y313" s="6"/>
      <c r="Z313" s="6">
        <f ca="1">('TUSD BE'!$AM$22+'TUSD BF'!$AM$22+'TUSD CVA'!$AM$22)*1</f>
        <v>111.236500713561</v>
      </c>
      <c r="AA313" s="6"/>
      <c r="AB313" s="6">
        <f>$K$313*$V$313</f>
        <v>0</v>
      </c>
      <c r="AC313" s="6">
        <f>$M$313*$W$313</f>
        <v>144208.85331999999</v>
      </c>
      <c r="AD313" s="6">
        <f>$O$313*$X$313</f>
        <v>0</v>
      </c>
      <c r="AE313" s="6">
        <f>$K$313*$Y$313</f>
        <v>0</v>
      </c>
      <c r="AF313" s="6">
        <f ca="1">$M$313*$Z$313</f>
        <v>231242.44219737628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33</v>
      </c>
      <c r="C314" s="4" t="s">
        <v>34</v>
      </c>
      <c r="D314" s="4" t="s">
        <v>40</v>
      </c>
      <c r="E314" s="4" t="s">
        <v>25</v>
      </c>
      <c r="F314" s="4" t="s">
        <v>54</v>
      </c>
      <c r="G314" s="4" t="s">
        <v>25</v>
      </c>
      <c r="H314" s="4" t="s">
        <v>35</v>
      </c>
      <c r="I314" s="5">
        <v>44409</v>
      </c>
      <c r="J314" s="6">
        <v>0</v>
      </c>
      <c r="K314" s="6">
        <v>0</v>
      </c>
      <c r="L314" s="6">
        <v>2262.5709999999999</v>
      </c>
      <c r="M314" s="6">
        <v>2262.5709999999999</v>
      </c>
      <c r="N314" s="6">
        <v>0</v>
      </c>
      <c r="O314" s="6">
        <v>0</v>
      </c>
      <c r="P314" s="6">
        <v>0</v>
      </c>
      <c r="Q314" s="4" t="s">
        <v>53</v>
      </c>
      <c r="R314" s="4">
        <v>0</v>
      </c>
      <c r="S314" s="6">
        <v>0</v>
      </c>
      <c r="T314" s="6">
        <v>20</v>
      </c>
      <c r="U314" s="6">
        <v>0</v>
      </c>
      <c r="V314" s="6">
        <f>IF(ISERROR(VLOOKUP($S$314,'TAR FIN'!$A$1:$O$103,15,0)),0,VLOOKUP($S$314,'TAR FIN'!$A$1:$O$103,15,0))</f>
        <v>0</v>
      </c>
      <c r="W314" s="6">
        <f>IF(ISERROR(VLOOKUP($T$314,'TAR FIN'!$A$1:$O$103,15,0)),0,VLOOKUP($T$314,'TAR FIN'!$A$1:$O$103,15,0))</f>
        <v>69.37</v>
      </c>
      <c r="X314" s="6">
        <f>IF(ISERROR(VLOOKUP($U$314,'TAR FIN'!$A$1:$O$103,15,0)),0,VLOOKUP($U$314,'TAR FIN'!$A$1:$O$103,15,0))</f>
        <v>0</v>
      </c>
      <c r="Y314" s="6"/>
      <c r="Z314" s="6">
        <f ca="1">('TUSD BE'!$AM$22+'TUSD BF'!$AM$22+'TUSD CVA'!$AM$22)*1</f>
        <v>111.236500713561</v>
      </c>
      <c r="AA314" s="6"/>
      <c r="AB314" s="6">
        <f>$K$314*$V$314</f>
        <v>0</v>
      </c>
      <c r="AC314" s="6">
        <f>$M$314*$W$314</f>
        <v>156954.55027000001</v>
      </c>
      <c r="AD314" s="6">
        <f>$O$314*$X$314</f>
        <v>0</v>
      </c>
      <c r="AE314" s="6">
        <f>$K$314*$Y$314</f>
        <v>0</v>
      </c>
      <c r="AF314" s="6">
        <f ca="1">$M$314*$Z$314</f>
        <v>251680.48065598242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33</v>
      </c>
      <c r="C315" s="4" t="s">
        <v>34</v>
      </c>
      <c r="D315" s="4" t="s">
        <v>40</v>
      </c>
      <c r="E315" s="4" t="s">
        <v>25</v>
      </c>
      <c r="F315" s="4" t="s">
        <v>54</v>
      </c>
      <c r="G315" s="4" t="s">
        <v>25</v>
      </c>
      <c r="H315" s="4" t="s">
        <v>35</v>
      </c>
      <c r="I315" s="5">
        <v>44440</v>
      </c>
      <c r="J315" s="6">
        <v>0</v>
      </c>
      <c r="K315" s="6">
        <v>0</v>
      </c>
      <c r="L315" s="6">
        <v>1877.665</v>
      </c>
      <c r="M315" s="6">
        <v>1877.665</v>
      </c>
      <c r="N315" s="6">
        <v>0</v>
      </c>
      <c r="O315" s="6">
        <v>0</v>
      </c>
      <c r="P315" s="6">
        <v>0</v>
      </c>
      <c r="Q315" s="4" t="s">
        <v>53</v>
      </c>
      <c r="R315" s="4">
        <v>0</v>
      </c>
      <c r="S315" s="6">
        <v>0</v>
      </c>
      <c r="T315" s="6">
        <v>20</v>
      </c>
      <c r="U315" s="6">
        <v>0</v>
      </c>
      <c r="V315" s="6">
        <f>IF(ISERROR(VLOOKUP($S$315,'TAR FIN'!$A$1:$O$103,15,0)),0,VLOOKUP($S$315,'TAR FIN'!$A$1:$O$103,15,0))</f>
        <v>0</v>
      </c>
      <c r="W315" s="6">
        <f>IF(ISERROR(VLOOKUP($T$315,'TAR FIN'!$A$1:$O$103,15,0)),0,VLOOKUP($T$315,'TAR FIN'!$A$1:$O$103,15,0))</f>
        <v>69.37</v>
      </c>
      <c r="X315" s="6">
        <f>IF(ISERROR(VLOOKUP($U$315,'TAR FIN'!$A$1:$O$103,15,0)),0,VLOOKUP($U$315,'TAR FIN'!$A$1:$O$103,15,0))</f>
        <v>0</v>
      </c>
      <c r="Y315" s="6"/>
      <c r="Z315" s="6">
        <f ca="1">('TUSD BE'!$AM$22+'TUSD BF'!$AM$22+'TUSD CVA'!$AM$22)*1</f>
        <v>111.236500713561</v>
      </c>
      <c r="AA315" s="6"/>
      <c r="AB315" s="6">
        <f>$K$315*$V$315</f>
        <v>0</v>
      </c>
      <c r="AC315" s="6">
        <f>$M$315*$W$315</f>
        <v>130253.62105</v>
      </c>
      <c r="AD315" s="6">
        <f>$O$315*$X$315</f>
        <v>0</v>
      </c>
      <c r="AE315" s="6">
        <f>$K$315*$Y$315</f>
        <v>0</v>
      </c>
      <c r="AF315" s="6">
        <f ca="1">$M$315*$Z$315</f>
        <v>208864.88411232852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33</v>
      </c>
      <c r="C316" s="4" t="s">
        <v>34</v>
      </c>
      <c r="D316" s="4" t="s">
        <v>40</v>
      </c>
      <c r="E316" s="4" t="s">
        <v>25</v>
      </c>
      <c r="F316" s="4" t="s">
        <v>54</v>
      </c>
      <c r="G316" s="4" t="s">
        <v>25</v>
      </c>
      <c r="H316" s="4" t="s">
        <v>35</v>
      </c>
      <c r="I316" s="5">
        <v>44470</v>
      </c>
      <c r="J316" s="6">
        <v>0</v>
      </c>
      <c r="K316" s="6">
        <v>0</v>
      </c>
      <c r="L316" s="6">
        <v>2452.4029999999998</v>
      </c>
      <c r="M316" s="6">
        <v>2452.4029999999998</v>
      </c>
      <c r="N316" s="6">
        <v>0</v>
      </c>
      <c r="O316" s="6">
        <v>0</v>
      </c>
      <c r="P316" s="6">
        <v>0</v>
      </c>
      <c r="Q316" s="4" t="s">
        <v>53</v>
      </c>
      <c r="R316" s="4">
        <v>0</v>
      </c>
      <c r="S316" s="6">
        <v>0</v>
      </c>
      <c r="T316" s="6">
        <v>20</v>
      </c>
      <c r="U316" s="6">
        <v>0</v>
      </c>
      <c r="V316" s="6">
        <f>IF(ISERROR(VLOOKUP($S$316,'TAR FIN'!$A$1:$O$103,15,0)),0,VLOOKUP($S$316,'TAR FIN'!$A$1:$O$103,15,0))</f>
        <v>0</v>
      </c>
      <c r="W316" s="6">
        <f>IF(ISERROR(VLOOKUP($T$316,'TAR FIN'!$A$1:$O$103,15,0)),0,VLOOKUP($T$316,'TAR FIN'!$A$1:$O$103,15,0))</f>
        <v>69.37</v>
      </c>
      <c r="X316" s="6">
        <f>IF(ISERROR(VLOOKUP($U$316,'TAR FIN'!$A$1:$O$103,15,0)),0,VLOOKUP($U$316,'TAR FIN'!$A$1:$O$103,15,0))</f>
        <v>0</v>
      </c>
      <c r="Y316" s="6"/>
      <c r="Z316" s="6">
        <f ca="1">('TUSD BE'!$AM$22+'TUSD BF'!$AM$22+'TUSD CVA'!$AM$22)*1</f>
        <v>111.236500713561</v>
      </c>
      <c r="AA316" s="6"/>
      <c r="AB316" s="6">
        <f>$K$316*$V$316</f>
        <v>0</v>
      </c>
      <c r="AC316" s="6">
        <f>$M$316*$W$316</f>
        <v>170123.19610999999</v>
      </c>
      <c r="AD316" s="6">
        <f>$O$316*$X$316</f>
        <v>0</v>
      </c>
      <c r="AE316" s="6">
        <f>$K$316*$Y$316</f>
        <v>0</v>
      </c>
      <c r="AF316" s="6">
        <f ca="1">$M$316*$Z$316</f>
        <v>272796.7280594391</v>
      </c>
      <c r="AG316" s="6">
        <f>$O$316*$AA$316</f>
        <v>0</v>
      </c>
    </row>
    <row r="317" spans="1:33" ht="11.25" customHeight="1" x14ac:dyDescent="0.25">
      <c r="A317" s="4" t="s">
        <v>21</v>
      </c>
      <c r="B317" s="4" t="s">
        <v>33</v>
      </c>
      <c r="C317" s="4" t="s">
        <v>34</v>
      </c>
      <c r="D317" s="4" t="s">
        <v>40</v>
      </c>
      <c r="E317" s="4" t="s">
        <v>25</v>
      </c>
      <c r="F317" s="4" t="s">
        <v>54</v>
      </c>
      <c r="G317" s="4" t="s">
        <v>25</v>
      </c>
      <c r="H317" s="4" t="s">
        <v>35</v>
      </c>
      <c r="I317" s="5">
        <v>44501</v>
      </c>
      <c r="J317" s="6">
        <v>0</v>
      </c>
      <c r="K317" s="6">
        <v>0</v>
      </c>
      <c r="L317" s="6">
        <v>2507.5810000000001</v>
      </c>
      <c r="M317" s="6">
        <v>2507.5810000000001</v>
      </c>
      <c r="N317" s="6">
        <v>0</v>
      </c>
      <c r="O317" s="6">
        <v>0</v>
      </c>
      <c r="P317" s="6">
        <v>0</v>
      </c>
      <c r="Q317" s="4" t="s">
        <v>53</v>
      </c>
      <c r="R317" s="4">
        <v>0</v>
      </c>
      <c r="S317" s="6">
        <v>0</v>
      </c>
      <c r="T317" s="6">
        <v>20</v>
      </c>
      <c r="U317" s="6">
        <v>0</v>
      </c>
      <c r="V317" s="6">
        <f>IF(ISERROR(VLOOKUP($S$317,'TAR FIN'!$A$1:$O$103,15,0)),0,VLOOKUP($S$317,'TAR FIN'!$A$1:$O$103,15,0))</f>
        <v>0</v>
      </c>
      <c r="W317" s="6">
        <f>IF(ISERROR(VLOOKUP($T$317,'TAR FIN'!$A$1:$O$103,15,0)),0,VLOOKUP($T$317,'TAR FIN'!$A$1:$O$103,15,0))</f>
        <v>69.37</v>
      </c>
      <c r="X317" s="6">
        <f>IF(ISERROR(VLOOKUP($U$317,'TAR FIN'!$A$1:$O$103,15,0)),0,VLOOKUP($U$317,'TAR FIN'!$A$1:$O$103,15,0))</f>
        <v>0</v>
      </c>
      <c r="Y317" s="6"/>
      <c r="Z317" s="6">
        <f ca="1">('TUSD BE'!$AM$22+'TUSD BF'!$AM$22+'TUSD CVA'!$AM$22)*1</f>
        <v>111.236500713561</v>
      </c>
      <c r="AA317" s="6"/>
      <c r="AB317" s="6">
        <f>$K$317*$V$317</f>
        <v>0</v>
      </c>
      <c r="AC317" s="6">
        <f>$M$317*$W$317</f>
        <v>173950.89397000003</v>
      </c>
      <c r="AD317" s="6">
        <f>$O$317*$X$317</f>
        <v>0</v>
      </c>
      <c r="AE317" s="6">
        <f>$K$317*$Y$317</f>
        <v>0</v>
      </c>
      <c r="AF317" s="6">
        <f ca="1">$M$317*$Z$317</f>
        <v>278934.53569581202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33</v>
      </c>
      <c r="C318" s="4" t="s">
        <v>34</v>
      </c>
      <c r="D318" s="4" t="s">
        <v>40</v>
      </c>
      <c r="E318" s="4" t="s">
        <v>25</v>
      </c>
      <c r="F318" s="4" t="s">
        <v>54</v>
      </c>
      <c r="G318" s="4" t="s">
        <v>25</v>
      </c>
      <c r="H318" s="4" t="s">
        <v>35</v>
      </c>
      <c r="I318" s="5">
        <v>44531</v>
      </c>
      <c r="J318" s="6">
        <v>0</v>
      </c>
      <c r="K318" s="6">
        <v>0</v>
      </c>
      <c r="L318" s="6">
        <v>2568.9499999999998</v>
      </c>
      <c r="M318" s="6">
        <v>2568.9499999999998</v>
      </c>
      <c r="N318" s="6">
        <v>0</v>
      </c>
      <c r="O318" s="6">
        <v>0</v>
      </c>
      <c r="P318" s="6">
        <v>0</v>
      </c>
      <c r="Q318" s="4" t="s">
        <v>53</v>
      </c>
      <c r="R318" s="4">
        <v>0</v>
      </c>
      <c r="S318" s="6">
        <v>0</v>
      </c>
      <c r="T318" s="6">
        <v>20</v>
      </c>
      <c r="U318" s="6">
        <v>0</v>
      </c>
      <c r="V318" s="6">
        <f>IF(ISERROR(VLOOKUP($S$318,'TAR FIN'!$A$1:$O$103,15,0)),0,VLOOKUP($S$318,'TAR FIN'!$A$1:$O$103,15,0))</f>
        <v>0</v>
      </c>
      <c r="W318" s="6">
        <f>IF(ISERROR(VLOOKUP($T$318,'TAR FIN'!$A$1:$O$103,15,0)),0,VLOOKUP($T$318,'TAR FIN'!$A$1:$O$103,15,0))</f>
        <v>69.37</v>
      </c>
      <c r="X318" s="6">
        <f>IF(ISERROR(VLOOKUP($U$318,'TAR FIN'!$A$1:$O$103,15,0)),0,VLOOKUP($U$318,'TAR FIN'!$A$1:$O$103,15,0))</f>
        <v>0</v>
      </c>
      <c r="Y318" s="6"/>
      <c r="Z318" s="6">
        <f ca="1">('TUSD BE'!$AM$22+'TUSD BF'!$AM$22+'TUSD CVA'!$AM$22)*1</f>
        <v>111.236500713561</v>
      </c>
      <c r="AA318" s="6"/>
      <c r="AB318" s="6">
        <f>$K$318*$V$318</f>
        <v>0</v>
      </c>
      <c r="AC318" s="6">
        <f>$M$318*$W$318</f>
        <v>178208.06150000001</v>
      </c>
      <c r="AD318" s="6">
        <f>$O$318*$X$318</f>
        <v>0</v>
      </c>
      <c r="AE318" s="6">
        <f>$K$318*$Y$318</f>
        <v>0</v>
      </c>
      <c r="AF318" s="6">
        <f ca="1">$M$318*$Z$318</f>
        <v>285761.0085081025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33</v>
      </c>
      <c r="C319" s="4" t="s">
        <v>34</v>
      </c>
      <c r="D319" s="4" t="s">
        <v>40</v>
      </c>
      <c r="E319" s="4" t="s">
        <v>25</v>
      </c>
      <c r="F319" s="4" t="s">
        <v>54</v>
      </c>
      <c r="G319" s="4" t="s">
        <v>25</v>
      </c>
      <c r="H319" s="4" t="s">
        <v>35</v>
      </c>
      <c r="I319" s="5">
        <v>44562</v>
      </c>
      <c r="J319" s="6">
        <v>0</v>
      </c>
      <c r="K319" s="6">
        <v>0</v>
      </c>
      <c r="L319" s="6">
        <v>2392.5479999999998</v>
      </c>
      <c r="M319" s="6">
        <v>2392.5479999999998</v>
      </c>
      <c r="N319" s="6">
        <v>0</v>
      </c>
      <c r="O319" s="6">
        <v>0</v>
      </c>
      <c r="P319" s="6">
        <v>0</v>
      </c>
      <c r="Q319" s="4" t="s">
        <v>53</v>
      </c>
      <c r="R319" s="4">
        <v>0</v>
      </c>
      <c r="S319" s="6">
        <v>0</v>
      </c>
      <c r="T319" s="6">
        <v>20</v>
      </c>
      <c r="U319" s="6">
        <v>0</v>
      </c>
      <c r="V319" s="6">
        <f>IF(ISERROR(VLOOKUP($S$319,'TAR FIN'!$A$1:$O$103,15,0)),0,VLOOKUP($S$319,'TAR FIN'!$A$1:$O$103,15,0))</f>
        <v>0</v>
      </c>
      <c r="W319" s="6">
        <f>IF(ISERROR(VLOOKUP($T$319,'TAR FIN'!$A$1:$O$103,15,0)),0,VLOOKUP($T$319,'TAR FIN'!$A$1:$O$103,15,0))</f>
        <v>69.37</v>
      </c>
      <c r="X319" s="6">
        <f>IF(ISERROR(VLOOKUP($U$319,'TAR FIN'!$A$1:$O$103,15,0)),0,VLOOKUP($U$319,'TAR FIN'!$A$1:$O$103,15,0))</f>
        <v>0</v>
      </c>
      <c r="Y319" s="6"/>
      <c r="Z319" s="6">
        <f ca="1">('TUSD BE'!$AM$22+'TUSD BF'!$AM$22+'TUSD CVA'!$AM$22)*1</f>
        <v>111.236500713561</v>
      </c>
      <c r="AA319" s="6"/>
      <c r="AB319" s="6">
        <f>$K$319*$V$319</f>
        <v>0</v>
      </c>
      <c r="AC319" s="6">
        <f>$M$319*$W$319</f>
        <v>165971.05476</v>
      </c>
      <c r="AD319" s="6">
        <f>$O$319*$X$319</f>
        <v>0</v>
      </c>
      <c r="AE319" s="6">
        <f>$K$319*$Y$319</f>
        <v>0</v>
      </c>
      <c r="AF319" s="6">
        <f ca="1">$M$319*$Z$319</f>
        <v>266138.66730922891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33</v>
      </c>
      <c r="C320" s="4" t="s">
        <v>34</v>
      </c>
      <c r="D320" s="4" t="s">
        <v>40</v>
      </c>
      <c r="E320" s="4" t="s">
        <v>25</v>
      </c>
      <c r="F320" s="4" t="s">
        <v>54</v>
      </c>
      <c r="G320" s="4" t="s">
        <v>25</v>
      </c>
      <c r="H320" s="4" t="s">
        <v>35</v>
      </c>
      <c r="I320" s="5">
        <v>44593</v>
      </c>
      <c r="J320" s="6">
        <v>0</v>
      </c>
      <c r="K320" s="6">
        <v>0</v>
      </c>
      <c r="L320" s="6">
        <v>2477.0079999999998</v>
      </c>
      <c r="M320" s="6">
        <v>2477.0079999999998</v>
      </c>
      <c r="N320" s="6">
        <v>0</v>
      </c>
      <c r="O320" s="6">
        <v>0</v>
      </c>
      <c r="P320" s="6">
        <v>0</v>
      </c>
      <c r="Q320" s="4" t="s">
        <v>53</v>
      </c>
      <c r="R320" s="4">
        <v>0</v>
      </c>
      <c r="S320" s="6">
        <v>0</v>
      </c>
      <c r="T320" s="6">
        <v>20</v>
      </c>
      <c r="U320" s="6">
        <v>0</v>
      </c>
      <c r="V320" s="6">
        <f>IF(ISERROR(VLOOKUP($S$320,'TAR FIN'!$A$1:$O$103,15,0)),0,VLOOKUP($S$320,'TAR FIN'!$A$1:$O$103,15,0))</f>
        <v>0</v>
      </c>
      <c r="W320" s="6">
        <f>IF(ISERROR(VLOOKUP($T$320,'TAR FIN'!$A$1:$O$103,15,0)),0,VLOOKUP($T$320,'TAR FIN'!$A$1:$O$103,15,0))</f>
        <v>69.37</v>
      </c>
      <c r="X320" s="6">
        <f>IF(ISERROR(VLOOKUP($U$320,'TAR FIN'!$A$1:$O$103,15,0)),0,VLOOKUP($U$320,'TAR FIN'!$A$1:$O$103,15,0))</f>
        <v>0</v>
      </c>
      <c r="Y320" s="6"/>
      <c r="Z320" s="6">
        <f ca="1">('TUSD BE'!$AM$22+'TUSD BF'!$AM$22+'TUSD CVA'!$AM$22)*1</f>
        <v>111.236500713561</v>
      </c>
      <c r="AA320" s="6"/>
      <c r="AB320" s="6">
        <f>$K$320*$V$320</f>
        <v>0</v>
      </c>
      <c r="AC320" s="6">
        <f>$M$320*$W$320</f>
        <v>171830.04496</v>
      </c>
      <c r="AD320" s="6">
        <f>$O$320*$X$320</f>
        <v>0</v>
      </c>
      <c r="AE320" s="6">
        <f>$K$320*$Y$320</f>
        <v>0</v>
      </c>
      <c r="AF320" s="6">
        <f ca="1">$M$320*$Z$320</f>
        <v>275533.70215949626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33</v>
      </c>
      <c r="C321" s="4" t="s">
        <v>34</v>
      </c>
      <c r="D321" s="4" t="s">
        <v>40</v>
      </c>
      <c r="E321" s="4" t="s">
        <v>25</v>
      </c>
      <c r="F321" s="4" t="s">
        <v>54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2495.9270000000001</v>
      </c>
      <c r="M321" s="6">
        <v>2495.9270000000001</v>
      </c>
      <c r="N321" s="6">
        <v>0</v>
      </c>
      <c r="O321" s="6">
        <v>0</v>
      </c>
      <c r="P321" s="6">
        <v>0</v>
      </c>
      <c r="Q321" s="4" t="s">
        <v>53</v>
      </c>
      <c r="R321" s="4">
        <v>0</v>
      </c>
      <c r="S321" s="6">
        <v>0</v>
      </c>
      <c r="T321" s="6">
        <v>20</v>
      </c>
      <c r="U321" s="6">
        <v>0</v>
      </c>
      <c r="V321" s="6">
        <f>IF(ISERROR(VLOOKUP($S$321,'TAR FIN'!$A$1:$O$103,15,0)),0,VLOOKUP($S$321,'TAR FIN'!$A$1:$O$103,15,0))</f>
        <v>0</v>
      </c>
      <c r="W321" s="6">
        <f>IF(ISERROR(VLOOKUP($T$321,'TAR FIN'!$A$1:$O$103,15,0)),0,VLOOKUP($T$321,'TAR FIN'!$A$1:$O$103,15,0))</f>
        <v>69.37</v>
      </c>
      <c r="X321" s="6">
        <f>IF(ISERROR(VLOOKUP($U$321,'TAR FIN'!$A$1:$O$103,15,0)),0,VLOOKUP($U$321,'TAR FIN'!$A$1:$O$103,15,0))</f>
        <v>0</v>
      </c>
      <c r="Y321" s="6"/>
      <c r="Z321" s="6">
        <f ca="1">('TUSD BE'!$AM$22+'TUSD BF'!$AM$22+'TUSD CVA'!$AM$22)*1</f>
        <v>111.236500713561</v>
      </c>
      <c r="AA321" s="6"/>
      <c r="AB321" s="6">
        <f>$K$321*$V$321</f>
        <v>0</v>
      </c>
      <c r="AC321" s="6">
        <f>$M$321*$W$321</f>
        <v>173142.45599000002</v>
      </c>
      <c r="AD321" s="6">
        <f>$O$321*$X$321</f>
        <v>0</v>
      </c>
      <c r="AE321" s="6">
        <f>$K$321*$Y$321</f>
        <v>0</v>
      </c>
      <c r="AF321" s="6">
        <f ca="1">$M$321*$Z$321</f>
        <v>277638.18551649619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33</v>
      </c>
      <c r="C322" s="4" t="s">
        <v>34</v>
      </c>
      <c r="D322" s="4" t="s">
        <v>40</v>
      </c>
      <c r="E322" s="4" t="s">
        <v>25</v>
      </c>
      <c r="F322" s="4" t="s">
        <v>54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2841.056</v>
      </c>
      <c r="M322" s="6">
        <v>2841.056</v>
      </c>
      <c r="N322" s="6">
        <v>0</v>
      </c>
      <c r="O322" s="6">
        <v>0</v>
      </c>
      <c r="P322" s="6">
        <v>0</v>
      </c>
      <c r="Q322" s="4" t="s">
        <v>53</v>
      </c>
      <c r="R322" s="4">
        <v>0</v>
      </c>
      <c r="S322" s="6">
        <v>0</v>
      </c>
      <c r="T322" s="6">
        <v>20</v>
      </c>
      <c r="U322" s="6">
        <v>0</v>
      </c>
      <c r="V322" s="6">
        <f>IF(ISERROR(VLOOKUP($S$322,'TAR FIN'!$A$1:$O$103,15,0)),0,VLOOKUP($S$322,'TAR FIN'!$A$1:$O$103,15,0))</f>
        <v>0</v>
      </c>
      <c r="W322" s="6">
        <f>IF(ISERROR(VLOOKUP($T$322,'TAR FIN'!$A$1:$O$103,15,0)),0,VLOOKUP($T$322,'TAR FIN'!$A$1:$O$103,15,0))</f>
        <v>69.37</v>
      </c>
      <c r="X322" s="6">
        <f>IF(ISERROR(VLOOKUP($U$322,'TAR FIN'!$A$1:$O$103,15,0)),0,VLOOKUP($U$322,'TAR FIN'!$A$1:$O$103,15,0))</f>
        <v>0</v>
      </c>
      <c r="Y322" s="6"/>
      <c r="Z322" s="6">
        <f ca="1">('TUSD BE'!$AM$22+'TUSD BF'!$AM$22+'TUSD CVA'!$AM$22)*1</f>
        <v>111.236500713561</v>
      </c>
      <c r="AA322" s="6"/>
      <c r="AB322" s="6">
        <f>$K$322*$V$322</f>
        <v>0</v>
      </c>
      <c r="AC322" s="6">
        <f>$M$322*$W$322</f>
        <v>197084.05472000001</v>
      </c>
      <c r="AD322" s="6">
        <f>$O$322*$X$322</f>
        <v>0</v>
      </c>
      <c r="AE322" s="6">
        <f>$K$322*$Y$322</f>
        <v>0</v>
      </c>
      <c r="AF322" s="6">
        <f ca="1">$M$322*$Z$322</f>
        <v>316029.12777126674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33</v>
      </c>
      <c r="C323" s="4" t="s">
        <v>34</v>
      </c>
      <c r="D323" s="4" t="s">
        <v>40</v>
      </c>
      <c r="E323" s="4" t="s">
        <v>25</v>
      </c>
      <c r="F323" s="4" t="s">
        <v>54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1900.19</v>
      </c>
      <c r="M323" s="6">
        <v>1900.19</v>
      </c>
      <c r="N323" s="6">
        <v>0</v>
      </c>
      <c r="O323" s="6">
        <v>0</v>
      </c>
      <c r="P323" s="6">
        <v>0</v>
      </c>
      <c r="Q323" s="4" t="s">
        <v>53</v>
      </c>
      <c r="R323" s="4">
        <v>0</v>
      </c>
      <c r="S323" s="6">
        <v>0</v>
      </c>
      <c r="T323" s="6">
        <v>20</v>
      </c>
      <c r="U323" s="6">
        <v>0</v>
      </c>
      <c r="V323" s="6">
        <f>IF(ISERROR(VLOOKUP($S$323,'TAR FIN'!$A$1:$O$103,15,0)),0,VLOOKUP($S$323,'TAR FIN'!$A$1:$O$103,15,0))</f>
        <v>0</v>
      </c>
      <c r="W323" s="6">
        <f>IF(ISERROR(VLOOKUP($T$323,'TAR FIN'!$A$1:$O$103,15,0)),0,VLOOKUP($T$323,'TAR FIN'!$A$1:$O$103,15,0))</f>
        <v>69.37</v>
      </c>
      <c r="X323" s="6">
        <f>IF(ISERROR(VLOOKUP($U$323,'TAR FIN'!$A$1:$O$103,15,0)),0,VLOOKUP($U$323,'TAR FIN'!$A$1:$O$103,15,0))</f>
        <v>0</v>
      </c>
      <c r="Y323" s="6"/>
      <c r="Z323" s="6">
        <f ca="1">('TUSD BE'!$AM$22+'TUSD BF'!$AM$22+'TUSD CVA'!$AM$22)*1</f>
        <v>111.236500713561</v>
      </c>
      <c r="AA323" s="6"/>
      <c r="AB323" s="6">
        <f>$K$323*$V$323</f>
        <v>0</v>
      </c>
      <c r="AC323" s="6">
        <f>$M$323*$W$323</f>
        <v>131816.18030000001</v>
      </c>
      <c r="AD323" s="6">
        <f>$O$323*$X$323</f>
        <v>0</v>
      </c>
      <c r="AE323" s="6">
        <f>$K$323*$Y$323</f>
        <v>0</v>
      </c>
      <c r="AF323" s="6">
        <f ca="1">$M$323*$Z$323</f>
        <v>211370.48629090149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33</v>
      </c>
      <c r="C324" s="4" t="s">
        <v>34</v>
      </c>
      <c r="D324" s="4" t="s">
        <v>40</v>
      </c>
      <c r="E324" s="4" t="s">
        <v>25</v>
      </c>
      <c r="F324" s="4" t="s">
        <v>54</v>
      </c>
      <c r="G324" s="4" t="s">
        <v>25</v>
      </c>
      <c r="H324" s="4" t="s">
        <v>25</v>
      </c>
      <c r="I324" s="5">
        <v>44348</v>
      </c>
      <c r="J324" s="6">
        <v>6743</v>
      </c>
      <c r="K324" s="6">
        <v>3371.5</v>
      </c>
      <c r="L324" s="6">
        <v>0</v>
      </c>
      <c r="M324" s="6">
        <v>0</v>
      </c>
      <c r="N324" s="6">
        <v>0</v>
      </c>
      <c r="O324" s="6">
        <v>0</v>
      </c>
      <c r="P324" s="6">
        <v>10</v>
      </c>
      <c r="Q324" s="4" t="s">
        <v>53</v>
      </c>
      <c r="R324" s="4">
        <v>0</v>
      </c>
      <c r="S324" s="6">
        <v>18</v>
      </c>
      <c r="T324" s="6">
        <v>0</v>
      </c>
      <c r="U324" s="6">
        <v>0</v>
      </c>
      <c r="V324" s="6">
        <f>IF(ISERROR(VLOOKUP($S$324,'TAR FIN'!$A$1:$O$103,15,0)),0,VLOOKUP($S$324,'TAR FIN'!$A$1:$O$103,15,0))</f>
        <v>12.42</v>
      </c>
      <c r="W324" s="6">
        <f>IF(ISERROR(VLOOKUP($T$324,'TAR FIN'!$A$1:$O$103,15,0)),0,VLOOKUP($T$324,'TAR FIN'!$A$1:$O$103,15,0))</f>
        <v>0</v>
      </c>
      <c r="X324" s="6">
        <f>IF(ISERROR(VLOOKUP($U$324,'TAR FIN'!$A$1:$O$103,15,0)),0,VLOOKUP($U$324,'TAR FIN'!$A$1:$O$103,15,0))</f>
        <v>0</v>
      </c>
      <c r="Y324" s="6">
        <f ca="1">('TUSD BE'!$AM$20+'TUSD BF'!$AM$20+'TUSD CVA'!$AM$20)*1</f>
        <v>16.518304697547443</v>
      </c>
      <c r="Z324" s="6"/>
      <c r="AA324" s="6"/>
      <c r="AB324" s="6">
        <f>$K$324*$V$324</f>
        <v>41874.03</v>
      </c>
      <c r="AC324" s="6">
        <f>$M$324*$W$324</f>
        <v>0</v>
      </c>
      <c r="AD324" s="6">
        <f>$O$324*$X$324</f>
        <v>0</v>
      </c>
      <c r="AE324" s="6">
        <f ca="1">$K$324*$Y$324</f>
        <v>55691.4642877812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33</v>
      </c>
      <c r="C325" s="4" t="s">
        <v>34</v>
      </c>
      <c r="D325" s="4" t="s">
        <v>40</v>
      </c>
      <c r="E325" s="4" t="s">
        <v>25</v>
      </c>
      <c r="F325" s="4" t="s">
        <v>54</v>
      </c>
      <c r="G325" s="4" t="s">
        <v>25</v>
      </c>
      <c r="H325" s="4" t="s">
        <v>25</v>
      </c>
      <c r="I325" s="5">
        <v>44378</v>
      </c>
      <c r="J325" s="6">
        <v>6840</v>
      </c>
      <c r="K325" s="6">
        <v>3420</v>
      </c>
      <c r="L325" s="6">
        <v>0</v>
      </c>
      <c r="M325" s="6">
        <v>0</v>
      </c>
      <c r="N325" s="6">
        <v>0</v>
      </c>
      <c r="O325" s="6">
        <v>0</v>
      </c>
      <c r="P325" s="6">
        <v>10</v>
      </c>
      <c r="Q325" s="4" t="s">
        <v>53</v>
      </c>
      <c r="R325" s="4">
        <v>0</v>
      </c>
      <c r="S325" s="6">
        <v>18</v>
      </c>
      <c r="T325" s="6">
        <v>0</v>
      </c>
      <c r="U325" s="6">
        <v>0</v>
      </c>
      <c r="V325" s="6">
        <f>IF(ISERROR(VLOOKUP($S$325,'TAR FIN'!$A$1:$O$103,15,0)),0,VLOOKUP($S$325,'TAR FIN'!$A$1:$O$103,15,0))</f>
        <v>12.42</v>
      </c>
      <c r="W325" s="6">
        <f>IF(ISERROR(VLOOKUP($T$325,'TAR FIN'!$A$1:$O$103,15,0)),0,VLOOKUP($T$325,'TAR FIN'!$A$1:$O$103,15,0))</f>
        <v>0</v>
      </c>
      <c r="X325" s="6">
        <f>IF(ISERROR(VLOOKUP($U$325,'TAR FIN'!$A$1:$O$103,15,0)),0,VLOOKUP($U$325,'TAR FIN'!$A$1:$O$103,15,0))</f>
        <v>0</v>
      </c>
      <c r="Y325" s="6">
        <f ca="1">('TUSD BE'!$AM$20+'TUSD BF'!$AM$20+'TUSD CVA'!$AM$20)*1</f>
        <v>16.518304697547443</v>
      </c>
      <c r="Z325" s="6"/>
      <c r="AA325" s="6"/>
      <c r="AB325" s="6">
        <f>$K$325*$V$325</f>
        <v>42476.4</v>
      </c>
      <c r="AC325" s="6">
        <f>$M$325*$W$325</f>
        <v>0</v>
      </c>
      <c r="AD325" s="6">
        <f>$O$325*$X$325</f>
        <v>0</v>
      </c>
      <c r="AE325" s="6">
        <f ca="1">$K$325*$Y$325</f>
        <v>56492.602065612256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33</v>
      </c>
      <c r="C326" s="4" t="s">
        <v>34</v>
      </c>
      <c r="D326" s="4" t="s">
        <v>40</v>
      </c>
      <c r="E326" s="4" t="s">
        <v>25</v>
      </c>
      <c r="F326" s="4" t="s">
        <v>54</v>
      </c>
      <c r="G326" s="4" t="s">
        <v>25</v>
      </c>
      <c r="H326" s="4" t="s">
        <v>25</v>
      </c>
      <c r="I326" s="5">
        <v>44409</v>
      </c>
      <c r="J326" s="6">
        <v>6855</v>
      </c>
      <c r="K326" s="6">
        <v>3427.5</v>
      </c>
      <c r="L326" s="6">
        <v>0</v>
      </c>
      <c r="M326" s="6">
        <v>0</v>
      </c>
      <c r="N326" s="6">
        <v>0</v>
      </c>
      <c r="O326" s="6">
        <v>0</v>
      </c>
      <c r="P326" s="6">
        <v>10</v>
      </c>
      <c r="Q326" s="4" t="s">
        <v>53</v>
      </c>
      <c r="R326" s="4">
        <v>0</v>
      </c>
      <c r="S326" s="6">
        <v>18</v>
      </c>
      <c r="T326" s="6">
        <v>0</v>
      </c>
      <c r="U326" s="6">
        <v>0</v>
      </c>
      <c r="V326" s="6">
        <f>IF(ISERROR(VLOOKUP($S$326,'TAR FIN'!$A$1:$O$103,15,0)),0,VLOOKUP($S$326,'TAR FIN'!$A$1:$O$103,15,0))</f>
        <v>12.42</v>
      </c>
      <c r="W326" s="6">
        <f>IF(ISERROR(VLOOKUP($T$326,'TAR FIN'!$A$1:$O$103,15,0)),0,VLOOKUP($T$326,'TAR FIN'!$A$1:$O$103,15,0))</f>
        <v>0</v>
      </c>
      <c r="X326" s="6">
        <f>IF(ISERROR(VLOOKUP($U$326,'TAR FIN'!$A$1:$O$103,15,0)),0,VLOOKUP($U$326,'TAR FIN'!$A$1:$O$103,15,0))</f>
        <v>0</v>
      </c>
      <c r="Y326" s="6">
        <f ca="1">('TUSD BE'!$AM$20+'TUSD BF'!$AM$20+'TUSD CVA'!$AM$20)*1</f>
        <v>16.518304697547443</v>
      </c>
      <c r="Z326" s="6"/>
      <c r="AA326" s="6"/>
      <c r="AB326" s="6">
        <f>$K$326*$V$326</f>
        <v>42569.55</v>
      </c>
      <c r="AC326" s="6">
        <f>$M$326*$W$326</f>
        <v>0</v>
      </c>
      <c r="AD326" s="6">
        <f>$O$326*$X$326</f>
        <v>0</v>
      </c>
      <c r="AE326" s="6">
        <f ca="1">$K$326*$Y$326</f>
        <v>56616.489350843862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33</v>
      </c>
      <c r="C327" s="4" t="s">
        <v>34</v>
      </c>
      <c r="D327" s="4" t="s">
        <v>40</v>
      </c>
      <c r="E327" s="4" t="s">
        <v>25</v>
      </c>
      <c r="F327" s="4" t="s">
        <v>54</v>
      </c>
      <c r="G327" s="4" t="s">
        <v>25</v>
      </c>
      <c r="H327" s="4" t="s">
        <v>25</v>
      </c>
      <c r="I327" s="5">
        <v>44440</v>
      </c>
      <c r="J327" s="6">
        <v>5195</v>
      </c>
      <c r="K327" s="6">
        <v>2597.5</v>
      </c>
      <c r="L327" s="6">
        <v>0</v>
      </c>
      <c r="M327" s="6">
        <v>0</v>
      </c>
      <c r="N327" s="6">
        <v>0</v>
      </c>
      <c r="O327" s="6">
        <v>0</v>
      </c>
      <c r="P327" s="6">
        <v>10</v>
      </c>
      <c r="Q327" s="4" t="s">
        <v>53</v>
      </c>
      <c r="R327" s="4">
        <v>0</v>
      </c>
      <c r="S327" s="6">
        <v>18</v>
      </c>
      <c r="T327" s="6">
        <v>0</v>
      </c>
      <c r="U327" s="6">
        <v>0</v>
      </c>
      <c r="V327" s="6">
        <f>IF(ISERROR(VLOOKUP($S$327,'TAR FIN'!$A$1:$O$103,15,0)),0,VLOOKUP($S$327,'TAR FIN'!$A$1:$O$103,15,0))</f>
        <v>12.42</v>
      </c>
      <c r="W327" s="6">
        <f>IF(ISERROR(VLOOKUP($T$327,'TAR FIN'!$A$1:$O$103,15,0)),0,VLOOKUP($T$327,'TAR FIN'!$A$1:$O$103,15,0))</f>
        <v>0</v>
      </c>
      <c r="X327" s="6">
        <f>IF(ISERROR(VLOOKUP($U$327,'TAR FIN'!$A$1:$O$103,15,0)),0,VLOOKUP($U$327,'TAR FIN'!$A$1:$O$103,15,0))</f>
        <v>0</v>
      </c>
      <c r="Y327" s="6">
        <f ca="1">('TUSD BE'!$AM$20+'TUSD BF'!$AM$20+'TUSD CVA'!$AM$20)*1</f>
        <v>16.518304697547443</v>
      </c>
      <c r="Z327" s="6"/>
      <c r="AA327" s="6"/>
      <c r="AB327" s="6">
        <f>$K$327*$V$327</f>
        <v>32260.95</v>
      </c>
      <c r="AC327" s="6">
        <f>$M$327*$W$327</f>
        <v>0</v>
      </c>
      <c r="AD327" s="6">
        <f>$O$327*$X$327</f>
        <v>0</v>
      </c>
      <c r="AE327" s="6">
        <f ca="1">$K$327*$Y$327</f>
        <v>42906.296451879483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33</v>
      </c>
      <c r="C328" s="4" t="s">
        <v>34</v>
      </c>
      <c r="D328" s="4" t="s">
        <v>40</v>
      </c>
      <c r="E328" s="4" t="s">
        <v>25</v>
      </c>
      <c r="F328" s="4" t="s">
        <v>54</v>
      </c>
      <c r="G328" s="4" t="s">
        <v>25</v>
      </c>
      <c r="H328" s="4" t="s">
        <v>25</v>
      </c>
      <c r="I328" s="5">
        <v>44470</v>
      </c>
      <c r="J328" s="6">
        <v>6646</v>
      </c>
      <c r="K328" s="6">
        <v>3323</v>
      </c>
      <c r="L328" s="6">
        <v>0</v>
      </c>
      <c r="M328" s="6">
        <v>0</v>
      </c>
      <c r="N328" s="6">
        <v>0</v>
      </c>
      <c r="O328" s="6">
        <v>0</v>
      </c>
      <c r="P328" s="6">
        <v>11</v>
      </c>
      <c r="Q328" s="4" t="s">
        <v>53</v>
      </c>
      <c r="R328" s="4">
        <v>0</v>
      </c>
      <c r="S328" s="6">
        <v>18</v>
      </c>
      <c r="T328" s="6">
        <v>0</v>
      </c>
      <c r="U328" s="6">
        <v>0</v>
      </c>
      <c r="V328" s="6">
        <f>IF(ISERROR(VLOOKUP($S$328,'TAR FIN'!$A$1:$O$103,15,0)),0,VLOOKUP($S$328,'TAR FIN'!$A$1:$O$103,15,0))</f>
        <v>12.42</v>
      </c>
      <c r="W328" s="6">
        <f>IF(ISERROR(VLOOKUP($T$328,'TAR FIN'!$A$1:$O$103,15,0)),0,VLOOKUP($T$328,'TAR FIN'!$A$1:$O$103,15,0))</f>
        <v>0</v>
      </c>
      <c r="X328" s="6">
        <f>IF(ISERROR(VLOOKUP($U$328,'TAR FIN'!$A$1:$O$103,15,0)),0,VLOOKUP($U$328,'TAR FIN'!$A$1:$O$103,15,0))</f>
        <v>0</v>
      </c>
      <c r="Y328" s="6">
        <f ca="1">('TUSD BE'!$AM$20+'TUSD BF'!$AM$20+'TUSD CVA'!$AM$20)*1</f>
        <v>16.518304697547443</v>
      </c>
      <c r="Z328" s="6"/>
      <c r="AA328" s="6"/>
      <c r="AB328" s="6">
        <f>$K$328*$V$328</f>
        <v>41271.659999999996</v>
      </c>
      <c r="AC328" s="6">
        <f>$M$328*$W$328</f>
        <v>0</v>
      </c>
      <c r="AD328" s="6">
        <f>$O$328*$X$328</f>
        <v>0</v>
      </c>
      <c r="AE328" s="6">
        <f ca="1">$K$328*$Y$328</f>
        <v>54890.326509950151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33</v>
      </c>
      <c r="C329" s="4" t="s">
        <v>34</v>
      </c>
      <c r="D329" s="4" t="s">
        <v>40</v>
      </c>
      <c r="E329" s="4" t="s">
        <v>25</v>
      </c>
      <c r="F329" s="4" t="s">
        <v>54</v>
      </c>
      <c r="G329" s="4" t="s">
        <v>25</v>
      </c>
      <c r="H329" s="4" t="s">
        <v>25</v>
      </c>
      <c r="I329" s="5">
        <v>44501</v>
      </c>
      <c r="J329" s="6">
        <v>6803</v>
      </c>
      <c r="K329" s="6">
        <v>3401.5</v>
      </c>
      <c r="L329" s="6">
        <v>0</v>
      </c>
      <c r="M329" s="6">
        <v>0</v>
      </c>
      <c r="N329" s="6">
        <v>0</v>
      </c>
      <c r="O329" s="6">
        <v>0</v>
      </c>
      <c r="P329" s="6">
        <v>12</v>
      </c>
      <c r="Q329" s="4" t="s">
        <v>53</v>
      </c>
      <c r="R329" s="4">
        <v>0</v>
      </c>
      <c r="S329" s="6">
        <v>18</v>
      </c>
      <c r="T329" s="6">
        <v>0</v>
      </c>
      <c r="U329" s="6">
        <v>0</v>
      </c>
      <c r="V329" s="6">
        <f>IF(ISERROR(VLOOKUP($S$329,'TAR FIN'!$A$1:$O$103,15,0)),0,VLOOKUP($S$329,'TAR FIN'!$A$1:$O$103,15,0))</f>
        <v>12.42</v>
      </c>
      <c r="W329" s="6">
        <f>IF(ISERROR(VLOOKUP($T$329,'TAR FIN'!$A$1:$O$103,15,0)),0,VLOOKUP($T$329,'TAR FIN'!$A$1:$O$103,15,0))</f>
        <v>0</v>
      </c>
      <c r="X329" s="6">
        <f>IF(ISERROR(VLOOKUP($U$329,'TAR FIN'!$A$1:$O$103,15,0)),0,VLOOKUP($U$329,'TAR FIN'!$A$1:$O$103,15,0))</f>
        <v>0</v>
      </c>
      <c r="Y329" s="6">
        <f ca="1">('TUSD BE'!$AM$20+'TUSD BF'!$AM$20+'TUSD CVA'!$AM$20)*1</f>
        <v>16.518304697547443</v>
      </c>
      <c r="Z329" s="6"/>
      <c r="AA329" s="6"/>
      <c r="AB329" s="6">
        <f>$K$329*$V$329</f>
        <v>42246.63</v>
      </c>
      <c r="AC329" s="6">
        <f>$M$329*$W$329</f>
        <v>0</v>
      </c>
      <c r="AD329" s="6">
        <f>$O$329*$X$329</f>
        <v>0</v>
      </c>
      <c r="AE329" s="6">
        <f ca="1">$K$329*$Y$329</f>
        <v>56187.013428707629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33</v>
      </c>
      <c r="C330" s="4" t="s">
        <v>34</v>
      </c>
      <c r="D330" s="4" t="s">
        <v>40</v>
      </c>
      <c r="E330" s="4" t="s">
        <v>25</v>
      </c>
      <c r="F330" s="4" t="s">
        <v>54</v>
      </c>
      <c r="G330" s="4" t="s">
        <v>25</v>
      </c>
      <c r="H330" s="4" t="s">
        <v>25</v>
      </c>
      <c r="I330" s="5">
        <v>44531</v>
      </c>
      <c r="J330" s="6">
        <v>6862</v>
      </c>
      <c r="K330" s="6">
        <v>3431</v>
      </c>
      <c r="L330" s="6">
        <v>0</v>
      </c>
      <c r="M330" s="6">
        <v>0</v>
      </c>
      <c r="N330" s="6">
        <v>0</v>
      </c>
      <c r="O330" s="6">
        <v>0</v>
      </c>
      <c r="P330" s="6">
        <v>12</v>
      </c>
      <c r="Q330" s="4" t="s">
        <v>53</v>
      </c>
      <c r="R330" s="4">
        <v>0</v>
      </c>
      <c r="S330" s="6">
        <v>18</v>
      </c>
      <c r="T330" s="6">
        <v>0</v>
      </c>
      <c r="U330" s="6">
        <v>0</v>
      </c>
      <c r="V330" s="6">
        <f>IF(ISERROR(VLOOKUP($S$330,'TAR FIN'!$A$1:$O$103,15,0)),0,VLOOKUP($S$330,'TAR FIN'!$A$1:$O$103,15,0))</f>
        <v>12.42</v>
      </c>
      <c r="W330" s="6">
        <f>IF(ISERROR(VLOOKUP($T$330,'TAR FIN'!$A$1:$O$103,15,0)),0,VLOOKUP($T$330,'TAR FIN'!$A$1:$O$103,15,0))</f>
        <v>0</v>
      </c>
      <c r="X330" s="6">
        <f>IF(ISERROR(VLOOKUP($U$330,'TAR FIN'!$A$1:$O$103,15,0)),0,VLOOKUP($U$330,'TAR FIN'!$A$1:$O$103,15,0))</f>
        <v>0</v>
      </c>
      <c r="Y330" s="6">
        <f ca="1">('TUSD BE'!$AM$20+'TUSD BF'!$AM$20+'TUSD CVA'!$AM$20)*1</f>
        <v>16.518304697547443</v>
      </c>
      <c r="Z330" s="6"/>
      <c r="AA330" s="6"/>
      <c r="AB330" s="6">
        <f>$K$330*$V$330</f>
        <v>42613.02</v>
      </c>
      <c r="AC330" s="6">
        <f>$M$330*$W$330</f>
        <v>0</v>
      </c>
      <c r="AD330" s="6">
        <f>$O$330*$X$330</f>
        <v>0</v>
      </c>
      <c r="AE330" s="6">
        <f ca="1">$K$330*$Y$330</f>
        <v>56674.303417285279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33</v>
      </c>
      <c r="C331" s="4" t="s">
        <v>34</v>
      </c>
      <c r="D331" s="4" t="s">
        <v>40</v>
      </c>
      <c r="E331" s="4" t="s">
        <v>25</v>
      </c>
      <c r="F331" s="4" t="s">
        <v>54</v>
      </c>
      <c r="G331" s="4" t="s">
        <v>25</v>
      </c>
      <c r="H331" s="4" t="s">
        <v>25</v>
      </c>
      <c r="I331" s="5">
        <v>44562</v>
      </c>
      <c r="J331" s="6">
        <v>6817</v>
      </c>
      <c r="K331" s="6">
        <v>3408.5</v>
      </c>
      <c r="L331" s="6">
        <v>0</v>
      </c>
      <c r="M331" s="6">
        <v>0</v>
      </c>
      <c r="N331" s="6">
        <v>0</v>
      </c>
      <c r="O331" s="6">
        <v>0</v>
      </c>
      <c r="P331" s="6">
        <v>12</v>
      </c>
      <c r="Q331" s="4" t="s">
        <v>53</v>
      </c>
      <c r="R331" s="4">
        <v>0</v>
      </c>
      <c r="S331" s="6">
        <v>18</v>
      </c>
      <c r="T331" s="6">
        <v>0</v>
      </c>
      <c r="U331" s="6">
        <v>0</v>
      </c>
      <c r="V331" s="6">
        <f>IF(ISERROR(VLOOKUP($S$331,'TAR FIN'!$A$1:$O$103,15,0)),0,VLOOKUP($S$331,'TAR FIN'!$A$1:$O$103,15,0))</f>
        <v>12.42</v>
      </c>
      <c r="W331" s="6">
        <f>IF(ISERROR(VLOOKUP($T$331,'TAR FIN'!$A$1:$O$103,15,0)),0,VLOOKUP($T$331,'TAR FIN'!$A$1:$O$103,15,0))</f>
        <v>0</v>
      </c>
      <c r="X331" s="6">
        <f>IF(ISERROR(VLOOKUP($U$331,'TAR FIN'!$A$1:$O$103,15,0)),0,VLOOKUP($U$331,'TAR FIN'!$A$1:$O$103,15,0))</f>
        <v>0</v>
      </c>
      <c r="Y331" s="6">
        <f ca="1">('TUSD BE'!$AM$20+'TUSD BF'!$AM$20+'TUSD CVA'!$AM$20)*1</f>
        <v>16.518304697547443</v>
      </c>
      <c r="Z331" s="6"/>
      <c r="AA331" s="6"/>
      <c r="AB331" s="6">
        <f>$K$331*$V$331</f>
        <v>42333.57</v>
      </c>
      <c r="AC331" s="6">
        <f>$M$331*$W$331</f>
        <v>0</v>
      </c>
      <c r="AD331" s="6">
        <f>$O$331*$X$331</f>
        <v>0</v>
      </c>
      <c r="AE331" s="6">
        <f ca="1">$K$331*$Y$331</f>
        <v>56302.641561590455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33</v>
      </c>
      <c r="C332" s="4" t="s">
        <v>34</v>
      </c>
      <c r="D332" s="4" t="s">
        <v>40</v>
      </c>
      <c r="E332" s="4" t="s">
        <v>25</v>
      </c>
      <c r="F332" s="4" t="s">
        <v>54</v>
      </c>
      <c r="G332" s="4" t="s">
        <v>25</v>
      </c>
      <c r="H332" s="4" t="s">
        <v>25</v>
      </c>
      <c r="I332" s="5">
        <v>44593</v>
      </c>
      <c r="J332" s="6">
        <v>6956</v>
      </c>
      <c r="K332" s="6">
        <v>3478</v>
      </c>
      <c r="L332" s="6">
        <v>0</v>
      </c>
      <c r="M332" s="6">
        <v>0</v>
      </c>
      <c r="N332" s="6">
        <v>0</v>
      </c>
      <c r="O332" s="6">
        <v>0</v>
      </c>
      <c r="P332" s="6">
        <v>12</v>
      </c>
      <c r="Q332" s="4" t="s">
        <v>53</v>
      </c>
      <c r="R332" s="4">
        <v>0</v>
      </c>
      <c r="S332" s="6">
        <v>18</v>
      </c>
      <c r="T332" s="6">
        <v>0</v>
      </c>
      <c r="U332" s="6">
        <v>0</v>
      </c>
      <c r="V332" s="6">
        <f>IF(ISERROR(VLOOKUP($S$332,'TAR FIN'!$A$1:$O$103,15,0)),0,VLOOKUP($S$332,'TAR FIN'!$A$1:$O$103,15,0))</f>
        <v>12.42</v>
      </c>
      <c r="W332" s="6">
        <f>IF(ISERROR(VLOOKUP($T$332,'TAR FIN'!$A$1:$O$103,15,0)),0,VLOOKUP($T$332,'TAR FIN'!$A$1:$O$103,15,0))</f>
        <v>0</v>
      </c>
      <c r="X332" s="6">
        <f>IF(ISERROR(VLOOKUP($U$332,'TAR FIN'!$A$1:$O$103,15,0)),0,VLOOKUP($U$332,'TAR FIN'!$A$1:$O$103,15,0))</f>
        <v>0</v>
      </c>
      <c r="Y332" s="6">
        <f ca="1">('TUSD BE'!$AM$20+'TUSD BF'!$AM$20+'TUSD CVA'!$AM$20)*1</f>
        <v>16.518304697547443</v>
      </c>
      <c r="Z332" s="6"/>
      <c r="AA332" s="6"/>
      <c r="AB332" s="6">
        <f>$K$332*$V$332</f>
        <v>43196.76</v>
      </c>
      <c r="AC332" s="6">
        <f>$M$332*$W$332</f>
        <v>0</v>
      </c>
      <c r="AD332" s="6">
        <f>$O$332*$X$332</f>
        <v>0</v>
      </c>
      <c r="AE332" s="6">
        <f ca="1">$K$332*$Y$332</f>
        <v>57450.663738070005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33</v>
      </c>
      <c r="C333" s="4" t="s">
        <v>34</v>
      </c>
      <c r="D333" s="4" t="s">
        <v>40</v>
      </c>
      <c r="E333" s="4" t="s">
        <v>25</v>
      </c>
      <c r="F333" s="4" t="s">
        <v>54</v>
      </c>
      <c r="G333" s="4" t="s">
        <v>25</v>
      </c>
      <c r="H333" s="4" t="s">
        <v>25</v>
      </c>
      <c r="I333" s="5">
        <v>44621</v>
      </c>
      <c r="J333" s="6">
        <v>6826</v>
      </c>
      <c r="K333" s="6">
        <v>3413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53</v>
      </c>
      <c r="R333" s="4">
        <v>0</v>
      </c>
      <c r="S333" s="6">
        <v>18</v>
      </c>
      <c r="T333" s="6">
        <v>0</v>
      </c>
      <c r="U333" s="6">
        <v>0</v>
      </c>
      <c r="V333" s="6">
        <f>IF(ISERROR(VLOOKUP($S$333,'TAR FIN'!$A$1:$O$103,15,0)),0,VLOOKUP($S$333,'TAR FIN'!$A$1:$O$103,15,0))</f>
        <v>12.42</v>
      </c>
      <c r="W333" s="6">
        <f>IF(ISERROR(VLOOKUP($T$333,'TAR FIN'!$A$1:$O$103,15,0)),0,VLOOKUP($T$333,'TAR FIN'!$A$1:$O$103,15,0))</f>
        <v>0</v>
      </c>
      <c r="X333" s="6">
        <f>IF(ISERROR(VLOOKUP($U$333,'TAR FIN'!$A$1:$O$103,15,0)),0,VLOOKUP($U$333,'TAR FIN'!$A$1:$O$103,15,0))</f>
        <v>0</v>
      </c>
      <c r="Y333" s="6">
        <f ca="1">('TUSD BE'!$AM$20+'TUSD BF'!$AM$20+'TUSD CVA'!$AM$20)*1</f>
        <v>16.518304697547443</v>
      </c>
      <c r="Z333" s="6"/>
      <c r="AA333" s="6"/>
      <c r="AB333" s="6">
        <f>$K$333*$V$333</f>
        <v>42389.46</v>
      </c>
      <c r="AC333" s="6">
        <f>$M$333*$W$333</f>
        <v>0</v>
      </c>
      <c r="AD333" s="6">
        <f>$O$333*$X$333</f>
        <v>0</v>
      </c>
      <c r="AE333" s="6">
        <f ca="1">$K$333*$Y$333</f>
        <v>56376.973932729423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33</v>
      </c>
      <c r="C334" s="4" t="s">
        <v>34</v>
      </c>
      <c r="D334" s="4" t="s">
        <v>40</v>
      </c>
      <c r="E334" s="4" t="s">
        <v>25</v>
      </c>
      <c r="F334" s="4" t="s">
        <v>54</v>
      </c>
      <c r="G334" s="4" t="s">
        <v>25</v>
      </c>
      <c r="H334" s="4" t="s">
        <v>25</v>
      </c>
      <c r="I334" s="5">
        <v>44652</v>
      </c>
      <c r="J334" s="6">
        <v>7054</v>
      </c>
      <c r="K334" s="6">
        <v>3527</v>
      </c>
      <c r="L334" s="6">
        <v>0</v>
      </c>
      <c r="M334" s="6">
        <v>0</v>
      </c>
      <c r="N334" s="6">
        <v>0</v>
      </c>
      <c r="O334" s="6">
        <v>0</v>
      </c>
      <c r="P334" s="6">
        <v>12</v>
      </c>
      <c r="Q334" s="4" t="s">
        <v>53</v>
      </c>
      <c r="R334" s="4">
        <v>0</v>
      </c>
      <c r="S334" s="6">
        <v>18</v>
      </c>
      <c r="T334" s="6">
        <v>0</v>
      </c>
      <c r="U334" s="6">
        <v>0</v>
      </c>
      <c r="V334" s="6">
        <f>IF(ISERROR(VLOOKUP($S$334,'TAR FIN'!$A$1:$O$103,15,0)),0,VLOOKUP($S$334,'TAR FIN'!$A$1:$O$103,15,0))</f>
        <v>12.42</v>
      </c>
      <c r="W334" s="6">
        <f>IF(ISERROR(VLOOKUP($T$334,'TAR FIN'!$A$1:$O$103,15,0)),0,VLOOKUP($T$334,'TAR FIN'!$A$1:$O$103,15,0))</f>
        <v>0</v>
      </c>
      <c r="X334" s="6">
        <f>IF(ISERROR(VLOOKUP($U$334,'TAR FIN'!$A$1:$O$103,15,0)),0,VLOOKUP($U$334,'TAR FIN'!$A$1:$O$103,15,0))</f>
        <v>0</v>
      </c>
      <c r="Y334" s="6">
        <f ca="1">('TUSD BE'!$AM$20+'TUSD BF'!$AM$20+'TUSD CVA'!$AM$20)*1</f>
        <v>16.518304697547443</v>
      </c>
      <c r="Z334" s="6"/>
      <c r="AA334" s="6"/>
      <c r="AB334" s="6">
        <f>$K$334*$V$334</f>
        <v>43805.34</v>
      </c>
      <c r="AC334" s="6">
        <f>$M$334*$W$334</f>
        <v>0</v>
      </c>
      <c r="AD334" s="6">
        <f>$O$334*$X$334</f>
        <v>0</v>
      </c>
      <c r="AE334" s="6">
        <f ca="1">$K$334*$Y$334</f>
        <v>58260.060668249833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33</v>
      </c>
      <c r="C335" s="4" t="s">
        <v>34</v>
      </c>
      <c r="D335" s="4" t="s">
        <v>40</v>
      </c>
      <c r="E335" s="4" t="s">
        <v>25</v>
      </c>
      <c r="F335" s="4" t="s">
        <v>54</v>
      </c>
      <c r="G335" s="4" t="s">
        <v>25</v>
      </c>
      <c r="H335" s="4" t="s">
        <v>25</v>
      </c>
      <c r="I335" s="5">
        <v>44682</v>
      </c>
      <c r="J335" s="6">
        <v>5327</v>
      </c>
      <c r="K335" s="6">
        <v>2663.5</v>
      </c>
      <c r="L335" s="6">
        <v>0</v>
      </c>
      <c r="M335" s="6">
        <v>0</v>
      </c>
      <c r="N335" s="6">
        <v>0</v>
      </c>
      <c r="O335" s="6">
        <v>0</v>
      </c>
      <c r="P335" s="6">
        <v>11</v>
      </c>
      <c r="Q335" s="4" t="s">
        <v>53</v>
      </c>
      <c r="R335" s="4">
        <v>0</v>
      </c>
      <c r="S335" s="6">
        <v>18</v>
      </c>
      <c r="T335" s="6">
        <v>0</v>
      </c>
      <c r="U335" s="6">
        <v>0</v>
      </c>
      <c r="V335" s="6">
        <f>IF(ISERROR(VLOOKUP($S$335,'TAR FIN'!$A$1:$O$103,15,0)),0,VLOOKUP($S$335,'TAR FIN'!$A$1:$O$103,15,0))</f>
        <v>12.42</v>
      </c>
      <c r="W335" s="6">
        <f>IF(ISERROR(VLOOKUP($T$335,'TAR FIN'!$A$1:$O$103,15,0)),0,VLOOKUP($T$335,'TAR FIN'!$A$1:$O$103,15,0))</f>
        <v>0</v>
      </c>
      <c r="X335" s="6">
        <f>IF(ISERROR(VLOOKUP($U$335,'TAR FIN'!$A$1:$O$103,15,0)),0,VLOOKUP($U$335,'TAR FIN'!$A$1:$O$103,15,0))</f>
        <v>0</v>
      </c>
      <c r="Y335" s="6">
        <f ca="1">('TUSD BE'!$AM$20+'TUSD BF'!$AM$20+'TUSD CVA'!$AM$20)*1</f>
        <v>16.518304697547443</v>
      </c>
      <c r="Z335" s="6"/>
      <c r="AA335" s="6"/>
      <c r="AB335" s="6">
        <f>$K$335*$V$335</f>
        <v>33080.67</v>
      </c>
      <c r="AC335" s="6">
        <f>$M$335*$W$335</f>
        <v>0</v>
      </c>
      <c r="AD335" s="6">
        <f>$O$335*$X$335</f>
        <v>0</v>
      </c>
      <c r="AE335" s="6">
        <f ca="1">$K$335*$Y$335</f>
        <v>43996.504561917616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33</v>
      </c>
      <c r="C336" s="4" t="s">
        <v>34</v>
      </c>
      <c r="D336" s="4" t="s">
        <v>40</v>
      </c>
      <c r="E336" s="4" t="s">
        <v>25</v>
      </c>
      <c r="F336" s="4" t="s">
        <v>54</v>
      </c>
      <c r="G336" s="4" t="s">
        <v>25</v>
      </c>
      <c r="H336" s="4" t="s">
        <v>37</v>
      </c>
      <c r="I336" s="5">
        <v>44348</v>
      </c>
      <c r="J336" s="6">
        <v>0</v>
      </c>
      <c r="K336" s="6">
        <v>0</v>
      </c>
      <c r="L336" s="6">
        <v>226.70599999999999</v>
      </c>
      <c r="M336" s="6">
        <v>113.35299999999999</v>
      </c>
      <c r="N336" s="6">
        <v>0</v>
      </c>
      <c r="O336" s="6">
        <v>0</v>
      </c>
      <c r="P336" s="6">
        <v>0</v>
      </c>
      <c r="Q336" s="4" t="s">
        <v>53</v>
      </c>
      <c r="R336" s="4">
        <v>0</v>
      </c>
      <c r="S336" s="6">
        <v>0</v>
      </c>
      <c r="T336" s="6">
        <v>19</v>
      </c>
      <c r="U336" s="6">
        <v>0</v>
      </c>
      <c r="V336" s="6">
        <f>IF(ISERROR(VLOOKUP($S$336,'TAR FIN'!$A$1:$O$103,15,0)),0,VLOOKUP($S$336,'TAR FIN'!$A$1:$O$103,15,0))</f>
        <v>0</v>
      </c>
      <c r="W336" s="6">
        <f>IF(ISERROR(VLOOKUP($T$336,'TAR FIN'!$A$1:$O$103,15,0)),0,VLOOKUP($T$336,'TAR FIN'!$A$1:$O$103,15,0))</f>
        <v>842.31</v>
      </c>
      <c r="X336" s="6">
        <f>IF(ISERROR(VLOOKUP($U$336,'TAR FIN'!$A$1:$O$103,15,0)),0,VLOOKUP($U$336,'TAR FIN'!$A$1:$O$103,15,0))</f>
        <v>0</v>
      </c>
      <c r="Y336" s="6"/>
      <c r="Z336" s="6">
        <f ca="1">('TUSD BE'!$AM$21+'TUSD BF'!$AM$21+'TUSD CVA'!$AM$21)*1</f>
        <v>1146.3801365962368</v>
      </c>
      <c r="AA336" s="6"/>
      <c r="AB336" s="6">
        <f>$K$336*$V$336</f>
        <v>0</v>
      </c>
      <c r="AC336" s="6">
        <f>$M$336*$W$336</f>
        <v>95478.365429999991</v>
      </c>
      <c r="AD336" s="6">
        <f>$O$336*$X$336</f>
        <v>0</v>
      </c>
      <c r="AE336" s="6">
        <f>$K$336*$Y$336</f>
        <v>0</v>
      </c>
      <c r="AF336" s="6">
        <f ca="1">$M$336*$Z$336</f>
        <v>129945.62762359322</v>
      </c>
      <c r="AG336" s="6">
        <f>$O$336*$AA$336</f>
        <v>0</v>
      </c>
    </row>
    <row r="337" spans="1:33" ht="11.25" customHeight="1" x14ac:dyDescent="0.25">
      <c r="A337" s="4" t="s">
        <v>21</v>
      </c>
      <c r="B337" s="4" t="s">
        <v>33</v>
      </c>
      <c r="C337" s="4" t="s">
        <v>34</v>
      </c>
      <c r="D337" s="4" t="s">
        <v>40</v>
      </c>
      <c r="E337" s="4" t="s">
        <v>25</v>
      </c>
      <c r="F337" s="4" t="s">
        <v>54</v>
      </c>
      <c r="G337" s="4" t="s">
        <v>25</v>
      </c>
      <c r="H337" s="4" t="s">
        <v>37</v>
      </c>
      <c r="I337" s="5">
        <v>44378</v>
      </c>
      <c r="J337" s="6">
        <v>0</v>
      </c>
      <c r="K337" s="6">
        <v>0</v>
      </c>
      <c r="L337" s="6">
        <v>222.68600000000001</v>
      </c>
      <c r="M337" s="6">
        <v>111.343</v>
      </c>
      <c r="N337" s="6">
        <v>0</v>
      </c>
      <c r="O337" s="6">
        <v>0</v>
      </c>
      <c r="P337" s="6">
        <v>0</v>
      </c>
      <c r="Q337" s="4" t="s">
        <v>53</v>
      </c>
      <c r="R337" s="4">
        <v>0</v>
      </c>
      <c r="S337" s="6">
        <v>0</v>
      </c>
      <c r="T337" s="6">
        <v>19</v>
      </c>
      <c r="U337" s="6">
        <v>0</v>
      </c>
      <c r="V337" s="6">
        <f>IF(ISERROR(VLOOKUP($S$337,'TAR FIN'!$A$1:$O$103,15,0)),0,VLOOKUP($S$337,'TAR FIN'!$A$1:$O$103,15,0))</f>
        <v>0</v>
      </c>
      <c r="W337" s="6">
        <f>IF(ISERROR(VLOOKUP($T$337,'TAR FIN'!$A$1:$O$103,15,0)),0,VLOOKUP($T$337,'TAR FIN'!$A$1:$O$103,15,0))</f>
        <v>842.31</v>
      </c>
      <c r="X337" s="6">
        <f>IF(ISERROR(VLOOKUP($U$337,'TAR FIN'!$A$1:$O$103,15,0)),0,VLOOKUP($U$337,'TAR FIN'!$A$1:$O$103,15,0))</f>
        <v>0</v>
      </c>
      <c r="Y337" s="6"/>
      <c r="Z337" s="6">
        <f ca="1">('TUSD BE'!$AM$21+'TUSD BF'!$AM$21+'TUSD CVA'!$AM$21)*1</f>
        <v>1146.3801365962368</v>
      </c>
      <c r="AA337" s="6"/>
      <c r="AB337" s="6">
        <f>$K$337*$V$337</f>
        <v>0</v>
      </c>
      <c r="AC337" s="6">
        <f>$M$337*$W$337</f>
        <v>93785.322329999995</v>
      </c>
      <c r="AD337" s="6">
        <f>$O$337*$X$337</f>
        <v>0</v>
      </c>
      <c r="AE337" s="6">
        <f>$K$337*$Y$337</f>
        <v>0</v>
      </c>
      <c r="AF337" s="6">
        <f ca="1">$M$337*$Z$337</f>
        <v>127641.40354903479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33</v>
      </c>
      <c r="C338" s="4" t="s">
        <v>34</v>
      </c>
      <c r="D338" s="4" t="s">
        <v>40</v>
      </c>
      <c r="E338" s="4" t="s">
        <v>25</v>
      </c>
      <c r="F338" s="4" t="s">
        <v>54</v>
      </c>
      <c r="G338" s="4" t="s">
        <v>25</v>
      </c>
      <c r="H338" s="4" t="s">
        <v>37</v>
      </c>
      <c r="I338" s="5">
        <v>44409</v>
      </c>
      <c r="J338" s="6">
        <v>0</v>
      </c>
      <c r="K338" s="6">
        <v>0</v>
      </c>
      <c r="L338" s="6">
        <v>230.55199999999999</v>
      </c>
      <c r="M338" s="6">
        <v>115.276</v>
      </c>
      <c r="N338" s="6">
        <v>0</v>
      </c>
      <c r="O338" s="6">
        <v>0</v>
      </c>
      <c r="P338" s="6">
        <v>0</v>
      </c>
      <c r="Q338" s="4" t="s">
        <v>53</v>
      </c>
      <c r="R338" s="4">
        <v>0</v>
      </c>
      <c r="S338" s="6">
        <v>0</v>
      </c>
      <c r="T338" s="6">
        <v>19</v>
      </c>
      <c r="U338" s="6">
        <v>0</v>
      </c>
      <c r="V338" s="6">
        <f>IF(ISERROR(VLOOKUP($S$338,'TAR FIN'!$A$1:$O$103,15,0)),0,VLOOKUP($S$338,'TAR FIN'!$A$1:$O$103,15,0))</f>
        <v>0</v>
      </c>
      <c r="W338" s="6">
        <f>IF(ISERROR(VLOOKUP($T$338,'TAR FIN'!$A$1:$O$103,15,0)),0,VLOOKUP($T$338,'TAR FIN'!$A$1:$O$103,15,0))</f>
        <v>842.31</v>
      </c>
      <c r="X338" s="6">
        <f>IF(ISERROR(VLOOKUP($U$338,'TAR FIN'!$A$1:$O$103,15,0)),0,VLOOKUP($U$338,'TAR FIN'!$A$1:$O$103,15,0))</f>
        <v>0</v>
      </c>
      <c r="Y338" s="6"/>
      <c r="Z338" s="6">
        <f ca="1">('TUSD BE'!$AM$21+'TUSD BF'!$AM$21+'TUSD CVA'!$AM$21)*1</f>
        <v>1146.3801365962368</v>
      </c>
      <c r="AA338" s="6"/>
      <c r="AB338" s="6">
        <f>$K$338*$V$338</f>
        <v>0</v>
      </c>
      <c r="AC338" s="6">
        <f>$M$338*$W$338</f>
        <v>97098.127559999994</v>
      </c>
      <c r="AD338" s="6">
        <f>$O$338*$X$338</f>
        <v>0</v>
      </c>
      <c r="AE338" s="6">
        <f>$K$338*$Y$338</f>
        <v>0</v>
      </c>
      <c r="AF338" s="6">
        <f ca="1">$M$338*$Z$338</f>
        <v>132150.11662626779</v>
      </c>
      <c r="AG338" s="6">
        <f>$O$338*$AA$338</f>
        <v>0</v>
      </c>
    </row>
    <row r="339" spans="1:33" ht="11.25" customHeight="1" x14ac:dyDescent="0.25">
      <c r="A339" s="4" t="s">
        <v>21</v>
      </c>
      <c r="B339" s="4" t="s">
        <v>33</v>
      </c>
      <c r="C339" s="4" t="s">
        <v>34</v>
      </c>
      <c r="D339" s="4" t="s">
        <v>40</v>
      </c>
      <c r="E339" s="4" t="s">
        <v>25</v>
      </c>
      <c r="F339" s="4" t="s">
        <v>54</v>
      </c>
      <c r="G339" s="4" t="s">
        <v>25</v>
      </c>
      <c r="H339" s="4" t="s">
        <v>37</v>
      </c>
      <c r="I339" s="5">
        <v>44440</v>
      </c>
      <c r="J339" s="6">
        <v>0</v>
      </c>
      <c r="K339" s="6">
        <v>0</v>
      </c>
      <c r="L339" s="6">
        <v>201.41900000000001</v>
      </c>
      <c r="M339" s="6">
        <v>100.70950000000001</v>
      </c>
      <c r="N339" s="6">
        <v>0</v>
      </c>
      <c r="O339" s="6">
        <v>0</v>
      </c>
      <c r="P339" s="6">
        <v>0</v>
      </c>
      <c r="Q339" s="4" t="s">
        <v>53</v>
      </c>
      <c r="R339" s="4">
        <v>0</v>
      </c>
      <c r="S339" s="6">
        <v>0</v>
      </c>
      <c r="T339" s="6">
        <v>19</v>
      </c>
      <c r="U339" s="6">
        <v>0</v>
      </c>
      <c r="V339" s="6">
        <f>IF(ISERROR(VLOOKUP($S$339,'TAR FIN'!$A$1:$O$103,15,0)),0,VLOOKUP($S$339,'TAR FIN'!$A$1:$O$103,15,0))</f>
        <v>0</v>
      </c>
      <c r="W339" s="6">
        <f>IF(ISERROR(VLOOKUP($T$339,'TAR FIN'!$A$1:$O$103,15,0)),0,VLOOKUP($T$339,'TAR FIN'!$A$1:$O$103,15,0))</f>
        <v>842.31</v>
      </c>
      <c r="X339" s="6">
        <f>IF(ISERROR(VLOOKUP($U$339,'TAR FIN'!$A$1:$O$103,15,0)),0,VLOOKUP($U$339,'TAR FIN'!$A$1:$O$103,15,0))</f>
        <v>0</v>
      </c>
      <c r="Y339" s="6"/>
      <c r="Z339" s="6">
        <f ca="1">('TUSD BE'!$AM$21+'TUSD BF'!$AM$21+'TUSD CVA'!$AM$21)*1</f>
        <v>1146.3801365962368</v>
      </c>
      <c r="AA339" s="6"/>
      <c r="AB339" s="6">
        <f>$K$339*$V$339</f>
        <v>0</v>
      </c>
      <c r="AC339" s="6">
        <f>$M$339*$W$339</f>
        <v>84828.618944999995</v>
      </c>
      <c r="AD339" s="6">
        <f>$O$339*$X$339</f>
        <v>0</v>
      </c>
      <c r="AE339" s="6">
        <f>$K$339*$Y$339</f>
        <v>0</v>
      </c>
      <c r="AF339" s="6">
        <f ca="1">$M$339*$Z$339</f>
        <v>115451.37036653871</v>
      </c>
      <c r="AG339" s="6">
        <f>$O$339*$AA$339</f>
        <v>0</v>
      </c>
    </row>
    <row r="340" spans="1:33" ht="11.25" customHeight="1" x14ac:dyDescent="0.25">
      <c r="A340" s="4" t="s">
        <v>21</v>
      </c>
      <c r="B340" s="4" t="s">
        <v>33</v>
      </c>
      <c r="C340" s="4" t="s">
        <v>34</v>
      </c>
      <c r="D340" s="4" t="s">
        <v>40</v>
      </c>
      <c r="E340" s="4" t="s">
        <v>25</v>
      </c>
      <c r="F340" s="4" t="s">
        <v>54</v>
      </c>
      <c r="G340" s="4" t="s">
        <v>25</v>
      </c>
      <c r="H340" s="4" t="s">
        <v>37</v>
      </c>
      <c r="I340" s="5">
        <v>44470</v>
      </c>
      <c r="J340" s="6">
        <v>0</v>
      </c>
      <c r="K340" s="6">
        <v>0</v>
      </c>
      <c r="L340" s="6">
        <v>266.76</v>
      </c>
      <c r="M340" s="6">
        <v>133.38</v>
      </c>
      <c r="N340" s="6">
        <v>0</v>
      </c>
      <c r="O340" s="6">
        <v>0</v>
      </c>
      <c r="P340" s="6">
        <v>0</v>
      </c>
      <c r="Q340" s="4" t="s">
        <v>53</v>
      </c>
      <c r="R340" s="4">
        <v>0</v>
      </c>
      <c r="S340" s="6">
        <v>0</v>
      </c>
      <c r="T340" s="6">
        <v>19</v>
      </c>
      <c r="U340" s="6">
        <v>0</v>
      </c>
      <c r="V340" s="6">
        <f>IF(ISERROR(VLOOKUP($S$340,'TAR FIN'!$A$1:$O$103,15,0)),0,VLOOKUP($S$340,'TAR FIN'!$A$1:$O$103,15,0))</f>
        <v>0</v>
      </c>
      <c r="W340" s="6">
        <f>IF(ISERROR(VLOOKUP($T$340,'TAR FIN'!$A$1:$O$103,15,0)),0,VLOOKUP($T$340,'TAR FIN'!$A$1:$O$103,15,0))</f>
        <v>842.31</v>
      </c>
      <c r="X340" s="6">
        <f>IF(ISERROR(VLOOKUP($U$340,'TAR FIN'!$A$1:$O$103,15,0)),0,VLOOKUP($U$340,'TAR FIN'!$A$1:$O$103,15,0))</f>
        <v>0</v>
      </c>
      <c r="Y340" s="6"/>
      <c r="Z340" s="6">
        <f ca="1">('TUSD BE'!$AM$21+'TUSD BF'!$AM$21+'TUSD CVA'!$AM$21)*1</f>
        <v>1146.3801365962368</v>
      </c>
      <c r="AA340" s="6"/>
      <c r="AB340" s="6">
        <f>$K$340*$V$340</f>
        <v>0</v>
      </c>
      <c r="AC340" s="6">
        <f>$M$340*$W$340</f>
        <v>112347.3078</v>
      </c>
      <c r="AD340" s="6">
        <f>$O$340*$X$340</f>
        <v>0</v>
      </c>
      <c r="AE340" s="6">
        <f>$K$340*$Y$340</f>
        <v>0</v>
      </c>
      <c r="AF340" s="6">
        <f ca="1">$M$340*$Z$340</f>
        <v>152904.18261920605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33</v>
      </c>
      <c r="C341" s="4" t="s">
        <v>34</v>
      </c>
      <c r="D341" s="4" t="s">
        <v>40</v>
      </c>
      <c r="E341" s="4" t="s">
        <v>25</v>
      </c>
      <c r="F341" s="4" t="s">
        <v>54</v>
      </c>
      <c r="G341" s="4" t="s">
        <v>25</v>
      </c>
      <c r="H341" s="4" t="s">
        <v>37</v>
      </c>
      <c r="I341" s="5">
        <v>44501</v>
      </c>
      <c r="J341" s="6">
        <v>0</v>
      </c>
      <c r="K341" s="6">
        <v>0</v>
      </c>
      <c r="L341" s="6">
        <v>257.44299999999998</v>
      </c>
      <c r="M341" s="6">
        <v>128.72149999999999</v>
      </c>
      <c r="N341" s="6">
        <v>0</v>
      </c>
      <c r="O341" s="6">
        <v>0</v>
      </c>
      <c r="P341" s="6">
        <v>0</v>
      </c>
      <c r="Q341" s="4" t="s">
        <v>53</v>
      </c>
      <c r="R341" s="4">
        <v>0</v>
      </c>
      <c r="S341" s="6">
        <v>0</v>
      </c>
      <c r="T341" s="6">
        <v>19</v>
      </c>
      <c r="U341" s="6">
        <v>0</v>
      </c>
      <c r="V341" s="6">
        <f>IF(ISERROR(VLOOKUP($S$341,'TAR FIN'!$A$1:$O$103,15,0)),0,VLOOKUP($S$341,'TAR FIN'!$A$1:$O$103,15,0))</f>
        <v>0</v>
      </c>
      <c r="W341" s="6">
        <f>IF(ISERROR(VLOOKUP($T$341,'TAR FIN'!$A$1:$O$103,15,0)),0,VLOOKUP($T$341,'TAR FIN'!$A$1:$O$103,15,0))</f>
        <v>842.31</v>
      </c>
      <c r="X341" s="6">
        <f>IF(ISERROR(VLOOKUP($U$341,'TAR FIN'!$A$1:$O$103,15,0)),0,VLOOKUP($U$341,'TAR FIN'!$A$1:$O$103,15,0))</f>
        <v>0</v>
      </c>
      <c r="Y341" s="6"/>
      <c r="Z341" s="6">
        <f ca="1">('TUSD BE'!$AM$21+'TUSD BF'!$AM$21+'TUSD CVA'!$AM$21)*1</f>
        <v>1146.3801365962368</v>
      </c>
      <c r="AA341" s="6"/>
      <c r="AB341" s="6">
        <f>$K$341*$V$341</f>
        <v>0</v>
      </c>
      <c r="AC341" s="6">
        <f>$M$341*$W$341</f>
        <v>108423.40666499999</v>
      </c>
      <c r="AD341" s="6">
        <f>$O$341*$X$341</f>
        <v>0</v>
      </c>
      <c r="AE341" s="6">
        <f>$K$341*$Y$341</f>
        <v>0</v>
      </c>
      <c r="AF341" s="6">
        <f ca="1">$M$341*$Z$341</f>
        <v>147563.77075287249</v>
      </c>
      <c r="AG341" s="6">
        <f>$O$341*$AA$341</f>
        <v>0</v>
      </c>
    </row>
    <row r="342" spans="1:33" ht="11.25" customHeight="1" x14ac:dyDescent="0.25">
      <c r="A342" s="4" t="s">
        <v>21</v>
      </c>
      <c r="B342" s="4" t="s">
        <v>33</v>
      </c>
      <c r="C342" s="4" t="s">
        <v>34</v>
      </c>
      <c r="D342" s="4" t="s">
        <v>40</v>
      </c>
      <c r="E342" s="4" t="s">
        <v>25</v>
      </c>
      <c r="F342" s="4" t="s">
        <v>54</v>
      </c>
      <c r="G342" s="4" t="s">
        <v>25</v>
      </c>
      <c r="H342" s="4" t="s">
        <v>37</v>
      </c>
      <c r="I342" s="5">
        <v>44531</v>
      </c>
      <c r="J342" s="6">
        <v>0</v>
      </c>
      <c r="K342" s="6">
        <v>0</v>
      </c>
      <c r="L342" s="6">
        <v>276.63499999999999</v>
      </c>
      <c r="M342" s="6">
        <v>138.3175</v>
      </c>
      <c r="N342" s="6">
        <v>0</v>
      </c>
      <c r="O342" s="6">
        <v>0</v>
      </c>
      <c r="P342" s="6">
        <v>0</v>
      </c>
      <c r="Q342" s="4" t="s">
        <v>53</v>
      </c>
      <c r="R342" s="4">
        <v>0</v>
      </c>
      <c r="S342" s="6">
        <v>0</v>
      </c>
      <c r="T342" s="6">
        <v>19</v>
      </c>
      <c r="U342" s="6">
        <v>0</v>
      </c>
      <c r="V342" s="6">
        <f>IF(ISERROR(VLOOKUP($S$342,'TAR FIN'!$A$1:$O$103,15,0)),0,VLOOKUP($S$342,'TAR FIN'!$A$1:$O$103,15,0))</f>
        <v>0</v>
      </c>
      <c r="W342" s="6">
        <f>IF(ISERROR(VLOOKUP($T$342,'TAR FIN'!$A$1:$O$103,15,0)),0,VLOOKUP($T$342,'TAR FIN'!$A$1:$O$103,15,0))</f>
        <v>842.31</v>
      </c>
      <c r="X342" s="6">
        <f>IF(ISERROR(VLOOKUP($U$342,'TAR FIN'!$A$1:$O$103,15,0)),0,VLOOKUP($U$342,'TAR FIN'!$A$1:$O$103,15,0))</f>
        <v>0</v>
      </c>
      <c r="Y342" s="6"/>
      <c r="Z342" s="6">
        <f ca="1">('TUSD BE'!$AM$21+'TUSD BF'!$AM$21+'TUSD CVA'!$AM$21)*1</f>
        <v>1146.3801365962368</v>
      </c>
      <c r="AA342" s="6"/>
      <c r="AB342" s="6">
        <f>$K$342*$V$342</f>
        <v>0</v>
      </c>
      <c r="AC342" s="6">
        <f>$M$342*$W$342</f>
        <v>116506.21342499999</v>
      </c>
      <c r="AD342" s="6">
        <f>$O$342*$X$342</f>
        <v>0</v>
      </c>
      <c r="AE342" s="6">
        <f>$K$342*$Y$342</f>
        <v>0</v>
      </c>
      <c r="AF342" s="6">
        <f ca="1">$M$342*$Z$342</f>
        <v>158564.43454364999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33</v>
      </c>
      <c r="C343" s="4" t="s">
        <v>34</v>
      </c>
      <c r="D343" s="4" t="s">
        <v>40</v>
      </c>
      <c r="E343" s="4" t="s">
        <v>25</v>
      </c>
      <c r="F343" s="4" t="s">
        <v>54</v>
      </c>
      <c r="G343" s="4" t="s">
        <v>25</v>
      </c>
      <c r="H343" s="4" t="s">
        <v>37</v>
      </c>
      <c r="I343" s="5">
        <v>44562</v>
      </c>
      <c r="J343" s="6">
        <v>0</v>
      </c>
      <c r="K343" s="6">
        <v>0</v>
      </c>
      <c r="L343" s="6">
        <v>262.87700000000001</v>
      </c>
      <c r="M343" s="6">
        <v>131.4385</v>
      </c>
      <c r="N343" s="6">
        <v>0</v>
      </c>
      <c r="O343" s="6">
        <v>0</v>
      </c>
      <c r="P343" s="6">
        <v>0</v>
      </c>
      <c r="Q343" s="4" t="s">
        <v>53</v>
      </c>
      <c r="R343" s="4">
        <v>0</v>
      </c>
      <c r="S343" s="6">
        <v>0</v>
      </c>
      <c r="T343" s="6">
        <v>19</v>
      </c>
      <c r="U343" s="6">
        <v>0</v>
      </c>
      <c r="V343" s="6">
        <f>IF(ISERROR(VLOOKUP($S$343,'TAR FIN'!$A$1:$O$103,15,0)),0,VLOOKUP($S$343,'TAR FIN'!$A$1:$O$103,15,0))</f>
        <v>0</v>
      </c>
      <c r="W343" s="6">
        <f>IF(ISERROR(VLOOKUP($T$343,'TAR FIN'!$A$1:$O$103,15,0)),0,VLOOKUP($T$343,'TAR FIN'!$A$1:$O$103,15,0))</f>
        <v>842.31</v>
      </c>
      <c r="X343" s="6">
        <f>IF(ISERROR(VLOOKUP($U$343,'TAR FIN'!$A$1:$O$103,15,0)),0,VLOOKUP($U$343,'TAR FIN'!$A$1:$O$103,15,0))</f>
        <v>0</v>
      </c>
      <c r="Y343" s="6"/>
      <c r="Z343" s="6">
        <f ca="1">('TUSD BE'!$AM$21+'TUSD BF'!$AM$21+'TUSD CVA'!$AM$21)*1</f>
        <v>1146.3801365962368</v>
      </c>
      <c r="AA343" s="6"/>
      <c r="AB343" s="6">
        <f>$K$343*$V$343</f>
        <v>0</v>
      </c>
      <c r="AC343" s="6">
        <f>$M$343*$W$343</f>
        <v>110711.962935</v>
      </c>
      <c r="AD343" s="6">
        <f>$O$343*$X$343</f>
        <v>0</v>
      </c>
      <c r="AE343" s="6">
        <f>$K$343*$Y$343</f>
        <v>0</v>
      </c>
      <c r="AF343" s="6">
        <f ca="1">$M$343*$Z$343</f>
        <v>150678.48558400446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33</v>
      </c>
      <c r="C344" s="4" t="s">
        <v>34</v>
      </c>
      <c r="D344" s="4" t="s">
        <v>40</v>
      </c>
      <c r="E344" s="4" t="s">
        <v>25</v>
      </c>
      <c r="F344" s="4" t="s">
        <v>54</v>
      </c>
      <c r="G344" s="4" t="s">
        <v>25</v>
      </c>
      <c r="H344" s="4" t="s">
        <v>37</v>
      </c>
      <c r="I344" s="5">
        <v>44593</v>
      </c>
      <c r="J344" s="6">
        <v>0</v>
      </c>
      <c r="K344" s="6">
        <v>0</v>
      </c>
      <c r="L344" s="6">
        <v>261.62799999999999</v>
      </c>
      <c r="M344" s="6">
        <v>130.81399999999999</v>
      </c>
      <c r="N344" s="6">
        <v>0</v>
      </c>
      <c r="O344" s="6">
        <v>0</v>
      </c>
      <c r="P344" s="6">
        <v>0</v>
      </c>
      <c r="Q344" s="4" t="s">
        <v>53</v>
      </c>
      <c r="R344" s="4">
        <v>0</v>
      </c>
      <c r="S344" s="6">
        <v>0</v>
      </c>
      <c r="T344" s="6">
        <v>19</v>
      </c>
      <c r="U344" s="6">
        <v>0</v>
      </c>
      <c r="V344" s="6">
        <f>IF(ISERROR(VLOOKUP($S$344,'TAR FIN'!$A$1:$O$103,15,0)),0,VLOOKUP($S$344,'TAR FIN'!$A$1:$O$103,15,0))</f>
        <v>0</v>
      </c>
      <c r="W344" s="6">
        <f>IF(ISERROR(VLOOKUP($T$344,'TAR FIN'!$A$1:$O$103,15,0)),0,VLOOKUP($T$344,'TAR FIN'!$A$1:$O$103,15,0))</f>
        <v>842.31</v>
      </c>
      <c r="X344" s="6">
        <f>IF(ISERROR(VLOOKUP($U$344,'TAR FIN'!$A$1:$O$103,15,0)),0,VLOOKUP($U$344,'TAR FIN'!$A$1:$O$103,15,0))</f>
        <v>0</v>
      </c>
      <c r="Y344" s="6"/>
      <c r="Z344" s="6">
        <f ca="1">('TUSD BE'!$AM$21+'TUSD BF'!$AM$21+'TUSD CVA'!$AM$21)*1</f>
        <v>1146.3801365962368</v>
      </c>
      <c r="AA344" s="6"/>
      <c r="AB344" s="6">
        <f>$K$344*$V$344</f>
        <v>0</v>
      </c>
      <c r="AC344" s="6">
        <f>$M$344*$W$344</f>
        <v>110185.94033999999</v>
      </c>
      <c r="AD344" s="6">
        <f>$O$344*$X$344</f>
        <v>0</v>
      </c>
      <c r="AE344" s="6">
        <f>$K$344*$Y$344</f>
        <v>0</v>
      </c>
      <c r="AF344" s="6">
        <f ca="1">$M$344*$Z$344</f>
        <v>149962.57118870009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33</v>
      </c>
      <c r="C345" s="4" t="s">
        <v>34</v>
      </c>
      <c r="D345" s="4" t="s">
        <v>40</v>
      </c>
      <c r="E345" s="4" t="s">
        <v>25</v>
      </c>
      <c r="F345" s="4" t="s">
        <v>54</v>
      </c>
      <c r="G345" s="4" t="s">
        <v>25</v>
      </c>
      <c r="H345" s="4" t="s">
        <v>37</v>
      </c>
      <c r="I345" s="5">
        <v>44621</v>
      </c>
      <c r="J345" s="6">
        <v>0</v>
      </c>
      <c r="K345" s="6">
        <v>0</v>
      </c>
      <c r="L345" s="6">
        <v>277.09199999999998</v>
      </c>
      <c r="M345" s="6">
        <v>138.54599999999999</v>
      </c>
      <c r="N345" s="6">
        <v>0</v>
      </c>
      <c r="O345" s="6">
        <v>0</v>
      </c>
      <c r="P345" s="6">
        <v>0</v>
      </c>
      <c r="Q345" s="4" t="s">
        <v>53</v>
      </c>
      <c r="R345" s="4">
        <v>0</v>
      </c>
      <c r="S345" s="6">
        <v>0</v>
      </c>
      <c r="T345" s="6">
        <v>19</v>
      </c>
      <c r="U345" s="6">
        <v>0</v>
      </c>
      <c r="V345" s="6">
        <f>IF(ISERROR(VLOOKUP($S$345,'TAR FIN'!$A$1:$O$103,15,0)),0,VLOOKUP($S$345,'TAR FIN'!$A$1:$O$103,15,0))</f>
        <v>0</v>
      </c>
      <c r="W345" s="6">
        <f>IF(ISERROR(VLOOKUP($T$345,'TAR FIN'!$A$1:$O$103,15,0)),0,VLOOKUP($T$345,'TAR FIN'!$A$1:$O$103,15,0))</f>
        <v>842.31</v>
      </c>
      <c r="X345" s="6">
        <f>IF(ISERROR(VLOOKUP($U$345,'TAR FIN'!$A$1:$O$103,15,0)),0,VLOOKUP($U$345,'TAR FIN'!$A$1:$O$103,15,0))</f>
        <v>0</v>
      </c>
      <c r="Y345" s="6"/>
      <c r="Z345" s="6">
        <f ca="1">('TUSD BE'!$AM$21+'TUSD BF'!$AM$21+'TUSD CVA'!$AM$21)*1</f>
        <v>1146.3801365962368</v>
      </c>
      <c r="AA345" s="6"/>
      <c r="AB345" s="6">
        <f>$K$345*$V$345</f>
        <v>0</v>
      </c>
      <c r="AC345" s="6">
        <f>$M$345*$W$345</f>
        <v>116698.68125999998</v>
      </c>
      <c r="AD345" s="6">
        <f>$O$345*$X$345</f>
        <v>0</v>
      </c>
      <c r="AE345" s="6">
        <f>$K$345*$Y$345</f>
        <v>0</v>
      </c>
      <c r="AF345" s="6">
        <f ca="1">$M$345*$Z$345</f>
        <v>158826.3824048622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33</v>
      </c>
      <c r="C346" s="4" t="s">
        <v>34</v>
      </c>
      <c r="D346" s="4" t="s">
        <v>40</v>
      </c>
      <c r="E346" s="4" t="s">
        <v>25</v>
      </c>
      <c r="F346" s="4" t="s">
        <v>54</v>
      </c>
      <c r="G346" s="4" t="s">
        <v>25</v>
      </c>
      <c r="H346" s="4" t="s">
        <v>37</v>
      </c>
      <c r="I346" s="5">
        <v>44652</v>
      </c>
      <c r="J346" s="6">
        <v>0</v>
      </c>
      <c r="K346" s="6">
        <v>0</v>
      </c>
      <c r="L346" s="6">
        <v>318.57600000000002</v>
      </c>
      <c r="M346" s="6">
        <v>159.28800000000001</v>
      </c>
      <c r="N346" s="6">
        <v>0</v>
      </c>
      <c r="O346" s="6">
        <v>0</v>
      </c>
      <c r="P346" s="6">
        <v>0</v>
      </c>
      <c r="Q346" s="4" t="s">
        <v>53</v>
      </c>
      <c r="R346" s="4">
        <v>0</v>
      </c>
      <c r="S346" s="6">
        <v>0</v>
      </c>
      <c r="T346" s="6">
        <v>19</v>
      </c>
      <c r="U346" s="6">
        <v>0</v>
      </c>
      <c r="V346" s="6">
        <f>IF(ISERROR(VLOOKUP($S$346,'TAR FIN'!$A$1:$O$103,15,0)),0,VLOOKUP($S$346,'TAR FIN'!$A$1:$O$103,15,0))</f>
        <v>0</v>
      </c>
      <c r="W346" s="6">
        <f>IF(ISERROR(VLOOKUP($T$346,'TAR FIN'!$A$1:$O$103,15,0)),0,VLOOKUP($T$346,'TAR FIN'!$A$1:$O$103,15,0))</f>
        <v>842.31</v>
      </c>
      <c r="X346" s="6">
        <f>IF(ISERROR(VLOOKUP($U$346,'TAR FIN'!$A$1:$O$103,15,0)),0,VLOOKUP($U$346,'TAR FIN'!$A$1:$O$103,15,0))</f>
        <v>0</v>
      </c>
      <c r="Y346" s="6"/>
      <c r="Z346" s="6">
        <f ca="1">('TUSD BE'!$AM$21+'TUSD BF'!$AM$21+'TUSD CVA'!$AM$21)*1</f>
        <v>1146.3801365962368</v>
      </c>
      <c r="AA346" s="6"/>
      <c r="AB346" s="6">
        <f>$K$346*$V$346</f>
        <v>0</v>
      </c>
      <c r="AC346" s="6">
        <f>$M$346*$W$346</f>
        <v>134169.87528000001</v>
      </c>
      <c r="AD346" s="6">
        <f>$O$346*$X$346</f>
        <v>0</v>
      </c>
      <c r="AE346" s="6">
        <f>$K$346*$Y$346</f>
        <v>0</v>
      </c>
      <c r="AF346" s="6">
        <f ca="1">$M$346*$Z$346</f>
        <v>182604.59919814137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33</v>
      </c>
      <c r="C347" s="4" t="s">
        <v>34</v>
      </c>
      <c r="D347" s="4" t="s">
        <v>40</v>
      </c>
      <c r="E347" s="4" t="s">
        <v>25</v>
      </c>
      <c r="F347" s="4" t="s">
        <v>54</v>
      </c>
      <c r="G347" s="4" t="s">
        <v>25</v>
      </c>
      <c r="H347" s="4" t="s">
        <v>37</v>
      </c>
      <c r="I347" s="5">
        <v>44682</v>
      </c>
      <c r="J347" s="6">
        <v>0</v>
      </c>
      <c r="K347" s="6">
        <v>0</v>
      </c>
      <c r="L347" s="6">
        <v>206.87200000000001</v>
      </c>
      <c r="M347" s="6">
        <v>103.43600000000001</v>
      </c>
      <c r="N347" s="6">
        <v>0</v>
      </c>
      <c r="O347" s="6">
        <v>0</v>
      </c>
      <c r="P347" s="6">
        <v>0</v>
      </c>
      <c r="Q347" s="4" t="s">
        <v>53</v>
      </c>
      <c r="R347" s="4">
        <v>0</v>
      </c>
      <c r="S347" s="6">
        <v>0</v>
      </c>
      <c r="T347" s="6">
        <v>19</v>
      </c>
      <c r="U347" s="6">
        <v>0</v>
      </c>
      <c r="V347" s="6">
        <f>IF(ISERROR(VLOOKUP($S$347,'TAR FIN'!$A$1:$O$103,15,0)),0,VLOOKUP($S$347,'TAR FIN'!$A$1:$O$103,15,0))</f>
        <v>0</v>
      </c>
      <c r="W347" s="6">
        <f>IF(ISERROR(VLOOKUP($T$347,'TAR FIN'!$A$1:$O$103,15,0)),0,VLOOKUP($T$347,'TAR FIN'!$A$1:$O$103,15,0))</f>
        <v>842.31</v>
      </c>
      <c r="X347" s="6">
        <f>IF(ISERROR(VLOOKUP($U$347,'TAR FIN'!$A$1:$O$103,15,0)),0,VLOOKUP($U$347,'TAR FIN'!$A$1:$O$103,15,0))</f>
        <v>0</v>
      </c>
      <c r="Y347" s="6"/>
      <c r="Z347" s="6">
        <f ca="1">('TUSD BE'!$AM$21+'TUSD BF'!$AM$21+'TUSD CVA'!$AM$21)*1</f>
        <v>1146.3801365962368</v>
      </c>
      <c r="AA347" s="6"/>
      <c r="AB347" s="6">
        <f>$K$347*$V$347</f>
        <v>0</v>
      </c>
      <c r="AC347" s="6">
        <f>$M$347*$W$347</f>
        <v>87125.177160000007</v>
      </c>
      <c r="AD347" s="6">
        <f>$O$347*$X$347</f>
        <v>0</v>
      </c>
      <c r="AE347" s="6">
        <f>$K$347*$Y$347</f>
        <v>0</v>
      </c>
      <c r="AF347" s="6">
        <f ca="1">$M$347*$Z$347</f>
        <v>118576.97580896836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33</v>
      </c>
      <c r="C348" s="4" t="s">
        <v>34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35</v>
      </c>
      <c r="I348" s="5">
        <v>44348</v>
      </c>
      <c r="J348" s="6">
        <v>0</v>
      </c>
      <c r="K348" s="6">
        <v>0</v>
      </c>
      <c r="L348" s="6">
        <v>3057.0749999999998</v>
      </c>
      <c r="M348" s="6">
        <v>3057.0749999999998</v>
      </c>
      <c r="N348" s="6">
        <v>3057.0749999999998</v>
      </c>
      <c r="O348" s="6">
        <v>3057.0749999999998</v>
      </c>
      <c r="P348" s="6">
        <v>0</v>
      </c>
      <c r="Q348" s="4" t="s">
        <v>26</v>
      </c>
      <c r="R348" s="4">
        <v>0</v>
      </c>
      <c r="S348" s="6">
        <v>0</v>
      </c>
      <c r="T348" s="6">
        <v>20</v>
      </c>
      <c r="U348" s="6">
        <v>66</v>
      </c>
      <c r="V348" s="6">
        <f>IF(ISERROR(VLOOKUP($S$348,'TAR FIN'!$A$1:$O$103,15,0)),0,VLOOKUP($S$348,'TAR FIN'!$A$1:$O$103,15,0))</f>
        <v>0</v>
      </c>
      <c r="W348" s="6">
        <f>IF(ISERROR(VLOOKUP($T$348,'TAR FIN'!$A$1:$O$103,15,0)),0,VLOOKUP($T$348,'TAR FIN'!$A$1:$O$103,15,0))</f>
        <v>69.37</v>
      </c>
      <c r="X348" s="6">
        <f>IF(ISERROR(VLOOKUP($U$348,'TAR FIN'!$A$1:$O$103,15,0)),0,VLOOKUP($U$348,'TAR FIN'!$A$1:$O$103,15,0))</f>
        <v>284.36</v>
      </c>
      <c r="Y348" s="6"/>
      <c r="Z348" s="6">
        <f ca="1">('TUSD BE'!$AM$22+'TUSD BF'!$AM$22+'TUSD CVA'!$AM$22)*1</f>
        <v>111.236500713561</v>
      </c>
      <c r="AA348" s="6">
        <f>('TE BE'!$AB$9+'TE BF'!$AB$9+'TE CVA'!$AB$9)*1</f>
        <v>259.03677522481752</v>
      </c>
      <c r="AB348" s="6">
        <f>$K$348*$V$348</f>
        <v>0</v>
      </c>
      <c r="AC348" s="6">
        <f>$M$348*$W$348</f>
        <v>212069.29274999999</v>
      </c>
      <c r="AD348" s="6">
        <f>$O$348*$X$348</f>
        <v>869309.84699999995</v>
      </c>
      <c r="AE348" s="6">
        <f>$K$348*$Y$348</f>
        <v>0</v>
      </c>
      <c r="AF348" s="6">
        <f ca="1">$M$348*$Z$348</f>
        <v>340058.32541890949</v>
      </c>
      <c r="AG348" s="6">
        <f>$O$348*$AA$348</f>
        <v>791894.84962040896</v>
      </c>
    </row>
    <row r="349" spans="1:33" ht="11.25" customHeight="1" x14ac:dyDescent="0.25">
      <c r="A349" s="4" t="s">
        <v>21</v>
      </c>
      <c r="B349" s="4" t="s">
        <v>33</v>
      </c>
      <c r="C349" s="4" t="s">
        <v>34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35</v>
      </c>
      <c r="I349" s="5">
        <v>44348</v>
      </c>
      <c r="J349" s="6">
        <v>0</v>
      </c>
      <c r="K349" s="6">
        <v>0</v>
      </c>
      <c r="L349" s="6">
        <v>1102.6579999999999</v>
      </c>
      <c r="M349" s="6">
        <v>1102.6579999999999</v>
      </c>
      <c r="N349" s="6">
        <v>0</v>
      </c>
      <c r="O349" s="6">
        <v>0</v>
      </c>
      <c r="P349" s="6">
        <v>0</v>
      </c>
      <c r="Q349" s="4" t="s">
        <v>53</v>
      </c>
      <c r="R349" s="4">
        <v>0</v>
      </c>
      <c r="S349" s="6">
        <v>0</v>
      </c>
      <c r="T349" s="6">
        <v>20</v>
      </c>
      <c r="U349" s="6">
        <v>0</v>
      </c>
      <c r="V349" s="6">
        <f>IF(ISERROR(VLOOKUP($S$349,'TAR FIN'!$A$1:$O$103,15,0)),0,VLOOKUP($S$349,'TAR FIN'!$A$1:$O$103,15,0))</f>
        <v>0</v>
      </c>
      <c r="W349" s="6">
        <f>IF(ISERROR(VLOOKUP($T$349,'TAR FIN'!$A$1:$O$103,15,0)),0,VLOOKUP($T$349,'TAR FIN'!$A$1:$O$103,15,0))</f>
        <v>69.37</v>
      </c>
      <c r="X349" s="6">
        <f>IF(ISERROR(VLOOKUP($U$349,'TAR FIN'!$A$1:$O$103,15,0)),0,VLOOKUP($U$349,'TAR FIN'!$A$1:$O$103,15,0))</f>
        <v>0</v>
      </c>
      <c r="Y349" s="6"/>
      <c r="Z349" s="6">
        <f ca="1">('TUSD BE'!$AM$22+'TUSD BF'!$AM$22+'TUSD CVA'!$AM$22)*1</f>
        <v>111.236500713561</v>
      </c>
      <c r="AA349" s="6"/>
      <c r="AB349" s="6">
        <f>$K$349*$V$349</f>
        <v>0</v>
      </c>
      <c r="AC349" s="6">
        <f>$M$349*$W$349</f>
        <v>76491.385460000005</v>
      </c>
      <c r="AD349" s="6">
        <f>$O$349*$X$349</f>
        <v>0</v>
      </c>
      <c r="AE349" s="6">
        <f>$K$349*$Y$349</f>
        <v>0</v>
      </c>
      <c r="AF349" s="6">
        <f ca="1">$M$349*$Z$349</f>
        <v>122655.81740381374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33</v>
      </c>
      <c r="C350" s="4" t="s">
        <v>34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35</v>
      </c>
      <c r="I350" s="5">
        <v>44378</v>
      </c>
      <c r="J350" s="6">
        <v>0</v>
      </c>
      <c r="K350" s="6">
        <v>0</v>
      </c>
      <c r="L350" s="6">
        <v>3203.6149999999998</v>
      </c>
      <c r="M350" s="6">
        <v>3203.6149999999998</v>
      </c>
      <c r="N350" s="6">
        <v>3203.6149999999998</v>
      </c>
      <c r="O350" s="6">
        <v>3203.6149999999998</v>
      </c>
      <c r="P350" s="6">
        <v>0</v>
      </c>
      <c r="Q350" s="4" t="s">
        <v>26</v>
      </c>
      <c r="R350" s="4">
        <v>0</v>
      </c>
      <c r="S350" s="6">
        <v>0</v>
      </c>
      <c r="T350" s="6">
        <v>20</v>
      </c>
      <c r="U350" s="6">
        <v>66</v>
      </c>
      <c r="V350" s="6">
        <f>IF(ISERROR(VLOOKUP($S$350,'TAR FIN'!$A$1:$O$103,15,0)),0,VLOOKUP($S$350,'TAR FIN'!$A$1:$O$103,15,0))</f>
        <v>0</v>
      </c>
      <c r="W350" s="6">
        <f>IF(ISERROR(VLOOKUP($T$350,'TAR FIN'!$A$1:$O$103,15,0)),0,VLOOKUP($T$350,'TAR FIN'!$A$1:$O$103,15,0))</f>
        <v>69.37</v>
      </c>
      <c r="X350" s="6">
        <f>IF(ISERROR(VLOOKUP($U$350,'TAR FIN'!$A$1:$O$103,15,0)),0,VLOOKUP($U$350,'TAR FIN'!$A$1:$O$103,15,0))</f>
        <v>284.36</v>
      </c>
      <c r="Y350" s="6"/>
      <c r="Z350" s="6">
        <f ca="1">('TUSD BE'!$AM$22+'TUSD BF'!$AM$22+'TUSD CVA'!$AM$22)*1</f>
        <v>111.236500713561</v>
      </c>
      <c r="AA350" s="6">
        <f>('TE BE'!$AB$9+'TE BF'!$AB$9+'TE CVA'!$AB$9)*1</f>
        <v>259.03677522481752</v>
      </c>
      <c r="AB350" s="6">
        <f>$K$350*$V$350</f>
        <v>0</v>
      </c>
      <c r="AC350" s="6">
        <f>$M$350*$W$350</f>
        <v>222234.77254999999</v>
      </c>
      <c r="AD350" s="6">
        <f>$O$350*$X$350</f>
        <v>910979.96140000003</v>
      </c>
      <c r="AE350" s="6">
        <f>$K$350*$Y$350</f>
        <v>0</v>
      </c>
      <c r="AF350" s="6">
        <f ca="1">$M$350*$Z$350</f>
        <v>356358.92223347467</v>
      </c>
      <c r="AG350" s="6">
        <f>$O$350*$AA$350</f>
        <v>829854.0986618537</v>
      </c>
    </row>
    <row r="351" spans="1:33" ht="11.25" customHeight="1" x14ac:dyDescent="0.25">
      <c r="A351" s="4" t="s">
        <v>21</v>
      </c>
      <c r="B351" s="4" t="s">
        <v>33</v>
      </c>
      <c r="C351" s="4" t="s">
        <v>34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35</v>
      </c>
      <c r="I351" s="5">
        <v>44378</v>
      </c>
      <c r="J351" s="6">
        <v>0</v>
      </c>
      <c r="K351" s="6">
        <v>0</v>
      </c>
      <c r="L351" s="6">
        <v>1087.0160000000001</v>
      </c>
      <c r="M351" s="6">
        <v>1087.0160000000001</v>
      </c>
      <c r="N351" s="6">
        <v>0</v>
      </c>
      <c r="O351" s="6">
        <v>0</v>
      </c>
      <c r="P351" s="6">
        <v>0</v>
      </c>
      <c r="Q351" s="4" t="s">
        <v>53</v>
      </c>
      <c r="R351" s="4">
        <v>0</v>
      </c>
      <c r="S351" s="6">
        <v>0</v>
      </c>
      <c r="T351" s="6">
        <v>20</v>
      </c>
      <c r="U351" s="6">
        <v>0</v>
      </c>
      <c r="V351" s="6">
        <f>IF(ISERROR(VLOOKUP($S$351,'TAR FIN'!$A$1:$O$103,15,0)),0,VLOOKUP($S$351,'TAR FIN'!$A$1:$O$103,15,0))</f>
        <v>0</v>
      </c>
      <c r="W351" s="6">
        <f>IF(ISERROR(VLOOKUP($T$351,'TAR FIN'!$A$1:$O$103,15,0)),0,VLOOKUP($T$351,'TAR FIN'!$A$1:$O$103,15,0))</f>
        <v>69.37</v>
      </c>
      <c r="X351" s="6">
        <f>IF(ISERROR(VLOOKUP($U$351,'TAR FIN'!$A$1:$O$103,15,0)),0,VLOOKUP($U$351,'TAR FIN'!$A$1:$O$103,15,0))</f>
        <v>0</v>
      </c>
      <c r="Y351" s="6"/>
      <c r="Z351" s="6">
        <f ca="1">('TUSD BE'!$AM$22+'TUSD BF'!$AM$22+'TUSD CVA'!$AM$22)*1</f>
        <v>111.236500713561</v>
      </c>
      <c r="AA351" s="6"/>
      <c r="AB351" s="6">
        <f>$K$351*$V$351</f>
        <v>0</v>
      </c>
      <c r="AC351" s="6">
        <f>$M$351*$W$351</f>
        <v>75406.299920000005</v>
      </c>
      <c r="AD351" s="6">
        <f>$O$351*$X$351</f>
        <v>0</v>
      </c>
      <c r="AE351" s="6">
        <f>$K$351*$Y$351</f>
        <v>0</v>
      </c>
      <c r="AF351" s="6">
        <f ca="1">$M$351*$Z$351</f>
        <v>120915.85605965223</v>
      </c>
      <c r="AG351" s="6">
        <f>$O$351*$AA$351</f>
        <v>0</v>
      </c>
    </row>
    <row r="352" spans="1:33" ht="11.25" customHeight="1" x14ac:dyDescent="0.25">
      <c r="A352" s="4" t="s">
        <v>21</v>
      </c>
      <c r="B352" s="4" t="s">
        <v>33</v>
      </c>
      <c r="C352" s="4" t="s">
        <v>34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35</v>
      </c>
      <c r="I352" s="5">
        <v>44409</v>
      </c>
      <c r="J352" s="6">
        <v>0</v>
      </c>
      <c r="K352" s="6">
        <v>0</v>
      </c>
      <c r="L352" s="6">
        <v>3170.1239999999998</v>
      </c>
      <c r="M352" s="6">
        <v>3170.1239999999998</v>
      </c>
      <c r="N352" s="6">
        <v>3170.1239999999998</v>
      </c>
      <c r="O352" s="6">
        <v>3170.1239999999998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20</v>
      </c>
      <c r="U352" s="6">
        <v>66</v>
      </c>
      <c r="V352" s="6">
        <f>IF(ISERROR(VLOOKUP($S$352,'TAR FIN'!$A$1:$O$103,15,0)),0,VLOOKUP($S$352,'TAR FIN'!$A$1:$O$103,15,0))</f>
        <v>0</v>
      </c>
      <c r="W352" s="6">
        <f>IF(ISERROR(VLOOKUP($T$352,'TAR FIN'!$A$1:$O$103,15,0)),0,VLOOKUP($T$352,'TAR FIN'!$A$1:$O$103,15,0))</f>
        <v>69.37</v>
      </c>
      <c r="X352" s="6">
        <f>IF(ISERROR(VLOOKUP($U$352,'TAR FIN'!$A$1:$O$103,15,0)),0,VLOOKUP($U$352,'TAR FIN'!$A$1:$O$103,15,0))</f>
        <v>284.36</v>
      </c>
      <c r="Y352" s="6"/>
      <c r="Z352" s="6">
        <f ca="1">('TUSD BE'!$AM$22+'TUSD BF'!$AM$22+'TUSD CVA'!$AM$22)*1</f>
        <v>111.236500713561</v>
      </c>
      <c r="AA352" s="6">
        <f>('TE BE'!$AB$9+'TE BF'!$AB$9+'TE CVA'!$AB$9)*1</f>
        <v>259.03677522481752</v>
      </c>
      <c r="AB352" s="6">
        <f>$K$352*$V$352</f>
        <v>0</v>
      </c>
      <c r="AC352" s="6">
        <f>$M$352*$W$352</f>
        <v>219911.50188</v>
      </c>
      <c r="AD352" s="6">
        <f>$O$352*$X$352</f>
        <v>901456.46063999995</v>
      </c>
      <c r="AE352" s="6">
        <f>$K$352*$Y$352</f>
        <v>0</v>
      </c>
      <c r="AF352" s="6">
        <f ca="1">$M$352*$Z$352</f>
        <v>352633.50058807683</v>
      </c>
      <c r="AG352" s="6">
        <f>$O$352*$AA$352</f>
        <v>821178.69802279933</v>
      </c>
    </row>
    <row r="353" spans="1:33" ht="11.25" customHeight="1" x14ac:dyDescent="0.25">
      <c r="A353" s="4" t="s">
        <v>21</v>
      </c>
      <c r="B353" s="4" t="s">
        <v>33</v>
      </c>
      <c r="C353" s="4" t="s">
        <v>34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44409</v>
      </c>
      <c r="J353" s="6">
        <v>0</v>
      </c>
      <c r="K353" s="6">
        <v>0</v>
      </c>
      <c r="L353" s="6">
        <v>927.79300000000001</v>
      </c>
      <c r="M353" s="6">
        <v>927.79300000000001</v>
      </c>
      <c r="N353" s="6">
        <v>0</v>
      </c>
      <c r="O353" s="6">
        <v>0</v>
      </c>
      <c r="P353" s="6">
        <v>0</v>
      </c>
      <c r="Q353" s="4" t="s">
        <v>53</v>
      </c>
      <c r="R353" s="4">
        <v>0</v>
      </c>
      <c r="S353" s="6">
        <v>0</v>
      </c>
      <c r="T353" s="6">
        <v>20</v>
      </c>
      <c r="U353" s="6">
        <v>0</v>
      </c>
      <c r="V353" s="6">
        <f>IF(ISERROR(VLOOKUP($S$353,'TAR FIN'!$A$1:$O$103,15,0)),0,VLOOKUP($S$353,'TAR FIN'!$A$1:$O$103,15,0))</f>
        <v>0</v>
      </c>
      <c r="W353" s="6">
        <f>IF(ISERROR(VLOOKUP($T$353,'TAR FIN'!$A$1:$O$103,15,0)),0,VLOOKUP($T$353,'TAR FIN'!$A$1:$O$103,15,0))</f>
        <v>69.37</v>
      </c>
      <c r="X353" s="6">
        <f>IF(ISERROR(VLOOKUP($U$353,'TAR FIN'!$A$1:$O$103,15,0)),0,VLOOKUP($U$353,'TAR FIN'!$A$1:$O$103,15,0))</f>
        <v>0</v>
      </c>
      <c r="Y353" s="6"/>
      <c r="Z353" s="6">
        <f ca="1">('TUSD BE'!$AM$22+'TUSD BF'!$AM$22+'TUSD CVA'!$AM$22)*1</f>
        <v>111.236500713561</v>
      </c>
      <c r="AA353" s="6"/>
      <c r="AB353" s="6">
        <f>$K$353*$V$353</f>
        <v>0</v>
      </c>
      <c r="AC353" s="6">
        <f>$M$353*$W$353</f>
        <v>64361.000410000008</v>
      </c>
      <c r="AD353" s="6">
        <f>$O$353*$X$353</f>
        <v>0</v>
      </c>
      <c r="AE353" s="6">
        <f>$K$353*$Y$353</f>
        <v>0</v>
      </c>
      <c r="AF353" s="6">
        <f ca="1">$M$353*$Z$353</f>
        <v>103204.4467065369</v>
      </c>
      <c r="AG353" s="6">
        <f>$O$353*$AA$353</f>
        <v>0</v>
      </c>
    </row>
    <row r="354" spans="1:33" ht="11.25" customHeight="1" x14ac:dyDescent="0.25">
      <c r="A354" s="4" t="s">
        <v>21</v>
      </c>
      <c r="B354" s="4" t="s">
        <v>33</v>
      </c>
      <c r="C354" s="4" t="s">
        <v>34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44440</v>
      </c>
      <c r="J354" s="6">
        <v>0</v>
      </c>
      <c r="K354" s="6">
        <v>0</v>
      </c>
      <c r="L354" s="6">
        <v>2499.0369999999998</v>
      </c>
      <c r="M354" s="6">
        <v>2499.0369999999998</v>
      </c>
      <c r="N354" s="6">
        <v>2499.0369999999998</v>
      </c>
      <c r="O354" s="6">
        <v>2499.0369999999998</v>
      </c>
      <c r="P354" s="6">
        <v>0</v>
      </c>
      <c r="Q354" s="4" t="s">
        <v>26</v>
      </c>
      <c r="R354" s="4">
        <v>0</v>
      </c>
      <c r="S354" s="6">
        <v>0</v>
      </c>
      <c r="T354" s="6">
        <v>20</v>
      </c>
      <c r="U354" s="6">
        <v>66</v>
      </c>
      <c r="V354" s="6">
        <f>IF(ISERROR(VLOOKUP($S$354,'TAR FIN'!$A$1:$O$103,15,0)),0,VLOOKUP($S$354,'TAR FIN'!$A$1:$O$103,15,0))</f>
        <v>0</v>
      </c>
      <c r="W354" s="6">
        <f>IF(ISERROR(VLOOKUP($T$354,'TAR FIN'!$A$1:$O$103,15,0)),0,VLOOKUP($T$354,'TAR FIN'!$A$1:$O$103,15,0))</f>
        <v>69.37</v>
      </c>
      <c r="X354" s="6">
        <f>IF(ISERROR(VLOOKUP($U$354,'TAR FIN'!$A$1:$O$103,15,0)),0,VLOOKUP($U$354,'TAR FIN'!$A$1:$O$103,15,0))</f>
        <v>284.36</v>
      </c>
      <c r="Y354" s="6"/>
      <c r="Z354" s="6">
        <f ca="1">('TUSD BE'!$AM$22+'TUSD BF'!$AM$22+'TUSD CVA'!$AM$22)*1</f>
        <v>111.236500713561</v>
      </c>
      <c r="AA354" s="6">
        <f>('TE BE'!$AB$9+'TE BF'!$AB$9+'TE CVA'!$AB$9)*1</f>
        <v>259.03677522481752</v>
      </c>
      <c r="AB354" s="6">
        <f>$K$354*$V$354</f>
        <v>0</v>
      </c>
      <c r="AC354" s="6">
        <f>$M$354*$W$354</f>
        <v>173358.19669000001</v>
      </c>
      <c r="AD354" s="6">
        <f>$O$354*$X$354</f>
        <v>710626.16131999996</v>
      </c>
      <c r="AE354" s="6">
        <f>$K$354*$Y$354</f>
        <v>0</v>
      </c>
      <c r="AF354" s="6">
        <f ca="1">$M$354*$Z$354</f>
        <v>277984.13103371533</v>
      </c>
      <c r="AG354" s="6">
        <f>$O$354*$AA$354</f>
        <v>647342.48564750224</v>
      </c>
    </row>
    <row r="355" spans="1:33" ht="11.25" customHeight="1" x14ac:dyDescent="0.25">
      <c r="A355" s="4" t="s">
        <v>21</v>
      </c>
      <c r="B355" s="4" t="s">
        <v>33</v>
      </c>
      <c r="C355" s="4" t="s">
        <v>34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44440</v>
      </c>
      <c r="J355" s="6">
        <v>0</v>
      </c>
      <c r="K355" s="6">
        <v>0</v>
      </c>
      <c r="L355" s="6">
        <v>1500.617</v>
      </c>
      <c r="M355" s="6">
        <v>1500.617</v>
      </c>
      <c r="N355" s="6">
        <v>0</v>
      </c>
      <c r="O355" s="6">
        <v>0</v>
      </c>
      <c r="P355" s="6">
        <v>0</v>
      </c>
      <c r="Q355" s="4" t="s">
        <v>53</v>
      </c>
      <c r="R355" s="4">
        <v>0</v>
      </c>
      <c r="S355" s="6">
        <v>0</v>
      </c>
      <c r="T355" s="6">
        <v>20</v>
      </c>
      <c r="U355" s="6">
        <v>0</v>
      </c>
      <c r="V355" s="6">
        <f>IF(ISERROR(VLOOKUP($S$355,'TAR FIN'!$A$1:$O$103,15,0)),0,VLOOKUP($S$355,'TAR FIN'!$A$1:$O$103,15,0))</f>
        <v>0</v>
      </c>
      <c r="W355" s="6">
        <f>IF(ISERROR(VLOOKUP($T$355,'TAR FIN'!$A$1:$O$103,15,0)),0,VLOOKUP($T$355,'TAR FIN'!$A$1:$O$103,15,0))</f>
        <v>69.37</v>
      </c>
      <c r="X355" s="6">
        <f>IF(ISERROR(VLOOKUP($U$355,'TAR FIN'!$A$1:$O$103,15,0)),0,VLOOKUP($U$355,'TAR FIN'!$A$1:$O$103,15,0))</f>
        <v>0</v>
      </c>
      <c r="Y355" s="6"/>
      <c r="Z355" s="6">
        <f ca="1">('TUSD BE'!$AM$22+'TUSD BF'!$AM$22+'TUSD CVA'!$AM$22)*1</f>
        <v>111.236500713561</v>
      </c>
      <c r="AA355" s="6"/>
      <c r="AB355" s="6">
        <f>$K$355*$V$355</f>
        <v>0</v>
      </c>
      <c r="AC355" s="6">
        <f>$M$355*$W$355</f>
        <v>104097.80129</v>
      </c>
      <c r="AD355" s="6">
        <f>$O$355*$X$355</f>
        <v>0</v>
      </c>
      <c r="AE355" s="6">
        <f>$K$355*$Y$355</f>
        <v>0</v>
      </c>
      <c r="AF355" s="6">
        <f ca="1">$M$355*$Z$355</f>
        <v>166923.38399128176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33</v>
      </c>
      <c r="C356" s="4" t="s">
        <v>34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44470</v>
      </c>
      <c r="J356" s="6">
        <v>0</v>
      </c>
      <c r="K356" s="6">
        <v>0</v>
      </c>
      <c r="L356" s="6">
        <v>2360.2080000000001</v>
      </c>
      <c r="M356" s="6">
        <v>2360.2080000000001</v>
      </c>
      <c r="N356" s="6">
        <v>2360.2080000000001</v>
      </c>
      <c r="O356" s="6">
        <v>2360.2080000000001</v>
      </c>
      <c r="P356" s="6">
        <v>0</v>
      </c>
      <c r="Q356" s="4" t="s">
        <v>26</v>
      </c>
      <c r="R356" s="4">
        <v>0</v>
      </c>
      <c r="S356" s="6">
        <v>0</v>
      </c>
      <c r="T356" s="6">
        <v>20</v>
      </c>
      <c r="U356" s="6">
        <v>66</v>
      </c>
      <c r="V356" s="6">
        <f>IF(ISERROR(VLOOKUP($S$356,'TAR FIN'!$A$1:$O$103,15,0)),0,VLOOKUP($S$356,'TAR FIN'!$A$1:$O$103,15,0))</f>
        <v>0</v>
      </c>
      <c r="W356" s="6">
        <f>IF(ISERROR(VLOOKUP($T$356,'TAR FIN'!$A$1:$O$103,15,0)),0,VLOOKUP($T$356,'TAR FIN'!$A$1:$O$103,15,0))</f>
        <v>69.37</v>
      </c>
      <c r="X356" s="6">
        <f>IF(ISERROR(VLOOKUP($U$356,'TAR FIN'!$A$1:$O$103,15,0)),0,VLOOKUP($U$356,'TAR FIN'!$A$1:$O$103,15,0))</f>
        <v>284.36</v>
      </c>
      <c r="Y356" s="6"/>
      <c r="Z356" s="6">
        <f ca="1">('TUSD BE'!$AM$22+'TUSD BF'!$AM$22+'TUSD CVA'!$AM$22)*1</f>
        <v>111.236500713561</v>
      </c>
      <c r="AA356" s="6">
        <f>('TE BE'!$AB$9+'TE BF'!$AB$9+'TE CVA'!$AB$9)*1</f>
        <v>259.03677522481752</v>
      </c>
      <c r="AB356" s="6">
        <f>$K$356*$V$356</f>
        <v>0</v>
      </c>
      <c r="AC356" s="6">
        <f>$M$356*$W$356</f>
        <v>163727.62896000003</v>
      </c>
      <c r="AD356" s="6">
        <f>$O$356*$X$356</f>
        <v>671148.74688000011</v>
      </c>
      <c r="AE356" s="6">
        <f>$K$356*$Y$356</f>
        <v>0</v>
      </c>
      <c r="AF356" s="6">
        <f ca="1">$M$356*$Z$356</f>
        <v>262541.27887615241</v>
      </c>
      <c r="AG356" s="6">
        <f>$O$356*$AA$356</f>
        <v>611380.66917981615</v>
      </c>
    </row>
    <row r="357" spans="1:33" ht="11.25" customHeight="1" x14ac:dyDescent="0.25">
      <c r="A357" s="4" t="s">
        <v>21</v>
      </c>
      <c r="B357" s="4" t="s">
        <v>33</v>
      </c>
      <c r="C357" s="4" t="s">
        <v>34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1505.259</v>
      </c>
      <c r="M357" s="6">
        <v>1505.259</v>
      </c>
      <c r="N357" s="6">
        <v>0</v>
      </c>
      <c r="O357" s="6">
        <v>0</v>
      </c>
      <c r="P357" s="6">
        <v>0</v>
      </c>
      <c r="Q357" s="4" t="s">
        <v>53</v>
      </c>
      <c r="R357" s="4">
        <v>0</v>
      </c>
      <c r="S357" s="6">
        <v>0</v>
      </c>
      <c r="T357" s="6">
        <v>20</v>
      </c>
      <c r="U357" s="6">
        <v>0</v>
      </c>
      <c r="V357" s="6">
        <f>IF(ISERROR(VLOOKUP($S$357,'TAR FIN'!$A$1:$O$103,15,0)),0,VLOOKUP($S$357,'TAR FIN'!$A$1:$O$103,15,0))</f>
        <v>0</v>
      </c>
      <c r="W357" s="6">
        <f>IF(ISERROR(VLOOKUP($T$357,'TAR FIN'!$A$1:$O$103,15,0)),0,VLOOKUP($T$357,'TAR FIN'!$A$1:$O$103,15,0))</f>
        <v>69.37</v>
      </c>
      <c r="X357" s="6">
        <f>IF(ISERROR(VLOOKUP($U$357,'TAR FIN'!$A$1:$O$103,15,0)),0,VLOOKUP($U$357,'TAR FIN'!$A$1:$O$103,15,0))</f>
        <v>0</v>
      </c>
      <c r="Y357" s="6"/>
      <c r="Z357" s="6">
        <f ca="1">('TUSD BE'!$AM$22+'TUSD BF'!$AM$22+'TUSD CVA'!$AM$22)*1</f>
        <v>111.236500713561</v>
      </c>
      <c r="AA357" s="6"/>
      <c r="AB357" s="6">
        <f>$K$357*$V$357</f>
        <v>0</v>
      </c>
      <c r="AC357" s="6">
        <f>$M$357*$W$357</f>
        <v>104419.81683000001</v>
      </c>
      <c r="AD357" s="6">
        <f>$O$357*$X$357</f>
        <v>0</v>
      </c>
      <c r="AE357" s="6">
        <f>$K$357*$Y$357</f>
        <v>0</v>
      </c>
      <c r="AF357" s="6">
        <f ca="1">$M$357*$Z$357</f>
        <v>167439.74382759412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33</v>
      </c>
      <c r="C358" s="4" t="s">
        <v>34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2343.73</v>
      </c>
      <c r="M358" s="6">
        <v>2343.73</v>
      </c>
      <c r="N358" s="6">
        <v>2343.73</v>
      </c>
      <c r="O358" s="6">
        <v>2343.73</v>
      </c>
      <c r="P358" s="6">
        <v>0</v>
      </c>
      <c r="Q358" s="4" t="s">
        <v>26</v>
      </c>
      <c r="R358" s="4">
        <v>0</v>
      </c>
      <c r="S358" s="6">
        <v>0</v>
      </c>
      <c r="T358" s="6">
        <v>20</v>
      </c>
      <c r="U358" s="6">
        <v>66</v>
      </c>
      <c r="V358" s="6">
        <f>IF(ISERROR(VLOOKUP($S$358,'TAR FIN'!$A$1:$O$103,15,0)),0,VLOOKUP($S$358,'TAR FIN'!$A$1:$O$103,15,0))</f>
        <v>0</v>
      </c>
      <c r="W358" s="6">
        <f>IF(ISERROR(VLOOKUP($T$358,'TAR FIN'!$A$1:$O$103,15,0)),0,VLOOKUP($T$358,'TAR FIN'!$A$1:$O$103,15,0))</f>
        <v>69.37</v>
      </c>
      <c r="X358" s="6">
        <f>IF(ISERROR(VLOOKUP($U$358,'TAR FIN'!$A$1:$O$103,15,0)),0,VLOOKUP($U$358,'TAR FIN'!$A$1:$O$103,15,0))</f>
        <v>284.36</v>
      </c>
      <c r="Y358" s="6"/>
      <c r="Z358" s="6">
        <f ca="1">('TUSD BE'!$AM$22+'TUSD BF'!$AM$22+'TUSD CVA'!$AM$22)*1</f>
        <v>111.236500713561</v>
      </c>
      <c r="AA358" s="6">
        <f>('TE BE'!$AB$9+'TE BF'!$AB$9+'TE CVA'!$AB$9)*1</f>
        <v>259.03677522481752</v>
      </c>
      <c r="AB358" s="6">
        <f>$K$358*$V$358</f>
        <v>0</v>
      </c>
      <c r="AC358" s="6">
        <f>$M$358*$W$358</f>
        <v>162584.55010000002</v>
      </c>
      <c r="AD358" s="6">
        <f>$O$358*$X$358</f>
        <v>666463.06280000007</v>
      </c>
      <c r="AE358" s="6">
        <f>$K$358*$Y$358</f>
        <v>0</v>
      </c>
      <c r="AF358" s="6">
        <f ca="1">$M$358*$Z$358</f>
        <v>260708.32381739432</v>
      </c>
      <c r="AG358" s="6">
        <f>$O$358*$AA$358</f>
        <v>607112.26119766152</v>
      </c>
    </row>
    <row r="359" spans="1:33" ht="11.25" customHeight="1" x14ac:dyDescent="0.25">
      <c r="A359" s="4" t="s">
        <v>21</v>
      </c>
      <c r="B359" s="4" t="s">
        <v>33</v>
      </c>
      <c r="C359" s="4" t="s">
        <v>34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44501</v>
      </c>
      <c r="J359" s="6">
        <v>0</v>
      </c>
      <c r="K359" s="6">
        <v>0</v>
      </c>
      <c r="L359" s="6">
        <v>1210.21</v>
      </c>
      <c r="M359" s="6">
        <v>1210.21</v>
      </c>
      <c r="N359" s="6">
        <v>0</v>
      </c>
      <c r="O359" s="6">
        <v>0</v>
      </c>
      <c r="P359" s="6">
        <v>0</v>
      </c>
      <c r="Q359" s="4" t="s">
        <v>53</v>
      </c>
      <c r="R359" s="4">
        <v>0</v>
      </c>
      <c r="S359" s="6">
        <v>0</v>
      </c>
      <c r="T359" s="6">
        <v>20</v>
      </c>
      <c r="U359" s="6">
        <v>0</v>
      </c>
      <c r="V359" s="6">
        <f>IF(ISERROR(VLOOKUP($S$359,'TAR FIN'!$A$1:$O$103,15,0)),0,VLOOKUP($S$359,'TAR FIN'!$A$1:$O$103,15,0))</f>
        <v>0</v>
      </c>
      <c r="W359" s="6">
        <f>IF(ISERROR(VLOOKUP($T$359,'TAR FIN'!$A$1:$O$103,15,0)),0,VLOOKUP($T$359,'TAR FIN'!$A$1:$O$103,15,0))</f>
        <v>69.37</v>
      </c>
      <c r="X359" s="6">
        <f>IF(ISERROR(VLOOKUP($U$359,'TAR FIN'!$A$1:$O$103,15,0)),0,VLOOKUP($U$359,'TAR FIN'!$A$1:$O$103,15,0))</f>
        <v>0</v>
      </c>
      <c r="Y359" s="6"/>
      <c r="Z359" s="6">
        <f ca="1">('TUSD BE'!$AM$22+'TUSD BF'!$AM$22+'TUSD CVA'!$AM$22)*1</f>
        <v>111.236500713561</v>
      </c>
      <c r="AA359" s="6"/>
      <c r="AB359" s="6">
        <f>$K$359*$V$359</f>
        <v>0</v>
      </c>
      <c r="AC359" s="6">
        <f>$M$359*$W$359</f>
        <v>83952.267700000011</v>
      </c>
      <c r="AD359" s="6">
        <f>$O$359*$X$359</f>
        <v>0</v>
      </c>
      <c r="AE359" s="6">
        <f>$K$359*$Y$359</f>
        <v>0</v>
      </c>
      <c r="AF359" s="6">
        <f ca="1">$M$359*$Z$359</f>
        <v>134619.52552855868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33</v>
      </c>
      <c r="C360" s="4" t="s">
        <v>34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44531</v>
      </c>
      <c r="J360" s="6">
        <v>0</v>
      </c>
      <c r="K360" s="6">
        <v>0</v>
      </c>
      <c r="L360" s="6">
        <v>2227.1109999999999</v>
      </c>
      <c r="M360" s="6">
        <v>2227.1109999999999</v>
      </c>
      <c r="N360" s="6">
        <v>2227.1109999999999</v>
      </c>
      <c r="O360" s="6">
        <v>2227.1109999999999</v>
      </c>
      <c r="P360" s="6">
        <v>0</v>
      </c>
      <c r="Q360" s="4" t="s">
        <v>26</v>
      </c>
      <c r="R360" s="4">
        <v>0</v>
      </c>
      <c r="S360" s="6">
        <v>0</v>
      </c>
      <c r="T360" s="6">
        <v>20</v>
      </c>
      <c r="U360" s="6">
        <v>66</v>
      </c>
      <c r="V360" s="6">
        <f>IF(ISERROR(VLOOKUP($S$360,'TAR FIN'!$A$1:$O$103,15,0)),0,VLOOKUP($S$360,'TAR FIN'!$A$1:$O$103,15,0))</f>
        <v>0</v>
      </c>
      <c r="W360" s="6">
        <f>IF(ISERROR(VLOOKUP($T$360,'TAR FIN'!$A$1:$O$103,15,0)),0,VLOOKUP($T$360,'TAR FIN'!$A$1:$O$103,15,0))</f>
        <v>69.37</v>
      </c>
      <c r="X360" s="6">
        <f>IF(ISERROR(VLOOKUP($U$360,'TAR FIN'!$A$1:$O$103,15,0)),0,VLOOKUP($U$360,'TAR FIN'!$A$1:$O$103,15,0))</f>
        <v>284.36</v>
      </c>
      <c r="Y360" s="6"/>
      <c r="Z360" s="6">
        <f ca="1">('TUSD BE'!$AM$22+'TUSD BF'!$AM$22+'TUSD CVA'!$AM$22)*1</f>
        <v>111.236500713561</v>
      </c>
      <c r="AA360" s="6">
        <f>('TE BE'!$AB$9+'TE BF'!$AB$9+'TE CVA'!$AB$9)*1</f>
        <v>259.03677522481752</v>
      </c>
      <c r="AB360" s="6">
        <f>$K$360*$V$360</f>
        <v>0</v>
      </c>
      <c r="AC360" s="6">
        <f>$M$360*$W$360</f>
        <v>154494.69007000001</v>
      </c>
      <c r="AD360" s="6">
        <f>$O$360*$X$360</f>
        <v>633301.28396000003</v>
      </c>
      <c r="AE360" s="6">
        <f>$K$360*$Y$360</f>
        <v>0</v>
      </c>
      <c r="AF360" s="6">
        <f ca="1">$M$360*$Z$360</f>
        <v>247736.03434067953</v>
      </c>
      <c r="AG360" s="6">
        <f>$O$360*$AA$360</f>
        <v>576903.65150771849</v>
      </c>
    </row>
    <row r="361" spans="1:33" ht="11.25" customHeight="1" x14ac:dyDescent="0.25">
      <c r="A361" s="4" t="s">
        <v>21</v>
      </c>
      <c r="B361" s="4" t="s">
        <v>33</v>
      </c>
      <c r="C361" s="4" t="s">
        <v>34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44531</v>
      </c>
      <c r="J361" s="6">
        <v>0</v>
      </c>
      <c r="K361" s="6">
        <v>0</v>
      </c>
      <c r="L361" s="6">
        <v>1486.385</v>
      </c>
      <c r="M361" s="6">
        <v>1486.385</v>
      </c>
      <c r="N361" s="6">
        <v>0</v>
      </c>
      <c r="O361" s="6">
        <v>0</v>
      </c>
      <c r="P361" s="6">
        <v>0</v>
      </c>
      <c r="Q361" s="4" t="s">
        <v>53</v>
      </c>
      <c r="R361" s="4">
        <v>0</v>
      </c>
      <c r="S361" s="6">
        <v>0</v>
      </c>
      <c r="T361" s="6">
        <v>20</v>
      </c>
      <c r="U361" s="6">
        <v>0</v>
      </c>
      <c r="V361" s="6">
        <f>IF(ISERROR(VLOOKUP($S$361,'TAR FIN'!$A$1:$O$103,15,0)),0,VLOOKUP($S$361,'TAR FIN'!$A$1:$O$103,15,0))</f>
        <v>0</v>
      </c>
      <c r="W361" s="6">
        <f>IF(ISERROR(VLOOKUP($T$361,'TAR FIN'!$A$1:$O$103,15,0)),0,VLOOKUP($T$361,'TAR FIN'!$A$1:$O$103,15,0))</f>
        <v>69.37</v>
      </c>
      <c r="X361" s="6">
        <f>IF(ISERROR(VLOOKUP($U$361,'TAR FIN'!$A$1:$O$103,15,0)),0,VLOOKUP($U$361,'TAR FIN'!$A$1:$O$103,15,0))</f>
        <v>0</v>
      </c>
      <c r="Y361" s="6"/>
      <c r="Z361" s="6">
        <f ca="1">('TUSD BE'!$AM$22+'TUSD BF'!$AM$22+'TUSD CVA'!$AM$22)*1</f>
        <v>111.236500713561</v>
      </c>
      <c r="AA361" s="6"/>
      <c r="AB361" s="6">
        <f>$K$361*$V$361</f>
        <v>0</v>
      </c>
      <c r="AC361" s="6">
        <f>$M$361*$W$361</f>
        <v>103110.52745000001</v>
      </c>
      <c r="AD361" s="6">
        <f>$O$361*$X$361</f>
        <v>0</v>
      </c>
      <c r="AE361" s="6">
        <f>$K$361*$Y$361</f>
        <v>0</v>
      </c>
      <c r="AF361" s="6">
        <f ca="1">$M$361*$Z$361</f>
        <v>165340.26611312636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33</v>
      </c>
      <c r="C362" s="4" t="s">
        <v>34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44562</v>
      </c>
      <c r="J362" s="6">
        <v>0</v>
      </c>
      <c r="K362" s="6">
        <v>0</v>
      </c>
      <c r="L362" s="6">
        <v>2130.0970000000002</v>
      </c>
      <c r="M362" s="6">
        <v>2130.0970000000002</v>
      </c>
      <c r="N362" s="6">
        <v>2130.0970000000002</v>
      </c>
      <c r="O362" s="6">
        <v>2130.0970000000002</v>
      </c>
      <c r="P362" s="6">
        <v>0</v>
      </c>
      <c r="Q362" s="4" t="s">
        <v>26</v>
      </c>
      <c r="R362" s="4">
        <v>0</v>
      </c>
      <c r="S362" s="6">
        <v>0</v>
      </c>
      <c r="T362" s="6">
        <v>20</v>
      </c>
      <c r="U362" s="6">
        <v>66</v>
      </c>
      <c r="V362" s="6">
        <f>IF(ISERROR(VLOOKUP($S$362,'TAR FIN'!$A$1:$O$103,15,0)),0,VLOOKUP($S$362,'TAR FIN'!$A$1:$O$103,15,0))</f>
        <v>0</v>
      </c>
      <c r="W362" s="6">
        <f>IF(ISERROR(VLOOKUP($T$362,'TAR FIN'!$A$1:$O$103,15,0)),0,VLOOKUP($T$362,'TAR FIN'!$A$1:$O$103,15,0))</f>
        <v>69.37</v>
      </c>
      <c r="X362" s="6">
        <f>IF(ISERROR(VLOOKUP($U$362,'TAR FIN'!$A$1:$O$103,15,0)),0,VLOOKUP($U$362,'TAR FIN'!$A$1:$O$103,15,0))</f>
        <v>284.36</v>
      </c>
      <c r="Y362" s="6"/>
      <c r="Z362" s="6">
        <f ca="1">('TUSD BE'!$AM$22+'TUSD BF'!$AM$22+'TUSD CVA'!$AM$22)*1</f>
        <v>111.236500713561</v>
      </c>
      <c r="AA362" s="6">
        <f>('TE BE'!$AB$9+'TE BF'!$AB$9+'TE CVA'!$AB$9)*1</f>
        <v>259.03677522481752</v>
      </c>
      <c r="AB362" s="6">
        <f>$K$362*$V$362</f>
        <v>0</v>
      </c>
      <c r="AC362" s="6">
        <f>$M$362*$W$362</f>
        <v>147764.82889000003</v>
      </c>
      <c r="AD362" s="6">
        <f>$O$362*$X$362</f>
        <v>605714.38292000012</v>
      </c>
      <c r="AE362" s="6">
        <f>$K$362*$Y$362</f>
        <v>0</v>
      </c>
      <c r="AF362" s="6">
        <f ca="1">$M$362*$Z$362</f>
        <v>236944.53646045417</v>
      </c>
      <c r="AG362" s="6">
        <f>$O$362*$AA$362</f>
        <v>551773.45779605815</v>
      </c>
    </row>
    <row r="363" spans="1:33" ht="11.25" customHeight="1" x14ac:dyDescent="0.25">
      <c r="A363" s="4" t="s">
        <v>28</v>
      </c>
      <c r="B363" s="4" t="s">
        <v>33</v>
      </c>
      <c r="C363" s="4" t="s">
        <v>34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44562</v>
      </c>
      <c r="J363" s="6">
        <v>0</v>
      </c>
      <c r="K363" s="6">
        <v>0</v>
      </c>
      <c r="L363" s="6">
        <v>9.0370000000000008</v>
      </c>
      <c r="M363" s="6">
        <v>9.0370000000000008</v>
      </c>
      <c r="N363" s="6">
        <v>9.0370000000000008</v>
      </c>
      <c r="O363" s="6">
        <v>9.0370000000000008</v>
      </c>
      <c r="P363" s="6">
        <v>0</v>
      </c>
      <c r="Q363" s="4" t="s">
        <v>26</v>
      </c>
      <c r="R363" s="4">
        <v>0</v>
      </c>
      <c r="S363" s="6">
        <v>0</v>
      </c>
      <c r="T363" s="6">
        <v>20</v>
      </c>
      <c r="U363" s="6">
        <v>66</v>
      </c>
      <c r="V363" s="6">
        <f>IF(ISERROR(VLOOKUP($S$363,'TAR FIN'!$A$1:$O$103,15,0)),0,VLOOKUP($S$363,'TAR FIN'!$A$1:$O$103,15,0))</f>
        <v>0</v>
      </c>
      <c r="W363" s="6">
        <f>IF(ISERROR(VLOOKUP($T$363,'TAR FIN'!$A$1:$O$103,15,0)),0,VLOOKUP($T$363,'TAR FIN'!$A$1:$O$103,15,0))</f>
        <v>69.37</v>
      </c>
      <c r="X363" s="6">
        <f>IF(ISERROR(VLOOKUP($U$363,'TAR FIN'!$A$1:$O$103,15,0)),0,VLOOKUP($U$363,'TAR FIN'!$A$1:$O$103,15,0))</f>
        <v>284.36</v>
      </c>
      <c r="Y363" s="6"/>
      <c r="Z363" s="6">
        <f ca="1">('TUSD BE'!$AM$22+'TUSD BF'!$AM$22+'TUSD CVA'!$AM$22)*1</f>
        <v>111.236500713561</v>
      </c>
      <c r="AA363" s="6">
        <f>('TE BE'!$AB$9+'TE BF'!$AB$9+'TE CVA'!$AB$9)*1</f>
        <v>259.03677522481752</v>
      </c>
      <c r="AB363" s="6">
        <f>$K$363*$V$363</f>
        <v>0</v>
      </c>
      <c r="AC363" s="6">
        <f>$M$363*$W$363</f>
        <v>626.89669000000015</v>
      </c>
      <c r="AD363" s="6">
        <f>$O$363*$X$363</f>
        <v>2569.7613200000005</v>
      </c>
      <c r="AE363" s="6">
        <f>$K$363*$Y$363</f>
        <v>0</v>
      </c>
      <c r="AF363" s="6">
        <f ca="1">$M$363*$Z$363</f>
        <v>1005.2442569484508</v>
      </c>
      <c r="AG363" s="6">
        <f>$O$363*$AA$363</f>
        <v>2340.9153377066759</v>
      </c>
    </row>
    <row r="364" spans="1:33" ht="11.25" customHeight="1" x14ac:dyDescent="0.25">
      <c r="A364" s="4" t="s">
        <v>21</v>
      </c>
      <c r="B364" s="4" t="s">
        <v>33</v>
      </c>
      <c r="C364" s="4" t="s">
        <v>34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44562</v>
      </c>
      <c r="J364" s="6">
        <v>0</v>
      </c>
      <c r="K364" s="6">
        <v>0</v>
      </c>
      <c r="L364" s="6">
        <v>1045.3130000000001</v>
      </c>
      <c r="M364" s="6">
        <v>1045.3130000000001</v>
      </c>
      <c r="N364" s="6">
        <v>0</v>
      </c>
      <c r="O364" s="6">
        <v>0</v>
      </c>
      <c r="P364" s="6">
        <v>0</v>
      </c>
      <c r="Q364" s="4" t="s">
        <v>53</v>
      </c>
      <c r="R364" s="4">
        <v>0</v>
      </c>
      <c r="S364" s="6">
        <v>0</v>
      </c>
      <c r="T364" s="6">
        <v>20</v>
      </c>
      <c r="U364" s="6">
        <v>0</v>
      </c>
      <c r="V364" s="6">
        <f>IF(ISERROR(VLOOKUP($S$364,'TAR FIN'!$A$1:$O$103,15,0)),0,VLOOKUP($S$364,'TAR FIN'!$A$1:$O$103,15,0))</f>
        <v>0</v>
      </c>
      <c r="W364" s="6">
        <f>IF(ISERROR(VLOOKUP($T$364,'TAR FIN'!$A$1:$O$103,15,0)),0,VLOOKUP($T$364,'TAR FIN'!$A$1:$O$103,15,0))</f>
        <v>69.37</v>
      </c>
      <c r="X364" s="6">
        <f>IF(ISERROR(VLOOKUP($U$364,'TAR FIN'!$A$1:$O$103,15,0)),0,VLOOKUP($U$364,'TAR FIN'!$A$1:$O$103,15,0))</f>
        <v>0</v>
      </c>
      <c r="Y364" s="6"/>
      <c r="Z364" s="6">
        <f ca="1">('TUSD BE'!$AM$22+'TUSD BF'!$AM$22+'TUSD CVA'!$AM$22)*1</f>
        <v>111.236500713561</v>
      </c>
      <c r="AA364" s="6"/>
      <c r="AB364" s="6">
        <f>$K$364*$V$364</f>
        <v>0</v>
      </c>
      <c r="AC364" s="6">
        <f>$M$364*$W$364</f>
        <v>72513.362810000006</v>
      </c>
      <c r="AD364" s="6">
        <f>$O$364*$X$364</f>
        <v>0</v>
      </c>
      <c r="AE364" s="6">
        <f>$K$364*$Y$364</f>
        <v>0</v>
      </c>
      <c r="AF364" s="6">
        <f ca="1">$M$364*$Z$364</f>
        <v>116276.9602703946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33</v>
      </c>
      <c r="C365" s="4" t="s">
        <v>34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44593</v>
      </c>
      <c r="J365" s="6">
        <v>0</v>
      </c>
      <c r="K365" s="6">
        <v>0</v>
      </c>
      <c r="L365" s="6">
        <v>2147.5100000000002</v>
      </c>
      <c r="M365" s="6">
        <v>2147.5100000000002</v>
      </c>
      <c r="N365" s="6">
        <v>2147.5100000000002</v>
      </c>
      <c r="O365" s="6">
        <v>2147.5100000000002</v>
      </c>
      <c r="P365" s="6">
        <v>0</v>
      </c>
      <c r="Q365" s="4" t="s">
        <v>26</v>
      </c>
      <c r="R365" s="4">
        <v>0</v>
      </c>
      <c r="S365" s="6">
        <v>0</v>
      </c>
      <c r="T365" s="6">
        <v>20</v>
      </c>
      <c r="U365" s="6">
        <v>66</v>
      </c>
      <c r="V365" s="6">
        <f>IF(ISERROR(VLOOKUP($S$365,'TAR FIN'!$A$1:$O$103,15,0)),0,VLOOKUP($S$365,'TAR FIN'!$A$1:$O$103,15,0))</f>
        <v>0</v>
      </c>
      <c r="W365" s="6">
        <f>IF(ISERROR(VLOOKUP($T$365,'TAR FIN'!$A$1:$O$103,15,0)),0,VLOOKUP($T$365,'TAR FIN'!$A$1:$O$103,15,0))</f>
        <v>69.37</v>
      </c>
      <c r="X365" s="6">
        <f>IF(ISERROR(VLOOKUP($U$365,'TAR FIN'!$A$1:$O$103,15,0)),0,VLOOKUP($U$365,'TAR FIN'!$A$1:$O$103,15,0))</f>
        <v>284.36</v>
      </c>
      <c r="Y365" s="6"/>
      <c r="Z365" s="6">
        <f ca="1">('TUSD BE'!$AM$22+'TUSD BF'!$AM$22+'TUSD CVA'!$AM$22)*1</f>
        <v>111.236500713561</v>
      </c>
      <c r="AA365" s="6">
        <f>('TE BE'!$AB$9+'TE BF'!$AB$9+'TE CVA'!$AB$9)*1</f>
        <v>259.03677522481752</v>
      </c>
      <c r="AB365" s="6">
        <f>$K$365*$V$365</f>
        <v>0</v>
      </c>
      <c r="AC365" s="6">
        <f>$M$365*$W$365</f>
        <v>148972.76870000002</v>
      </c>
      <c r="AD365" s="6">
        <f>$O$365*$X$365</f>
        <v>610665.94360000012</v>
      </c>
      <c r="AE365" s="6">
        <f>$K$365*$Y$365</f>
        <v>0</v>
      </c>
      <c r="AF365" s="6">
        <f ca="1">$M$365*$Z$365</f>
        <v>238881.49764737941</v>
      </c>
      <c r="AG365" s="6">
        <f>$O$365*$AA$365</f>
        <v>556284.06516304787</v>
      </c>
    </row>
    <row r="366" spans="1:33" ht="11.25" customHeight="1" x14ac:dyDescent="0.25">
      <c r="A366" s="4" t="s">
        <v>28</v>
      </c>
      <c r="B366" s="4" t="s">
        <v>33</v>
      </c>
      <c r="C366" s="4" t="s">
        <v>34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44593</v>
      </c>
      <c r="J366" s="6">
        <v>0</v>
      </c>
      <c r="K366" s="6">
        <v>0</v>
      </c>
      <c r="L366" s="6">
        <v>15.106</v>
      </c>
      <c r="M366" s="6">
        <v>15.106</v>
      </c>
      <c r="N366" s="6">
        <v>15.106</v>
      </c>
      <c r="O366" s="6">
        <v>15.106</v>
      </c>
      <c r="P366" s="6">
        <v>0</v>
      </c>
      <c r="Q366" s="4" t="s">
        <v>26</v>
      </c>
      <c r="R366" s="4">
        <v>0</v>
      </c>
      <c r="S366" s="6">
        <v>0</v>
      </c>
      <c r="T366" s="6">
        <v>20</v>
      </c>
      <c r="U366" s="6">
        <v>66</v>
      </c>
      <c r="V366" s="6">
        <f>IF(ISERROR(VLOOKUP($S$366,'TAR FIN'!$A$1:$O$103,15,0)),0,VLOOKUP($S$366,'TAR FIN'!$A$1:$O$103,15,0))</f>
        <v>0</v>
      </c>
      <c r="W366" s="6">
        <f>IF(ISERROR(VLOOKUP($T$366,'TAR FIN'!$A$1:$O$103,15,0)),0,VLOOKUP($T$366,'TAR FIN'!$A$1:$O$103,15,0))</f>
        <v>69.37</v>
      </c>
      <c r="X366" s="6">
        <f>IF(ISERROR(VLOOKUP($U$366,'TAR FIN'!$A$1:$O$103,15,0)),0,VLOOKUP($U$366,'TAR FIN'!$A$1:$O$103,15,0))</f>
        <v>284.36</v>
      </c>
      <c r="Y366" s="6"/>
      <c r="Z366" s="6">
        <f ca="1">('TUSD BE'!$AM$22+'TUSD BF'!$AM$22+'TUSD CVA'!$AM$22)*1</f>
        <v>111.236500713561</v>
      </c>
      <c r="AA366" s="6">
        <f>('TE BE'!$AB$9+'TE BF'!$AB$9+'TE CVA'!$AB$9)*1</f>
        <v>259.03677522481752</v>
      </c>
      <c r="AB366" s="6">
        <f>$K$366*$V$366</f>
        <v>0</v>
      </c>
      <c r="AC366" s="6">
        <f>$M$366*$W$366</f>
        <v>1047.9032200000001</v>
      </c>
      <c r="AD366" s="6">
        <f>$O$366*$X$366</f>
        <v>4295.54216</v>
      </c>
      <c r="AE366" s="6">
        <f>$K$366*$Y$366</f>
        <v>0</v>
      </c>
      <c r="AF366" s="6">
        <f ca="1">$M$366*$Z$366</f>
        <v>1680.3385797790525</v>
      </c>
      <c r="AG366" s="6">
        <f>$O$366*$AA$366</f>
        <v>3913.0095265460932</v>
      </c>
    </row>
    <row r="367" spans="1:33" ht="11.25" customHeight="1" x14ac:dyDescent="0.25">
      <c r="A367" s="4" t="s">
        <v>21</v>
      </c>
      <c r="B367" s="4" t="s">
        <v>33</v>
      </c>
      <c r="C367" s="4" t="s">
        <v>34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44593</v>
      </c>
      <c r="J367" s="6">
        <v>0</v>
      </c>
      <c r="K367" s="6">
        <v>0</v>
      </c>
      <c r="L367" s="6">
        <v>1217.2239999999999</v>
      </c>
      <c r="M367" s="6">
        <v>1217.2239999999999</v>
      </c>
      <c r="N367" s="6">
        <v>0</v>
      </c>
      <c r="O367" s="6">
        <v>0</v>
      </c>
      <c r="P367" s="6">
        <v>0</v>
      </c>
      <c r="Q367" s="4" t="s">
        <v>53</v>
      </c>
      <c r="R367" s="4">
        <v>0</v>
      </c>
      <c r="S367" s="6">
        <v>0</v>
      </c>
      <c r="T367" s="6">
        <v>20</v>
      </c>
      <c r="U367" s="6">
        <v>0</v>
      </c>
      <c r="V367" s="6">
        <f>IF(ISERROR(VLOOKUP($S$367,'TAR FIN'!$A$1:$O$103,15,0)),0,VLOOKUP($S$367,'TAR FIN'!$A$1:$O$103,15,0))</f>
        <v>0</v>
      </c>
      <c r="W367" s="6">
        <f>IF(ISERROR(VLOOKUP($T$367,'TAR FIN'!$A$1:$O$103,15,0)),0,VLOOKUP($T$367,'TAR FIN'!$A$1:$O$103,15,0))</f>
        <v>69.37</v>
      </c>
      <c r="X367" s="6">
        <f>IF(ISERROR(VLOOKUP($U$367,'TAR FIN'!$A$1:$O$103,15,0)),0,VLOOKUP($U$367,'TAR FIN'!$A$1:$O$103,15,0))</f>
        <v>0</v>
      </c>
      <c r="Y367" s="6"/>
      <c r="Z367" s="6">
        <f ca="1">('TUSD BE'!$AM$22+'TUSD BF'!$AM$22+'TUSD CVA'!$AM$22)*1</f>
        <v>111.236500713561</v>
      </c>
      <c r="AA367" s="6"/>
      <c r="AB367" s="6">
        <f>$K$367*$V$367</f>
        <v>0</v>
      </c>
      <c r="AC367" s="6">
        <f>$M$367*$W$367</f>
        <v>84438.828880000001</v>
      </c>
      <c r="AD367" s="6">
        <f>$O$367*$X$367</f>
        <v>0</v>
      </c>
      <c r="AE367" s="6">
        <f>$K$367*$Y$367</f>
        <v>0</v>
      </c>
      <c r="AF367" s="6">
        <f ca="1">$M$367*$Z$367</f>
        <v>135399.73834456358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33</v>
      </c>
      <c r="C368" s="4" t="s">
        <v>34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44621</v>
      </c>
      <c r="J368" s="6">
        <v>0</v>
      </c>
      <c r="K368" s="6">
        <v>0</v>
      </c>
      <c r="L368" s="6">
        <v>2303.9630000000002</v>
      </c>
      <c r="M368" s="6">
        <v>2303.9630000000002</v>
      </c>
      <c r="N368" s="6">
        <v>2303.9630000000002</v>
      </c>
      <c r="O368" s="6">
        <v>2303.9630000000002</v>
      </c>
      <c r="P368" s="6">
        <v>0</v>
      </c>
      <c r="Q368" s="4" t="s">
        <v>26</v>
      </c>
      <c r="R368" s="4">
        <v>0</v>
      </c>
      <c r="S368" s="6">
        <v>0</v>
      </c>
      <c r="T368" s="6">
        <v>20</v>
      </c>
      <c r="U368" s="6">
        <v>66</v>
      </c>
      <c r="V368" s="6">
        <f>IF(ISERROR(VLOOKUP($S$368,'TAR FIN'!$A$1:$O$103,15,0)),0,VLOOKUP($S$368,'TAR FIN'!$A$1:$O$103,15,0))</f>
        <v>0</v>
      </c>
      <c r="W368" s="6">
        <f>IF(ISERROR(VLOOKUP($T$368,'TAR FIN'!$A$1:$O$103,15,0)),0,VLOOKUP($T$368,'TAR FIN'!$A$1:$O$103,15,0))</f>
        <v>69.37</v>
      </c>
      <c r="X368" s="6">
        <f>IF(ISERROR(VLOOKUP($U$368,'TAR FIN'!$A$1:$O$103,15,0)),0,VLOOKUP($U$368,'TAR FIN'!$A$1:$O$103,15,0))</f>
        <v>284.36</v>
      </c>
      <c r="Y368" s="6"/>
      <c r="Z368" s="6">
        <f ca="1">('TUSD BE'!$AM$22+'TUSD BF'!$AM$22+'TUSD CVA'!$AM$22)*1</f>
        <v>111.236500713561</v>
      </c>
      <c r="AA368" s="6">
        <f>('TE BE'!$AB$9+'TE BF'!$AB$9+'TE CVA'!$AB$9)*1</f>
        <v>259.03677522481752</v>
      </c>
      <c r="AB368" s="6">
        <f>$K$368*$V$368</f>
        <v>0</v>
      </c>
      <c r="AC368" s="6">
        <f>$M$368*$W$368</f>
        <v>159825.91331000003</v>
      </c>
      <c r="AD368" s="6">
        <f>$O$368*$X$368</f>
        <v>655154.91868000012</v>
      </c>
      <c r="AE368" s="6">
        <f>$K$368*$Y$368</f>
        <v>0</v>
      </c>
      <c r="AF368" s="6">
        <f ca="1">$M$368*$Z$368</f>
        <v>256284.78189351817</v>
      </c>
      <c r="AG368" s="6">
        <f>$O$368*$AA$368</f>
        <v>596811.14575729624</v>
      </c>
    </row>
    <row r="369" spans="1:33" ht="11.25" customHeight="1" x14ac:dyDescent="0.25">
      <c r="A369" s="4" t="s">
        <v>28</v>
      </c>
      <c r="B369" s="4" t="s">
        <v>33</v>
      </c>
      <c r="C369" s="4" t="s">
        <v>34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44621</v>
      </c>
      <c r="J369" s="6">
        <v>0</v>
      </c>
      <c r="K369" s="6">
        <v>0</v>
      </c>
      <c r="L369" s="6">
        <v>25.742000000000001</v>
      </c>
      <c r="M369" s="6">
        <v>25.742000000000001</v>
      </c>
      <c r="N369" s="6">
        <v>25.742000000000001</v>
      </c>
      <c r="O369" s="6">
        <v>25.742000000000001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20</v>
      </c>
      <c r="U369" s="6">
        <v>66</v>
      </c>
      <c r="V369" s="6">
        <f>IF(ISERROR(VLOOKUP($S$369,'TAR FIN'!$A$1:$O$103,15,0)),0,VLOOKUP($S$369,'TAR FIN'!$A$1:$O$103,15,0))</f>
        <v>0</v>
      </c>
      <c r="W369" s="6">
        <f>IF(ISERROR(VLOOKUP($T$369,'TAR FIN'!$A$1:$O$103,15,0)),0,VLOOKUP($T$369,'TAR FIN'!$A$1:$O$103,15,0))</f>
        <v>69.37</v>
      </c>
      <c r="X369" s="6">
        <f>IF(ISERROR(VLOOKUP($U$369,'TAR FIN'!$A$1:$O$103,15,0)),0,VLOOKUP($U$369,'TAR FIN'!$A$1:$O$103,15,0))</f>
        <v>284.36</v>
      </c>
      <c r="Y369" s="6"/>
      <c r="Z369" s="6">
        <f ca="1">('TUSD BE'!$AM$22+'TUSD BF'!$AM$22+'TUSD CVA'!$AM$22)*1</f>
        <v>111.236500713561</v>
      </c>
      <c r="AA369" s="6">
        <f>('TE BE'!$AB$9+'TE BF'!$AB$9+'TE CVA'!$AB$9)*1</f>
        <v>259.03677522481752</v>
      </c>
      <c r="AB369" s="6">
        <f>$K$369*$V$369</f>
        <v>0</v>
      </c>
      <c r="AC369" s="6">
        <f>$M$369*$W$369</f>
        <v>1785.7225400000002</v>
      </c>
      <c r="AD369" s="6">
        <f>$O$369*$X$369</f>
        <v>7319.9951200000005</v>
      </c>
      <c r="AE369" s="6">
        <f>$K$369*$Y$369</f>
        <v>0</v>
      </c>
      <c r="AF369" s="6">
        <f ca="1">$M$369*$Z$369</f>
        <v>2863.4500013684874</v>
      </c>
      <c r="AG369" s="6">
        <f>$O$369*$AA$369</f>
        <v>6668.1246678372527</v>
      </c>
    </row>
    <row r="370" spans="1:33" ht="11.25" customHeight="1" x14ac:dyDescent="0.25">
      <c r="A370" s="4" t="s">
        <v>21</v>
      </c>
      <c r="B370" s="4" t="s">
        <v>33</v>
      </c>
      <c r="C370" s="4" t="s">
        <v>34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1248.2180000000001</v>
      </c>
      <c r="M370" s="6">
        <v>1248.2180000000001</v>
      </c>
      <c r="N370" s="6">
        <v>0</v>
      </c>
      <c r="O370" s="6">
        <v>0</v>
      </c>
      <c r="P370" s="6">
        <v>0</v>
      </c>
      <c r="Q370" s="4" t="s">
        <v>53</v>
      </c>
      <c r="R370" s="4">
        <v>0</v>
      </c>
      <c r="S370" s="6">
        <v>0</v>
      </c>
      <c r="T370" s="6">
        <v>20</v>
      </c>
      <c r="U370" s="6">
        <v>0</v>
      </c>
      <c r="V370" s="6">
        <f>IF(ISERROR(VLOOKUP($S$370,'TAR FIN'!$A$1:$O$103,15,0)),0,VLOOKUP($S$370,'TAR FIN'!$A$1:$O$103,15,0))</f>
        <v>0</v>
      </c>
      <c r="W370" s="6">
        <f>IF(ISERROR(VLOOKUP($T$370,'TAR FIN'!$A$1:$O$103,15,0)),0,VLOOKUP($T$370,'TAR FIN'!$A$1:$O$103,15,0))</f>
        <v>69.37</v>
      </c>
      <c r="X370" s="6">
        <f>IF(ISERROR(VLOOKUP($U$370,'TAR FIN'!$A$1:$O$103,15,0)),0,VLOOKUP($U$370,'TAR FIN'!$A$1:$O$103,15,0))</f>
        <v>0</v>
      </c>
      <c r="Y370" s="6"/>
      <c r="Z370" s="6">
        <f ca="1">('TUSD BE'!$AM$22+'TUSD BF'!$AM$22+'TUSD CVA'!$AM$22)*1</f>
        <v>111.236500713561</v>
      </c>
      <c r="AA370" s="6"/>
      <c r="AB370" s="6">
        <f>$K$370*$V$370</f>
        <v>0</v>
      </c>
      <c r="AC370" s="6">
        <f>$M$370*$W$370</f>
        <v>86588.882660000017</v>
      </c>
      <c r="AD370" s="6">
        <f>$O$370*$X$370</f>
        <v>0</v>
      </c>
      <c r="AE370" s="6">
        <f>$K$370*$Y$370</f>
        <v>0</v>
      </c>
      <c r="AF370" s="6">
        <f ca="1">$M$370*$Z$370</f>
        <v>138847.40244767969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33</v>
      </c>
      <c r="C371" s="4" t="s">
        <v>34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2278.2260000000001</v>
      </c>
      <c r="M371" s="6">
        <v>2278.2260000000001</v>
      </c>
      <c r="N371" s="6">
        <v>2278.2260000000001</v>
      </c>
      <c r="O371" s="6">
        <v>2278.2260000000001</v>
      </c>
      <c r="P371" s="6">
        <v>0</v>
      </c>
      <c r="Q371" s="4" t="s">
        <v>26</v>
      </c>
      <c r="R371" s="4">
        <v>0</v>
      </c>
      <c r="S371" s="6">
        <v>0</v>
      </c>
      <c r="T371" s="6">
        <v>20</v>
      </c>
      <c r="U371" s="6">
        <v>66</v>
      </c>
      <c r="V371" s="6">
        <f>IF(ISERROR(VLOOKUP($S$371,'TAR FIN'!$A$1:$O$103,15,0)),0,VLOOKUP($S$371,'TAR FIN'!$A$1:$O$103,15,0))</f>
        <v>0</v>
      </c>
      <c r="W371" s="6">
        <f>IF(ISERROR(VLOOKUP($T$371,'TAR FIN'!$A$1:$O$103,15,0)),0,VLOOKUP($T$371,'TAR FIN'!$A$1:$O$103,15,0))</f>
        <v>69.37</v>
      </c>
      <c r="X371" s="6">
        <f>IF(ISERROR(VLOOKUP($U$371,'TAR FIN'!$A$1:$O$103,15,0)),0,VLOOKUP($U$371,'TAR FIN'!$A$1:$O$103,15,0))</f>
        <v>284.36</v>
      </c>
      <c r="Y371" s="6"/>
      <c r="Z371" s="6">
        <f ca="1">('TUSD BE'!$AM$22+'TUSD BF'!$AM$22+'TUSD CVA'!$AM$22)*1</f>
        <v>111.236500713561</v>
      </c>
      <c r="AA371" s="6">
        <f>('TE BE'!$AB$9+'TE BF'!$AB$9+'TE CVA'!$AB$9)*1</f>
        <v>259.03677522481752</v>
      </c>
      <c r="AB371" s="6">
        <f>$K$371*$V$371</f>
        <v>0</v>
      </c>
      <c r="AC371" s="6">
        <f>$M$371*$W$371</f>
        <v>158040.53762000002</v>
      </c>
      <c r="AD371" s="6">
        <f>$O$371*$X$371</f>
        <v>647836.34536000004</v>
      </c>
      <c r="AE371" s="6">
        <f>$K$371*$Y$371</f>
        <v>0</v>
      </c>
      <c r="AF371" s="6">
        <f ca="1">$M$371*$Z$371</f>
        <v>253421.88807465322</v>
      </c>
      <c r="AG371" s="6">
        <f>$O$371*$AA$371</f>
        <v>590144.31627333513</v>
      </c>
    </row>
    <row r="372" spans="1:33" ht="11.25" customHeight="1" x14ac:dyDescent="0.25">
      <c r="A372" s="4" t="s">
        <v>28</v>
      </c>
      <c r="B372" s="4" t="s">
        <v>33</v>
      </c>
      <c r="C372" s="4" t="s">
        <v>34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44652</v>
      </c>
      <c r="J372" s="6">
        <v>0</v>
      </c>
      <c r="K372" s="6">
        <v>0</v>
      </c>
      <c r="L372" s="6">
        <v>19.172000000000001</v>
      </c>
      <c r="M372" s="6">
        <v>19.172000000000001</v>
      </c>
      <c r="N372" s="6">
        <v>19.172000000000001</v>
      </c>
      <c r="O372" s="6">
        <v>19.172000000000001</v>
      </c>
      <c r="P372" s="6">
        <v>0</v>
      </c>
      <c r="Q372" s="4" t="s">
        <v>26</v>
      </c>
      <c r="R372" s="4">
        <v>0</v>
      </c>
      <c r="S372" s="6">
        <v>0</v>
      </c>
      <c r="T372" s="6">
        <v>20</v>
      </c>
      <c r="U372" s="6">
        <v>66</v>
      </c>
      <c r="V372" s="6">
        <f>IF(ISERROR(VLOOKUP($S$372,'TAR FIN'!$A$1:$O$103,15,0)),0,VLOOKUP($S$372,'TAR FIN'!$A$1:$O$103,15,0))</f>
        <v>0</v>
      </c>
      <c r="W372" s="6">
        <f>IF(ISERROR(VLOOKUP($T$372,'TAR FIN'!$A$1:$O$103,15,0)),0,VLOOKUP($T$372,'TAR FIN'!$A$1:$O$103,15,0))</f>
        <v>69.37</v>
      </c>
      <c r="X372" s="6">
        <f>IF(ISERROR(VLOOKUP($U$372,'TAR FIN'!$A$1:$O$103,15,0)),0,VLOOKUP($U$372,'TAR FIN'!$A$1:$O$103,15,0))</f>
        <v>284.36</v>
      </c>
      <c r="Y372" s="6"/>
      <c r="Z372" s="6">
        <f ca="1">('TUSD BE'!$AM$22+'TUSD BF'!$AM$22+'TUSD CVA'!$AM$22)*1</f>
        <v>111.236500713561</v>
      </c>
      <c r="AA372" s="6">
        <f>('TE BE'!$AB$9+'TE BF'!$AB$9+'TE CVA'!$AB$9)*1</f>
        <v>259.03677522481752</v>
      </c>
      <c r="AB372" s="6">
        <f>$K$372*$V$372</f>
        <v>0</v>
      </c>
      <c r="AC372" s="6">
        <f>$M$372*$W$372</f>
        <v>1329.9616400000002</v>
      </c>
      <c r="AD372" s="6">
        <f>$O$372*$X$372</f>
        <v>5451.7499200000002</v>
      </c>
      <c r="AE372" s="6">
        <f>$K$372*$Y$372</f>
        <v>0</v>
      </c>
      <c r="AF372" s="6">
        <f ca="1">$M$372*$Z$372</f>
        <v>2132.6261916803915</v>
      </c>
      <c r="AG372" s="6">
        <f>$O$372*$AA$372</f>
        <v>4966.2530546102016</v>
      </c>
    </row>
    <row r="373" spans="1:33" ht="11.25" customHeight="1" x14ac:dyDescent="0.25">
      <c r="A373" s="4" t="s">
        <v>21</v>
      </c>
      <c r="B373" s="4" t="s">
        <v>33</v>
      </c>
      <c r="C373" s="4" t="s">
        <v>34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44652</v>
      </c>
      <c r="J373" s="6">
        <v>0</v>
      </c>
      <c r="K373" s="6">
        <v>0</v>
      </c>
      <c r="L373" s="6">
        <v>1454.5050000000001</v>
      </c>
      <c r="M373" s="6">
        <v>1454.5050000000001</v>
      </c>
      <c r="N373" s="6">
        <v>0</v>
      </c>
      <c r="O373" s="6">
        <v>0</v>
      </c>
      <c r="P373" s="6">
        <v>0</v>
      </c>
      <c r="Q373" s="4" t="s">
        <v>53</v>
      </c>
      <c r="R373" s="4">
        <v>0</v>
      </c>
      <c r="S373" s="6">
        <v>0</v>
      </c>
      <c r="T373" s="6">
        <v>20</v>
      </c>
      <c r="U373" s="6">
        <v>0</v>
      </c>
      <c r="V373" s="6">
        <f>IF(ISERROR(VLOOKUP($S$373,'TAR FIN'!$A$1:$O$103,15,0)),0,VLOOKUP($S$373,'TAR FIN'!$A$1:$O$103,15,0))</f>
        <v>0</v>
      </c>
      <c r="W373" s="6">
        <f>IF(ISERROR(VLOOKUP($T$373,'TAR FIN'!$A$1:$O$103,15,0)),0,VLOOKUP($T$373,'TAR FIN'!$A$1:$O$103,15,0))</f>
        <v>69.37</v>
      </c>
      <c r="X373" s="6">
        <f>IF(ISERROR(VLOOKUP($U$373,'TAR FIN'!$A$1:$O$103,15,0)),0,VLOOKUP($U$373,'TAR FIN'!$A$1:$O$103,15,0))</f>
        <v>0</v>
      </c>
      <c r="Y373" s="6"/>
      <c r="Z373" s="6">
        <f ca="1">('TUSD BE'!$AM$22+'TUSD BF'!$AM$22+'TUSD CVA'!$AM$22)*1</f>
        <v>111.236500713561</v>
      </c>
      <c r="AA373" s="6"/>
      <c r="AB373" s="6">
        <f>$K$373*$V$373</f>
        <v>0</v>
      </c>
      <c r="AC373" s="6">
        <f>$M$373*$W$373</f>
        <v>100899.01185000001</v>
      </c>
      <c r="AD373" s="6">
        <f>$O$373*$X$373</f>
        <v>0</v>
      </c>
      <c r="AE373" s="6">
        <f>$K$373*$Y$373</f>
        <v>0</v>
      </c>
      <c r="AF373" s="6">
        <f ca="1">$M$373*$Z$373</f>
        <v>161794.04647037806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33</v>
      </c>
      <c r="C374" s="4" t="s">
        <v>34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44682</v>
      </c>
      <c r="J374" s="6">
        <v>0</v>
      </c>
      <c r="K374" s="6">
        <v>0</v>
      </c>
      <c r="L374" s="6">
        <v>2448.098</v>
      </c>
      <c r="M374" s="6">
        <v>2448.098</v>
      </c>
      <c r="N374" s="6">
        <v>2448.098</v>
      </c>
      <c r="O374" s="6">
        <v>2448.098</v>
      </c>
      <c r="P374" s="6">
        <v>0</v>
      </c>
      <c r="Q374" s="4" t="s">
        <v>26</v>
      </c>
      <c r="R374" s="4">
        <v>0</v>
      </c>
      <c r="S374" s="6">
        <v>0</v>
      </c>
      <c r="T374" s="6">
        <v>20</v>
      </c>
      <c r="U374" s="6">
        <v>66</v>
      </c>
      <c r="V374" s="6">
        <f>IF(ISERROR(VLOOKUP($S$374,'TAR FIN'!$A$1:$O$103,15,0)),0,VLOOKUP($S$374,'TAR FIN'!$A$1:$O$103,15,0))</f>
        <v>0</v>
      </c>
      <c r="W374" s="6">
        <f>IF(ISERROR(VLOOKUP($T$374,'TAR FIN'!$A$1:$O$103,15,0)),0,VLOOKUP($T$374,'TAR FIN'!$A$1:$O$103,15,0))</f>
        <v>69.37</v>
      </c>
      <c r="X374" s="6">
        <f>IF(ISERROR(VLOOKUP($U$374,'TAR FIN'!$A$1:$O$103,15,0)),0,VLOOKUP($U$374,'TAR FIN'!$A$1:$O$103,15,0))</f>
        <v>284.36</v>
      </c>
      <c r="Y374" s="6"/>
      <c r="Z374" s="6">
        <f ca="1">('TUSD BE'!$AM$22+'TUSD BF'!$AM$22+'TUSD CVA'!$AM$22)*1</f>
        <v>111.236500713561</v>
      </c>
      <c r="AA374" s="6">
        <f>('TE BE'!$AB$9+'TE BF'!$AB$9+'TE CVA'!$AB$9)*1</f>
        <v>259.03677522481752</v>
      </c>
      <c r="AB374" s="6">
        <f>$K$374*$V$374</f>
        <v>0</v>
      </c>
      <c r="AC374" s="6">
        <f>$M$374*$W$374</f>
        <v>169824.55826000002</v>
      </c>
      <c r="AD374" s="6">
        <f>$O$374*$X$374</f>
        <v>696141.14728000003</v>
      </c>
      <c r="AE374" s="6">
        <f>$K$374*$Y$374</f>
        <v>0</v>
      </c>
      <c r="AF374" s="6">
        <f ca="1">$M$374*$Z$374</f>
        <v>272317.85492386727</v>
      </c>
      <c r="AG374" s="6">
        <f>$O$374*$AA$374</f>
        <v>634147.41135432536</v>
      </c>
    </row>
    <row r="375" spans="1:33" ht="11.25" customHeight="1" x14ac:dyDescent="0.25">
      <c r="A375" s="4" t="s">
        <v>28</v>
      </c>
      <c r="B375" s="4" t="s">
        <v>33</v>
      </c>
      <c r="C375" s="4" t="s">
        <v>34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44682</v>
      </c>
      <c r="J375" s="6">
        <v>0</v>
      </c>
      <c r="K375" s="6">
        <v>0</v>
      </c>
      <c r="L375" s="6">
        <v>21.18</v>
      </c>
      <c r="M375" s="6">
        <v>21.18</v>
      </c>
      <c r="N375" s="6">
        <v>21.18</v>
      </c>
      <c r="O375" s="6">
        <v>21.18</v>
      </c>
      <c r="P375" s="6">
        <v>0</v>
      </c>
      <c r="Q375" s="4" t="s">
        <v>26</v>
      </c>
      <c r="R375" s="4">
        <v>0</v>
      </c>
      <c r="S375" s="6">
        <v>0</v>
      </c>
      <c r="T375" s="6">
        <v>20</v>
      </c>
      <c r="U375" s="6">
        <v>66</v>
      </c>
      <c r="V375" s="6">
        <f>IF(ISERROR(VLOOKUP($S$375,'TAR FIN'!$A$1:$O$103,15,0)),0,VLOOKUP($S$375,'TAR FIN'!$A$1:$O$103,15,0))</f>
        <v>0</v>
      </c>
      <c r="W375" s="6">
        <f>IF(ISERROR(VLOOKUP($T$375,'TAR FIN'!$A$1:$O$103,15,0)),0,VLOOKUP($T$375,'TAR FIN'!$A$1:$O$103,15,0))</f>
        <v>69.37</v>
      </c>
      <c r="X375" s="6">
        <f>IF(ISERROR(VLOOKUP($U$375,'TAR FIN'!$A$1:$O$103,15,0)),0,VLOOKUP($U$375,'TAR FIN'!$A$1:$O$103,15,0))</f>
        <v>284.36</v>
      </c>
      <c r="Y375" s="6"/>
      <c r="Z375" s="6">
        <f ca="1">('TUSD BE'!$AM$22+'TUSD BF'!$AM$22+'TUSD CVA'!$AM$22)*1</f>
        <v>111.236500713561</v>
      </c>
      <c r="AA375" s="6">
        <f>('TE BE'!$AB$9+'TE BF'!$AB$9+'TE CVA'!$AB$9)*1</f>
        <v>259.03677522481752</v>
      </c>
      <c r="AB375" s="6">
        <f>$K$375*$V$375</f>
        <v>0</v>
      </c>
      <c r="AC375" s="6">
        <f>$M$375*$W$375</f>
        <v>1469.2566000000002</v>
      </c>
      <c r="AD375" s="6">
        <f>$O$375*$X$375</f>
        <v>6022.7448000000004</v>
      </c>
      <c r="AE375" s="6">
        <f>$K$375*$Y$375</f>
        <v>0</v>
      </c>
      <c r="AF375" s="6">
        <f ca="1">$M$375*$Z$375</f>
        <v>2355.9890851132218</v>
      </c>
      <c r="AG375" s="6">
        <f>$O$375*$AA$375</f>
        <v>5486.3988992616351</v>
      </c>
    </row>
    <row r="376" spans="1:33" ht="11.25" customHeight="1" x14ac:dyDescent="0.25">
      <c r="A376" s="4" t="s">
        <v>21</v>
      </c>
      <c r="B376" s="4" t="s">
        <v>33</v>
      </c>
      <c r="C376" s="4" t="s">
        <v>34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44682</v>
      </c>
      <c r="J376" s="6">
        <v>0</v>
      </c>
      <c r="K376" s="6">
        <v>0</v>
      </c>
      <c r="L376" s="6">
        <v>1225.2950000000001</v>
      </c>
      <c r="M376" s="6">
        <v>1225.2950000000001</v>
      </c>
      <c r="N376" s="6">
        <v>0</v>
      </c>
      <c r="O376" s="6">
        <v>0</v>
      </c>
      <c r="P376" s="6">
        <v>0</v>
      </c>
      <c r="Q376" s="4" t="s">
        <v>53</v>
      </c>
      <c r="R376" s="4">
        <v>0</v>
      </c>
      <c r="S376" s="6">
        <v>0</v>
      </c>
      <c r="T376" s="6">
        <v>20</v>
      </c>
      <c r="U376" s="6">
        <v>0</v>
      </c>
      <c r="V376" s="6">
        <f>IF(ISERROR(VLOOKUP($S$376,'TAR FIN'!$A$1:$O$103,15,0)),0,VLOOKUP($S$376,'TAR FIN'!$A$1:$O$103,15,0))</f>
        <v>0</v>
      </c>
      <c r="W376" s="6">
        <f>IF(ISERROR(VLOOKUP($T$376,'TAR FIN'!$A$1:$O$103,15,0)),0,VLOOKUP($T$376,'TAR FIN'!$A$1:$O$103,15,0))</f>
        <v>69.37</v>
      </c>
      <c r="X376" s="6">
        <f>IF(ISERROR(VLOOKUP($U$376,'TAR FIN'!$A$1:$O$103,15,0)),0,VLOOKUP($U$376,'TAR FIN'!$A$1:$O$103,15,0))</f>
        <v>0</v>
      </c>
      <c r="Y376" s="6"/>
      <c r="Z376" s="6">
        <f ca="1">('TUSD BE'!$AM$22+'TUSD BF'!$AM$22+'TUSD CVA'!$AM$22)*1</f>
        <v>111.236500713561</v>
      </c>
      <c r="AA376" s="6"/>
      <c r="AB376" s="6">
        <f>$K$376*$V$376</f>
        <v>0</v>
      </c>
      <c r="AC376" s="6">
        <f>$M$376*$W$376</f>
        <v>84998.714150000014</v>
      </c>
      <c r="AD376" s="6">
        <f>$O$376*$X$376</f>
        <v>0</v>
      </c>
      <c r="AE376" s="6">
        <f>$K$376*$Y$376</f>
        <v>0</v>
      </c>
      <c r="AF376" s="6">
        <f ca="1">$M$376*$Z$376</f>
        <v>136297.52814182272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33</v>
      </c>
      <c r="C377" s="4" t="s">
        <v>34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44348</v>
      </c>
      <c r="J377" s="6">
        <v>15381</v>
      </c>
      <c r="K377" s="6">
        <v>15381</v>
      </c>
      <c r="L377" s="6">
        <v>0</v>
      </c>
      <c r="M377" s="6">
        <v>0</v>
      </c>
      <c r="N377" s="6">
        <v>0</v>
      </c>
      <c r="O377" s="6">
        <v>0</v>
      </c>
      <c r="P377" s="6">
        <v>81</v>
      </c>
      <c r="Q377" s="4" t="s">
        <v>26</v>
      </c>
      <c r="R377" s="4">
        <v>0</v>
      </c>
      <c r="S377" s="6">
        <v>18</v>
      </c>
      <c r="T377" s="6">
        <v>0</v>
      </c>
      <c r="U377" s="6">
        <v>0</v>
      </c>
      <c r="V377" s="6">
        <f>IF(ISERROR(VLOOKUP($S$377,'TAR FIN'!$A$1:$O$103,15,0)),0,VLOOKUP($S$377,'TAR FIN'!$A$1:$O$103,15,0))</f>
        <v>12.42</v>
      </c>
      <c r="W377" s="6">
        <f>IF(ISERROR(VLOOKUP($T$377,'TAR FIN'!$A$1:$O$103,15,0)),0,VLOOKUP($T$377,'TAR FIN'!$A$1:$O$103,15,0))</f>
        <v>0</v>
      </c>
      <c r="X377" s="6">
        <f>IF(ISERROR(VLOOKUP($U$377,'TAR FIN'!$A$1:$O$103,15,0)),0,VLOOKUP($U$377,'TAR FIN'!$A$1:$O$103,15,0))</f>
        <v>0</v>
      </c>
      <c r="Y377" s="6">
        <f ca="1">('TUSD BE'!$AM$20+'TUSD BF'!$AM$20+'TUSD CVA'!$AM$20)*1</f>
        <v>16.518304697547443</v>
      </c>
      <c r="Z377" s="6"/>
      <c r="AA377" s="6"/>
      <c r="AB377" s="6">
        <f>$K$377*$V$377</f>
        <v>191032.02</v>
      </c>
      <c r="AC377" s="6">
        <f>$M$377*$W$377</f>
        <v>0</v>
      </c>
      <c r="AD377" s="6">
        <f>$O$377*$X$377</f>
        <v>0</v>
      </c>
      <c r="AE377" s="6">
        <f ca="1">$K$377*$Y$377</f>
        <v>254068.04455297723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33</v>
      </c>
      <c r="C378" s="4" t="s">
        <v>34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44348</v>
      </c>
      <c r="J378" s="6">
        <v>4750</v>
      </c>
      <c r="K378" s="6">
        <v>4750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4" t="s">
        <v>53</v>
      </c>
      <c r="R378" s="4">
        <v>0</v>
      </c>
      <c r="S378" s="6">
        <v>18</v>
      </c>
      <c r="T378" s="6">
        <v>0</v>
      </c>
      <c r="U378" s="6">
        <v>0</v>
      </c>
      <c r="V378" s="6">
        <f>IF(ISERROR(VLOOKUP($S$378,'TAR FIN'!$A$1:$O$103,15,0)),0,VLOOKUP($S$378,'TAR FIN'!$A$1:$O$103,15,0))</f>
        <v>12.42</v>
      </c>
      <c r="W378" s="6">
        <f>IF(ISERROR(VLOOKUP($T$378,'TAR FIN'!$A$1:$O$103,15,0)),0,VLOOKUP($T$378,'TAR FIN'!$A$1:$O$103,15,0))</f>
        <v>0</v>
      </c>
      <c r="X378" s="6">
        <f>IF(ISERROR(VLOOKUP($U$378,'TAR FIN'!$A$1:$O$103,15,0)),0,VLOOKUP($U$378,'TAR FIN'!$A$1:$O$103,15,0))</f>
        <v>0</v>
      </c>
      <c r="Y378" s="6">
        <f ca="1">('TUSD BE'!$AM$20+'TUSD BF'!$AM$20+'TUSD CVA'!$AM$20)*1</f>
        <v>16.518304697547443</v>
      </c>
      <c r="Z378" s="6"/>
      <c r="AA378" s="6"/>
      <c r="AB378" s="6">
        <f>$K$378*$V$378</f>
        <v>58995</v>
      </c>
      <c r="AC378" s="6">
        <f>$M$378*$W$378</f>
        <v>0</v>
      </c>
      <c r="AD378" s="6">
        <f>$O$378*$X$378</f>
        <v>0</v>
      </c>
      <c r="AE378" s="6">
        <f ca="1">$K$378*$Y$378</f>
        <v>78461.947313350349</v>
      </c>
      <c r="AF378" s="6">
        <f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33</v>
      </c>
      <c r="C379" s="4" t="s">
        <v>34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44378</v>
      </c>
      <c r="J379" s="6">
        <v>15303</v>
      </c>
      <c r="K379" s="6">
        <v>15303</v>
      </c>
      <c r="L379" s="6">
        <v>0</v>
      </c>
      <c r="M379" s="6">
        <v>0</v>
      </c>
      <c r="N379" s="6">
        <v>0</v>
      </c>
      <c r="O379" s="6">
        <v>0</v>
      </c>
      <c r="P379" s="6">
        <v>80</v>
      </c>
      <c r="Q379" s="4" t="s">
        <v>26</v>
      </c>
      <c r="R379" s="4">
        <v>0</v>
      </c>
      <c r="S379" s="6">
        <v>18</v>
      </c>
      <c r="T379" s="6">
        <v>0</v>
      </c>
      <c r="U379" s="6">
        <v>0</v>
      </c>
      <c r="V379" s="6">
        <f>IF(ISERROR(VLOOKUP($S$379,'TAR FIN'!$A$1:$O$103,15,0)),0,VLOOKUP($S$379,'TAR FIN'!$A$1:$O$103,15,0))</f>
        <v>12.42</v>
      </c>
      <c r="W379" s="6">
        <f>IF(ISERROR(VLOOKUP($T$379,'TAR FIN'!$A$1:$O$103,15,0)),0,VLOOKUP($T$379,'TAR FIN'!$A$1:$O$103,15,0))</f>
        <v>0</v>
      </c>
      <c r="X379" s="6">
        <f>IF(ISERROR(VLOOKUP($U$379,'TAR FIN'!$A$1:$O$103,15,0)),0,VLOOKUP($U$379,'TAR FIN'!$A$1:$O$103,15,0))</f>
        <v>0</v>
      </c>
      <c r="Y379" s="6">
        <f ca="1">('TUSD BE'!$AM$20+'TUSD BF'!$AM$20+'TUSD CVA'!$AM$20)*1</f>
        <v>16.518304697547443</v>
      </c>
      <c r="Z379" s="6"/>
      <c r="AA379" s="6"/>
      <c r="AB379" s="6">
        <f>$K$379*$V$379</f>
        <v>190063.26</v>
      </c>
      <c r="AC379" s="6">
        <f>$M$379*$W$379</f>
        <v>0</v>
      </c>
      <c r="AD379" s="6">
        <f>$O$379*$X$379</f>
        <v>0</v>
      </c>
      <c r="AE379" s="6">
        <f ca="1">$K$379*$Y$379</f>
        <v>252779.61678656851</v>
      </c>
      <c r="AF379" s="6">
        <f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33</v>
      </c>
      <c r="C380" s="4" t="s">
        <v>34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44378</v>
      </c>
      <c r="J380" s="6">
        <v>4750</v>
      </c>
      <c r="K380" s="6">
        <v>4750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4" t="s">
        <v>53</v>
      </c>
      <c r="R380" s="4">
        <v>0</v>
      </c>
      <c r="S380" s="6">
        <v>18</v>
      </c>
      <c r="T380" s="6">
        <v>0</v>
      </c>
      <c r="U380" s="6">
        <v>0</v>
      </c>
      <c r="V380" s="6">
        <f>IF(ISERROR(VLOOKUP($S$380,'TAR FIN'!$A$1:$O$103,15,0)),0,VLOOKUP($S$380,'TAR FIN'!$A$1:$O$103,15,0))</f>
        <v>12.42</v>
      </c>
      <c r="W380" s="6">
        <f>IF(ISERROR(VLOOKUP($T$380,'TAR FIN'!$A$1:$O$103,15,0)),0,VLOOKUP($T$380,'TAR FIN'!$A$1:$O$103,15,0))</f>
        <v>0</v>
      </c>
      <c r="X380" s="6">
        <f>IF(ISERROR(VLOOKUP($U$380,'TAR FIN'!$A$1:$O$103,15,0)),0,VLOOKUP($U$380,'TAR FIN'!$A$1:$O$103,15,0))</f>
        <v>0</v>
      </c>
      <c r="Y380" s="6">
        <f ca="1">('TUSD BE'!$AM$20+'TUSD BF'!$AM$20+'TUSD CVA'!$AM$20)*1</f>
        <v>16.518304697547443</v>
      </c>
      <c r="Z380" s="6"/>
      <c r="AA380" s="6"/>
      <c r="AB380" s="6">
        <f>$K$380*$V$380</f>
        <v>58995</v>
      </c>
      <c r="AC380" s="6">
        <f>$M$380*$W$380</f>
        <v>0</v>
      </c>
      <c r="AD380" s="6">
        <f>$O$380*$X$380</f>
        <v>0</v>
      </c>
      <c r="AE380" s="6">
        <f ca="1">$K$380*$Y$380</f>
        <v>78461.947313350349</v>
      </c>
      <c r="AF380" s="6">
        <f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33</v>
      </c>
      <c r="C381" s="4" t="s">
        <v>34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44409</v>
      </c>
      <c r="J381" s="6">
        <v>15329</v>
      </c>
      <c r="K381" s="6">
        <v>15329</v>
      </c>
      <c r="L381" s="6">
        <v>0</v>
      </c>
      <c r="M381" s="6">
        <v>0</v>
      </c>
      <c r="N381" s="6">
        <v>0</v>
      </c>
      <c r="O381" s="6">
        <v>0</v>
      </c>
      <c r="P381" s="6">
        <v>80</v>
      </c>
      <c r="Q381" s="4" t="s">
        <v>26</v>
      </c>
      <c r="R381" s="4">
        <v>0</v>
      </c>
      <c r="S381" s="6">
        <v>18</v>
      </c>
      <c r="T381" s="6">
        <v>0</v>
      </c>
      <c r="U381" s="6">
        <v>0</v>
      </c>
      <c r="V381" s="6">
        <f>IF(ISERROR(VLOOKUP($S$381,'TAR FIN'!$A$1:$O$103,15,0)),0,VLOOKUP($S$381,'TAR FIN'!$A$1:$O$103,15,0))</f>
        <v>12.42</v>
      </c>
      <c r="W381" s="6">
        <f>IF(ISERROR(VLOOKUP($T$381,'TAR FIN'!$A$1:$O$103,15,0)),0,VLOOKUP($T$381,'TAR FIN'!$A$1:$O$103,15,0))</f>
        <v>0</v>
      </c>
      <c r="X381" s="6">
        <f>IF(ISERROR(VLOOKUP($U$381,'TAR FIN'!$A$1:$O$103,15,0)),0,VLOOKUP($U$381,'TAR FIN'!$A$1:$O$103,15,0))</f>
        <v>0</v>
      </c>
      <c r="Y381" s="6">
        <f ca="1">('TUSD BE'!$AM$20+'TUSD BF'!$AM$20+'TUSD CVA'!$AM$20)*1</f>
        <v>16.518304697547443</v>
      </c>
      <c r="Z381" s="6"/>
      <c r="AA381" s="6"/>
      <c r="AB381" s="6">
        <f>$K$381*$V$381</f>
        <v>190386.18</v>
      </c>
      <c r="AC381" s="6">
        <f>$M$381*$W$381</f>
        <v>0</v>
      </c>
      <c r="AD381" s="6">
        <f>$O$381*$X$381</f>
        <v>0</v>
      </c>
      <c r="AE381" s="6">
        <f ca="1">$K$381*$Y$381</f>
        <v>253209.09270870476</v>
      </c>
      <c r="AF381" s="6">
        <f>$M$381*$Z$381</f>
        <v>0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33</v>
      </c>
      <c r="C382" s="4" t="s">
        <v>34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44409</v>
      </c>
      <c r="J382" s="6">
        <v>4750</v>
      </c>
      <c r="K382" s="6">
        <v>4750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4" t="s">
        <v>53</v>
      </c>
      <c r="R382" s="4">
        <v>0</v>
      </c>
      <c r="S382" s="6">
        <v>18</v>
      </c>
      <c r="T382" s="6">
        <v>0</v>
      </c>
      <c r="U382" s="6">
        <v>0</v>
      </c>
      <c r="V382" s="6">
        <f>IF(ISERROR(VLOOKUP($S$382,'TAR FIN'!$A$1:$O$103,15,0)),0,VLOOKUP($S$382,'TAR FIN'!$A$1:$O$103,15,0))</f>
        <v>12.42</v>
      </c>
      <c r="W382" s="6">
        <f>IF(ISERROR(VLOOKUP($T$382,'TAR FIN'!$A$1:$O$103,15,0)),0,VLOOKUP($T$382,'TAR FIN'!$A$1:$O$103,15,0))</f>
        <v>0</v>
      </c>
      <c r="X382" s="6">
        <f>IF(ISERROR(VLOOKUP($U$382,'TAR FIN'!$A$1:$O$103,15,0)),0,VLOOKUP($U$382,'TAR FIN'!$A$1:$O$103,15,0))</f>
        <v>0</v>
      </c>
      <c r="Y382" s="6">
        <f ca="1">('TUSD BE'!$AM$20+'TUSD BF'!$AM$20+'TUSD CVA'!$AM$20)*1</f>
        <v>16.518304697547443</v>
      </c>
      <c r="Z382" s="6"/>
      <c r="AA382" s="6"/>
      <c r="AB382" s="6">
        <f>$K$382*$V$382</f>
        <v>58995</v>
      </c>
      <c r="AC382" s="6">
        <f>$M$382*$W$382</f>
        <v>0</v>
      </c>
      <c r="AD382" s="6">
        <f>$O$382*$X$382</f>
        <v>0</v>
      </c>
      <c r="AE382" s="6">
        <f ca="1">$K$382*$Y$382</f>
        <v>78461.947313350349</v>
      </c>
      <c r="AF382" s="6">
        <f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33</v>
      </c>
      <c r="C383" s="4" t="s">
        <v>34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44440</v>
      </c>
      <c r="J383" s="6">
        <v>13950</v>
      </c>
      <c r="K383" s="6">
        <v>13950</v>
      </c>
      <c r="L383" s="6">
        <v>0</v>
      </c>
      <c r="M383" s="6">
        <v>0</v>
      </c>
      <c r="N383" s="6">
        <v>0</v>
      </c>
      <c r="O383" s="6">
        <v>0</v>
      </c>
      <c r="P383" s="6">
        <v>79</v>
      </c>
      <c r="Q383" s="4" t="s">
        <v>26</v>
      </c>
      <c r="R383" s="4">
        <v>0</v>
      </c>
      <c r="S383" s="6">
        <v>18</v>
      </c>
      <c r="T383" s="6">
        <v>0</v>
      </c>
      <c r="U383" s="6">
        <v>0</v>
      </c>
      <c r="V383" s="6">
        <f>IF(ISERROR(VLOOKUP($S$383,'TAR FIN'!$A$1:$O$103,15,0)),0,VLOOKUP($S$383,'TAR FIN'!$A$1:$O$103,15,0))</f>
        <v>12.42</v>
      </c>
      <c r="W383" s="6">
        <f>IF(ISERROR(VLOOKUP($T$383,'TAR FIN'!$A$1:$O$103,15,0)),0,VLOOKUP($T$383,'TAR FIN'!$A$1:$O$103,15,0))</f>
        <v>0</v>
      </c>
      <c r="X383" s="6">
        <f>IF(ISERROR(VLOOKUP($U$383,'TAR FIN'!$A$1:$O$103,15,0)),0,VLOOKUP($U$383,'TAR FIN'!$A$1:$O$103,15,0))</f>
        <v>0</v>
      </c>
      <c r="Y383" s="6">
        <f ca="1">('TUSD BE'!$AM$20+'TUSD BF'!$AM$20+'TUSD CVA'!$AM$20)*1</f>
        <v>16.518304697547443</v>
      </c>
      <c r="Z383" s="6"/>
      <c r="AA383" s="6"/>
      <c r="AB383" s="6">
        <f>$K$383*$V$383</f>
        <v>173259</v>
      </c>
      <c r="AC383" s="6">
        <f>$M$383*$W$383</f>
        <v>0</v>
      </c>
      <c r="AD383" s="6">
        <f>$O$383*$X$383</f>
        <v>0</v>
      </c>
      <c r="AE383" s="6">
        <f ca="1">$K$383*$Y$383</f>
        <v>230430.35053078682</v>
      </c>
      <c r="AF383" s="6">
        <f>$M$383*$Z$383</f>
        <v>0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33</v>
      </c>
      <c r="C384" s="4" t="s">
        <v>34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44440</v>
      </c>
      <c r="J384" s="6">
        <v>6350</v>
      </c>
      <c r="K384" s="6">
        <v>6350</v>
      </c>
      <c r="L384" s="6">
        <v>0</v>
      </c>
      <c r="M384" s="6">
        <v>0</v>
      </c>
      <c r="N384" s="6">
        <v>0</v>
      </c>
      <c r="O384" s="6">
        <v>0</v>
      </c>
      <c r="P384" s="6">
        <v>2</v>
      </c>
      <c r="Q384" s="4" t="s">
        <v>53</v>
      </c>
      <c r="R384" s="4">
        <v>0</v>
      </c>
      <c r="S384" s="6">
        <v>18</v>
      </c>
      <c r="T384" s="6">
        <v>0</v>
      </c>
      <c r="U384" s="6">
        <v>0</v>
      </c>
      <c r="V384" s="6">
        <f>IF(ISERROR(VLOOKUP($S$384,'TAR FIN'!$A$1:$O$103,15,0)),0,VLOOKUP($S$384,'TAR FIN'!$A$1:$O$103,15,0))</f>
        <v>12.42</v>
      </c>
      <c r="W384" s="6">
        <f>IF(ISERROR(VLOOKUP($T$384,'TAR FIN'!$A$1:$O$103,15,0)),0,VLOOKUP($T$384,'TAR FIN'!$A$1:$O$103,15,0))</f>
        <v>0</v>
      </c>
      <c r="X384" s="6">
        <f>IF(ISERROR(VLOOKUP($U$384,'TAR FIN'!$A$1:$O$103,15,0)),0,VLOOKUP($U$384,'TAR FIN'!$A$1:$O$103,15,0))</f>
        <v>0</v>
      </c>
      <c r="Y384" s="6">
        <f ca="1">('TUSD BE'!$AM$20+'TUSD BF'!$AM$20+'TUSD CVA'!$AM$20)*1</f>
        <v>16.518304697547443</v>
      </c>
      <c r="Z384" s="6"/>
      <c r="AA384" s="6"/>
      <c r="AB384" s="6">
        <f>$K$384*$V$384</f>
        <v>78867</v>
      </c>
      <c r="AC384" s="6">
        <f>$M$384*$W$384</f>
        <v>0</v>
      </c>
      <c r="AD384" s="6">
        <f>$O$384*$X$384</f>
        <v>0</v>
      </c>
      <c r="AE384" s="6">
        <f ca="1">$K$384*$Y$384</f>
        <v>104891.23482942626</v>
      </c>
      <c r="AF384" s="6">
        <f>$M$384*$Z$384</f>
        <v>0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33</v>
      </c>
      <c r="C385" s="4" t="s">
        <v>34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44470</v>
      </c>
      <c r="J385" s="6">
        <v>13821</v>
      </c>
      <c r="K385" s="6">
        <v>13821</v>
      </c>
      <c r="L385" s="6">
        <v>0</v>
      </c>
      <c r="M385" s="6">
        <v>0</v>
      </c>
      <c r="N385" s="6">
        <v>0</v>
      </c>
      <c r="O385" s="6">
        <v>0</v>
      </c>
      <c r="P385" s="6">
        <v>78</v>
      </c>
      <c r="Q385" s="4" t="s">
        <v>26</v>
      </c>
      <c r="R385" s="4">
        <v>0</v>
      </c>
      <c r="S385" s="6">
        <v>18</v>
      </c>
      <c r="T385" s="6">
        <v>0</v>
      </c>
      <c r="U385" s="6">
        <v>0</v>
      </c>
      <c r="V385" s="6">
        <f>IF(ISERROR(VLOOKUP($S$385,'TAR FIN'!$A$1:$O$103,15,0)),0,VLOOKUP($S$385,'TAR FIN'!$A$1:$O$103,15,0))</f>
        <v>12.42</v>
      </c>
      <c r="W385" s="6">
        <f>IF(ISERROR(VLOOKUP($T$385,'TAR FIN'!$A$1:$O$103,15,0)),0,VLOOKUP($T$385,'TAR FIN'!$A$1:$O$103,15,0))</f>
        <v>0</v>
      </c>
      <c r="X385" s="6">
        <f>IF(ISERROR(VLOOKUP($U$385,'TAR FIN'!$A$1:$O$103,15,0)),0,VLOOKUP($U$385,'TAR FIN'!$A$1:$O$103,15,0))</f>
        <v>0</v>
      </c>
      <c r="Y385" s="6">
        <f ca="1">('TUSD BE'!$AM$20+'TUSD BF'!$AM$20+'TUSD CVA'!$AM$20)*1</f>
        <v>16.518304697547443</v>
      </c>
      <c r="Z385" s="6"/>
      <c r="AA385" s="6"/>
      <c r="AB385" s="6">
        <f>$K$385*$V$385</f>
        <v>171656.82</v>
      </c>
      <c r="AC385" s="6">
        <f>$M$385*$W$385</f>
        <v>0</v>
      </c>
      <c r="AD385" s="6">
        <f>$O$385*$X$385</f>
        <v>0</v>
      </c>
      <c r="AE385" s="6">
        <f ca="1">$K$385*$Y$385</f>
        <v>228299.4892248032</v>
      </c>
      <c r="AF385" s="6">
        <f>$M$385*$Z$385</f>
        <v>0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33</v>
      </c>
      <c r="C386" s="4" t="s">
        <v>34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44470</v>
      </c>
      <c r="J386" s="6">
        <v>6350</v>
      </c>
      <c r="K386" s="6">
        <v>6350</v>
      </c>
      <c r="L386" s="6">
        <v>0</v>
      </c>
      <c r="M386" s="6">
        <v>0</v>
      </c>
      <c r="N386" s="6">
        <v>0</v>
      </c>
      <c r="O386" s="6">
        <v>0</v>
      </c>
      <c r="P386" s="6">
        <v>2</v>
      </c>
      <c r="Q386" s="4" t="s">
        <v>53</v>
      </c>
      <c r="R386" s="4">
        <v>0</v>
      </c>
      <c r="S386" s="6">
        <v>18</v>
      </c>
      <c r="T386" s="6">
        <v>0</v>
      </c>
      <c r="U386" s="6">
        <v>0</v>
      </c>
      <c r="V386" s="6">
        <f>IF(ISERROR(VLOOKUP($S$386,'TAR FIN'!$A$1:$O$103,15,0)),0,VLOOKUP($S$386,'TAR FIN'!$A$1:$O$103,15,0))</f>
        <v>12.42</v>
      </c>
      <c r="W386" s="6">
        <f>IF(ISERROR(VLOOKUP($T$386,'TAR FIN'!$A$1:$O$103,15,0)),0,VLOOKUP($T$386,'TAR FIN'!$A$1:$O$103,15,0))</f>
        <v>0</v>
      </c>
      <c r="X386" s="6">
        <f>IF(ISERROR(VLOOKUP($U$386,'TAR FIN'!$A$1:$O$103,15,0)),0,VLOOKUP($U$386,'TAR FIN'!$A$1:$O$103,15,0))</f>
        <v>0</v>
      </c>
      <c r="Y386" s="6">
        <f ca="1">('TUSD BE'!$AM$20+'TUSD BF'!$AM$20+'TUSD CVA'!$AM$20)*1</f>
        <v>16.518304697547443</v>
      </c>
      <c r="Z386" s="6"/>
      <c r="AA386" s="6"/>
      <c r="AB386" s="6">
        <f>$K$386*$V$386</f>
        <v>78867</v>
      </c>
      <c r="AC386" s="6">
        <f>$M$386*$W$386</f>
        <v>0</v>
      </c>
      <c r="AD386" s="6">
        <f>$O$386*$X$386</f>
        <v>0</v>
      </c>
      <c r="AE386" s="6">
        <f ca="1">$K$386*$Y$386</f>
        <v>104891.23482942626</v>
      </c>
      <c r="AF386" s="6">
        <f>$M$386*$Z$386</f>
        <v>0</v>
      </c>
      <c r="AG386" s="6">
        <f>$O$386*$AA$386</f>
        <v>0</v>
      </c>
    </row>
    <row r="387" spans="1:33" ht="11.25" customHeight="1" x14ac:dyDescent="0.25">
      <c r="A387" s="4" t="s">
        <v>21</v>
      </c>
      <c r="B387" s="4" t="s">
        <v>33</v>
      </c>
      <c r="C387" s="4" t="s">
        <v>34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13823</v>
      </c>
      <c r="K387" s="6">
        <v>13823</v>
      </c>
      <c r="L387" s="6">
        <v>0</v>
      </c>
      <c r="M387" s="6">
        <v>0</v>
      </c>
      <c r="N387" s="6">
        <v>0</v>
      </c>
      <c r="O387" s="6">
        <v>0</v>
      </c>
      <c r="P387" s="6">
        <v>78</v>
      </c>
      <c r="Q387" s="4" t="s">
        <v>26</v>
      </c>
      <c r="R387" s="4">
        <v>0</v>
      </c>
      <c r="S387" s="6">
        <v>18</v>
      </c>
      <c r="T387" s="6">
        <v>0</v>
      </c>
      <c r="U387" s="6">
        <v>0</v>
      </c>
      <c r="V387" s="6">
        <f>IF(ISERROR(VLOOKUP($S$387,'TAR FIN'!$A$1:$O$103,15,0)),0,VLOOKUP($S$387,'TAR FIN'!$A$1:$O$103,15,0))</f>
        <v>12.42</v>
      </c>
      <c r="W387" s="6">
        <f>IF(ISERROR(VLOOKUP($T$387,'TAR FIN'!$A$1:$O$103,15,0)),0,VLOOKUP($T$387,'TAR FIN'!$A$1:$O$103,15,0))</f>
        <v>0</v>
      </c>
      <c r="X387" s="6">
        <f>IF(ISERROR(VLOOKUP($U$387,'TAR FIN'!$A$1:$O$103,15,0)),0,VLOOKUP($U$387,'TAR FIN'!$A$1:$O$103,15,0))</f>
        <v>0</v>
      </c>
      <c r="Y387" s="6">
        <f ca="1">('TUSD BE'!$AM$20+'TUSD BF'!$AM$20+'TUSD CVA'!$AM$20)*1</f>
        <v>16.518304697547443</v>
      </c>
      <c r="Z387" s="6"/>
      <c r="AA387" s="6"/>
      <c r="AB387" s="6">
        <f>$K$387*$V$387</f>
        <v>171681.66</v>
      </c>
      <c r="AC387" s="6">
        <f>$M$387*$W$387</f>
        <v>0</v>
      </c>
      <c r="AD387" s="6">
        <f>$O$387*$X$387</f>
        <v>0</v>
      </c>
      <c r="AE387" s="6">
        <f ca="1">$K$387*$Y$387</f>
        <v>228332.52583419828</v>
      </c>
      <c r="AF387" s="6">
        <f>$M$387*$Z$387</f>
        <v>0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33</v>
      </c>
      <c r="C388" s="4" t="s">
        <v>34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6350</v>
      </c>
      <c r="K388" s="6">
        <v>6350</v>
      </c>
      <c r="L388" s="6">
        <v>0</v>
      </c>
      <c r="M388" s="6">
        <v>0</v>
      </c>
      <c r="N388" s="6">
        <v>0</v>
      </c>
      <c r="O388" s="6">
        <v>0</v>
      </c>
      <c r="P388" s="6">
        <v>2</v>
      </c>
      <c r="Q388" s="4" t="s">
        <v>53</v>
      </c>
      <c r="R388" s="4">
        <v>0</v>
      </c>
      <c r="S388" s="6">
        <v>18</v>
      </c>
      <c r="T388" s="6">
        <v>0</v>
      </c>
      <c r="U388" s="6">
        <v>0</v>
      </c>
      <c r="V388" s="6">
        <f>IF(ISERROR(VLOOKUP($S$388,'TAR FIN'!$A$1:$O$103,15,0)),0,VLOOKUP($S$388,'TAR FIN'!$A$1:$O$103,15,0))</f>
        <v>12.42</v>
      </c>
      <c r="W388" s="6">
        <f>IF(ISERROR(VLOOKUP($T$388,'TAR FIN'!$A$1:$O$103,15,0)),0,VLOOKUP($T$388,'TAR FIN'!$A$1:$O$103,15,0))</f>
        <v>0</v>
      </c>
      <c r="X388" s="6">
        <f>IF(ISERROR(VLOOKUP($U$388,'TAR FIN'!$A$1:$O$103,15,0)),0,VLOOKUP($U$388,'TAR FIN'!$A$1:$O$103,15,0))</f>
        <v>0</v>
      </c>
      <c r="Y388" s="6">
        <f ca="1">('TUSD BE'!$AM$20+'TUSD BF'!$AM$20+'TUSD CVA'!$AM$20)*1</f>
        <v>16.518304697547443</v>
      </c>
      <c r="Z388" s="6"/>
      <c r="AA388" s="6"/>
      <c r="AB388" s="6">
        <f>$K$388*$V$388</f>
        <v>78867</v>
      </c>
      <c r="AC388" s="6">
        <f>$M$388*$W$388</f>
        <v>0</v>
      </c>
      <c r="AD388" s="6">
        <f>$O$388*$X$388</f>
        <v>0</v>
      </c>
      <c r="AE388" s="6">
        <f ca="1">$K$388*$Y$388</f>
        <v>104891.23482942626</v>
      </c>
      <c r="AF388" s="6">
        <f>$M$388*$Z$388</f>
        <v>0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33</v>
      </c>
      <c r="C389" s="4" t="s">
        <v>34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13606</v>
      </c>
      <c r="K389" s="6">
        <v>13606</v>
      </c>
      <c r="L389" s="6">
        <v>0</v>
      </c>
      <c r="M389" s="6">
        <v>0</v>
      </c>
      <c r="N389" s="6">
        <v>0</v>
      </c>
      <c r="O389" s="6">
        <v>0</v>
      </c>
      <c r="P389" s="6">
        <v>77</v>
      </c>
      <c r="Q389" s="4" t="s">
        <v>26</v>
      </c>
      <c r="R389" s="4">
        <v>0</v>
      </c>
      <c r="S389" s="6">
        <v>18</v>
      </c>
      <c r="T389" s="6">
        <v>0</v>
      </c>
      <c r="U389" s="6">
        <v>0</v>
      </c>
      <c r="V389" s="6">
        <f>IF(ISERROR(VLOOKUP($S$389,'TAR FIN'!$A$1:$O$103,15,0)),0,VLOOKUP($S$389,'TAR FIN'!$A$1:$O$103,15,0))</f>
        <v>12.42</v>
      </c>
      <c r="W389" s="6">
        <f>IF(ISERROR(VLOOKUP($T$389,'TAR FIN'!$A$1:$O$103,15,0)),0,VLOOKUP($T$389,'TAR FIN'!$A$1:$O$103,15,0))</f>
        <v>0</v>
      </c>
      <c r="X389" s="6">
        <f>IF(ISERROR(VLOOKUP($U$389,'TAR FIN'!$A$1:$O$103,15,0)),0,VLOOKUP($U$389,'TAR FIN'!$A$1:$O$103,15,0))</f>
        <v>0</v>
      </c>
      <c r="Y389" s="6">
        <f ca="1">('TUSD BE'!$AM$20+'TUSD BF'!$AM$20+'TUSD CVA'!$AM$20)*1</f>
        <v>16.518304697547443</v>
      </c>
      <c r="Z389" s="6"/>
      <c r="AA389" s="6"/>
      <c r="AB389" s="6">
        <f>$K$389*$V$389</f>
        <v>168986.52</v>
      </c>
      <c r="AC389" s="6">
        <f>$M$389*$W$389</f>
        <v>0</v>
      </c>
      <c r="AD389" s="6">
        <f>$O$389*$X$389</f>
        <v>0</v>
      </c>
      <c r="AE389" s="6">
        <f ca="1">$K$389*$Y$389</f>
        <v>224748.05371483052</v>
      </c>
      <c r="AF389" s="6">
        <f>$M$389*$Z$389</f>
        <v>0</v>
      </c>
      <c r="AG389" s="6">
        <f>$O$389*$AA$389</f>
        <v>0</v>
      </c>
    </row>
    <row r="390" spans="1:33" ht="11.25" customHeight="1" x14ac:dyDescent="0.25">
      <c r="A390" s="4" t="s">
        <v>28</v>
      </c>
      <c r="B390" s="4" t="s">
        <v>33</v>
      </c>
      <c r="C390" s="4" t="s">
        <v>34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280</v>
      </c>
      <c r="K390" s="6">
        <v>280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26</v>
      </c>
      <c r="R390" s="4">
        <v>0</v>
      </c>
      <c r="S390" s="6">
        <v>18</v>
      </c>
      <c r="T390" s="6">
        <v>0</v>
      </c>
      <c r="U390" s="6">
        <v>0</v>
      </c>
      <c r="V390" s="6">
        <f>IF(ISERROR(VLOOKUP($S$390,'TAR FIN'!$A$1:$O$103,15,0)),0,VLOOKUP($S$390,'TAR FIN'!$A$1:$O$103,15,0))</f>
        <v>12.42</v>
      </c>
      <c r="W390" s="6">
        <f>IF(ISERROR(VLOOKUP($T$390,'TAR FIN'!$A$1:$O$103,15,0)),0,VLOOKUP($T$390,'TAR FIN'!$A$1:$O$103,15,0))</f>
        <v>0</v>
      </c>
      <c r="X390" s="6">
        <f>IF(ISERROR(VLOOKUP($U$390,'TAR FIN'!$A$1:$O$103,15,0)),0,VLOOKUP($U$390,'TAR FIN'!$A$1:$O$103,15,0))</f>
        <v>0</v>
      </c>
      <c r="Y390" s="6">
        <f ca="1">('TUSD BE'!$AM$20+'TUSD BF'!$AM$20+'TUSD CVA'!$AM$20)*1</f>
        <v>16.518304697547443</v>
      </c>
      <c r="Z390" s="6"/>
      <c r="AA390" s="6"/>
      <c r="AB390" s="6">
        <f>$K$390*$V$390</f>
        <v>3477.6</v>
      </c>
      <c r="AC390" s="6">
        <f>$M$390*$W$390</f>
        <v>0</v>
      </c>
      <c r="AD390" s="6">
        <f>$O$390*$X$390</f>
        <v>0</v>
      </c>
      <c r="AE390" s="6">
        <f ca="1">$K$390*$Y$390</f>
        <v>4625.1253153132839</v>
      </c>
      <c r="AF390" s="6">
        <f>$M$390*$Z$390</f>
        <v>0</v>
      </c>
      <c r="AG390" s="6">
        <f>$O$390*$AA$390</f>
        <v>0</v>
      </c>
    </row>
    <row r="391" spans="1:33" ht="11.25" customHeight="1" x14ac:dyDescent="0.25">
      <c r="A391" s="4" t="s">
        <v>21</v>
      </c>
      <c r="B391" s="4" t="s">
        <v>33</v>
      </c>
      <c r="C391" s="4" t="s">
        <v>34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44531</v>
      </c>
      <c r="J391" s="6">
        <v>6350</v>
      </c>
      <c r="K391" s="6">
        <v>6350</v>
      </c>
      <c r="L391" s="6">
        <v>0</v>
      </c>
      <c r="M391" s="6">
        <v>0</v>
      </c>
      <c r="N391" s="6">
        <v>0</v>
      </c>
      <c r="O391" s="6">
        <v>0</v>
      </c>
      <c r="P391" s="6">
        <v>2</v>
      </c>
      <c r="Q391" s="4" t="s">
        <v>53</v>
      </c>
      <c r="R391" s="4">
        <v>0</v>
      </c>
      <c r="S391" s="6">
        <v>18</v>
      </c>
      <c r="T391" s="6">
        <v>0</v>
      </c>
      <c r="U391" s="6">
        <v>0</v>
      </c>
      <c r="V391" s="6">
        <f>IF(ISERROR(VLOOKUP($S$391,'TAR FIN'!$A$1:$O$103,15,0)),0,VLOOKUP($S$391,'TAR FIN'!$A$1:$O$103,15,0))</f>
        <v>12.42</v>
      </c>
      <c r="W391" s="6">
        <f>IF(ISERROR(VLOOKUP($T$391,'TAR FIN'!$A$1:$O$103,15,0)),0,VLOOKUP($T$391,'TAR FIN'!$A$1:$O$103,15,0))</f>
        <v>0</v>
      </c>
      <c r="X391" s="6">
        <f>IF(ISERROR(VLOOKUP($U$391,'TAR FIN'!$A$1:$O$103,15,0)),0,VLOOKUP($U$391,'TAR FIN'!$A$1:$O$103,15,0))</f>
        <v>0</v>
      </c>
      <c r="Y391" s="6">
        <f ca="1">('TUSD BE'!$AM$20+'TUSD BF'!$AM$20+'TUSD CVA'!$AM$20)*1</f>
        <v>16.518304697547443</v>
      </c>
      <c r="Z391" s="6"/>
      <c r="AA391" s="6"/>
      <c r="AB391" s="6">
        <f>$K$391*$V$391</f>
        <v>78867</v>
      </c>
      <c r="AC391" s="6">
        <f>$M$391*$W$391</f>
        <v>0</v>
      </c>
      <c r="AD391" s="6">
        <f>$O$391*$X$391</f>
        <v>0</v>
      </c>
      <c r="AE391" s="6">
        <f ca="1">$K$391*$Y$391</f>
        <v>104891.23482942626</v>
      </c>
      <c r="AF391" s="6">
        <f>$M$391*$Z$391</f>
        <v>0</v>
      </c>
      <c r="AG391" s="6">
        <f>$O$391*$AA$391</f>
        <v>0</v>
      </c>
    </row>
    <row r="392" spans="1:33" ht="11.25" customHeight="1" x14ac:dyDescent="0.25">
      <c r="A392" s="4" t="s">
        <v>21</v>
      </c>
      <c r="B392" s="4" t="s">
        <v>33</v>
      </c>
      <c r="C392" s="4" t="s">
        <v>34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13577</v>
      </c>
      <c r="K392" s="6">
        <v>13577</v>
      </c>
      <c r="L392" s="6">
        <v>0</v>
      </c>
      <c r="M392" s="6">
        <v>0</v>
      </c>
      <c r="N392" s="6">
        <v>0</v>
      </c>
      <c r="O392" s="6">
        <v>0</v>
      </c>
      <c r="P392" s="6">
        <v>76</v>
      </c>
      <c r="Q392" s="4" t="s">
        <v>26</v>
      </c>
      <c r="R392" s="4">
        <v>0</v>
      </c>
      <c r="S392" s="6">
        <v>18</v>
      </c>
      <c r="T392" s="6">
        <v>0</v>
      </c>
      <c r="U392" s="6">
        <v>0</v>
      </c>
      <c r="V392" s="6">
        <f>IF(ISERROR(VLOOKUP($S$392,'TAR FIN'!$A$1:$O$103,15,0)),0,VLOOKUP($S$392,'TAR FIN'!$A$1:$O$103,15,0))</f>
        <v>12.42</v>
      </c>
      <c r="W392" s="6">
        <f>IF(ISERROR(VLOOKUP($T$392,'TAR FIN'!$A$1:$O$103,15,0)),0,VLOOKUP($T$392,'TAR FIN'!$A$1:$O$103,15,0))</f>
        <v>0</v>
      </c>
      <c r="X392" s="6">
        <f>IF(ISERROR(VLOOKUP($U$392,'TAR FIN'!$A$1:$O$103,15,0)),0,VLOOKUP($U$392,'TAR FIN'!$A$1:$O$103,15,0))</f>
        <v>0</v>
      </c>
      <c r="Y392" s="6">
        <f ca="1">('TUSD BE'!$AM$20+'TUSD BF'!$AM$20+'TUSD CVA'!$AM$20)*1</f>
        <v>16.518304697547443</v>
      </c>
      <c r="Z392" s="6"/>
      <c r="AA392" s="6"/>
      <c r="AB392" s="6">
        <f>$K$392*$V$392</f>
        <v>168626.34</v>
      </c>
      <c r="AC392" s="6">
        <f>$M$392*$W$392</f>
        <v>0</v>
      </c>
      <c r="AD392" s="6">
        <f>$O$392*$X$392</f>
        <v>0</v>
      </c>
      <c r="AE392" s="6">
        <f ca="1">$K$392*$Y$392</f>
        <v>224269.02287860162</v>
      </c>
      <c r="AF392" s="6">
        <f>$M$392*$Z$392</f>
        <v>0</v>
      </c>
      <c r="AG392" s="6">
        <f>$O$392*$AA$392</f>
        <v>0</v>
      </c>
    </row>
    <row r="393" spans="1:33" ht="11.25" customHeight="1" x14ac:dyDescent="0.25">
      <c r="A393" s="4" t="s">
        <v>28</v>
      </c>
      <c r="B393" s="4" t="s">
        <v>33</v>
      </c>
      <c r="C393" s="4" t="s">
        <v>34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280</v>
      </c>
      <c r="K393" s="6">
        <v>280</v>
      </c>
      <c r="L393" s="6">
        <v>0</v>
      </c>
      <c r="M393" s="6">
        <v>0</v>
      </c>
      <c r="N393" s="6">
        <v>0</v>
      </c>
      <c r="O393" s="6">
        <v>0</v>
      </c>
      <c r="P393" s="6">
        <v>1</v>
      </c>
      <c r="Q393" s="4" t="s">
        <v>26</v>
      </c>
      <c r="R393" s="4">
        <v>0</v>
      </c>
      <c r="S393" s="6">
        <v>18</v>
      </c>
      <c r="T393" s="6">
        <v>0</v>
      </c>
      <c r="U393" s="6">
        <v>0</v>
      </c>
      <c r="V393" s="6">
        <f>IF(ISERROR(VLOOKUP($S$393,'TAR FIN'!$A$1:$O$103,15,0)),0,VLOOKUP($S$393,'TAR FIN'!$A$1:$O$103,15,0))</f>
        <v>12.42</v>
      </c>
      <c r="W393" s="6">
        <f>IF(ISERROR(VLOOKUP($T$393,'TAR FIN'!$A$1:$O$103,15,0)),0,VLOOKUP($T$393,'TAR FIN'!$A$1:$O$103,15,0))</f>
        <v>0</v>
      </c>
      <c r="X393" s="6">
        <f>IF(ISERROR(VLOOKUP($U$393,'TAR FIN'!$A$1:$O$103,15,0)),0,VLOOKUP($U$393,'TAR FIN'!$A$1:$O$103,15,0))</f>
        <v>0</v>
      </c>
      <c r="Y393" s="6">
        <f ca="1">('TUSD BE'!$AM$20+'TUSD BF'!$AM$20+'TUSD CVA'!$AM$20)*1</f>
        <v>16.518304697547443</v>
      </c>
      <c r="Z393" s="6"/>
      <c r="AA393" s="6"/>
      <c r="AB393" s="6">
        <f>$K$393*$V$393</f>
        <v>3477.6</v>
      </c>
      <c r="AC393" s="6">
        <f>$M$393*$W$393</f>
        <v>0</v>
      </c>
      <c r="AD393" s="6">
        <f>$O$393*$X$393</f>
        <v>0</v>
      </c>
      <c r="AE393" s="6">
        <f ca="1">$K$393*$Y$393</f>
        <v>4625.1253153132839</v>
      </c>
      <c r="AF393" s="6">
        <f>$M$393*$Z$393</f>
        <v>0</v>
      </c>
      <c r="AG393" s="6">
        <f>$O$393*$AA$393</f>
        <v>0</v>
      </c>
    </row>
    <row r="394" spans="1:33" ht="11.25" customHeight="1" x14ac:dyDescent="0.25">
      <c r="A394" s="4" t="s">
        <v>21</v>
      </c>
      <c r="B394" s="4" t="s">
        <v>33</v>
      </c>
      <c r="C394" s="4" t="s">
        <v>34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44562</v>
      </c>
      <c r="J394" s="6">
        <v>6350</v>
      </c>
      <c r="K394" s="6">
        <v>6350</v>
      </c>
      <c r="L394" s="6">
        <v>0</v>
      </c>
      <c r="M394" s="6">
        <v>0</v>
      </c>
      <c r="N394" s="6">
        <v>0</v>
      </c>
      <c r="O394" s="6">
        <v>0</v>
      </c>
      <c r="P394" s="6">
        <v>2</v>
      </c>
      <c r="Q394" s="4" t="s">
        <v>53</v>
      </c>
      <c r="R394" s="4">
        <v>0</v>
      </c>
      <c r="S394" s="6">
        <v>18</v>
      </c>
      <c r="T394" s="6">
        <v>0</v>
      </c>
      <c r="U394" s="6">
        <v>0</v>
      </c>
      <c r="V394" s="6">
        <f>IF(ISERROR(VLOOKUP($S$394,'TAR FIN'!$A$1:$O$103,15,0)),0,VLOOKUP($S$394,'TAR FIN'!$A$1:$O$103,15,0))</f>
        <v>12.42</v>
      </c>
      <c r="W394" s="6">
        <f>IF(ISERROR(VLOOKUP($T$394,'TAR FIN'!$A$1:$O$103,15,0)),0,VLOOKUP($T$394,'TAR FIN'!$A$1:$O$103,15,0))</f>
        <v>0</v>
      </c>
      <c r="X394" s="6">
        <f>IF(ISERROR(VLOOKUP($U$394,'TAR FIN'!$A$1:$O$103,15,0)),0,VLOOKUP($U$394,'TAR FIN'!$A$1:$O$103,15,0))</f>
        <v>0</v>
      </c>
      <c r="Y394" s="6">
        <f ca="1">('TUSD BE'!$AM$20+'TUSD BF'!$AM$20+'TUSD CVA'!$AM$20)*1</f>
        <v>16.518304697547443</v>
      </c>
      <c r="Z394" s="6"/>
      <c r="AA394" s="6"/>
      <c r="AB394" s="6">
        <f>$K$394*$V$394</f>
        <v>78867</v>
      </c>
      <c r="AC394" s="6">
        <f>$M$394*$W$394</f>
        <v>0</v>
      </c>
      <c r="AD394" s="6">
        <f>$O$394*$X$394</f>
        <v>0</v>
      </c>
      <c r="AE394" s="6">
        <f ca="1">$K$394*$Y$394</f>
        <v>104891.23482942626</v>
      </c>
      <c r="AF394" s="6">
        <f>$M$394*$Z$394</f>
        <v>0</v>
      </c>
      <c r="AG394" s="6">
        <f>$O$394*$AA$394</f>
        <v>0</v>
      </c>
    </row>
    <row r="395" spans="1:33" ht="11.25" customHeight="1" x14ac:dyDescent="0.25">
      <c r="A395" s="4" t="s">
        <v>21</v>
      </c>
      <c r="B395" s="4" t="s">
        <v>33</v>
      </c>
      <c r="C395" s="4" t="s">
        <v>34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13674</v>
      </c>
      <c r="K395" s="6">
        <v>13674</v>
      </c>
      <c r="L395" s="6">
        <v>0</v>
      </c>
      <c r="M395" s="6">
        <v>0</v>
      </c>
      <c r="N395" s="6">
        <v>0</v>
      </c>
      <c r="O395" s="6">
        <v>0</v>
      </c>
      <c r="P395" s="6">
        <v>77</v>
      </c>
      <c r="Q395" s="4" t="s">
        <v>26</v>
      </c>
      <c r="R395" s="4">
        <v>0</v>
      </c>
      <c r="S395" s="6">
        <v>18</v>
      </c>
      <c r="T395" s="6">
        <v>0</v>
      </c>
      <c r="U395" s="6">
        <v>0</v>
      </c>
      <c r="V395" s="6">
        <f>IF(ISERROR(VLOOKUP($S$395,'TAR FIN'!$A$1:$O$103,15,0)),0,VLOOKUP($S$395,'TAR FIN'!$A$1:$O$103,15,0))</f>
        <v>12.42</v>
      </c>
      <c r="W395" s="6">
        <f>IF(ISERROR(VLOOKUP($T$395,'TAR FIN'!$A$1:$O$103,15,0)),0,VLOOKUP($T$395,'TAR FIN'!$A$1:$O$103,15,0))</f>
        <v>0</v>
      </c>
      <c r="X395" s="6">
        <f>IF(ISERROR(VLOOKUP($U$395,'TAR FIN'!$A$1:$O$103,15,0)),0,VLOOKUP($U$395,'TAR FIN'!$A$1:$O$103,15,0))</f>
        <v>0</v>
      </c>
      <c r="Y395" s="6">
        <f ca="1">('TUSD BE'!$AM$20+'TUSD BF'!$AM$20+'TUSD CVA'!$AM$20)*1</f>
        <v>16.518304697547443</v>
      </c>
      <c r="Z395" s="6"/>
      <c r="AA395" s="6"/>
      <c r="AB395" s="6">
        <f>$K$395*$V$395</f>
        <v>169831.08</v>
      </c>
      <c r="AC395" s="6">
        <f>$M$395*$W$395</f>
        <v>0</v>
      </c>
      <c r="AD395" s="6">
        <f>$O$395*$X$395</f>
        <v>0</v>
      </c>
      <c r="AE395" s="6">
        <f ca="1">$K$395*$Y$395</f>
        <v>225871.29843426374</v>
      </c>
      <c r="AF395" s="6">
        <f>$M$395*$Z$395</f>
        <v>0</v>
      </c>
      <c r="AG395" s="6">
        <f>$O$395*$AA$395</f>
        <v>0</v>
      </c>
    </row>
    <row r="396" spans="1:33" ht="11.25" customHeight="1" x14ac:dyDescent="0.25">
      <c r="A396" s="4" t="s">
        <v>28</v>
      </c>
      <c r="B396" s="4" t="s">
        <v>33</v>
      </c>
      <c r="C396" s="4" t="s">
        <v>34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44593</v>
      </c>
      <c r="J396" s="6">
        <v>280</v>
      </c>
      <c r="K396" s="6">
        <v>280</v>
      </c>
      <c r="L396" s="6">
        <v>0</v>
      </c>
      <c r="M396" s="6">
        <v>0</v>
      </c>
      <c r="N396" s="6">
        <v>0</v>
      </c>
      <c r="O396" s="6">
        <v>0</v>
      </c>
      <c r="P396" s="6">
        <v>1</v>
      </c>
      <c r="Q396" s="4" t="s">
        <v>26</v>
      </c>
      <c r="R396" s="4">
        <v>0</v>
      </c>
      <c r="S396" s="6">
        <v>18</v>
      </c>
      <c r="T396" s="6">
        <v>0</v>
      </c>
      <c r="U396" s="6">
        <v>0</v>
      </c>
      <c r="V396" s="6">
        <f>IF(ISERROR(VLOOKUP($S$396,'TAR FIN'!$A$1:$O$103,15,0)),0,VLOOKUP($S$396,'TAR FIN'!$A$1:$O$103,15,0))</f>
        <v>12.42</v>
      </c>
      <c r="W396" s="6">
        <f>IF(ISERROR(VLOOKUP($T$396,'TAR FIN'!$A$1:$O$103,15,0)),0,VLOOKUP($T$396,'TAR FIN'!$A$1:$O$103,15,0))</f>
        <v>0</v>
      </c>
      <c r="X396" s="6">
        <f>IF(ISERROR(VLOOKUP($U$396,'TAR FIN'!$A$1:$O$103,15,0)),0,VLOOKUP($U$396,'TAR FIN'!$A$1:$O$103,15,0))</f>
        <v>0</v>
      </c>
      <c r="Y396" s="6">
        <f ca="1">('TUSD BE'!$AM$20+'TUSD BF'!$AM$20+'TUSD CVA'!$AM$20)*1</f>
        <v>16.518304697547443</v>
      </c>
      <c r="Z396" s="6"/>
      <c r="AA396" s="6"/>
      <c r="AB396" s="6">
        <f>$K$396*$V$396</f>
        <v>3477.6</v>
      </c>
      <c r="AC396" s="6">
        <f>$M$396*$W$396</f>
        <v>0</v>
      </c>
      <c r="AD396" s="6">
        <f>$O$396*$X$396</f>
        <v>0</v>
      </c>
      <c r="AE396" s="6">
        <f ca="1">$K$396*$Y$396</f>
        <v>4625.1253153132839</v>
      </c>
      <c r="AF396" s="6">
        <f>$M$396*$Z$396</f>
        <v>0</v>
      </c>
      <c r="AG396" s="6">
        <f>$O$396*$AA$396</f>
        <v>0</v>
      </c>
    </row>
    <row r="397" spans="1:33" ht="11.25" customHeight="1" x14ac:dyDescent="0.25">
      <c r="A397" s="4" t="s">
        <v>21</v>
      </c>
      <c r="B397" s="4" t="s">
        <v>33</v>
      </c>
      <c r="C397" s="4" t="s">
        <v>34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44593</v>
      </c>
      <c r="J397" s="6">
        <v>6350</v>
      </c>
      <c r="K397" s="6">
        <v>6350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53</v>
      </c>
      <c r="R397" s="4">
        <v>0</v>
      </c>
      <c r="S397" s="6">
        <v>18</v>
      </c>
      <c r="T397" s="6">
        <v>0</v>
      </c>
      <c r="U397" s="6">
        <v>0</v>
      </c>
      <c r="V397" s="6">
        <f>IF(ISERROR(VLOOKUP($S$397,'TAR FIN'!$A$1:$O$103,15,0)),0,VLOOKUP($S$397,'TAR FIN'!$A$1:$O$103,15,0))</f>
        <v>12.42</v>
      </c>
      <c r="W397" s="6">
        <f>IF(ISERROR(VLOOKUP($T$397,'TAR FIN'!$A$1:$O$103,15,0)),0,VLOOKUP($T$397,'TAR FIN'!$A$1:$O$103,15,0))</f>
        <v>0</v>
      </c>
      <c r="X397" s="6">
        <f>IF(ISERROR(VLOOKUP($U$397,'TAR FIN'!$A$1:$O$103,15,0)),0,VLOOKUP($U$397,'TAR FIN'!$A$1:$O$103,15,0))</f>
        <v>0</v>
      </c>
      <c r="Y397" s="6">
        <f ca="1">('TUSD BE'!$AM$20+'TUSD BF'!$AM$20+'TUSD CVA'!$AM$20)*1</f>
        <v>16.518304697547443</v>
      </c>
      <c r="Z397" s="6"/>
      <c r="AA397" s="6"/>
      <c r="AB397" s="6">
        <f>$K$397*$V$397</f>
        <v>78867</v>
      </c>
      <c r="AC397" s="6">
        <f>$M$397*$W$397</f>
        <v>0</v>
      </c>
      <c r="AD397" s="6">
        <f>$O$397*$X$397</f>
        <v>0</v>
      </c>
      <c r="AE397" s="6">
        <f ca="1">$K$397*$Y$397</f>
        <v>104891.23482942626</v>
      </c>
      <c r="AF397" s="6">
        <f>$M$397*$Z$397</f>
        <v>0</v>
      </c>
      <c r="AG397" s="6">
        <f>$O$397*$AA$397</f>
        <v>0</v>
      </c>
    </row>
    <row r="398" spans="1:33" ht="11.25" customHeight="1" x14ac:dyDescent="0.25">
      <c r="A398" s="4" t="s">
        <v>21</v>
      </c>
      <c r="B398" s="4" t="s">
        <v>33</v>
      </c>
      <c r="C398" s="4" t="s">
        <v>34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13669</v>
      </c>
      <c r="K398" s="6">
        <v>13669</v>
      </c>
      <c r="L398" s="6">
        <v>0</v>
      </c>
      <c r="M398" s="6">
        <v>0</v>
      </c>
      <c r="N398" s="6">
        <v>0</v>
      </c>
      <c r="O398" s="6">
        <v>0</v>
      </c>
      <c r="P398" s="6">
        <v>76</v>
      </c>
      <c r="Q398" s="4" t="s">
        <v>26</v>
      </c>
      <c r="R398" s="4">
        <v>0</v>
      </c>
      <c r="S398" s="6">
        <v>18</v>
      </c>
      <c r="T398" s="6">
        <v>0</v>
      </c>
      <c r="U398" s="6">
        <v>0</v>
      </c>
      <c r="V398" s="6">
        <f>IF(ISERROR(VLOOKUP($S$398,'TAR FIN'!$A$1:$O$103,15,0)),0,VLOOKUP($S$398,'TAR FIN'!$A$1:$O$103,15,0))</f>
        <v>12.42</v>
      </c>
      <c r="W398" s="6">
        <f>IF(ISERROR(VLOOKUP($T$398,'TAR FIN'!$A$1:$O$103,15,0)),0,VLOOKUP($T$398,'TAR FIN'!$A$1:$O$103,15,0))</f>
        <v>0</v>
      </c>
      <c r="X398" s="6">
        <f>IF(ISERROR(VLOOKUP($U$398,'TAR FIN'!$A$1:$O$103,15,0)),0,VLOOKUP($U$398,'TAR FIN'!$A$1:$O$103,15,0))</f>
        <v>0</v>
      </c>
      <c r="Y398" s="6">
        <f ca="1">('TUSD BE'!$AM$20+'TUSD BF'!$AM$20+'TUSD CVA'!$AM$20)*1</f>
        <v>16.518304697547443</v>
      </c>
      <c r="Z398" s="6"/>
      <c r="AA398" s="6"/>
      <c r="AB398" s="6">
        <f>$K$398*$V$398</f>
        <v>169768.98</v>
      </c>
      <c r="AC398" s="6">
        <f>$M$398*$W$398</f>
        <v>0</v>
      </c>
      <c r="AD398" s="6">
        <f>$O$398*$X$398</f>
        <v>0</v>
      </c>
      <c r="AE398" s="6">
        <f ca="1">$K$398*$Y$398</f>
        <v>225788.706910776</v>
      </c>
      <c r="AF398" s="6">
        <f>$M$398*$Z$398</f>
        <v>0</v>
      </c>
      <c r="AG398" s="6">
        <f>$O$398*$AA$398</f>
        <v>0</v>
      </c>
    </row>
    <row r="399" spans="1:33" ht="11.25" customHeight="1" x14ac:dyDescent="0.25">
      <c r="A399" s="4" t="s">
        <v>28</v>
      </c>
      <c r="B399" s="4" t="s">
        <v>33</v>
      </c>
      <c r="C399" s="4" t="s">
        <v>34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44621</v>
      </c>
      <c r="J399" s="6">
        <v>281</v>
      </c>
      <c r="K399" s="6">
        <v>281</v>
      </c>
      <c r="L399" s="6">
        <v>0</v>
      </c>
      <c r="M399" s="6">
        <v>0</v>
      </c>
      <c r="N399" s="6">
        <v>0</v>
      </c>
      <c r="O399" s="6">
        <v>0</v>
      </c>
      <c r="P399" s="6">
        <v>1</v>
      </c>
      <c r="Q399" s="4" t="s">
        <v>26</v>
      </c>
      <c r="R399" s="4">
        <v>0</v>
      </c>
      <c r="S399" s="6">
        <v>18</v>
      </c>
      <c r="T399" s="6">
        <v>0</v>
      </c>
      <c r="U399" s="6">
        <v>0</v>
      </c>
      <c r="V399" s="6">
        <f>IF(ISERROR(VLOOKUP($S$399,'TAR FIN'!$A$1:$O$103,15,0)),0,VLOOKUP($S$399,'TAR FIN'!$A$1:$O$103,15,0))</f>
        <v>12.42</v>
      </c>
      <c r="W399" s="6">
        <f>IF(ISERROR(VLOOKUP($T$399,'TAR FIN'!$A$1:$O$103,15,0)),0,VLOOKUP($T$399,'TAR FIN'!$A$1:$O$103,15,0))</f>
        <v>0</v>
      </c>
      <c r="X399" s="6">
        <f>IF(ISERROR(VLOOKUP($U$399,'TAR FIN'!$A$1:$O$103,15,0)),0,VLOOKUP($U$399,'TAR FIN'!$A$1:$O$103,15,0))</f>
        <v>0</v>
      </c>
      <c r="Y399" s="6">
        <f ca="1">('TUSD BE'!$AM$20+'TUSD BF'!$AM$20+'TUSD CVA'!$AM$20)*1</f>
        <v>16.518304697547443</v>
      </c>
      <c r="Z399" s="6"/>
      <c r="AA399" s="6"/>
      <c r="AB399" s="6">
        <f>$K$399*$V$399</f>
        <v>3490.02</v>
      </c>
      <c r="AC399" s="6">
        <f>$M$399*$W$399</f>
        <v>0</v>
      </c>
      <c r="AD399" s="6">
        <f>$O$399*$X$399</f>
        <v>0</v>
      </c>
      <c r="AE399" s="6">
        <f ca="1">$K$399*$Y$399</f>
        <v>4641.643620010831</v>
      </c>
      <c r="AF399" s="6">
        <f>$M$399*$Z$399</f>
        <v>0</v>
      </c>
      <c r="AG399" s="6">
        <f>$O$399*$AA$399</f>
        <v>0</v>
      </c>
    </row>
    <row r="400" spans="1:33" ht="11.25" customHeight="1" x14ac:dyDescent="0.25">
      <c r="A400" s="4" t="s">
        <v>21</v>
      </c>
      <c r="B400" s="4" t="s">
        <v>33</v>
      </c>
      <c r="C400" s="4" t="s">
        <v>34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44621</v>
      </c>
      <c r="J400" s="6">
        <v>6000</v>
      </c>
      <c r="K400" s="6">
        <v>6000</v>
      </c>
      <c r="L400" s="6">
        <v>0</v>
      </c>
      <c r="M400" s="6">
        <v>0</v>
      </c>
      <c r="N400" s="6">
        <v>0</v>
      </c>
      <c r="O400" s="6">
        <v>0</v>
      </c>
      <c r="P400" s="6">
        <v>2</v>
      </c>
      <c r="Q400" s="4" t="s">
        <v>53</v>
      </c>
      <c r="R400" s="4">
        <v>0</v>
      </c>
      <c r="S400" s="6">
        <v>18</v>
      </c>
      <c r="T400" s="6">
        <v>0</v>
      </c>
      <c r="U400" s="6">
        <v>0</v>
      </c>
      <c r="V400" s="6">
        <f>IF(ISERROR(VLOOKUP($S$400,'TAR FIN'!$A$1:$O$103,15,0)),0,VLOOKUP($S$400,'TAR FIN'!$A$1:$O$103,15,0))</f>
        <v>12.42</v>
      </c>
      <c r="W400" s="6">
        <f>IF(ISERROR(VLOOKUP($T$400,'TAR FIN'!$A$1:$O$103,15,0)),0,VLOOKUP($T$400,'TAR FIN'!$A$1:$O$103,15,0))</f>
        <v>0</v>
      </c>
      <c r="X400" s="6">
        <f>IF(ISERROR(VLOOKUP($U$400,'TAR FIN'!$A$1:$O$103,15,0)),0,VLOOKUP($U$400,'TAR FIN'!$A$1:$O$103,15,0))</f>
        <v>0</v>
      </c>
      <c r="Y400" s="6">
        <f ca="1">('TUSD BE'!$AM$20+'TUSD BF'!$AM$20+'TUSD CVA'!$AM$20)*1</f>
        <v>16.518304697547443</v>
      </c>
      <c r="Z400" s="6"/>
      <c r="AA400" s="6"/>
      <c r="AB400" s="6">
        <f>$K$400*$V$400</f>
        <v>74520</v>
      </c>
      <c r="AC400" s="6">
        <f>$M$400*$W$400</f>
        <v>0</v>
      </c>
      <c r="AD400" s="6">
        <f>$O$400*$X$400</f>
        <v>0</v>
      </c>
      <c r="AE400" s="6">
        <f ca="1">$K$400*$Y$400</f>
        <v>99109.828185284656</v>
      </c>
      <c r="AF400" s="6">
        <f>$M$400*$Z$400</f>
        <v>0</v>
      </c>
      <c r="AG400" s="6">
        <f>$O$400*$AA$400</f>
        <v>0</v>
      </c>
    </row>
    <row r="401" spans="1:33" ht="11.25" customHeight="1" x14ac:dyDescent="0.25">
      <c r="A401" s="4" t="s">
        <v>21</v>
      </c>
      <c r="B401" s="4" t="s">
        <v>33</v>
      </c>
      <c r="C401" s="4" t="s">
        <v>34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13744</v>
      </c>
      <c r="K401" s="6">
        <v>13744</v>
      </c>
      <c r="L401" s="6">
        <v>0</v>
      </c>
      <c r="M401" s="6">
        <v>0</v>
      </c>
      <c r="N401" s="6">
        <v>0</v>
      </c>
      <c r="O401" s="6">
        <v>0</v>
      </c>
      <c r="P401" s="6">
        <v>77</v>
      </c>
      <c r="Q401" s="4" t="s">
        <v>26</v>
      </c>
      <c r="R401" s="4">
        <v>0</v>
      </c>
      <c r="S401" s="6">
        <v>18</v>
      </c>
      <c r="T401" s="6">
        <v>0</v>
      </c>
      <c r="U401" s="6">
        <v>0</v>
      </c>
      <c r="V401" s="6">
        <f>IF(ISERROR(VLOOKUP($S$401,'TAR FIN'!$A$1:$O$103,15,0)),0,VLOOKUP($S$401,'TAR FIN'!$A$1:$O$103,15,0))</f>
        <v>12.42</v>
      </c>
      <c r="W401" s="6">
        <f>IF(ISERROR(VLOOKUP($T$401,'TAR FIN'!$A$1:$O$103,15,0)),0,VLOOKUP($T$401,'TAR FIN'!$A$1:$O$103,15,0))</f>
        <v>0</v>
      </c>
      <c r="X401" s="6">
        <f>IF(ISERROR(VLOOKUP($U$401,'TAR FIN'!$A$1:$O$103,15,0)),0,VLOOKUP($U$401,'TAR FIN'!$A$1:$O$103,15,0))</f>
        <v>0</v>
      </c>
      <c r="Y401" s="6">
        <f ca="1">('TUSD BE'!$AM$20+'TUSD BF'!$AM$20+'TUSD CVA'!$AM$20)*1</f>
        <v>16.518304697547443</v>
      </c>
      <c r="Z401" s="6"/>
      <c r="AA401" s="6"/>
      <c r="AB401" s="6">
        <f>$K$401*$V$401</f>
        <v>170700.48</v>
      </c>
      <c r="AC401" s="6">
        <f>$M$401*$W$401</f>
        <v>0</v>
      </c>
      <c r="AD401" s="6">
        <f>$O$401*$X$401</f>
        <v>0</v>
      </c>
      <c r="AE401" s="6">
        <f ca="1">$K$401*$Y$401</f>
        <v>227027.57976309204</v>
      </c>
      <c r="AF401" s="6">
        <f>$M$401*$Z$401</f>
        <v>0</v>
      </c>
      <c r="AG401" s="6">
        <f>$O$401*$AA$401</f>
        <v>0</v>
      </c>
    </row>
    <row r="402" spans="1:33" ht="11.25" customHeight="1" x14ac:dyDescent="0.25">
      <c r="A402" s="4" t="s">
        <v>28</v>
      </c>
      <c r="B402" s="4" t="s">
        <v>33</v>
      </c>
      <c r="C402" s="4" t="s">
        <v>34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44652</v>
      </c>
      <c r="J402" s="6">
        <v>280</v>
      </c>
      <c r="K402" s="6">
        <v>280</v>
      </c>
      <c r="L402" s="6">
        <v>0</v>
      </c>
      <c r="M402" s="6">
        <v>0</v>
      </c>
      <c r="N402" s="6">
        <v>0</v>
      </c>
      <c r="O402" s="6">
        <v>0</v>
      </c>
      <c r="P402" s="6">
        <v>1</v>
      </c>
      <c r="Q402" s="4" t="s">
        <v>26</v>
      </c>
      <c r="R402" s="4">
        <v>0</v>
      </c>
      <c r="S402" s="6">
        <v>18</v>
      </c>
      <c r="T402" s="6">
        <v>0</v>
      </c>
      <c r="U402" s="6">
        <v>0</v>
      </c>
      <c r="V402" s="6">
        <f>IF(ISERROR(VLOOKUP($S$402,'TAR FIN'!$A$1:$O$103,15,0)),0,VLOOKUP($S$402,'TAR FIN'!$A$1:$O$103,15,0))</f>
        <v>12.42</v>
      </c>
      <c r="W402" s="6">
        <f>IF(ISERROR(VLOOKUP($T$402,'TAR FIN'!$A$1:$O$103,15,0)),0,VLOOKUP($T$402,'TAR FIN'!$A$1:$O$103,15,0))</f>
        <v>0</v>
      </c>
      <c r="X402" s="6">
        <f>IF(ISERROR(VLOOKUP($U$402,'TAR FIN'!$A$1:$O$103,15,0)),0,VLOOKUP($U$402,'TAR FIN'!$A$1:$O$103,15,0))</f>
        <v>0</v>
      </c>
      <c r="Y402" s="6">
        <f ca="1">('TUSD BE'!$AM$20+'TUSD BF'!$AM$20+'TUSD CVA'!$AM$20)*1</f>
        <v>16.518304697547443</v>
      </c>
      <c r="Z402" s="6"/>
      <c r="AA402" s="6"/>
      <c r="AB402" s="6">
        <f>$K$402*$V$402</f>
        <v>3477.6</v>
      </c>
      <c r="AC402" s="6">
        <f>$M$402*$W$402</f>
        <v>0</v>
      </c>
      <c r="AD402" s="6">
        <f>$O$402*$X$402</f>
        <v>0</v>
      </c>
      <c r="AE402" s="6">
        <f ca="1">$K$402*$Y$402</f>
        <v>4625.1253153132839</v>
      </c>
      <c r="AF402" s="6">
        <f>$M$402*$Z$402</f>
        <v>0</v>
      </c>
      <c r="AG402" s="6">
        <f>$O$402*$AA$402</f>
        <v>0</v>
      </c>
    </row>
    <row r="403" spans="1:33" ht="11.25" customHeight="1" x14ac:dyDescent="0.25">
      <c r="A403" s="4" t="s">
        <v>21</v>
      </c>
      <c r="B403" s="4" t="s">
        <v>33</v>
      </c>
      <c r="C403" s="4" t="s">
        <v>34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6145</v>
      </c>
      <c r="K403" s="6">
        <v>6145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4" t="s">
        <v>53</v>
      </c>
      <c r="R403" s="4">
        <v>0</v>
      </c>
      <c r="S403" s="6">
        <v>18</v>
      </c>
      <c r="T403" s="6">
        <v>0</v>
      </c>
      <c r="U403" s="6">
        <v>0</v>
      </c>
      <c r="V403" s="6">
        <f>IF(ISERROR(VLOOKUP($S$403,'TAR FIN'!$A$1:$O$103,15,0)),0,VLOOKUP($S$403,'TAR FIN'!$A$1:$O$103,15,0))</f>
        <v>12.42</v>
      </c>
      <c r="W403" s="6">
        <f>IF(ISERROR(VLOOKUP($T$403,'TAR FIN'!$A$1:$O$103,15,0)),0,VLOOKUP($T$403,'TAR FIN'!$A$1:$O$103,15,0))</f>
        <v>0</v>
      </c>
      <c r="X403" s="6">
        <f>IF(ISERROR(VLOOKUP($U$403,'TAR FIN'!$A$1:$O$103,15,0)),0,VLOOKUP($U$403,'TAR FIN'!$A$1:$O$103,15,0))</f>
        <v>0</v>
      </c>
      <c r="Y403" s="6">
        <f ca="1">('TUSD BE'!$AM$20+'TUSD BF'!$AM$20+'TUSD CVA'!$AM$20)*1</f>
        <v>16.518304697547443</v>
      </c>
      <c r="Z403" s="6"/>
      <c r="AA403" s="6"/>
      <c r="AB403" s="6">
        <f>$K$403*$V$403</f>
        <v>76320.899999999994</v>
      </c>
      <c r="AC403" s="6">
        <f>$M$403*$W$403</f>
        <v>0</v>
      </c>
      <c r="AD403" s="6">
        <f>$O$403*$X$403</f>
        <v>0</v>
      </c>
      <c r="AE403" s="6">
        <f ca="1">$K$403*$Y$403</f>
        <v>101504.98236642903</v>
      </c>
      <c r="AF403" s="6">
        <f>$M$403*$Z$403</f>
        <v>0</v>
      </c>
      <c r="AG403" s="6">
        <f>$O$403*$AA$403</f>
        <v>0</v>
      </c>
    </row>
    <row r="404" spans="1:33" ht="11.25" customHeight="1" x14ac:dyDescent="0.25">
      <c r="A404" s="4" t="s">
        <v>21</v>
      </c>
      <c r="B404" s="4" t="s">
        <v>33</v>
      </c>
      <c r="C404" s="4" t="s">
        <v>34</v>
      </c>
      <c r="D404" s="4" t="s">
        <v>40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13786</v>
      </c>
      <c r="K404" s="6">
        <v>13786</v>
      </c>
      <c r="L404" s="6">
        <v>0</v>
      </c>
      <c r="M404" s="6">
        <v>0</v>
      </c>
      <c r="N404" s="6">
        <v>0</v>
      </c>
      <c r="O404" s="6">
        <v>0</v>
      </c>
      <c r="P404" s="6">
        <v>78</v>
      </c>
      <c r="Q404" s="4" t="s">
        <v>26</v>
      </c>
      <c r="R404" s="4">
        <v>0</v>
      </c>
      <c r="S404" s="6">
        <v>18</v>
      </c>
      <c r="T404" s="6">
        <v>0</v>
      </c>
      <c r="U404" s="6">
        <v>0</v>
      </c>
      <c r="V404" s="6">
        <f>IF(ISERROR(VLOOKUP($S$404,'TAR FIN'!$A$1:$O$103,15,0)),0,VLOOKUP($S$404,'TAR FIN'!$A$1:$O$103,15,0))</f>
        <v>12.42</v>
      </c>
      <c r="W404" s="6">
        <f>IF(ISERROR(VLOOKUP($T$404,'TAR FIN'!$A$1:$O$103,15,0)),0,VLOOKUP($T$404,'TAR FIN'!$A$1:$O$103,15,0))</f>
        <v>0</v>
      </c>
      <c r="X404" s="6">
        <f>IF(ISERROR(VLOOKUP($U$404,'TAR FIN'!$A$1:$O$103,15,0)),0,VLOOKUP($U$404,'TAR FIN'!$A$1:$O$103,15,0))</f>
        <v>0</v>
      </c>
      <c r="Y404" s="6">
        <f ca="1">('TUSD BE'!$AM$20+'TUSD BF'!$AM$20+'TUSD CVA'!$AM$20)*1</f>
        <v>16.518304697547443</v>
      </c>
      <c r="Z404" s="6"/>
      <c r="AA404" s="6"/>
      <c r="AB404" s="6">
        <f>$K$404*$V$404</f>
        <v>171222.12</v>
      </c>
      <c r="AC404" s="6">
        <f>$M$404*$W$404</f>
        <v>0</v>
      </c>
      <c r="AD404" s="6">
        <f>$O$404*$X$404</f>
        <v>0</v>
      </c>
      <c r="AE404" s="6">
        <f ca="1">$K$404*$Y$404</f>
        <v>227721.34856038904</v>
      </c>
      <c r="AF404" s="6">
        <f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33</v>
      </c>
      <c r="C405" s="4" t="s">
        <v>34</v>
      </c>
      <c r="D405" s="4" t="s">
        <v>40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296</v>
      </c>
      <c r="K405" s="6">
        <v>296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4" t="s">
        <v>26</v>
      </c>
      <c r="R405" s="4">
        <v>0</v>
      </c>
      <c r="S405" s="6">
        <v>18</v>
      </c>
      <c r="T405" s="6">
        <v>0</v>
      </c>
      <c r="U405" s="6">
        <v>0</v>
      </c>
      <c r="V405" s="6">
        <f>IF(ISERROR(VLOOKUP($S$405,'TAR FIN'!$A$1:$O$103,15,0)),0,VLOOKUP($S$405,'TAR FIN'!$A$1:$O$103,15,0))</f>
        <v>12.42</v>
      </c>
      <c r="W405" s="6">
        <f>IF(ISERROR(VLOOKUP($T$405,'TAR FIN'!$A$1:$O$103,15,0)),0,VLOOKUP($T$405,'TAR FIN'!$A$1:$O$103,15,0))</f>
        <v>0</v>
      </c>
      <c r="X405" s="6">
        <f>IF(ISERROR(VLOOKUP($U$405,'TAR FIN'!$A$1:$O$103,15,0)),0,VLOOKUP($U$405,'TAR FIN'!$A$1:$O$103,15,0))</f>
        <v>0</v>
      </c>
      <c r="Y405" s="6">
        <f ca="1">('TUSD BE'!$AM$20+'TUSD BF'!$AM$20+'TUSD CVA'!$AM$20)*1</f>
        <v>16.518304697547443</v>
      </c>
      <c r="Z405" s="6"/>
      <c r="AA405" s="6"/>
      <c r="AB405" s="6">
        <f>$K$405*$V$405</f>
        <v>3676.32</v>
      </c>
      <c r="AC405" s="6">
        <f>$M$405*$W$405</f>
        <v>0</v>
      </c>
      <c r="AD405" s="6">
        <f>$O$405*$X$405</f>
        <v>0</v>
      </c>
      <c r="AE405" s="6">
        <f ca="1">$K$405*$Y$405</f>
        <v>4889.4181904740426</v>
      </c>
      <c r="AF405" s="6">
        <f>$M$405*$Z$405</f>
        <v>0</v>
      </c>
      <c r="AG405" s="6">
        <f>$O$405*$AA$405</f>
        <v>0</v>
      </c>
    </row>
    <row r="406" spans="1:33" ht="11.25" customHeight="1" x14ac:dyDescent="0.25">
      <c r="A406" s="4" t="s">
        <v>21</v>
      </c>
      <c r="B406" s="4" t="s">
        <v>33</v>
      </c>
      <c r="C406" s="4" t="s">
        <v>34</v>
      </c>
      <c r="D406" s="4" t="s">
        <v>40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6000</v>
      </c>
      <c r="K406" s="6">
        <v>6000</v>
      </c>
      <c r="L406" s="6">
        <v>0</v>
      </c>
      <c r="M406" s="6">
        <v>0</v>
      </c>
      <c r="N406" s="6">
        <v>0</v>
      </c>
      <c r="O406" s="6">
        <v>0</v>
      </c>
      <c r="P406" s="6">
        <v>2</v>
      </c>
      <c r="Q406" s="4" t="s">
        <v>53</v>
      </c>
      <c r="R406" s="4">
        <v>0</v>
      </c>
      <c r="S406" s="6">
        <v>18</v>
      </c>
      <c r="T406" s="6">
        <v>0</v>
      </c>
      <c r="U406" s="6">
        <v>0</v>
      </c>
      <c r="V406" s="6">
        <f>IF(ISERROR(VLOOKUP($S$406,'TAR FIN'!$A$1:$O$103,15,0)),0,VLOOKUP($S$406,'TAR FIN'!$A$1:$O$103,15,0))</f>
        <v>12.42</v>
      </c>
      <c r="W406" s="6">
        <f>IF(ISERROR(VLOOKUP($T$406,'TAR FIN'!$A$1:$O$103,15,0)),0,VLOOKUP($T$406,'TAR FIN'!$A$1:$O$103,15,0))</f>
        <v>0</v>
      </c>
      <c r="X406" s="6">
        <f>IF(ISERROR(VLOOKUP($U$406,'TAR FIN'!$A$1:$O$103,15,0)),0,VLOOKUP($U$406,'TAR FIN'!$A$1:$O$103,15,0))</f>
        <v>0</v>
      </c>
      <c r="Y406" s="6">
        <f ca="1">('TUSD BE'!$AM$20+'TUSD BF'!$AM$20+'TUSD CVA'!$AM$20)*1</f>
        <v>16.518304697547443</v>
      </c>
      <c r="Z406" s="6"/>
      <c r="AA406" s="6"/>
      <c r="AB406" s="6">
        <f>$K$406*$V$406</f>
        <v>74520</v>
      </c>
      <c r="AC406" s="6">
        <f>$M$406*$W$406</f>
        <v>0</v>
      </c>
      <c r="AD406" s="6">
        <f>$O$406*$X$406</f>
        <v>0</v>
      </c>
      <c r="AE406" s="6">
        <f ca="1">$K$406*$Y$406</f>
        <v>99109.828185284656</v>
      </c>
      <c r="AF406" s="6">
        <f>$M$406*$Z$406</f>
        <v>0</v>
      </c>
      <c r="AG406" s="6">
        <f>$O$406*$AA$406</f>
        <v>0</v>
      </c>
    </row>
    <row r="407" spans="1:33" ht="11.25" customHeight="1" x14ac:dyDescent="0.25">
      <c r="A407" s="4" t="s">
        <v>21</v>
      </c>
      <c r="B407" s="4" t="s">
        <v>33</v>
      </c>
      <c r="C407" s="4" t="s">
        <v>34</v>
      </c>
      <c r="D407" s="4" t="s">
        <v>40</v>
      </c>
      <c r="E407" s="4" t="s">
        <v>25</v>
      </c>
      <c r="F407" s="4" t="s">
        <v>25</v>
      </c>
      <c r="G407" s="4" t="s">
        <v>25</v>
      </c>
      <c r="H407" s="4" t="s">
        <v>37</v>
      </c>
      <c r="I407" s="5">
        <v>44348</v>
      </c>
      <c r="J407" s="6">
        <v>0</v>
      </c>
      <c r="K407" s="6">
        <v>0</v>
      </c>
      <c r="L407" s="6">
        <v>146.16</v>
      </c>
      <c r="M407" s="6">
        <v>146.16</v>
      </c>
      <c r="N407" s="6">
        <v>146.16</v>
      </c>
      <c r="O407" s="6">
        <v>146.16</v>
      </c>
      <c r="P407" s="6">
        <v>0</v>
      </c>
      <c r="Q407" s="4" t="s">
        <v>26</v>
      </c>
      <c r="R407" s="4">
        <v>0</v>
      </c>
      <c r="S407" s="6">
        <v>0</v>
      </c>
      <c r="T407" s="6">
        <v>19</v>
      </c>
      <c r="U407" s="6">
        <v>65</v>
      </c>
      <c r="V407" s="6">
        <f>IF(ISERROR(VLOOKUP($S$407,'TAR FIN'!$A$1:$O$103,15,0)),0,VLOOKUP($S$407,'TAR FIN'!$A$1:$O$103,15,0))</f>
        <v>0</v>
      </c>
      <c r="W407" s="6">
        <f>IF(ISERROR(VLOOKUP($T$407,'TAR FIN'!$A$1:$O$103,15,0)),0,VLOOKUP($T$407,'TAR FIN'!$A$1:$O$103,15,0))</f>
        <v>842.31</v>
      </c>
      <c r="X407" s="6">
        <f>IF(ISERROR(VLOOKUP($U$407,'TAR FIN'!$A$1:$O$103,15,0)),0,VLOOKUP($U$407,'TAR FIN'!$A$1:$O$103,15,0))</f>
        <v>454.9</v>
      </c>
      <c r="Y407" s="6"/>
      <c r="Z407" s="6">
        <f ca="1">('TUSD BE'!$AM$21+'TUSD BF'!$AM$21+'TUSD CVA'!$AM$21)*1</f>
        <v>1146.3801365962368</v>
      </c>
      <c r="AA407" s="6">
        <f>('TE BE'!$AB$8+'TE BF'!$AB$8+'TE CVA'!$AB$8)*1</f>
        <v>415.05449050541699</v>
      </c>
      <c r="AB407" s="6">
        <f>$K$407*$V$407</f>
        <v>0</v>
      </c>
      <c r="AC407" s="6">
        <f>$M$407*$W$407</f>
        <v>123112.02959999999</v>
      </c>
      <c r="AD407" s="6">
        <f>$O$407*$X$407</f>
        <v>66488.183999999994</v>
      </c>
      <c r="AE407" s="6">
        <f>$K$407*$Y$407</f>
        <v>0</v>
      </c>
      <c r="AF407" s="6">
        <f ca="1">$M$407*$Z$407</f>
        <v>167554.92076490595</v>
      </c>
      <c r="AG407" s="6">
        <f>$O$407*$AA$407</f>
        <v>60664.364332271747</v>
      </c>
    </row>
    <row r="408" spans="1:33" ht="11.25" customHeight="1" x14ac:dyDescent="0.25">
      <c r="A408" s="4" t="s">
        <v>21</v>
      </c>
      <c r="B408" s="4" t="s">
        <v>33</v>
      </c>
      <c r="C408" s="4" t="s">
        <v>34</v>
      </c>
      <c r="D408" s="4" t="s">
        <v>40</v>
      </c>
      <c r="E408" s="4" t="s">
        <v>25</v>
      </c>
      <c r="F408" s="4" t="s">
        <v>25</v>
      </c>
      <c r="G408" s="4" t="s">
        <v>25</v>
      </c>
      <c r="H408" s="4" t="s">
        <v>37</v>
      </c>
      <c r="I408" s="5">
        <v>44348</v>
      </c>
      <c r="J408" s="6">
        <v>0</v>
      </c>
      <c r="K408" s="6">
        <v>0</v>
      </c>
      <c r="L408" s="6">
        <v>66.706999999999994</v>
      </c>
      <c r="M408" s="6">
        <v>66.706999999999994</v>
      </c>
      <c r="N408" s="6">
        <v>0</v>
      </c>
      <c r="O408" s="6">
        <v>0</v>
      </c>
      <c r="P408" s="6">
        <v>0</v>
      </c>
      <c r="Q408" s="4" t="s">
        <v>53</v>
      </c>
      <c r="R408" s="4">
        <v>0</v>
      </c>
      <c r="S408" s="6">
        <v>0</v>
      </c>
      <c r="T408" s="6">
        <v>19</v>
      </c>
      <c r="U408" s="6">
        <v>0</v>
      </c>
      <c r="V408" s="6">
        <f>IF(ISERROR(VLOOKUP($S$408,'TAR FIN'!$A$1:$O$103,15,0)),0,VLOOKUP($S$408,'TAR FIN'!$A$1:$O$103,15,0))</f>
        <v>0</v>
      </c>
      <c r="W408" s="6">
        <f>IF(ISERROR(VLOOKUP($T$408,'TAR FIN'!$A$1:$O$103,15,0)),0,VLOOKUP($T$408,'TAR FIN'!$A$1:$O$103,15,0))</f>
        <v>842.31</v>
      </c>
      <c r="X408" s="6">
        <f>IF(ISERROR(VLOOKUP($U$408,'TAR FIN'!$A$1:$O$103,15,0)),0,VLOOKUP($U$408,'TAR FIN'!$A$1:$O$103,15,0))</f>
        <v>0</v>
      </c>
      <c r="Y408" s="6"/>
      <c r="Z408" s="6">
        <f ca="1">('TUSD BE'!$AM$21+'TUSD BF'!$AM$21+'TUSD CVA'!$AM$21)*1</f>
        <v>1146.3801365962368</v>
      </c>
      <c r="AA408" s="6"/>
      <c r="AB408" s="6">
        <f>$K$408*$V$408</f>
        <v>0</v>
      </c>
      <c r="AC408" s="6">
        <f>$M$408*$W$408</f>
        <v>56187.97316999999</v>
      </c>
      <c r="AD408" s="6">
        <f>$O$408*$X$408</f>
        <v>0</v>
      </c>
      <c r="AE408" s="6">
        <f>$K$408*$Y$408</f>
        <v>0</v>
      </c>
      <c r="AF408" s="6">
        <f ca="1">$M$408*$Z$408</f>
        <v>76471.579771925157</v>
      </c>
      <c r="AG408" s="6">
        <f>$O$408*$AA$408</f>
        <v>0</v>
      </c>
    </row>
    <row r="409" spans="1:33" ht="11.25" customHeight="1" x14ac:dyDescent="0.25">
      <c r="A409" s="4" t="s">
        <v>21</v>
      </c>
      <c r="B409" s="4" t="s">
        <v>33</v>
      </c>
      <c r="C409" s="4" t="s">
        <v>34</v>
      </c>
      <c r="D409" s="4" t="s">
        <v>40</v>
      </c>
      <c r="E409" s="4" t="s">
        <v>25</v>
      </c>
      <c r="F409" s="4" t="s">
        <v>25</v>
      </c>
      <c r="G409" s="4" t="s">
        <v>25</v>
      </c>
      <c r="H409" s="4" t="s">
        <v>37</v>
      </c>
      <c r="I409" s="5">
        <v>44378</v>
      </c>
      <c r="J409" s="6">
        <v>0</v>
      </c>
      <c r="K409" s="6">
        <v>0</v>
      </c>
      <c r="L409" s="6">
        <v>150.155</v>
      </c>
      <c r="M409" s="6">
        <v>150.155</v>
      </c>
      <c r="N409" s="6">
        <v>150.155</v>
      </c>
      <c r="O409" s="6">
        <v>150.155</v>
      </c>
      <c r="P409" s="6">
        <v>0</v>
      </c>
      <c r="Q409" s="4" t="s">
        <v>26</v>
      </c>
      <c r="R409" s="4">
        <v>0</v>
      </c>
      <c r="S409" s="6">
        <v>0</v>
      </c>
      <c r="T409" s="6">
        <v>19</v>
      </c>
      <c r="U409" s="6">
        <v>65</v>
      </c>
      <c r="V409" s="6">
        <f>IF(ISERROR(VLOOKUP($S$409,'TAR FIN'!$A$1:$O$103,15,0)),0,VLOOKUP($S$409,'TAR FIN'!$A$1:$O$103,15,0))</f>
        <v>0</v>
      </c>
      <c r="W409" s="6">
        <f>IF(ISERROR(VLOOKUP($T$409,'TAR FIN'!$A$1:$O$103,15,0)),0,VLOOKUP($T$409,'TAR FIN'!$A$1:$O$103,15,0))</f>
        <v>842.31</v>
      </c>
      <c r="X409" s="6">
        <f>IF(ISERROR(VLOOKUP($U$409,'TAR FIN'!$A$1:$O$103,15,0)),0,VLOOKUP($U$409,'TAR FIN'!$A$1:$O$103,15,0))</f>
        <v>454.9</v>
      </c>
      <c r="Y409" s="6"/>
      <c r="Z409" s="6">
        <f ca="1">('TUSD BE'!$AM$21+'TUSD BF'!$AM$21+'TUSD CVA'!$AM$21)*1</f>
        <v>1146.3801365962368</v>
      </c>
      <c r="AA409" s="6">
        <f>('TE BE'!$AB$8+'TE BF'!$AB$8+'TE CVA'!$AB$8)*1</f>
        <v>415.05449050541699</v>
      </c>
      <c r="AB409" s="6">
        <f>$K$409*$V$409</f>
        <v>0</v>
      </c>
      <c r="AC409" s="6">
        <f>$M$409*$W$409</f>
        <v>126477.05804999999</v>
      </c>
      <c r="AD409" s="6">
        <f>$O$409*$X$409</f>
        <v>68305.5095</v>
      </c>
      <c r="AE409" s="6">
        <f>$K$409*$Y$409</f>
        <v>0</v>
      </c>
      <c r="AF409" s="6">
        <f ca="1">$M$409*$Z$409</f>
        <v>172134.70941060793</v>
      </c>
      <c r="AG409" s="6">
        <f>$O$409*$AA$409</f>
        <v>62322.507021840887</v>
      </c>
    </row>
    <row r="410" spans="1:33" ht="11.25" customHeight="1" x14ac:dyDescent="0.25">
      <c r="A410" s="4" t="s">
        <v>21</v>
      </c>
      <c r="B410" s="4" t="s">
        <v>33</v>
      </c>
      <c r="C410" s="4" t="s">
        <v>34</v>
      </c>
      <c r="D410" s="4" t="s">
        <v>40</v>
      </c>
      <c r="E410" s="4" t="s">
        <v>25</v>
      </c>
      <c r="F410" s="4" t="s">
        <v>25</v>
      </c>
      <c r="G410" s="4" t="s">
        <v>25</v>
      </c>
      <c r="H410" s="4" t="s">
        <v>37</v>
      </c>
      <c r="I410" s="5">
        <v>44378</v>
      </c>
      <c r="J410" s="6">
        <v>0</v>
      </c>
      <c r="K410" s="6">
        <v>0</v>
      </c>
      <c r="L410" s="6">
        <v>62.363999999999997</v>
      </c>
      <c r="M410" s="6">
        <v>62.363999999999997</v>
      </c>
      <c r="N410" s="6">
        <v>0</v>
      </c>
      <c r="O410" s="6">
        <v>0</v>
      </c>
      <c r="P410" s="6">
        <v>0</v>
      </c>
      <c r="Q410" s="4" t="s">
        <v>53</v>
      </c>
      <c r="R410" s="4">
        <v>0</v>
      </c>
      <c r="S410" s="6">
        <v>0</v>
      </c>
      <c r="T410" s="6">
        <v>19</v>
      </c>
      <c r="U410" s="6">
        <v>0</v>
      </c>
      <c r="V410" s="6">
        <f>IF(ISERROR(VLOOKUP($S$410,'TAR FIN'!$A$1:$O$103,15,0)),0,VLOOKUP($S$410,'TAR FIN'!$A$1:$O$103,15,0))</f>
        <v>0</v>
      </c>
      <c r="W410" s="6">
        <f>IF(ISERROR(VLOOKUP($T$410,'TAR FIN'!$A$1:$O$103,15,0)),0,VLOOKUP($T$410,'TAR FIN'!$A$1:$O$103,15,0))</f>
        <v>842.31</v>
      </c>
      <c r="X410" s="6">
        <f>IF(ISERROR(VLOOKUP($U$410,'TAR FIN'!$A$1:$O$103,15,0)),0,VLOOKUP($U$410,'TAR FIN'!$A$1:$O$103,15,0))</f>
        <v>0</v>
      </c>
      <c r="Y410" s="6"/>
      <c r="Z410" s="6">
        <f ca="1">('TUSD BE'!$AM$21+'TUSD BF'!$AM$21+'TUSD CVA'!$AM$21)*1</f>
        <v>1146.3801365962368</v>
      </c>
      <c r="AA410" s="6"/>
      <c r="AB410" s="6">
        <f>$K$410*$V$410</f>
        <v>0</v>
      </c>
      <c r="AC410" s="6">
        <f>$M$410*$W$410</f>
        <v>52529.820839999993</v>
      </c>
      <c r="AD410" s="6">
        <f>$O$410*$X$410</f>
        <v>0</v>
      </c>
      <c r="AE410" s="6">
        <f>$K$410*$Y$410</f>
        <v>0</v>
      </c>
      <c r="AF410" s="6">
        <f ca="1">$M$410*$Z$410</f>
        <v>71492.850838687707</v>
      </c>
      <c r="AG410" s="6">
        <f>$O$410*$AA$410</f>
        <v>0</v>
      </c>
    </row>
    <row r="411" spans="1:33" ht="11.25" customHeight="1" x14ac:dyDescent="0.25">
      <c r="A411" s="4" t="s">
        <v>21</v>
      </c>
      <c r="B411" s="4" t="s">
        <v>33</v>
      </c>
      <c r="C411" s="4" t="s">
        <v>34</v>
      </c>
      <c r="D411" s="4" t="s">
        <v>40</v>
      </c>
      <c r="E411" s="4" t="s">
        <v>25</v>
      </c>
      <c r="F411" s="4" t="s">
        <v>25</v>
      </c>
      <c r="G411" s="4" t="s">
        <v>25</v>
      </c>
      <c r="H411" s="4" t="s">
        <v>37</v>
      </c>
      <c r="I411" s="5">
        <v>44409</v>
      </c>
      <c r="J411" s="6">
        <v>0</v>
      </c>
      <c r="K411" s="6">
        <v>0</v>
      </c>
      <c r="L411" s="6">
        <v>165.23599999999999</v>
      </c>
      <c r="M411" s="6">
        <v>165.23599999999999</v>
      </c>
      <c r="N411" s="6">
        <v>165.23599999999999</v>
      </c>
      <c r="O411" s="6">
        <v>165.23599999999999</v>
      </c>
      <c r="P411" s="6">
        <v>0</v>
      </c>
      <c r="Q411" s="4" t="s">
        <v>26</v>
      </c>
      <c r="R411" s="4">
        <v>0</v>
      </c>
      <c r="S411" s="6">
        <v>0</v>
      </c>
      <c r="T411" s="6">
        <v>19</v>
      </c>
      <c r="U411" s="6">
        <v>65</v>
      </c>
      <c r="V411" s="6">
        <f>IF(ISERROR(VLOOKUP($S$411,'TAR FIN'!$A$1:$O$103,15,0)),0,VLOOKUP($S$411,'TAR FIN'!$A$1:$O$103,15,0))</f>
        <v>0</v>
      </c>
      <c r="W411" s="6">
        <f>IF(ISERROR(VLOOKUP($T$411,'TAR FIN'!$A$1:$O$103,15,0)),0,VLOOKUP($T$411,'TAR FIN'!$A$1:$O$103,15,0))</f>
        <v>842.31</v>
      </c>
      <c r="X411" s="6">
        <f>IF(ISERROR(VLOOKUP($U$411,'TAR FIN'!$A$1:$O$103,15,0)),0,VLOOKUP($U$411,'TAR FIN'!$A$1:$O$103,15,0))</f>
        <v>454.9</v>
      </c>
      <c r="Y411" s="6"/>
      <c r="Z411" s="6">
        <f ca="1">('TUSD BE'!$AM$21+'TUSD BF'!$AM$21+'TUSD CVA'!$AM$21)*1</f>
        <v>1146.3801365962368</v>
      </c>
      <c r="AA411" s="6">
        <f>('TE BE'!$AB$8+'TE BF'!$AB$8+'TE CVA'!$AB$8)*1</f>
        <v>415.05449050541699</v>
      </c>
      <c r="AB411" s="6">
        <f>$K$411*$V$411</f>
        <v>0</v>
      </c>
      <c r="AC411" s="6">
        <f>$M$411*$W$411</f>
        <v>139179.93515999999</v>
      </c>
      <c r="AD411" s="6">
        <f>$O$411*$X$411</f>
        <v>75165.85639999999</v>
      </c>
      <c r="AE411" s="6">
        <f>$K$411*$Y$411</f>
        <v>0</v>
      </c>
      <c r="AF411" s="6">
        <f ca="1">$M$411*$Z$411</f>
        <v>189423.26825061577</v>
      </c>
      <c r="AG411" s="6">
        <f>$O$411*$AA$411</f>
        <v>68581.943793153085</v>
      </c>
    </row>
    <row r="412" spans="1:33" ht="11.25" customHeight="1" x14ac:dyDescent="0.25">
      <c r="A412" s="4" t="s">
        <v>21</v>
      </c>
      <c r="B412" s="4" t="s">
        <v>33</v>
      </c>
      <c r="C412" s="4" t="s">
        <v>34</v>
      </c>
      <c r="D412" s="4" t="s">
        <v>40</v>
      </c>
      <c r="E412" s="4" t="s">
        <v>25</v>
      </c>
      <c r="F412" s="4" t="s">
        <v>25</v>
      </c>
      <c r="G412" s="4" t="s">
        <v>25</v>
      </c>
      <c r="H412" s="4" t="s">
        <v>37</v>
      </c>
      <c r="I412" s="5">
        <v>44409</v>
      </c>
      <c r="J412" s="6">
        <v>0</v>
      </c>
      <c r="K412" s="6">
        <v>0</v>
      </c>
      <c r="L412" s="6">
        <v>54.103999999999999</v>
      </c>
      <c r="M412" s="6">
        <v>54.103999999999999</v>
      </c>
      <c r="N412" s="6">
        <v>0</v>
      </c>
      <c r="O412" s="6">
        <v>0</v>
      </c>
      <c r="P412" s="6">
        <v>0</v>
      </c>
      <c r="Q412" s="4" t="s">
        <v>53</v>
      </c>
      <c r="R412" s="4">
        <v>0</v>
      </c>
      <c r="S412" s="6">
        <v>0</v>
      </c>
      <c r="T412" s="6">
        <v>19</v>
      </c>
      <c r="U412" s="6">
        <v>0</v>
      </c>
      <c r="V412" s="6">
        <f>IF(ISERROR(VLOOKUP($S$412,'TAR FIN'!$A$1:$O$103,15,0)),0,VLOOKUP($S$412,'TAR FIN'!$A$1:$O$103,15,0))</f>
        <v>0</v>
      </c>
      <c r="W412" s="6">
        <f>IF(ISERROR(VLOOKUP($T$412,'TAR FIN'!$A$1:$O$103,15,0)),0,VLOOKUP($T$412,'TAR FIN'!$A$1:$O$103,15,0))</f>
        <v>842.31</v>
      </c>
      <c r="X412" s="6">
        <f>IF(ISERROR(VLOOKUP($U$412,'TAR FIN'!$A$1:$O$103,15,0)),0,VLOOKUP($U$412,'TAR FIN'!$A$1:$O$103,15,0))</f>
        <v>0</v>
      </c>
      <c r="Y412" s="6"/>
      <c r="Z412" s="6">
        <f ca="1">('TUSD BE'!$AM$21+'TUSD BF'!$AM$21+'TUSD CVA'!$AM$21)*1</f>
        <v>1146.3801365962368</v>
      </c>
      <c r="AA412" s="6"/>
      <c r="AB412" s="6">
        <f>$K$412*$V$412</f>
        <v>0</v>
      </c>
      <c r="AC412" s="6">
        <f>$M$412*$W$412</f>
        <v>45572.340239999998</v>
      </c>
      <c r="AD412" s="6">
        <f>$O$412*$X$412</f>
        <v>0</v>
      </c>
      <c r="AE412" s="6">
        <f>$K$412*$Y$412</f>
        <v>0</v>
      </c>
      <c r="AF412" s="6">
        <f ca="1">$M$412*$Z$412</f>
        <v>62023.750910402792</v>
      </c>
      <c r="AG412" s="6">
        <f>$O$412*$AA$412</f>
        <v>0</v>
      </c>
    </row>
    <row r="413" spans="1:33" ht="11.25" customHeight="1" x14ac:dyDescent="0.25">
      <c r="A413" s="4" t="s">
        <v>21</v>
      </c>
      <c r="B413" s="4" t="s">
        <v>33</v>
      </c>
      <c r="C413" s="4" t="s">
        <v>34</v>
      </c>
      <c r="D413" s="4" t="s">
        <v>40</v>
      </c>
      <c r="E413" s="4" t="s">
        <v>25</v>
      </c>
      <c r="F413" s="4" t="s">
        <v>25</v>
      </c>
      <c r="G413" s="4" t="s">
        <v>25</v>
      </c>
      <c r="H413" s="4" t="s">
        <v>37</v>
      </c>
      <c r="I413" s="5">
        <v>44440</v>
      </c>
      <c r="J413" s="6">
        <v>0</v>
      </c>
      <c r="K413" s="6">
        <v>0</v>
      </c>
      <c r="L413" s="6">
        <v>146.303</v>
      </c>
      <c r="M413" s="6">
        <v>146.303</v>
      </c>
      <c r="N413" s="6">
        <v>146.303</v>
      </c>
      <c r="O413" s="6">
        <v>146.303</v>
      </c>
      <c r="P413" s="6">
        <v>0</v>
      </c>
      <c r="Q413" s="4" t="s">
        <v>26</v>
      </c>
      <c r="R413" s="4">
        <v>0</v>
      </c>
      <c r="S413" s="6">
        <v>0</v>
      </c>
      <c r="T413" s="6">
        <v>19</v>
      </c>
      <c r="U413" s="6">
        <v>65</v>
      </c>
      <c r="V413" s="6">
        <f>IF(ISERROR(VLOOKUP($S$413,'TAR FIN'!$A$1:$O$103,15,0)),0,VLOOKUP($S$413,'TAR FIN'!$A$1:$O$103,15,0))</f>
        <v>0</v>
      </c>
      <c r="W413" s="6">
        <f>IF(ISERROR(VLOOKUP($T$413,'TAR FIN'!$A$1:$O$103,15,0)),0,VLOOKUP($T$413,'TAR FIN'!$A$1:$O$103,15,0))</f>
        <v>842.31</v>
      </c>
      <c r="X413" s="6">
        <f>IF(ISERROR(VLOOKUP($U$413,'TAR FIN'!$A$1:$O$103,15,0)),0,VLOOKUP($U$413,'TAR FIN'!$A$1:$O$103,15,0))</f>
        <v>454.9</v>
      </c>
      <c r="Y413" s="6"/>
      <c r="Z413" s="6">
        <f ca="1">('TUSD BE'!$AM$21+'TUSD BF'!$AM$21+'TUSD CVA'!$AM$21)*1</f>
        <v>1146.3801365962368</v>
      </c>
      <c r="AA413" s="6">
        <f>('TE BE'!$AB$8+'TE BF'!$AB$8+'TE CVA'!$AB$8)*1</f>
        <v>415.05449050541699</v>
      </c>
      <c r="AB413" s="6">
        <f>$K$413*$V$413</f>
        <v>0</v>
      </c>
      <c r="AC413" s="6">
        <f>$M$413*$W$413</f>
        <v>123232.47992999999</v>
      </c>
      <c r="AD413" s="6">
        <f>$O$413*$X$413</f>
        <v>66553.234700000001</v>
      </c>
      <c r="AE413" s="6">
        <f>$K$413*$Y$413</f>
        <v>0</v>
      </c>
      <c r="AF413" s="6">
        <f ca="1">$M$413*$Z$413</f>
        <v>167718.85312443922</v>
      </c>
      <c r="AG413" s="6">
        <f>$O$413*$AA$413</f>
        <v>60723.717124414019</v>
      </c>
    </row>
    <row r="414" spans="1:33" ht="11.25" customHeight="1" x14ac:dyDescent="0.25">
      <c r="A414" s="4" t="s">
        <v>21</v>
      </c>
      <c r="B414" s="4" t="s">
        <v>33</v>
      </c>
      <c r="C414" s="4" t="s">
        <v>34</v>
      </c>
      <c r="D414" s="4" t="s">
        <v>40</v>
      </c>
      <c r="E414" s="4" t="s">
        <v>25</v>
      </c>
      <c r="F414" s="4" t="s">
        <v>25</v>
      </c>
      <c r="G414" s="4" t="s">
        <v>25</v>
      </c>
      <c r="H414" s="4" t="s">
        <v>37</v>
      </c>
      <c r="I414" s="5">
        <v>44440</v>
      </c>
      <c r="J414" s="6">
        <v>0</v>
      </c>
      <c r="K414" s="6">
        <v>0</v>
      </c>
      <c r="L414" s="6">
        <v>129.36799999999999</v>
      </c>
      <c r="M414" s="6">
        <v>129.36799999999999</v>
      </c>
      <c r="N414" s="6">
        <v>0</v>
      </c>
      <c r="O414" s="6">
        <v>0</v>
      </c>
      <c r="P414" s="6">
        <v>0</v>
      </c>
      <c r="Q414" s="4" t="s">
        <v>53</v>
      </c>
      <c r="R414" s="4">
        <v>0</v>
      </c>
      <c r="S414" s="6">
        <v>0</v>
      </c>
      <c r="T414" s="6">
        <v>19</v>
      </c>
      <c r="U414" s="6">
        <v>0</v>
      </c>
      <c r="V414" s="6">
        <f>IF(ISERROR(VLOOKUP($S$414,'TAR FIN'!$A$1:$O$103,15,0)),0,VLOOKUP($S$414,'TAR FIN'!$A$1:$O$103,15,0))</f>
        <v>0</v>
      </c>
      <c r="W414" s="6">
        <f>IF(ISERROR(VLOOKUP($T$414,'TAR FIN'!$A$1:$O$103,15,0)),0,VLOOKUP($T$414,'TAR FIN'!$A$1:$O$103,15,0))</f>
        <v>842.31</v>
      </c>
      <c r="X414" s="6">
        <f>IF(ISERROR(VLOOKUP($U$414,'TAR FIN'!$A$1:$O$103,15,0)),0,VLOOKUP($U$414,'TAR FIN'!$A$1:$O$103,15,0))</f>
        <v>0</v>
      </c>
      <c r="Y414" s="6"/>
      <c r="Z414" s="6">
        <f ca="1">('TUSD BE'!$AM$21+'TUSD BF'!$AM$21+'TUSD CVA'!$AM$21)*1</f>
        <v>1146.3801365962368</v>
      </c>
      <c r="AA414" s="6"/>
      <c r="AB414" s="6">
        <f>$K$414*$V$414</f>
        <v>0</v>
      </c>
      <c r="AC414" s="6">
        <f>$M$414*$W$414</f>
        <v>108967.96007999999</v>
      </c>
      <c r="AD414" s="6">
        <f>$O$414*$X$414</f>
        <v>0</v>
      </c>
      <c r="AE414" s="6">
        <f>$K$414*$Y$414</f>
        <v>0</v>
      </c>
      <c r="AF414" s="6">
        <f ca="1">$M$414*$Z$414</f>
        <v>148304.90551118195</v>
      </c>
      <c r="AG414" s="6">
        <f>$O$414*$AA$414</f>
        <v>0</v>
      </c>
    </row>
    <row r="415" spans="1:33" ht="11.25" customHeight="1" x14ac:dyDescent="0.25">
      <c r="A415" s="4" t="s">
        <v>21</v>
      </c>
      <c r="B415" s="4" t="s">
        <v>33</v>
      </c>
      <c r="C415" s="4" t="s">
        <v>34</v>
      </c>
      <c r="D415" s="4" t="s">
        <v>40</v>
      </c>
      <c r="E415" s="4" t="s">
        <v>25</v>
      </c>
      <c r="F415" s="4" t="s">
        <v>25</v>
      </c>
      <c r="G415" s="4" t="s">
        <v>25</v>
      </c>
      <c r="H415" s="4" t="s">
        <v>37</v>
      </c>
      <c r="I415" s="5">
        <v>44470</v>
      </c>
      <c r="J415" s="6">
        <v>0</v>
      </c>
      <c r="K415" s="6">
        <v>0</v>
      </c>
      <c r="L415" s="6">
        <v>131.60599999999999</v>
      </c>
      <c r="M415" s="6">
        <v>131.60599999999999</v>
      </c>
      <c r="N415" s="6">
        <v>131.60599999999999</v>
      </c>
      <c r="O415" s="6">
        <v>131.60599999999999</v>
      </c>
      <c r="P415" s="6">
        <v>0</v>
      </c>
      <c r="Q415" s="4" t="s">
        <v>26</v>
      </c>
      <c r="R415" s="4">
        <v>0</v>
      </c>
      <c r="S415" s="6">
        <v>0</v>
      </c>
      <c r="T415" s="6">
        <v>19</v>
      </c>
      <c r="U415" s="6">
        <v>65</v>
      </c>
      <c r="V415" s="6">
        <f>IF(ISERROR(VLOOKUP($S$415,'TAR FIN'!$A$1:$O$103,15,0)),0,VLOOKUP($S$415,'TAR FIN'!$A$1:$O$103,15,0))</f>
        <v>0</v>
      </c>
      <c r="W415" s="6">
        <f>IF(ISERROR(VLOOKUP($T$415,'TAR FIN'!$A$1:$O$103,15,0)),0,VLOOKUP($T$415,'TAR FIN'!$A$1:$O$103,15,0))</f>
        <v>842.31</v>
      </c>
      <c r="X415" s="6">
        <f>IF(ISERROR(VLOOKUP($U$415,'TAR FIN'!$A$1:$O$103,15,0)),0,VLOOKUP($U$415,'TAR FIN'!$A$1:$O$103,15,0))</f>
        <v>454.9</v>
      </c>
      <c r="Y415" s="6"/>
      <c r="Z415" s="6">
        <f ca="1">('TUSD BE'!$AM$21+'TUSD BF'!$AM$21+'TUSD CVA'!$AM$21)*1</f>
        <v>1146.3801365962368</v>
      </c>
      <c r="AA415" s="6">
        <f>('TE BE'!$AB$8+'TE BF'!$AB$8+'TE CVA'!$AB$8)*1</f>
        <v>415.05449050541699</v>
      </c>
      <c r="AB415" s="6">
        <f>$K$415*$V$415</f>
        <v>0</v>
      </c>
      <c r="AC415" s="6">
        <f>$M$415*$W$415</f>
        <v>110853.04985999998</v>
      </c>
      <c r="AD415" s="6">
        <f>$O$415*$X$415</f>
        <v>59867.569399999993</v>
      </c>
      <c r="AE415" s="6">
        <f>$K$415*$Y$415</f>
        <v>0</v>
      </c>
      <c r="AF415" s="6">
        <f ca="1">$M$415*$Z$415</f>
        <v>150870.50425688433</v>
      </c>
      <c r="AG415" s="6">
        <f>$O$415*$AA$415</f>
        <v>54623.661277455903</v>
      </c>
    </row>
    <row r="416" spans="1:33" ht="11.25" customHeight="1" x14ac:dyDescent="0.25">
      <c r="A416" s="4" t="s">
        <v>21</v>
      </c>
      <c r="B416" s="4" t="s">
        <v>33</v>
      </c>
      <c r="C416" s="4" t="s">
        <v>34</v>
      </c>
      <c r="D416" s="4" t="s">
        <v>40</v>
      </c>
      <c r="E416" s="4" t="s">
        <v>25</v>
      </c>
      <c r="F416" s="4" t="s">
        <v>25</v>
      </c>
      <c r="G416" s="4" t="s">
        <v>25</v>
      </c>
      <c r="H416" s="4" t="s">
        <v>37</v>
      </c>
      <c r="I416" s="5">
        <v>44470</v>
      </c>
      <c r="J416" s="6">
        <v>0</v>
      </c>
      <c r="K416" s="6">
        <v>0</v>
      </c>
      <c r="L416" s="6">
        <v>120.376</v>
      </c>
      <c r="M416" s="6">
        <v>120.376</v>
      </c>
      <c r="N416" s="6">
        <v>0</v>
      </c>
      <c r="O416" s="6">
        <v>0</v>
      </c>
      <c r="P416" s="6">
        <v>0</v>
      </c>
      <c r="Q416" s="4" t="s">
        <v>53</v>
      </c>
      <c r="R416" s="4">
        <v>0</v>
      </c>
      <c r="S416" s="6">
        <v>0</v>
      </c>
      <c r="T416" s="6">
        <v>19</v>
      </c>
      <c r="U416" s="6">
        <v>0</v>
      </c>
      <c r="V416" s="6">
        <f>IF(ISERROR(VLOOKUP($S$416,'TAR FIN'!$A$1:$O$103,15,0)),0,VLOOKUP($S$416,'TAR FIN'!$A$1:$O$103,15,0))</f>
        <v>0</v>
      </c>
      <c r="W416" s="6">
        <f>IF(ISERROR(VLOOKUP($T$416,'TAR FIN'!$A$1:$O$103,15,0)),0,VLOOKUP($T$416,'TAR FIN'!$A$1:$O$103,15,0))</f>
        <v>842.31</v>
      </c>
      <c r="X416" s="6">
        <f>IF(ISERROR(VLOOKUP($U$416,'TAR FIN'!$A$1:$O$103,15,0)),0,VLOOKUP($U$416,'TAR FIN'!$A$1:$O$103,15,0))</f>
        <v>0</v>
      </c>
      <c r="Y416" s="6"/>
      <c r="Z416" s="6">
        <f ca="1">('TUSD BE'!$AM$21+'TUSD BF'!$AM$21+'TUSD CVA'!$AM$21)*1</f>
        <v>1146.3801365962368</v>
      </c>
      <c r="AA416" s="6"/>
      <c r="AB416" s="6">
        <f>$K$416*$V$416</f>
        <v>0</v>
      </c>
      <c r="AC416" s="6">
        <f>$M$416*$W$416</f>
        <v>101393.90856</v>
      </c>
      <c r="AD416" s="6">
        <f>$O$416*$X$416</f>
        <v>0</v>
      </c>
      <c r="AE416" s="6">
        <f>$K$416*$Y$416</f>
        <v>0</v>
      </c>
      <c r="AF416" s="6">
        <f ca="1">$M$416*$Z$416</f>
        <v>137996.6553229086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33</v>
      </c>
      <c r="C417" s="4" t="s">
        <v>34</v>
      </c>
      <c r="D417" s="4" t="s">
        <v>40</v>
      </c>
      <c r="E417" s="4" t="s">
        <v>25</v>
      </c>
      <c r="F417" s="4" t="s">
        <v>25</v>
      </c>
      <c r="G417" s="4" t="s">
        <v>25</v>
      </c>
      <c r="H417" s="4" t="s">
        <v>37</v>
      </c>
      <c r="I417" s="5">
        <v>44501</v>
      </c>
      <c r="J417" s="6">
        <v>0</v>
      </c>
      <c r="K417" s="6">
        <v>0</v>
      </c>
      <c r="L417" s="6">
        <v>133.28399999999999</v>
      </c>
      <c r="M417" s="6">
        <v>133.28399999999999</v>
      </c>
      <c r="N417" s="6">
        <v>133.28399999999999</v>
      </c>
      <c r="O417" s="6">
        <v>133.28399999999999</v>
      </c>
      <c r="P417" s="6">
        <v>0</v>
      </c>
      <c r="Q417" s="4" t="s">
        <v>26</v>
      </c>
      <c r="R417" s="4">
        <v>0</v>
      </c>
      <c r="S417" s="6">
        <v>0</v>
      </c>
      <c r="T417" s="6">
        <v>19</v>
      </c>
      <c r="U417" s="6">
        <v>65</v>
      </c>
      <c r="V417" s="6">
        <f>IF(ISERROR(VLOOKUP($S$417,'TAR FIN'!$A$1:$O$103,15,0)),0,VLOOKUP($S$417,'TAR FIN'!$A$1:$O$103,15,0))</f>
        <v>0</v>
      </c>
      <c r="W417" s="6">
        <f>IF(ISERROR(VLOOKUP($T$417,'TAR FIN'!$A$1:$O$103,15,0)),0,VLOOKUP($T$417,'TAR FIN'!$A$1:$O$103,15,0))</f>
        <v>842.31</v>
      </c>
      <c r="X417" s="6">
        <f>IF(ISERROR(VLOOKUP($U$417,'TAR FIN'!$A$1:$O$103,15,0)),0,VLOOKUP($U$417,'TAR FIN'!$A$1:$O$103,15,0))</f>
        <v>454.9</v>
      </c>
      <c r="Y417" s="6"/>
      <c r="Z417" s="6">
        <f ca="1">('TUSD BE'!$AM$21+'TUSD BF'!$AM$21+'TUSD CVA'!$AM$21)*1</f>
        <v>1146.3801365962368</v>
      </c>
      <c r="AA417" s="6">
        <f>('TE BE'!$AB$8+'TE BF'!$AB$8+'TE CVA'!$AB$8)*1</f>
        <v>415.05449050541699</v>
      </c>
      <c r="AB417" s="6">
        <f>$K$417*$V$417</f>
        <v>0</v>
      </c>
      <c r="AC417" s="6">
        <f>$M$417*$W$417</f>
        <v>112266.44603999998</v>
      </c>
      <c r="AD417" s="6">
        <f>$O$417*$X$417</f>
        <v>60630.891599999995</v>
      </c>
      <c r="AE417" s="6">
        <f>$K$417*$Y$417</f>
        <v>0</v>
      </c>
      <c r="AF417" s="6">
        <f ca="1">$M$417*$Z$417</f>
        <v>152794.13012609282</v>
      </c>
      <c r="AG417" s="6">
        <f>$O$417*$AA$417</f>
        <v>55320.122712523997</v>
      </c>
    </row>
    <row r="418" spans="1:33" ht="11.25" customHeight="1" x14ac:dyDescent="0.25">
      <c r="A418" s="4" t="s">
        <v>21</v>
      </c>
      <c r="B418" s="4" t="s">
        <v>33</v>
      </c>
      <c r="C418" s="4" t="s">
        <v>34</v>
      </c>
      <c r="D418" s="4" t="s">
        <v>40</v>
      </c>
      <c r="E418" s="4" t="s">
        <v>25</v>
      </c>
      <c r="F418" s="4" t="s">
        <v>25</v>
      </c>
      <c r="G418" s="4" t="s">
        <v>25</v>
      </c>
      <c r="H418" s="4" t="s">
        <v>37</v>
      </c>
      <c r="I418" s="5">
        <v>44501</v>
      </c>
      <c r="J418" s="6">
        <v>0</v>
      </c>
      <c r="K418" s="6">
        <v>0</v>
      </c>
      <c r="L418" s="6">
        <v>100.55800000000001</v>
      </c>
      <c r="M418" s="6">
        <v>100.55800000000001</v>
      </c>
      <c r="N418" s="6">
        <v>0</v>
      </c>
      <c r="O418" s="6">
        <v>0</v>
      </c>
      <c r="P418" s="6">
        <v>0</v>
      </c>
      <c r="Q418" s="4" t="s">
        <v>53</v>
      </c>
      <c r="R418" s="4">
        <v>0</v>
      </c>
      <c r="S418" s="6">
        <v>0</v>
      </c>
      <c r="T418" s="6">
        <v>19</v>
      </c>
      <c r="U418" s="6">
        <v>0</v>
      </c>
      <c r="V418" s="6">
        <f>IF(ISERROR(VLOOKUP($S$418,'TAR FIN'!$A$1:$O$103,15,0)),0,VLOOKUP($S$418,'TAR FIN'!$A$1:$O$103,15,0))</f>
        <v>0</v>
      </c>
      <c r="W418" s="6">
        <f>IF(ISERROR(VLOOKUP($T$418,'TAR FIN'!$A$1:$O$103,15,0)),0,VLOOKUP($T$418,'TAR FIN'!$A$1:$O$103,15,0))</f>
        <v>842.31</v>
      </c>
      <c r="X418" s="6">
        <f>IF(ISERROR(VLOOKUP($U$418,'TAR FIN'!$A$1:$O$103,15,0)),0,VLOOKUP($U$418,'TAR FIN'!$A$1:$O$103,15,0))</f>
        <v>0</v>
      </c>
      <c r="Y418" s="6"/>
      <c r="Z418" s="6">
        <f ca="1">('TUSD BE'!$AM$21+'TUSD BF'!$AM$21+'TUSD CVA'!$AM$21)*1</f>
        <v>1146.3801365962368</v>
      </c>
      <c r="AA418" s="6"/>
      <c r="AB418" s="6">
        <f>$K$418*$V$418</f>
        <v>0</v>
      </c>
      <c r="AC418" s="6">
        <f>$M$418*$W$418</f>
        <v>84701.008979999999</v>
      </c>
      <c r="AD418" s="6">
        <f>$O$418*$X$418</f>
        <v>0</v>
      </c>
      <c r="AE418" s="6">
        <f>$K$418*$Y$418</f>
        <v>0</v>
      </c>
      <c r="AF418" s="6">
        <f ca="1">$M$418*$Z$418</f>
        <v>115277.69377584438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33</v>
      </c>
      <c r="C419" s="4" t="s">
        <v>34</v>
      </c>
      <c r="D419" s="4" t="s">
        <v>40</v>
      </c>
      <c r="E419" s="4" t="s">
        <v>25</v>
      </c>
      <c r="F419" s="4" t="s">
        <v>25</v>
      </c>
      <c r="G419" s="4" t="s">
        <v>25</v>
      </c>
      <c r="H419" s="4" t="s">
        <v>37</v>
      </c>
      <c r="I419" s="5">
        <v>44531</v>
      </c>
      <c r="J419" s="6">
        <v>0</v>
      </c>
      <c r="K419" s="6">
        <v>0</v>
      </c>
      <c r="L419" s="6">
        <v>127.95399999999999</v>
      </c>
      <c r="M419" s="6">
        <v>127.95399999999999</v>
      </c>
      <c r="N419" s="6">
        <v>127.95399999999999</v>
      </c>
      <c r="O419" s="6">
        <v>127.95399999999999</v>
      </c>
      <c r="P419" s="6">
        <v>0</v>
      </c>
      <c r="Q419" s="4" t="s">
        <v>26</v>
      </c>
      <c r="R419" s="4">
        <v>0</v>
      </c>
      <c r="S419" s="6">
        <v>0</v>
      </c>
      <c r="T419" s="6">
        <v>19</v>
      </c>
      <c r="U419" s="6">
        <v>65</v>
      </c>
      <c r="V419" s="6">
        <f>IF(ISERROR(VLOOKUP($S$419,'TAR FIN'!$A$1:$O$103,15,0)),0,VLOOKUP($S$419,'TAR FIN'!$A$1:$O$103,15,0))</f>
        <v>0</v>
      </c>
      <c r="W419" s="6">
        <f>IF(ISERROR(VLOOKUP($T$419,'TAR FIN'!$A$1:$O$103,15,0)),0,VLOOKUP($T$419,'TAR FIN'!$A$1:$O$103,15,0))</f>
        <v>842.31</v>
      </c>
      <c r="X419" s="6">
        <f>IF(ISERROR(VLOOKUP($U$419,'TAR FIN'!$A$1:$O$103,15,0)),0,VLOOKUP($U$419,'TAR FIN'!$A$1:$O$103,15,0))</f>
        <v>454.9</v>
      </c>
      <c r="Y419" s="6"/>
      <c r="Z419" s="6">
        <f ca="1">('TUSD BE'!$AM$21+'TUSD BF'!$AM$21+'TUSD CVA'!$AM$21)*1</f>
        <v>1146.3801365962368</v>
      </c>
      <c r="AA419" s="6">
        <f>('TE BE'!$AB$8+'TE BF'!$AB$8+'TE CVA'!$AB$8)*1</f>
        <v>415.05449050541699</v>
      </c>
      <c r="AB419" s="6">
        <f>$K$419*$V$419</f>
        <v>0</v>
      </c>
      <c r="AC419" s="6">
        <f>$M$419*$W$419</f>
        <v>107776.93373999999</v>
      </c>
      <c r="AD419" s="6">
        <f>$O$419*$X$419</f>
        <v>58206.274599999997</v>
      </c>
      <c r="AE419" s="6">
        <f>$K$419*$Y$419</f>
        <v>0</v>
      </c>
      <c r="AF419" s="6">
        <f ca="1">$M$419*$Z$419</f>
        <v>146683.92399803488</v>
      </c>
      <c r="AG419" s="6">
        <f>$O$419*$AA$419</f>
        <v>53107.882278130121</v>
      </c>
    </row>
    <row r="420" spans="1:33" ht="11.25" customHeight="1" x14ac:dyDescent="0.25">
      <c r="A420" s="4" t="s">
        <v>28</v>
      </c>
      <c r="B420" s="4" t="s">
        <v>33</v>
      </c>
      <c r="C420" s="4" t="s">
        <v>34</v>
      </c>
      <c r="D420" s="4" t="s">
        <v>40</v>
      </c>
      <c r="E420" s="4" t="s">
        <v>25</v>
      </c>
      <c r="F420" s="4" t="s">
        <v>25</v>
      </c>
      <c r="G420" s="4" t="s">
        <v>25</v>
      </c>
      <c r="H420" s="4" t="s">
        <v>37</v>
      </c>
      <c r="I420" s="5">
        <v>44531</v>
      </c>
      <c r="J420" s="6">
        <v>0</v>
      </c>
      <c r="K420" s="6">
        <v>0</v>
      </c>
      <c r="L420" s="6">
        <v>0.70799999999999996</v>
      </c>
      <c r="M420" s="6">
        <v>0.70799999999999996</v>
      </c>
      <c r="N420" s="6">
        <v>0.70799999999999996</v>
      </c>
      <c r="O420" s="6">
        <v>0.70799999999999996</v>
      </c>
      <c r="P420" s="6">
        <v>0</v>
      </c>
      <c r="Q420" s="4" t="s">
        <v>26</v>
      </c>
      <c r="R420" s="4">
        <v>0</v>
      </c>
      <c r="S420" s="6">
        <v>0</v>
      </c>
      <c r="T420" s="6">
        <v>19</v>
      </c>
      <c r="U420" s="6">
        <v>65</v>
      </c>
      <c r="V420" s="6">
        <f>IF(ISERROR(VLOOKUP($S$420,'TAR FIN'!$A$1:$O$103,15,0)),0,VLOOKUP($S$420,'TAR FIN'!$A$1:$O$103,15,0))</f>
        <v>0</v>
      </c>
      <c r="W420" s="6">
        <f>IF(ISERROR(VLOOKUP($T$420,'TAR FIN'!$A$1:$O$103,15,0)),0,VLOOKUP($T$420,'TAR FIN'!$A$1:$O$103,15,0))</f>
        <v>842.31</v>
      </c>
      <c r="X420" s="6">
        <f>IF(ISERROR(VLOOKUP($U$420,'TAR FIN'!$A$1:$O$103,15,0)),0,VLOOKUP($U$420,'TAR FIN'!$A$1:$O$103,15,0))</f>
        <v>454.9</v>
      </c>
      <c r="Y420" s="6"/>
      <c r="Z420" s="6">
        <f ca="1">('TUSD BE'!$AM$21+'TUSD BF'!$AM$21+'TUSD CVA'!$AM$21)*1</f>
        <v>1146.3801365962368</v>
      </c>
      <c r="AA420" s="6">
        <f>('TE BE'!$AB$8+'TE BF'!$AB$8+'TE CVA'!$AB$8)*1</f>
        <v>415.05449050541699</v>
      </c>
      <c r="AB420" s="6">
        <f>$K$420*$V$420</f>
        <v>0</v>
      </c>
      <c r="AC420" s="6">
        <f>$M$420*$W$420</f>
        <v>596.35547999999994</v>
      </c>
      <c r="AD420" s="6">
        <f>$O$420*$X$420</f>
        <v>322.06919999999997</v>
      </c>
      <c r="AE420" s="6">
        <f>$K$420*$Y$420</f>
        <v>0</v>
      </c>
      <c r="AF420" s="6">
        <f ca="1">$M$420*$Z$420</f>
        <v>811.63713671013556</v>
      </c>
      <c r="AG420" s="6">
        <f>$O$420*$AA$420</f>
        <v>293.85857927783519</v>
      </c>
    </row>
    <row r="421" spans="1:33" ht="11.25" customHeight="1" x14ac:dyDescent="0.25">
      <c r="A421" s="4" t="s">
        <v>21</v>
      </c>
      <c r="B421" s="4" t="s">
        <v>33</v>
      </c>
      <c r="C421" s="4" t="s">
        <v>34</v>
      </c>
      <c r="D421" s="4" t="s">
        <v>40</v>
      </c>
      <c r="E421" s="4" t="s">
        <v>25</v>
      </c>
      <c r="F421" s="4" t="s">
        <v>25</v>
      </c>
      <c r="G421" s="4" t="s">
        <v>25</v>
      </c>
      <c r="H421" s="4" t="s">
        <v>37</v>
      </c>
      <c r="I421" s="5">
        <v>44531</v>
      </c>
      <c r="J421" s="6">
        <v>0</v>
      </c>
      <c r="K421" s="6">
        <v>0</v>
      </c>
      <c r="L421" s="6">
        <v>135.91800000000001</v>
      </c>
      <c r="M421" s="6">
        <v>135.91800000000001</v>
      </c>
      <c r="N421" s="6">
        <v>0</v>
      </c>
      <c r="O421" s="6">
        <v>0</v>
      </c>
      <c r="P421" s="6">
        <v>0</v>
      </c>
      <c r="Q421" s="4" t="s">
        <v>53</v>
      </c>
      <c r="R421" s="4">
        <v>0</v>
      </c>
      <c r="S421" s="6">
        <v>0</v>
      </c>
      <c r="T421" s="6">
        <v>19</v>
      </c>
      <c r="U421" s="6">
        <v>0</v>
      </c>
      <c r="V421" s="6">
        <f>IF(ISERROR(VLOOKUP($S$421,'TAR FIN'!$A$1:$O$103,15,0)),0,VLOOKUP($S$421,'TAR FIN'!$A$1:$O$103,15,0))</f>
        <v>0</v>
      </c>
      <c r="W421" s="6">
        <f>IF(ISERROR(VLOOKUP($T$421,'TAR FIN'!$A$1:$O$103,15,0)),0,VLOOKUP($T$421,'TAR FIN'!$A$1:$O$103,15,0))</f>
        <v>842.31</v>
      </c>
      <c r="X421" s="6">
        <f>IF(ISERROR(VLOOKUP($U$421,'TAR FIN'!$A$1:$O$103,15,0)),0,VLOOKUP($U$421,'TAR FIN'!$A$1:$O$103,15,0))</f>
        <v>0</v>
      </c>
      <c r="Y421" s="6"/>
      <c r="Z421" s="6">
        <f ca="1">('TUSD BE'!$AM$21+'TUSD BF'!$AM$21+'TUSD CVA'!$AM$21)*1</f>
        <v>1146.3801365962368</v>
      </c>
      <c r="AA421" s="6"/>
      <c r="AB421" s="6">
        <f>$K$421*$V$421</f>
        <v>0</v>
      </c>
      <c r="AC421" s="6">
        <f>$M$421*$W$421</f>
        <v>114485.09058</v>
      </c>
      <c r="AD421" s="6">
        <f>$O$421*$X$421</f>
        <v>0</v>
      </c>
      <c r="AE421" s="6">
        <f>$K$421*$Y$421</f>
        <v>0</v>
      </c>
      <c r="AF421" s="6">
        <f ca="1">$M$421*$Z$421</f>
        <v>155813.69540588732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33</v>
      </c>
      <c r="C422" s="4" t="s">
        <v>34</v>
      </c>
      <c r="D422" s="4" t="s">
        <v>40</v>
      </c>
      <c r="E422" s="4" t="s">
        <v>25</v>
      </c>
      <c r="F422" s="4" t="s">
        <v>25</v>
      </c>
      <c r="G422" s="4" t="s">
        <v>25</v>
      </c>
      <c r="H422" s="4" t="s">
        <v>37</v>
      </c>
      <c r="I422" s="5">
        <v>44562</v>
      </c>
      <c r="J422" s="6">
        <v>0</v>
      </c>
      <c r="K422" s="6">
        <v>0</v>
      </c>
      <c r="L422" s="6">
        <v>127.07299999999999</v>
      </c>
      <c r="M422" s="6">
        <v>127.07299999999999</v>
      </c>
      <c r="N422" s="6">
        <v>127.07299999999999</v>
      </c>
      <c r="O422" s="6">
        <v>127.07299999999999</v>
      </c>
      <c r="P422" s="6">
        <v>0</v>
      </c>
      <c r="Q422" s="4" t="s">
        <v>26</v>
      </c>
      <c r="R422" s="4">
        <v>0</v>
      </c>
      <c r="S422" s="6">
        <v>0</v>
      </c>
      <c r="T422" s="6">
        <v>19</v>
      </c>
      <c r="U422" s="6">
        <v>65</v>
      </c>
      <c r="V422" s="6">
        <f>IF(ISERROR(VLOOKUP($S$422,'TAR FIN'!$A$1:$O$103,15,0)),0,VLOOKUP($S$422,'TAR FIN'!$A$1:$O$103,15,0))</f>
        <v>0</v>
      </c>
      <c r="W422" s="6">
        <f>IF(ISERROR(VLOOKUP($T$422,'TAR FIN'!$A$1:$O$103,15,0)),0,VLOOKUP($T$422,'TAR FIN'!$A$1:$O$103,15,0))</f>
        <v>842.31</v>
      </c>
      <c r="X422" s="6">
        <f>IF(ISERROR(VLOOKUP($U$422,'TAR FIN'!$A$1:$O$103,15,0)),0,VLOOKUP($U$422,'TAR FIN'!$A$1:$O$103,15,0))</f>
        <v>454.9</v>
      </c>
      <c r="Y422" s="6"/>
      <c r="Z422" s="6">
        <f ca="1">('TUSD BE'!$AM$21+'TUSD BF'!$AM$21+'TUSD CVA'!$AM$21)*1</f>
        <v>1146.3801365962368</v>
      </c>
      <c r="AA422" s="6">
        <f>('TE BE'!$AB$8+'TE BF'!$AB$8+'TE CVA'!$AB$8)*1</f>
        <v>415.05449050541699</v>
      </c>
      <c r="AB422" s="6">
        <f>$K$422*$V$422</f>
        <v>0</v>
      </c>
      <c r="AC422" s="6">
        <f>$M$422*$W$422</f>
        <v>107034.85862999999</v>
      </c>
      <c r="AD422" s="6">
        <f>$O$422*$X$422</f>
        <v>57805.507699999995</v>
      </c>
      <c r="AE422" s="6">
        <f>$K$422*$Y$422</f>
        <v>0</v>
      </c>
      <c r="AF422" s="6">
        <f ca="1">$M$422*$Z$422</f>
        <v>145673.96309769357</v>
      </c>
      <c r="AG422" s="6">
        <f>$O$422*$AA$422</f>
        <v>52742.219271994851</v>
      </c>
    </row>
    <row r="423" spans="1:33" ht="11.25" customHeight="1" x14ac:dyDescent="0.25">
      <c r="A423" s="4" t="s">
        <v>28</v>
      </c>
      <c r="B423" s="4" t="s">
        <v>33</v>
      </c>
      <c r="C423" s="4" t="s">
        <v>34</v>
      </c>
      <c r="D423" s="4" t="s">
        <v>40</v>
      </c>
      <c r="E423" s="4" t="s">
        <v>25</v>
      </c>
      <c r="F423" s="4" t="s">
        <v>25</v>
      </c>
      <c r="G423" s="4" t="s">
        <v>25</v>
      </c>
      <c r="H423" s="4" t="s">
        <v>37</v>
      </c>
      <c r="I423" s="5">
        <v>44562</v>
      </c>
      <c r="J423" s="6">
        <v>0</v>
      </c>
      <c r="K423" s="6">
        <v>0</v>
      </c>
      <c r="L423" s="6">
        <v>0.40100000000000002</v>
      </c>
      <c r="M423" s="6">
        <v>0.40100000000000002</v>
      </c>
      <c r="N423" s="6">
        <v>0.40100000000000002</v>
      </c>
      <c r="O423" s="6">
        <v>0.40100000000000002</v>
      </c>
      <c r="P423" s="6">
        <v>0</v>
      </c>
      <c r="Q423" s="4" t="s">
        <v>26</v>
      </c>
      <c r="R423" s="4">
        <v>0</v>
      </c>
      <c r="S423" s="6">
        <v>0</v>
      </c>
      <c r="T423" s="6">
        <v>19</v>
      </c>
      <c r="U423" s="6">
        <v>65</v>
      </c>
      <c r="V423" s="6">
        <f>IF(ISERROR(VLOOKUP($S$423,'TAR FIN'!$A$1:$O$103,15,0)),0,VLOOKUP($S$423,'TAR FIN'!$A$1:$O$103,15,0))</f>
        <v>0</v>
      </c>
      <c r="W423" s="6">
        <f>IF(ISERROR(VLOOKUP($T$423,'TAR FIN'!$A$1:$O$103,15,0)),0,VLOOKUP($T$423,'TAR FIN'!$A$1:$O$103,15,0))</f>
        <v>842.31</v>
      </c>
      <c r="X423" s="6">
        <f>IF(ISERROR(VLOOKUP($U$423,'TAR FIN'!$A$1:$O$103,15,0)),0,VLOOKUP($U$423,'TAR FIN'!$A$1:$O$103,15,0))</f>
        <v>454.9</v>
      </c>
      <c r="Y423" s="6"/>
      <c r="Z423" s="6">
        <f ca="1">('TUSD BE'!$AM$21+'TUSD BF'!$AM$21+'TUSD CVA'!$AM$21)*1</f>
        <v>1146.3801365962368</v>
      </c>
      <c r="AA423" s="6">
        <f>('TE BE'!$AB$8+'TE BF'!$AB$8+'TE CVA'!$AB$8)*1</f>
        <v>415.05449050541699</v>
      </c>
      <c r="AB423" s="6">
        <f>$K$423*$V$423</f>
        <v>0</v>
      </c>
      <c r="AC423" s="6">
        <f>$M$423*$W$423</f>
        <v>337.76630999999998</v>
      </c>
      <c r="AD423" s="6">
        <f>$O$423*$X$423</f>
        <v>182.41489999999999</v>
      </c>
      <c r="AE423" s="6">
        <f>$K$423*$Y$423</f>
        <v>0</v>
      </c>
      <c r="AF423" s="6">
        <f ca="1">$M$423*$Z$423</f>
        <v>459.69843477509096</v>
      </c>
      <c r="AG423" s="6">
        <f>$O$423*$AA$423</f>
        <v>166.43685069267224</v>
      </c>
    </row>
    <row r="424" spans="1:33" ht="11.25" customHeight="1" x14ac:dyDescent="0.25">
      <c r="A424" s="4" t="s">
        <v>21</v>
      </c>
      <c r="B424" s="4" t="s">
        <v>33</v>
      </c>
      <c r="C424" s="4" t="s">
        <v>34</v>
      </c>
      <c r="D424" s="4" t="s">
        <v>40</v>
      </c>
      <c r="E424" s="4" t="s">
        <v>25</v>
      </c>
      <c r="F424" s="4" t="s">
        <v>25</v>
      </c>
      <c r="G424" s="4" t="s">
        <v>25</v>
      </c>
      <c r="H424" s="4" t="s">
        <v>37</v>
      </c>
      <c r="I424" s="5">
        <v>44562</v>
      </c>
      <c r="J424" s="6">
        <v>0</v>
      </c>
      <c r="K424" s="6">
        <v>0</v>
      </c>
      <c r="L424" s="6">
        <v>90.295000000000002</v>
      </c>
      <c r="M424" s="6">
        <v>90.295000000000002</v>
      </c>
      <c r="N424" s="6">
        <v>0</v>
      </c>
      <c r="O424" s="6">
        <v>0</v>
      </c>
      <c r="P424" s="6">
        <v>0</v>
      </c>
      <c r="Q424" s="4" t="s">
        <v>53</v>
      </c>
      <c r="R424" s="4">
        <v>0</v>
      </c>
      <c r="S424" s="6">
        <v>0</v>
      </c>
      <c r="T424" s="6">
        <v>19</v>
      </c>
      <c r="U424" s="6">
        <v>0</v>
      </c>
      <c r="V424" s="6">
        <f>IF(ISERROR(VLOOKUP($S$424,'TAR FIN'!$A$1:$O$103,15,0)),0,VLOOKUP($S$424,'TAR FIN'!$A$1:$O$103,15,0))</f>
        <v>0</v>
      </c>
      <c r="W424" s="6">
        <f>IF(ISERROR(VLOOKUP($T$424,'TAR FIN'!$A$1:$O$103,15,0)),0,VLOOKUP($T$424,'TAR FIN'!$A$1:$O$103,15,0))</f>
        <v>842.31</v>
      </c>
      <c r="X424" s="6">
        <f>IF(ISERROR(VLOOKUP($U$424,'TAR FIN'!$A$1:$O$103,15,0)),0,VLOOKUP($U$424,'TAR FIN'!$A$1:$O$103,15,0))</f>
        <v>0</v>
      </c>
      <c r="Y424" s="6"/>
      <c r="Z424" s="6">
        <f ca="1">('TUSD BE'!$AM$21+'TUSD BF'!$AM$21+'TUSD CVA'!$AM$21)*1</f>
        <v>1146.3801365962368</v>
      </c>
      <c r="AA424" s="6"/>
      <c r="AB424" s="6">
        <f>$K$424*$V$424</f>
        <v>0</v>
      </c>
      <c r="AC424" s="6">
        <f>$M$424*$W$424</f>
        <v>76056.381450000001</v>
      </c>
      <c r="AD424" s="6">
        <f>$O$424*$X$424</f>
        <v>0</v>
      </c>
      <c r="AE424" s="6">
        <f>$K$424*$Y$424</f>
        <v>0</v>
      </c>
      <c r="AF424" s="6">
        <f ca="1">$M$424*$Z$424</f>
        <v>103512.3944339572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33</v>
      </c>
      <c r="C425" s="4" t="s">
        <v>34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44593</v>
      </c>
      <c r="J425" s="6">
        <v>0</v>
      </c>
      <c r="K425" s="6">
        <v>0</v>
      </c>
      <c r="L425" s="6">
        <v>125.185</v>
      </c>
      <c r="M425" s="6">
        <v>125.185</v>
      </c>
      <c r="N425" s="6">
        <v>125.185</v>
      </c>
      <c r="O425" s="6">
        <v>125.185</v>
      </c>
      <c r="P425" s="6">
        <v>0</v>
      </c>
      <c r="Q425" s="4" t="s">
        <v>26</v>
      </c>
      <c r="R425" s="4">
        <v>0</v>
      </c>
      <c r="S425" s="6">
        <v>0</v>
      </c>
      <c r="T425" s="6">
        <v>19</v>
      </c>
      <c r="U425" s="6">
        <v>65</v>
      </c>
      <c r="V425" s="6">
        <f>IF(ISERROR(VLOOKUP($S$425,'TAR FIN'!$A$1:$O$103,15,0)),0,VLOOKUP($S$425,'TAR FIN'!$A$1:$O$103,15,0))</f>
        <v>0</v>
      </c>
      <c r="W425" s="6">
        <f>IF(ISERROR(VLOOKUP($T$425,'TAR FIN'!$A$1:$O$103,15,0)),0,VLOOKUP($T$425,'TAR FIN'!$A$1:$O$103,15,0))</f>
        <v>842.31</v>
      </c>
      <c r="X425" s="6">
        <f>IF(ISERROR(VLOOKUP($U$425,'TAR FIN'!$A$1:$O$103,15,0)),0,VLOOKUP($U$425,'TAR FIN'!$A$1:$O$103,15,0))</f>
        <v>454.9</v>
      </c>
      <c r="Y425" s="6"/>
      <c r="Z425" s="6">
        <f ca="1">('TUSD BE'!$AM$21+'TUSD BF'!$AM$21+'TUSD CVA'!$AM$21)*1</f>
        <v>1146.3801365962368</v>
      </c>
      <c r="AA425" s="6">
        <f>('TE BE'!$AB$8+'TE BF'!$AB$8+'TE CVA'!$AB$8)*1</f>
        <v>415.05449050541699</v>
      </c>
      <c r="AB425" s="6">
        <f>$K$425*$V$425</f>
        <v>0</v>
      </c>
      <c r="AC425" s="6">
        <f>$M$425*$W$425</f>
        <v>105444.57734999999</v>
      </c>
      <c r="AD425" s="6">
        <f>$O$425*$X$425</f>
        <v>56946.656499999997</v>
      </c>
      <c r="AE425" s="6">
        <f>$K$425*$Y$425</f>
        <v>0</v>
      </c>
      <c r="AF425" s="6">
        <f ca="1">$M$425*$Z$425</f>
        <v>143509.59739979991</v>
      </c>
      <c r="AG425" s="6">
        <f>$O$425*$AA$425</f>
        <v>51958.596393920627</v>
      </c>
    </row>
    <row r="426" spans="1:33" ht="11.25" customHeight="1" x14ac:dyDescent="0.25">
      <c r="A426" s="4" t="s">
        <v>28</v>
      </c>
      <c r="B426" s="4" t="s">
        <v>33</v>
      </c>
      <c r="C426" s="4" t="s">
        <v>34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44593</v>
      </c>
      <c r="J426" s="6">
        <v>0</v>
      </c>
      <c r="K426" s="6">
        <v>0</v>
      </c>
      <c r="L426" s="6">
        <v>0.34399999999999997</v>
      </c>
      <c r="M426" s="6">
        <v>0.34399999999999997</v>
      </c>
      <c r="N426" s="6">
        <v>0.34399999999999997</v>
      </c>
      <c r="O426" s="6">
        <v>0.34399999999999997</v>
      </c>
      <c r="P426" s="6">
        <v>0</v>
      </c>
      <c r="Q426" s="4" t="s">
        <v>26</v>
      </c>
      <c r="R426" s="4">
        <v>0</v>
      </c>
      <c r="S426" s="6">
        <v>0</v>
      </c>
      <c r="T426" s="6">
        <v>19</v>
      </c>
      <c r="U426" s="6">
        <v>65</v>
      </c>
      <c r="V426" s="6">
        <f>IF(ISERROR(VLOOKUP($S$426,'TAR FIN'!$A$1:$O$103,15,0)),0,VLOOKUP($S$426,'TAR FIN'!$A$1:$O$103,15,0))</f>
        <v>0</v>
      </c>
      <c r="W426" s="6">
        <f>IF(ISERROR(VLOOKUP($T$426,'TAR FIN'!$A$1:$O$103,15,0)),0,VLOOKUP($T$426,'TAR FIN'!$A$1:$O$103,15,0))</f>
        <v>842.31</v>
      </c>
      <c r="X426" s="6">
        <f>IF(ISERROR(VLOOKUP($U$426,'TAR FIN'!$A$1:$O$103,15,0)),0,VLOOKUP($U$426,'TAR FIN'!$A$1:$O$103,15,0))</f>
        <v>454.9</v>
      </c>
      <c r="Y426" s="6"/>
      <c r="Z426" s="6">
        <f ca="1">('TUSD BE'!$AM$21+'TUSD BF'!$AM$21+'TUSD CVA'!$AM$21)*1</f>
        <v>1146.3801365962368</v>
      </c>
      <c r="AA426" s="6">
        <f>('TE BE'!$AB$8+'TE BF'!$AB$8+'TE CVA'!$AB$8)*1</f>
        <v>415.05449050541699</v>
      </c>
      <c r="AB426" s="6">
        <f>$K$426*$V$426</f>
        <v>0</v>
      </c>
      <c r="AC426" s="6">
        <f>$M$426*$W$426</f>
        <v>289.75463999999994</v>
      </c>
      <c r="AD426" s="6">
        <f>$O$426*$X$426</f>
        <v>156.48559999999998</v>
      </c>
      <c r="AE426" s="6">
        <f>$K$426*$Y$426</f>
        <v>0</v>
      </c>
      <c r="AF426" s="6">
        <f ca="1">$M$426*$Z$426</f>
        <v>394.35476698910543</v>
      </c>
      <c r="AG426" s="6">
        <f>$O$426*$AA$426</f>
        <v>142.77874473386345</v>
      </c>
    </row>
    <row r="427" spans="1:33" ht="11.25" customHeight="1" x14ac:dyDescent="0.25">
      <c r="A427" s="4" t="s">
        <v>21</v>
      </c>
      <c r="B427" s="4" t="s">
        <v>33</v>
      </c>
      <c r="C427" s="4" t="s">
        <v>34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44593</v>
      </c>
      <c r="J427" s="6">
        <v>0</v>
      </c>
      <c r="K427" s="6">
        <v>0</v>
      </c>
      <c r="L427" s="6">
        <v>80.036000000000001</v>
      </c>
      <c r="M427" s="6">
        <v>80.036000000000001</v>
      </c>
      <c r="N427" s="6">
        <v>0</v>
      </c>
      <c r="O427" s="6">
        <v>0</v>
      </c>
      <c r="P427" s="6">
        <v>0</v>
      </c>
      <c r="Q427" s="4" t="s">
        <v>53</v>
      </c>
      <c r="R427" s="4">
        <v>0</v>
      </c>
      <c r="S427" s="6">
        <v>0</v>
      </c>
      <c r="T427" s="6">
        <v>19</v>
      </c>
      <c r="U427" s="6">
        <v>0</v>
      </c>
      <c r="V427" s="6">
        <f>IF(ISERROR(VLOOKUP($S$427,'TAR FIN'!$A$1:$O$103,15,0)),0,VLOOKUP($S$427,'TAR FIN'!$A$1:$O$103,15,0))</f>
        <v>0</v>
      </c>
      <c r="W427" s="6">
        <f>IF(ISERROR(VLOOKUP($T$427,'TAR FIN'!$A$1:$O$103,15,0)),0,VLOOKUP($T$427,'TAR FIN'!$A$1:$O$103,15,0))</f>
        <v>842.31</v>
      </c>
      <c r="X427" s="6">
        <f>IF(ISERROR(VLOOKUP($U$427,'TAR FIN'!$A$1:$O$103,15,0)),0,VLOOKUP($U$427,'TAR FIN'!$A$1:$O$103,15,0))</f>
        <v>0</v>
      </c>
      <c r="Y427" s="6"/>
      <c r="Z427" s="6">
        <f ca="1">('TUSD BE'!$AM$21+'TUSD BF'!$AM$21+'TUSD CVA'!$AM$21)*1</f>
        <v>1146.3801365962368</v>
      </c>
      <c r="AA427" s="6"/>
      <c r="AB427" s="6">
        <f>$K$427*$V$427</f>
        <v>0</v>
      </c>
      <c r="AC427" s="6">
        <f>$M$427*$W$427</f>
        <v>67415.123160000003</v>
      </c>
      <c r="AD427" s="6">
        <f>$O$427*$X$427</f>
        <v>0</v>
      </c>
      <c r="AE427" s="6">
        <f>$K$427*$Y$427</f>
        <v>0</v>
      </c>
      <c r="AF427" s="6">
        <f ca="1">$M$427*$Z$427</f>
        <v>91751.680612616401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33</v>
      </c>
      <c r="C428" s="4" t="s">
        <v>34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44621</v>
      </c>
      <c r="J428" s="6">
        <v>0</v>
      </c>
      <c r="K428" s="6">
        <v>0</v>
      </c>
      <c r="L428" s="6">
        <v>133.631</v>
      </c>
      <c r="M428" s="6">
        <v>133.631</v>
      </c>
      <c r="N428" s="6">
        <v>133.631</v>
      </c>
      <c r="O428" s="6">
        <v>133.631</v>
      </c>
      <c r="P428" s="6">
        <v>0</v>
      </c>
      <c r="Q428" s="4" t="s">
        <v>26</v>
      </c>
      <c r="R428" s="4">
        <v>0</v>
      </c>
      <c r="S428" s="6">
        <v>0</v>
      </c>
      <c r="T428" s="6">
        <v>19</v>
      </c>
      <c r="U428" s="6">
        <v>65</v>
      </c>
      <c r="V428" s="6">
        <f>IF(ISERROR(VLOOKUP($S$428,'TAR FIN'!$A$1:$O$103,15,0)),0,VLOOKUP($S$428,'TAR FIN'!$A$1:$O$103,15,0))</f>
        <v>0</v>
      </c>
      <c r="W428" s="6">
        <f>IF(ISERROR(VLOOKUP($T$428,'TAR FIN'!$A$1:$O$103,15,0)),0,VLOOKUP($T$428,'TAR FIN'!$A$1:$O$103,15,0))</f>
        <v>842.31</v>
      </c>
      <c r="X428" s="6">
        <f>IF(ISERROR(VLOOKUP($U$428,'TAR FIN'!$A$1:$O$103,15,0)),0,VLOOKUP($U$428,'TAR FIN'!$A$1:$O$103,15,0))</f>
        <v>454.9</v>
      </c>
      <c r="Y428" s="6"/>
      <c r="Z428" s="6">
        <f ca="1">('TUSD BE'!$AM$21+'TUSD BF'!$AM$21+'TUSD CVA'!$AM$21)*1</f>
        <v>1146.3801365962368</v>
      </c>
      <c r="AA428" s="6">
        <f>('TE BE'!$AB$8+'TE BF'!$AB$8+'TE CVA'!$AB$8)*1</f>
        <v>415.05449050541699</v>
      </c>
      <c r="AB428" s="6">
        <f>$K$428*$V$428</f>
        <v>0</v>
      </c>
      <c r="AC428" s="6">
        <f>$M$428*$W$428</f>
        <v>112558.72760999999</v>
      </c>
      <c r="AD428" s="6">
        <f>$O$428*$X$428</f>
        <v>60788.741899999994</v>
      </c>
      <c r="AE428" s="6">
        <f>$K$428*$Y$428</f>
        <v>0</v>
      </c>
      <c r="AF428" s="6">
        <f ca="1">$M$428*$Z$428</f>
        <v>153191.92403349173</v>
      </c>
      <c r="AG428" s="6">
        <f>$O$428*$AA$428</f>
        <v>55464.146620729378</v>
      </c>
    </row>
    <row r="429" spans="1:33" ht="11.25" customHeight="1" x14ac:dyDescent="0.25">
      <c r="A429" s="4" t="s">
        <v>28</v>
      </c>
      <c r="B429" s="4" t="s">
        <v>33</v>
      </c>
      <c r="C429" s="4" t="s">
        <v>34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44621</v>
      </c>
      <c r="J429" s="6">
        <v>0</v>
      </c>
      <c r="K429" s="6">
        <v>0</v>
      </c>
      <c r="L429" s="6">
        <v>0.746</v>
      </c>
      <c r="M429" s="6">
        <v>0.746</v>
      </c>
      <c r="N429" s="6">
        <v>0.746</v>
      </c>
      <c r="O429" s="6">
        <v>0.746</v>
      </c>
      <c r="P429" s="6">
        <v>0</v>
      </c>
      <c r="Q429" s="4" t="s">
        <v>26</v>
      </c>
      <c r="R429" s="4">
        <v>0</v>
      </c>
      <c r="S429" s="6">
        <v>0</v>
      </c>
      <c r="T429" s="6">
        <v>19</v>
      </c>
      <c r="U429" s="6">
        <v>65</v>
      </c>
      <c r="V429" s="6">
        <f>IF(ISERROR(VLOOKUP($S$429,'TAR FIN'!$A$1:$O$103,15,0)),0,VLOOKUP($S$429,'TAR FIN'!$A$1:$O$103,15,0))</f>
        <v>0</v>
      </c>
      <c r="W429" s="6">
        <f>IF(ISERROR(VLOOKUP($T$429,'TAR FIN'!$A$1:$O$103,15,0)),0,VLOOKUP($T$429,'TAR FIN'!$A$1:$O$103,15,0))</f>
        <v>842.31</v>
      </c>
      <c r="X429" s="6">
        <f>IF(ISERROR(VLOOKUP($U$429,'TAR FIN'!$A$1:$O$103,15,0)),0,VLOOKUP($U$429,'TAR FIN'!$A$1:$O$103,15,0))</f>
        <v>454.9</v>
      </c>
      <c r="Y429" s="6"/>
      <c r="Z429" s="6">
        <f ca="1">('TUSD BE'!$AM$21+'TUSD BF'!$AM$21+'TUSD CVA'!$AM$21)*1</f>
        <v>1146.3801365962368</v>
      </c>
      <c r="AA429" s="6">
        <f>('TE BE'!$AB$8+'TE BF'!$AB$8+'TE CVA'!$AB$8)*1</f>
        <v>415.05449050541699</v>
      </c>
      <c r="AB429" s="6">
        <f>$K$429*$V$429</f>
        <v>0</v>
      </c>
      <c r="AC429" s="6">
        <f>$M$429*$W$429</f>
        <v>628.36325999999997</v>
      </c>
      <c r="AD429" s="6">
        <f>$O$429*$X$429</f>
        <v>339.35539999999997</v>
      </c>
      <c r="AE429" s="6">
        <f>$K$429*$Y$429</f>
        <v>0</v>
      </c>
      <c r="AF429" s="6">
        <f ca="1">$M$429*$Z$429</f>
        <v>855.19958190079262</v>
      </c>
      <c r="AG429" s="6">
        <f>$O$429*$AA$429</f>
        <v>309.63064991704107</v>
      </c>
    </row>
    <row r="430" spans="1:33" ht="11.25" customHeight="1" x14ac:dyDescent="0.25">
      <c r="A430" s="4" t="s">
        <v>21</v>
      </c>
      <c r="B430" s="4" t="s">
        <v>33</v>
      </c>
      <c r="C430" s="4" t="s">
        <v>34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44621</v>
      </c>
      <c r="J430" s="6">
        <v>0</v>
      </c>
      <c r="K430" s="6">
        <v>0</v>
      </c>
      <c r="L430" s="6">
        <v>82.472999999999999</v>
      </c>
      <c r="M430" s="6">
        <v>82.472999999999999</v>
      </c>
      <c r="N430" s="6">
        <v>0</v>
      </c>
      <c r="O430" s="6">
        <v>0</v>
      </c>
      <c r="P430" s="6">
        <v>0</v>
      </c>
      <c r="Q430" s="4" t="s">
        <v>53</v>
      </c>
      <c r="R430" s="4">
        <v>0</v>
      </c>
      <c r="S430" s="6">
        <v>0</v>
      </c>
      <c r="T430" s="6">
        <v>19</v>
      </c>
      <c r="U430" s="6">
        <v>0</v>
      </c>
      <c r="V430" s="6">
        <f>IF(ISERROR(VLOOKUP($S$430,'TAR FIN'!$A$1:$O$103,15,0)),0,VLOOKUP($S$430,'TAR FIN'!$A$1:$O$103,15,0))</f>
        <v>0</v>
      </c>
      <c r="W430" s="6">
        <f>IF(ISERROR(VLOOKUP($T$430,'TAR FIN'!$A$1:$O$103,15,0)),0,VLOOKUP($T$430,'TAR FIN'!$A$1:$O$103,15,0))</f>
        <v>842.31</v>
      </c>
      <c r="X430" s="6">
        <f>IF(ISERROR(VLOOKUP($U$430,'TAR FIN'!$A$1:$O$103,15,0)),0,VLOOKUP($U$430,'TAR FIN'!$A$1:$O$103,15,0))</f>
        <v>0</v>
      </c>
      <c r="Y430" s="6"/>
      <c r="Z430" s="6">
        <f ca="1">('TUSD BE'!$AM$21+'TUSD BF'!$AM$21+'TUSD CVA'!$AM$21)*1</f>
        <v>1146.3801365962368</v>
      </c>
      <c r="AA430" s="6"/>
      <c r="AB430" s="6">
        <f>$K$430*$V$430</f>
        <v>0</v>
      </c>
      <c r="AC430" s="6">
        <f>$M$430*$W$430</f>
        <v>69467.83262999999</v>
      </c>
      <c r="AD430" s="6">
        <f>$O$430*$X$430</f>
        <v>0</v>
      </c>
      <c r="AE430" s="6">
        <f>$K$430*$Y$430</f>
        <v>0</v>
      </c>
      <c r="AF430" s="6">
        <f ca="1">$M$430*$Z$430</f>
        <v>94545.409005501439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33</v>
      </c>
      <c r="C431" s="4" t="s">
        <v>34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44652</v>
      </c>
      <c r="J431" s="6">
        <v>0</v>
      </c>
      <c r="K431" s="6">
        <v>0</v>
      </c>
      <c r="L431" s="6">
        <v>139.10300000000001</v>
      </c>
      <c r="M431" s="6">
        <v>139.10300000000001</v>
      </c>
      <c r="N431" s="6">
        <v>139.10300000000001</v>
      </c>
      <c r="O431" s="6">
        <v>139.10300000000001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19</v>
      </c>
      <c r="U431" s="6">
        <v>65</v>
      </c>
      <c r="V431" s="6">
        <f>IF(ISERROR(VLOOKUP($S$431,'TAR FIN'!$A$1:$O$103,15,0)),0,VLOOKUP($S$431,'TAR FIN'!$A$1:$O$103,15,0))</f>
        <v>0</v>
      </c>
      <c r="W431" s="6">
        <f>IF(ISERROR(VLOOKUP($T$431,'TAR FIN'!$A$1:$O$103,15,0)),0,VLOOKUP($T$431,'TAR FIN'!$A$1:$O$103,15,0))</f>
        <v>842.31</v>
      </c>
      <c r="X431" s="6">
        <f>IF(ISERROR(VLOOKUP($U$431,'TAR FIN'!$A$1:$O$103,15,0)),0,VLOOKUP($U$431,'TAR FIN'!$A$1:$O$103,15,0))</f>
        <v>454.9</v>
      </c>
      <c r="Y431" s="6"/>
      <c r="Z431" s="6">
        <f ca="1">('TUSD BE'!$AM$21+'TUSD BF'!$AM$21+'TUSD CVA'!$AM$21)*1</f>
        <v>1146.3801365962368</v>
      </c>
      <c r="AA431" s="6">
        <f>('TE BE'!$AB$8+'TE BF'!$AB$8+'TE CVA'!$AB$8)*1</f>
        <v>415.05449050541699</v>
      </c>
      <c r="AB431" s="6">
        <f>$K$431*$V$431</f>
        <v>0</v>
      </c>
      <c r="AC431" s="6">
        <f>$M$431*$W$431</f>
        <v>117167.84793</v>
      </c>
      <c r="AD431" s="6">
        <f>$O$431*$X$431</f>
        <v>63277.954700000002</v>
      </c>
      <c r="AE431" s="6">
        <f>$K$431*$Y$431</f>
        <v>0</v>
      </c>
      <c r="AF431" s="6">
        <f ca="1">$M$431*$Z$431</f>
        <v>159464.91614094633</v>
      </c>
      <c r="AG431" s="6">
        <f>$O$431*$AA$431</f>
        <v>57735.324792775027</v>
      </c>
    </row>
    <row r="432" spans="1:33" ht="11.25" customHeight="1" x14ac:dyDescent="0.25">
      <c r="A432" s="4" t="s">
        <v>28</v>
      </c>
      <c r="B432" s="4" t="s">
        <v>33</v>
      </c>
      <c r="C432" s="4" t="s">
        <v>34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44652</v>
      </c>
      <c r="J432" s="6">
        <v>0</v>
      </c>
      <c r="K432" s="6">
        <v>0</v>
      </c>
      <c r="L432" s="6">
        <v>0.57599999999999996</v>
      </c>
      <c r="M432" s="6">
        <v>0.57599999999999996</v>
      </c>
      <c r="N432" s="6">
        <v>0.57599999999999996</v>
      </c>
      <c r="O432" s="6">
        <v>0.57599999999999996</v>
      </c>
      <c r="P432" s="6">
        <v>0</v>
      </c>
      <c r="Q432" s="4" t="s">
        <v>26</v>
      </c>
      <c r="R432" s="4">
        <v>0</v>
      </c>
      <c r="S432" s="6">
        <v>0</v>
      </c>
      <c r="T432" s="6">
        <v>19</v>
      </c>
      <c r="U432" s="6">
        <v>65</v>
      </c>
      <c r="V432" s="6">
        <f>IF(ISERROR(VLOOKUP($S$432,'TAR FIN'!$A$1:$O$103,15,0)),0,VLOOKUP($S$432,'TAR FIN'!$A$1:$O$103,15,0))</f>
        <v>0</v>
      </c>
      <c r="W432" s="6">
        <f>IF(ISERROR(VLOOKUP($T$432,'TAR FIN'!$A$1:$O$103,15,0)),0,VLOOKUP($T$432,'TAR FIN'!$A$1:$O$103,15,0))</f>
        <v>842.31</v>
      </c>
      <c r="X432" s="6">
        <f>IF(ISERROR(VLOOKUP($U$432,'TAR FIN'!$A$1:$O$103,15,0)),0,VLOOKUP($U$432,'TAR FIN'!$A$1:$O$103,15,0))</f>
        <v>454.9</v>
      </c>
      <c r="Y432" s="6"/>
      <c r="Z432" s="6">
        <f ca="1">('TUSD BE'!$AM$21+'TUSD BF'!$AM$21+'TUSD CVA'!$AM$21)*1</f>
        <v>1146.3801365962368</v>
      </c>
      <c r="AA432" s="6">
        <f>('TE BE'!$AB$8+'TE BF'!$AB$8+'TE CVA'!$AB$8)*1</f>
        <v>415.05449050541699</v>
      </c>
      <c r="AB432" s="6">
        <f>$K$432*$V$432</f>
        <v>0</v>
      </c>
      <c r="AC432" s="6">
        <f>$M$432*$W$432</f>
        <v>485.17055999999991</v>
      </c>
      <c r="AD432" s="6">
        <f>$O$432*$X$432</f>
        <v>262.02239999999995</v>
      </c>
      <c r="AE432" s="6">
        <f>$K$432*$Y$432</f>
        <v>0</v>
      </c>
      <c r="AF432" s="6">
        <f ca="1">$M$432*$Z$432</f>
        <v>660.31495867943227</v>
      </c>
      <c r="AG432" s="6">
        <f>$O$432*$AA$432</f>
        <v>239.07138653112017</v>
      </c>
    </row>
    <row r="433" spans="1:33" ht="11.25" customHeight="1" x14ac:dyDescent="0.25">
      <c r="A433" s="4" t="s">
        <v>21</v>
      </c>
      <c r="B433" s="4" t="s">
        <v>33</v>
      </c>
      <c r="C433" s="4" t="s">
        <v>34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98.531000000000006</v>
      </c>
      <c r="M433" s="6">
        <v>98.531000000000006</v>
      </c>
      <c r="N433" s="6">
        <v>0</v>
      </c>
      <c r="O433" s="6">
        <v>0</v>
      </c>
      <c r="P433" s="6">
        <v>0</v>
      </c>
      <c r="Q433" s="4" t="s">
        <v>53</v>
      </c>
      <c r="R433" s="4">
        <v>0</v>
      </c>
      <c r="S433" s="6">
        <v>0</v>
      </c>
      <c r="T433" s="6">
        <v>19</v>
      </c>
      <c r="U433" s="6">
        <v>0</v>
      </c>
      <c r="V433" s="6">
        <f>IF(ISERROR(VLOOKUP($S$433,'TAR FIN'!$A$1:$O$103,15,0)),0,VLOOKUP($S$433,'TAR FIN'!$A$1:$O$103,15,0))</f>
        <v>0</v>
      </c>
      <c r="W433" s="6">
        <f>IF(ISERROR(VLOOKUP($T$433,'TAR FIN'!$A$1:$O$103,15,0)),0,VLOOKUP($T$433,'TAR FIN'!$A$1:$O$103,15,0))</f>
        <v>842.31</v>
      </c>
      <c r="X433" s="6">
        <f>IF(ISERROR(VLOOKUP($U$433,'TAR FIN'!$A$1:$O$103,15,0)),0,VLOOKUP($U$433,'TAR FIN'!$A$1:$O$103,15,0))</f>
        <v>0</v>
      </c>
      <c r="Y433" s="6"/>
      <c r="Z433" s="6">
        <f ca="1">('TUSD BE'!$AM$21+'TUSD BF'!$AM$21+'TUSD CVA'!$AM$21)*1</f>
        <v>1146.3801365962368</v>
      </c>
      <c r="AA433" s="6"/>
      <c r="AB433" s="6">
        <f>$K$433*$V$433</f>
        <v>0</v>
      </c>
      <c r="AC433" s="6">
        <f>$M$433*$W$433</f>
        <v>82993.646609999996</v>
      </c>
      <c r="AD433" s="6">
        <f>$O$433*$X$433</f>
        <v>0</v>
      </c>
      <c r="AE433" s="6">
        <f>$K$433*$Y$433</f>
        <v>0</v>
      </c>
      <c r="AF433" s="6">
        <f ca="1">$M$433*$Z$433</f>
        <v>112953.98123896381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33</v>
      </c>
      <c r="C434" s="4" t="s">
        <v>34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146.923</v>
      </c>
      <c r="M434" s="6">
        <v>146.923</v>
      </c>
      <c r="N434" s="6">
        <v>146.923</v>
      </c>
      <c r="O434" s="6">
        <v>146.923</v>
      </c>
      <c r="P434" s="6">
        <v>0</v>
      </c>
      <c r="Q434" s="4" t="s">
        <v>26</v>
      </c>
      <c r="R434" s="4">
        <v>0</v>
      </c>
      <c r="S434" s="6">
        <v>0</v>
      </c>
      <c r="T434" s="6">
        <v>19</v>
      </c>
      <c r="U434" s="6">
        <v>65</v>
      </c>
      <c r="V434" s="6">
        <f>IF(ISERROR(VLOOKUP($S$434,'TAR FIN'!$A$1:$O$103,15,0)),0,VLOOKUP($S$434,'TAR FIN'!$A$1:$O$103,15,0))</f>
        <v>0</v>
      </c>
      <c r="W434" s="6">
        <f>IF(ISERROR(VLOOKUP($T$434,'TAR FIN'!$A$1:$O$103,15,0)),0,VLOOKUP($T$434,'TAR FIN'!$A$1:$O$103,15,0))</f>
        <v>842.31</v>
      </c>
      <c r="X434" s="6">
        <f>IF(ISERROR(VLOOKUP($U$434,'TAR FIN'!$A$1:$O$103,15,0)),0,VLOOKUP($U$434,'TAR FIN'!$A$1:$O$103,15,0))</f>
        <v>454.9</v>
      </c>
      <c r="Y434" s="6"/>
      <c r="Z434" s="6">
        <f ca="1">('TUSD BE'!$AM$21+'TUSD BF'!$AM$21+'TUSD CVA'!$AM$21)*1</f>
        <v>1146.3801365962368</v>
      </c>
      <c r="AA434" s="6">
        <f>('TE BE'!$AB$8+'TE BF'!$AB$8+'TE CVA'!$AB$8)*1</f>
        <v>415.05449050541699</v>
      </c>
      <c r="AB434" s="6">
        <f>$K$434*$V$434</f>
        <v>0</v>
      </c>
      <c r="AC434" s="6">
        <f>$M$434*$W$434</f>
        <v>123754.71213</v>
      </c>
      <c r="AD434" s="6">
        <f>$O$434*$X$434</f>
        <v>66835.272700000001</v>
      </c>
      <c r="AE434" s="6">
        <f>$K$434*$Y$434</f>
        <v>0</v>
      </c>
      <c r="AF434" s="6">
        <f ca="1">$M$434*$Z$434</f>
        <v>168429.6088091289</v>
      </c>
      <c r="AG434" s="6">
        <f>$O$434*$AA$434</f>
        <v>60981.050908527381</v>
      </c>
    </row>
    <row r="435" spans="1:33" ht="11.25" customHeight="1" x14ac:dyDescent="0.25">
      <c r="A435" s="4" t="s">
        <v>28</v>
      </c>
      <c r="B435" s="4" t="s">
        <v>33</v>
      </c>
      <c r="C435" s="4" t="s">
        <v>34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44682</v>
      </c>
      <c r="J435" s="6">
        <v>0</v>
      </c>
      <c r="K435" s="6">
        <v>0</v>
      </c>
      <c r="L435" s="6">
        <v>0.75800000000000001</v>
      </c>
      <c r="M435" s="6">
        <v>0.75800000000000001</v>
      </c>
      <c r="N435" s="6">
        <v>0.75800000000000001</v>
      </c>
      <c r="O435" s="6">
        <v>0.75800000000000001</v>
      </c>
      <c r="P435" s="6">
        <v>0</v>
      </c>
      <c r="Q435" s="4" t="s">
        <v>26</v>
      </c>
      <c r="R435" s="4">
        <v>0</v>
      </c>
      <c r="S435" s="6">
        <v>0</v>
      </c>
      <c r="T435" s="6">
        <v>19</v>
      </c>
      <c r="U435" s="6">
        <v>65</v>
      </c>
      <c r="V435" s="6">
        <f>IF(ISERROR(VLOOKUP($S$435,'TAR FIN'!$A$1:$O$103,15,0)),0,VLOOKUP($S$435,'TAR FIN'!$A$1:$O$103,15,0))</f>
        <v>0</v>
      </c>
      <c r="W435" s="6">
        <f>IF(ISERROR(VLOOKUP($T$435,'TAR FIN'!$A$1:$O$103,15,0)),0,VLOOKUP($T$435,'TAR FIN'!$A$1:$O$103,15,0))</f>
        <v>842.31</v>
      </c>
      <c r="X435" s="6">
        <f>IF(ISERROR(VLOOKUP($U$435,'TAR FIN'!$A$1:$O$103,15,0)),0,VLOOKUP($U$435,'TAR FIN'!$A$1:$O$103,15,0))</f>
        <v>454.9</v>
      </c>
      <c r="Y435" s="6"/>
      <c r="Z435" s="6">
        <f ca="1">('TUSD BE'!$AM$21+'TUSD BF'!$AM$21+'TUSD CVA'!$AM$21)*1</f>
        <v>1146.3801365962368</v>
      </c>
      <c r="AA435" s="6">
        <f>('TE BE'!$AB$8+'TE BF'!$AB$8+'TE CVA'!$AB$8)*1</f>
        <v>415.05449050541699</v>
      </c>
      <c r="AB435" s="6">
        <f>$K$435*$V$435</f>
        <v>0</v>
      </c>
      <c r="AC435" s="6">
        <f>$M$435*$W$435</f>
        <v>638.47097999999994</v>
      </c>
      <c r="AD435" s="6">
        <f>$O$435*$X$435</f>
        <v>344.81419999999997</v>
      </c>
      <c r="AE435" s="6">
        <f>$K$435*$Y$435</f>
        <v>0</v>
      </c>
      <c r="AF435" s="6">
        <f ca="1">$M$435*$Z$435</f>
        <v>868.95614353994745</v>
      </c>
      <c r="AG435" s="6">
        <f>$O$435*$AA$435</f>
        <v>314.61130380310607</v>
      </c>
    </row>
    <row r="436" spans="1:33" ht="11.25" customHeight="1" x14ac:dyDescent="0.25">
      <c r="A436" s="4" t="s">
        <v>21</v>
      </c>
      <c r="B436" s="4" t="s">
        <v>33</v>
      </c>
      <c r="C436" s="4" t="s">
        <v>34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44682</v>
      </c>
      <c r="J436" s="6">
        <v>0</v>
      </c>
      <c r="K436" s="6">
        <v>0</v>
      </c>
      <c r="L436" s="6">
        <v>87.602000000000004</v>
      </c>
      <c r="M436" s="6">
        <v>87.602000000000004</v>
      </c>
      <c r="N436" s="6">
        <v>0</v>
      </c>
      <c r="O436" s="6">
        <v>0</v>
      </c>
      <c r="P436" s="6">
        <v>0</v>
      </c>
      <c r="Q436" s="4" t="s">
        <v>53</v>
      </c>
      <c r="R436" s="4">
        <v>0</v>
      </c>
      <c r="S436" s="6">
        <v>0</v>
      </c>
      <c r="T436" s="6">
        <v>19</v>
      </c>
      <c r="U436" s="6">
        <v>0</v>
      </c>
      <c r="V436" s="6">
        <f>IF(ISERROR(VLOOKUP($S$436,'TAR FIN'!$A$1:$O$103,15,0)),0,VLOOKUP($S$436,'TAR FIN'!$A$1:$O$103,15,0))</f>
        <v>0</v>
      </c>
      <c r="W436" s="6">
        <f>IF(ISERROR(VLOOKUP($T$436,'TAR FIN'!$A$1:$O$103,15,0)),0,VLOOKUP($T$436,'TAR FIN'!$A$1:$O$103,15,0))</f>
        <v>842.31</v>
      </c>
      <c r="X436" s="6">
        <f>IF(ISERROR(VLOOKUP($U$436,'TAR FIN'!$A$1:$O$103,15,0)),0,VLOOKUP($U$436,'TAR FIN'!$A$1:$O$103,15,0))</f>
        <v>0</v>
      </c>
      <c r="Y436" s="6"/>
      <c r="Z436" s="6">
        <f ca="1">('TUSD BE'!$AM$21+'TUSD BF'!$AM$21+'TUSD CVA'!$AM$21)*1</f>
        <v>1146.3801365962368</v>
      </c>
      <c r="AA436" s="6"/>
      <c r="AB436" s="6">
        <f>$K$436*$V$436</f>
        <v>0</v>
      </c>
      <c r="AC436" s="6">
        <f>$M$436*$W$436</f>
        <v>73788.04062</v>
      </c>
      <c r="AD436" s="6">
        <f>$O$436*$X$436</f>
        <v>0</v>
      </c>
      <c r="AE436" s="6">
        <f>$K$436*$Y$436</f>
        <v>0</v>
      </c>
      <c r="AF436" s="6">
        <f ca="1">$M$436*$Z$436</f>
        <v>100425.19272610353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33</v>
      </c>
      <c r="C437" s="4" t="s">
        <v>34</v>
      </c>
      <c r="D437" s="4" t="s">
        <v>46</v>
      </c>
      <c r="E437" s="4" t="s">
        <v>25</v>
      </c>
      <c r="F437" s="4" t="s">
        <v>25</v>
      </c>
      <c r="G437" s="4" t="s">
        <v>25</v>
      </c>
      <c r="H437" s="4" t="s">
        <v>35</v>
      </c>
      <c r="I437" s="5">
        <v>44348</v>
      </c>
      <c r="J437" s="6">
        <v>0</v>
      </c>
      <c r="K437" s="6">
        <v>0</v>
      </c>
      <c r="L437" s="6">
        <v>54.496000000000002</v>
      </c>
      <c r="M437" s="6">
        <v>54.496000000000002</v>
      </c>
      <c r="N437" s="6">
        <v>54.496000000000002</v>
      </c>
      <c r="O437" s="6">
        <v>54.496000000000002</v>
      </c>
      <c r="P437" s="6">
        <v>0</v>
      </c>
      <c r="Q437" s="4" t="s">
        <v>26</v>
      </c>
      <c r="R437" s="4">
        <v>0</v>
      </c>
      <c r="S437" s="6">
        <v>0</v>
      </c>
      <c r="T437" s="6">
        <v>20</v>
      </c>
      <c r="U437" s="6">
        <v>66</v>
      </c>
      <c r="V437" s="6">
        <f>IF(ISERROR(VLOOKUP($S$437,'TAR FIN'!$A$1:$O$103,15,0)),0,VLOOKUP($S$437,'TAR FIN'!$A$1:$O$103,15,0))</f>
        <v>0</v>
      </c>
      <c r="W437" s="6">
        <f>IF(ISERROR(VLOOKUP($T$437,'TAR FIN'!$A$1:$O$103,15,0)),0,VLOOKUP($T$437,'TAR FIN'!$A$1:$O$103,15,0))</f>
        <v>69.37</v>
      </c>
      <c r="X437" s="6">
        <f>IF(ISERROR(VLOOKUP($U$437,'TAR FIN'!$A$1:$O$103,15,0)),0,VLOOKUP($U$437,'TAR FIN'!$A$1:$O$103,15,0))</f>
        <v>284.36</v>
      </c>
      <c r="Y437" s="6"/>
      <c r="Z437" s="6">
        <f ca="1">('TUSD BE'!$AM$22+'TUSD BF'!$AM$22+'TUSD CVA'!$AM$22)*1</f>
        <v>111.236500713561</v>
      </c>
      <c r="AA437" s="6">
        <f>('TE BE'!$AB$9+'TE BF'!$AB$9+'TE CVA'!$AB$9)*1</f>
        <v>259.03677522481752</v>
      </c>
      <c r="AB437" s="6">
        <f>$K$437*$V$437</f>
        <v>0</v>
      </c>
      <c r="AC437" s="6">
        <f>$M$437*$W$437</f>
        <v>3780.3875200000002</v>
      </c>
      <c r="AD437" s="6">
        <f>$O$437*$X$437</f>
        <v>15496.482560000002</v>
      </c>
      <c r="AE437" s="6">
        <f>$K$437*$Y$437</f>
        <v>0</v>
      </c>
      <c r="AF437" s="6">
        <f ca="1">$M$437*$Z$437</f>
        <v>6061.9443428862205</v>
      </c>
      <c r="AG437" s="6">
        <f>$O$437*$AA$437</f>
        <v>14116.468102651655</v>
      </c>
    </row>
    <row r="438" spans="1:33" ht="11.25" customHeight="1" x14ac:dyDescent="0.25">
      <c r="A438" s="4" t="s">
        <v>28</v>
      </c>
      <c r="B438" s="4" t="s">
        <v>33</v>
      </c>
      <c r="C438" s="4" t="s">
        <v>34</v>
      </c>
      <c r="D438" s="4" t="s">
        <v>46</v>
      </c>
      <c r="E438" s="4" t="s">
        <v>25</v>
      </c>
      <c r="F438" s="4" t="s">
        <v>25</v>
      </c>
      <c r="G438" s="4" t="s">
        <v>25</v>
      </c>
      <c r="H438" s="4" t="s">
        <v>35</v>
      </c>
      <c r="I438" s="5">
        <v>44348</v>
      </c>
      <c r="J438" s="6">
        <v>0</v>
      </c>
      <c r="K438" s="6">
        <v>0</v>
      </c>
      <c r="L438" s="6">
        <v>2.1139999999999999</v>
      </c>
      <c r="M438" s="6">
        <v>2.1139999999999999</v>
      </c>
      <c r="N438" s="6">
        <v>2.1139999999999999</v>
      </c>
      <c r="O438" s="6">
        <v>2.1139999999999999</v>
      </c>
      <c r="P438" s="6">
        <v>0</v>
      </c>
      <c r="Q438" s="4" t="s">
        <v>26</v>
      </c>
      <c r="R438" s="4">
        <v>0</v>
      </c>
      <c r="S438" s="6">
        <v>0</v>
      </c>
      <c r="T438" s="6">
        <v>20</v>
      </c>
      <c r="U438" s="6">
        <v>66</v>
      </c>
      <c r="V438" s="6">
        <f>IF(ISERROR(VLOOKUP($S$438,'TAR FIN'!$A$1:$O$103,15,0)),0,VLOOKUP($S$438,'TAR FIN'!$A$1:$O$103,15,0))</f>
        <v>0</v>
      </c>
      <c r="W438" s="6">
        <f>IF(ISERROR(VLOOKUP($T$438,'TAR FIN'!$A$1:$O$103,15,0)),0,VLOOKUP($T$438,'TAR FIN'!$A$1:$O$103,15,0))</f>
        <v>69.37</v>
      </c>
      <c r="X438" s="6">
        <f>IF(ISERROR(VLOOKUP($U$438,'TAR FIN'!$A$1:$O$103,15,0)),0,VLOOKUP($U$438,'TAR FIN'!$A$1:$O$103,15,0))</f>
        <v>284.36</v>
      </c>
      <c r="Y438" s="6"/>
      <c r="Z438" s="6">
        <f ca="1">('TUSD BE'!$AM$22+'TUSD BF'!$AM$22+'TUSD CVA'!$AM$22)*1</f>
        <v>111.236500713561</v>
      </c>
      <c r="AA438" s="6">
        <f>('TE BE'!$AB$9+'TE BF'!$AB$9+'TE CVA'!$AB$9)*1</f>
        <v>259.03677522481752</v>
      </c>
      <c r="AB438" s="6">
        <f>$K$438*$V$438</f>
        <v>0</v>
      </c>
      <c r="AC438" s="6">
        <f>$M$438*$W$438</f>
        <v>146.64818</v>
      </c>
      <c r="AD438" s="6">
        <f>$O$438*$X$438</f>
        <v>601.13703999999996</v>
      </c>
      <c r="AE438" s="6">
        <f>$K$438*$Y$438</f>
        <v>0</v>
      </c>
      <c r="AF438" s="6">
        <f ca="1">$M$438*$Z$438</f>
        <v>235.15396250846794</v>
      </c>
      <c r="AG438" s="6">
        <f>$O$438*$AA$438</f>
        <v>547.60374282526425</v>
      </c>
    </row>
    <row r="439" spans="1:33" ht="11.25" customHeight="1" x14ac:dyDescent="0.25">
      <c r="A439" s="4" t="s">
        <v>21</v>
      </c>
      <c r="B439" s="4" t="s">
        <v>33</v>
      </c>
      <c r="C439" s="4" t="s">
        <v>34</v>
      </c>
      <c r="D439" s="4" t="s">
        <v>46</v>
      </c>
      <c r="E439" s="4" t="s">
        <v>25</v>
      </c>
      <c r="F439" s="4" t="s">
        <v>25</v>
      </c>
      <c r="G439" s="4" t="s">
        <v>25</v>
      </c>
      <c r="H439" s="4" t="s">
        <v>35</v>
      </c>
      <c r="I439" s="5">
        <v>44378</v>
      </c>
      <c r="J439" s="6">
        <v>0</v>
      </c>
      <c r="K439" s="6">
        <v>0</v>
      </c>
      <c r="L439" s="6">
        <v>58.798999999999999</v>
      </c>
      <c r="M439" s="6">
        <v>58.798999999999999</v>
      </c>
      <c r="N439" s="6">
        <v>58.798999999999999</v>
      </c>
      <c r="O439" s="6">
        <v>58.798999999999999</v>
      </c>
      <c r="P439" s="6">
        <v>0</v>
      </c>
      <c r="Q439" s="4" t="s">
        <v>26</v>
      </c>
      <c r="R439" s="4">
        <v>0</v>
      </c>
      <c r="S439" s="6">
        <v>0</v>
      </c>
      <c r="T439" s="6">
        <v>20</v>
      </c>
      <c r="U439" s="6">
        <v>66</v>
      </c>
      <c r="V439" s="6">
        <f>IF(ISERROR(VLOOKUP($S$439,'TAR FIN'!$A$1:$O$103,15,0)),0,VLOOKUP($S$439,'TAR FIN'!$A$1:$O$103,15,0))</f>
        <v>0</v>
      </c>
      <c r="W439" s="6">
        <f>IF(ISERROR(VLOOKUP($T$439,'TAR FIN'!$A$1:$O$103,15,0)),0,VLOOKUP($T$439,'TAR FIN'!$A$1:$O$103,15,0))</f>
        <v>69.37</v>
      </c>
      <c r="X439" s="6">
        <f>IF(ISERROR(VLOOKUP($U$439,'TAR FIN'!$A$1:$O$103,15,0)),0,VLOOKUP($U$439,'TAR FIN'!$A$1:$O$103,15,0))</f>
        <v>284.36</v>
      </c>
      <c r="Y439" s="6"/>
      <c r="Z439" s="6">
        <f ca="1">('TUSD BE'!$AM$22+'TUSD BF'!$AM$22+'TUSD CVA'!$AM$22)*1</f>
        <v>111.236500713561</v>
      </c>
      <c r="AA439" s="6">
        <f>('TE BE'!$AB$9+'TE BF'!$AB$9+'TE CVA'!$AB$9)*1</f>
        <v>259.03677522481752</v>
      </c>
      <c r="AB439" s="6">
        <f>$K$439*$V$439</f>
        <v>0</v>
      </c>
      <c r="AC439" s="6">
        <f>$M$439*$W$439</f>
        <v>4078.8866300000004</v>
      </c>
      <c r="AD439" s="6">
        <f>$O$439*$X$439</f>
        <v>16720.083640000001</v>
      </c>
      <c r="AE439" s="6">
        <f>$K$439*$Y$439</f>
        <v>0</v>
      </c>
      <c r="AF439" s="6">
        <f ca="1">$M$439*$Z$439</f>
        <v>6540.5950054566729</v>
      </c>
      <c r="AG439" s="6">
        <f>$O$439*$AA$439</f>
        <v>15231.103346444044</v>
      </c>
    </row>
    <row r="440" spans="1:33" ht="11.25" customHeight="1" x14ac:dyDescent="0.25">
      <c r="A440" s="4" t="s">
        <v>28</v>
      </c>
      <c r="B440" s="4" t="s">
        <v>33</v>
      </c>
      <c r="C440" s="4" t="s">
        <v>34</v>
      </c>
      <c r="D440" s="4" t="s">
        <v>46</v>
      </c>
      <c r="E440" s="4" t="s">
        <v>25</v>
      </c>
      <c r="F440" s="4" t="s">
        <v>25</v>
      </c>
      <c r="G440" s="4" t="s">
        <v>25</v>
      </c>
      <c r="H440" s="4" t="s">
        <v>35</v>
      </c>
      <c r="I440" s="5">
        <v>44378</v>
      </c>
      <c r="J440" s="6">
        <v>0</v>
      </c>
      <c r="K440" s="6">
        <v>0</v>
      </c>
      <c r="L440" s="6">
        <v>1.413</v>
      </c>
      <c r="M440" s="6">
        <v>1.413</v>
      </c>
      <c r="N440" s="6">
        <v>1.413</v>
      </c>
      <c r="O440" s="6">
        <v>1.413</v>
      </c>
      <c r="P440" s="6">
        <v>0</v>
      </c>
      <c r="Q440" s="4" t="s">
        <v>26</v>
      </c>
      <c r="R440" s="4">
        <v>0</v>
      </c>
      <c r="S440" s="6">
        <v>0</v>
      </c>
      <c r="T440" s="6">
        <v>20</v>
      </c>
      <c r="U440" s="6">
        <v>66</v>
      </c>
      <c r="V440" s="6">
        <f>IF(ISERROR(VLOOKUP($S$440,'TAR FIN'!$A$1:$O$103,15,0)),0,VLOOKUP($S$440,'TAR FIN'!$A$1:$O$103,15,0))</f>
        <v>0</v>
      </c>
      <c r="W440" s="6">
        <f>IF(ISERROR(VLOOKUP($T$440,'TAR FIN'!$A$1:$O$103,15,0)),0,VLOOKUP($T$440,'TAR FIN'!$A$1:$O$103,15,0))</f>
        <v>69.37</v>
      </c>
      <c r="X440" s="6">
        <f>IF(ISERROR(VLOOKUP($U$440,'TAR FIN'!$A$1:$O$103,15,0)),0,VLOOKUP($U$440,'TAR FIN'!$A$1:$O$103,15,0))</f>
        <v>284.36</v>
      </c>
      <c r="Y440" s="6"/>
      <c r="Z440" s="6">
        <f ca="1">('TUSD BE'!$AM$22+'TUSD BF'!$AM$22+'TUSD CVA'!$AM$22)*1</f>
        <v>111.236500713561</v>
      </c>
      <c r="AA440" s="6">
        <f>('TE BE'!$AB$9+'TE BF'!$AB$9+'TE CVA'!$AB$9)*1</f>
        <v>259.03677522481752</v>
      </c>
      <c r="AB440" s="6">
        <f>$K$440*$V$440</f>
        <v>0</v>
      </c>
      <c r="AC440" s="6">
        <f>$M$440*$W$440</f>
        <v>98.019810000000007</v>
      </c>
      <c r="AD440" s="6">
        <f>$O$440*$X$440</f>
        <v>401.80068000000006</v>
      </c>
      <c r="AE440" s="6">
        <f>$K$440*$Y$440</f>
        <v>0</v>
      </c>
      <c r="AF440" s="6">
        <f ca="1">$M$440*$Z$440</f>
        <v>157.17717550826168</v>
      </c>
      <c r="AG440" s="6">
        <f>$O$440*$AA$440</f>
        <v>366.01896339266716</v>
      </c>
    </row>
    <row r="441" spans="1:33" ht="11.25" customHeight="1" x14ac:dyDescent="0.25">
      <c r="A441" s="4" t="s">
        <v>21</v>
      </c>
      <c r="B441" s="4" t="s">
        <v>33</v>
      </c>
      <c r="C441" s="4" t="s">
        <v>34</v>
      </c>
      <c r="D441" s="4" t="s">
        <v>46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44409</v>
      </c>
      <c r="J441" s="6">
        <v>0</v>
      </c>
      <c r="K441" s="6">
        <v>0</v>
      </c>
      <c r="L441" s="6">
        <v>55.762</v>
      </c>
      <c r="M441" s="6">
        <v>55.762</v>
      </c>
      <c r="N441" s="6">
        <v>55.762</v>
      </c>
      <c r="O441" s="6">
        <v>55.762</v>
      </c>
      <c r="P441" s="6">
        <v>0</v>
      </c>
      <c r="Q441" s="4" t="s">
        <v>26</v>
      </c>
      <c r="R441" s="4">
        <v>0</v>
      </c>
      <c r="S441" s="6">
        <v>0</v>
      </c>
      <c r="T441" s="6">
        <v>20</v>
      </c>
      <c r="U441" s="6">
        <v>66</v>
      </c>
      <c r="V441" s="6">
        <f>IF(ISERROR(VLOOKUP($S$441,'TAR FIN'!$A$1:$O$103,15,0)),0,VLOOKUP($S$441,'TAR FIN'!$A$1:$O$103,15,0))</f>
        <v>0</v>
      </c>
      <c r="W441" s="6">
        <f>IF(ISERROR(VLOOKUP($T$441,'TAR FIN'!$A$1:$O$103,15,0)),0,VLOOKUP($T$441,'TAR FIN'!$A$1:$O$103,15,0))</f>
        <v>69.37</v>
      </c>
      <c r="X441" s="6">
        <f>IF(ISERROR(VLOOKUP($U$441,'TAR FIN'!$A$1:$O$103,15,0)),0,VLOOKUP($U$441,'TAR FIN'!$A$1:$O$103,15,0))</f>
        <v>284.36</v>
      </c>
      <c r="Y441" s="6"/>
      <c r="Z441" s="6">
        <f ca="1">('TUSD BE'!$AM$22+'TUSD BF'!$AM$22+'TUSD CVA'!$AM$22)*1</f>
        <v>111.236500713561</v>
      </c>
      <c r="AA441" s="6">
        <f>('TE BE'!$AB$9+'TE BF'!$AB$9+'TE CVA'!$AB$9)*1</f>
        <v>259.03677522481752</v>
      </c>
      <c r="AB441" s="6">
        <f>$K$441*$V$441</f>
        <v>0</v>
      </c>
      <c r="AC441" s="6">
        <f>$M$441*$W$441</f>
        <v>3868.2099400000002</v>
      </c>
      <c r="AD441" s="6">
        <f>$O$441*$X$441</f>
        <v>15856.482320000001</v>
      </c>
      <c r="AE441" s="6">
        <f>$K$441*$Y$441</f>
        <v>0</v>
      </c>
      <c r="AF441" s="6">
        <f ca="1">$M$441*$Z$441</f>
        <v>6202.7697527895889</v>
      </c>
      <c r="AG441" s="6">
        <f>$O$441*$AA$441</f>
        <v>14444.408660086274</v>
      </c>
    </row>
    <row r="442" spans="1:33" ht="11.25" customHeight="1" x14ac:dyDescent="0.25">
      <c r="A442" s="4" t="s">
        <v>28</v>
      </c>
      <c r="B442" s="4" t="s">
        <v>33</v>
      </c>
      <c r="C442" s="4" t="s">
        <v>34</v>
      </c>
      <c r="D442" s="4" t="s">
        <v>46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44409</v>
      </c>
      <c r="J442" s="6">
        <v>0</v>
      </c>
      <c r="K442" s="6">
        <v>0</v>
      </c>
      <c r="L442" s="6">
        <v>1.7689999999999999</v>
      </c>
      <c r="M442" s="6">
        <v>1.7689999999999999</v>
      </c>
      <c r="N442" s="6">
        <v>1.7689999999999999</v>
      </c>
      <c r="O442" s="6">
        <v>1.7689999999999999</v>
      </c>
      <c r="P442" s="6">
        <v>0</v>
      </c>
      <c r="Q442" s="4" t="s">
        <v>26</v>
      </c>
      <c r="R442" s="4">
        <v>0</v>
      </c>
      <c r="S442" s="6">
        <v>0</v>
      </c>
      <c r="T442" s="6">
        <v>20</v>
      </c>
      <c r="U442" s="6">
        <v>66</v>
      </c>
      <c r="V442" s="6">
        <f>IF(ISERROR(VLOOKUP($S$442,'TAR FIN'!$A$1:$O$103,15,0)),0,VLOOKUP($S$442,'TAR FIN'!$A$1:$O$103,15,0))</f>
        <v>0</v>
      </c>
      <c r="W442" s="6">
        <f>IF(ISERROR(VLOOKUP($T$442,'TAR FIN'!$A$1:$O$103,15,0)),0,VLOOKUP($T$442,'TAR FIN'!$A$1:$O$103,15,0))</f>
        <v>69.37</v>
      </c>
      <c r="X442" s="6">
        <f>IF(ISERROR(VLOOKUP($U$442,'TAR FIN'!$A$1:$O$103,15,0)),0,VLOOKUP($U$442,'TAR FIN'!$A$1:$O$103,15,0))</f>
        <v>284.36</v>
      </c>
      <c r="Y442" s="6"/>
      <c r="Z442" s="6">
        <f ca="1">('TUSD BE'!$AM$22+'TUSD BF'!$AM$22+'TUSD CVA'!$AM$22)*1</f>
        <v>111.236500713561</v>
      </c>
      <c r="AA442" s="6">
        <f>('TE BE'!$AB$9+'TE BF'!$AB$9+'TE CVA'!$AB$9)*1</f>
        <v>259.03677522481752</v>
      </c>
      <c r="AB442" s="6">
        <f>$K$442*$V$442</f>
        <v>0</v>
      </c>
      <c r="AC442" s="6">
        <f>$M$442*$W$442</f>
        <v>122.71553</v>
      </c>
      <c r="AD442" s="6">
        <f>$O$442*$X$442</f>
        <v>503.03284000000002</v>
      </c>
      <c r="AE442" s="6">
        <f>$K$442*$Y$442</f>
        <v>0</v>
      </c>
      <c r="AF442" s="6">
        <f ca="1">$M$442*$Z$442</f>
        <v>196.7773697622894</v>
      </c>
      <c r="AG442" s="6">
        <f>$O$442*$AA$442</f>
        <v>458.23605537270214</v>
      </c>
    </row>
    <row r="443" spans="1:33" ht="11.25" customHeight="1" x14ac:dyDescent="0.25">
      <c r="A443" s="4" t="s">
        <v>21</v>
      </c>
      <c r="B443" s="4" t="s">
        <v>33</v>
      </c>
      <c r="C443" s="4" t="s">
        <v>34</v>
      </c>
      <c r="D443" s="4" t="s">
        <v>46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44440</v>
      </c>
      <c r="J443" s="6">
        <v>0</v>
      </c>
      <c r="K443" s="6">
        <v>0</v>
      </c>
      <c r="L443" s="6">
        <v>49.957000000000001</v>
      </c>
      <c r="M443" s="6">
        <v>49.957000000000001</v>
      </c>
      <c r="N443" s="6">
        <v>49.957000000000001</v>
      </c>
      <c r="O443" s="6">
        <v>49.957000000000001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20</v>
      </c>
      <c r="U443" s="6">
        <v>66</v>
      </c>
      <c r="V443" s="6">
        <f>IF(ISERROR(VLOOKUP($S$443,'TAR FIN'!$A$1:$O$103,15,0)),0,VLOOKUP($S$443,'TAR FIN'!$A$1:$O$103,15,0))</f>
        <v>0</v>
      </c>
      <c r="W443" s="6">
        <f>IF(ISERROR(VLOOKUP($T$443,'TAR FIN'!$A$1:$O$103,15,0)),0,VLOOKUP($T$443,'TAR FIN'!$A$1:$O$103,15,0))</f>
        <v>69.37</v>
      </c>
      <c r="X443" s="6">
        <f>IF(ISERROR(VLOOKUP($U$443,'TAR FIN'!$A$1:$O$103,15,0)),0,VLOOKUP($U$443,'TAR FIN'!$A$1:$O$103,15,0))</f>
        <v>284.36</v>
      </c>
      <c r="Y443" s="6"/>
      <c r="Z443" s="6">
        <f ca="1">('TUSD BE'!$AM$22+'TUSD BF'!$AM$22+'TUSD CVA'!$AM$22)*1</f>
        <v>111.236500713561</v>
      </c>
      <c r="AA443" s="6">
        <f>('TE BE'!$AB$9+'TE BF'!$AB$9+'TE CVA'!$AB$9)*1</f>
        <v>259.03677522481752</v>
      </c>
      <c r="AB443" s="6">
        <f>$K$443*$V$443</f>
        <v>0</v>
      </c>
      <c r="AC443" s="6">
        <f>$M$443*$W$443</f>
        <v>3465.5170900000003</v>
      </c>
      <c r="AD443" s="6">
        <f>$O$443*$X$443</f>
        <v>14205.77252</v>
      </c>
      <c r="AE443" s="6">
        <f>$K$443*$Y$443</f>
        <v>0</v>
      </c>
      <c r="AF443" s="6">
        <f ca="1">$M$443*$Z$443</f>
        <v>5557.0418661473668</v>
      </c>
      <c r="AG443" s="6">
        <f>$O$443*$AA$443</f>
        <v>12940.700179906209</v>
      </c>
    </row>
    <row r="444" spans="1:33" ht="11.25" customHeight="1" x14ac:dyDescent="0.25">
      <c r="A444" s="4" t="s">
        <v>28</v>
      </c>
      <c r="B444" s="4" t="s">
        <v>33</v>
      </c>
      <c r="C444" s="4" t="s">
        <v>34</v>
      </c>
      <c r="D444" s="4" t="s">
        <v>46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44440</v>
      </c>
      <c r="J444" s="6">
        <v>0</v>
      </c>
      <c r="K444" s="6">
        <v>0</v>
      </c>
      <c r="L444" s="6">
        <v>1.742</v>
      </c>
      <c r="M444" s="6">
        <v>1.742</v>
      </c>
      <c r="N444" s="6">
        <v>1.742</v>
      </c>
      <c r="O444" s="6">
        <v>1.742</v>
      </c>
      <c r="P444" s="6">
        <v>0</v>
      </c>
      <c r="Q444" s="4" t="s">
        <v>26</v>
      </c>
      <c r="R444" s="4">
        <v>0</v>
      </c>
      <c r="S444" s="6">
        <v>0</v>
      </c>
      <c r="T444" s="6">
        <v>20</v>
      </c>
      <c r="U444" s="6">
        <v>66</v>
      </c>
      <c r="V444" s="6">
        <f>IF(ISERROR(VLOOKUP($S$444,'TAR FIN'!$A$1:$O$103,15,0)),0,VLOOKUP($S$444,'TAR FIN'!$A$1:$O$103,15,0))</f>
        <v>0</v>
      </c>
      <c r="W444" s="6">
        <f>IF(ISERROR(VLOOKUP($T$444,'TAR FIN'!$A$1:$O$103,15,0)),0,VLOOKUP($T$444,'TAR FIN'!$A$1:$O$103,15,0))</f>
        <v>69.37</v>
      </c>
      <c r="X444" s="6">
        <f>IF(ISERROR(VLOOKUP($U$444,'TAR FIN'!$A$1:$O$103,15,0)),0,VLOOKUP($U$444,'TAR FIN'!$A$1:$O$103,15,0))</f>
        <v>284.36</v>
      </c>
      <c r="Y444" s="6"/>
      <c r="Z444" s="6">
        <f ca="1">('TUSD BE'!$AM$22+'TUSD BF'!$AM$22+'TUSD CVA'!$AM$22)*1</f>
        <v>111.236500713561</v>
      </c>
      <c r="AA444" s="6">
        <f>('TE BE'!$AB$9+'TE BF'!$AB$9+'TE CVA'!$AB$9)*1</f>
        <v>259.03677522481752</v>
      </c>
      <c r="AB444" s="6">
        <f>$K$444*$V$444</f>
        <v>0</v>
      </c>
      <c r="AC444" s="6">
        <f>$M$444*$W$444</f>
        <v>120.84254000000001</v>
      </c>
      <c r="AD444" s="6">
        <f>$O$444*$X$444</f>
        <v>495.35512</v>
      </c>
      <c r="AE444" s="6">
        <f>$K$444*$Y$444</f>
        <v>0</v>
      </c>
      <c r="AF444" s="6">
        <f ca="1">$M$444*$Z$444</f>
        <v>193.77398424302325</v>
      </c>
      <c r="AG444" s="6">
        <f>$O$444*$AA$444</f>
        <v>451.24206244163213</v>
      </c>
    </row>
    <row r="445" spans="1:33" ht="11.25" customHeight="1" x14ac:dyDescent="0.25">
      <c r="A445" s="4" t="s">
        <v>21</v>
      </c>
      <c r="B445" s="4" t="s">
        <v>33</v>
      </c>
      <c r="C445" s="4" t="s">
        <v>34</v>
      </c>
      <c r="D445" s="4" t="s">
        <v>46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44470</v>
      </c>
      <c r="J445" s="6">
        <v>0</v>
      </c>
      <c r="K445" s="6">
        <v>0</v>
      </c>
      <c r="L445" s="6">
        <v>49.451999999999998</v>
      </c>
      <c r="M445" s="6">
        <v>49.451999999999998</v>
      </c>
      <c r="N445" s="6">
        <v>49.451999999999998</v>
      </c>
      <c r="O445" s="6">
        <v>49.451999999999998</v>
      </c>
      <c r="P445" s="6">
        <v>0</v>
      </c>
      <c r="Q445" s="4" t="s">
        <v>26</v>
      </c>
      <c r="R445" s="4">
        <v>0</v>
      </c>
      <c r="S445" s="6">
        <v>0</v>
      </c>
      <c r="T445" s="6">
        <v>20</v>
      </c>
      <c r="U445" s="6">
        <v>66</v>
      </c>
      <c r="V445" s="6">
        <f>IF(ISERROR(VLOOKUP($S$445,'TAR FIN'!$A$1:$O$103,15,0)),0,VLOOKUP($S$445,'TAR FIN'!$A$1:$O$103,15,0))</f>
        <v>0</v>
      </c>
      <c r="W445" s="6">
        <f>IF(ISERROR(VLOOKUP($T$445,'TAR FIN'!$A$1:$O$103,15,0)),0,VLOOKUP($T$445,'TAR FIN'!$A$1:$O$103,15,0))</f>
        <v>69.37</v>
      </c>
      <c r="X445" s="6">
        <f>IF(ISERROR(VLOOKUP($U$445,'TAR FIN'!$A$1:$O$103,15,0)),0,VLOOKUP($U$445,'TAR FIN'!$A$1:$O$103,15,0))</f>
        <v>284.36</v>
      </c>
      <c r="Y445" s="6"/>
      <c r="Z445" s="6">
        <f ca="1">('TUSD BE'!$AM$22+'TUSD BF'!$AM$22+'TUSD CVA'!$AM$22)*1</f>
        <v>111.236500713561</v>
      </c>
      <c r="AA445" s="6">
        <f>('TE BE'!$AB$9+'TE BF'!$AB$9+'TE CVA'!$AB$9)*1</f>
        <v>259.03677522481752</v>
      </c>
      <c r="AB445" s="6">
        <f>$K$445*$V$445</f>
        <v>0</v>
      </c>
      <c r="AC445" s="6">
        <f>$M$445*$W$445</f>
        <v>3430.48524</v>
      </c>
      <c r="AD445" s="6">
        <f>$O$445*$X$445</f>
        <v>14062.17072</v>
      </c>
      <c r="AE445" s="6">
        <f>$K$445*$Y$445</f>
        <v>0</v>
      </c>
      <c r="AF445" s="6">
        <f ca="1">$M$445*$Z$445</f>
        <v>5500.8674332870187</v>
      </c>
      <c r="AG445" s="6">
        <f>$O$445*$AA$445</f>
        <v>12809.886608417675</v>
      </c>
    </row>
    <row r="446" spans="1:33" ht="11.25" customHeight="1" x14ac:dyDescent="0.25">
      <c r="A446" s="4" t="s">
        <v>28</v>
      </c>
      <c r="B446" s="4" t="s">
        <v>33</v>
      </c>
      <c r="C446" s="4" t="s">
        <v>34</v>
      </c>
      <c r="D446" s="4" t="s">
        <v>46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44470</v>
      </c>
      <c r="J446" s="6">
        <v>0</v>
      </c>
      <c r="K446" s="6">
        <v>0</v>
      </c>
      <c r="L446" s="6">
        <v>2.2709999999999999</v>
      </c>
      <c r="M446" s="6">
        <v>2.2709999999999999</v>
      </c>
      <c r="N446" s="6">
        <v>2.2709999999999999</v>
      </c>
      <c r="O446" s="6">
        <v>2.2709999999999999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20</v>
      </c>
      <c r="U446" s="6">
        <v>66</v>
      </c>
      <c r="V446" s="6">
        <f>IF(ISERROR(VLOOKUP($S$446,'TAR FIN'!$A$1:$O$103,15,0)),0,VLOOKUP($S$446,'TAR FIN'!$A$1:$O$103,15,0))</f>
        <v>0</v>
      </c>
      <c r="W446" s="6">
        <f>IF(ISERROR(VLOOKUP($T$446,'TAR FIN'!$A$1:$O$103,15,0)),0,VLOOKUP($T$446,'TAR FIN'!$A$1:$O$103,15,0))</f>
        <v>69.37</v>
      </c>
      <c r="X446" s="6">
        <f>IF(ISERROR(VLOOKUP($U$446,'TAR FIN'!$A$1:$O$103,15,0)),0,VLOOKUP($U$446,'TAR FIN'!$A$1:$O$103,15,0))</f>
        <v>284.36</v>
      </c>
      <c r="Y446" s="6"/>
      <c r="Z446" s="6">
        <f ca="1">('TUSD BE'!$AM$22+'TUSD BF'!$AM$22+'TUSD CVA'!$AM$22)*1</f>
        <v>111.236500713561</v>
      </c>
      <c r="AA446" s="6">
        <f>('TE BE'!$AB$9+'TE BF'!$AB$9+'TE CVA'!$AB$9)*1</f>
        <v>259.03677522481752</v>
      </c>
      <c r="AB446" s="6">
        <f>$K$446*$V$446</f>
        <v>0</v>
      </c>
      <c r="AC446" s="6">
        <f>$M$446*$W$446</f>
        <v>157.53927000000002</v>
      </c>
      <c r="AD446" s="6">
        <f>$O$446*$X$446</f>
        <v>645.78156000000001</v>
      </c>
      <c r="AE446" s="6">
        <f>$K$446*$Y$446</f>
        <v>0</v>
      </c>
      <c r="AF446" s="6">
        <f ca="1">$M$446*$Z$446</f>
        <v>252.61809312049701</v>
      </c>
      <c r="AG446" s="6">
        <f>$O$446*$AA$446</f>
        <v>588.27251653556061</v>
      </c>
    </row>
    <row r="447" spans="1:33" ht="11.25" customHeight="1" x14ac:dyDescent="0.25">
      <c r="A447" s="4" t="s">
        <v>21</v>
      </c>
      <c r="B447" s="4" t="s">
        <v>33</v>
      </c>
      <c r="C447" s="4" t="s">
        <v>34</v>
      </c>
      <c r="D447" s="4" t="s">
        <v>46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44501</v>
      </c>
      <c r="J447" s="6">
        <v>0</v>
      </c>
      <c r="K447" s="6">
        <v>0</v>
      </c>
      <c r="L447" s="6">
        <v>53.615000000000002</v>
      </c>
      <c r="M447" s="6">
        <v>53.615000000000002</v>
      </c>
      <c r="N447" s="6">
        <v>53.615000000000002</v>
      </c>
      <c r="O447" s="6">
        <v>53.615000000000002</v>
      </c>
      <c r="P447" s="6">
        <v>0</v>
      </c>
      <c r="Q447" s="4" t="s">
        <v>26</v>
      </c>
      <c r="R447" s="4">
        <v>0</v>
      </c>
      <c r="S447" s="6">
        <v>0</v>
      </c>
      <c r="T447" s="6">
        <v>20</v>
      </c>
      <c r="U447" s="6">
        <v>66</v>
      </c>
      <c r="V447" s="6">
        <f>IF(ISERROR(VLOOKUP($S$447,'TAR FIN'!$A$1:$O$103,15,0)),0,VLOOKUP($S$447,'TAR FIN'!$A$1:$O$103,15,0))</f>
        <v>0</v>
      </c>
      <c r="W447" s="6">
        <f>IF(ISERROR(VLOOKUP($T$447,'TAR FIN'!$A$1:$O$103,15,0)),0,VLOOKUP($T$447,'TAR FIN'!$A$1:$O$103,15,0))</f>
        <v>69.37</v>
      </c>
      <c r="X447" s="6">
        <f>IF(ISERROR(VLOOKUP($U$447,'TAR FIN'!$A$1:$O$103,15,0)),0,VLOOKUP($U$447,'TAR FIN'!$A$1:$O$103,15,0))</f>
        <v>284.36</v>
      </c>
      <c r="Y447" s="6"/>
      <c r="Z447" s="6">
        <f ca="1">('TUSD BE'!$AM$22+'TUSD BF'!$AM$22+'TUSD CVA'!$AM$22)*1</f>
        <v>111.236500713561</v>
      </c>
      <c r="AA447" s="6">
        <f>('TE BE'!$AB$9+'TE BF'!$AB$9+'TE CVA'!$AB$9)*1</f>
        <v>259.03677522481752</v>
      </c>
      <c r="AB447" s="6">
        <f>$K$447*$V$447</f>
        <v>0</v>
      </c>
      <c r="AC447" s="6">
        <f>$M$447*$W$447</f>
        <v>3719.2725500000006</v>
      </c>
      <c r="AD447" s="6">
        <f>$O$447*$X$447</f>
        <v>15245.961400000002</v>
      </c>
      <c r="AE447" s="6">
        <f>$K$447*$Y$447</f>
        <v>0</v>
      </c>
      <c r="AF447" s="6">
        <f ca="1">$M$447*$Z$447</f>
        <v>5963.9449857575728</v>
      </c>
      <c r="AG447" s="6">
        <f>$O$447*$AA$447</f>
        <v>13888.256703678591</v>
      </c>
    </row>
    <row r="448" spans="1:33" ht="11.25" customHeight="1" x14ac:dyDescent="0.25">
      <c r="A448" s="4" t="s">
        <v>28</v>
      </c>
      <c r="B448" s="4" t="s">
        <v>33</v>
      </c>
      <c r="C448" s="4" t="s">
        <v>34</v>
      </c>
      <c r="D448" s="4" t="s">
        <v>46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44501</v>
      </c>
      <c r="J448" s="6">
        <v>0</v>
      </c>
      <c r="K448" s="6">
        <v>0</v>
      </c>
      <c r="L448" s="6">
        <v>2.242</v>
      </c>
      <c r="M448" s="6">
        <v>2.242</v>
      </c>
      <c r="N448" s="6">
        <v>2.242</v>
      </c>
      <c r="O448" s="6">
        <v>2.242</v>
      </c>
      <c r="P448" s="6">
        <v>0</v>
      </c>
      <c r="Q448" s="4" t="s">
        <v>26</v>
      </c>
      <c r="R448" s="4">
        <v>0</v>
      </c>
      <c r="S448" s="6">
        <v>0</v>
      </c>
      <c r="T448" s="6">
        <v>20</v>
      </c>
      <c r="U448" s="6">
        <v>66</v>
      </c>
      <c r="V448" s="6">
        <f>IF(ISERROR(VLOOKUP($S$448,'TAR FIN'!$A$1:$O$103,15,0)),0,VLOOKUP($S$448,'TAR FIN'!$A$1:$O$103,15,0))</f>
        <v>0</v>
      </c>
      <c r="W448" s="6">
        <f>IF(ISERROR(VLOOKUP($T$448,'TAR FIN'!$A$1:$O$103,15,0)),0,VLOOKUP($T$448,'TAR FIN'!$A$1:$O$103,15,0))</f>
        <v>69.37</v>
      </c>
      <c r="X448" s="6">
        <f>IF(ISERROR(VLOOKUP($U$448,'TAR FIN'!$A$1:$O$103,15,0)),0,VLOOKUP($U$448,'TAR FIN'!$A$1:$O$103,15,0))</f>
        <v>284.36</v>
      </c>
      <c r="Y448" s="6"/>
      <c r="Z448" s="6">
        <f ca="1">('TUSD BE'!$AM$22+'TUSD BF'!$AM$22+'TUSD CVA'!$AM$22)*1</f>
        <v>111.236500713561</v>
      </c>
      <c r="AA448" s="6">
        <f>('TE BE'!$AB$9+'TE BF'!$AB$9+'TE CVA'!$AB$9)*1</f>
        <v>259.03677522481752</v>
      </c>
      <c r="AB448" s="6">
        <f>$K$448*$V$448</f>
        <v>0</v>
      </c>
      <c r="AC448" s="6">
        <f>$M$448*$W$448</f>
        <v>155.52754000000002</v>
      </c>
      <c r="AD448" s="6">
        <f>$O$448*$X$448</f>
        <v>637.53512000000001</v>
      </c>
      <c r="AE448" s="6">
        <f>$K$448*$Y$448</f>
        <v>0</v>
      </c>
      <c r="AF448" s="6">
        <f ca="1">$M$448*$Z$448</f>
        <v>249.39223459980377</v>
      </c>
      <c r="AG448" s="6">
        <f>$O$448*$AA$448</f>
        <v>580.76045005404092</v>
      </c>
    </row>
    <row r="449" spans="1:33" ht="11.25" customHeight="1" x14ac:dyDescent="0.25">
      <c r="A449" s="4" t="s">
        <v>21</v>
      </c>
      <c r="B449" s="4" t="s">
        <v>33</v>
      </c>
      <c r="C449" s="4" t="s">
        <v>34</v>
      </c>
      <c r="D449" s="4" t="s">
        <v>46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44531</v>
      </c>
      <c r="J449" s="6">
        <v>0</v>
      </c>
      <c r="K449" s="6">
        <v>0</v>
      </c>
      <c r="L449" s="6">
        <v>52.048000000000002</v>
      </c>
      <c r="M449" s="6">
        <v>52.048000000000002</v>
      </c>
      <c r="N449" s="6">
        <v>52.048000000000002</v>
      </c>
      <c r="O449" s="6">
        <v>52.048000000000002</v>
      </c>
      <c r="P449" s="6">
        <v>0</v>
      </c>
      <c r="Q449" s="4" t="s">
        <v>26</v>
      </c>
      <c r="R449" s="4">
        <v>0</v>
      </c>
      <c r="S449" s="6">
        <v>0</v>
      </c>
      <c r="T449" s="6">
        <v>20</v>
      </c>
      <c r="U449" s="6">
        <v>66</v>
      </c>
      <c r="V449" s="6">
        <f>IF(ISERROR(VLOOKUP($S$449,'TAR FIN'!$A$1:$O$103,15,0)),0,VLOOKUP($S$449,'TAR FIN'!$A$1:$O$103,15,0))</f>
        <v>0</v>
      </c>
      <c r="W449" s="6">
        <f>IF(ISERROR(VLOOKUP($T$449,'TAR FIN'!$A$1:$O$103,15,0)),0,VLOOKUP($T$449,'TAR FIN'!$A$1:$O$103,15,0))</f>
        <v>69.37</v>
      </c>
      <c r="X449" s="6">
        <f>IF(ISERROR(VLOOKUP($U$449,'TAR FIN'!$A$1:$O$103,15,0)),0,VLOOKUP($U$449,'TAR FIN'!$A$1:$O$103,15,0))</f>
        <v>284.36</v>
      </c>
      <c r="Y449" s="6"/>
      <c r="Z449" s="6">
        <f ca="1">('TUSD BE'!$AM$22+'TUSD BF'!$AM$22+'TUSD CVA'!$AM$22)*1</f>
        <v>111.236500713561</v>
      </c>
      <c r="AA449" s="6">
        <f>('TE BE'!$AB$9+'TE BF'!$AB$9+'TE CVA'!$AB$9)*1</f>
        <v>259.03677522481752</v>
      </c>
      <c r="AB449" s="6">
        <f>$K$449*$V$449</f>
        <v>0</v>
      </c>
      <c r="AC449" s="6">
        <f>$M$449*$W$449</f>
        <v>3610.5697600000003</v>
      </c>
      <c r="AD449" s="6">
        <f>$O$449*$X$449</f>
        <v>14800.369280000001</v>
      </c>
      <c r="AE449" s="6">
        <f>$K$449*$Y$449</f>
        <v>0</v>
      </c>
      <c r="AF449" s="6">
        <f ca="1">$M$449*$Z$449</f>
        <v>5789.6373891394232</v>
      </c>
      <c r="AG449" s="6">
        <f>$O$449*$AA$449</f>
        <v>13482.346076901302</v>
      </c>
    </row>
    <row r="450" spans="1:33" ht="11.25" customHeight="1" x14ac:dyDescent="0.25">
      <c r="A450" s="4" t="s">
        <v>28</v>
      </c>
      <c r="B450" s="4" t="s">
        <v>33</v>
      </c>
      <c r="C450" s="4" t="s">
        <v>34</v>
      </c>
      <c r="D450" s="4" t="s">
        <v>46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44531</v>
      </c>
      <c r="J450" s="6">
        <v>0</v>
      </c>
      <c r="K450" s="6">
        <v>0</v>
      </c>
      <c r="L450" s="6">
        <v>2.5059999999999998</v>
      </c>
      <c r="M450" s="6">
        <v>2.5059999999999998</v>
      </c>
      <c r="N450" s="6">
        <v>2.5059999999999998</v>
      </c>
      <c r="O450" s="6">
        <v>2.5059999999999998</v>
      </c>
      <c r="P450" s="6">
        <v>0</v>
      </c>
      <c r="Q450" s="4" t="s">
        <v>26</v>
      </c>
      <c r="R450" s="4">
        <v>0</v>
      </c>
      <c r="S450" s="6">
        <v>0</v>
      </c>
      <c r="T450" s="6">
        <v>20</v>
      </c>
      <c r="U450" s="6">
        <v>66</v>
      </c>
      <c r="V450" s="6">
        <f>IF(ISERROR(VLOOKUP($S$450,'TAR FIN'!$A$1:$O$103,15,0)),0,VLOOKUP($S$450,'TAR FIN'!$A$1:$O$103,15,0))</f>
        <v>0</v>
      </c>
      <c r="W450" s="6">
        <f>IF(ISERROR(VLOOKUP($T$450,'TAR FIN'!$A$1:$O$103,15,0)),0,VLOOKUP($T$450,'TAR FIN'!$A$1:$O$103,15,0))</f>
        <v>69.37</v>
      </c>
      <c r="X450" s="6">
        <f>IF(ISERROR(VLOOKUP($U$450,'TAR FIN'!$A$1:$O$103,15,0)),0,VLOOKUP($U$450,'TAR FIN'!$A$1:$O$103,15,0))</f>
        <v>284.36</v>
      </c>
      <c r="Y450" s="6"/>
      <c r="Z450" s="6">
        <f ca="1">('TUSD BE'!$AM$22+'TUSD BF'!$AM$22+'TUSD CVA'!$AM$22)*1</f>
        <v>111.236500713561</v>
      </c>
      <c r="AA450" s="6">
        <f>('TE BE'!$AB$9+'TE BF'!$AB$9+'TE CVA'!$AB$9)*1</f>
        <v>259.03677522481752</v>
      </c>
      <c r="AB450" s="6">
        <f>$K$450*$V$450</f>
        <v>0</v>
      </c>
      <c r="AC450" s="6">
        <f>$M$450*$W$450</f>
        <v>173.84121999999999</v>
      </c>
      <c r="AD450" s="6">
        <f>$O$450*$X$450</f>
        <v>712.60615999999993</v>
      </c>
      <c r="AE450" s="6">
        <f>$K$450*$Y$450</f>
        <v>0</v>
      </c>
      <c r="AF450" s="6">
        <f ca="1">$M$450*$Z$450</f>
        <v>278.75867078818385</v>
      </c>
      <c r="AG450" s="6">
        <f>$O$450*$AA$450</f>
        <v>649.14615871339265</v>
      </c>
    </row>
    <row r="451" spans="1:33" ht="11.25" customHeight="1" x14ac:dyDescent="0.25">
      <c r="A451" s="4" t="s">
        <v>21</v>
      </c>
      <c r="B451" s="4" t="s">
        <v>33</v>
      </c>
      <c r="C451" s="4" t="s">
        <v>34</v>
      </c>
      <c r="D451" s="4" t="s">
        <v>46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44562</v>
      </c>
      <c r="J451" s="6">
        <v>0</v>
      </c>
      <c r="K451" s="6">
        <v>0</v>
      </c>
      <c r="L451" s="6">
        <v>56.295999999999999</v>
      </c>
      <c r="M451" s="6">
        <v>56.295999999999999</v>
      </c>
      <c r="N451" s="6">
        <v>56.295999999999999</v>
      </c>
      <c r="O451" s="6">
        <v>56.295999999999999</v>
      </c>
      <c r="P451" s="6">
        <v>0</v>
      </c>
      <c r="Q451" s="4" t="s">
        <v>26</v>
      </c>
      <c r="R451" s="4">
        <v>0</v>
      </c>
      <c r="S451" s="6">
        <v>0</v>
      </c>
      <c r="T451" s="6">
        <v>20</v>
      </c>
      <c r="U451" s="6">
        <v>66</v>
      </c>
      <c r="V451" s="6">
        <f>IF(ISERROR(VLOOKUP($S$451,'TAR FIN'!$A$1:$O$103,15,0)),0,VLOOKUP($S$451,'TAR FIN'!$A$1:$O$103,15,0))</f>
        <v>0</v>
      </c>
      <c r="W451" s="6">
        <f>IF(ISERROR(VLOOKUP($T$451,'TAR FIN'!$A$1:$O$103,15,0)),0,VLOOKUP($T$451,'TAR FIN'!$A$1:$O$103,15,0))</f>
        <v>69.37</v>
      </c>
      <c r="X451" s="6">
        <f>IF(ISERROR(VLOOKUP($U$451,'TAR FIN'!$A$1:$O$103,15,0)),0,VLOOKUP($U$451,'TAR FIN'!$A$1:$O$103,15,0))</f>
        <v>284.36</v>
      </c>
      <c r="Y451" s="6"/>
      <c r="Z451" s="6">
        <f ca="1">('TUSD BE'!$AM$22+'TUSD BF'!$AM$22+'TUSD CVA'!$AM$22)*1</f>
        <v>111.236500713561</v>
      </c>
      <c r="AA451" s="6">
        <f>('TE BE'!$AB$9+'TE BF'!$AB$9+'TE CVA'!$AB$9)*1</f>
        <v>259.03677522481752</v>
      </c>
      <c r="AB451" s="6">
        <f>$K$451*$V$451</f>
        <v>0</v>
      </c>
      <c r="AC451" s="6">
        <f>$M$451*$W$451</f>
        <v>3905.2535200000002</v>
      </c>
      <c r="AD451" s="6">
        <f>$O$451*$X$451</f>
        <v>16008.33056</v>
      </c>
      <c r="AE451" s="6">
        <f>$K$451*$Y$451</f>
        <v>0</v>
      </c>
      <c r="AF451" s="6">
        <f ca="1">$M$451*$Z$451</f>
        <v>6262.1700441706298</v>
      </c>
      <c r="AG451" s="6">
        <f>$O$451*$AA$451</f>
        <v>14582.734298056326</v>
      </c>
    </row>
    <row r="452" spans="1:33" ht="11.25" customHeight="1" x14ac:dyDescent="0.25">
      <c r="A452" s="4" t="s">
        <v>28</v>
      </c>
      <c r="B452" s="4" t="s">
        <v>33</v>
      </c>
      <c r="C452" s="4" t="s">
        <v>34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44562</v>
      </c>
      <c r="J452" s="6">
        <v>0</v>
      </c>
      <c r="K452" s="6">
        <v>0</v>
      </c>
      <c r="L452" s="6">
        <v>2.1160000000000001</v>
      </c>
      <c r="M452" s="6">
        <v>2.1160000000000001</v>
      </c>
      <c r="N452" s="6">
        <v>2.1160000000000001</v>
      </c>
      <c r="O452" s="6">
        <v>2.1160000000000001</v>
      </c>
      <c r="P452" s="6">
        <v>0</v>
      </c>
      <c r="Q452" s="4" t="s">
        <v>26</v>
      </c>
      <c r="R452" s="4">
        <v>0</v>
      </c>
      <c r="S452" s="6">
        <v>0</v>
      </c>
      <c r="T452" s="6">
        <v>20</v>
      </c>
      <c r="U452" s="6">
        <v>66</v>
      </c>
      <c r="V452" s="6">
        <f>IF(ISERROR(VLOOKUP($S$452,'TAR FIN'!$A$1:$O$103,15,0)),0,VLOOKUP($S$452,'TAR FIN'!$A$1:$O$103,15,0))</f>
        <v>0</v>
      </c>
      <c r="W452" s="6">
        <f>IF(ISERROR(VLOOKUP($T$452,'TAR FIN'!$A$1:$O$103,15,0)),0,VLOOKUP($T$452,'TAR FIN'!$A$1:$O$103,15,0))</f>
        <v>69.37</v>
      </c>
      <c r="X452" s="6">
        <f>IF(ISERROR(VLOOKUP($U$452,'TAR FIN'!$A$1:$O$103,15,0)),0,VLOOKUP($U$452,'TAR FIN'!$A$1:$O$103,15,0))</f>
        <v>284.36</v>
      </c>
      <c r="Y452" s="6"/>
      <c r="Z452" s="6">
        <f ca="1">('TUSD BE'!$AM$22+'TUSD BF'!$AM$22+'TUSD CVA'!$AM$22)*1</f>
        <v>111.236500713561</v>
      </c>
      <c r="AA452" s="6">
        <f>('TE BE'!$AB$9+'TE BF'!$AB$9+'TE CVA'!$AB$9)*1</f>
        <v>259.03677522481752</v>
      </c>
      <c r="AB452" s="6">
        <f>$K$452*$V$452</f>
        <v>0</v>
      </c>
      <c r="AC452" s="6">
        <f>$M$452*$W$452</f>
        <v>146.78692000000001</v>
      </c>
      <c r="AD452" s="6">
        <f>$O$452*$X$452</f>
        <v>601.70576000000005</v>
      </c>
      <c r="AE452" s="6">
        <f>$K$452*$Y$452</f>
        <v>0</v>
      </c>
      <c r="AF452" s="6">
        <f ca="1">$M$452*$Z$452</f>
        <v>235.37643550989509</v>
      </c>
      <c r="AG452" s="6">
        <f>$O$452*$AA$452</f>
        <v>548.12181637571393</v>
      </c>
    </row>
    <row r="453" spans="1:33" ht="11.25" customHeight="1" x14ac:dyDescent="0.25">
      <c r="A453" s="4" t="s">
        <v>21</v>
      </c>
      <c r="B453" s="4" t="s">
        <v>33</v>
      </c>
      <c r="C453" s="4" t="s">
        <v>34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44593</v>
      </c>
      <c r="J453" s="6">
        <v>0</v>
      </c>
      <c r="K453" s="6">
        <v>0</v>
      </c>
      <c r="L453" s="6">
        <v>59.365000000000002</v>
      </c>
      <c r="M453" s="6">
        <v>59.365000000000002</v>
      </c>
      <c r="N453" s="6">
        <v>59.365000000000002</v>
      </c>
      <c r="O453" s="6">
        <v>59.365000000000002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20</v>
      </c>
      <c r="U453" s="6">
        <v>66</v>
      </c>
      <c r="V453" s="6">
        <f>IF(ISERROR(VLOOKUP($S$453,'TAR FIN'!$A$1:$O$103,15,0)),0,VLOOKUP($S$453,'TAR FIN'!$A$1:$O$103,15,0))</f>
        <v>0</v>
      </c>
      <c r="W453" s="6">
        <f>IF(ISERROR(VLOOKUP($T$453,'TAR FIN'!$A$1:$O$103,15,0)),0,VLOOKUP($T$453,'TAR FIN'!$A$1:$O$103,15,0))</f>
        <v>69.37</v>
      </c>
      <c r="X453" s="6">
        <f>IF(ISERROR(VLOOKUP($U$453,'TAR FIN'!$A$1:$O$103,15,0)),0,VLOOKUP($U$453,'TAR FIN'!$A$1:$O$103,15,0))</f>
        <v>284.36</v>
      </c>
      <c r="Y453" s="6"/>
      <c r="Z453" s="6">
        <f ca="1">('TUSD BE'!$AM$22+'TUSD BF'!$AM$22+'TUSD CVA'!$AM$22)*1</f>
        <v>111.236500713561</v>
      </c>
      <c r="AA453" s="6">
        <f>('TE BE'!$AB$9+'TE BF'!$AB$9+'TE CVA'!$AB$9)*1</f>
        <v>259.03677522481752</v>
      </c>
      <c r="AB453" s="6">
        <f>$K$453*$V$453</f>
        <v>0</v>
      </c>
      <c r="AC453" s="6">
        <f>$M$453*$W$453</f>
        <v>4118.1500500000002</v>
      </c>
      <c r="AD453" s="6">
        <f>$O$453*$X$453</f>
        <v>16881.0314</v>
      </c>
      <c r="AE453" s="6">
        <f>$K$453*$Y$453</f>
        <v>0</v>
      </c>
      <c r="AF453" s="6">
        <f ca="1">$M$453*$Z$453</f>
        <v>6603.5548648605491</v>
      </c>
      <c r="AG453" s="6">
        <f>$O$453*$AA$453</f>
        <v>15377.718161221292</v>
      </c>
    </row>
    <row r="454" spans="1:33" ht="11.25" customHeight="1" x14ac:dyDescent="0.25">
      <c r="A454" s="4" t="s">
        <v>21</v>
      </c>
      <c r="B454" s="4" t="s">
        <v>33</v>
      </c>
      <c r="C454" s="4" t="s">
        <v>34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44621</v>
      </c>
      <c r="J454" s="6">
        <v>0</v>
      </c>
      <c r="K454" s="6">
        <v>0</v>
      </c>
      <c r="L454" s="6">
        <v>66.935000000000002</v>
      </c>
      <c r="M454" s="6">
        <v>66.935000000000002</v>
      </c>
      <c r="N454" s="6">
        <v>66.935000000000002</v>
      </c>
      <c r="O454" s="6">
        <v>66.935000000000002</v>
      </c>
      <c r="P454" s="6">
        <v>0</v>
      </c>
      <c r="Q454" s="4" t="s">
        <v>26</v>
      </c>
      <c r="R454" s="4">
        <v>0</v>
      </c>
      <c r="S454" s="6">
        <v>0</v>
      </c>
      <c r="T454" s="6">
        <v>20</v>
      </c>
      <c r="U454" s="6">
        <v>66</v>
      </c>
      <c r="V454" s="6">
        <f>IF(ISERROR(VLOOKUP($S$454,'TAR FIN'!$A$1:$O$103,15,0)),0,VLOOKUP($S$454,'TAR FIN'!$A$1:$O$103,15,0))</f>
        <v>0</v>
      </c>
      <c r="W454" s="6">
        <f>IF(ISERROR(VLOOKUP($T$454,'TAR FIN'!$A$1:$O$103,15,0)),0,VLOOKUP($T$454,'TAR FIN'!$A$1:$O$103,15,0))</f>
        <v>69.37</v>
      </c>
      <c r="X454" s="6">
        <f>IF(ISERROR(VLOOKUP($U$454,'TAR FIN'!$A$1:$O$103,15,0)),0,VLOOKUP($U$454,'TAR FIN'!$A$1:$O$103,15,0))</f>
        <v>284.36</v>
      </c>
      <c r="Y454" s="6"/>
      <c r="Z454" s="6">
        <f ca="1">('TUSD BE'!$AM$22+'TUSD BF'!$AM$22+'TUSD CVA'!$AM$22)*1</f>
        <v>111.236500713561</v>
      </c>
      <c r="AA454" s="6">
        <f>('TE BE'!$AB$9+'TE BF'!$AB$9+'TE CVA'!$AB$9)*1</f>
        <v>259.03677522481752</v>
      </c>
      <c r="AB454" s="6">
        <f>$K$454*$V$454</f>
        <v>0</v>
      </c>
      <c r="AC454" s="6">
        <f>$M$454*$W$454</f>
        <v>4643.2809500000003</v>
      </c>
      <c r="AD454" s="6">
        <f>$O$454*$X$454</f>
        <v>19033.636600000002</v>
      </c>
      <c r="AE454" s="6">
        <f>$K$454*$Y$454</f>
        <v>0</v>
      </c>
      <c r="AF454" s="6">
        <f ca="1">$M$454*$Z$454</f>
        <v>7445.6151752622054</v>
      </c>
      <c r="AG454" s="6">
        <f>$O$454*$AA$454</f>
        <v>17338.626549673161</v>
      </c>
    </row>
    <row r="455" spans="1:33" ht="11.25" customHeight="1" x14ac:dyDescent="0.25">
      <c r="A455" s="4" t="s">
        <v>28</v>
      </c>
      <c r="B455" s="4" t="s">
        <v>33</v>
      </c>
      <c r="C455" s="4" t="s">
        <v>34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44621</v>
      </c>
      <c r="J455" s="6">
        <v>0</v>
      </c>
      <c r="K455" s="6">
        <v>0</v>
      </c>
      <c r="L455" s="6">
        <v>7.3609999999999998</v>
      </c>
      <c r="M455" s="6">
        <v>7.3609999999999998</v>
      </c>
      <c r="N455" s="6">
        <v>7.3609999999999998</v>
      </c>
      <c r="O455" s="6">
        <v>7.3609999999999998</v>
      </c>
      <c r="P455" s="6">
        <v>0</v>
      </c>
      <c r="Q455" s="4" t="s">
        <v>26</v>
      </c>
      <c r="R455" s="4">
        <v>0</v>
      </c>
      <c r="S455" s="6">
        <v>0</v>
      </c>
      <c r="T455" s="6">
        <v>20</v>
      </c>
      <c r="U455" s="6">
        <v>66</v>
      </c>
      <c r="V455" s="6">
        <f>IF(ISERROR(VLOOKUP($S$455,'TAR FIN'!$A$1:$O$103,15,0)),0,VLOOKUP($S$455,'TAR FIN'!$A$1:$O$103,15,0))</f>
        <v>0</v>
      </c>
      <c r="W455" s="6">
        <f>IF(ISERROR(VLOOKUP($T$455,'TAR FIN'!$A$1:$O$103,15,0)),0,VLOOKUP($T$455,'TAR FIN'!$A$1:$O$103,15,0))</f>
        <v>69.37</v>
      </c>
      <c r="X455" s="6">
        <f>IF(ISERROR(VLOOKUP($U$455,'TAR FIN'!$A$1:$O$103,15,0)),0,VLOOKUP($U$455,'TAR FIN'!$A$1:$O$103,15,0))</f>
        <v>284.36</v>
      </c>
      <c r="Y455" s="6"/>
      <c r="Z455" s="6">
        <f ca="1">('TUSD BE'!$AM$22+'TUSD BF'!$AM$22+'TUSD CVA'!$AM$22)*1</f>
        <v>111.236500713561</v>
      </c>
      <c r="AA455" s="6">
        <f>('TE BE'!$AB$9+'TE BF'!$AB$9+'TE CVA'!$AB$9)*1</f>
        <v>259.03677522481752</v>
      </c>
      <c r="AB455" s="6">
        <f>$K$455*$V$455</f>
        <v>0</v>
      </c>
      <c r="AC455" s="6">
        <f>$M$455*$W$455</f>
        <v>510.63257000000004</v>
      </c>
      <c r="AD455" s="6">
        <f>$O$455*$X$455</f>
        <v>2093.1739600000001</v>
      </c>
      <c r="AE455" s="6">
        <f>$K$455*$Y$455</f>
        <v>0</v>
      </c>
      <c r="AF455" s="6">
        <f ca="1">$M$455*$Z$455</f>
        <v>818.81188175252248</v>
      </c>
      <c r="AG455" s="6">
        <f>$O$455*$AA$455</f>
        <v>1906.7697024298816</v>
      </c>
    </row>
    <row r="456" spans="1:33" ht="11.25" customHeight="1" x14ac:dyDescent="0.25">
      <c r="A456" s="4" t="s">
        <v>21</v>
      </c>
      <c r="B456" s="4" t="s">
        <v>33</v>
      </c>
      <c r="C456" s="4" t="s">
        <v>34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44652</v>
      </c>
      <c r="J456" s="6">
        <v>0</v>
      </c>
      <c r="K456" s="6">
        <v>0</v>
      </c>
      <c r="L456" s="6">
        <v>49.951000000000001</v>
      </c>
      <c r="M456" s="6">
        <v>49.951000000000001</v>
      </c>
      <c r="N456" s="6">
        <v>49.951000000000001</v>
      </c>
      <c r="O456" s="6">
        <v>49.951000000000001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20</v>
      </c>
      <c r="U456" s="6">
        <v>66</v>
      </c>
      <c r="V456" s="6">
        <f>IF(ISERROR(VLOOKUP($S$456,'TAR FIN'!$A$1:$O$103,15,0)),0,VLOOKUP($S$456,'TAR FIN'!$A$1:$O$103,15,0))</f>
        <v>0</v>
      </c>
      <c r="W456" s="6">
        <f>IF(ISERROR(VLOOKUP($T$456,'TAR FIN'!$A$1:$O$103,15,0)),0,VLOOKUP($T$456,'TAR FIN'!$A$1:$O$103,15,0))</f>
        <v>69.37</v>
      </c>
      <c r="X456" s="6">
        <f>IF(ISERROR(VLOOKUP($U$456,'TAR FIN'!$A$1:$O$103,15,0)),0,VLOOKUP($U$456,'TAR FIN'!$A$1:$O$103,15,0))</f>
        <v>284.36</v>
      </c>
      <c r="Y456" s="6"/>
      <c r="Z456" s="6">
        <f ca="1">('TUSD BE'!$AM$22+'TUSD BF'!$AM$22+'TUSD CVA'!$AM$22)*1</f>
        <v>111.236500713561</v>
      </c>
      <c r="AA456" s="6">
        <f>('TE BE'!$AB$9+'TE BF'!$AB$9+'TE CVA'!$AB$9)*1</f>
        <v>259.03677522481752</v>
      </c>
      <c r="AB456" s="6">
        <f>$K$456*$V$456</f>
        <v>0</v>
      </c>
      <c r="AC456" s="6">
        <f>$M$456*$W$456</f>
        <v>3465.1008700000002</v>
      </c>
      <c r="AD456" s="6">
        <f>$O$456*$X$456</f>
        <v>14204.066360000001</v>
      </c>
      <c r="AE456" s="6">
        <f>$K$456*$Y$456</f>
        <v>0</v>
      </c>
      <c r="AF456" s="6">
        <f ca="1">$M$456*$Z$456</f>
        <v>5556.3744471430855</v>
      </c>
      <c r="AG456" s="6">
        <f>$O$456*$AA$456</f>
        <v>12939.14595925486</v>
      </c>
    </row>
    <row r="457" spans="1:33" ht="11.25" customHeight="1" x14ac:dyDescent="0.25">
      <c r="A457" s="4" t="s">
        <v>28</v>
      </c>
      <c r="B457" s="4" t="s">
        <v>33</v>
      </c>
      <c r="C457" s="4" t="s">
        <v>34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44652</v>
      </c>
      <c r="J457" s="6">
        <v>0</v>
      </c>
      <c r="K457" s="6">
        <v>0</v>
      </c>
      <c r="L457" s="6">
        <v>6.6920000000000002</v>
      </c>
      <c r="M457" s="6">
        <v>6.6920000000000002</v>
      </c>
      <c r="N457" s="6">
        <v>6.6920000000000002</v>
      </c>
      <c r="O457" s="6">
        <v>6.6920000000000002</v>
      </c>
      <c r="P457" s="6">
        <v>0</v>
      </c>
      <c r="Q457" s="4" t="s">
        <v>26</v>
      </c>
      <c r="R457" s="4">
        <v>0</v>
      </c>
      <c r="S457" s="6">
        <v>0</v>
      </c>
      <c r="T457" s="6">
        <v>20</v>
      </c>
      <c r="U457" s="6">
        <v>66</v>
      </c>
      <c r="V457" s="6">
        <f>IF(ISERROR(VLOOKUP($S$457,'TAR FIN'!$A$1:$O$103,15,0)),0,VLOOKUP($S$457,'TAR FIN'!$A$1:$O$103,15,0))</f>
        <v>0</v>
      </c>
      <c r="W457" s="6">
        <f>IF(ISERROR(VLOOKUP($T$457,'TAR FIN'!$A$1:$O$103,15,0)),0,VLOOKUP($T$457,'TAR FIN'!$A$1:$O$103,15,0))</f>
        <v>69.37</v>
      </c>
      <c r="X457" s="6">
        <f>IF(ISERROR(VLOOKUP($U$457,'TAR FIN'!$A$1:$O$103,15,0)),0,VLOOKUP($U$457,'TAR FIN'!$A$1:$O$103,15,0))</f>
        <v>284.36</v>
      </c>
      <c r="Y457" s="6"/>
      <c r="Z457" s="6">
        <f ca="1">('TUSD BE'!$AM$22+'TUSD BF'!$AM$22+'TUSD CVA'!$AM$22)*1</f>
        <v>111.236500713561</v>
      </c>
      <c r="AA457" s="6">
        <f>('TE BE'!$AB$9+'TE BF'!$AB$9+'TE CVA'!$AB$9)*1</f>
        <v>259.03677522481752</v>
      </c>
      <c r="AB457" s="6">
        <f>$K$457*$V$457</f>
        <v>0</v>
      </c>
      <c r="AC457" s="6">
        <f>$M$457*$W$457</f>
        <v>464.22404000000006</v>
      </c>
      <c r="AD457" s="6">
        <f>$O$457*$X$457</f>
        <v>1902.93712</v>
      </c>
      <c r="AE457" s="6">
        <f>$K$457*$Y$457</f>
        <v>0</v>
      </c>
      <c r="AF457" s="6">
        <f ca="1">$M$457*$Z$457</f>
        <v>744.39466277515021</v>
      </c>
      <c r="AG457" s="6">
        <f>$O$457*$AA$457</f>
        <v>1733.4740998044788</v>
      </c>
    </row>
    <row r="458" spans="1:33" ht="11.25" customHeight="1" x14ac:dyDescent="0.25">
      <c r="A458" s="4" t="s">
        <v>21</v>
      </c>
      <c r="B458" s="4" t="s">
        <v>33</v>
      </c>
      <c r="C458" s="4" t="s">
        <v>34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44682</v>
      </c>
      <c r="J458" s="6">
        <v>0</v>
      </c>
      <c r="K458" s="6">
        <v>0</v>
      </c>
      <c r="L458" s="6">
        <v>60.122</v>
      </c>
      <c r="M458" s="6">
        <v>60.122</v>
      </c>
      <c r="N458" s="6">
        <v>60.122</v>
      </c>
      <c r="O458" s="6">
        <v>60.122</v>
      </c>
      <c r="P458" s="6">
        <v>0</v>
      </c>
      <c r="Q458" s="4" t="s">
        <v>26</v>
      </c>
      <c r="R458" s="4">
        <v>0</v>
      </c>
      <c r="S458" s="6">
        <v>0</v>
      </c>
      <c r="T458" s="6">
        <v>20</v>
      </c>
      <c r="U458" s="6">
        <v>66</v>
      </c>
      <c r="V458" s="6">
        <f>IF(ISERROR(VLOOKUP($S$458,'TAR FIN'!$A$1:$O$103,15,0)),0,VLOOKUP($S$458,'TAR FIN'!$A$1:$O$103,15,0))</f>
        <v>0</v>
      </c>
      <c r="W458" s="6">
        <f>IF(ISERROR(VLOOKUP($T$458,'TAR FIN'!$A$1:$O$103,15,0)),0,VLOOKUP($T$458,'TAR FIN'!$A$1:$O$103,15,0))</f>
        <v>69.37</v>
      </c>
      <c r="X458" s="6">
        <f>IF(ISERROR(VLOOKUP($U$458,'TAR FIN'!$A$1:$O$103,15,0)),0,VLOOKUP($U$458,'TAR FIN'!$A$1:$O$103,15,0))</f>
        <v>284.36</v>
      </c>
      <c r="Y458" s="6"/>
      <c r="Z458" s="6">
        <f ca="1">('TUSD BE'!$AM$22+'TUSD BF'!$AM$22+'TUSD CVA'!$AM$22)*1</f>
        <v>111.236500713561</v>
      </c>
      <c r="AA458" s="6">
        <f>('TE BE'!$AB$9+'TE BF'!$AB$9+'TE CVA'!$AB$9)*1</f>
        <v>259.03677522481752</v>
      </c>
      <c r="AB458" s="6">
        <f>$K$458*$V$458</f>
        <v>0</v>
      </c>
      <c r="AC458" s="6">
        <f>$M$458*$W$458</f>
        <v>4170.6631400000006</v>
      </c>
      <c r="AD458" s="6">
        <f>$O$458*$X$458</f>
        <v>17096.29192</v>
      </c>
      <c r="AE458" s="6">
        <f>$K$458*$Y$458</f>
        <v>0</v>
      </c>
      <c r="AF458" s="6">
        <f ca="1">$M$458*$Z$458</f>
        <v>6687.7608959007148</v>
      </c>
      <c r="AG458" s="6">
        <f>$O$458*$AA$458</f>
        <v>15573.809000066478</v>
      </c>
    </row>
    <row r="459" spans="1:33" ht="11.25" customHeight="1" x14ac:dyDescent="0.25">
      <c r="A459" s="4" t="s">
        <v>28</v>
      </c>
      <c r="B459" s="4" t="s">
        <v>33</v>
      </c>
      <c r="C459" s="4" t="s">
        <v>34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8.782</v>
      </c>
      <c r="M459" s="6">
        <v>8.782</v>
      </c>
      <c r="N459" s="6">
        <v>8.782</v>
      </c>
      <c r="O459" s="6">
        <v>8.782</v>
      </c>
      <c r="P459" s="6">
        <v>0</v>
      </c>
      <c r="Q459" s="4" t="s">
        <v>26</v>
      </c>
      <c r="R459" s="4">
        <v>0</v>
      </c>
      <c r="S459" s="6">
        <v>0</v>
      </c>
      <c r="T459" s="6">
        <v>20</v>
      </c>
      <c r="U459" s="6">
        <v>66</v>
      </c>
      <c r="V459" s="6">
        <f>IF(ISERROR(VLOOKUP($S$459,'TAR FIN'!$A$1:$O$103,15,0)),0,VLOOKUP($S$459,'TAR FIN'!$A$1:$O$103,15,0))</f>
        <v>0</v>
      </c>
      <c r="W459" s="6">
        <f>IF(ISERROR(VLOOKUP($T$459,'TAR FIN'!$A$1:$O$103,15,0)),0,VLOOKUP($T$459,'TAR FIN'!$A$1:$O$103,15,0))</f>
        <v>69.37</v>
      </c>
      <c r="X459" s="6">
        <f>IF(ISERROR(VLOOKUP($U$459,'TAR FIN'!$A$1:$O$103,15,0)),0,VLOOKUP($U$459,'TAR FIN'!$A$1:$O$103,15,0))</f>
        <v>284.36</v>
      </c>
      <c r="Y459" s="6"/>
      <c r="Z459" s="6">
        <f ca="1">('TUSD BE'!$AM$22+'TUSD BF'!$AM$22+'TUSD CVA'!$AM$22)*1</f>
        <v>111.236500713561</v>
      </c>
      <c r="AA459" s="6">
        <f>('TE BE'!$AB$9+'TE BF'!$AB$9+'TE CVA'!$AB$9)*1</f>
        <v>259.03677522481752</v>
      </c>
      <c r="AB459" s="6">
        <f>$K$459*$V$459</f>
        <v>0</v>
      </c>
      <c r="AC459" s="6">
        <f>$M$459*$W$459</f>
        <v>609.20734000000004</v>
      </c>
      <c r="AD459" s="6">
        <f>$O$459*$X$459</f>
        <v>2497.2495200000003</v>
      </c>
      <c r="AE459" s="6">
        <f>$K$459*$Y$459</f>
        <v>0</v>
      </c>
      <c r="AF459" s="6">
        <f ca="1">$M$459*$Z$459</f>
        <v>976.87894926649267</v>
      </c>
      <c r="AG459" s="6">
        <f>$O$459*$AA$459</f>
        <v>2274.8609600243476</v>
      </c>
    </row>
    <row r="460" spans="1:33" ht="11.25" customHeight="1" x14ac:dyDescent="0.25">
      <c r="A460" s="4" t="s">
        <v>21</v>
      </c>
      <c r="B460" s="4" t="s">
        <v>33</v>
      </c>
      <c r="C460" s="4" t="s">
        <v>34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44348</v>
      </c>
      <c r="J460" s="6">
        <v>595</v>
      </c>
      <c r="K460" s="6">
        <v>595</v>
      </c>
      <c r="L460" s="6">
        <v>0</v>
      </c>
      <c r="M460" s="6">
        <v>0</v>
      </c>
      <c r="N460" s="6">
        <v>0</v>
      </c>
      <c r="O460" s="6">
        <v>0</v>
      </c>
      <c r="P460" s="6">
        <v>9</v>
      </c>
      <c r="Q460" s="4" t="s">
        <v>26</v>
      </c>
      <c r="R460" s="4">
        <v>0</v>
      </c>
      <c r="S460" s="6">
        <v>18</v>
      </c>
      <c r="T460" s="6">
        <v>0</v>
      </c>
      <c r="U460" s="6">
        <v>0</v>
      </c>
      <c r="V460" s="6">
        <f>IF(ISERROR(VLOOKUP($S$460,'TAR FIN'!$A$1:$O$103,15,0)),0,VLOOKUP($S$460,'TAR FIN'!$A$1:$O$103,15,0))</f>
        <v>12.42</v>
      </c>
      <c r="W460" s="6">
        <f>IF(ISERROR(VLOOKUP($T$460,'TAR FIN'!$A$1:$O$103,15,0)),0,VLOOKUP($T$460,'TAR FIN'!$A$1:$O$103,15,0))</f>
        <v>0</v>
      </c>
      <c r="X460" s="6">
        <f>IF(ISERROR(VLOOKUP($U$460,'TAR FIN'!$A$1:$O$103,15,0)),0,VLOOKUP($U$460,'TAR FIN'!$A$1:$O$103,15,0))</f>
        <v>0</v>
      </c>
      <c r="Y460" s="6">
        <f ca="1">('TUSD BE'!$AM$20+'TUSD BF'!$AM$20+'TUSD CVA'!$AM$20)*1</f>
        <v>16.518304697547443</v>
      </c>
      <c r="Z460" s="6"/>
      <c r="AA460" s="6"/>
      <c r="AB460" s="6">
        <f>$K$460*$V$460</f>
        <v>7389.9</v>
      </c>
      <c r="AC460" s="6">
        <f>$M$460*$W$460</f>
        <v>0</v>
      </c>
      <c r="AD460" s="6">
        <f>$O$460*$X$460</f>
        <v>0</v>
      </c>
      <c r="AE460" s="6">
        <f ca="1">$K$460*$Y$460</f>
        <v>9828.3912950407284</v>
      </c>
      <c r="AF460" s="6">
        <f>$M$460*$Z$460</f>
        <v>0</v>
      </c>
      <c r="AG460" s="6">
        <f>$O$460*$AA$460</f>
        <v>0</v>
      </c>
    </row>
    <row r="461" spans="1:33" ht="11.25" customHeight="1" x14ac:dyDescent="0.25">
      <c r="A461" s="4" t="s">
        <v>28</v>
      </c>
      <c r="B461" s="4" t="s">
        <v>33</v>
      </c>
      <c r="C461" s="4" t="s">
        <v>34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44348</v>
      </c>
      <c r="J461" s="6">
        <v>40</v>
      </c>
      <c r="K461" s="6">
        <v>40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4" t="s">
        <v>26</v>
      </c>
      <c r="R461" s="4">
        <v>0</v>
      </c>
      <c r="S461" s="6">
        <v>18</v>
      </c>
      <c r="T461" s="6">
        <v>0</v>
      </c>
      <c r="U461" s="6">
        <v>0</v>
      </c>
      <c r="V461" s="6">
        <f>IF(ISERROR(VLOOKUP($S$461,'TAR FIN'!$A$1:$O$103,15,0)),0,VLOOKUP($S$461,'TAR FIN'!$A$1:$O$103,15,0))</f>
        <v>12.42</v>
      </c>
      <c r="W461" s="6">
        <f>IF(ISERROR(VLOOKUP($T$461,'TAR FIN'!$A$1:$O$103,15,0)),0,VLOOKUP($T$461,'TAR FIN'!$A$1:$O$103,15,0))</f>
        <v>0</v>
      </c>
      <c r="X461" s="6">
        <f>IF(ISERROR(VLOOKUP($U$461,'TAR FIN'!$A$1:$O$103,15,0)),0,VLOOKUP($U$461,'TAR FIN'!$A$1:$O$103,15,0))</f>
        <v>0</v>
      </c>
      <c r="Y461" s="6">
        <f ca="1">('TUSD BE'!$AM$20+'TUSD BF'!$AM$20+'TUSD CVA'!$AM$20)*1</f>
        <v>16.518304697547443</v>
      </c>
      <c r="Z461" s="6"/>
      <c r="AA461" s="6"/>
      <c r="AB461" s="6">
        <f>$K$461*$V$461</f>
        <v>496.8</v>
      </c>
      <c r="AC461" s="6">
        <f>$M$461*$W$461</f>
        <v>0</v>
      </c>
      <c r="AD461" s="6">
        <f>$O$461*$X$461</f>
        <v>0</v>
      </c>
      <c r="AE461" s="6">
        <f ca="1">$K$461*$Y$461</f>
        <v>660.73218790189776</v>
      </c>
      <c r="AF461" s="6">
        <f>$M$461*$Z$461</f>
        <v>0</v>
      </c>
      <c r="AG461" s="6">
        <f>$O$461*$AA$461</f>
        <v>0</v>
      </c>
    </row>
    <row r="462" spans="1:33" ht="11.25" customHeight="1" x14ac:dyDescent="0.25">
      <c r="A462" s="4" t="s">
        <v>21</v>
      </c>
      <c r="B462" s="4" t="s">
        <v>33</v>
      </c>
      <c r="C462" s="4" t="s">
        <v>34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591</v>
      </c>
      <c r="K462" s="6">
        <v>591</v>
      </c>
      <c r="L462" s="6">
        <v>0</v>
      </c>
      <c r="M462" s="6">
        <v>0</v>
      </c>
      <c r="N462" s="6">
        <v>0</v>
      </c>
      <c r="O462" s="6">
        <v>0</v>
      </c>
      <c r="P462" s="6">
        <v>9</v>
      </c>
      <c r="Q462" s="4" t="s">
        <v>26</v>
      </c>
      <c r="R462" s="4">
        <v>0</v>
      </c>
      <c r="S462" s="6">
        <v>18</v>
      </c>
      <c r="T462" s="6">
        <v>0</v>
      </c>
      <c r="U462" s="6">
        <v>0</v>
      </c>
      <c r="V462" s="6">
        <f>IF(ISERROR(VLOOKUP($S$462,'TAR FIN'!$A$1:$O$103,15,0)),0,VLOOKUP($S$462,'TAR FIN'!$A$1:$O$103,15,0))</f>
        <v>12.42</v>
      </c>
      <c r="W462" s="6">
        <f>IF(ISERROR(VLOOKUP($T$462,'TAR FIN'!$A$1:$O$103,15,0)),0,VLOOKUP($T$462,'TAR FIN'!$A$1:$O$103,15,0))</f>
        <v>0</v>
      </c>
      <c r="X462" s="6">
        <f>IF(ISERROR(VLOOKUP($U$462,'TAR FIN'!$A$1:$O$103,15,0)),0,VLOOKUP($U$462,'TAR FIN'!$A$1:$O$103,15,0))</f>
        <v>0</v>
      </c>
      <c r="Y462" s="6">
        <f ca="1">('TUSD BE'!$AM$20+'TUSD BF'!$AM$20+'TUSD CVA'!$AM$20)*1</f>
        <v>16.518304697547443</v>
      </c>
      <c r="Z462" s="6"/>
      <c r="AA462" s="6"/>
      <c r="AB462" s="6">
        <f>$K$462*$V$462</f>
        <v>7340.22</v>
      </c>
      <c r="AC462" s="6">
        <f>$M$462*$W$462</f>
        <v>0</v>
      </c>
      <c r="AD462" s="6">
        <f>$O$462*$X$462</f>
        <v>0</v>
      </c>
      <c r="AE462" s="6">
        <f ca="1">$K$462*$Y$462</f>
        <v>9762.3180762505381</v>
      </c>
      <c r="AF462" s="6">
        <f>$M$462*$Z$462</f>
        <v>0</v>
      </c>
      <c r="AG462" s="6">
        <f>$O$462*$AA$462</f>
        <v>0</v>
      </c>
    </row>
    <row r="463" spans="1:33" ht="11.25" customHeight="1" x14ac:dyDescent="0.25">
      <c r="A463" s="4" t="s">
        <v>28</v>
      </c>
      <c r="B463" s="4" t="s">
        <v>33</v>
      </c>
      <c r="C463" s="4" t="s">
        <v>34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40</v>
      </c>
      <c r="K463" s="6">
        <v>40</v>
      </c>
      <c r="L463" s="6">
        <v>0</v>
      </c>
      <c r="M463" s="6">
        <v>0</v>
      </c>
      <c r="N463" s="6">
        <v>0</v>
      </c>
      <c r="O463" s="6">
        <v>0</v>
      </c>
      <c r="P463" s="6">
        <v>1</v>
      </c>
      <c r="Q463" s="4" t="s">
        <v>26</v>
      </c>
      <c r="R463" s="4">
        <v>0</v>
      </c>
      <c r="S463" s="6">
        <v>18</v>
      </c>
      <c r="T463" s="6">
        <v>0</v>
      </c>
      <c r="U463" s="6">
        <v>0</v>
      </c>
      <c r="V463" s="6">
        <f>IF(ISERROR(VLOOKUP($S$463,'TAR FIN'!$A$1:$O$103,15,0)),0,VLOOKUP($S$463,'TAR FIN'!$A$1:$O$103,15,0))</f>
        <v>12.42</v>
      </c>
      <c r="W463" s="6">
        <f>IF(ISERROR(VLOOKUP($T$463,'TAR FIN'!$A$1:$O$103,15,0)),0,VLOOKUP($T$463,'TAR FIN'!$A$1:$O$103,15,0))</f>
        <v>0</v>
      </c>
      <c r="X463" s="6">
        <f>IF(ISERROR(VLOOKUP($U$463,'TAR FIN'!$A$1:$O$103,15,0)),0,VLOOKUP($U$463,'TAR FIN'!$A$1:$O$103,15,0))</f>
        <v>0</v>
      </c>
      <c r="Y463" s="6">
        <f ca="1">('TUSD BE'!$AM$20+'TUSD BF'!$AM$20+'TUSD CVA'!$AM$20)*1</f>
        <v>16.518304697547443</v>
      </c>
      <c r="Z463" s="6"/>
      <c r="AA463" s="6"/>
      <c r="AB463" s="6">
        <f>$K$463*$V$463</f>
        <v>496.8</v>
      </c>
      <c r="AC463" s="6">
        <f>$M$463*$W$463</f>
        <v>0</v>
      </c>
      <c r="AD463" s="6">
        <f>$O$463*$X$463</f>
        <v>0</v>
      </c>
      <c r="AE463" s="6">
        <f ca="1">$K$463*$Y$463</f>
        <v>660.73218790189776</v>
      </c>
      <c r="AF463" s="6">
        <f>$M$463*$Z$463</f>
        <v>0</v>
      </c>
      <c r="AG463" s="6">
        <f>$O$463*$AA$463</f>
        <v>0</v>
      </c>
    </row>
    <row r="464" spans="1:33" ht="11.25" customHeight="1" x14ac:dyDescent="0.25">
      <c r="A464" s="4" t="s">
        <v>21</v>
      </c>
      <c r="B464" s="4" t="s">
        <v>33</v>
      </c>
      <c r="C464" s="4" t="s">
        <v>34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577</v>
      </c>
      <c r="K464" s="6">
        <v>577</v>
      </c>
      <c r="L464" s="6">
        <v>0</v>
      </c>
      <c r="M464" s="6">
        <v>0</v>
      </c>
      <c r="N464" s="6">
        <v>0</v>
      </c>
      <c r="O464" s="6">
        <v>0</v>
      </c>
      <c r="P464" s="6">
        <v>9</v>
      </c>
      <c r="Q464" s="4" t="s">
        <v>26</v>
      </c>
      <c r="R464" s="4">
        <v>0</v>
      </c>
      <c r="S464" s="6">
        <v>18</v>
      </c>
      <c r="T464" s="6">
        <v>0</v>
      </c>
      <c r="U464" s="6">
        <v>0</v>
      </c>
      <c r="V464" s="6">
        <f>IF(ISERROR(VLOOKUP($S$464,'TAR FIN'!$A$1:$O$103,15,0)),0,VLOOKUP($S$464,'TAR FIN'!$A$1:$O$103,15,0))</f>
        <v>12.42</v>
      </c>
      <c r="W464" s="6">
        <f>IF(ISERROR(VLOOKUP($T$464,'TAR FIN'!$A$1:$O$103,15,0)),0,VLOOKUP($T$464,'TAR FIN'!$A$1:$O$103,15,0))</f>
        <v>0</v>
      </c>
      <c r="X464" s="6">
        <f>IF(ISERROR(VLOOKUP($U$464,'TAR FIN'!$A$1:$O$103,15,0)),0,VLOOKUP($U$464,'TAR FIN'!$A$1:$O$103,15,0))</f>
        <v>0</v>
      </c>
      <c r="Y464" s="6">
        <f ca="1">('TUSD BE'!$AM$20+'TUSD BF'!$AM$20+'TUSD CVA'!$AM$20)*1</f>
        <v>16.518304697547443</v>
      </c>
      <c r="Z464" s="6"/>
      <c r="AA464" s="6"/>
      <c r="AB464" s="6">
        <f>$K$464*$V$464</f>
        <v>7166.34</v>
      </c>
      <c r="AC464" s="6">
        <f>$M$464*$W$464</f>
        <v>0</v>
      </c>
      <c r="AD464" s="6">
        <f>$O$464*$X$464</f>
        <v>0</v>
      </c>
      <c r="AE464" s="6">
        <f ca="1">$K$464*$Y$464</f>
        <v>9531.0618104848745</v>
      </c>
      <c r="AF464" s="6">
        <f>$M$464*$Z$464</f>
        <v>0</v>
      </c>
      <c r="AG464" s="6">
        <f>$O$464*$AA$464</f>
        <v>0</v>
      </c>
    </row>
    <row r="465" spans="1:33" ht="11.25" customHeight="1" x14ac:dyDescent="0.25">
      <c r="A465" s="4" t="s">
        <v>28</v>
      </c>
      <c r="B465" s="4" t="s">
        <v>33</v>
      </c>
      <c r="C465" s="4" t="s">
        <v>34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40</v>
      </c>
      <c r="K465" s="6">
        <v>40</v>
      </c>
      <c r="L465" s="6">
        <v>0</v>
      </c>
      <c r="M465" s="6">
        <v>0</v>
      </c>
      <c r="N465" s="6">
        <v>0</v>
      </c>
      <c r="O465" s="6">
        <v>0</v>
      </c>
      <c r="P465" s="6">
        <v>1</v>
      </c>
      <c r="Q465" s="4" t="s">
        <v>26</v>
      </c>
      <c r="R465" s="4">
        <v>0</v>
      </c>
      <c r="S465" s="6">
        <v>18</v>
      </c>
      <c r="T465" s="6">
        <v>0</v>
      </c>
      <c r="U465" s="6">
        <v>0</v>
      </c>
      <c r="V465" s="6">
        <f>IF(ISERROR(VLOOKUP($S$465,'TAR FIN'!$A$1:$O$103,15,0)),0,VLOOKUP($S$465,'TAR FIN'!$A$1:$O$103,15,0))</f>
        <v>12.42</v>
      </c>
      <c r="W465" s="6">
        <f>IF(ISERROR(VLOOKUP($T$465,'TAR FIN'!$A$1:$O$103,15,0)),0,VLOOKUP($T$465,'TAR FIN'!$A$1:$O$103,15,0))</f>
        <v>0</v>
      </c>
      <c r="X465" s="6">
        <f>IF(ISERROR(VLOOKUP($U$465,'TAR FIN'!$A$1:$O$103,15,0)),0,VLOOKUP($U$465,'TAR FIN'!$A$1:$O$103,15,0))</f>
        <v>0</v>
      </c>
      <c r="Y465" s="6">
        <f ca="1">('TUSD BE'!$AM$20+'TUSD BF'!$AM$20+'TUSD CVA'!$AM$20)*1</f>
        <v>16.518304697547443</v>
      </c>
      <c r="Z465" s="6"/>
      <c r="AA465" s="6"/>
      <c r="AB465" s="6">
        <f>$K$465*$V$465</f>
        <v>496.8</v>
      </c>
      <c r="AC465" s="6">
        <f>$M$465*$W$465</f>
        <v>0</v>
      </c>
      <c r="AD465" s="6">
        <f>$O$465*$X$465</f>
        <v>0</v>
      </c>
      <c r="AE465" s="6">
        <f ca="1">$K$465*$Y$465</f>
        <v>660.73218790189776</v>
      </c>
      <c r="AF465" s="6">
        <f>$M$465*$Z$465</f>
        <v>0</v>
      </c>
      <c r="AG465" s="6">
        <f>$O$465*$AA$465</f>
        <v>0</v>
      </c>
    </row>
    <row r="466" spans="1:33" ht="11.25" customHeight="1" x14ac:dyDescent="0.25">
      <c r="A466" s="4" t="s">
        <v>21</v>
      </c>
      <c r="B466" s="4" t="s">
        <v>33</v>
      </c>
      <c r="C466" s="4" t="s">
        <v>34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44440</v>
      </c>
      <c r="J466" s="6">
        <v>575</v>
      </c>
      <c r="K466" s="6">
        <v>575</v>
      </c>
      <c r="L466" s="6">
        <v>0</v>
      </c>
      <c r="M466" s="6">
        <v>0</v>
      </c>
      <c r="N466" s="6">
        <v>0</v>
      </c>
      <c r="O466" s="6">
        <v>0</v>
      </c>
      <c r="P466" s="6">
        <v>9</v>
      </c>
      <c r="Q466" s="4" t="s">
        <v>26</v>
      </c>
      <c r="R466" s="4">
        <v>0</v>
      </c>
      <c r="S466" s="6">
        <v>18</v>
      </c>
      <c r="T466" s="6">
        <v>0</v>
      </c>
      <c r="U466" s="6">
        <v>0</v>
      </c>
      <c r="V466" s="6">
        <f>IF(ISERROR(VLOOKUP($S$466,'TAR FIN'!$A$1:$O$103,15,0)),0,VLOOKUP($S$466,'TAR FIN'!$A$1:$O$103,15,0))</f>
        <v>12.42</v>
      </c>
      <c r="W466" s="6">
        <f>IF(ISERROR(VLOOKUP($T$466,'TAR FIN'!$A$1:$O$103,15,0)),0,VLOOKUP($T$466,'TAR FIN'!$A$1:$O$103,15,0))</f>
        <v>0</v>
      </c>
      <c r="X466" s="6">
        <f>IF(ISERROR(VLOOKUP($U$466,'TAR FIN'!$A$1:$O$103,15,0)),0,VLOOKUP($U$466,'TAR FIN'!$A$1:$O$103,15,0))</f>
        <v>0</v>
      </c>
      <c r="Y466" s="6">
        <f ca="1">('TUSD BE'!$AM$20+'TUSD BF'!$AM$20+'TUSD CVA'!$AM$20)*1</f>
        <v>16.518304697547443</v>
      </c>
      <c r="Z466" s="6"/>
      <c r="AA466" s="6"/>
      <c r="AB466" s="6">
        <f>$K$466*$V$466</f>
        <v>7141.5</v>
      </c>
      <c r="AC466" s="6">
        <f>$M$466*$W$466</f>
        <v>0</v>
      </c>
      <c r="AD466" s="6">
        <f>$O$466*$X$466</f>
        <v>0</v>
      </c>
      <c r="AE466" s="6">
        <f ca="1">$K$466*$Y$466</f>
        <v>9498.0252010897802</v>
      </c>
      <c r="AF466" s="6">
        <f>$M$466*$Z$466</f>
        <v>0</v>
      </c>
      <c r="AG466" s="6">
        <f>$O$466*$AA$466</f>
        <v>0</v>
      </c>
    </row>
    <row r="467" spans="1:33" ht="11.25" customHeight="1" x14ac:dyDescent="0.25">
      <c r="A467" s="4" t="s">
        <v>28</v>
      </c>
      <c r="B467" s="4" t="s">
        <v>33</v>
      </c>
      <c r="C467" s="4" t="s">
        <v>34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44440</v>
      </c>
      <c r="J467" s="6">
        <v>40</v>
      </c>
      <c r="K467" s="6">
        <v>40</v>
      </c>
      <c r="L467" s="6">
        <v>0</v>
      </c>
      <c r="M467" s="6">
        <v>0</v>
      </c>
      <c r="N467" s="6">
        <v>0</v>
      </c>
      <c r="O467" s="6">
        <v>0</v>
      </c>
      <c r="P467" s="6">
        <v>1</v>
      </c>
      <c r="Q467" s="4" t="s">
        <v>26</v>
      </c>
      <c r="R467" s="4">
        <v>0</v>
      </c>
      <c r="S467" s="6">
        <v>18</v>
      </c>
      <c r="T467" s="6">
        <v>0</v>
      </c>
      <c r="U467" s="6">
        <v>0</v>
      </c>
      <c r="V467" s="6">
        <f>IF(ISERROR(VLOOKUP($S$467,'TAR FIN'!$A$1:$O$103,15,0)),0,VLOOKUP($S$467,'TAR FIN'!$A$1:$O$103,15,0))</f>
        <v>12.42</v>
      </c>
      <c r="W467" s="6">
        <f>IF(ISERROR(VLOOKUP($T$467,'TAR FIN'!$A$1:$O$103,15,0)),0,VLOOKUP($T$467,'TAR FIN'!$A$1:$O$103,15,0))</f>
        <v>0</v>
      </c>
      <c r="X467" s="6">
        <f>IF(ISERROR(VLOOKUP($U$467,'TAR FIN'!$A$1:$O$103,15,0)),0,VLOOKUP($U$467,'TAR FIN'!$A$1:$O$103,15,0))</f>
        <v>0</v>
      </c>
      <c r="Y467" s="6">
        <f ca="1">('TUSD BE'!$AM$20+'TUSD BF'!$AM$20+'TUSD CVA'!$AM$20)*1</f>
        <v>16.518304697547443</v>
      </c>
      <c r="Z467" s="6"/>
      <c r="AA467" s="6"/>
      <c r="AB467" s="6">
        <f>$K$467*$V$467</f>
        <v>496.8</v>
      </c>
      <c r="AC467" s="6">
        <f>$M$467*$W$467</f>
        <v>0</v>
      </c>
      <c r="AD467" s="6">
        <f>$O$467*$X$467</f>
        <v>0</v>
      </c>
      <c r="AE467" s="6">
        <f ca="1">$K$467*$Y$467</f>
        <v>660.73218790189776</v>
      </c>
      <c r="AF467" s="6">
        <f>$M$467*$Z$467</f>
        <v>0</v>
      </c>
      <c r="AG467" s="6">
        <f>$O$467*$AA$467</f>
        <v>0</v>
      </c>
    </row>
    <row r="468" spans="1:33" ht="11.25" customHeight="1" x14ac:dyDescent="0.25">
      <c r="A468" s="4" t="s">
        <v>21</v>
      </c>
      <c r="B468" s="4" t="s">
        <v>33</v>
      </c>
      <c r="C468" s="4" t="s">
        <v>34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44470</v>
      </c>
      <c r="J468" s="6">
        <v>575</v>
      </c>
      <c r="K468" s="6">
        <v>575</v>
      </c>
      <c r="L468" s="6">
        <v>0</v>
      </c>
      <c r="M468" s="6">
        <v>0</v>
      </c>
      <c r="N468" s="6">
        <v>0</v>
      </c>
      <c r="O468" s="6">
        <v>0</v>
      </c>
      <c r="P468" s="6">
        <v>9</v>
      </c>
      <c r="Q468" s="4" t="s">
        <v>26</v>
      </c>
      <c r="R468" s="4">
        <v>0</v>
      </c>
      <c r="S468" s="6">
        <v>18</v>
      </c>
      <c r="T468" s="6">
        <v>0</v>
      </c>
      <c r="U468" s="6">
        <v>0</v>
      </c>
      <c r="V468" s="6">
        <f>IF(ISERROR(VLOOKUP($S$468,'TAR FIN'!$A$1:$O$103,15,0)),0,VLOOKUP($S$468,'TAR FIN'!$A$1:$O$103,15,0))</f>
        <v>12.42</v>
      </c>
      <c r="W468" s="6">
        <f>IF(ISERROR(VLOOKUP($T$468,'TAR FIN'!$A$1:$O$103,15,0)),0,VLOOKUP($T$468,'TAR FIN'!$A$1:$O$103,15,0))</f>
        <v>0</v>
      </c>
      <c r="X468" s="6">
        <f>IF(ISERROR(VLOOKUP($U$468,'TAR FIN'!$A$1:$O$103,15,0)),0,VLOOKUP($U$468,'TAR FIN'!$A$1:$O$103,15,0))</f>
        <v>0</v>
      </c>
      <c r="Y468" s="6">
        <f ca="1">('TUSD BE'!$AM$20+'TUSD BF'!$AM$20+'TUSD CVA'!$AM$20)*1</f>
        <v>16.518304697547443</v>
      </c>
      <c r="Z468" s="6"/>
      <c r="AA468" s="6"/>
      <c r="AB468" s="6">
        <f>$K$468*$V$468</f>
        <v>7141.5</v>
      </c>
      <c r="AC468" s="6">
        <f>$M$468*$W$468</f>
        <v>0</v>
      </c>
      <c r="AD468" s="6">
        <f>$O$468*$X$468</f>
        <v>0</v>
      </c>
      <c r="AE468" s="6">
        <f ca="1">$K$468*$Y$468</f>
        <v>9498.0252010897802</v>
      </c>
      <c r="AF468" s="6">
        <f>$M$468*$Z$468</f>
        <v>0</v>
      </c>
      <c r="AG468" s="6">
        <f>$O$468*$AA$468</f>
        <v>0</v>
      </c>
    </row>
    <row r="469" spans="1:33" ht="11.25" customHeight="1" x14ac:dyDescent="0.25">
      <c r="A469" s="4" t="s">
        <v>28</v>
      </c>
      <c r="B469" s="4" t="s">
        <v>33</v>
      </c>
      <c r="C469" s="4" t="s">
        <v>34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40</v>
      </c>
      <c r="K469" s="6">
        <v>40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4" t="s">
        <v>26</v>
      </c>
      <c r="R469" s="4">
        <v>0</v>
      </c>
      <c r="S469" s="6">
        <v>18</v>
      </c>
      <c r="T469" s="6">
        <v>0</v>
      </c>
      <c r="U469" s="6">
        <v>0</v>
      </c>
      <c r="V469" s="6">
        <f>IF(ISERROR(VLOOKUP($S$469,'TAR FIN'!$A$1:$O$103,15,0)),0,VLOOKUP($S$469,'TAR FIN'!$A$1:$O$103,15,0))</f>
        <v>12.42</v>
      </c>
      <c r="W469" s="6">
        <f>IF(ISERROR(VLOOKUP($T$469,'TAR FIN'!$A$1:$O$103,15,0)),0,VLOOKUP($T$469,'TAR FIN'!$A$1:$O$103,15,0))</f>
        <v>0</v>
      </c>
      <c r="X469" s="6">
        <f>IF(ISERROR(VLOOKUP($U$469,'TAR FIN'!$A$1:$O$103,15,0)),0,VLOOKUP($U$469,'TAR FIN'!$A$1:$O$103,15,0))</f>
        <v>0</v>
      </c>
      <c r="Y469" s="6">
        <f ca="1">('TUSD BE'!$AM$20+'TUSD BF'!$AM$20+'TUSD CVA'!$AM$20)*1</f>
        <v>16.518304697547443</v>
      </c>
      <c r="Z469" s="6"/>
      <c r="AA469" s="6"/>
      <c r="AB469" s="6">
        <f>$K$469*$V$469</f>
        <v>496.8</v>
      </c>
      <c r="AC469" s="6">
        <f>$M$469*$W$469</f>
        <v>0</v>
      </c>
      <c r="AD469" s="6">
        <f>$O$469*$X$469</f>
        <v>0</v>
      </c>
      <c r="AE469" s="6">
        <f ca="1">$K$469*$Y$469</f>
        <v>660.73218790189776</v>
      </c>
      <c r="AF469" s="6">
        <f>$M$469*$Z$469</f>
        <v>0</v>
      </c>
      <c r="AG469" s="6">
        <f>$O$469*$AA$469</f>
        <v>0</v>
      </c>
    </row>
    <row r="470" spans="1:33" ht="11.25" customHeight="1" x14ac:dyDescent="0.25">
      <c r="A470" s="4" t="s">
        <v>21</v>
      </c>
      <c r="B470" s="4" t="s">
        <v>33</v>
      </c>
      <c r="C470" s="4" t="s">
        <v>34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588</v>
      </c>
      <c r="K470" s="6">
        <v>588</v>
      </c>
      <c r="L470" s="6">
        <v>0</v>
      </c>
      <c r="M470" s="6">
        <v>0</v>
      </c>
      <c r="N470" s="6">
        <v>0</v>
      </c>
      <c r="O470" s="6">
        <v>0</v>
      </c>
      <c r="P470" s="6">
        <v>9</v>
      </c>
      <c r="Q470" s="4" t="s">
        <v>26</v>
      </c>
      <c r="R470" s="4">
        <v>0</v>
      </c>
      <c r="S470" s="6">
        <v>18</v>
      </c>
      <c r="T470" s="6">
        <v>0</v>
      </c>
      <c r="U470" s="6">
        <v>0</v>
      </c>
      <c r="V470" s="6">
        <f>IF(ISERROR(VLOOKUP($S$470,'TAR FIN'!$A$1:$O$103,15,0)),0,VLOOKUP($S$470,'TAR FIN'!$A$1:$O$103,15,0))</f>
        <v>12.42</v>
      </c>
      <c r="W470" s="6">
        <f>IF(ISERROR(VLOOKUP($T$470,'TAR FIN'!$A$1:$O$103,15,0)),0,VLOOKUP($T$470,'TAR FIN'!$A$1:$O$103,15,0))</f>
        <v>0</v>
      </c>
      <c r="X470" s="6">
        <f>IF(ISERROR(VLOOKUP($U$470,'TAR FIN'!$A$1:$O$103,15,0)),0,VLOOKUP($U$470,'TAR FIN'!$A$1:$O$103,15,0))</f>
        <v>0</v>
      </c>
      <c r="Y470" s="6">
        <f ca="1">('TUSD BE'!$AM$20+'TUSD BF'!$AM$20+'TUSD CVA'!$AM$20)*1</f>
        <v>16.518304697547443</v>
      </c>
      <c r="Z470" s="6"/>
      <c r="AA470" s="6"/>
      <c r="AB470" s="6">
        <f>$K$470*$V$470</f>
        <v>7302.96</v>
      </c>
      <c r="AC470" s="6">
        <f>$M$470*$W$470</f>
        <v>0</v>
      </c>
      <c r="AD470" s="6">
        <f>$O$470*$X$470</f>
        <v>0</v>
      </c>
      <c r="AE470" s="6">
        <f ca="1">$K$470*$Y$470</f>
        <v>9712.7631621578967</v>
      </c>
      <c r="AF470" s="6">
        <f>$M$470*$Z$470</f>
        <v>0</v>
      </c>
      <c r="AG470" s="6">
        <f>$O$470*$AA$470</f>
        <v>0</v>
      </c>
    </row>
    <row r="471" spans="1:33" ht="11.25" customHeight="1" x14ac:dyDescent="0.25">
      <c r="A471" s="4" t="s">
        <v>28</v>
      </c>
      <c r="B471" s="4" t="s">
        <v>33</v>
      </c>
      <c r="C471" s="4" t="s">
        <v>34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44501</v>
      </c>
      <c r="J471" s="6">
        <v>40</v>
      </c>
      <c r="K471" s="6">
        <v>40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26</v>
      </c>
      <c r="R471" s="4">
        <v>0</v>
      </c>
      <c r="S471" s="6">
        <v>18</v>
      </c>
      <c r="T471" s="6">
        <v>0</v>
      </c>
      <c r="U471" s="6">
        <v>0</v>
      </c>
      <c r="V471" s="6">
        <f>IF(ISERROR(VLOOKUP($S$471,'TAR FIN'!$A$1:$O$103,15,0)),0,VLOOKUP($S$471,'TAR FIN'!$A$1:$O$103,15,0))</f>
        <v>12.42</v>
      </c>
      <c r="W471" s="6">
        <f>IF(ISERROR(VLOOKUP($T$471,'TAR FIN'!$A$1:$O$103,15,0)),0,VLOOKUP($T$471,'TAR FIN'!$A$1:$O$103,15,0))</f>
        <v>0</v>
      </c>
      <c r="X471" s="6">
        <f>IF(ISERROR(VLOOKUP($U$471,'TAR FIN'!$A$1:$O$103,15,0)),0,VLOOKUP($U$471,'TAR FIN'!$A$1:$O$103,15,0))</f>
        <v>0</v>
      </c>
      <c r="Y471" s="6">
        <f ca="1">('TUSD BE'!$AM$20+'TUSD BF'!$AM$20+'TUSD CVA'!$AM$20)*1</f>
        <v>16.518304697547443</v>
      </c>
      <c r="Z471" s="6"/>
      <c r="AA471" s="6"/>
      <c r="AB471" s="6">
        <f>$K$471*$V$471</f>
        <v>496.8</v>
      </c>
      <c r="AC471" s="6">
        <f>$M$471*$W$471</f>
        <v>0</v>
      </c>
      <c r="AD471" s="6">
        <f>$O$471*$X$471</f>
        <v>0</v>
      </c>
      <c r="AE471" s="6">
        <f ca="1">$K$471*$Y$471</f>
        <v>660.73218790189776</v>
      </c>
      <c r="AF471" s="6">
        <f>$M$471*$Z$471</f>
        <v>0</v>
      </c>
      <c r="AG471" s="6">
        <f>$O$471*$AA$471</f>
        <v>0</v>
      </c>
    </row>
    <row r="472" spans="1:33" ht="11.25" customHeight="1" x14ac:dyDescent="0.25">
      <c r="A472" s="4" t="s">
        <v>21</v>
      </c>
      <c r="B472" s="4" t="s">
        <v>33</v>
      </c>
      <c r="C472" s="4" t="s">
        <v>34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44531</v>
      </c>
      <c r="J472" s="6">
        <v>607</v>
      </c>
      <c r="K472" s="6">
        <v>607</v>
      </c>
      <c r="L472" s="6">
        <v>0</v>
      </c>
      <c r="M472" s="6">
        <v>0</v>
      </c>
      <c r="N472" s="6">
        <v>0</v>
      </c>
      <c r="O472" s="6">
        <v>0</v>
      </c>
      <c r="P472" s="6">
        <v>9</v>
      </c>
      <c r="Q472" s="4" t="s">
        <v>26</v>
      </c>
      <c r="R472" s="4">
        <v>0</v>
      </c>
      <c r="S472" s="6">
        <v>18</v>
      </c>
      <c r="T472" s="6">
        <v>0</v>
      </c>
      <c r="U472" s="6">
        <v>0</v>
      </c>
      <c r="V472" s="6">
        <f>IF(ISERROR(VLOOKUP($S$472,'TAR FIN'!$A$1:$O$103,15,0)),0,VLOOKUP($S$472,'TAR FIN'!$A$1:$O$103,15,0))</f>
        <v>12.42</v>
      </c>
      <c r="W472" s="6">
        <f>IF(ISERROR(VLOOKUP($T$472,'TAR FIN'!$A$1:$O$103,15,0)),0,VLOOKUP($T$472,'TAR FIN'!$A$1:$O$103,15,0))</f>
        <v>0</v>
      </c>
      <c r="X472" s="6">
        <f>IF(ISERROR(VLOOKUP($U$472,'TAR FIN'!$A$1:$O$103,15,0)),0,VLOOKUP($U$472,'TAR FIN'!$A$1:$O$103,15,0))</f>
        <v>0</v>
      </c>
      <c r="Y472" s="6">
        <f ca="1">('TUSD BE'!$AM$20+'TUSD BF'!$AM$20+'TUSD CVA'!$AM$20)*1</f>
        <v>16.518304697547443</v>
      </c>
      <c r="Z472" s="6"/>
      <c r="AA472" s="6"/>
      <c r="AB472" s="6">
        <f>$K$472*$V$472</f>
        <v>7538.94</v>
      </c>
      <c r="AC472" s="6">
        <f>$M$472*$W$472</f>
        <v>0</v>
      </c>
      <c r="AD472" s="6">
        <f>$O$472*$X$472</f>
        <v>0</v>
      </c>
      <c r="AE472" s="6">
        <f ca="1">$K$472*$Y$472</f>
        <v>10026.610951411298</v>
      </c>
      <c r="AF472" s="6">
        <f>$M$472*$Z$472</f>
        <v>0</v>
      </c>
      <c r="AG472" s="6">
        <f>$O$472*$AA$472</f>
        <v>0</v>
      </c>
    </row>
    <row r="473" spans="1:33" ht="11.25" customHeight="1" x14ac:dyDescent="0.25">
      <c r="A473" s="4" t="s">
        <v>28</v>
      </c>
      <c r="B473" s="4" t="s">
        <v>33</v>
      </c>
      <c r="C473" s="4" t="s">
        <v>34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40</v>
      </c>
      <c r="K473" s="6">
        <v>40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4" t="s">
        <v>26</v>
      </c>
      <c r="R473" s="4">
        <v>0</v>
      </c>
      <c r="S473" s="6">
        <v>18</v>
      </c>
      <c r="T473" s="6">
        <v>0</v>
      </c>
      <c r="U473" s="6">
        <v>0</v>
      </c>
      <c r="V473" s="6">
        <f>IF(ISERROR(VLOOKUP($S$473,'TAR FIN'!$A$1:$O$103,15,0)),0,VLOOKUP($S$473,'TAR FIN'!$A$1:$O$103,15,0))</f>
        <v>12.42</v>
      </c>
      <c r="W473" s="6">
        <f>IF(ISERROR(VLOOKUP($T$473,'TAR FIN'!$A$1:$O$103,15,0)),0,VLOOKUP($T$473,'TAR FIN'!$A$1:$O$103,15,0))</f>
        <v>0</v>
      </c>
      <c r="X473" s="6">
        <f>IF(ISERROR(VLOOKUP($U$473,'TAR FIN'!$A$1:$O$103,15,0)),0,VLOOKUP($U$473,'TAR FIN'!$A$1:$O$103,15,0))</f>
        <v>0</v>
      </c>
      <c r="Y473" s="6">
        <f ca="1">('TUSD BE'!$AM$20+'TUSD BF'!$AM$20+'TUSD CVA'!$AM$20)*1</f>
        <v>16.518304697547443</v>
      </c>
      <c r="Z473" s="6"/>
      <c r="AA473" s="6"/>
      <c r="AB473" s="6">
        <f>$K$473*$V$473</f>
        <v>496.8</v>
      </c>
      <c r="AC473" s="6">
        <f>$M$473*$W$473</f>
        <v>0</v>
      </c>
      <c r="AD473" s="6">
        <f>$O$473*$X$473</f>
        <v>0</v>
      </c>
      <c r="AE473" s="6">
        <f ca="1">$K$473*$Y$473</f>
        <v>660.73218790189776</v>
      </c>
      <c r="AF473" s="6">
        <f>$M$473*$Z$473</f>
        <v>0</v>
      </c>
      <c r="AG473" s="6">
        <f>$O$473*$AA$473</f>
        <v>0</v>
      </c>
    </row>
    <row r="474" spans="1:33" ht="11.25" customHeight="1" x14ac:dyDescent="0.25">
      <c r="A474" s="4" t="s">
        <v>21</v>
      </c>
      <c r="B474" s="4" t="s">
        <v>33</v>
      </c>
      <c r="C474" s="4" t="s">
        <v>34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44562</v>
      </c>
      <c r="J474" s="6">
        <v>599</v>
      </c>
      <c r="K474" s="6">
        <v>599</v>
      </c>
      <c r="L474" s="6">
        <v>0</v>
      </c>
      <c r="M474" s="6">
        <v>0</v>
      </c>
      <c r="N474" s="6">
        <v>0</v>
      </c>
      <c r="O474" s="6">
        <v>0</v>
      </c>
      <c r="P474" s="6">
        <v>9</v>
      </c>
      <c r="Q474" s="4" t="s">
        <v>26</v>
      </c>
      <c r="R474" s="4">
        <v>0</v>
      </c>
      <c r="S474" s="6">
        <v>18</v>
      </c>
      <c r="T474" s="6">
        <v>0</v>
      </c>
      <c r="U474" s="6">
        <v>0</v>
      </c>
      <c r="V474" s="6">
        <f>IF(ISERROR(VLOOKUP($S$474,'TAR FIN'!$A$1:$O$103,15,0)),0,VLOOKUP($S$474,'TAR FIN'!$A$1:$O$103,15,0))</f>
        <v>12.42</v>
      </c>
      <c r="W474" s="6">
        <f>IF(ISERROR(VLOOKUP($T$474,'TAR FIN'!$A$1:$O$103,15,0)),0,VLOOKUP($T$474,'TAR FIN'!$A$1:$O$103,15,0))</f>
        <v>0</v>
      </c>
      <c r="X474" s="6">
        <f>IF(ISERROR(VLOOKUP($U$474,'TAR FIN'!$A$1:$O$103,15,0)),0,VLOOKUP($U$474,'TAR FIN'!$A$1:$O$103,15,0))</f>
        <v>0</v>
      </c>
      <c r="Y474" s="6">
        <f ca="1">('TUSD BE'!$AM$20+'TUSD BF'!$AM$20+'TUSD CVA'!$AM$20)*1</f>
        <v>16.518304697547443</v>
      </c>
      <c r="Z474" s="6"/>
      <c r="AA474" s="6"/>
      <c r="AB474" s="6">
        <f>$K$474*$V$474</f>
        <v>7439.58</v>
      </c>
      <c r="AC474" s="6">
        <f>$M$474*$W$474</f>
        <v>0</v>
      </c>
      <c r="AD474" s="6">
        <f>$O$474*$X$474</f>
        <v>0</v>
      </c>
      <c r="AE474" s="6">
        <f ca="1">$K$474*$Y$474</f>
        <v>9894.4645138309188</v>
      </c>
      <c r="AF474" s="6">
        <f>$M$474*$Z$474</f>
        <v>0</v>
      </c>
      <c r="AG474" s="6">
        <f>$O$474*$AA$474</f>
        <v>0</v>
      </c>
    </row>
    <row r="475" spans="1:33" ht="11.25" customHeight="1" x14ac:dyDescent="0.25">
      <c r="A475" s="4" t="s">
        <v>28</v>
      </c>
      <c r="B475" s="4" t="s">
        <v>33</v>
      </c>
      <c r="C475" s="4" t="s">
        <v>34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44562</v>
      </c>
      <c r="J475" s="6">
        <v>40</v>
      </c>
      <c r="K475" s="6">
        <v>40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4" t="s">
        <v>26</v>
      </c>
      <c r="R475" s="4">
        <v>0</v>
      </c>
      <c r="S475" s="6">
        <v>18</v>
      </c>
      <c r="T475" s="6">
        <v>0</v>
      </c>
      <c r="U475" s="6">
        <v>0</v>
      </c>
      <c r="V475" s="6">
        <f>IF(ISERROR(VLOOKUP($S$475,'TAR FIN'!$A$1:$O$103,15,0)),0,VLOOKUP($S$475,'TAR FIN'!$A$1:$O$103,15,0))</f>
        <v>12.42</v>
      </c>
      <c r="W475" s="6">
        <f>IF(ISERROR(VLOOKUP($T$475,'TAR FIN'!$A$1:$O$103,15,0)),0,VLOOKUP($T$475,'TAR FIN'!$A$1:$O$103,15,0))</f>
        <v>0</v>
      </c>
      <c r="X475" s="6">
        <f>IF(ISERROR(VLOOKUP($U$475,'TAR FIN'!$A$1:$O$103,15,0)),0,VLOOKUP($U$475,'TAR FIN'!$A$1:$O$103,15,0))</f>
        <v>0</v>
      </c>
      <c r="Y475" s="6">
        <f ca="1">('TUSD BE'!$AM$20+'TUSD BF'!$AM$20+'TUSD CVA'!$AM$20)*1</f>
        <v>16.518304697547443</v>
      </c>
      <c r="Z475" s="6"/>
      <c r="AA475" s="6"/>
      <c r="AB475" s="6">
        <f>$K$475*$V$475</f>
        <v>496.8</v>
      </c>
      <c r="AC475" s="6">
        <f>$M$475*$W$475</f>
        <v>0</v>
      </c>
      <c r="AD475" s="6">
        <f>$O$475*$X$475</f>
        <v>0</v>
      </c>
      <c r="AE475" s="6">
        <f ca="1">$K$475*$Y$475</f>
        <v>660.73218790189776</v>
      </c>
      <c r="AF475" s="6">
        <f>$M$475*$Z$475</f>
        <v>0</v>
      </c>
      <c r="AG475" s="6">
        <f>$O$475*$AA$475</f>
        <v>0</v>
      </c>
    </row>
    <row r="476" spans="1:33" ht="11.25" customHeight="1" x14ac:dyDescent="0.25">
      <c r="A476" s="4" t="s">
        <v>21</v>
      </c>
      <c r="B476" s="4" t="s">
        <v>33</v>
      </c>
      <c r="C476" s="4" t="s">
        <v>34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44593</v>
      </c>
      <c r="J476" s="6">
        <v>610</v>
      </c>
      <c r="K476" s="6">
        <v>610</v>
      </c>
      <c r="L476" s="6">
        <v>0</v>
      </c>
      <c r="M476" s="6">
        <v>0</v>
      </c>
      <c r="N476" s="6">
        <v>0</v>
      </c>
      <c r="O476" s="6">
        <v>0</v>
      </c>
      <c r="P476" s="6">
        <v>9</v>
      </c>
      <c r="Q476" s="4" t="s">
        <v>26</v>
      </c>
      <c r="R476" s="4">
        <v>0</v>
      </c>
      <c r="S476" s="6">
        <v>18</v>
      </c>
      <c r="T476" s="6">
        <v>0</v>
      </c>
      <c r="U476" s="6">
        <v>0</v>
      </c>
      <c r="V476" s="6">
        <f>IF(ISERROR(VLOOKUP($S$476,'TAR FIN'!$A$1:$O$103,15,0)),0,VLOOKUP($S$476,'TAR FIN'!$A$1:$O$103,15,0))</f>
        <v>12.42</v>
      </c>
      <c r="W476" s="6">
        <f>IF(ISERROR(VLOOKUP($T$476,'TAR FIN'!$A$1:$O$103,15,0)),0,VLOOKUP($T$476,'TAR FIN'!$A$1:$O$103,15,0))</f>
        <v>0</v>
      </c>
      <c r="X476" s="6">
        <f>IF(ISERROR(VLOOKUP($U$476,'TAR FIN'!$A$1:$O$103,15,0)),0,VLOOKUP($U$476,'TAR FIN'!$A$1:$O$103,15,0))</f>
        <v>0</v>
      </c>
      <c r="Y476" s="6">
        <f ca="1">('TUSD BE'!$AM$20+'TUSD BF'!$AM$20+'TUSD CVA'!$AM$20)*1</f>
        <v>16.518304697547443</v>
      </c>
      <c r="Z476" s="6"/>
      <c r="AA476" s="6"/>
      <c r="AB476" s="6">
        <f>$K$476*$V$476</f>
        <v>7576.2</v>
      </c>
      <c r="AC476" s="6">
        <f>$M$476*$W$476</f>
        <v>0</v>
      </c>
      <c r="AD476" s="6">
        <f>$O$476*$X$476</f>
        <v>0</v>
      </c>
      <c r="AE476" s="6">
        <f ca="1">$K$476*$Y$476</f>
        <v>10076.165865503939</v>
      </c>
      <c r="AF476" s="6">
        <f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33</v>
      </c>
      <c r="C477" s="4" t="s">
        <v>34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44621</v>
      </c>
      <c r="J477" s="6">
        <v>627</v>
      </c>
      <c r="K477" s="6">
        <v>627</v>
      </c>
      <c r="L477" s="6">
        <v>0</v>
      </c>
      <c r="M477" s="6">
        <v>0</v>
      </c>
      <c r="N477" s="6">
        <v>0</v>
      </c>
      <c r="O477" s="6">
        <v>0</v>
      </c>
      <c r="P477" s="6">
        <v>9</v>
      </c>
      <c r="Q477" s="4" t="s">
        <v>26</v>
      </c>
      <c r="R477" s="4">
        <v>0</v>
      </c>
      <c r="S477" s="6">
        <v>18</v>
      </c>
      <c r="T477" s="6">
        <v>0</v>
      </c>
      <c r="U477" s="6">
        <v>0</v>
      </c>
      <c r="V477" s="6">
        <f>IF(ISERROR(VLOOKUP($S$477,'TAR FIN'!$A$1:$O$103,15,0)),0,VLOOKUP($S$477,'TAR FIN'!$A$1:$O$103,15,0))</f>
        <v>12.42</v>
      </c>
      <c r="W477" s="6">
        <f>IF(ISERROR(VLOOKUP($T$477,'TAR FIN'!$A$1:$O$103,15,0)),0,VLOOKUP($T$477,'TAR FIN'!$A$1:$O$103,15,0))</f>
        <v>0</v>
      </c>
      <c r="X477" s="6">
        <f>IF(ISERROR(VLOOKUP($U$477,'TAR FIN'!$A$1:$O$103,15,0)),0,VLOOKUP($U$477,'TAR FIN'!$A$1:$O$103,15,0))</f>
        <v>0</v>
      </c>
      <c r="Y477" s="6">
        <f ca="1">('TUSD BE'!$AM$20+'TUSD BF'!$AM$20+'TUSD CVA'!$AM$20)*1</f>
        <v>16.518304697547443</v>
      </c>
      <c r="Z477" s="6"/>
      <c r="AA477" s="6"/>
      <c r="AB477" s="6">
        <f>$K$477*$V$477</f>
        <v>7787.34</v>
      </c>
      <c r="AC477" s="6">
        <f>$M$477*$W$477</f>
        <v>0</v>
      </c>
      <c r="AD477" s="6">
        <f>$O$477*$X$477</f>
        <v>0</v>
      </c>
      <c r="AE477" s="6">
        <f ca="1">$K$477*$Y$477</f>
        <v>10356.977045362246</v>
      </c>
      <c r="AF477" s="6">
        <f>$M$477*$Z$477</f>
        <v>0</v>
      </c>
      <c r="AG477" s="6">
        <f>$O$477*$AA$477</f>
        <v>0</v>
      </c>
    </row>
    <row r="478" spans="1:33" ht="11.25" customHeight="1" x14ac:dyDescent="0.25">
      <c r="A478" s="4" t="s">
        <v>28</v>
      </c>
      <c r="B478" s="4" t="s">
        <v>33</v>
      </c>
      <c r="C478" s="4" t="s">
        <v>34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44621</v>
      </c>
      <c r="J478" s="6">
        <v>42</v>
      </c>
      <c r="K478" s="6">
        <v>42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6">
        <v>18</v>
      </c>
      <c r="T478" s="6">
        <v>0</v>
      </c>
      <c r="U478" s="6">
        <v>0</v>
      </c>
      <c r="V478" s="6">
        <f>IF(ISERROR(VLOOKUP($S$478,'TAR FIN'!$A$1:$O$103,15,0)),0,VLOOKUP($S$478,'TAR FIN'!$A$1:$O$103,15,0))</f>
        <v>12.42</v>
      </c>
      <c r="W478" s="6">
        <f>IF(ISERROR(VLOOKUP($T$478,'TAR FIN'!$A$1:$O$103,15,0)),0,VLOOKUP($T$478,'TAR FIN'!$A$1:$O$103,15,0))</f>
        <v>0</v>
      </c>
      <c r="X478" s="6">
        <f>IF(ISERROR(VLOOKUP($U$478,'TAR FIN'!$A$1:$O$103,15,0)),0,VLOOKUP($U$478,'TAR FIN'!$A$1:$O$103,15,0))</f>
        <v>0</v>
      </c>
      <c r="Y478" s="6">
        <f ca="1">('TUSD BE'!$AM$20+'TUSD BF'!$AM$20+'TUSD CVA'!$AM$20)*1</f>
        <v>16.518304697547443</v>
      </c>
      <c r="Z478" s="6"/>
      <c r="AA478" s="6"/>
      <c r="AB478" s="6">
        <f>$K$478*$V$478</f>
        <v>521.64</v>
      </c>
      <c r="AC478" s="6">
        <f>$M$478*$W$478</f>
        <v>0</v>
      </c>
      <c r="AD478" s="6">
        <f>$O$478*$X$478</f>
        <v>0</v>
      </c>
      <c r="AE478" s="6">
        <f ca="1">$K$478*$Y$478</f>
        <v>693.7687972969926</v>
      </c>
      <c r="AF478" s="6">
        <f>$M$478*$Z$478</f>
        <v>0</v>
      </c>
      <c r="AG478" s="6">
        <f>$O$478*$AA$478</f>
        <v>0</v>
      </c>
    </row>
    <row r="479" spans="1:33" ht="11.25" customHeight="1" x14ac:dyDescent="0.25">
      <c r="A479" s="4" t="s">
        <v>21</v>
      </c>
      <c r="B479" s="4" t="s">
        <v>33</v>
      </c>
      <c r="C479" s="4" t="s">
        <v>34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44652</v>
      </c>
      <c r="J479" s="6">
        <v>575</v>
      </c>
      <c r="K479" s="6">
        <v>575</v>
      </c>
      <c r="L479" s="6">
        <v>0</v>
      </c>
      <c r="M479" s="6">
        <v>0</v>
      </c>
      <c r="N479" s="6">
        <v>0</v>
      </c>
      <c r="O479" s="6">
        <v>0</v>
      </c>
      <c r="P479" s="6">
        <v>9</v>
      </c>
      <c r="Q479" s="4" t="s">
        <v>26</v>
      </c>
      <c r="R479" s="4">
        <v>0</v>
      </c>
      <c r="S479" s="6">
        <v>18</v>
      </c>
      <c r="T479" s="6">
        <v>0</v>
      </c>
      <c r="U479" s="6">
        <v>0</v>
      </c>
      <c r="V479" s="6">
        <f>IF(ISERROR(VLOOKUP($S$479,'TAR FIN'!$A$1:$O$103,15,0)),0,VLOOKUP($S$479,'TAR FIN'!$A$1:$O$103,15,0))</f>
        <v>12.42</v>
      </c>
      <c r="W479" s="6">
        <f>IF(ISERROR(VLOOKUP($T$479,'TAR FIN'!$A$1:$O$103,15,0)),0,VLOOKUP($T$479,'TAR FIN'!$A$1:$O$103,15,0))</f>
        <v>0</v>
      </c>
      <c r="X479" s="6">
        <f>IF(ISERROR(VLOOKUP($U$479,'TAR FIN'!$A$1:$O$103,15,0)),0,VLOOKUP($U$479,'TAR FIN'!$A$1:$O$103,15,0))</f>
        <v>0</v>
      </c>
      <c r="Y479" s="6">
        <f ca="1">('TUSD BE'!$AM$20+'TUSD BF'!$AM$20+'TUSD CVA'!$AM$20)*1</f>
        <v>16.518304697547443</v>
      </c>
      <c r="Z479" s="6"/>
      <c r="AA479" s="6"/>
      <c r="AB479" s="6">
        <f>$K$479*$V$479</f>
        <v>7141.5</v>
      </c>
      <c r="AC479" s="6">
        <f>$M$479*$W$479</f>
        <v>0</v>
      </c>
      <c r="AD479" s="6">
        <f>$O$479*$X$479</f>
        <v>0</v>
      </c>
      <c r="AE479" s="6">
        <f ca="1">$K$479*$Y$479</f>
        <v>9498.0252010897802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28</v>
      </c>
      <c r="B480" s="4" t="s">
        <v>33</v>
      </c>
      <c r="C480" s="4" t="s">
        <v>34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40</v>
      </c>
      <c r="K480" s="6">
        <v>40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6">
        <v>18</v>
      </c>
      <c r="T480" s="6">
        <v>0</v>
      </c>
      <c r="U480" s="6">
        <v>0</v>
      </c>
      <c r="V480" s="6">
        <f>IF(ISERROR(VLOOKUP($S$480,'TAR FIN'!$A$1:$O$103,15,0)),0,VLOOKUP($S$480,'TAR FIN'!$A$1:$O$103,15,0))</f>
        <v>12.42</v>
      </c>
      <c r="W480" s="6">
        <f>IF(ISERROR(VLOOKUP($T$480,'TAR FIN'!$A$1:$O$103,15,0)),0,VLOOKUP($T$480,'TAR FIN'!$A$1:$O$103,15,0))</f>
        <v>0</v>
      </c>
      <c r="X480" s="6">
        <f>IF(ISERROR(VLOOKUP($U$480,'TAR FIN'!$A$1:$O$103,15,0)),0,VLOOKUP($U$480,'TAR FIN'!$A$1:$O$103,15,0))</f>
        <v>0</v>
      </c>
      <c r="Y480" s="6">
        <f ca="1">('TUSD BE'!$AM$20+'TUSD BF'!$AM$20+'TUSD CVA'!$AM$20)*1</f>
        <v>16.518304697547443</v>
      </c>
      <c r="Z480" s="6"/>
      <c r="AA480" s="6"/>
      <c r="AB480" s="6">
        <f>$K$480*$V$480</f>
        <v>496.8</v>
      </c>
      <c r="AC480" s="6">
        <f>$M$480*$W$480</f>
        <v>0</v>
      </c>
      <c r="AD480" s="6">
        <f>$O$480*$X$480</f>
        <v>0</v>
      </c>
      <c r="AE480" s="6">
        <f ca="1">$K$480*$Y$480</f>
        <v>660.73218790189776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33</v>
      </c>
      <c r="C481" s="4" t="s">
        <v>34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579</v>
      </c>
      <c r="K481" s="6">
        <v>579</v>
      </c>
      <c r="L481" s="6">
        <v>0</v>
      </c>
      <c r="M481" s="6">
        <v>0</v>
      </c>
      <c r="N481" s="6">
        <v>0</v>
      </c>
      <c r="O481" s="6">
        <v>0</v>
      </c>
      <c r="P481" s="6">
        <v>9</v>
      </c>
      <c r="Q481" s="4" t="s">
        <v>26</v>
      </c>
      <c r="R481" s="4">
        <v>0</v>
      </c>
      <c r="S481" s="6">
        <v>18</v>
      </c>
      <c r="T481" s="6">
        <v>0</v>
      </c>
      <c r="U481" s="6">
        <v>0</v>
      </c>
      <c r="V481" s="6">
        <f>IF(ISERROR(VLOOKUP($S$481,'TAR FIN'!$A$1:$O$103,15,0)),0,VLOOKUP($S$481,'TAR FIN'!$A$1:$O$103,15,0))</f>
        <v>12.42</v>
      </c>
      <c r="W481" s="6">
        <f>IF(ISERROR(VLOOKUP($T$481,'TAR FIN'!$A$1:$O$103,15,0)),0,VLOOKUP($T$481,'TAR FIN'!$A$1:$O$103,15,0))</f>
        <v>0</v>
      </c>
      <c r="X481" s="6">
        <f>IF(ISERROR(VLOOKUP($U$481,'TAR FIN'!$A$1:$O$103,15,0)),0,VLOOKUP($U$481,'TAR FIN'!$A$1:$O$103,15,0))</f>
        <v>0</v>
      </c>
      <c r="Y481" s="6">
        <f ca="1">('TUSD BE'!$AM$20+'TUSD BF'!$AM$20+'TUSD CVA'!$AM$20)*1</f>
        <v>16.518304697547443</v>
      </c>
      <c r="Z481" s="6"/>
      <c r="AA481" s="6"/>
      <c r="AB481" s="6">
        <f>$K$481*$V$481</f>
        <v>7191.18</v>
      </c>
      <c r="AC481" s="6">
        <f>$M$481*$W$481</f>
        <v>0</v>
      </c>
      <c r="AD481" s="6">
        <f>$O$481*$X$481</f>
        <v>0</v>
      </c>
      <c r="AE481" s="6">
        <f ca="1">$K$481*$Y$481</f>
        <v>9564.0984198799688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28</v>
      </c>
      <c r="B482" s="4" t="s">
        <v>33</v>
      </c>
      <c r="C482" s="4" t="s">
        <v>34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44682</v>
      </c>
      <c r="J482" s="6">
        <v>53</v>
      </c>
      <c r="K482" s="6">
        <v>53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6">
        <v>18</v>
      </c>
      <c r="T482" s="6">
        <v>0</v>
      </c>
      <c r="U482" s="6">
        <v>0</v>
      </c>
      <c r="V482" s="6">
        <f>IF(ISERROR(VLOOKUP($S$482,'TAR FIN'!$A$1:$O$103,15,0)),0,VLOOKUP($S$482,'TAR FIN'!$A$1:$O$103,15,0))</f>
        <v>12.42</v>
      </c>
      <c r="W482" s="6">
        <f>IF(ISERROR(VLOOKUP($T$482,'TAR FIN'!$A$1:$O$103,15,0)),0,VLOOKUP($T$482,'TAR FIN'!$A$1:$O$103,15,0))</f>
        <v>0</v>
      </c>
      <c r="X482" s="6">
        <f>IF(ISERROR(VLOOKUP($U$482,'TAR FIN'!$A$1:$O$103,15,0)),0,VLOOKUP($U$482,'TAR FIN'!$A$1:$O$103,15,0))</f>
        <v>0</v>
      </c>
      <c r="Y482" s="6">
        <f ca="1">('TUSD BE'!$AM$20+'TUSD BF'!$AM$20+'TUSD CVA'!$AM$20)*1</f>
        <v>16.518304697547443</v>
      </c>
      <c r="Z482" s="6"/>
      <c r="AA482" s="6"/>
      <c r="AB482" s="6">
        <f>$K$482*$V$482</f>
        <v>658.26</v>
      </c>
      <c r="AC482" s="6">
        <f>$M$482*$W$482</f>
        <v>0</v>
      </c>
      <c r="AD482" s="6">
        <f>$O$482*$X$482</f>
        <v>0</v>
      </c>
      <c r="AE482" s="6">
        <f ca="1">$K$482*$Y$482</f>
        <v>875.47014897001441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33</v>
      </c>
      <c r="C483" s="4" t="s">
        <v>34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44348</v>
      </c>
      <c r="J483" s="6">
        <v>0</v>
      </c>
      <c r="K483" s="6">
        <v>0</v>
      </c>
      <c r="L483" s="6">
        <v>4.1100000000000003</v>
      </c>
      <c r="M483" s="6">
        <v>4.1100000000000003</v>
      </c>
      <c r="N483" s="6">
        <v>4.1100000000000003</v>
      </c>
      <c r="O483" s="6">
        <v>4.1100000000000003</v>
      </c>
      <c r="P483" s="6">
        <v>0</v>
      </c>
      <c r="Q483" s="4" t="s">
        <v>26</v>
      </c>
      <c r="R483" s="4">
        <v>0</v>
      </c>
      <c r="S483" s="6">
        <v>0</v>
      </c>
      <c r="T483" s="6">
        <v>19</v>
      </c>
      <c r="U483" s="6">
        <v>65</v>
      </c>
      <c r="V483" s="6">
        <f>IF(ISERROR(VLOOKUP($S$483,'TAR FIN'!$A$1:$O$103,15,0)),0,VLOOKUP($S$483,'TAR FIN'!$A$1:$O$103,15,0))</f>
        <v>0</v>
      </c>
      <c r="W483" s="6">
        <f>IF(ISERROR(VLOOKUP($T$483,'TAR FIN'!$A$1:$O$103,15,0)),0,VLOOKUP($T$483,'TAR FIN'!$A$1:$O$103,15,0))</f>
        <v>842.31</v>
      </c>
      <c r="X483" s="6">
        <f>IF(ISERROR(VLOOKUP($U$483,'TAR FIN'!$A$1:$O$103,15,0)),0,VLOOKUP($U$483,'TAR FIN'!$A$1:$O$103,15,0))</f>
        <v>454.9</v>
      </c>
      <c r="Y483" s="6"/>
      <c r="Z483" s="6">
        <f ca="1">('TUSD BE'!$AM$21+'TUSD BF'!$AM$21+'TUSD CVA'!$AM$21)*1</f>
        <v>1146.3801365962368</v>
      </c>
      <c r="AA483" s="6">
        <f>('TE BE'!$AB$8+'TE BF'!$AB$8+'TE CVA'!$AB$8)*1</f>
        <v>415.05449050541699</v>
      </c>
      <c r="AB483" s="6">
        <f>$K$483*$V$483</f>
        <v>0</v>
      </c>
      <c r="AC483" s="6">
        <f>$M$483*$W$483</f>
        <v>3461.8941</v>
      </c>
      <c r="AD483" s="6">
        <f>$O$483*$X$483</f>
        <v>1869.6390000000001</v>
      </c>
      <c r="AE483" s="6">
        <f>$K$483*$Y$483</f>
        <v>0</v>
      </c>
      <c r="AF483" s="6">
        <f ca="1">$M$483*$Z$483</f>
        <v>4711.6223614105338</v>
      </c>
      <c r="AG483" s="6">
        <f>$O$483*$AA$483</f>
        <v>1705.8739559772639</v>
      </c>
    </row>
    <row r="484" spans="1:33" ht="11.25" customHeight="1" x14ac:dyDescent="0.25">
      <c r="A484" s="4" t="s">
        <v>28</v>
      </c>
      <c r="B484" s="4" t="s">
        <v>33</v>
      </c>
      <c r="C484" s="4" t="s">
        <v>34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44348</v>
      </c>
      <c r="J484" s="6">
        <v>0</v>
      </c>
      <c r="K484" s="6">
        <v>0</v>
      </c>
      <c r="L484" s="6">
        <v>0.35799999999999998</v>
      </c>
      <c r="M484" s="6">
        <v>0.35799999999999998</v>
      </c>
      <c r="N484" s="6">
        <v>0.35799999999999998</v>
      </c>
      <c r="O484" s="6">
        <v>0.35799999999999998</v>
      </c>
      <c r="P484" s="6">
        <v>0</v>
      </c>
      <c r="Q484" s="4" t="s">
        <v>26</v>
      </c>
      <c r="R484" s="4">
        <v>0</v>
      </c>
      <c r="S484" s="6">
        <v>0</v>
      </c>
      <c r="T484" s="6">
        <v>19</v>
      </c>
      <c r="U484" s="6">
        <v>65</v>
      </c>
      <c r="V484" s="6">
        <f>IF(ISERROR(VLOOKUP($S$484,'TAR FIN'!$A$1:$O$103,15,0)),0,VLOOKUP($S$484,'TAR FIN'!$A$1:$O$103,15,0))</f>
        <v>0</v>
      </c>
      <c r="W484" s="6">
        <f>IF(ISERROR(VLOOKUP($T$484,'TAR FIN'!$A$1:$O$103,15,0)),0,VLOOKUP($T$484,'TAR FIN'!$A$1:$O$103,15,0))</f>
        <v>842.31</v>
      </c>
      <c r="X484" s="6">
        <f>IF(ISERROR(VLOOKUP($U$484,'TAR FIN'!$A$1:$O$103,15,0)),0,VLOOKUP($U$484,'TAR FIN'!$A$1:$O$103,15,0))</f>
        <v>454.9</v>
      </c>
      <c r="Y484" s="6"/>
      <c r="Z484" s="6">
        <f ca="1">('TUSD BE'!$AM$21+'TUSD BF'!$AM$21+'TUSD CVA'!$AM$21)*1</f>
        <v>1146.3801365962368</v>
      </c>
      <c r="AA484" s="6">
        <f>('TE BE'!$AB$8+'TE BF'!$AB$8+'TE CVA'!$AB$8)*1</f>
        <v>415.05449050541699</v>
      </c>
      <c r="AB484" s="6">
        <f>$K$484*$V$484</f>
        <v>0</v>
      </c>
      <c r="AC484" s="6">
        <f>$M$484*$W$484</f>
        <v>301.54697999999996</v>
      </c>
      <c r="AD484" s="6">
        <f>$O$484*$X$484</f>
        <v>162.85419999999999</v>
      </c>
      <c r="AE484" s="6">
        <f>$K$484*$Y$484</f>
        <v>0</v>
      </c>
      <c r="AF484" s="6">
        <f ca="1">$M$484*$Z$484</f>
        <v>410.40408890145272</v>
      </c>
      <c r="AG484" s="6">
        <f>$O$484*$AA$484</f>
        <v>148.58950760093927</v>
      </c>
    </row>
    <row r="485" spans="1:33" ht="11.25" customHeight="1" x14ac:dyDescent="0.25">
      <c r="A485" s="4" t="s">
        <v>21</v>
      </c>
      <c r="B485" s="4" t="s">
        <v>33</v>
      </c>
      <c r="C485" s="4" t="s">
        <v>34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44378</v>
      </c>
      <c r="J485" s="6">
        <v>0</v>
      </c>
      <c r="K485" s="6">
        <v>0</v>
      </c>
      <c r="L485" s="6">
        <v>4.3680000000000003</v>
      </c>
      <c r="M485" s="6">
        <v>4.3680000000000003</v>
      </c>
      <c r="N485" s="6">
        <v>4.3680000000000003</v>
      </c>
      <c r="O485" s="6">
        <v>4.3680000000000003</v>
      </c>
      <c r="P485" s="6">
        <v>0</v>
      </c>
      <c r="Q485" s="4" t="s">
        <v>26</v>
      </c>
      <c r="R485" s="4">
        <v>0</v>
      </c>
      <c r="S485" s="6">
        <v>0</v>
      </c>
      <c r="T485" s="6">
        <v>19</v>
      </c>
      <c r="U485" s="6">
        <v>65</v>
      </c>
      <c r="V485" s="6">
        <f>IF(ISERROR(VLOOKUP($S$485,'TAR FIN'!$A$1:$O$103,15,0)),0,VLOOKUP($S$485,'TAR FIN'!$A$1:$O$103,15,0))</f>
        <v>0</v>
      </c>
      <c r="W485" s="6">
        <f>IF(ISERROR(VLOOKUP($T$485,'TAR FIN'!$A$1:$O$103,15,0)),0,VLOOKUP($T$485,'TAR FIN'!$A$1:$O$103,15,0))</f>
        <v>842.31</v>
      </c>
      <c r="X485" s="6">
        <f>IF(ISERROR(VLOOKUP($U$485,'TAR FIN'!$A$1:$O$103,15,0)),0,VLOOKUP($U$485,'TAR FIN'!$A$1:$O$103,15,0))</f>
        <v>454.9</v>
      </c>
      <c r="Y485" s="6"/>
      <c r="Z485" s="6">
        <f ca="1">('TUSD BE'!$AM$21+'TUSD BF'!$AM$21+'TUSD CVA'!$AM$21)*1</f>
        <v>1146.3801365962368</v>
      </c>
      <c r="AA485" s="6">
        <f>('TE BE'!$AB$8+'TE BF'!$AB$8+'TE CVA'!$AB$8)*1</f>
        <v>415.05449050541699</v>
      </c>
      <c r="AB485" s="6">
        <f>$K$485*$V$485</f>
        <v>0</v>
      </c>
      <c r="AC485" s="6">
        <f>$M$485*$W$485</f>
        <v>3679.2100799999998</v>
      </c>
      <c r="AD485" s="6">
        <f>$O$485*$X$485</f>
        <v>1987.0032000000001</v>
      </c>
      <c r="AE485" s="6">
        <f>$K$485*$Y$485</f>
        <v>0</v>
      </c>
      <c r="AF485" s="6">
        <f ca="1">$M$485*$Z$485</f>
        <v>5007.3884366523625</v>
      </c>
      <c r="AG485" s="6">
        <f>$O$485*$AA$485</f>
        <v>1812.9580145276616</v>
      </c>
    </row>
    <row r="486" spans="1:33" ht="11.25" customHeight="1" x14ac:dyDescent="0.25">
      <c r="A486" s="4" t="s">
        <v>28</v>
      </c>
      <c r="B486" s="4" t="s">
        <v>33</v>
      </c>
      <c r="C486" s="4" t="s">
        <v>34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44378</v>
      </c>
      <c r="J486" s="6">
        <v>0</v>
      </c>
      <c r="K486" s="6">
        <v>0</v>
      </c>
      <c r="L486" s="6">
        <v>0.35199999999999998</v>
      </c>
      <c r="M486" s="6">
        <v>0.35199999999999998</v>
      </c>
      <c r="N486" s="6">
        <v>0.35199999999999998</v>
      </c>
      <c r="O486" s="6">
        <v>0.35199999999999998</v>
      </c>
      <c r="P486" s="6">
        <v>0</v>
      </c>
      <c r="Q486" s="4" t="s">
        <v>26</v>
      </c>
      <c r="R486" s="4">
        <v>0</v>
      </c>
      <c r="S486" s="6">
        <v>0</v>
      </c>
      <c r="T486" s="6">
        <v>19</v>
      </c>
      <c r="U486" s="6">
        <v>65</v>
      </c>
      <c r="V486" s="6">
        <f>IF(ISERROR(VLOOKUP($S$486,'TAR FIN'!$A$1:$O$103,15,0)),0,VLOOKUP($S$486,'TAR FIN'!$A$1:$O$103,15,0))</f>
        <v>0</v>
      </c>
      <c r="W486" s="6">
        <f>IF(ISERROR(VLOOKUP($T$486,'TAR FIN'!$A$1:$O$103,15,0)),0,VLOOKUP($T$486,'TAR FIN'!$A$1:$O$103,15,0))</f>
        <v>842.31</v>
      </c>
      <c r="X486" s="6">
        <f>IF(ISERROR(VLOOKUP($U$486,'TAR FIN'!$A$1:$O$103,15,0)),0,VLOOKUP($U$486,'TAR FIN'!$A$1:$O$103,15,0))</f>
        <v>454.9</v>
      </c>
      <c r="Y486" s="6"/>
      <c r="Z486" s="6">
        <f ca="1">('TUSD BE'!$AM$21+'TUSD BF'!$AM$21+'TUSD CVA'!$AM$21)*1</f>
        <v>1146.3801365962368</v>
      </c>
      <c r="AA486" s="6">
        <f>('TE BE'!$AB$8+'TE BF'!$AB$8+'TE CVA'!$AB$8)*1</f>
        <v>415.05449050541699</v>
      </c>
      <c r="AB486" s="6">
        <f>$K$486*$V$486</f>
        <v>0</v>
      </c>
      <c r="AC486" s="6">
        <f>$M$486*$W$486</f>
        <v>296.49311999999998</v>
      </c>
      <c r="AD486" s="6">
        <f>$O$486*$X$486</f>
        <v>160.12479999999999</v>
      </c>
      <c r="AE486" s="6">
        <f>$K$486*$Y$486</f>
        <v>0</v>
      </c>
      <c r="AF486" s="6">
        <f ca="1">$M$486*$Z$486</f>
        <v>403.52580808187531</v>
      </c>
      <c r="AG486" s="6">
        <f>$O$486*$AA$486</f>
        <v>146.09918065790677</v>
      </c>
    </row>
    <row r="487" spans="1:33" ht="11.25" customHeight="1" x14ac:dyDescent="0.25">
      <c r="A487" s="4" t="s">
        <v>21</v>
      </c>
      <c r="B487" s="4" t="s">
        <v>33</v>
      </c>
      <c r="C487" s="4" t="s">
        <v>34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44409</v>
      </c>
      <c r="J487" s="6">
        <v>0</v>
      </c>
      <c r="K487" s="6">
        <v>0</v>
      </c>
      <c r="L487" s="6">
        <v>4.242</v>
      </c>
      <c r="M487" s="6">
        <v>4.242</v>
      </c>
      <c r="N487" s="6">
        <v>4.242</v>
      </c>
      <c r="O487" s="6">
        <v>4.242</v>
      </c>
      <c r="P487" s="6">
        <v>0</v>
      </c>
      <c r="Q487" s="4" t="s">
        <v>26</v>
      </c>
      <c r="R487" s="4">
        <v>0</v>
      </c>
      <c r="S487" s="6">
        <v>0</v>
      </c>
      <c r="T487" s="6">
        <v>19</v>
      </c>
      <c r="U487" s="6">
        <v>65</v>
      </c>
      <c r="V487" s="6">
        <f>IF(ISERROR(VLOOKUP($S$487,'TAR FIN'!$A$1:$O$103,15,0)),0,VLOOKUP($S$487,'TAR FIN'!$A$1:$O$103,15,0))</f>
        <v>0</v>
      </c>
      <c r="W487" s="6">
        <f>IF(ISERROR(VLOOKUP($T$487,'TAR FIN'!$A$1:$O$103,15,0)),0,VLOOKUP($T$487,'TAR FIN'!$A$1:$O$103,15,0))</f>
        <v>842.31</v>
      </c>
      <c r="X487" s="6">
        <f>IF(ISERROR(VLOOKUP($U$487,'TAR FIN'!$A$1:$O$103,15,0)),0,VLOOKUP($U$487,'TAR FIN'!$A$1:$O$103,15,0))</f>
        <v>454.9</v>
      </c>
      <c r="Y487" s="6"/>
      <c r="Z487" s="6">
        <f ca="1">('TUSD BE'!$AM$21+'TUSD BF'!$AM$21+'TUSD CVA'!$AM$21)*1</f>
        <v>1146.3801365962368</v>
      </c>
      <c r="AA487" s="6">
        <f>('TE BE'!$AB$8+'TE BF'!$AB$8+'TE CVA'!$AB$8)*1</f>
        <v>415.05449050541699</v>
      </c>
      <c r="AB487" s="6">
        <f>$K$487*$V$487</f>
        <v>0</v>
      </c>
      <c r="AC487" s="6">
        <f>$M$487*$W$487</f>
        <v>3573.0790199999997</v>
      </c>
      <c r="AD487" s="6">
        <f>$O$487*$X$487</f>
        <v>1929.6858</v>
      </c>
      <c r="AE487" s="6">
        <f>$K$487*$Y$487</f>
        <v>0</v>
      </c>
      <c r="AF487" s="6">
        <f ca="1">$M$487*$Z$487</f>
        <v>4862.944539441236</v>
      </c>
      <c r="AG487" s="6">
        <f>$O$487*$AA$487</f>
        <v>1760.6611487239788</v>
      </c>
    </row>
    <row r="488" spans="1:33" ht="11.25" customHeight="1" x14ac:dyDescent="0.25">
      <c r="A488" s="4" t="s">
        <v>28</v>
      </c>
      <c r="B488" s="4" t="s">
        <v>33</v>
      </c>
      <c r="C488" s="4" t="s">
        <v>34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44409</v>
      </c>
      <c r="J488" s="6">
        <v>0</v>
      </c>
      <c r="K488" s="6">
        <v>0</v>
      </c>
      <c r="L488" s="6">
        <v>0.39900000000000002</v>
      </c>
      <c r="M488" s="6">
        <v>0.39900000000000002</v>
      </c>
      <c r="N488" s="6">
        <v>0.39900000000000002</v>
      </c>
      <c r="O488" s="6">
        <v>0.39900000000000002</v>
      </c>
      <c r="P488" s="6">
        <v>0</v>
      </c>
      <c r="Q488" s="4" t="s">
        <v>26</v>
      </c>
      <c r="R488" s="4">
        <v>0</v>
      </c>
      <c r="S488" s="6">
        <v>0</v>
      </c>
      <c r="T488" s="6">
        <v>19</v>
      </c>
      <c r="U488" s="6">
        <v>65</v>
      </c>
      <c r="V488" s="6">
        <f>IF(ISERROR(VLOOKUP($S$488,'TAR FIN'!$A$1:$O$103,15,0)),0,VLOOKUP($S$488,'TAR FIN'!$A$1:$O$103,15,0))</f>
        <v>0</v>
      </c>
      <c r="W488" s="6">
        <f>IF(ISERROR(VLOOKUP($T$488,'TAR FIN'!$A$1:$O$103,15,0)),0,VLOOKUP($T$488,'TAR FIN'!$A$1:$O$103,15,0))</f>
        <v>842.31</v>
      </c>
      <c r="X488" s="6">
        <f>IF(ISERROR(VLOOKUP($U$488,'TAR FIN'!$A$1:$O$103,15,0)),0,VLOOKUP($U$488,'TAR FIN'!$A$1:$O$103,15,0))</f>
        <v>454.9</v>
      </c>
      <c r="Y488" s="6"/>
      <c r="Z488" s="6">
        <f ca="1">('TUSD BE'!$AM$21+'TUSD BF'!$AM$21+'TUSD CVA'!$AM$21)*1</f>
        <v>1146.3801365962368</v>
      </c>
      <c r="AA488" s="6">
        <f>('TE BE'!$AB$8+'TE BF'!$AB$8+'TE CVA'!$AB$8)*1</f>
        <v>415.05449050541699</v>
      </c>
      <c r="AB488" s="6">
        <f>$K$488*$V$488</f>
        <v>0</v>
      </c>
      <c r="AC488" s="6">
        <f>$M$488*$W$488</f>
        <v>336.08168999999998</v>
      </c>
      <c r="AD488" s="6">
        <f>$O$488*$X$488</f>
        <v>181.5051</v>
      </c>
      <c r="AE488" s="6">
        <f>$K$488*$Y$488</f>
        <v>0</v>
      </c>
      <c r="AF488" s="6">
        <f ca="1">$M$488*$Z$488</f>
        <v>457.40567450189849</v>
      </c>
      <c r="AG488" s="6">
        <f>$O$488*$AA$488</f>
        <v>165.60674171166139</v>
      </c>
    </row>
    <row r="489" spans="1:33" ht="11.25" customHeight="1" x14ac:dyDescent="0.25">
      <c r="A489" s="4" t="s">
        <v>21</v>
      </c>
      <c r="B489" s="4" t="s">
        <v>33</v>
      </c>
      <c r="C489" s="4" t="s">
        <v>34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44440</v>
      </c>
      <c r="J489" s="6">
        <v>0</v>
      </c>
      <c r="K489" s="6">
        <v>0</v>
      </c>
      <c r="L489" s="6">
        <v>3.9380000000000002</v>
      </c>
      <c r="M489" s="6">
        <v>3.9380000000000002</v>
      </c>
      <c r="N489" s="6">
        <v>3.9380000000000002</v>
      </c>
      <c r="O489" s="6">
        <v>3.9380000000000002</v>
      </c>
      <c r="P489" s="6">
        <v>0</v>
      </c>
      <c r="Q489" s="4" t="s">
        <v>26</v>
      </c>
      <c r="R489" s="4">
        <v>0</v>
      </c>
      <c r="S489" s="6">
        <v>0</v>
      </c>
      <c r="T489" s="6">
        <v>19</v>
      </c>
      <c r="U489" s="6">
        <v>65</v>
      </c>
      <c r="V489" s="6">
        <f>IF(ISERROR(VLOOKUP($S$489,'TAR FIN'!$A$1:$O$103,15,0)),0,VLOOKUP($S$489,'TAR FIN'!$A$1:$O$103,15,0))</f>
        <v>0</v>
      </c>
      <c r="W489" s="6">
        <f>IF(ISERROR(VLOOKUP($T$489,'TAR FIN'!$A$1:$O$103,15,0)),0,VLOOKUP($T$489,'TAR FIN'!$A$1:$O$103,15,0))</f>
        <v>842.31</v>
      </c>
      <c r="X489" s="6">
        <f>IF(ISERROR(VLOOKUP($U$489,'TAR FIN'!$A$1:$O$103,15,0)),0,VLOOKUP($U$489,'TAR FIN'!$A$1:$O$103,15,0))</f>
        <v>454.9</v>
      </c>
      <c r="Y489" s="6"/>
      <c r="Z489" s="6">
        <f ca="1">('TUSD BE'!$AM$21+'TUSD BF'!$AM$21+'TUSD CVA'!$AM$21)*1</f>
        <v>1146.3801365962368</v>
      </c>
      <c r="AA489" s="6">
        <f>('TE BE'!$AB$8+'TE BF'!$AB$8+'TE CVA'!$AB$8)*1</f>
        <v>415.05449050541699</v>
      </c>
      <c r="AB489" s="6">
        <f>$K$489*$V$489</f>
        <v>0</v>
      </c>
      <c r="AC489" s="6">
        <f>$M$489*$W$489</f>
        <v>3317.0167799999999</v>
      </c>
      <c r="AD489" s="6">
        <f>$O$489*$X$489</f>
        <v>1791.3961999999999</v>
      </c>
      <c r="AE489" s="6">
        <f>$K$489*$Y$489</f>
        <v>0</v>
      </c>
      <c r="AF489" s="6">
        <f ca="1">$M$489*$Z$489</f>
        <v>4514.4449779159804</v>
      </c>
      <c r="AG489" s="6">
        <f>$O$489*$AA$489</f>
        <v>1634.4845836103323</v>
      </c>
    </row>
    <row r="490" spans="1:33" ht="11.25" customHeight="1" x14ac:dyDescent="0.25">
      <c r="A490" s="4" t="s">
        <v>28</v>
      </c>
      <c r="B490" s="4" t="s">
        <v>33</v>
      </c>
      <c r="C490" s="4" t="s">
        <v>34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44440</v>
      </c>
      <c r="J490" s="6">
        <v>0</v>
      </c>
      <c r="K490" s="6">
        <v>0</v>
      </c>
      <c r="L490" s="6">
        <v>0.38</v>
      </c>
      <c r="M490" s="6">
        <v>0.38</v>
      </c>
      <c r="N490" s="6">
        <v>0.38</v>
      </c>
      <c r="O490" s="6">
        <v>0.38</v>
      </c>
      <c r="P490" s="6">
        <v>0</v>
      </c>
      <c r="Q490" s="4" t="s">
        <v>26</v>
      </c>
      <c r="R490" s="4">
        <v>0</v>
      </c>
      <c r="S490" s="6">
        <v>0</v>
      </c>
      <c r="T490" s="6">
        <v>19</v>
      </c>
      <c r="U490" s="6">
        <v>65</v>
      </c>
      <c r="V490" s="6">
        <f>IF(ISERROR(VLOOKUP($S$490,'TAR FIN'!$A$1:$O$103,15,0)),0,VLOOKUP($S$490,'TAR FIN'!$A$1:$O$103,15,0))</f>
        <v>0</v>
      </c>
      <c r="W490" s="6">
        <f>IF(ISERROR(VLOOKUP($T$490,'TAR FIN'!$A$1:$O$103,15,0)),0,VLOOKUP($T$490,'TAR FIN'!$A$1:$O$103,15,0))</f>
        <v>842.31</v>
      </c>
      <c r="X490" s="6">
        <f>IF(ISERROR(VLOOKUP($U$490,'TAR FIN'!$A$1:$O$103,15,0)),0,VLOOKUP($U$490,'TAR FIN'!$A$1:$O$103,15,0))</f>
        <v>454.9</v>
      </c>
      <c r="Y490" s="6"/>
      <c r="Z490" s="6">
        <f ca="1">('TUSD BE'!$AM$21+'TUSD BF'!$AM$21+'TUSD CVA'!$AM$21)*1</f>
        <v>1146.3801365962368</v>
      </c>
      <c r="AA490" s="6">
        <f>('TE BE'!$AB$8+'TE BF'!$AB$8+'TE CVA'!$AB$8)*1</f>
        <v>415.05449050541699</v>
      </c>
      <c r="AB490" s="6">
        <f>$K$490*$V$490</f>
        <v>0</v>
      </c>
      <c r="AC490" s="6">
        <f>$M$490*$W$490</f>
        <v>320.07779999999997</v>
      </c>
      <c r="AD490" s="6">
        <f>$O$490*$X$490</f>
        <v>172.86199999999999</v>
      </c>
      <c r="AE490" s="6">
        <f>$K$490*$Y$490</f>
        <v>0</v>
      </c>
      <c r="AF490" s="6">
        <f ca="1">$M$490*$Z$490</f>
        <v>435.62445190656996</v>
      </c>
      <c r="AG490" s="6">
        <f>$O$490*$AA$490</f>
        <v>157.72070639205845</v>
      </c>
    </row>
    <row r="491" spans="1:33" ht="11.25" customHeight="1" x14ac:dyDescent="0.25">
      <c r="A491" s="4" t="s">
        <v>21</v>
      </c>
      <c r="B491" s="4" t="s">
        <v>33</v>
      </c>
      <c r="C491" s="4" t="s">
        <v>34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44470</v>
      </c>
      <c r="J491" s="6">
        <v>0</v>
      </c>
      <c r="K491" s="6">
        <v>0</v>
      </c>
      <c r="L491" s="6">
        <v>3.7810000000000001</v>
      </c>
      <c r="M491" s="6">
        <v>3.7810000000000001</v>
      </c>
      <c r="N491" s="6">
        <v>3.7810000000000001</v>
      </c>
      <c r="O491" s="6">
        <v>3.7810000000000001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19</v>
      </c>
      <c r="U491" s="6">
        <v>65</v>
      </c>
      <c r="V491" s="6">
        <f>IF(ISERROR(VLOOKUP($S$491,'TAR FIN'!$A$1:$O$103,15,0)),0,VLOOKUP($S$491,'TAR FIN'!$A$1:$O$103,15,0))</f>
        <v>0</v>
      </c>
      <c r="W491" s="6">
        <f>IF(ISERROR(VLOOKUP($T$491,'TAR FIN'!$A$1:$O$103,15,0)),0,VLOOKUP($T$491,'TAR FIN'!$A$1:$O$103,15,0))</f>
        <v>842.31</v>
      </c>
      <c r="X491" s="6">
        <f>IF(ISERROR(VLOOKUP($U$491,'TAR FIN'!$A$1:$O$103,15,0)),0,VLOOKUP($U$491,'TAR FIN'!$A$1:$O$103,15,0))</f>
        <v>454.9</v>
      </c>
      <c r="Y491" s="6"/>
      <c r="Z491" s="6">
        <f ca="1">('TUSD BE'!$AM$21+'TUSD BF'!$AM$21+'TUSD CVA'!$AM$21)*1</f>
        <v>1146.3801365962368</v>
      </c>
      <c r="AA491" s="6">
        <f>('TE BE'!$AB$8+'TE BF'!$AB$8+'TE CVA'!$AB$8)*1</f>
        <v>415.05449050541699</v>
      </c>
      <c r="AB491" s="6">
        <f>$K$491*$V$491</f>
        <v>0</v>
      </c>
      <c r="AC491" s="6">
        <f>$M$491*$W$491</f>
        <v>3184.7741099999998</v>
      </c>
      <c r="AD491" s="6">
        <f>$O$491*$X$491</f>
        <v>1719.9768999999999</v>
      </c>
      <c r="AE491" s="6">
        <f>$K$491*$Y$491</f>
        <v>0</v>
      </c>
      <c r="AF491" s="6">
        <f ca="1">$M$491*$Z$491</f>
        <v>4334.4632964703715</v>
      </c>
      <c r="AG491" s="6">
        <f>$O$491*$AA$491</f>
        <v>1569.3210286009817</v>
      </c>
    </row>
    <row r="492" spans="1:33" ht="11.25" customHeight="1" x14ac:dyDescent="0.25">
      <c r="A492" s="4" t="s">
        <v>28</v>
      </c>
      <c r="B492" s="4" t="s">
        <v>33</v>
      </c>
      <c r="C492" s="4" t="s">
        <v>34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44470</v>
      </c>
      <c r="J492" s="6">
        <v>0</v>
      </c>
      <c r="K492" s="6">
        <v>0</v>
      </c>
      <c r="L492" s="6">
        <v>0.32600000000000001</v>
      </c>
      <c r="M492" s="6">
        <v>0.32600000000000001</v>
      </c>
      <c r="N492" s="6">
        <v>0.32600000000000001</v>
      </c>
      <c r="O492" s="6">
        <v>0.32600000000000001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19</v>
      </c>
      <c r="U492" s="6">
        <v>65</v>
      </c>
      <c r="V492" s="6">
        <f>IF(ISERROR(VLOOKUP($S$492,'TAR FIN'!$A$1:$O$103,15,0)),0,VLOOKUP($S$492,'TAR FIN'!$A$1:$O$103,15,0))</f>
        <v>0</v>
      </c>
      <c r="W492" s="6">
        <f>IF(ISERROR(VLOOKUP($T$492,'TAR FIN'!$A$1:$O$103,15,0)),0,VLOOKUP($T$492,'TAR FIN'!$A$1:$O$103,15,0))</f>
        <v>842.31</v>
      </c>
      <c r="X492" s="6">
        <f>IF(ISERROR(VLOOKUP($U$492,'TAR FIN'!$A$1:$O$103,15,0)),0,VLOOKUP($U$492,'TAR FIN'!$A$1:$O$103,15,0))</f>
        <v>454.9</v>
      </c>
      <c r="Y492" s="6"/>
      <c r="Z492" s="6">
        <f ca="1">('TUSD BE'!$AM$21+'TUSD BF'!$AM$21+'TUSD CVA'!$AM$21)*1</f>
        <v>1146.3801365962368</v>
      </c>
      <c r="AA492" s="6">
        <f>('TE BE'!$AB$8+'TE BF'!$AB$8+'TE CVA'!$AB$8)*1</f>
        <v>415.05449050541699</v>
      </c>
      <c r="AB492" s="6">
        <f>$K$492*$V$492</f>
        <v>0</v>
      </c>
      <c r="AC492" s="6">
        <f>$M$492*$W$492</f>
        <v>274.59305999999998</v>
      </c>
      <c r="AD492" s="6">
        <f>$O$492*$X$492</f>
        <v>148.29740000000001</v>
      </c>
      <c r="AE492" s="6">
        <f>$K$492*$Y$492</f>
        <v>0</v>
      </c>
      <c r="AF492" s="6">
        <f ca="1">$M$492*$Z$492</f>
        <v>373.71992453037319</v>
      </c>
      <c r="AG492" s="6">
        <f>$O$492*$AA$492</f>
        <v>135.30776390476595</v>
      </c>
    </row>
    <row r="493" spans="1:33" ht="11.25" customHeight="1" x14ac:dyDescent="0.25">
      <c r="A493" s="4" t="s">
        <v>21</v>
      </c>
      <c r="B493" s="4" t="s">
        <v>33</v>
      </c>
      <c r="C493" s="4" t="s">
        <v>34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44501</v>
      </c>
      <c r="J493" s="6">
        <v>0</v>
      </c>
      <c r="K493" s="6">
        <v>0</v>
      </c>
      <c r="L493" s="6">
        <v>4.0570000000000004</v>
      </c>
      <c r="M493" s="6">
        <v>4.0570000000000004</v>
      </c>
      <c r="N493" s="6">
        <v>4.0570000000000004</v>
      </c>
      <c r="O493" s="6">
        <v>4.0570000000000004</v>
      </c>
      <c r="P493" s="6">
        <v>0</v>
      </c>
      <c r="Q493" s="4" t="s">
        <v>26</v>
      </c>
      <c r="R493" s="4">
        <v>0</v>
      </c>
      <c r="S493" s="6">
        <v>0</v>
      </c>
      <c r="T493" s="6">
        <v>19</v>
      </c>
      <c r="U493" s="6">
        <v>65</v>
      </c>
      <c r="V493" s="6">
        <f>IF(ISERROR(VLOOKUP($S$493,'TAR FIN'!$A$1:$O$103,15,0)),0,VLOOKUP($S$493,'TAR FIN'!$A$1:$O$103,15,0))</f>
        <v>0</v>
      </c>
      <c r="W493" s="6">
        <f>IF(ISERROR(VLOOKUP($T$493,'TAR FIN'!$A$1:$O$103,15,0)),0,VLOOKUP($T$493,'TAR FIN'!$A$1:$O$103,15,0))</f>
        <v>842.31</v>
      </c>
      <c r="X493" s="6">
        <f>IF(ISERROR(VLOOKUP($U$493,'TAR FIN'!$A$1:$O$103,15,0)),0,VLOOKUP($U$493,'TAR FIN'!$A$1:$O$103,15,0))</f>
        <v>454.9</v>
      </c>
      <c r="Y493" s="6"/>
      <c r="Z493" s="6">
        <f ca="1">('TUSD BE'!$AM$21+'TUSD BF'!$AM$21+'TUSD CVA'!$AM$21)*1</f>
        <v>1146.3801365962368</v>
      </c>
      <c r="AA493" s="6">
        <f>('TE BE'!$AB$8+'TE BF'!$AB$8+'TE CVA'!$AB$8)*1</f>
        <v>415.05449050541699</v>
      </c>
      <c r="AB493" s="6">
        <f>$K$493*$V$493</f>
        <v>0</v>
      </c>
      <c r="AC493" s="6">
        <f>$M$493*$W$493</f>
        <v>3417.2516700000001</v>
      </c>
      <c r="AD493" s="6">
        <f>$O$493*$X$493</f>
        <v>1845.5293000000001</v>
      </c>
      <c r="AE493" s="6">
        <f>$K$493*$Y$493</f>
        <v>0</v>
      </c>
      <c r="AF493" s="6">
        <f ca="1">$M$493*$Z$493</f>
        <v>4650.8642141709333</v>
      </c>
      <c r="AG493" s="6">
        <f>$O$493*$AA$493</f>
        <v>1683.8760679804768</v>
      </c>
    </row>
    <row r="494" spans="1:33" ht="11.25" customHeight="1" x14ac:dyDescent="0.25">
      <c r="A494" s="4" t="s">
        <v>28</v>
      </c>
      <c r="B494" s="4" t="s">
        <v>33</v>
      </c>
      <c r="C494" s="4" t="s">
        <v>34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44501</v>
      </c>
      <c r="J494" s="6">
        <v>0</v>
      </c>
      <c r="K494" s="6">
        <v>0</v>
      </c>
      <c r="L494" s="6">
        <v>0.51300000000000001</v>
      </c>
      <c r="M494" s="6">
        <v>0.51300000000000001</v>
      </c>
      <c r="N494" s="6">
        <v>0.51300000000000001</v>
      </c>
      <c r="O494" s="6">
        <v>0.51300000000000001</v>
      </c>
      <c r="P494" s="6">
        <v>0</v>
      </c>
      <c r="Q494" s="4" t="s">
        <v>26</v>
      </c>
      <c r="R494" s="4">
        <v>0</v>
      </c>
      <c r="S494" s="6">
        <v>0</v>
      </c>
      <c r="T494" s="6">
        <v>19</v>
      </c>
      <c r="U494" s="6">
        <v>65</v>
      </c>
      <c r="V494" s="6">
        <f>IF(ISERROR(VLOOKUP($S$494,'TAR FIN'!$A$1:$O$103,15,0)),0,VLOOKUP($S$494,'TAR FIN'!$A$1:$O$103,15,0))</f>
        <v>0</v>
      </c>
      <c r="W494" s="6">
        <f>IF(ISERROR(VLOOKUP($T$494,'TAR FIN'!$A$1:$O$103,15,0)),0,VLOOKUP($T$494,'TAR FIN'!$A$1:$O$103,15,0))</f>
        <v>842.31</v>
      </c>
      <c r="X494" s="6">
        <f>IF(ISERROR(VLOOKUP($U$494,'TAR FIN'!$A$1:$O$103,15,0)),0,VLOOKUP($U$494,'TAR FIN'!$A$1:$O$103,15,0))</f>
        <v>454.9</v>
      </c>
      <c r="Y494" s="6"/>
      <c r="Z494" s="6">
        <f ca="1">('TUSD BE'!$AM$21+'TUSD BF'!$AM$21+'TUSD CVA'!$AM$21)*1</f>
        <v>1146.3801365962368</v>
      </c>
      <c r="AA494" s="6">
        <f>('TE BE'!$AB$8+'TE BF'!$AB$8+'TE CVA'!$AB$8)*1</f>
        <v>415.05449050541699</v>
      </c>
      <c r="AB494" s="6">
        <f>$K$494*$V$494</f>
        <v>0</v>
      </c>
      <c r="AC494" s="6">
        <f>$M$494*$W$494</f>
        <v>432.10503</v>
      </c>
      <c r="AD494" s="6">
        <f>$O$494*$X$494</f>
        <v>233.36369999999999</v>
      </c>
      <c r="AE494" s="6">
        <f>$K$494*$Y$494</f>
        <v>0</v>
      </c>
      <c r="AF494" s="6">
        <f ca="1">$M$494*$Z$494</f>
        <v>588.09301007386944</v>
      </c>
      <c r="AG494" s="6">
        <f>$O$494*$AA$494</f>
        <v>212.92295362927894</v>
      </c>
    </row>
    <row r="495" spans="1:33" ht="11.25" customHeight="1" x14ac:dyDescent="0.25">
      <c r="A495" s="4" t="s">
        <v>21</v>
      </c>
      <c r="B495" s="4" t="s">
        <v>33</v>
      </c>
      <c r="C495" s="4" t="s">
        <v>34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44531</v>
      </c>
      <c r="J495" s="6">
        <v>0</v>
      </c>
      <c r="K495" s="6">
        <v>0</v>
      </c>
      <c r="L495" s="6">
        <v>4.41</v>
      </c>
      <c r="M495" s="6">
        <v>4.41</v>
      </c>
      <c r="N495" s="6">
        <v>4.41</v>
      </c>
      <c r="O495" s="6">
        <v>4.41</v>
      </c>
      <c r="P495" s="6">
        <v>0</v>
      </c>
      <c r="Q495" s="4" t="s">
        <v>26</v>
      </c>
      <c r="R495" s="4">
        <v>0</v>
      </c>
      <c r="S495" s="6">
        <v>0</v>
      </c>
      <c r="T495" s="6">
        <v>19</v>
      </c>
      <c r="U495" s="6">
        <v>65</v>
      </c>
      <c r="V495" s="6">
        <f>IF(ISERROR(VLOOKUP($S$495,'TAR FIN'!$A$1:$O$103,15,0)),0,VLOOKUP($S$495,'TAR FIN'!$A$1:$O$103,15,0))</f>
        <v>0</v>
      </c>
      <c r="W495" s="6">
        <f>IF(ISERROR(VLOOKUP($T$495,'TAR FIN'!$A$1:$O$103,15,0)),0,VLOOKUP($T$495,'TAR FIN'!$A$1:$O$103,15,0))</f>
        <v>842.31</v>
      </c>
      <c r="X495" s="6">
        <f>IF(ISERROR(VLOOKUP($U$495,'TAR FIN'!$A$1:$O$103,15,0)),0,VLOOKUP($U$495,'TAR FIN'!$A$1:$O$103,15,0))</f>
        <v>454.9</v>
      </c>
      <c r="Y495" s="6"/>
      <c r="Z495" s="6">
        <f ca="1">('TUSD BE'!$AM$21+'TUSD BF'!$AM$21+'TUSD CVA'!$AM$21)*1</f>
        <v>1146.3801365962368</v>
      </c>
      <c r="AA495" s="6">
        <f>('TE BE'!$AB$8+'TE BF'!$AB$8+'TE CVA'!$AB$8)*1</f>
        <v>415.05449050541699</v>
      </c>
      <c r="AB495" s="6">
        <f>$K$495*$V$495</f>
        <v>0</v>
      </c>
      <c r="AC495" s="6">
        <f>$M$495*$W$495</f>
        <v>3714.5870999999997</v>
      </c>
      <c r="AD495" s="6">
        <f>$O$495*$X$495</f>
        <v>2006.1089999999999</v>
      </c>
      <c r="AE495" s="6">
        <f>$K$495*$Y$495</f>
        <v>0</v>
      </c>
      <c r="AF495" s="6">
        <f ca="1">$M$495*$Z$495</f>
        <v>5055.5364023894044</v>
      </c>
      <c r="AG495" s="6">
        <f>$O$495*$AA$495</f>
        <v>1830.3903031288889</v>
      </c>
    </row>
    <row r="496" spans="1:33" ht="11.25" customHeight="1" x14ac:dyDescent="0.25">
      <c r="A496" s="4" t="s">
        <v>28</v>
      </c>
      <c r="B496" s="4" t="s">
        <v>33</v>
      </c>
      <c r="C496" s="4" t="s">
        <v>34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44531</v>
      </c>
      <c r="J496" s="6">
        <v>0</v>
      </c>
      <c r="K496" s="6">
        <v>0</v>
      </c>
      <c r="L496" s="6">
        <v>0.66500000000000004</v>
      </c>
      <c r="M496" s="6">
        <v>0.66500000000000004</v>
      </c>
      <c r="N496" s="6">
        <v>0.66500000000000004</v>
      </c>
      <c r="O496" s="6">
        <v>0.66500000000000004</v>
      </c>
      <c r="P496" s="6">
        <v>0</v>
      </c>
      <c r="Q496" s="4" t="s">
        <v>26</v>
      </c>
      <c r="R496" s="4">
        <v>0</v>
      </c>
      <c r="S496" s="6">
        <v>0</v>
      </c>
      <c r="T496" s="6">
        <v>19</v>
      </c>
      <c r="U496" s="6">
        <v>65</v>
      </c>
      <c r="V496" s="6">
        <f>IF(ISERROR(VLOOKUP($S$496,'TAR FIN'!$A$1:$O$103,15,0)),0,VLOOKUP($S$496,'TAR FIN'!$A$1:$O$103,15,0))</f>
        <v>0</v>
      </c>
      <c r="W496" s="6">
        <f>IF(ISERROR(VLOOKUP($T$496,'TAR FIN'!$A$1:$O$103,15,0)),0,VLOOKUP($T$496,'TAR FIN'!$A$1:$O$103,15,0))</f>
        <v>842.31</v>
      </c>
      <c r="X496" s="6">
        <f>IF(ISERROR(VLOOKUP($U$496,'TAR FIN'!$A$1:$O$103,15,0)),0,VLOOKUP($U$496,'TAR FIN'!$A$1:$O$103,15,0))</f>
        <v>454.9</v>
      </c>
      <c r="Y496" s="6"/>
      <c r="Z496" s="6">
        <f ca="1">('TUSD BE'!$AM$21+'TUSD BF'!$AM$21+'TUSD CVA'!$AM$21)*1</f>
        <v>1146.3801365962368</v>
      </c>
      <c r="AA496" s="6">
        <f>('TE BE'!$AB$8+'TE BF'!$AB$8+'TE CVA'!$AB$8)*1</f>
        <v>415.05449050541699</v>
      </c>
      <c r="AB496" s="6">
        <f>$K$496*$V$496</f>
        <v>0</v>
      </c>
      <c r="AC496" s="6">
        <f>$M$496*$W$496</f>
        <v>560.13615000000004</v>
      </c>
      <c r="AD496" s="6">
        <f>$O$496*$X$496</f>
        <v>302.50850000000003</v>
      </c>
      <c r="AE496" s="6">
        <f>$K$496*$Y$496</f>
        <v>0</v>
      </c>
      <c r="AF496" s="6">
        <f ca="1">$M$496*$Z$496</f>
        <v>762.34279083649744</v>
      </c>
      <c r="AG496" s="6">
        <f>$O$496*$AA$496</f>
        <v>276.01123618610234</v>
      </c>
    </row>
    <row r="497" spans="1:33" ht="11.25" customHeight="1" x14ac:dyDescent="0.25">
      <c r="A497" s="4" t="s">
        <v>21</v>
      </c>
      <c r="B497" s="4" t="s">
        <v>33</v>
      </c>
      <c r="C497" s="4" t="s">
        <v>34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44562</v>
      </c>
      <c r="J497" s="6">
        <v>0</v>
      </c>
      <c r="K497" s="6">
        <v>0</v>
      </c>
      <c r="L497" s="6">
        <v>4.3259999999999996</v>
      </c>
      <c r="M497" s="6">
        <v>4.3259999999999996</v>
      </c>
      <c r="N497" s="6">
        <v>4.3259999999999996</v>
      </c>
      <c r="O497" s="6">
        <v>4.3259999999999996</v>
      </c>
      <c r="P497" s="6">
        <v>0</v>
      </c>
      <c r="Q497" s="4" t="s">
        <v>26</v>
      </c>
      <c r="R497" s="4">
        <v>0</v>
      </c>
      <c r="S497" s="6">
        <v>0</v>
      </c>
      <c r="T497" s="6">
        <v>19</v>
      </c>
      <c r="U497" s="6">
        <v>65</v>
      </c>
      <c r="V497" s="6">
        <f>IF(ISERROR(VLOOKUP($S$497,'TAR FIN'!$A$1:$O$103,15,0)),0,VLOOKUP($S$497,'TAR FIN'!$A$1:$O$103,15,0))</f>
        <v>0</v>
      </c>
      <c r="W497" s="6">
        <f>IF(ISERROR(VLOOKUP($T$497,'TAR FIN'!$A$1:$O$103,15,0)),0,VLOOKUP($T$497,'TAR FIN'!$A$1:$O$103,15,0))</f>
        <v>842.31</v>
      </c>
      <c r="X497" s="6">
        <f>IF(ISERROR(VLOOKUP($U$497,'TAR FIN'!$A$1:$O$103,15,0)),0,VLOOKUP($U$497,'TAR FIN'!$A$1:$O$103,15,0))</f>
        <v>454.9</v>
      </c>
      <c r="Y497" s="6"/>
      <c r="Z497" s="6">
        <f ca="1">('TUSD BE'!$AM$21+'TUSD BF'!$AM$21+'TUSD CVA'!$AM$21)*1</f>
        <v>1146.3801365962368</v>
      </c>
      <c r="AA497" s="6">
        <f>('TE BE'!$AB$8+'TE BF'!$AB$8+'TE CVA'!$AB$8)*1</f>
        <v>415.05449050541699</v>
      </c>
      <c r="AB497" s="6">
        <f>$K$497*$V$497</f>
        <v>0</v>
      </c>
      <c r="AC497" s="6">
        <f>$M$497*$W$497</f>
        <v>3643.8330599999995</v>
      </c>
      <c r="AD497" s="6">
        <f>$O$497*$X$497</f>
        <v>1967.8973999999998</v>
      </c>
      <c r="AE497" s="6">
        <f>$K$497*$Y$497</f>
        <v>0</v>
      </c>
      <c r="AF497" s="6">
        <f ca="1">$M$497*$Z$497</f>
        <v>4959.2404709153197</v>
      </c>
      <c r="AG497" s="6">
        <f>$O$497*$AA$497</f>
        <v>1795.5257259264338</v>
      </c>
    </row>
    <row r="498" spans="1:33" ht="11.25" customHeight="1" x14ac:dyDescent="0.25">
      <c r="A498" s="4" t="s">
        <v>28</v>
      </c>
      <c r="B498" s="4" t="s">
        <v>33</v>
      </c>
      <c r="C498" s="4" t="s">
        <v>34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44562</v>
      </c>
      <c r="J498" s="6">
        <v>0</v>
      </c>
      <c r="K498" s="6">
        <v>0</v>
      </c>
      <c r="L498" s="6">
        <v>0.35299999999999998</v>
      </c>
      <c r="M498" s="6">
        <v>0.35299999999999998</v>
      </c>
      <c r="N498" s="6">
        <v>0.35299999999999998</v>
      </c>
      <c r="O498" s="6">
        <v>0.35299999999999998</v>
      </c>
      <c r="P498" s="6">
        <v>0</v>
      </c>
      <c r="Q498" s="4" t="s">
        <v>26</v>
      </c>
      <c r="R498" s="4">
        <v>0</v>
      </c>
      <c r="S498" s="6">
        <v>0</v>
      </c>
      <c r="T498" s="6">
        <v>19</v>
      </c>
      <c r="U498" s="6">
        <v>65</v>
      </c>
      <c r="V498" s="6">
        <f>IF(ISERROR(VLOOKUP($S$498,'TAR FIN'!$A$1:$O$103,15,0)),0,VLOOKUP($S$498,'TAR FIN'!$A$1:$O$103,15,0))</f>
        <v>0</v>
      </c>
      <c r="W498" s="6">
        <f>IF(ISERROR(VLOOKUP($T$498,'TAR FIN'!$A$1:$O$103,15,0)),0,VLOOKUP($T$498,'TAR FIN'!$A$1:$O$103,15,0))</f>
        <v>842.31</v>
      </c>
      <c r="X498" s="6">
        <f>IF(ISERROR(VLOOKUP($U$498,'TAR FIN'!$A$1:$O$103,15,0)),0,VLOOKUP($U$498,'TAR FIN'!$A$1:$O$103,15,0))</f>
        <v>454.9</v>
      </c>
      <c r="Y498" s="6"/>
      <c r="Z498" s="6">
        <f ca="1">('TUSD BE'!$AM$21+'TUSD BF'!$AM$21+'TUSD CVA'!$AM$21)*1</f>
        <v>1146.3801365962368</v>
      </c>
      <c r="AA498" s="6">
        <f>('TE BE'!$AB$8+'TE BF'!$AB$8+'TE CVA'!$AB$8)*1</f>
        <v>415.05449050541699</v>
      </c>
      <c r="AB498" s="6">
        <f>$K$498*$V$498</f>
        <v>0</v>
      </c>
      <c r="AC498" s="6">
        <f>$M$498*$W$498</f>
        <v>297.33542999999997</v>
      </c>
      <c r="AD498" s="6">
        <f>$O$498*$X$498</f>
        <v>160.57969999999997</v>
      </c>
      <c r="AE498" s="6">
        <f>$K$498*$Y$498</f>
        <v>0</v>
      </c>
      <c r="AF498" s="6">
        <f ca="1">$M$498*$Z$498</f>
        <v>404.67218821847155</v>
      </c>
      <c r="AG498" s="6">
        <f>$O$498*$AA$498</f>
        <v>146.51423514841218</v>
      </c>
    </row>
    <row r="499" spans="1:33" ht="11.25" customHeight="1" x14ac:dyDescent="0.25">
      <c r="A499" s="4" t="s">
        <v>21</v>
      </c>
      <c r="B499" s="4" t="s">
        <v>33</v>
      </c>
      <c r="C499" s="4" t="s">
        <v>34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44593</v>
      </c>
      <c r="J499" s="6">
        <v>0</v>
      </c>
      <c r="K499" s="6">
        <v>0</v>
      </c>
      <c r="L499" s="6">
        <v>4.3650000000000002</v>
      </c>
      <c r="M499" s="6">
        <v>4.3650000000000002</v>
      </c>
      <c r="N499" s="6">
        <v>4.3650000000000002</v>
      </c>
      <c r="O499" s="6">
        <v>4.3650000000000002</v>
      </c>
      <c r="P499" s="6">
        <v>0</v>
      </c>
      <c r="Q499" s="4" t="s">
        <v>26</v>
      </c>
      <c r="R499" s="4">
        <v>0</v>
      </c>
      <c r="S499" s="6">
        <v>0</v>
      </c>
      <c r="T499" s="6">
        <v>19</v>
      </c>
      <c r="U499" s="6">
        <v>65</v>
      </c>
      <c r="V499" s="6">
        <f>IF(ISERROR(VLOOKUP($S$499,'TAR FIN'!$A$1:$O$103,15,0)),0,VLOOKUP($S$499,'TAR FIN'!$A$1:$O$103,15,0))</f>
        <v>0</v>
      </c>
      <c r="W499" s="6">
        <f>IF(ISERROR(VLOOKUP($T$499,'TAR FIN'!$A$1:$O$103,15,0)),0,VLOOKUP($T$499,'TAR FIN'!$A$1:$O$103,15,0))</f>
        <v>842.31</v>
      </c>
      <c r="X499" s="6">
        <f>IF(ISERROR(VLOOKUP($U$499,'TAR FIN'!$A$1:$O$103,15,0)),0,VLOOKUP($U$499,'TAR FIN'!$A$1:$O$103,15,0))</f>
        <v>454.9</v>
      </c>
      <c r="Y499" s="6"/>
      <c r="Z499" s="6">
        <f ca="1">('TUSD BE'!$AM$21+'TUSD BF'!$AM$21+'TUSD CVA'!$AM$21)*1</f>
        <v>1146.3801365962368</v>
      </c>
      <c r="AA499" s="6">
        <f>('TE BE'!$AB$8+'TE BF'!$AB$8+'TE CVA'!$AB$8)*1</f>
        <v>415.05449050541699</v>
      </c>
      <c r="AB499" s="6">
        <f>$K$499*$V$499</f>
        <v>0</v>
      </c>
      <c r="AC499" s="6">
        <f>$M$499*$W$499</f>
        <v>3676.6831499999998</v>
      </c>
      <c r="AD499" s="6">
        <f>$O$499*$X$499</f>
        <v>1985.6385</v>
      </c>
      <c r="AE499" s="6">
        <f>$K$499*$Y$499</f>
        <v>0</v>
      </c>
      <c r="AF499" s="6">
        <f ca="1">$M$499*$Z$499</f>
        <v>5003.9492962425738</v>
      </c>
      <c r="AG499" s="6">
        <f>$O$499*$AA$499</f>
        <v>1811.7128510561452</v>
      </c>
    </row>
    <row r="500" spans="1:33" ht="11.25" customHeight="1" x14ac:dyDescent="0.25">
      <c r="A500" s="4" t="s">
        <v>21</v>
      </c>
      <c r="B500" s="4" t="s">
        <v>33</v>
      </c>
      <c r="C500" s="4" t="s">
        <v>34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44621</v>
      </c>
      <c r="J500" s="6">
        <v>0</v>
      </c>
      <c r="K500" s="6">
        <v>0</v>
      </c>
      <c r="L500" s="6">
        <v>4.7930000000000001</v>
      </c>
      <c r="M500" s="6">
        <v>4.7930000000000001</v>
      </c>
      <c r="N500" s="6">
        <v>4.7930000000000001</v>
      </c>
      <c r="O500" s="6">
        <v>4.7930000000000001</v>
      </c>
      <c r="P500" s="6">
        <v>0</v>
      </c>
      <c r="Q500" s="4" t="s">
        <v>26</v>
      </c>
      <c r="R500" s="4">
        <v>0</v>
      </c>
      <c r="S500" s="6">
        <v>0</v>
      </c>
      <c r="T500" s="6">
        <v>19</v>
      </c>
      <c r="U500" s="6">
        <v>65</v>
      </c>
      <c r="V500" s="6">
        <f>IF(ISERROR(VLOOKUP($S$500,'TAR FIN'!$A$1:$O$103,15,0)),0,VLOOKUP($S$500,'TAR FIN'!$A$1:$O$103,15,0))</f>
        <v>0</v>
      </c>
      <c r="W500" s="6">
        <f>IF(ISERROR(VLOOKUP($T$500,'TAR FIN'!$A$1:$O$103,15,0)),0,VLOOKUP($T$500,'TAR FIN'!$A$1:$O$103,15,0))</f>
        <v>842.31</v>
      </c>
      <c r="X500" s="6">
        <f>IF(ISERROR(VLOOKUP($U$500,'TAR FIN'!$A$1:$O$103,15,0)),0,VLOOKUP($U$500,'TAR FIN'!$A$1:$O$103,15,0))</f>
        <v>454.9</v>
      </c>
      <c r="Y500" s="6"/>
      <c r="Z500" s="6">
        <f ca="1">('TUSD BE'!$AM$21+'TUSD BF'!$AM$21+'TUSD CVA'!$AM$21)*1</f>
        <v>1146.3801365962368</v>
      </c>
      <c r="AA500" s="6">
        <f>('TE BE'!$AB$8+'TE BF'!$AB$8+'TE CVA'!$AB$8)*1</f>
        <v>415.05449050541699</v>
      </c>
      <c r="AB500" s="6">
        <f>$K$500*$V$500</f>
        <v>0</v>
      </c>
      <c r="AC500" s="6">
        <f>$M$500*$W$500</f>
        <v>4037.1918299999998</v>
      </c>
      <c r="AD500" s="6">
        <f>$O$500*$X$500</f>
        <v>2180.3357000000001</v>
      </c>
      <c r="AE500" s="6">
        <f>$K$500*$Y$500</f>
        <v>0</v>
      </c>
      <c r="AF500" s="6">
        <f ca="1">$M$500*$Z$500</f>
        <v>5494.5999947057626</v>
      </c>
      <c r="AG500" s="6">
        <f>$O$500*$AA$500</f>
        <v>1989.3561729924636</v>
      </c>
    </row>
    <row r="501" spans="1:33" ht="11.25" customHeight="1" x14ac:dyDescent="0.25">
      <c r="A501" s="4" t="s">
        <v>28</v>
      </c>
      <c r="B501" s="4" t="s">
        <v>33</v>
      </c>
      <c r="C501" s="4" t="s">
        <v>34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44621</v>
      </c>
      <c r="J501" s="6">
        <v>0</v>
      </c>
      <c r="K501" s="6">
        <v>0</v>
      </c>
      <c r="L501" s="6">
        <v>1.859</v>
      </c>
      <c r="M501" s="6">
        <v>1.859</v>
      </c>
      <c r="N501" s="6">
        <v>1.859</v>
      </c>
      <c r="O501" s="6">
        <v>1.859</v>
      </c>
      <c r="P501" s="6">
        <v>0</v>
      </c>
      <c r="Q501" s="4" t="s">
        <v>26</v>
      </c>
      <c r="R501" s="4">
        <v>0</v>
      </c>
      <c r="S501" s="6">
        <v>0</v>
      </c>
      <c r="T501" s="6">
        <v>19</v>
      </c>
      <c r="U501" s="6">
        <v>65</v>
      </c>
      <c r="V501" s="6">
        <f>IF(ISERROR(VLOOKUP($S$501,'TAR FIN'!$A$1:$O$103,15,0)),0,VLOOKUP($S$501,'TAR FIN'!$A$1:$O$103,15,0))</f>
        <v>0</v>
      </c>
      <c r="W501" s="6">
        <f>IF(ISERROR(VLOOKUP($T$501,'TAR FIN'!$A$1:$O$103,15,0)),0,VLOOKUP($T$501,'TAR FIN'!$A$1:$O$103,15,0))</f>
        <v>842.31</v>
      </c>
      <c r="X501" s="6">
        <f>IF(ISERROR(VLOOKUP($U$501,'TAR FIN'!$A$1:$O$103,15,0)),0,VLOOKUP($U$501,'TAR FIN'!$A$1:$O$103,15,0))</f>
        <v>454.9</v>
      </c>
      <c r="Y501" s="6"/>
      <c r="Z501" s="6">
        <f ca="1">('TUSD BE'!$AM$21+'TUSD BF'!$AM$21+'TUSD CVA'!$AM$21)*1</f>
        <v>1146.3801365962368</v>
      </c>
      <c r="AA501" s="6">
        <f>('TE BE'!$AB$8+'TE BF'!$AB$8+'TE CVA'!$AB$8)*1</f>
        <v>415.05449050541699</v>
      </c>
      <c r="AB501" s="6">
        <f>$K$501*$V$501</f>
        <v>0</v>
      </c>
      <c r="AC501" s="6">
        <f>$M$501*$W$501</f>
        <v>1565.85429</v>
      </c>
      <c r="AD501" s="6">
        <f>$O$501*$X$501</f>
        <v>845.65909999999997</v>
      </c>
      <c r="AE501" s="6">
        <f>$K$501*$Y$501</f>
        <v>0</v>
      </c>
      <c r="AF501" s="6">
        <f ca="1">$M$501*$Z$501</f>
        <v>2131.1206739324043</v>
      </c>
      <c r="AG501" s="6">
        <f>$O$501*$AA$501</f>
        <v>771.5862978495702</v>
      </c>
    </row>
    <row r="502" spans="1:33" ht="11.25" customHeight="1" x14ac:dyDescent="0.25">
      <c r="A502" s="4" t="s">
        <v>21</v>
      </c>
      <c r="B502" s="4" t="s">
        <v>33</v>
      </c>
      <c r="C502" s="4" t="s">
        <v>34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44652</v>
      </c>
      <c r="J502" s="6">
        <v>0</v>
      </c>
      <c r="K502" s="6">
        <v>0</v>
      </c>
      <c r="L502" s="6">
        <v>3.782</v>
      </c>
      <c r="M502" s="6">
        <v>3.782</v>
      </c>
      <c r="N502" s="6">
        <v>3.782</v>
      </c>
      <c r="O502" s="6">
        <v>3.782</v>
      </c>
      <c r="P502" s="6">
        <v>0</v>
      </c>
      <c r="Q502" s="4" t="s">
        <v>26</v>
      </c>
      <c r="R502" s="4">
        <v>0</v>
      </c>
      <c r="S502" s="6">
        <v>0</v>
      </c>
      <c r="T502" s="6">
        <v>19</v>
      </c>
      <c r="U502" s="6">
        <v>65</v>
      </c>
      <c r="V502" s="6">
        <f>IF(ISERROR(VLOOKUP($S$502,'TAR FIN'!$A$1:$O$103,15,0)),0,VLOOKUP($S$502,'TAR FIN'!$A$1:$O$103,15,0))</f>
        <v>0</v>
      </c>
      <c r="W502" s="6">
        <f>IF(ISERROR(VLOOKUP($T$502,'TAR FIN'!$A$1:$O$103,15,0)),0,VLOOKUP($T$502,'TAR FIN'!$A$1:$O$103,15,0))</f>
        <v>842.31</v>
      </c>
      <c r="X502" s="6">
        <f>IF(ISERROR(VLOOKUP($U$502,'TAR FIN'!$A$1:$O$103,15,0)),0,VLOOKUP($U$502,'TAR FIN'!$A$1:$O$103,15,0))</f>
        <v>454.9</v>
      </c>
      <c r="Y502" s="6"/>
      <c r="Z502" s="6">
        <f ca="1">('TUSD BE'!$AM$21+'TUSD BF'!$AM$21+'TUSD CVA'!$AM$21)*1</f>
        <v>1146.3801365962368</v>
      </c>
      <c r="AA502" s="6">
        <f>('TE BE'!$AB$8+'TE BF'!$AB$8+'TE CVA'!$AB$8)*1</f>
        <v>415.05449050541699</v>
      </c>
      <c r="AB502" s="6">
        <f>$K$502*$V$502</f>
        <v>0</v>
      </c>
      <c r="AC502" s="6">
        <f>$M$502*$W$502</f>
        <v>3185.6164199999998</v>
      </c>
      <c r="AD502" s="6">
        <f>$O$502*$X$502</f>
        <v>1720.4317999999998</v>
      </c>
      <c r="AE502" s="6">
        <f>$K$502*$Y$502</f>
        <v>0</v>
      </c>
      <c r="AF502" s="6">
        <f ca="1">$M$502*$Z$502</f>
        <v>4335.6096766069677</v>
      </c>
      <c r="AG502" s="6">
        <f>$O$502*$AA$502</f>
        <v>1569.736083091487</v>
      </c>
    </row>
    <row r="503" spans="1:33" ht="11.25" customHeight="1" x14ac:dyDescent="0.25">
      <c r="A503" s="4" t="s">
        <v>28</v>
      </c>
      <c r="B503" s="4" t="s">
        <v>33</v>
      </c>
      <c r="C503" s="4" t="s">
        <v>34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44652</v>
      </c>
      <c r="J503" s="6">
        <v>0</v>
      </c>
      <c r="K503" s="6">
        <v>0</v>
      </c>
      <c r="L503" s="6">
        <v>1.6759999999999999</v>
      </c>
      <c r="M503" s="6">
        <v>1.6759999999999999</v>
      </c>
      <c r="N503" s="6">
        <v>1.6759999999999999</v>
      </c>
      <c r="O503" s="6">
        <v>1.6759999999999999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19</v>
      </c>
      <c r="U503" s="6">
        <v>65</v>
      </c>
      <c r="V503" s="6">
        <f>IF(ISERROR(VLOOKUP($S$503,'TAR FIN'!$A$1:$O$103,15,0)),0,VLOOKUP($S$503,'TAR FIN'!$A$1:$O$103,15,0))</f>
        <v>0</v>
      </c>
      <c r="W503" s="6">
        <f>IF(ISERROR(VLOOKUP($T$503,'TAR FIN'!$A$1:$O$103,15,0)),0,VLOOKUP($T$503,'TAR FIN'!$A$1:$O$103,15,0))</f>
        <v>842.31</v>
      </c>
      <c r="X503" s="6">
        <f>IF(ISERROR(VLOOKUP($U$503,'TAR FIN'!$A$1:$O$103,15,0)),0,VLOOKUP($U$503,'TAR FIN'!$A$1:$O$103,15,0))</f>
        <v>454.9</v>
      </c>
      <c r="Y503" s="6"/>
      <c r="Z503" s="6">
        <f ca="1">('TUSD BE'!$AM$21+'TUSD BF'!$AM$21+'TUSD CVA'!$AM$21)*1</f>
        <v>1146.3801365962368</v>
      </c>
      <c r="AA503" s="6">
        <f>('TE BE'!$AB$8+'TE BF'!$AB$8+'TE CVA'!$AB$8)*1</f>
        <v>415.05449050541699</v>
      </c>
      <c r="AB503" s="6">
        <f>$K$503*$V$503</f>
        <v>0</v>
      </c>
      <c r="AC503" s="6">
        <f>$M$503*$W$503</f>
        <v>1411.71156</v>
      </c>
      <c r="AD503" s="6">
        <f>$O$503*$X$503</f>
        <v>762.41239999999993</v>
      </c>
      <c r="AE503" s="6">
        <f>$K$503*$Y$503</f>
        <v>0</v>
      </c>
      <c r="AF503" s="6">
        <f ca="1">$M$503*$Z$503</f>
        <v>1921.3331089352928</v>
      </c>
      <c r="AG503" s="6">
        <f>$O$503*$AA$503</f>
        <v>695.63132608707883</v>
      </c>
    </row>
    <row r="504" spans="1:33" ht="11.25" customHeight="1" x14ac:dyDescent="0.25">
      <c r="A504" s="4" t="s">
        <v>21</v>
      </c>
      <c r="B504" s="4" t="s">
        <v>33</v>
      </c>
      <c r="C504" s="4" t="s">
        <v>34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44682</v>
      </c>
      <c r="J504" s="6">
        <v>0</v>
      </c>
      <c r="K504" s="6">
        <v>0</v>
      </c>
      <c r="L504" s="6">
        <v>4.5629999999999997</v>
      </c>
      <c r="M504" s="6">
        <v>4.5629999999999997</v>
      </c>
      <c r="N504" s="6">
        <v>4.5629999999999997</v>
      </c>
      <c r="O504" s="6">
        <v>4.5629999999999997</v>
      </c>
      <c r="P504" s="6">
        <v>0</v>
      </c>
      <c r="Q504" s="4" t="s">
        <v>26</v>
      </c>
      <c r="R504" s="4">
        <v>0</v>
      </c>
      <c r="S504" s="6">
        <v>0</v>
      </c>
      <c r="T504" s="6">
        <v>19</v>
      </c>
      <c r="U504" s="6">
        <v>65</v>
      </c>
      <c r="V504" s="6">
        <f>IF(ISERROR(VLOOKUP($S$504,'TAR FIN'!$A$1:$O$103,15,0)),0,VLOOKUP($S$504,'TAR FIN'!$A$1:$O$103,15,0))</f>
        <v>0</v>
      </c>
      <c r="W504" s="6">
        <f>IF(ISERROR(VLOOKUP($T$504,'TAR FIN'!$A$1:$O$103,15,0)),0,VLOOKUP($T$504,'TAR FIN'!$A$1:$O$103,15,0))</f>
        <v>842.31</v>
      </c>
      <c r="X504" s="6">
        <f>IF(ISERROR(VLOOKUP($U$504,'TAR FIN'!$A$1:$O$103,15,0)),0,VLOOKUP($U$504,'TAR FIN'!$A$1:$O$103,15,0))</f>
        <v>454.9</v>
      </c>
      <c r="Y504" s="6"/>
      <c r="Z504" s="6">
        <f ca="1">('TUSD BE'!$AM$21+'TUSD BF'!$AM$21+'TUSD CVA'!$AM$21)*1</f>
        <v>1146.3801365962368</v>
      </c>
      <c r="AA504" s="6">
        <f>('TE BE'!$AB$8+'TE BF'!$AB$8+'TE CVA'!$AB$8)*1</f>
        <v>415.05449050541699</v>
      </c>
      <c r="AB504" s="6">
        <f>$K$504*$V$504</f>
        <v>0</v>
      </c>
      <c r="AC504" s="6">
        <f>$M$504*$W$504</f>
        <v>3843.4605299999994</v>
      </c>
      <c r="AD504" s="6">
        <f>$O$504*$X$504</f>
        <v>2075.7086999999997</v>
      </c>
      <c r="AE504" s="6">
        <f>$K$504*$Y$504</f>
        <v>0</v>
      </c>
      <c r="AF504" s="6">
        <f ca="1">$M$504*$Z$504</f>
        <v>5230.9325632886275</v>
      </c>
      <c r="AG504" s="6">
        <f>$O$504*$AA$504</f>
        <v>1893.8936401762176</v>
      </c>
    </row>
    <row r="505" spans="1:33" ht="11.25" customHeight="1" x14ac:dyDescent="0.25">
      <c r="A505" s="4" t="s">
        <v>28</v>
      </c>
      <c r="B505" s="4" t="s">
        <v>33</v>
      </c>
      <c r="C505" s="4" t="s">
        <v>34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44682</v>
      </c>
      <c r="J505" s="6">
        <v>0</v>
      </c>
      <c r="K505" s="6">
        <v>0</v>
      </c>
      <c r="L505" s="6">
        <v>2.444</v>
      </c>
      <c r="M505" s="6">
        <v>2.444</v>
      </c>
      <c r="N505" s="6">
        <v>2.444</v>
      </c>
      <c r="O505" s="6">
        <v>2.444</v>
      </c>
      <c r="P505" s="6">
        <v>0</v>
      </c>
      <c r="Q505" s="4" t="s">
        <v>26</v>
      </c>
      <c r="R505" s="4">
        <v>0</v>
      </c>
      <c r="S505" s="6">
        <v>0</v>
      </c>
      <c r="T505" s="6">
        <v>19</v>
      </c>
      <c r="U505" s="6">
        <v>65</v>
      </c>
      <c r="V505" s="6">
        <f>IF(ISERROR(VLOOKUP($S$505,'TAR FIN'!$A$1:$O$103,15,0)),0,VLOOKUP($S$505,'TAR FIN'!$A$1:$O$103,15,0))</f>
        <v>0</v>
      </c>
      <c r="W505" s="6">
        <f>IF(ISERROR(VLOOKUP($T$505,'TAR FIN'!$A$1:$O$103,15,0)),0,VLOOKUP($T$505,'TAR FIN'!$A$1:$O$103,15,0))</f>
        <v>842.31</v>
      </c>
      <c r="X505" s="6">
        <f>IF(ISERROR(VLOOKUP($U$505,'TAR FIN'!$A$1:$O$103,15,0)),0,VLOOKUP($U$505,'TAR FIN'!$A$1:$O$103,15,0))</f>
        <v>454.9</v>
      </c>
      <c r="Y505" s="6"/>
      <c r="Z505" s="6">
        <f ca="1">('TUSD BE'!$AM$21+'TUSD BF'!$AM$21+'TUSD CVA'!$AM$21)*1</f>
        <v>1146.3801365962368</v>
      </c>
      <c r="AA505" s="6">
        <f>('TE BE'!$AB$8+'TE BF'!$AB$8+'TE CVA'!$AB$8)*1</f>
        <v>415.05449050541699</v>
      </c>
      <c r="AB505" s="6">
        <f>$K$505*$V$505</f>
        <v>0</v>
      </c>
      <c r="AC505" s="6">
        <f>$M$505*$W$505</f>
        <v>2058.6056399999998</v>
      </c>
      <c r="AD505" s="6">
        <f>$O$505*$X$505</f>
        <v>1111.7755999999999</v>
      </c>
      <c r="AE505" s="6">
        <f>$K$505*$Y$505</f>
        <v>0</v>
      </c>
      <c r="AF505" s="6">
        <f ca="1">$M$505*$Z$505</f>
        <v>2801.7530538412025</v>
      </c>
      <c r="AG505" s="6">
        <f>$O$505*$AA$505</f>
        <v>1014.3931747952391</v>
      </c>
    </row>
    <row r="506" spans="1:33" ht="11.25" customHeight="1" x14ac:dyDescent="0.25">
      <c r="A506" s="4" t="s">
        <v>21</v>
      </c>
      <c r="B506" s="4" t="s">
        <v>33</v>
      </c>
      <c r="C506" s="4" t="s">
        <v>34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35</v>
      </c>
      <c r="I506" s="5">
        <v>44348</v>
      </c>
      <c r="J506" s="6">
        <v>0</v>
      </c>
      <c r="K506" s="6">
        <v>0</v>
      </c>
      <c r="L506" s="6">
        <v>1.1679999999999999</v>
      </c>
      <c r="M506" s="6">
        <v>1.1679999999999999</v>
      </c>
      <c r="N506" s="6">
        <v>1.1679999999999999</v>
      </c>
      <c r="O506" s="6">
        <v>1.1679999999999999</v>
      </c>
      <c r="P506" s="6">
        <v>0</v>
      </c>
      <c r="Q506" s="4" t="s">
        <v>26</v>
      </c>
      <c r="R506" s="4">
        <v>0</v>
      </c>
      <c r="S506" s="6">
        <v>0</v>
      </c>
      <c r="T506" s="6">
        <v>20</v>
      </c>
      <c r="U506" s="6">
        <v>66</v>
      </c>
      <c r="V506" s="6">
        <f>IF(ISERROR(VLOOKUP($S$506,'TAR FIN'!$A$1:$O$103,15,0)),0,VLOOKUP($S$506,'TAR FIN'!$A$1:$O$103,15,0))</f>
        <v>0</v>
      </c>
      <c r="W506" s="6">
        <f>IF(ISERROR(VLOOKUP($T$506,'TAR FIN'!$A$1:$O$103,15,0)),0,VLOOKUP($T$506,'TAR FIN'!$A$1:$O$103,15,0))</f>
        <v>69.37</v>
      </c>
      <c r="X506" s="6">
        <f>IF(ISERROR(VLOOKUP($U$506,'TAR FIN'!$A$1:$O$103,15,0)),0,VLOOKUP($U$506,'TAR FIN'!$A$1:$O$103,15,0))</f>
        <v>284.36</v>
      </c>
      <c r="Y506" s="6"/>
      <c r="Z506" s="6">
        <f ca="1">('TUSD BE'!$AM$22+'TUSD BF'!$AM$22+'TUSD CVA'!$AM$22)*1</f>
        <v>111.236500713561</v>
      </c>
      <c r="AA506" s="6">
        <f>('TE BE'!$AB$9+'TE BF'!$AB$9+'TE CVA'!$AB$9)*1</f>
        <v>259.03677522481752</v>
      </c>
      <c r="AB506" s="6">
        <f>$K$506*$V$506</f>
        <v>0</v>
      </c>
      <c r="AC506" s="6">
        <f>$M$506*$W$506</f>
        <v>81.024159999999995</v>
      </c>
      <c r="AD506" s="6">
        <f>$O$506*$X$506</f>
        <v>332.13247999999999</v>
      </c>
      <c r="AE506" s="6">
        <f>$K$506*$Y$506</f>
        <v>0</v>
      </c>
      <c r="AF506" s="6">
        <f ca="1">$M$506*$Z$506</f>
        <v>129.92423283343925</v>
      </c>
      <c r="AG506" s="6">
        <f>$O$506*$AA$506</f>
        <v>302.55495346258687</v>
      </c>
    </row>
    <row r="507" spans="1:33" ht="11.25" customHeight="1" x14ac:dyDescent="0.25">
      <c r="A507" s="4" t="s">
        <v>21</v>
      </c>
      <c r="B507" s="4" t="s">
        <v>33</v>
      </c>
      <c r="C507" s="4" t="s">
        <v>34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35</v>
      </c>
      <c r="I507" s="5">
        <v>44378</v>
      </c>
      <c r="J507" s="6">
        <v>0</v>
      </c>
      <c r="K507" s="6">
        <v>0</v>
      </c>
      <c r="L507" s="6">
        <v>1.3240000000000001</v>
      </c>
      <c r="M507" s="6">
        <v>1.3240000000000001</v>
      </c>
      <c r="N507" s="6">
        <v>1.3240000000000001</v>
      </c>
      <c r="O507" s="6">
        <v>1.3240000000000001</v>
      </c>
      <c r="P507" s="6">
        <v>0</v>
      </c>
      <c r="Q507" s="4" t="s">
        <v>26</v>
      </c>
      <c r="R507" s="4">
        <v>0</v>
      </c>
      <c r="S507" s="6">
        <v>0</v>
      </c>
      <c r="T507" s="6">
        <v>20</v>
      </c>
      <c r="U507" s="6">
        <v>66</v>
      </c>
      <c r="V507" s="6">
        <f>IF(ISERROR(VLOOKUP($S$507,'TAR FIN'!$A$1:$O$103,15,0)),0,VLOOKUP($S$507,'TAR FIN'!$A$1:$O$103,15,0))</f>
        <v>0</v>
      </c>
      <c r="W507" s="6">
        <f>IF(ISERROR(VLOOKUP($T$507,'TAR FIN'!$A$1:$O$103,15,0)),0,VLOOKUP($T$507,'TAR FIN'!$A$1:$O$103,15,0))</f>
        <v>69.37</v>
      </c>
      <c r="X507" s="6">
        <f>IF(ISERROR(VLOOKUP($U$507,'TAR FIN'!$A$1:$O$103,15,0)),0,VLOOKUP($U$507,'TAR FIN'!$A$1:$O$103,15,0))</f>
        <v>284.36</v>
      </c>
      <c r="Y507" s="6"/>
      <c r="Z507" s="6">
        <f ca="1">('TUSD BE'!$AM$22+'TUSD BF'!$AM$22+'TUSD CVA'!$AM$22)*1</f>
        <v>111.236500713561</v>
      </c>
      <c r="AA507" s="6">
        <f>('TE BE'!$AB$9+'TE BF'!$AB$9+'TE CVA'!$AB$9)*1</f>
        <v>259.03677522481752</v>
      </c>
      <c r="AB507" s="6">
        <f>$K$507*$V$507</f>
        <v>0</v>
      </c>
      <c r="AC507" s="6">
        <f>$M$507*$W$507</f>
        <v>91.845880000000008</v>
      </c>
      <c r="AD507" s="6">
        <f>$O$507*$X$507</f>
        <v>376.49264000000005</v>
      </c>
      <c r="AE507" s="6">
        <f>$K$507*$Y$507</f>
        <v>0</v>
      </c>
      <c r="AF507" s="6">
        <f ca="1">$M$507*$Z$507</f>
        <v>147.27712694475477</v>
      </c>
      <c r="AG507" s="6">
        <f>$O$507*$AA$507</f>
        <v>342.96469039765839</v>
      </c>
    </row>
    <row r="508" spans="1:33" ht="11.25" customHeight="1" x14ac:dyDescent="0.25">
      <c r="A508" s="4" t="s">
        <v>21</v>
      </c>
      <c r="B508" s="4" t="s">
        <v>33</v>
      </c>
      <c r="C508" s="4" t="s">
        <v>34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35</v>
      </c>
      <c r="I508" s="5">
        <v>44409</v>
      </c>
      <c r="J508" s="6">
        <v>0</v>
      </c>
      <c r="K508" s="6">
        <v>0</v>
      </c>
      <c r="L508" s="6">
        <v>1.2330000000000001</v>
      </c>
      <c r="M508" s="6">
        <v>1.2330000000000001</v>
      </c>
      <c r="N508" s="6">
        <v>1.2330000000000001</v>
      </c>
      <c r="O508" s="6">
        <v>1.2330000000000001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20</v>
      </c>
      <c r="U508" s="6">
        <v>66</v>
      </c>
      <c r="V508" s="6">
        <f>IF(ISERROR(VLOOKUP($S$508,'TAR FIN'!$A$1:$O$103,15,0)),0,VLOOKUP($S$508,'TAR FIN'!$A$1:$O$103,15,0))</f>
        <v>0</v>
      </c>
      <c r="W508" s="6">
        <f>IF(ISERROR(VLOOKUP($T$508,'TAR FIN'!$A$1:$O$103,15,0)),0,VLOOKUP($T$508,'TAR FIN'!$A$1:$O$103,15,0))</f>
        <v>69.37</v>
      </c>
      <c r="X508" s="6">
        <f>IF(ISERROR(VLOOKUP($U$508,'TAR FIN'!$A$1:$O$103,15,0)),0,VLOOKUP($U$508,'TAR FIN'!$A$1:$O$103,15,0))</f>
        <v>284.36</v>
      </c>
      <c r="Y508" s="6"/>
      <c r="Z508" s="6">
        <f ca="1">('TUSD BE'!$AM$22+'TUSD BF'!$AM$22+'TUSD CVA'!$AM$22)*1</f>
        <v>111.236500713561</v>
      </c>
      <c r="AA508" s="6">
        <f>('TE BE'!$AB$9+'TE BF'!$AB$9+'TE CVA'!$AB$9)*1</f>
        <v>259.03677522481752</v>
      </c>
      <c r="AB508" s="6">
        <f>$K$508*$V$508</f>
        <v>0</v>
      </c>
      <c r="AC508" s="6">
        <f>$M$508*$W$508</f>
        <v>85.533210000000011</v>
      </c>
      <c r="AD508" s="6">
        <f>$O$508*$X$508</f>
        <v>350.61588000000006</v>
      </c>
      <c r="AE508" s="6">
        <f>$K$508*$Y$508</f>
        <v>0</v>
      </c>
      <c r="AF508" s="6">
        <f ca="1">$M$508*$Z$508</f>
        <v>137.15460537982074</v>
      </c>
      <c r="AG508" s="6">
        <f>$O$508*$AA$508</f>
        <v>319.39234385220004</v>
      </c>
    </row>
    <row r="509" spans="1:33" ht="11.25" customHeight="1" x14ac:dyDescent="0.25">
      <c r="A509" s="4" t="s">
        <v>21</v>
      </c>
      <c r="B509" s="4" t="s">
        <v>33</v>
      </c>
      <c r="C509" s="4" t="s">
        <v>34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35</v>
      </c>
      <c r="I509" s="5">
        <v>44440</v>
      </c>
      <c r="J509" s="6">
        <v>0</v>
      </c>
      <c r="K509" s="6">
        <v>0</v>
      </c>
      <c r="L509" s="6">
        <v>1.385</v>
      </c>
      <c r="M509" s="6">
        <v>1.385</v>
      </c>
      <c r="N509" s="6">
        <v>1.385</v>
      </c>
      <c r="O509" s="6">
        <v>1.385</v>
      </c>
      <c r="P509" s="6">
        <v>0</v>
      </c>
      <c r="Q509" s="4" t="s">
        <v>26</v>
      </c>
      <c r="R509" s="4">
        <v>0</v>
      </c>
      <c r="S509" s="6">
        <v>0</v>
      </c>
      <c r="T509" s="6">
        <v>20</v>
      </c>
      <c r="U509" s="6">
        <v>66</v>
      </c>
      <c r="V509" s="6">
        <f>IF(ISERROR(VLOOKUP($S$509,'TAR FIN'!$A$1:$O$103,15,0)),0,VLOOKUP($S$509,'TAR FIN'!$A$1:$O$103,15,0))</f>
        <v>0</v>
      </c>
      <c r="W509" s="6">
        <f>IF(ISERROR(VLOOKUP($T$509,'TAR FIN'!$A$1:$O$103,15,0)),0,VLOOKUP($T$509,'TAR FIN'!$A$1:$O$103,15,0))</f>
        <v>69.37</v>
      </c>
      <c r="X509" s="6">
        <f>IF(ISERROR(VLOOKUP($U$509,'TAR FIN'!$A$1:$O$103,15,0)),0,VLOOKUP($U$509,'TAR FIN'!$A$1:$O$103,15,0))</f>
        <v>284.36</v>
      </c>
      <c r="Y509" s="6"/>
      <c r="Z509" s="6">
        <f ca="1">('TUSD BE'!$AM$22+'TUSD BF'!$AM$22+'TUSD CVA'!$AM$22)*1</f>
        <v>111.236500713561</v>
      </c>
      <c r="AA509" s="6">
        <f>('TE BE'!$AB$9+'TE BF'!$AB$9+'TE CVA'!$AB$9)*1</f>
        <v>259.03677522481752</v>
      </c>
      <c r="AB509" s="6">
        <f>$K$509*$V$509</f>
        <v>0</v>
      </c>
      <c r="AC509" s="6">
        <f>$M$509*$W$509</f>
        <v>96.077450000000013</v>
      </c>
      <c r="AD509" s="6">
        <f>$O$509*$X$509</f>
        <v>393.83860000000004</v>
      </c>
      <c r="AE509" s="6">
        <f>$K$509*$Y$509</f>
        <v>0</v>
      </c>
      <c r="AF509" s="6">
        <f ca="1">$M$509*$Z$509</f>
        <v>154.06255348828199</v>
      </c>
      <c r="AG509" s="6">
        <f>$O$509*$AA$509</f>
        <v>358.76593368637225</v>
      </c>
    </row>
    <row r="510" spans="1:33" ht="11.25" customHeight="1" x14ac:dyDescent="0.25">
      <c r="A510" s="4" t="s">
        <v>21</v>
      </c>
      <c r="B510" s="4" t="s">
        <v>33</v>
      </c>
      <c r="C510" s="4" t="s">
        <v>34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35</v>
      </c>
      <c r="I510" s="5">
        <v>44470</v>
      </c>
      <c r="J510" s="6">
        <v>0</v>
      </c>
      <c r="K510" s="6">
        <v>0</v>
      </c>
      <c r="L510" s="6">
        <v>1.3320000000000001</v>
      </c>
      <c r="M510" s="6">
        <v>1.3320000000000001</v>
      </c>
      <c r="N510" s="6">
        <v>1.3320000000000001</v>
      </c>
      <c r="O510" s="6">
        <v>1.3320000000000001</v>
      </c>
      <c r="P510" s="6">
        <v>0</v>
      </c>
      <c r="Q510" s="4" t="s">
        <v>26</v>
      </c>
      <c r="R510" s="4">
        <v>0</v>
      </c>
      <c r="S510" s="6">
        <v>0</v>
      </c>
      <c r="T510" s="6">
        <v>20</v>
      </c>
      <c r="U510" s="6">
        <v>66</v>
      </c>
      <c r="V510" s="6">
        <f>IF(ISERROR(VLOOKUP($S$510,'TAR FIN'!$A$1:$O$103,15,0)),0,VLOOKUP($S$510,'TAR FIN'!$A$1:$O$103,15,0))</f>
        <v>0</v>
      </c>
      <c r="W510" s="6">
        <f>IF(ISERROR(VLOOKUP($T$510,'TAR FIN'!$A$1:$O$103,15,0)),0,VLOOKUP($T$510,'TAR FIN'!$A$1:$O$103,15,0))</f>
        <v>69.37</v>
      </c>
      <c r="X510" s="6">
        <f>IF(ISERROR(VLOOKUP($U$510,'TAR FIN'!$A$1:$O$103,15,0)),0,VLOOKUP($U$510,'TAR FIN'!$A$1:$O$103,15,0))</f>
        <v>284.36</v>
      </c>
      <c r="Y510" s="6"/>
      <c r="Z510" s="6">
        <f ca="1">('TUSD BE'!$AM$22+'TUSD BF'!$AM$22+'TUSD CVA'!$AM$22)*1</f>
        <v>111.236500713561</v>
      </c>
      <c r="AA510" s="6">
        <f>('TE BE'!$AB$9+'TE BF'!$AB$9+'TE CVA'!$AB$9)*1</f>
        <v>259.03677522481752</v>
      </c>
      <c r="AB510" s="6">
        <f>$K$510*$V$510</f>
        <v>0</v>
      </c>
      <c r="AC510" s="6">
        <f>$M$510*$W$510</f>
        <v>92.400840000000017</v>
      </c>
      <c r="AD510" s="6">
        <f>$O$510*$X$510</f>
        <v>378.76752000000005</v>
      </c>
      <c r="AE510" s="6">
        <f>$K$510*$Y$510</f>
        <v>0</v>
      </c>
      <c r="AF510" s="6">
        <f ca="1">$M$510*$Z$510</f>
        <v>148.16701895046327</v>
      </c>
      <c r="AG510" s="6">
        <f>$O$510*$AA$510</f>
        <v>345.03698459945696</v>
      </c>
    </row>
    <row r="511" spans="1:33" ht="11.25" customHeight="1" x14ac:dyDescent="0.25">
      <c r="A511" s="4" t="s">
        <v>21</v>
      </c>
      <c r="B511" s="4" t="s">
        <v>33</v>
      </c>
      <c r="C511" s="4" t="s">
        <v>34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35</v>
      </c>
      <c r="I511" s="5">
        <v>44501</v>
      </c>
      <c r="J511" s="6">
        <v>0</v>
      </c>
      <c r="K511" s="6">
        <v>0</v>
      </c>
      <c r="L511" s="6">
        <v>1.327</v>
      </c>
      <c r="M511" s="6">
        <v>1.327</v>
      </c>
      <c r="N511" s="6">
        <v>1.327</v>
      </c>
      <c r="O511" s="6">
        <v>1.327</v>
      </c>
      <c r="P511" s="6">
        <v>0</v>
      </c>
      <c r="Q511" s="4" t="s">
        <v>26</v>
      </c>
      <c r="R511" s="4">
        <v>0</v>
      </c>
      <c r="S511" s="6">
        <v>0</v>
      </c>
      <c r="T511" s="6">
        <v>20</v>
      </c>
      <c r="U511" s="6">
        <v>66</v>
      </c>
      <c r="V511" s="6">
        <f>IF(ISERROR(VLOOKUP($S$511,'TAR FIN'!$A$1:$O$103,15,0)),0,VLOOKUP($S$511,'TAR FIN'!$A$1:$O$103,15,0))</f>
        <v>0</v>
      </c>
      <c r="W511" s="6">
        <f>IF(ISERROR(VLOOKUP($T$511,'TAR FIN'!$A$1:$O$103,15,0)),0,VLOOKUP($T$511,'TAR FIN'!$A$1:$O$103,15,0))</f>
        <v>69.37</v>
      </c>
      <c r="X511" s="6">
        <f>IF(ISERROR(VLOOKUP($U$511,'TAR FIN'!$A$1:$O$103,15,0)),0,VLOOKUP($U$511,'TAR FIN'!$A$1:$O$103,15,0))</f>
        <v>284.36</v>
      </c>
      <c r="Y511" s="6"/>
      <c r="Z511" s="6">
        <f ca="1">('TUSD BE'!$AM$22+'TUSD BF'!$AM$22+'TUSD CVA'!$AM$22)*1</f>
        <v>111.236500713561</v>
      </c>
      <c r="AA511" s="6">
        <f>('TE BE'!$AB$9+'TE BF'!$AB$9+'TE CVA'!$AB$9)*1</f>
        <v>259.03677522481752</v>
      </c>
      <c r="AB511" s="6">
        <f>$K$511*$V$511</f>
        <v>0</v>
      </c>
      <c r="AC511" s="6">
        <f>$M$511*$W$511</f>
        <v>92.053989999999999</v>
      </c>
      <c r="AD511" s="6">
        <f>$O$511*$X$511</f>
        <v>377.34572000000003</v>
      </c>
      <c r="AE511" s="6">
        <f>$K$511*$Y$511</f>
        <v>0</v>
      </c>
      <c r="AF511" s="6">
        <f ca="1">$M$511*$Z$511</f>
        <v>147.61083644689543</v>
      </c>
      <c r="AG511" s="6">
        <f>$O$511*$AA$511</f>
        <v>343.74180072333286</v>
      </c>
    </row>
    <row r="512" spans="1:33" ht="11.25" customHeight="1" x14ac:dyDescent="0.25">
      <c r="A512" s="4" t="s">
        <v>21</v>
      </c>
      <c r="B512" s="4" t="s">
        <v>33</v>
      </c>
      <c r="C512" s="4" t="s">
        <v>34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35</v>
      </c>
      <c r="I512" s="5">
        <v>44531</v>
      </c>
      <c r="J512" s="6">
        <v>0</v>
      </c>
      <c r="K512" s="6">
        <v>0</v>
      </c>
      <c r="L512" s="6">
        <v>2.3889999999999998</v>
      </c>
      <c r="M512" s="6">
        <v>2.3889999999999998</v>
      </c>
      <c r="N512" s="6">
        <v>2.3889999999999998</v>
      </c>
      <c r="O512" s="6">
        <v>2.3889999999999998</v>
      </c>
      <c r="P512" s="6">
        <v>0</v>
      </c>
      <c r="Q512" s="4" t="s">
        <v>26</v>
      </c>
      <c r="R512" s="4">
        <v>0</v>
      </c>
      <c r="S512" s="6">
        <v>0</v>
      </c>
      <c r="T512" s="6">
        <v>20</v>
      </c>
      <c r="U512" s="6">
        <v>66</v>
      </c>
      <c r="V512" s="6">
        <f>IF(ISERROR(VLOOKUP($S$512,'TAR FIN'!$A$1:$O$103,15,0)),0,VLOOKUP($S$512,'TAR FIN'!$A$1:$O$103,15,0))</f>
        <v>0</v>
      </c>
      <c r="W512" s="6">
        <f>IF(ISERROR(VLOOKUP($T$512,'TAR FIN'!$A$1:$O$103,15,0)),0,VLOOKUP($T$512,'TAR FIN'!$A$1:$O$103,15,0))</f>
        <v>69.37</v>
      </c>
      <c r="X512" s="6">
        <f>IF(ISERROR(VLOOKUP($U$512,'TAR FIN'!$A$1:$O$103,15,0)),0,VLOOKUP($U$512,'TAR FIN'!$A$1:$O$103,15,0))</f>
        <v>284.36</v>
      </c>
      <c r="Y512" s="6"/>
      <c r="Z512" s="6">
        <f ca="1">('TUSD BE'!$AM$22+'TUSD BF'!$AM$22+'TUSD CVA'!$AM$22)*1</f>
        <v>111.236500713561</v>
      </c>
      <c r="AA512" s="6">
        <f>('TE BE'!$AB$9+'TE BF'!$AB$9+'TE CVA'!$AB$9)*1</f>
        <v>259.03677522481752</v>
      </c>
      <c r="AB512" s="6">
        <f>$K$512*$V$512</f>
        <v>0</v>
      </c>
      <c r="AC512" s="6">
        <f>$M$512*$W$512</f>
        <v>165.72493</v>
      </c>
      <c r="AD512" s="6">
        <f>$O$512*$X$512</f>
        <v>679.33604000000003</v>
      </c>
      <c r="AE512" s="6">
        <f>$K$512*$Y$512</f>
        <v>0</v>
      </c>
      <c r="AF512" s="6">
        <f ca="1">$M$512*$Z$512</f>
        <v>265.74400020469722</v>
      </c>
      <c r="AG512" s="6">
        <f>$O$512*$AA$512</f>
        <v>618.83885601208897</v>
      </c>
    </row>
    <row r="513" spans="1:33" ht="11.25" customHeight="1" x14ac:dyDescent="0.25">
      <c r="A513" s="4" t="s">
        <v>21</v>
      </c>
      <c r="B513" s="4" t="s">
        <v>33</v>
      </c>
      <c r="C513" s="4" t="s">
        <v>34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35</v>
      </c>
      <c r="I513" s="5">
        <v>44562</v>
      </c>
      <c r="J513" s="6">
        <v>0</v>
      </c>
      <c r="K513" s="6">
        <v>0</v>
      </c>
      <c r="L513" s="6">
        <v>1.429</v>
      </c>
      <c r="M513" s="6">
        <v>1.429</v>
      </c>
      <c r="N513" s="6">
        <v>1.429</v>
      </c>
      <c r="O513" s="6">
        <v>1.429</v>
      </c>
      <c r="P513" s="6">
        <v>0</v>
      </c>
      <c r="Q513" s="4" t="s">
        <v>26</v>
      </c>
      <c r="R513" s="4">
        <v>0</v>
      </c>
      <c r="S513" s="6">
        <v>0</v>
      </c>
      <c r="T513" s="6">
        <v>20</v>
      </c>
      <c r="U513" s="6">
        <v>66</v>
      </c>
      <c r="V513" s="6">
        <f>IF(ISERROR(VLOOKUP($S$513,'TAR FIN'!$A$1:$O$103,15,0)),0,VLOOKUP($S$513,'TAR FIN'!$A$1:$O$103,15,0))</f>
        <v>0</v>
      </c>
      <c r="W513" s="6">
        <f>IF(ISERROR(VLOOKUP($T$513,'TAR FIN'!$A$1:$O$103,15,0)),0,VLOOKUP($T$513,'TAR FIN'!$A$1:$O$103,15,0))</f>
        <v>69.37</v>
      </c>
      <c r="X513" s="6">
        <f>IF(ISERROR(VLOOKUP($U$513,'TAR FIN'!$A$1:$O$103,15,0)),0,VLOOKUP($U$513,'TAR FIN'!$A$1:$O$103,15,0))</f>
        <v>284.36</v>
      </c>
      <c r="Y513" s="6"/>
      <c r="Z513" s="6">
        <f ca="1">('TUSD BE'!$AM$22+'TUSD BF'!$AM$22+'TUSD CVA'!$AM$22)*1</f>
        <v>111.236500713561</v>
      </c>
      <c r="AA513" s="6">
        <f>('TE BE'!$AB$9+'TE BF'!$AB$9+'TE CVA'!$AB$9)*1</f>
        <v>259.03677522481752</v>
      </c>
      <c r="AB513" s="6">
        <f>$K$513*$V$513</f>
        <v>0</v>
      </c>
      <c r="AC513" s="6">
        <f>$M$513*$W$513</f>
        <v>99.129730000000009</v>
      </c>
      <c r="AD513" s="6">
        <f>$O$513*$X$513</f>
        <v>406.35044000000005</v>
      </c>
      <c r="AE513" s="6">
        <f>$K$513*$Y$513</f>
        <v>0</v>
      </c>
      <c r="AF513" s="6">
        <f ca="1">$M$513*$Z$513</f>
        <v>158.95695951967866</v>
      </c>
      <c r="AG513" s="6">
        <f>$O$513*$AA$513</f>
        <v>370.16355179626424</v>
      </c>
    </row>
    <row r="514" spans="1:33" ht="11.25" customHeight="1" x14ac:dyDescent="0.25">
      <c r="A514" s="4" t="s">
        <v>21</v>
      </c>
      <c r="B514" s="4" t="s">
        <v>33</v>
      </c>
      <c r="C514" s="4" t="s">
        <v>34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35</v>
      </c>
      <c r="I514" s="5">
        <v>44593</v>
      </c>
      <c r="J514" s="6">
        <v>0</v>
      </c>
      <c r="K514" s="6">
        <v>0</v>
      </c>
      <c r="L514" s="6">
        <v>1.653</v>
      </c>
      <c r="M514" s="6">
        <v>1.653</v>
      </c>
      <c r="N514" s="6">
        <v>1.653</v>
      </c>
      <c r="O514" s="6">
        <v>1.653</v>
      </c>
      <c r="P514" s="6">
        <v>0</v>
      </c>
      <c r="Q514" s="4" t="s">
        <v>26</v>
      </c>
      <c r="R514" s="4">
        <v>0</v>
      </c>
      <c r="S514" s="6">
        <v>0</v>
      </c>
      <c r="T514" s="6">
        <v>20</v>
      </c>
      <c r="U514" s="6">
        <v>66</v>
      </c>
      <c r="V514" s="6">
        <f>IF(ISERROR(VLOOKUP($S$514,'TAR FIN'!$A$1:$O$103,15,0)),0,VLOOKUP($S$514,'TAR FIN'!$A$1:$O$103,15,0))</f>
        <v>0</v>
      </c>
      <c r="W514" s="6">
        <f>IF(ISERROR(VLOOKUP($T$514,'TAR FIN'!$A$1:$O$103,15,0)),0,VLOOKUP($T$514,'TAR FIN'!$A$1:$O$103,15,0))</f>
        <v>69.37</v>
      </c>
      <c r="X514" s="6">
        <f>IF(ISERROR(VLOOKUP($U$514,'TAR FIN'!$A$1:$O$103,15,0)),0,VLOOKUP($U$514,'TAR FIN'!$A$1:$O$103,15,0))</f>
        <v>284.36</v>
      </c>
      <c r="Y514" s="6"/>
      <c r="Z514" s="6">
        <f ca="1">('TUSD BE'!$AM$22+'TUSD BF'!$AM$22+'TUSD CVA'!$AM$22)*1</f>
        <v>111.236500713561</v>
      </c>
      <c r="AA514" s="6">
        <f>('TE BE'!$AB$9+'TE BF'!$AB$9+'TE CVA'!$AB$9)*1</f>
        <v>259.03677522481752</v>
      </c>
      <c r="AB514" s="6">
        <f>$K$514*$V$514</f>
        <v>0</v>
      </c>
      <c r="AC514" s="6">
        <f>$M$514*$W$514</f>
        <v>114.66861000000002</v>
      </c>
      <c r="AD514" s="6">
        <f>$O$514*$X$514</f>
        <v>470.04708000000005</v>
      </c>
      <c r="AE514" s="6">
        <f>$K$514*$Y$514</f>
        <v>0</v>
      </c>
      <c r="AF514" s="6">
        <f ca="1">$M$514*$Z$514</f>
        <v>183.87393567951634</v>
      </c>
      <c r="AG514" s="6">
        <f>$O$514*$AA$514</f>
        <v>428.18778944662336</v>
      </c>
    </row>
    <row r="515" spans="1:33" ht="11.25" customHeight="1" x14ac:dyDescent="0.25">
      <c r="A515" s="4" t="s">
        <v>21</v>
      </c>
      <c r="B515" s="4" t="s">
        <v>33</v>
      </c>
      <c r="C515" s="4" t="s">
        <v>34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35</v>
      </c>
      <c r="I515" s="5">
        <v>44621</v>
      </c>
      <c r="J515" s="6">
        <v>0</v>
      </c>
      <c r="K515" s="6">
        <v>0</v>
      </c>
      <c r="L515" s="6">
        <v>1.2490000000000001</v>
      </c>
      <c r="M515" s="6">
        <v>1.2490000000000001</v>
      </c>
      <c r="N515" s="6">
        <v>1.2490000000000001</v>
      </c>
      <c r="O515" s="6">
        <v>1.2490000000000001</v>
      </c>
      <c r="P515" s="6">
        <v>0</v>
      </c>
      <c r="Q515" s="4" t="s">
        <v>26</v>
      </c>
      <c r="R515" s="4">
        <v>0</v>
      </c>
      <c r="S515" s="6">
        <v>0</v>
      </c>
      <c r="T515" s="6">
        <v>20</v>
      </c>
      <c r="U515" s="6">
        <v>66</v>
      </c>
      <c r="V515" s="6">
        <f>IF(ISERROR(VLOOKUP($S$515,'TAR FIN'!$A$1:$O$103,15,0)),0,VLOOKUP($S$515,'TAR FIN'!$A$1:$O$103,15,0))</f>
        <v>0</v>
      </c>
      <c r="W515" s="6">
        <f>IF(ISERROR(VLOOKUP($T$515,'TAR FIN'!$A$1:$O$103,15,0)),0,VLOOKUP($T$515,'TAR FIN'!$A$1:$O$103,15,0))</f>
        <v>69.37</v>
      </c>
      <c r="X515" s="6">
        <f>IF(ISERROR(VLOOKUP($U$515,'TAR FIN'!$A$1:$O$103,15,0)),0,VLOOKUP($U$515,'TAR FIN'!$A$1:$O$103,15,0))</f>
        <v>284.36</v>
      </c>
      <c r="Y515" s="6"/>
      <c r="Z515" s="6">
        <f ca="1">('TUSD BE'!$AM$22+'TUSD BF'!$AM$22+'TUSD CVA'!$AM$22)*1</f>
        <v>111.236500713561</v>
      </c>
      <c r="AA515" s="6">
        <f>('TE BE'!$AB$9+'TE BF'!$AB$9+'TE CVA'!$AB$9)*1</f>
        <v>259.03677522481752</v>
      </c>
      <c r="AB515" s="6">
        <f>$K$515*$V$515</f>
        <v>0</v>
      </c>
      <c r="AC515" s="6">
        <f>$M$515*$W$515</f>
        <v>86.643130000000014</v>
      </c>
      <c r="AD515" s="6">
        <f>$O$515*$X$515</f>
        <v>355.16564000000005</v>
      </c>
      <c r="AE515" s="6">
        <f>$K$515*$Y$515</f>
        <v>0</v>
      </c>
      <c r="AF515" s="6">
        <f ca="1">$M$515*$Z$515</f>
        <v>138.93438939123769</v>
      </c>
      <c r="AG515" s="6">
        <f>$O$515*$AA$515</f>
        <v>323.53693225579713</v>
      </c>
    </row>
    <row r="516" spans="1:33" ht="11.25" customHeight="1" x14ac:dyDescent="0.25">
      <c r="A516" s="4" t="s">
        <v>21</v>
      </c>
      <c r="B516" s="4" t="s">
        <v>33</v>
      </c>
      <c r="C516" s="4" t="s">
        <v>34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35</v>
      </c>
      <c r="I516" s="5">
        <v>44652</v>
      </c>
      <c r="J516" s="6">
        <v>0</v>
      </c>
      <c r="K516" s="6">
        <v>0</v>
      </c>
      <c r="L516" s="6">
        <v>1.2390000000000001</v>
      </c>
      <c r="M516" s="6">
        <v>1.2390000000000001</v>
      </c>
      <c r="N516" s="6">
        <v>1.2390000000000001</v>
      </c>
      <c r="O516" s="6">
        <v>1.2390000000000001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20</v>
      </c>
      <c r="U516" s="6">
        <v>66</v>
      </c>
      <c r="V516" s="6">
        <f>IF(ISERROR(VLOOKUP($S$516,'TAR FIN'!$A$1:$O$103,15,0)),0,VLOOKUP($S$516,'TAR FIN'!$A$1:$O$103,15,0))</f>
        <v>0</v>
      </c>
      <c r="W516" s="6">
        <f>IF(ISERROR(VLOOKUP($T$516,'TAR FIN'!$A$1:$O$103,15,0)),0,VLOOKUP($T$516,'TAR FIN'!$A$1:$O$103,15,0))</f>
        <v>69.37</v>
      </c>
      <c r="X516" s="6">
        <f>IF(ISERROR(VLOOKUP($U$516,'TAR FIN'!$A$1:$O$103,15,0)),0,VLOOKUP($U$516,'TAR FIN'!$A$1:$O$103,15,0))</f>
        <v>284.36</v>
      </c>
      <c r="Y516" s="6"/>
      <c r="Z516" s="6">
        <f ca="1">('TUSD BE'!$AM$22+'TUSD BF'!$AM$22+'TUSD CVA'!$AM$22)*1</f>
        <v>111.236500713561</v>
      </c>
      <c r="AA516" s="6">
        <f>('TE BE'!$AB$9+'TE BF'!$AB$9+'TE CVA'!$AB$9)*1</f>
        <v>259.03677522481752</v>
      </c>
      <c r="AB516" s="6">
        <f>$K$516*$V$516</f>
        <v>0</v>
      </c>
      <c r="AC516" s="6">
        <f>$M$516*$W$516</f>
        <v>85.949430000000007</v>
      </c>
      <c r="AD516" s="6">
        <f>$O$516*$X$516</f>
        <v>352.32204000000007</v>
      </c>
      <c r="AE516" s="6">
        <f>$K$516*$Y$516</f>
        <v>0</v>
      </c>
      <c r="AF516" s="6">
        <f ca="1">$M$516*$Z$516</f>
        <v>137.82202438410209</v>
      </c>
      <c r="AG516" s="6">
        <f>$O$516*$AA$516</f>
        <v>320.94656450354893</v>
      </c>
    </row>
    <row r="517" spans="1:33" ht="11.25" customHeight="1" x14ac:dyDescent="0.25">
      <c r="A517" s="4" t="s">
        <v>21</v>
      </c>
      <c r="B517" s="4" t="s">
        <v>33</v>
      </c>
      <c r="C517" s="4" t="s">
        <v>34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44682</v>
      </c>
      <c r="J517" s="6">
        <v>0</v>
      </c>
      <c r="K517" s="6">
        <v>0</v>
      </c>
      <c r="L517" s="6">
        <v>1.054</v>
      </c>
      <c r="M517" s="6">
        <v>1.054</v>
      </c>
      <c r="N517" s="6">
        <v>1.054</v>
      </c>
      <c r="O517" s="6">
        <v>1.054</v>
      </c>
      <c r="P517" s="6">
        <v>0</v>
      </c>
      <c r="Q517" s="4" t="s">
        <v>26</v>
      </c>
      <c r="R517" s="4">
        <v>0</v>
      </c>
      <c r="S517" s="6">
        <v>0</v>
      </c>
      <c r="T517" s="6">
        <v>20</v>
      </c>
      <c r="U517" s="6">
        <v>66</v>
      </c>
      <c r="V517" s="6">
        <f>IF(ISERROR(VLOOKUP($S$517,'TAR FIN'!$A$1:$O$103,15,0)),0,VLOOKUP($S$517,'TAR FIN'!$A$1:$O$103,15,0))</f>
        <v>0</v>
      </c>
      <c r="W517" s="6">
        <f>IF(ISERROR(VLOOKUP($T$517,'TAR FIN'!$A$1:$O$103,15,0)),0,VLOOKUP($T$517,'TAR FIN'!$A$1:$O$103,15,0))</f>
        <v>69.37</v>
      </c>
      <c r="X517" s="6">
        <f>IF(ISERROR(VLOOKUP($U$517,'TAR FIN'!$A$1:$O$103,15,0)),0,VLOOKUP($U$517,'TAR FIN'!$A$1:$O$103,15,0))</f>
        <v>284.36</v>
      </c>
      <c r="Y517" s="6"/>
      <c r="Z517" s="6">
        <f ca="1">('TUSD BE'!$AM$22+'TUSD BF'!$AM$22+'TUSD CVA'!$AM$22)*1</f>
        <v>111.236500713561</v>
      </c>
      <c r="AA517" s="6">
        <f>('TE BE'!$AB$9+'TE BF'!$AB$9+'TE CVA'!$AB$9)*1</f>
        <v>259.03677522481752</v>
      </c>
      <c r="AB517" s="6">
        <f>$K$517*$V$517</f>
        <v>0</v>
      </c>
      <c r="AC517" s="6">
        <f>$M$517*$W$517</f>
        <v>73.115980000000008</v>
      </c>
      <c r="AD517" s="6">
        <f>$O$517*$X$517</f>
        <v>299.71544</v>
      </c>
      <c r="AE517" s="6">
        <f>$K$517*$Y$517</f>
        <v>0</v>
      </c>
      <c r="AF517" s="6">
        <f ca="1">$M$517*$Z$517</f>
        <v>117.24327175209329</v>
      </c>
      <c r="AG517" s="6">
        <f>$O$517*$AA$517</f>
        <v>273.02476108695765</v>
      </c>
    </row>
    <row r="518" spans="1:33" ht="11.25" customHeight="1" x14ac:dyDescent="0.25">
      <c r="A518" s="4" t="s">
        <v>21</v>
      </c>
      <c r="B518" s="4" t="s">
        <v>33</v>
      </c>
      <c r="C518" s="4" t="s">
        <v>34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25</v>
      </c>
      <c r="I518" s="5">
        <v>44348</v>
      </c>
      <c r="J518" s="6">
        <v>30</v>
      </c>
      <c r="K518" s="6">
        <v>30</v>
      </c>
      <c r="L518" s="6">
        <v>0</v>
      </c>
      <c r="M518" s="6">
        <v>0</v>
      </c>
      <c r="N518" s="6">
        <v>0</v>
      </c>
      <c r="O518" s="6">
        <v>0</v>
      </c>
      <c r="P518" s="6">
        <v>1</v>
      </c>
      <c r="Q518" s="4" t="s">
        <v>26</v>
      </c>
      <c r="R518" s="4">
        <v>0</v>
      </c>
      <c r="S518" s="6">
        <v>18</v>
      </c>
      <c r="T518" s="6">
        <v>0</v>
      </c>
      <c r="U518" s="6">
        <v>0</v>
      </c>
      <c r="V518" s="6">
        <f>IF(ISERROR(VLOOKUP($S$518,'TAR FIN'!$A$1:$O$103,15,0)),0,VLOOKUP($S$518,'TAR FIN'!$A$1:$O$103,15,0))</f>
        <v>12.42</v>
      </c>
      <c r="W518" s="6">
        <f>IF(ISERROR(VLOOKUP($T$518,'TAR FIN'!$A$1:$O$103,15,0)),0,VLOOKUP($T$518,'TAR FIN'!$A$1:$O$103,15,0))</f>
        <v>0</v>
      </c>
      <c r="X518" s="6">
        <f>IF(ISERROR(VLOOKUP($U$518,'TAR FIN'!$A$1:$O$103,15,0)),0,VLOOKUP($U$518,'TAR FIN'!$A$1:$O$103,15,0))</f>
        <v>0</v>
      </c>
      <c r="Y518" s="6">
        <f ca="1">('TUSD BE'!$AM$20+'TUSD BF'!$AM$20+'TUSD CVA'!$AM$20)*1</f>
        <v>16.518304697547443</v>
      </c>
      <c r="Z518" s="6"/>
      <c r="AA518" s="6"/>
      <c r="AB518" s="6">
        <f>$K$518*$V$518</f>
        <v>372.6</v>
      </c>
      <c r="AC518" s="6">
        <f>$M$518*$W$518</f>
        <v>0</v>
      </c>
      <c r="AD518" s="6">
        <f>$O$518*$X$518</f>
        <v>0</v>
      </c>
      <c r="AE518" s="6">
        <f ca="1">$K$518*$Y$518</f>
        <v>495.54914092642326</v>
      </c>
      <c r="AF518" s="6">
        <f>$M$518*$Z$518</f>
        <v>0</v>
      </c>
      <c r="AG518" s="6">
        <f>$O$518*$AA$518</f>
        <v>0</v>
      </c>
    </row>
    <row r="519" spans="1:33" ht="11.25" customHeight="1" x14ac:dyDescent="0.25">
      <c r="A519" s="4" t="s">
        <v>21</v>
      </c>
      <c r="B519" s="4" t="s">
        <v>33</v>
      </c>
      <c r="C519" s="4" t="s">
        <v>34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25</v>
      </c>
      <c r="I519" s="5">
        <v>44378</v>
      </c>
      <c r="J519" s="6">
        <v>30</v>
      </c>
      <c r="K519" s="6">
        <v>30</v>
      </c>
      <c r="L519" s="6">
        <v>0</v>
      </c>
      <c r="M519" s="6">
        <v>0</v>
      </c>
      <c r="N519" s="6">
        <v>0</v>
      </c>
      <c r="O519" s="6">
        <v>0</v>
      </c>
      <c r="P519" s="6">
        <v>1</v>
      </c>
      <c r="Q519" s="4" t="s">
        <v>26</v>
      </c>
      <c r="R519" s="4">
        <v>0</v>
      </c>
      <c r="S519" s="6">
        <v>18</v>
      </c>
      <c r="T519" s="6">
        <v>0</v>
      </c>
      <c r="U519" s="6">
        <v>0</v>
      </c>
      <c r="V519" s="6">
        <f>IF(ISERROR(VLOOKUP($S$519,'TAR FIN'!$A$1:$O$103,15,0)),0,VLOOKUP($S$519,'TAR FIN'!$A$1:$O$103,15,0))</f>
        <v>12.42</v>
      </c>
      <c r="W519" s="6">
        <f>IF(ISERROR(VLOOKUP($T$519,'TAR FIN'!$A$1:$O$103,15,0)),0,VLOOKUP($T$519,'TAR FIN'!$A$1:$O$103,15,0))</f>
        <v>0</v>
      </c>
      <c r="X519" s="6">
        <f>IF(ISERROR(VLOOKUP($U$519,'TAR FIN'!$A$1:$O$103,15,0)),0,VLOOKUP($U$519,'TAR FIN'!$A$1:$O$103,15,0))</f>
        <v>0</v>
      </c>
      <c r="Y519" s="6">
        <f ca="1">('TUSD BE'!$AM$20+'TUSD BF'!$AM$20+'TUSD CVA'!$AM$20)*1</f>
        <v>16.518304697547443</v>
      </c>
      <c r="Z519" s="6"/>
      <c r="AA519" s="6"/>
      <c r="AB519" s="6">
        <f>$K$519*$V$519</f>
        <v>372.6</v>
      </c>
      <c r="AC519" s="6">
        <f>$M$519*$W$519</f>
        <v>0</v>
      </c>
      <c r="AD519" s="6">
        <f>$O$519*$X$519</f>
        <v>0</v>
      </c>
      <c r="AE519" s="6">
        <f ca="1">$K$519*$Y$519</f>
        <v>495.54914092642326</v>
      </c>
      <c r="AF519" s="6">
        <f>$M$519*$Z$519</f>
        <v>0</v>
      </c>
      <c r="AG519" s="6">
        <f>$O$519*$AA$519</f>
        <v>0</v>
      </c>
    </row>
    <row r="520" spans="1:33" ht="11.25" customHeight="1" x14ac:dyDescent="0.25">
      <c r="A520" s="4" t="s">
        <v>21</v>
      </c>
      <c r="B520" s="4" t="s">
        <v>33</v>
      </c>
      <c r="C520" s="4" t="s">
        <v>34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25</v>
      </c>
      <c r="I520" s="5">
        <v>44409</v>
      </c>
      <c r="J520" s="6">
        <v>30</v>
      </c>
      <c r="K520" s="6">
        <v>30</v>
      </c>
      <c r="L520" s="6">
        <v>0</v>
      </c>
      <c r="M520" s="6">
        <v>0</v>
      </c>
      <c r="N520" s="6">
        <v>0</v>
      </c>
      <c r="O520" s="6">
        <v>0</v>
      </c>
      <c r="P520" s="6">
        <v>1</v>
      </c>
      <c r="Q520" s="4" t="s">
        <v>26</v>
      </c>
      <c r="R520" s="4">
        <v>0</v>
      </c>
      <c r="S520" s="6">
        <v>18</v>
      </c>
      <c r="T520" s="6">
        <v>0</v>
      </c>
      <c r="U520" s="6">
        <v>0</v>
      </c>
      <c r="V520" s="6">
        <f>IF(ISERROR(VLOOKUP($S$520,'TAR FIN'!$A$1:$O$103,15,0)),0,VLOOKUP($S$520,'TAR FIN'!$A$1:$O$103,15,0))</f>
        <v>12.42</v>
      </c>
      <c r="W520" s="6">
        <f>IF(ISERROR(VLOOKUP($T$520,'TAR FIN'!$A$1:$O$103,15,0)),0,VLOOKUP($T$520,'TAR FIN'!$A$1:$O$103,15,0))</f>
        <v>0</v>
      </c>
      <c r="X520" s="6">
        <f>IF(ISERROR(VLOOKUP($U$520,'TAR FIN'!$A$1:$O$103,15,0)),0,VLOOKUP($U$520,'TAR FIN'!$A$1:$O$103,15,0))</f>
        <v>0</v>
      </c>
      <c r="Y520" s="6">
        <f ca="1">('TUSD BE'!$AM$20+'TUSD BF'!$AM$20+'TUSD CVA'!$AM$20)*1</f>
        <v>16.518304697547443</v>
      </c>
      <c r="Z520" s="6"/>
      <c r="AA520" s="6"/>
      <c r="AB520" s="6">
        <f>$K$520*$V$520</f>
        <v>372.6</v>
      </c>
      <c r="AC520" s="6">
        <f>$M$520*$W$520</f>
        <v>0</v>
      </c>
      <c r="AD520" s="6">
        <f>$O$520*$X$520</f>
        <v>0</v>
      </c>
      <c r="AE520" s="6">
        <f ca="1">$K$520*$Y$520</f>
        <v>495.54914092642326</v>
      </c>
      <c r="AF520" s="6">
        <f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33</v>
      </c>
      <c r="C521" s="4" t="s">
        <v>34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25</v>
      </c>
      <c r="I521" s="5">
        <v>44440</v>
      </c>
      <c r="J521" s="6">
        <v>30</v>
      </c>
      <c r="K521" s="6">
        <v>30</v>
      </c>
      <c r="L521" s="6">
        <v>0</v>
      </c>
      <c r="M521" s="6">
        <v>0</v>
      </c>
      <c r="N521" s="6">
        <v>0</v>
      </c>
      <c r="O521" s="6">
        <v>0</v>
      </c>
      <c r="P521" s="6">
        <v>1</v>
      </c>
      <c r="Q521" s="4" t="s">
        <v>26</v>
      </c>
      <c r="R521" s="4">
        <v>0</v>
      </c>
      <c r="S521" s="6">
        <v>18</v>
      </c>
      <c r="T521" s="6">
        <v>0</v>
      </c>
      <c r="U521" s="6">
        <v>0</v>
      </c>
      <c r="V521" s="6">
        <f>IF(ISERROR(VLOOKUP($S$521,'TAR FIN'!$A$1:$O$103,15,0)),0,VLOOKUP($S$521,'TAR FIN'!$A$1:$O$103,15,0))</f>
        <v>12.42</v>
      </c>
      <c r="W521" s="6">
        <f>IF(ISERROR(VLOOKUP($T$521,'TAR FIN'!$A$1:$O$103,15,0)),0,VLOOKUP($T$521,'TAR FIN'!$A$1:$O$103,15,0))</f>
        <v>0</v>
      </c>
      <c r="X521" s="6">
        <f>IF(ISERROR(VLOOKUP($U$521,'TAR FIN'!$A$1:$O$103,15,0)),0,VLOOKUP($U$521,'TAR FIN'!$A$1:$O$103,15,0))</f>
        <v>0</v>
      </c>
      <c r="Y521" s="6">
        <f ca="1">('TUSD BE'!$AM$20+'TUSD BF'!$AM$20+'TUSD CVA'!$AM$20)*1</f>
        <v>16.518304697547443</v>
      </c>
      <c r="Z521" s="6"/>
      <c r="AA521" s="6"/>
      <c r="AB521" s="6">
        <f>$K$521*$V$521</f>
        <v>372.6</v>
      </c>
      <c r="AC521" s="6">
        <f>$M$521*$W$521</f>
        <v>0</v>
      </c>
      <c r="AD521" s="6">
        <f>$O$521*$X$521</f>
        <v>0</v>
      </c>
      <c r="AE521" s="6">
        <f ca="1">$K$521*$Y$521</f>
        <v>495.54914092642326</v>
      </c>
      <c r="AF521" s="6">
        <f>$M$521*$Z$521</f>
        <v>0</v>
      </c>
      <c r="AG521" s="6">
        <f>$O$521*$AA$521</f>
        <v>0</v>
      </c>
    </row>
    <row r="522" spans="1:33" ht="11.25" customHeight="1" x14ac:dyDescent="0.25">
      <c r="A522" s="4" t="s">
        <v>21</v>
      </c>
      <c r="B522" s="4" t="s">
        <v>33</v>
      </c>
      <c r="C522" s="4" t="s">
        <v>34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25</v>
      </c>
      <c r="I522" s="5">
        <v>44470</v>
      </c>
      <c r="J522" s="6">
        <v>30</v>
      </c>
      <c r="K522" s="6">
        <v>30</v>
      </c>
      <c r="L522" s="6">
        <v>0</v>
      </c>
      <c r="M522" s="6">
        <v>0</v>
      </c>
      <c r="N522" s="6">
        <v>0</v>
      </c>
      <c r="O522" s="6">
        <v>0</v>
      </c>
      <c r="P522" s="6">
        <v>1</v>
      </c>
      <c r="Q522" s="4" t="s">
        <v>26</v>
      </c>
      <c r="R522" s="4">
        <v>0</v>
      </c>
      <c r="S522" s="6">
        <v>18</v>
      </c>
      <c r="T522" s="6">
        <v>0</v>
      </c>
      <c r="U522" s="6">
        <v>0</v>
      </c>
      <c r="V522" s="6">
        <f>IF(ISERROR(VLOOKUP($S$522,'TAR FIN'!$A$1:$O$103,15,0)),0,VLOOKUP($S$522,'TAR FIN'!$A$1:$O$103,15,0))</f>
        <v>12.42</v>
      </c>
      <c r="W522" s="6">
        <f>IF(ISERROR(VLOOKUP($T$522,'TAR FIN'!$A$1:$O$103,15,0)),0,VLOOKUP($T$522,'TAR FIN'!$A$1:$O$103,15,0))</f>
        <v>0</v>
      </c>
      <c r="X522" s="6">
        <f>IF(ISERROR(VLOOKUP($U$522,'TAR FIN'!$A$1:$O$103,15,0)),0,VLOOKUP($U$522,'TAR FIN'!$A$1:$O$103,15,0))</f>
        <v>0</v>
      </c>
      <c r="Y522" s="6">
        <f ca="1">('TUSD BE'!$AM$20+'TUSD BF'!$AM$20+'TUSD CVA'!$AM$20)*1</f>
        <v>16.518304697547443</v>
      </c>
      <c r="Z522" s="6"/>
      <c r="AA522" s="6"/>
      <c r="AB522" s="6">
        <f>$K$522*$V$522</f>
        <v>372.6</v>
      </c>
      <c r="AC522" s="6">
        <f>$M$522*$W$522</f>
        <v>0</v>
      </c>
      <c r="AD522" s="6">
        <f>$O$522*$X$522</f>
        <v>0</v>
      </c>
      <c r="AE522" s="6">
        <f ca="1">$K$522*$Y$522</f>
        <v>495.54914092642326</v>
      </c>
      <c r="AF522" s="6">
        <f>$M$522*$Z$522</f>
        <v>0</v>
      </c>
      <c r="AG522" s="6">
        <f>$O$522*$AA$522</f>
        <v>0</v>
      </c>
    </row>
    <row r="523" spans="1:33" ht="11.25" customHeight="1" x14ac:dyDescent="0.25">
      <c r="A523" s="4" t="s">
        <v>21</v>
      </c>
      <c r="B523" s="4" t="s">
        <v>33</v>
      </c>
      <c r="C523" s="4" t="s">
        <v>34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25</v>
      </c>
      <c r="I523" s="5">
        <v>44501</v>
      </c>
      <c r="J523" s="6">
        <v>30</v>
      </c>
      <c r="K523" s="6">
        <v>30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4" t="s">
        <v>26</v>
      </c>
      <c r="R523" s="4">
        <v>0</v>
      </c>
      <c r="S523" s="6">
        <v>18</v>
      </c>
      <c r="T523" s="6">
        <v>0</v>
      </c>
      <c r="U523" s="6">
        <v>0</v>
      </c>
      <c r="V523" s="6">
        <f>IF(ISERROR(VLOOKUP($S$523,'TAR FIN'!$A$1:$O$103,15,0)),0,VLOOKUP($S$523,'TAR FIN'!$A$1:$O$103,15,0))</f>
        <v>12.42</v>
      </c>
      <c r="W523" s="6">
        <f>IF(ISERROR(VLOOKUP($T$523,'TAR FIN'!$A$1:$O$103,15,0)),0,VLOOKUP($T$523,'TAR FIN'!$A$1:$O$103,15,0))</f>
        <v>0</v>
      </c>
      <c r="X523" s="6">
        <f>IF(ISERROR(VLOOKUP($U$523,'TAR FIN'!$A$1:$O$103,15,0)),0,VLOOKUP($U$523,'TAR FIN'!$A$1:$O$103,15,0))</f>
        <v>0</v>
      </c>
      <c r="Y523" s="6">
        <f ca="1">('TUSD BE'!$AM$20+'TUSD BF'!$AM$20+'TUSD CVA'!$AM$20)*1</f>
        <v>16.518304697547443</v>
      </c>
      <c r="Z523" s="6"/>
      <c r="AA523" s="6"/>
      <c r="AB523" s="6">
        <f>$K$523*$V$523</f>
        <v>372.6</v>
      </c>
      <c r="AC523" s="6">
        <f>$M$523*$W$523</f>
        <v>0</v>
      </c>
      <c r="AD523" s="6">
        <f>$O$523*$X$523</f>
        <v>0</v>
      </c>
      <c r="AE523" s="6">
        <f ca="1">$K$523*$Y$523</f>
        <v>495.54914092642326</v>
      </c>
      <c r="AF523" s="6">
        <f>$M$523*$Z$523</f>
        <v>0</v>
      </c>
      <c r="AG523" s="6">
        <f>$O$523*$AA$523</f>
        <v>0</v>
      </c>
    </row>
    <row r="524" spans="1:33" ht="11.25" customHeight="1" x14ac:dyDescent="0.25">
      <c r="A524" s="4" t="s">
        <v>21</v>
      </c>
      <c r="B524" s="4" t="s">
        <v>33</v>
      </c>
      <c r="C524" s="4" t="s">
        <v>34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25</v>
      </c>
      <c r="I524" s="5">
        <v>44531</v>
      </c>
      <c r="J524" s="6">
        <v>30</v>
      </c>
      <c r="K524" s="6">
        <v>30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4" t="s">
        <v>26</v>
      </c>
      <c r="R524" s="4">
        <v>0</v>
      </c>
      <c r="S524" s="6">
        <v>18</v>
      </c>
      <c r="T524" s="6">
        <v>0</v>
      </c>
      <c r="U524" s="6">
        <v>0</v>
      </c>
      <c r="V524" s="6">
        <f>IF(ISERROR(VLOOKUP($S$524,'TAR FIN'!$A$1:$O$103,15,0)),0,VLOOKUP($S$524,'TAR FIN'!$A$1:$O$103,15,0))</f>
        <v>12.42</v>
      </c>
      <c r="W524" s="6">
        <f>IF(ISERROR(VLOOKUP($T$524,'TAR FIN'!$A$1:$O$103,15,0)),0,VLOOKUP($T$524,'TAR FIN'!$A$1:$O$103,15,0))</f>
        <v>0</v>
      </c>
      <c r="X524" s="6">
        <f>IF(ISERROR(VLOOKUP($U$524,'TAR FIN'!$A$1:$O$103,15,0)),0,VLOOKUP($U$524,'TAR FIN'!$A$1:$O$103,15,0))</f>
        <v>0</v>
      </c>
      <c r="Y524" s="6">
        <f ca="1">('TUSD BE'!$AM$20+'TUSD BF'!$AM$20+'TUSD CVA'!$AM$20)*1</f>
        <v>16.518304697547443</v>
      </c>
      <c r="Z524" s="6"/>
      <c r="AA524" s="6"/>
      <c r="AB524" s="6">
        <f>$K$524*$V$524</f>
        <v>372.6</v>
      </c>
      <c r="AC524" s="6">
        <f>$M$524*$W$524</f>
        <v>0</v>
      </c>
      <c r="AD524" s="6">
        <f>$O$524*$X$524</f>
        <v>0</v>
      </c>
      <c r="AE524" s="6">
        <f ca="1">$K$524*$Y$524</f>
        <v>495.54914092642326</v>
      </c>
      <c r="AF524" s="6">
        <f>$M$524*$Z$524</f>
        <v>0</v>
      </c>
      <c r="AG524" s="6">
        <f>$O$524*$AA$524</f>
        <v>0</v>
      </c>
    </row>
    <row r="525" spans="1:33" ht="11.25" customHeight="1" x14ac:dyDescent="0.25">
      <c r="A525" s="4" t="s">
        <v>21</v>
      </c>
      <c r="B525" s="4" t="s">
        <v>33</v>
      </c>
      <c r="C525" s="4" t="s">
        <v>34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44562</v>
      </c>
      <c r="J525" s="6">
        <v>30</v>
      </c>
      <c r="K525" s="6">
        <v>30</v>
      </c>
      <c r="L525" s="6">
        <v>0</v>
      </c>
      <c r="M525" s="6">
        <v>0</v>
      </c>
      <c r="N525" s="6">
        <v>0</v>
      </c>
      <c r="O525" s="6">
        <v>0</v>
      </c>
      <c r="P525" s="6">
        <v>1</v>
      </c>
      <c r="Q525" s="4" t="s">
        <v>26</v>
      </c>
      <c r="R525" s="4">
        <v>0</v>
      </c>
      <c r="S525" s="6">
        <v>18</v>
      </c>
      <c r="T525" s="6">
        <v>0</v>
      </c>
      <c r="U525" s="6">
        <v>0</v>
      </c>
      <c r="V525" s="6">
        <f>IF(ISERROR(VLOOKUP($S$525,'TAR FIN'!$A$1:$O$103,15,0)),0,VLOOKUP($S$525,'TAR FIN'!$A$1:$O$103,15,0))</f>
        <v>12.42</v>
      </c>
      <c r="W525" s="6">
        <f>IF(ISERROR(VLOOKUP($T$525,'TAR FIN'!$A$1:$O$103,15,0)),0,VLOOKUP($T$525,'TAR FIN'!$A$1:$O$103,15,0))</f>
        <v>0</v>
      </c>
      <c r="X525" s="6">
        <f>IF(ISERROR(VLOOKUP($U$525,'TAR FIN'!$A$1:$O$103,15,0)),0,VLOOKUP($U$525,'TAR FIN'!$A$1:$O$103,15,0))</f>
        <v>0</v>
      </c>
      <c r="Y525" s="6">
        <f ca="1">('TUSD BE'!$AM$20+'TUSD BF'!$AM$20+'TUSD CVA'!$AM$20)*1</f>
        <v>16.518304697547443</v>
      </c>
      <c r="Z525" s="6"/>
      <c r="AA525" s="6"/>
      <c r="AB525" s="6">
        <f>$K$525*$V$525</f>
        <v>372.6</v>
      </c>
      <c r="AC525" s="6">
        <f>$M$525*$W$525</f>
        <v>0</v>
      </c>
      <c r="AD525" s="6">
        <f>$O$525*$X$525</f>
        <v>0</v>
      </c>
      <c r="AE525" s="6">
        <f ca="1">$K$525*$Y$525</f>
        <v>495.54914092642326</v>
      </c>
      <c r="AF525" s="6">
        <f>$M$525*$Z$525</f>
        <v>0</v>
      </c>
      <c r="AG525" s="6">
        <f>$O$525*$AA$525</f>
        <v>0</v>
      </c>
    </row>
    <row r="526" spans="1:33" ht="11.25" customHeight="1" x14ac:dyDescent="0.25">
      <c r="A526" s="4" t="s">
        <v>21</v>
      </c>
      <c r="B526" s="4" t="s">
        <v>33</v>
      </c>
      <c r="C526" s="4" t="s">
        <v>34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44593</v>
      </c>
      <c r="J526" s="6">
        <v>30</v>
      </c>
      <c r="K526" s="6">
        <v>30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4" t="s">
        <v>26</v>
      </c>
      <c r="R526" s="4">
        <v>0</v>
      </c>
      <c r="S526" s="6">
        <v>18</v>
      </c>
      <c r="T526" s="6">
        <v>0</v>
      </c>
      <c r="U526" s="6">
        <v>0</v>
      </c>
      <c r="V526" s="6">
        <f>IF(ISERROR(VLOOKUP($S$526,'TAR FIN'!$A$1:$O$103,15,0)),0,VLOOKUP($S$526,'TAR FIN'!$A$1:$O$103,15,0))</f>
        <v>12.42</v>
      </c>
      <c r="W526" s="6">
        <f>IF(ISERROR(VLOOKUP($T$526,'TAR FIN'!$A$1:$O$103,15,0)),0,VLOOKUP($T$526,'TAR FIN'!$A$1:$O$103,15,0))</f>
        <v>0</v>
      </c>
      <c r="X526" s="6">
        <f>IF(ISERROR(VLOOKUP($U$526,'TAR FIN'!$A$1:$O$103,15,0)),0,VLOOKUP($U$526,'TAR FIN'!$A$1:$O$103,15,0))</f>
        <v>0</v>
      </c>
      <c r="Y526" s="6">
        <f ca="1">('TUSD BE'!$AM$20+'TUSD BF'!$AM$20+'TUSD CVA'!$AM$20)*1</f>
        <v>16.518304697547443</v>
      </c>
      <c r="Z526" s="6"/>
      <c r="AA526" s="6"/>
      <c r="AB526" s="6">
        <f>$K$526*$V$526</f>
        <v>372.6</v>
      </c>
      <c r="AC526" s="6">
        <f>$M$526*$W$526</f>
        <v>0</v>
      </c>
      <c r="AD526" s="6">
        <f>$O$526*$X$526</f>
        <v>0</v>
      </c>
      <c r="AE526" s="6">
        <f ca="1">$K$526*$Y$526</f>
        <v>495.54914092642326</v>
      </c>
      <c r="AF526" s="6">
        <f>$M$526*$Z$526</f>
        <v>0</v>
      </c>
      <c r="AG526" s="6">
        <f>$O$526*$AA$526</f>
        <v>0</v>
      </c>
    </row>
    <row r="527" spans="1:33" ht="11.25" customHeight="1" x14ac:dyDescent="0.25">
      <c r="A527" s="4" t="s">
        <v>21</v>
      </c>
      <c r="B527" s="4" t="s">
        <v>33</v>
      </c>
      <c r="C527" s="4" t="s">
        <v>34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44621</v>
      </c>
      <c r="J527" s="6">
        <v>30</v>
      </c>
      <c r="K527" s="6">
        <v>30</v>
      </c>
      <c r="L527" s="6">
        <v>0</v>
      </c>
      <c r="M527" s="6">
        <v>0</v>
      </c>
      <c r="N527" s="6">
        <v>0</v>
      </c>
      <c r="O527" s="6">
        <v>0</v>
      </c>
      <c r="P527" s="6">
        <v>1</v>
      </c>
      <c r="Q527" s="4" t="s">
        <v>26</v>
      </c>
      <c r="R527" s="4">
        <v>0</v>
      </c>
      <c r="S527" s="6">
        <v>18</v>
      </c>
      <c r="T527" s="6">
        <v>0</v>
      </c>
      <c r="U527" s="6">
        <v>0</v>
      </c>
      <c r="V527" s="6">
        <f>IF(ISERROR(VLOOKUP($S$527,'TAR FIN'!$A$1:$O$103,15,0)),0,VLOOKUP($S$527,'TAR FIN'!$A$1:$O$103,15,0))</f>
        <v>12.42</v>
      </c>
      <c r="W527" s="6">
        <f>IF(ISERROR(VLOOKUP($T$527,'TAR FIN'!$A$1:$O$103,15,0)),0,VLOOKUP($T$527,'TAR FIN'!$A$1:$O$103,15,0))</f>
        <v>0</v>
      </c>
      <c r="X527" s="6">
        <f>IF(ISERROR(VLOOKUP($U$527,'TAR FIN'!$A$1:$O$103,15,0)),0,VLOOKUP($U$527,'TAR FIN'!$A$1:$O$103,15,0))</f>
        <v>0</v>
      </c>
      <c r="Y527" s="6">
        <f ca="1">('TUSD BE'!$AM$20+'TUSD BF'!$AM$20+'TUSD CVA'!$AM$20)*1</f>
        <v>16.518304697547443</v>
      </c>
      <c r="Z527" s="6"/>
      <c r="AA527" s="6"/>
      <c r="AB527" s="6">
        <f>$K$527*$V$527</f>
        <v>372.6</v>
      </c>
      <c r="AC527" s="6">
        <f>$M$527*$W$527</f>
        <v>0</v>
      </c>
      <c r="AD527" s="6">
        <f>$O$527*$X$527</f>
        <v>0</v>
      </c>
      <c r="AE527" s="6">
        <f ca="1">$K$527*$Y$527</f>
        <v>495.54914092642326</v>
      </c>
      <c r="AF527" s="6">
        <f>$M$527*$Z$527</f>
        <v>0</v>
      </c>
      <c r="AG527" s="6">
        <f>$O$527*$AA$527</f>
        <v>0</v>
      </c>
    </row>
    <row r="528" spans="1:33" ht="11.25" customHeight="1" x14ac:dyDescent="0.25">
      <c r="A528" s="4" t="s">
        <v>21</v>
      </c>
      <c r="B528" s="4" t="s">
        <v>33</v>
      </c>
      <c r="C528" s="4" t="s">
        <v>34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44652</v>
      </c>
      <c r="J528" s="6">
        <v>30</v>
      </c>
      <c r="K528" s="6">
        <v>30</v>
      </c>
      <c r="L528" s="6">
        <v>0</v>
      </c>
      <c r="M528" s="6">
        <v>0</v>
      </c>
      <c r="N528" s="6">
        <v>0</v>
      </c>
      <c r="O528" s="6">
        <v>0</v>
      </c>
      <c r="P528" s="6">
        <v>1</v>
      </c>
      <c r="Q528" s="4" t="s">
        <v>26</v>
      </c>
      <c r="R528" s="4">
        <v>0</v>
      </c>
      <c r="S528" s="6">
        <v>18</v>
      </c>
      <c r="T528" s="6">
        <v>0</v>
      </c>
      <c r="U528" s="6">
        <v>0</v>
      </c>
      <c r="V528" s="6">
        <f>IF(ISERROR(VLOOKUP($S$528,'TAR FIN'!$A$1:$O$103,15,0)),0,VLOOKUP($S$528,'TAR FIN'!$A$1:$O$103,15,0))</f>
        <v>12.42</v>
      </c>
      <c r="W528" s="6">
        <f>IF(ISERROR(VLOOKUP($T$528,'TAR FIN'!$A$1:$O$103,15,0)),0,VLOOKUP($T$528,'TAR FIN'!$A$1:$O$103,15,0))</f>
        <v>0</v>
      </c>
      <c r="X528" s="6">
        <f>IF(ISERROR(VLOOKUP($U$528,'TAR FIN'!$A$1:$O$103,15,0)),0,VLOOKUP($U$528,'TAR FIN'!$A$1:$O$103,15,0))</f>
        <v>0</v>
      </c>
      <c r="Y528" s="6">
        <f ca="1">('TUSD BE'!$AM$20+'TUSD BF'!$AM$20+'TUSD CVA'!$AM$20)*1</f>
        <v>16.518304697547443</v>
      </c>
      <c r="Z528" s="6"/>
      <c r="AA528" s="6"/>
      <c r="AB528" s="6">
        <f>$K$528*$V$528</f>
        <v>372.6</v>
      </c>
      <c r="AC528" s="6">
        <f>$M$528*$W$528</f>
        <v>0</v>
      </c>
      <c r="AD528" s="6">
        <f>$O$528*$X$528</f>
        <v>0</v>
      </c>
      <c r="AE528" s="6">
        <f ca="1">$K$528*$Y$528</f>
        <v>495.54914092642326</v>
      </c>
      <c r="AF528" s="6">
        <f>$M$528*$Z$528</f>
        <v>0</v>
      </c>
      <c r="AG528" s="6">
        <f>$O$528*$AA$528</f>
        <v>0</v>
      </c>
    </row>
    <row r="529" spans="1:33" ht="11.25" customHeight="1" x14ac:dyDescent="0.25">
      <c r="A529" s="4" t="s">
        <v>21</v>
      </c>
      <c r="B529" s="4" t="s">
        <v>33</v>
      </c>
      <c r="C529" s="4" t="s">
        <v>34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44682</v>
      </c>
      <c r="J529" s="6">
        <v>30</v>
      </c>
      <c r="K529" s="6">
        <v>30</v>
      </c>
      <c r="L529" s="6">
        <v>0</v>
      </c>
      <c r="M529" s="6">
        <v>0</v>
      </c>
      <c r="N529" s="6">
        <v>0</v>
      </c>
      <c r="O529" s="6">
        <v>0</v>
      </c>
      <c r="P529" s="6">
        <v>1</v>
      </c>
      <c r="Q529" s="4" t="s">
        <v>26</v>
      </c>
      <c r="R529" s="4">
        <v>0</v>
      </c>
      <c r="S529" s="6">
        <v>18</v>
      </c>
      <c r="T529" s="6">
        <v>0</v>
      </c>
      <c r="U529" s="6">
        <v>0</v>
      </c>
      <c r="V529" s="6">
        <f>IF(ISERROR(VLOOKUP($S$529,'TAR FIN'!$A$1:$O$103,15,0)),0,VLOOKUP($S$529,'TAR FIN'!$A$1:$O$103,15,0))</f>
        <v>12.42</v>
      </c>
      <c r="W529" s="6">
        <f>IF(ISERROR(VLOOKUP($T$529,'TAR FIN'!$A$1:$O$103,15,0)),0,VLOOKUP($T$529,'TAR FIN'!$A$1:$O$103,15,0))</f>
        <v>0</v>
      </c>
      <c r="X529" s="6">
        <f>IF(ISERROR(VLOOKUP($U$529,'TAR FIN'!$A$1:$O$103,15,0)),0,VLOOKUP($U$529,'TAR FIN'!$A$1:$O$103,15,0))</f>
        <v>0</v>
      </c>
      <c r="Y529" s="6">
        <f ca="1">('TUSD BE'!$AM$20+'TUSD BF'!$AM$20+'TUSD CVA'!$AM$20)*1</f>
        <v>16.518304697547443</v>
      </c>
      <c r="Z529" s="6"/>
      <c r="AA529" s="6"/>
      <c r="AB529" s="6">
        <f>$K$529*$V$529</f>
        <v>372.6</v>
      </c>
      <c r="AC529" s="6">
        <f>$M$529*$W$529</f>
        <v>0</v>
      </c>
      <c r="AD529" s="6">
        <f>$O$529*$X$529</f>
        <v>0</v>
      </c>
      <c r="AE529" s="6">
        <f ca="1">$K$529*$Y$529</f>
        <v>495.54914092642326</v>
      </c>
      <c r="AF529" s="6">
        <f>$M$529*$Z$529</f>
        <v>0</v>
      </c>
      <c r="AG529" s="6">
        <f>$O$529*$AA$529</f>
        <v>0</v>
      </c>
    </row>
    <row r="530" spans="1:33" ht="11.25" customHeight="1" x14ac:dyDescent="0.25">
      <c r="A530" s="4" t="s">
        <v>21</v>
      </c>
      <c r="B530" s="4" t="s">
        <v>33</v>
      </c>
      <c r="C530" s="4" t="s">
        <v>34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37</v>
      </c>
      <c r="I530" s="5">
        <v>44378</v>
      </c>
      <c r="J530" s="6">
        <v>0</v>
      </c>
      <c r="K530" s="6">
        <v>0</v>
      </c>
      <c r="L530" s="6">
        <v>8.8999999999999996E-2</v>
      </c>
      <c r="M530" s="6">
        <v>8.8999999999999996E-2</v>
      </c>
      <c r="N530" s="6">
        <v>8.8999999999999996E-2</v>
      </c>
      <c r="O530" s="6">
        <v>8.8999999999999996E-2</v>
      </c>
      <c r="P530" s="6">
        <v>0</v>
      </c>
      <c r="Q530" s="4" t="s">
        <v>26</v>
      </c>
      <c r="R530" s="4">
        <v>0</v>
      </c>
      <c r="S530" s="6">
        <v>0</v>
      </c>
      <c r="T530" s="6">
        <v>19</v>
      </c>
      <c r="U530" s="6">
        <v>65</v>
      </c>
      <c r="V530" s="6">
        <f>IF(ISERROR(VLOOKUP($S$530,'TAR FIN'!$A$1:$O$103,15,0)),0,VLOOKUP($S$530,'TAR FIN'!$A$1:$O$103,15,0))</f>
        <v>0</v>
      </c>
      <c r="W530" s="6">
        <f>IF(ISERROR(VLOOKUP($T$530,'TAR FIN'!$A$1:$O$103,15,0)),0,VLOOKUP($T$530,'TAR FIN'!$A$1:$O$103,15,0))</f>
        <v>842.31</v>
      </c>
      <c r="X530" s="6">
        <f>IF(ISERROR(VLOOKUP($U$530,'TAR FIN'!$A$1:$O$103,15,0)),0,VLOOKUP($U$530,'TAR FIN'!$A$1:$O$103,15,0))</f>
        <v>454.9</v>
      </c>
      <c r="Y530" s="6"/>
      <c r="Z530" s="6">
        <f ca="1">('TUSD BE'!$AM$21+'TUSD BF'!$AM$21+'TUSD CVA'!$AM$21)*1</f>
        <v>1146.3801365962368</v>
      </c>
      <c r="AA530" s="6">
        <f>('TE BE'!$AB$8+'TE BF'!$AB$8+'TE CVA'!$AB$8)*1</f>
        <v>415.05449050541699</v>
      </c>
      <c r="AB530" s="6">
        <f>$K$530*$V$530</f>
        <v>0</v>
      </c>
      <c r="AC530" s="6">
        <f>$M$530*$W$530</f>
        <v>74.965589999999992</v>
      </c>
      <c r="AD530" s="6">
        <f>$O$530*$X$530</f>
        <v>40.486099999999993</v>
      </c>
      <c r="AE530" s="6">
        <f>$K$530*$Y$530</f>
        <v>0</v>
      </c>
      <c r="AF530" s="6">
        <f ca="1">$M$530*$Z$530</f>
        <v>102.02783215706506</v>
      </c>
      <c r="AG530" s="6">
        <f>$O$530*$AA$530</f>
        <v>36.939849654982112</v>
      </c>
    </row>
    <row r="531" spans="1:33" ht="11.25" customHeight="1" x14ac:dyDescent="0.25">
      <c r="A531" s="4" t="s">
        <v>21</v>
      </c>
      <c r="B531" s="4" t="s">
        <v>33</v>
      </c>
      <c r="C531" s="4" t="s">
        <v>34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37</v>
      </c>
      <c r="I531" s="5">
        <v>44409</v>
      </c>
      <c r="J531" s="6">
        <v>0</v>
      </c>
      <c r="K531" s="6">
        <v>0</v>
      </c>
      <c r="L531" s="6">
        <v>5.6000000000000001E-2</v>
      </c>
      <c r="M531" s="6">
        <v>5.6000000000000001E-2</v>
      </c>
      <c r="N531" s="6">
        <v>5.6000000000000001E-2</v>
      </c>
      <c r="O531" s="6">
        <v>5.6000000000000001E-2</v>
      </c>
      <c r="P531" s="6">
        <v>0</v>
      </c>
      <c r="Q531" s="4" t="s">
        <v>26</v>
      </c>
      <c r="R531" s="4">
        <v>0</v>
      </c>
      <c r="S531" s="6">
        <v>0</v>
      </c>
      <c r="T531" s="6">
        <v>19</v>
      </c>
      <c r="U531" s="6">
        <v>65</v>
      </c>
      <c r="V531" s="6">
        <f>IF(ISERROR(VLOOKUP($S$531,'TAR FIN'!$A$1:$O$103,15,0)),0,VLOOKUP($S$531,'TAR FIN'!$A$1:$O$103,15,0))</f>
        <v>0</v>
      </c>
      <c r="W531" s="6">
        <f>IF(ISERROR(VLOOKUP($T$531,'TAR FIN'!$A$1:$O$103,15,0)),0,VLOOKUP($T$531,'TAR FIN'!$A$1:$O$103,15,0))</f>
        <v>842.31</v>
      </c>
      <c r="X531" s="6">
        <f>IF(ISERROR(VLOOKUP($U$531,'TAR FIN'!$A$1:$O$103,15,0)),0,VLOOKUP($U$531,'TAR FIN'!$A$1:$O$103,15,0))</f>
        <v>454.9</v>
      </c>
      <c r="Y531" s="6"/>
      <c r="Z531" s="6">
        <f ca="1">('TUSD BE'!$AM$21+'TUSD BF'!$AM$21+'TUSD CVA'!$AM$21)*1</f>
        <v>1146.3801365962368</v>
      </c>
      <c r="AA531" s="6">
        <f>('TE BE'!$AB$8+'TE BF'!$AB$8+'TE CVA'!$AB$8)*1</f>
        <v>415.05449050541699</v>
      </c>
      <c r="AB531" s="6">
        <f>$K$531*$V$531</f>
        <v>0</v>
      </c>
      <c r="AC531" s="6">
        <f>$M$531*$W$531</f>
        <v>47.169359999999998</v>
      </c>
      <c r="AD531" s="6">
        <f>$O$531*$X$531</f>
        <v>25.474399999999999</v>
      </c>
      <c r="AE531" s="6">
        <f>$K$531*$Y$531</f>
        <v>0</v>
      </c>
      <c r="AF531" s="6">
        <f ca="1">$M$531*$Z$531</f>
        <v>64.197287649389253</v>
      </c>
      <c r="AG531" s="6">
        <f>$O$531*$AA$531</f>
        <v>23.243051468303353</v>
      </c>
    </row>
    <row r="532" spans="1:33" ht="11.25" customHeight="1" x14ac:dyDescent="0.25">
      <c r="A532" s="4" t="s">
        <v>21</v>
      </c>
      <c r="B532" s="4" t="s">
        <v>33</v>
      </c>
      <c r="C532" s="4" t="s">
        <v>34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37</v>
      </c>
      <c r="I532" s="5">
        <v>44440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6">
        <v>0</v>
      </c>
      <c r="T532" s="6">
        <v>19</v>
      </c>
      <c r="U532" s="6">
        <v>65</v>
      </c>
      <c r="V532" s="6">
        <f>IF(ISERROR(VLOOKUP($S$532,'TAR FIN'!$A$1:$O$103,15,0)),0,VLOOKUP($S$532,'TAR FIN'!$A$1:$O$103,15,0))</f>
        <v>0</v>
      </c>
      <c r="W532" s="6">
        <f>IF(ISERROR(VLOOKUP($T$532,'TAR FIN'!$A$1:$O$103,15,0)),0,VLOOKUP($T$532,'TAR FIN'!$A$1:$O$103,15,0))</f>
        <v>842.31</v>
      </c>
      <c r="X532" s="6">
        <f>IF(ISERROR(VLOOKUP($U$532,'TAR FIN'!$A$1:$O$103,15,0)),0,VLOOKUP($U$532,'TAR FIN'!$A$1:$O$103,15,0))</f>
        <v>454.9</v>
      </c>
      <c r="Y532" s="6"/>
      <c r="Z532" s="6">
        <f ca="1">('TUSD BE'!$AM$21+'TUSD BF'!$AM$21+'TUSD CVA'!$AM$21)*1</f>
        <v>1146.3801365962368</v>
      </c>
      <c r="AA532" s="6">
        <f>('TE BE'!$AB$8+'TE BF'!$AB$8+'TE CVA'!$AB$8)*1</f>
        <v>415.05449050541699</v>
      </c>
      <c r="AB532" s="6">
        <f>$K$532*$V$532</f>
        <v>0</v>
      </c>
      <c r="AC532" s="6">
        <f>$M$532*$W$532</f>
        <v>64.857869999999991</v>
      </c>
      <c r="AD532" s="6">
        <f>$O$532*$X$532</f>
        <v>35.027299999999997</v>
      </c>
      <c r="AE532" s="6">
        <f>$K$532*$Y$532</f>
        <v>0</v>
      </c>
      <c r="AF532" s="6">
        <f ca="1">$M$532*$Z$532</f>
        <v>88.271270517910224</v>
      </c>
      <c r="AG532" s="6">
        <f>$O$532*$AA$532</f>
        <v>31.959195768917109</v>
      </c>
    </row>
    <row r="533" spans="1:33" ht="11.25" customHeight="1" x14ac:dyDescent="0.25">
      <c r="A533" s="4" t="s">
        <v>21</v>
      </c>
      <c r="B533" s="4" t="s">
        <v>33</v>
      </c>
      <c r="C533" s="4" t="s">
        <v>34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37</v>
      </c>
      <c r="I533" s="5">
        <v>44470</v>
      </c>
      <c r="J533" s="6">
        <v>0</v>
      </c>
      <c r="K533" s="6">
        <v>0</v>
      </c>
      <c r="L533" s="6">
        <v>5.6000000000000001E-2</v>
      </c>
      <c r="M533" s="6">
        <v>5.6000000000000001E-2</v>
      </c>
      <c r="N533" s="6">
        <v>5.6000000000000001E-2</v>
      </c>
      <c r="O533" s="6">
        <v>5.6000000000000001E-2</v>
      </c>
      <c r="P533" s="6">
        <v>0</v>
      </c>
      <c r="Q533" s="4" t="s">
        <v>26</v>
      </c>
      <c r="R533" s="4">
        <v>0</v>
      </c>
      <c r="S533" s="6">
        <v>0</v>
      </c>
      <c r="T533" s="6">
        <v>19</v>
      </c>
      <c r="U533" s="6">
        <v>65</v>
      </c>
      <c r="V533" s="6">
        <f>IF(ISERROR(VLOOKUP($S$533,'TAR FIN'!$A$1:$O$103,15,0)),0,VLOOKUP($S$533,'TAR FIN'!$A$1:$O$103,15,0))</f>
        <v>0</v>
      </c>
      <c r="W533" s="6">
        <f>IF(ISERROR(VLOOKUP($T$533,'TAR FIN'!$A$1:$O$103,15,0)),0,VLOOKUP($T$533,'TAR FIN'!$A$1:$O$103,15,0))</f>
        <v>842.31</v>
      </c>
      <c r="X533" s="6">
        <f>IF(ISERROR(VLOOKUP($U$533,'TAR FIN'!$A$1:$O$103,15,0)),0,VLOOKUP($U$533,'TAR FIN'!$A$1:$O$103,15,0))</f>
        <v>454.9</v>
      </c>
      <c r="Y533" s="6"/>
      <c r="Z533" s="6">
        <f ca="1">('TUSD BE'!$AM$21+'TUSD BF'!$AM$21+'TUSD CVA'!$AM$21)*1</f>
        <v>1146.3801365962368</v>
      </c>
      <c r="AA533" s="6">
        <f>('TE BE'!$AB$8+'TE BF'!$AB$8+'TE CVA'!$AB$8)*1</f>
        <v>415.05449050541699</v>
      </c>
      <c r="AB533" s="6">
        <f>$K$533*$V$533</f>
        <v>0</v>
      </c>
      <c r="AC533" s="6">
        <f>$M$533*$W$533</f>
        <v>47.169359999999998</v>
      </c>
      <c r="AD533" s="6">
        <f>$O$533*$X$533</f>
        <v>25.474399999999999</v>
      </c>
      <c r="AE533" s="6">
        <f>$K$533*$Y$533</f>
        <v>0</v>
      </c>
      <c r="AF533" s="6">
        <f ca="1">$M$533*$Z$533</f>
        <v>64.197287649389253</v>
      </c>
      <c r="AG533" s="6">
        <f>$O$533*$AA$533</f>
        <v>23.243051468303353</v>
      </c>
    </row>
    <row r="534" spans="1:33" ht="11.25" customHeight="1" x14ac:dyDescent="0.25">
      <c r="A534" s="4" t="s">
        <v>21</v>
      </c>
      <c r="B534" s="4" t="s">
        <v>33</v>
      </c>
      <c r="C534" s="4" t="s">
        <v>34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37</v>
      </c>
      <c r="I534" s="5">
        <v>44501</v>
      </c>
      <c r="J534" s="6">
        <v>0</v>
      </c>
      <c r="K534" s="6">
        <v>0</v>
      </c>
      <c r="L534" s="6">
        <v>8.6999999999999994E-2</v>
      </c>
      <c r="M534" s="6">
        <v>8.6999999999999994E-2</v>
      </c>
      <c r="N534" s="6">
        <v>8.6999999999999994E-2</v>
      </c>
      <c r="O534" s="6">
        <v>8.6999999999999994E-2</v>
      </c>
      <c r="P534" s="6">
        <v>0</v>
      </c>
      <c r="Q534" s="4" t="s">
        <v>26</v>
      </c>
      <c r="R534" s="4">
        <v>0</v>
      </c>
      <c r="S534" s="6">
        <v>0</v>
      </c>
      <c r="T534" s="6">
        <v>19</v>
      </c>
      <c r="U534" s="6">
        <v>65</v>
      </c>
      <c r="V534" s="6">
        <f>IF(ISERROR(VLOOKUP($S$534,'TAR FIN'!$A$1:$O$103,15,0)),0,VLOOKUP($S$534,'TAR FIN'!$A$1:$O$103,15,0))</f>
        <v>0</v>
      </c>
      <c r="W534" s="6">
        <f>IF(ISERROR(VLOOKUP($T$534,'TAR FIN'!$A$1:$O$103,15,0)),0,VLOOKUP($T$534,'TAR FIN'!$A$1:$O$103,15,0))</f>
        <v>842.31</v>
      </c>
      <c r="X534" s="6">
        <f>IF(ISERROR(VLOOKUP($U$534,'TAR FIN'!$A$1:$O$103,15,0)),0,VLOOKUP($U$534,'TAR FIN'!$A$1:$O$103,15,0))</f>
        <v>454.9</v>
      </c>
      <c r="Y534" s="6"/>
      <c r="Z534" s="6">
        <f ca="1">('TUSD BE'!$AM$21+'TUSD BF'!$AM$21+'TUSD CVA'!$AM$21)*1</f>
        <v>1146.3801365962368</v>
      </c>
      <c r="AA534" s="6">
        <f>('TE BE'!$AB$8+'TE BF'!$AB$8+'TE CVA'!$AB$8)*1</f>
        <v>415.05449050541699</v>
      </c>
      <c r="AB534" s="6">
        <f>$K$534*$V$534</f>
        <v>0</v>
      </c>
      <c r="AC534" s="6">
        <f>$M$534*$W$534</f>
        <v>73.280969999999996</v>
      </c>
      <c r="AD534" s="6">
        <f>$O$534*$X$534</f>
        <v>39.576299999999996</v>
      </c>
      <c r="AE534" s="6">
        <f>$K$534*$Y$534</f>
        <v>0</v>
      </c>
      <c r="AF534" s="6">
        <f ca="1">$M$534*$Z$534</f>
        <v>99.735071883872592</v>
      </c>
      <c r="AG534" s="6">
        <f>$O$534*$AA$534</f>
        <v>36.109740673971274</v>
      </c>
    </row>
    <row r="535" spans="1:33" ht="11.25" customHeight="1" x14ac:dyDescent="0.25">
      <c r="A535" s="4" t="s">
        <v>21</v>
      </c>
      <c r="B535" s="4" t="s">
        <v>33</v>
      </c>
      <c r="C535" s="4" t="s">
        <v>34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37</v>
      </c>
      <c r="I535" s="5">
        <v>44531</v>
      </c>
      <c r="J535" s="6">
        <v>0</v>
      </c>
      <c r="K535" s="6">
        <v>0</v>
      </c>
      <c r="L535" s="6">
        <v>0.22</v>
      </c>
      <c r="M535" s="6">
        <v>0.22</v>
      </c>
      <c r="N535" s="6">
        <v>0.22</v>
      </c>
      <c r="O535" s="6">
        <v>0.22</v>
      </c>
      <c r="P535" s="6">
        <v>0</v>
      </c>
      <c r="Q535" s="4" t="s">
        <v>26</v>
      </c>
      <c r="R535" s="4">
        <v>0</v>
      </c>
      <c r="S535" s="6">
        <v>0</v>
      </c>
      <c r="T535" s="6">
        <v>19</v>
      </c>
      <c r="U535" s="6">
        <v>65</v>
      </c>
      <c r="V535" s="6">
        <f>IF(ISERROR(VLOOKUP($S$535,'TAR FIN'!$A$1:$O$103,15,0)),0,VLOOKUP($S$535,'TAR FIN'!$A$1:$O$103,15,0))</f>
        <v>0</v>
      </c>
      <c r="W535" s="6">
        <f>IF(ISERROR(VLOOKUP($T$535,'TAR FIN'!$A$1:$O$103,15,0)),0,VLOOKUP($T$535,'TAR FIN'!$A$1:$O$103,15,0))</f>
        <v>842.31</v>
      </c>
      <c r="X535" s="6">
        <f>IF(ISERROR(VLOOKUP($U$535,'TAR FIN'!$A$1:$O$103,15,0)),0,VLOOKUP($U$535,'TAR FIN'!$A$1:$O$103,15,0))</f>
        <v>454.9</v>
      </c>
      <c r="Y535" s="6"/>
      <c r="Z535" s="6">
        <f ca="1">('TUSD BE'!$AM$21+'TUSD BF'!$AM$21+'TUSD CVA'!$AM$21)*1</f>
        <v>1146.3801365962368</v>
      </c>
      <c r="AA535" s="6">
        <f>('TE BE'!$AB$8+'TE BF'!$AB$8+'TE CVA'!$AB$8)*1</f>
        <v>415.05449050541699</v>
      </c>
      <c r="AB535" s="6">
        <f>$K$535*$V$535</f>
        <v>0</v>
      </c>
      <c r="AC535" s="6">
        <f>$M$535*$W$535</f>
        <v>185.3082</v>
      </c>
      <c r="AD535" s="6">
        <f>$O$535*$X$535</f>
        <v>100.07799999999999</v>
      </c>
      <c r="AE535" s="6">
        <f>$K$535*$Y$535</f>
        <v>0</v>
      </c>
      <c r="AF535" s="6">
        <f ca="1">$M$535*$Z$535</f>
        <v>252.2036300511721</v>
      </c>
      <c r="AG535" s="6">
        <f>$O$535*$AA$535</f>
        <v>91.311987911191736</v>
      </c>
    </row>
    <row r="536" spans="1:33" ht="11.25" customHeight="1" x14ac:dyDescent="0.25">
      <c r="A536" s="4" t="s">
        <v>21</v>
      </c>
      <c r="B536" s="4" t="s">
        <v>33</v>
      </c>
      <c r="C536" s="4" t="s">
        <v>34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37</v>
      </c>
      <c r="I536" s="5">
        <v>44562</v>
      </c>
      <c r="J536" s="6">
        <v>0</v>
      </c>
      <c r="K536" s="6">
        <v>0</v>
      </c>
      <c r="L536" s="6">
        <v>0.128</v>
      </c>
      <c r="M536" s="6">
        <v>0.128</v>
      </c>
      <c r="N536" s="6">
        <v>0.128</v>
      </c>
      <c r="O536" s="6">
        <v>0.128</v>
      </c>
      <c r="P536" s="6">
        <v>0</v>
      </c>
      <c r="Q536" s="4" t="s">
        <v>26</v>
      </c>
      <c r="R536" s="4">
        <v>0</v>
      </c>
      <c r="S536" s="6">
        <v>0</v>
      </c>
      <c r="T536" s="6">
        <v>19</v>
      </c>
      <c r="U536" s="6">
        <v>65</v>
      </c>
      <c r="V536" s="6">
        <f>IF(ISERROR(VLOOKUP($S$536,'TAR FIN'!$A$1:$O$103,15,0)),0,VLOOKUP($S$536,'TAR FIN'!$A$1:$O$103,15,0))</f>
        <v>0</v>
      </c>
      <c r="W536" s="6">
        <f>IF(ISERROR(VLOOKUP($T$536,'TAR FIN'!$A$1:$O$103,15,0)),0,VLOOKUP($T$536,'TAR FIN'!$A$1:$O$103,15,0))</f>
        <v>842.31</v>
      </c>
      <c r="X536" s="6">
        <f>IF(ISERROR(VLOOKUP($U$536,'TAR FIN'!$A$1:$O$103,15,0)),0,VLOOKUP($U$536,'TAR FIN'!$A$1:$O$103,15,0))</f>
        <v>454.9</v>
      </c>
      <c r="Y536" s="6"/>
      <c r="Z536" s="6">
        <f ca="1">('TUSD BE'!$AM$21+'TUSD BF'!$AM$21+'TUSD CVA'!$AM$21)*1</f>
        <v>1146.3801365962368</v>
      </c>
      <c r="AA536" s="6">
        <f>('TE BE'!$AB$8+'TE BF'!$AB$8+'TE CVA'!$AB$8)*1</f>
        <v>415.05449050541699</v>
      </c>
      <c r="AB536" s="6">
        <f>$K$536*$V$536</f>
        <v>0</v>
      </c>
      <c r="AC536" s="6">
        <f>$M$536*$W$536</f>
        <v>107.81568</v>
      </c>
      <c r="AD536" s="6">
        <f>$O$536*$X$536</f>
        <v>58.227199999999996</v>
      </c>
      <c r="AE536" s="6">
        <f>$K$536*$Y$536</f>
        <v>0</v>
      </c>
      <c r="AF536" s="6">
        <f ca="1">$M$536*$Z$536</f>
        <v>146.7366574843183</v>
      </c>
      <c r="AG536" s="6">
        <f>$O$536*$AA$536</f>
        <v>53.126974784693374</v>
      </c>
    </row>
    <row r="537" spans="1:33" ht="11.25" customHeight="1" x14ac:dyDescent="0.25">
      <c r="A537" s="4" t="s">
        <v>21</v>
      </c>
      <c r="B537" s="4" t="s">
        <v>33</v>
      </c>
      <c r="C537" s="4" t="s">
        <v>34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37</v>
      </c>
      <c r="I537" s="5">
        <v>44593</v>
      </c>
      <c r="J537" s="6">
        <v>0</v>
      </c>
      <c r="K537" s="6">
        <v>0</v>
      </c>
      <c r="L537" s="6">
        <v>0.13700000000000001</v>
      </c>
      <c r="M537" s="6">
        <v>0.13700000000000001</v>
      </c>
      <c r="N537" s="6">
        <v>0.13700000000000001</v>
      </c>
      <c r="O537" s="6">
        <v>0.13700000000000001</v>
      </c>
      <c r="P537" s="6">
        <v>0</v>
      </c>
      <c r="Q537" s="4" t="s">
        <v>26</v>
      </c>
      <c r="R537" s="4">
        <v>0</v>
      </c>
      <c r="S537" s="6">
        <v>0</v>
      </c>
      <c r="T537" s="6">
        <v>19</v>
      </c>
      <c r="U537" s="6">
        <v>65</v>
      </c>
      <c r="V537" s="6">
        <f>IF(ISERROR(VLOOKUP($S$537,'TAR FIN'!$A$1:$O$103,15,0)),0,VLOOKUP($S$537,'TAR FIN'!$A$1:$O$103,15,0))</f>
        <v>0</v>
      </c>
      <c r="W537" s="6">
        <f>IF(ISERROR(VLOOKUP($T$537,'TAR FIN'!$A$1:$O$103,15,0)),0,VLOOKUP($T$537,'TAR FIN'!$A$1:$O$103,15,0))</f>
        <v>842.31</v>
      </c>
      <c r="X537" s="6">
        <f>IF(ISERROR(VLOOKUP($U$537,'TAR FIN'!$A$1:$O$103,15,0)),0,VLOOKUP($U$537,'TAR FIN'!$A$1:$O$103,15,0))</f>
        <v>454.9</v>
      </c>
      <c r="Y537" s="6"/>
      <c r="Z537" s="6">
        <f ca="1">('TUSD BE'!$AM$21+'TUSD BF'!$AM$21+'TUSD CVA'!$AM$21)*1</f>
        <v>1146.3801365962368</v>
      </c>
      <c r="AA537" s="6">
        <f>('TE BE'!$AB$8+'TE BF'!$AB$8+'TE CVA'!$AB$8)*1</f>
        <v>415.05449050541699</v>
      </c>
      <c r="AB537" s="6">
        <f>$K$537*$V$537</f>
        <v>0</v>
      </c>
      <c r="AC537" s="6">
        <f>$M$537*$W$537</f>
        <v>115.39647000000001</v>
      </c>
      <c r="AD537" s="6">
        <f>$O$537*$X$537</f>
        <v>62.321300000000001</v>
      </c>
      <c r="AE537" s="6">
        <f>$K$537*$Y$537</f>
        <v>0</v>
      </c>
      <c r="AF537" s="6">
        <f ca="1">$M$537*$Z$537</f>
        <v>157.05407871368445</v>
      </c>
      <c r="AG537" s="6">
        <f>$O$537*$AA$537</f>
        <v>56.862465199242131</v>
      </c>
    </row>
    <row r="538" spans="1:33" ht="11.25" customHeight="1" x14ac:dyDescent="0.25">
      <c r="A538" s="4" t="s">
        <v>21</v>
      </c>
      <c r="B538" s="4" t="s">
        <v>33</v>
      </c>
      <c r="C538" s="4" t="s">
        <v>34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37</v>
      </c>
      <c r="I538" s="5">
        <v>44621</v>
      </c>
      <c r="J538" s="6">
        <v>0</v>
      </c>
      <c r="K538" s="6">
        <v>0</v>
      </c>
      <c r="L538" s="6">
        <v>0.112</v>
      </c>
      <c r="M538" s="6">
        <v>0.112</v>
      </c>
      <c r="N538" s="6">
        <v>0.112</v>
      </c>
      <c r="O538" s="6">
        <v>0.112</v>
      </c>
      <c r="P538" s="6">
        <v>0</v>
      </c>
      <c r="Q538" s="4" t="s">
        <v>26</v>
      </c>
      <c r="R538" s="4">
        <v>0</v>
      </c>
      <c r="S538" s="6">
        <v>0</v>
      </c>
      <c r="T538" s="6">
        <v>19</v>
      </c>
      <c r="U538" s="6">
        <v>65</v>
      </c>
      <c r="V538" s="6">
        <f>IF(ISERROR(VLOOKUP($S$538,'TAR FIN'!$A$1:$O$103,15,0)),0,VLOOKUP($S$538,'TAR FIN'!$A$1:$O$103,15,0))</f>
        <v>0</v>
      </c>
      <c r="W538" s="6">
        <f>IF(ISERROR(VLOOKUP($T$538,'TAR FIN'!$A$1:$O$103,15,0)),0,VLOOKUP($T$538,'TAR FIN'!$A$1:$O$103,15,0))</f>
        <v>842.31</v>
      </c>
      <c r="X538" s="6">
        <f>IF(ISERROR(VLOOKUP($U$538,'TAR FIN'!$A$1:$O$103,15,0)),0,VLOOKUP($U$538,'TAR FIN'!$A$1:$O$103,15,0))</f>
        <v>454.9</v>
      </c>
      <c r="Y538" s="6"/>
      <c r="Z538" s="6">
        <f ca="1">('TUSD BE'!$AM$21+'TUSD BF'!$AM$21+'TUSD CVA'!$AM$21)*1</f>
        <v>1146.3801365962368</v>
      </c>
      <c r="AA538" s="6">
        <f>('TE BE'!$AB$8+'TE BF'!$AB$8+'TE CVA'!$AB$8)*1</f>
        <v>415.05449050541699</v>
      </c>
      <c r="AB538" s="6">
        <f>$K$538*$V$538</f>
        <v>0</v>
      </c>
      <c r="AC538" s="6">
        <f>$M$538*$W$538</f>
        <v>94.338719999999995</v>
      </c>
      <c r="AD538" s="6">
        <f>$O$538*$X$538</f>
        <v>50.948799999999999</v>
      </c>
      <c r="AE538" s="6">
        <f>$K$538*$Y$538</f>
        <v>0</v>
      </c>
      <c r="AF538" s="6">
        <f ca="1">$M$538*$Z$538</f>
        <v>128.39457529877851</v>
      </c>
      <c r="AG538" s="6">
        <f>$O$538*$AA$538</f>
        <v>46.486102936606706</v>
      </c>
    </row>
    <row r="539" spans="1:33" ht="11.25" customHeight="1" x14ac:dyDescent="0.25">
      <c r="A539" s="4" t="s">
        <v>21</v>
      </c>
      <c r="B539" s="4" t="s">
        <v>33</v>
      </c>
      <c r="C539" s="4" t="s">
        <v>34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37</v>
      </c>
      <c r="I539" s="5">
        <v>44652</v>
      </c>
      <c r="J539" s="6">
        <v>0</v>
      </c>
      <c r="K539" s="6">
        <v>0</v>
      </c>
      <c r="L539" s="6">
        <v>4.5999999999999999E-2</v>
      </c>
      <c r="M539" s="6">
        <v>4.5999999999999999E-2</v>
      </c>
      <c r="N539" s="6">
        <v>4.5999999999999999E-2</v>
      </c>
      <c r="O539" s="6">
        <v>4.5999999999999999E-2</v>
      </c>
      <c r="P539" s="6">
        <v>0</v>
      </c>
      <c r="Q539" s="4" t="s">
        <v>26</v>
      </c>
      <c r="R539" s="4">
        <v>0</v>
      </c>
      <c r="S539" s="6">
        <v>0</v>
      </c>
      <c r="T539" s="6">
        <v>19</v>
      </c>
      <c r="U539" s="6">
        <v>65</v>
      </c>
      <c r="V539" s="6">
        <f>IF(ISERROR(VLOOKUP($S$539,'TAR FIN'!$A$1:$O$103,15,0)),0,VLOOKUP($S$539,'TAR FIN'!$A$1:$O$103,15,0))</f>
        <v>0</v>
      </c>
      <c r="W539" s="6">
        <f>IF(ISERROR(VLOOKUP($T$539,'TAR FIN'!$A$1:$O$103,15,0)),0,VLOOKUP($T$539,'TAR FIN'!$A$1:$O$103,15,0))</f>
        <v>842.31</v>
      </c>
      <c r="X539" s="6">
        <f>IF(ISERROR(VLOOKUP($U$539,'TAR FIN'!$A$1:$O$103,15,0)),0,VLOOKUP($U$539,'TAR FIN'!$A$1:$O$103,15,0))</f>
        <v>454.9</v>
      </c>
      <c r="Y539" s="6"/>
      <c r="Z539" s="6">
        <f ca="1">('TUSD BE'!$AM$21+'TUSD BF'!$AM$21+'TUSD CVA'!$AM$21)*1</f>
        <v>1146.3801365962368</v>
      </c>
      <c r="AA539" s="6">
        <f>('TE BE'!$AB$8+'TE BF'!$AB$8+'TE CVA'!$AB$8)*1</f>
        <v>415.05449050541699</v>
      </c>
      <c r="AB539" s="6">
        <f>$K$539*$V$539</f>
        <v>0</v>
      </c>
      <c r="AC539" s="6">
        <f>$M$539*$W$539</f>
        <v>38.746259999999999</v>
      </c>
      <c r="AD539" s="6">
        <f>$O$539*$X$539</f>
        <v>20.9254</v>
      </c>
      <c r="AE539" s="6">
        <f>$K$539*$Y$539</f>
        <v>0</v>
      </c>
      <c r="AF539" s="6">
        <f ca="1">$M$539*$Z$539</f>
        <v>52.733486283426892</v>
      </c>
      <c r="AG539" s="6">
        <f>$O$539*$AA$539</f>
        <v>19.092506563249181</v>
      </c>
    </row>
    <row r="540" spans="1:33" ht="11.25" customHeight="1" x14ac:dyDescent="0.25">
      <c r="A540" s="4" t="s">
        <v>21</v>
      </c>
      <c r="B540" s="4" t="s">
        <v>33</v>
      </c>
      <c r="C540" s="4" t="s">
        <v>34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37</v>
      </c>
      <c r="I540" s="5">
        <v>44682</v>
      </c>
      <c r="J540" s="6">
        <v>0</v>
      </c>
      <c r="K540" s="6">
        <v>0</v>
      </c>
      <c r="L540" s="6">
        <v>0.13100000000000001</v>
      </c>
      <c r="M540" s="6">
        <v>0.13100000000000001</v>
      </c>
      <c r="N540" s="6">
        <v>0.13100000000000001</v>
      </c>
      <c r="O540" s="6">
        <v>0.13100000000000001</v>
      </c>
      <c r="P540" s="6">
        <v>0</v>
      </c>
      <c r="Q540" s="4" t="s">
        <v>26</v>
      </c>
      <c r="R540" s="4">
        <v>0</v>
      </c>
      <c r="S540" s="6">
        <v>0</v>
      </c>
      <c r="T540" s="6">
        <v>19</v>
      </c>
      <c r="U540" s="6">
        <v>65</v>
      </c>
      <c r="V540" s="6">
        <f>IF(ISERROR(VLOOKUP($S$540,'TAR FIN'!$A$1:$O$103,15,0)),0,VLOOKUP($S$540,'TAR FIN'!$A$1:$O$103,15,0))</f>
        <v>0</v>
      </c>
      <c r="W540" s="6">
        <f>IF(ISERROR(VLOOKUP($T$540,'TAR FIN'!$A$1:$O$103,15,0)),0,VLOOKUP($T$540,'TAR FIN'!$A$1:$O$103,15,0))</f>
        <v>842.31</v>
      </c>
      <c r="X540" s="6">
        <f>IF(ISERROR(VLOOKUP($U$540,'TAR FIN'!$A$1:$O$103,15,0)),0,VLOOKUP($U$540,'TAR FIN'!$A$1:$O$103,15,0))</f>
        <v>454.9</v>
      </c>
      <c r="Y540" s="6"/>
      <c r="Z540" s="6">
        <f ca="1">('TUSD BE'!$AM$21+'TUSD BF'!$AM$21+'TUSD CVA'!$AM$21)*1</f>
        <v>1146.3801365962368</v>
      </c>
      <c r="AA540" s="6">
        <f>('TE BE'!$AB$8+'TE BF'!$AB$8+'TE CVA'!$AB$8)*1</f>
        <v>415.05449050541699</v>
      </c>
      <c r="AB540" s="6">
        <f>$K$540*$V$540</f>
        <v>0</v>
      </c>
      <c r="AC540" s="6">
        <f>$M$540*$W$540</f>
        <v>110.34260999999999</v>
      </c>
      <c r="AD540" s="6">
        <f>$O$540*$X$540</f>
        <v>59.591900000000003</v>
      </c>
      <c r="AE540" s="6">
        <f>$K$540*$Y$540</f>
        <v>0</v>
      </c>
      <c r="AF540" s="6">
        <f ca="1">$M$540*$Z$540</f>
        <v>150.17579789410703</v>
      </c>
      <c r="AG540" s="6">
        <f>$O$540*$AA$540</f>
        <v>54.372138256209631</v>
      </c>
    </row>
    <row r="541" spans="1:33" ht="11.25" customHeight="1" x14ac:dyDescent="0.25">
      <c r="A541" s="4" t="s">
        <v>21</v>
      </c>
      <c r="B541" s="4" t="s">
        <v>33</v>
      </c>
      <c r="C541" s="4" t="s">
        <v>34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35</v>
      </c>
      <c r="I541" s="5">
        <v>44348</v>
      </c>
      <c r="J541" s="6">
        <v>0</v>
      </c>
      <c r="K541" s="53">
        <v>0</v>
      </c>
      <c r="L541" s="6">
        <v>5.0549999999999997</v>
      </c>
      <c r="M541" s="53">
        <v>5.0549999999999997</v>
      </c>
      <c r="N541" s="6">
        <v>5.0549999999999997</v>
      </c>
      <c r="O541" s="53">
        <v>5.0549999999999997</v>
      </c>
      <c r="P541" s="6">
        <v>0</v>
      </c>
      <c r="Q541" s="4" t="s">
        <v>26</v>
      </c>
      <c r="R541" s="4">
        <v>0</v>
      </c>
      <c r="S541" s="6">
        <v>0</v>
      </c>
      <c r="T541" s="6">
        <v>20</v>
      </c>
      <c r="U541" s="6">
        <v>66</v>
      </c>
      <c r="V541" s="53">
        <f>IF(ISERROR(VLOOKUP($S$541,'TAR FIN'!$A$1:$O$103,15,0)),0,VLOOKUP($S$541,'TAR FIN'!$A$1:$O$103,15,0))</f>
        <v>0</v>
      </c>
      <c r="W541" s="53">
        <f>IF(ISERROR(VLOOKUP($T$541,'TAR FIN'!$A$1:$O$103,15,0)),0,VLOOKUP($T$541,'TAR FIN'!$A$1:$O$103,15,0))*(1-0.04)</f>
        <v>66.595200000000006</v>
      </c>
      <c r="X541" s="53">
        <f>IF(ISERROR(VLOOKUP($U$541,'TAR FIN'!$A$1:$O$103,15,0)),0,VLOOKUP($U$541,'TAR FIN'!$A$1:$O$103,15,0))*(1-0.04)</f>
        <v>272.98559999999998</v>
      </c>
      <c r="Y541" s="53"/>
      <c r="Z541" s="53">
        <f ca="1">('TUSD BE'!$AM$22+'TUSD BF'!$AM$22+'TUSD CVA'!$AM$22)*1*(1-0.02)</f>
        <v>109.01177069928978</v>
      </c>
      <c r="AA541" s="53">
        <f>('TE BE'!$AB$9+'TE BF'!$AB$9+'TE CVA'!$AB$9)*1*(1-0.02)</f>
        <v>253.85603972032115</v>
      </c>
      <c r="AB541" s="6">
        <f>$K$541*$V$541</f>
        <v>0</v>
      </c>
      <c r="AC541" s="6">
        <f>$M$541*$W$541</f>
        <v>336.63873599999999</v>
      </c>
      <c r="AD541" s="6">
        <f>$O$541*$X$541</f>
        <v>1379.9422079999997</v>
      </c>
      <c r="AE541" s="6">
        <f>$K$541*$Y$541</f>
        <v>0</v>
      </c>
      <c r="AF541" s="6">
        <f ca="1">$M$541*$Z$541</f>
        <v>551.05450088490977</v>
      </c>
      <c r="AG541" s="6">
        <f>$O$541*$AA$541</f>
        <v>1283.2422807862233</v>
      </c>
    </row>
    <row r="542" spans="1:33" ht="11.25" customHeight="1" x14ac:dyDescent="0.25">
      <c r="A542" s="4" t="s">
        <v>21</v>
      </c>
      <c r="B542" s="4" t="s">
        <v>33</v>
      </c>
      <c r="C542" s="4" t="s">
        <v>34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35</v>
      </c>
      <c r="I542" s="5">
        <v>44378</v>
      </c>
      <c r="J542" s="6">
        <v>0</v>
      </c>
      <c r="K542" s="53">
        <v>0</v>
      </c>
      <c r="L542" s="6">
        <v>3.0209999999999999</v>
      </c>
      <c r="M542" s="53">
        <v>3.0209999999999999</v>
      </c>
      <c r="N542" s="6">
        <v>3.0209999999999999</v>
      </c>
      <c r="O542" s="53">
        <v>3.0209999999999999</v>
      </c>
      <c r="P542" s="6">
        <v>0</v>
      </c>
      <c r="Q542" s="4" t="s">
        <v>26</v>
      </c>
      <c r="R542" s="4">
        <v>0</v>
      </c>
      <c r="S542" s="6">
        <v>0</v>
      </c>
      <c r="T542" s="6">
        <v>20</v>
      </c>
      <c r="U542" s="6">
        <v>66</v>
      </c>
      <c r="V542" s="53">
        <f>IF(ISERROR(VLOOKUP($S$542,'TAR FIN'!$A$1:$O$103,15,0)),0,VLOOKUP($S$542,'TAR FIN'!$A$1:$O$103,15,0))</f>
        <v>0</v>
      </c>
      <c r="W542" s="53">
        <f>IF(ISERROR(VLOOKUP($T$542,'TAR FIN'!$A$1:$O$103,15,0)),0,VLOOKUP($T$542,'TAR FIN'!$A$1:$O$103,15,0))*(1-0.04)</f>
        <v>66.595200000000006</v>
      </c>
      <c r="X542" s="53">
        <f>IF(ISERROR(VLOOKUP($U$542,'TAR FIN'!$A$1:$O$103,15,0)),0,VLOOKUP($U$542,'TAR FIN'!$A$1:$O$103,15,0))*(1-0.04)</f>
        <v>272.98559999999998</v>
      </c>
      <c r="Y542" s="53"/>
      <c r="Z542" s="53">
        <f ca="1">('TUSD BE'!$AM$22+'TUSD BF'!$AM$22+'TUSD CVA'!$AM$22)*1*(1-0.02)</f>
        <v>109.01177069928978</v>
      </c>
      <c r="AA542" s="53">
        <f>('TE BE'!$AB$9+'TE BF'!$AB$9+'TE CVA'!$AB$9)*1*(1-0.02)</f>
        <v>253.85603972032115</v>
      </c>
      <c r="AB542" s="6">
        <f>$K$542*$V$542</f>
        <v>0</v>
      </c>
      <c r="AC542" s="6">
        <f>$M$542*$W$542</f>
        <v>201.18409920000002</v>
      </c>
      <c r="AD542" s="6">
        <f>$O$542*$X$542</f>
        <v>824.68949759999987</v>
      </c>
      <c r="AE542" s="6">
        <f>$K$542*$Y$542</f>
        <v>0</v>
      </c>
      <c r="AF542" s="6">
        <f ca="1">$M$542*$Z$542</f>
        <v>329.32455928255445</v>
      </c>
      <c r="AG542" s="6">
        <f>$O$542*$AA$542</f>
        <v>766.89909599509019</v>
      </c>
    </row>
    <row r="543" spans="1:33" ht="11.25" customHeight="1" x14ac:dyDescent="0.25">
      <c r="A543" s="4" t="s">
        <v>21</v>
      </c>
      <c r="B543" s="4" t="s">
        <v>33</v>
      </c>
      <c r="C543" s="4" t="s">
        <v>34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35</v>
      </c>
      <c r="I543" s="5">
        <v>44409</v>
      </c>
      <c r="J543" s="6">
        <v>0</v>
      </c>
      <c r="K543" s="53">
        <v>0</v>
      </c>
      <c r="L543" s="6">
        <v>2.4289999999999998</v>
      </c>
      <c r="M543" s="53">
        <v>2.4289999999999998</v>
      </c>
      <c r="N543" s="6">
        <v>2.4289999999999998</v>
      </c>
      <c r="O543" s="53">
        <v>2.4289999999999998</v>
      </c>
      <c r="P543" s="6">
        <v>0</v>
      </c>
      <c r="Q543" s="4" t="s">
        <v>26</v>
      </c>
      <c r="R543" s="4">
        <v>0</v>
      </c>
      <c r="S543" s="6">
        <v>0</v>
      </c>
      <c r="T543" s="6">
        <v>20</v>
      </c>
      <c r="U543" s="6">
        <v>66</v>
      </c>
      <c r="V543" s="53">
        <f>IF(ISERROR(VLOOKUP($S$543,'TAR FIN'!$A$1:$O$103,15,0)),0,VLOOKUP($S$543,'TAR FIN'!$A$1:$O$103,15,0))</f>
        <v>0</v>
      </c>
      <c r="W543" s="53">
        <f>IF(ISERROR(VLOOKUP($T$543,'TAR FIN'!$A$1:$O$103,15,0)),0,VLOOKUP($T$543,'TAR FIN'!$A$1:$O$103,15,0))*(1-0.04)</f>
        <v>66.595200000000006</v>
      </c>
      <c r="X543" s="53">
        <f>IF(ISERROR(VLOOKUP($U$543,'TAR FIN'!$A$1:$O$103,15,0)),0,VLOOKUP($U$543,'TAR FIN'!$A$1:$O$103,15,0))*(1-0.04)</f>
        <v>272.98559999999998</v>
      </c>
      <c r="Y543" s="53"/>
      <c r="Z543" s="53">
        <f ca="1">('TUSD BE'!$AM$22+'TUSD BF'!$AM$22+'TUSD CVA'!$AM$22)*1*(1-0.02)</f>
        <v>109.01177069928978</v>
      </c>
      <c r="AA543" s="53">
        <f>('TE BE'!$AB$9+'TE BF'!$AB$9+'TE CVA'!$AB$9)*1*(1-0.02)</f>
        <v>253.85603972032115</v>
      </c>
      <c r="AB543" s="6">
        <f>$K$543*$V$543</f>
        <v>0</v>
      </c>
      <c r="AC543" s="6">
        <f>$M$543*$W$543</f>
        <v>161.7597408</v>
      </c>
      <c r="AD543" s="6">
        <f>$O$543*$X$543</f>
        <v>663.08202239999991</v>
      </c>
      <c r="AE543" s="6">
        <f>$K$543*$Y$543</f>
        <v>0</v>
      </c>
      <c r="AF543" s="6">
        <f ca="1">$M$543*$Z$543</f>
        <v>264.78959102857488</v>
      </c>
      <c r="AG543" s="6">
        <f>$O$543*$AA$543</f>
        <v>616.61632048066008</v>
      </c>
    </row>
    <row r="544" spans="1:33" ht="11.25" customHeight="1" x14ac:dyDescent="0.25">
      <c r="A544" s="4" t="s">
        <v>21</v>
      </c>
      <c r="B544" s="4" t="s">
        <v>33</v>
      </c>
      <c r="C544" s="4" t="s">
        <v>34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44440</v>
      </c>
      <c r="J544" s="6">
        <v>0</v>
      </c>
      <c r="K544" s="53">
        <v>0</v>
      </c>
      <c r="L544" s="6">
        <v>2.7210000000000001</v>
      </c>
      <c r="M544" s="53">
        <v>2.7210000000000001</v>
      </c>
      <c r="N544" s="6">
        <v>2.7210000000000001</v>
      </c>
      <c r="O544" s="53">
        <v>2.7210000000000001</v>
      </c>
      <c r="P544" s="6">
        <v>0</v>
      </c>
      <c r="Q544" s="4" t="s">
        <v>26</v>
      </c>
      <c r="R544" s="4">
        <v>0</v>
      </c>
      <c r="S544" s="6">
        <v>0</v>
      </c>
      <c r="T544" s="6">
        <v>20</v>
      </c>
      <c r="U544" s="6">
        <v>66</v>
      </c>
      <c r="V544" s="53">
        <f>IF(ISERROR(VLOOKUP($S$544,'TAR FIN'!$A$1:$O$103,15,0)),0,VLOOKUP($S$544,'TAR FIN'!$A$1:$O$103,15,0))</f>
        <v>0</v>
      </c>
      <c r="W544" s="53">
        <f>IF(ISERROR(VLOOKUP($T$544,'TAR FIN'!$A$1:$O$103,15,0)),0,VLOOKUP($T$544,'TAR FIN'!$A$1:$O$103,15,0))*(1-0.04)</f>
        <v>66.595200000000006</v>
      </c>
      <c r="X544" s="53">
        <f>IF(ISERROR(VLOOKUP($U$544,'TAR FIN'!$A$1:$O$103,15,0)),0,VLOOKUP($U$544,'TAR FIN'!$A$1:$O$103,15,0))*(1-0.04)</f>
        <v>272.98559999999998</v>
      </c>
      <c r="Y544" s="53"/>
      <c r="Z544" s="53">
        <f ca="1">('TUSD BE'!$AM$22+'TUSD BF'!$AM$22+'TUSD CVA'!$AM$22)*1*(1-0.02)</f>
        <v>109.01177069928978</v>
      </c>
      <c r="AA544" s="53">
        <f>('TE BE'!$AB$9+'TE BF'!$AB$9+'TE CVA'!$AB$9)*1*(1-0.02)</f>
        <v>253.85603972032115</v>
      </c>
      <c r="AB544" s="6">
        <f>$K$544*$V$544</f>
        <v>0</v>
      </c>
      <c r="AC544" s="6">
        <f>$M$544*$W$544</f>
        <v>181.20553920000003</v>
      </c>
      <c r="AD544" s="6">
        <f>$O$544*$X$544</f>
        <v>742.79381760000001</v>
      </c>
      <c r="AE544" s="6">
        <f>$K$544*$Y$544</f>
        <v>0</v>
      </c>
      <c r="AF544" s="6">
        <f ca="1">$M$544*$Z$544</f>
        <v>296.6210280727675</v>
      </c>
      <c r="AG544" s="6">
        <f>$O$544*$AA$544</f>
        <v>690.74228407899386</v>
      </c>
    </row>
    <row r="545" spans="1:33" ht="11.25" customHeight="1" x14ac:dyDescent="0.25">
      <c r="A545" s="4" t="s">
        <v>21</v>
      </c>
      <c r="B545" s="4" t="s">
        <v>33</v>
      </c>
      <c r="C545" s="4" t="s">
        <v>34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44470</v>
      </c>
      <c r="J545" s="6">
        <v>0</v>
      </c>
      <c r="K545" s="53">
        <v>0</v>
      </c>
      <c r="L545" s="6">
        <v>2.7639999999999998</v>
      </c>
      <c r="M545" s="53">
        <v>2.7639999999999998</v>
      </c>
      <c r="N545" s="6">
        <v>2.7639999999999998</v>
      </c>
      <c r="O545" s="53">
        <v>2.7639999999999998</v>
      </c>
      <c r="P545" s="6">
        <v>0</v>
      </c>
      <c r="Q545" s="4" t="s">
        <v>26</v>
      </c>
      <c r="R545" s="4">
        <v>0</v>
      </c>
      <c r="S545" s="6">
        <v>0</v>
      </c>
      <c r="T545" s="6">
        <v>20</v>
      </c>
      <c r="U545" s="6">
        <v>66</v>
      </c>
      <c r="V545" s="53">
        <f>IF(ISERROR(VLOOKUP($S$545,'TAR FIN'!$A$1:$O$103,15,0)),0,VLOOKUP($S$545,'TAR FIN'!$A$1:$O$103,15,0))</f>
        <v>0</v>
      </c>
      <c r="W545" s="53">
        <f>IF(ISERROR(VLOOKUP($T$545,'TAR FIN'!$A$1:$O$103,15,0)),0,VLOOKUP($T$545,'TAR FIN'!$A$1:$O$103,15,0))*(1-0.04)</f>
        <v>66.595200000000006</v>
      </c>
      <c r="X545" s="53">
        <f>IF(ISERROR(VLOOKUP($U$545,'TAR FIN'!$A$1:$O$103,15,0)),0,VLOOKUP($U$545,'TAR FIN'!$A$1:$O$103,15,0))*(1-0.04)</f>
        <v>272.98559999999998</v>
      </c>
      <c r="Y545" s="53"/>
      <c r="Z545" s="53">
        <f ca="1">('TUSD BE'!$AM$22+'TUSD BF'!$AM$22+'TUSD CVA'!$AM$22)*1*(1-0.02)</f>
        <v>109.01177069928978</v>
      </c>
      <c r="AA545" s="53">
        <f>('TE BE'!$AB$9+'TE BF'!$AB$9+'TE CVA'!$AB$9)*1*(1-0.02)</f>
        <v>253.85603972032115</v>
      </c>
      <c r="AB545" s="6">
        <f>$K$545*$V$545</f>
        <v>0</v>
      </c>
      <c r="AC545" s="6">
        <f>$M$545*$W$545</f>
        <v>184.06913280000001</v>
      </c>
      <c r="AD545" s="6">
        <f>$O$545*$X$545</f>
        <v>754.53219839999986</v>
      </c>
      <c r="AE545" s="6">
        <f>$K$545*$Y$545</f>
        <v>0</v>
      </c>
      <c r="AF545" s="6">
        <f ca="1">$M$545*$Z$545</f>
        <v>301.30853421283695</v>
      </c>
      <c r="AG545" s="6">
        <f>$O$545*$AA$545</f>
        <v>701.65809378696758</v>
      </c>
    </row>
    <row r="546" spans="1:33" ht="11.25" customHeight="1" x14ac:dyDescent="0.25">
      <c r="A546" s="4" t="s">
        <v>21</v>
      </c>
      <c r="B546" s="4" t="s">
        <v>33</v>
      </c>
      <c r="C546" s="4" t="s">
        <v>34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44501</v>
      </c>
      <c r="J546" s="6">
        <v>0</v>
      </c>
      <c r="K546" s="53">
        <v>0</v>
      </c>
      <c r="L546" s="6">
        <v>2.819</v>
      </c>
      <c r="M546" s="53">
        <v>2.819</v>
      </c>
      <c r="N546" s="6">
        <v>2.819</v>
      </c>
      <c r="O546" s="53">
        <v>2.819</v>
      </c>
      <c r="P546" s="6">
        <v>0</v>
      </c>
      <c r="Q546" s="4" t="s">
        <v>26</v>
      </c>
      <c r="R546" s="4">
        <v>0</v>
      </c>
      <c r="S546" s="6">
        <v>0</v>
      </c>
      <c r="T546" s="6">
        <v>20</v>
      </c>
      <c r="U546" s="6">
        <v>66</v>
      </c>
      <c r="V546" s="53">
        <f>IF(ISERROR(VLOOKUP($S$546,'TAR FIN'!$A$1:$O$103,15,0)),0,VLOOKUP($S$546,'TAR FIN'!$A$1:$O$103,15,0))</f>
        <v>0</v>
      </c>
      <c r="W546" s="53">
        <f>IF(ISERROR(VLOOKUP($T$546,'TAR FIN'!$A$1:$O$103,15,0)),0,VLOOKUP($T$546,'TAR FIN'!$A$1:$O$103,15,0))*(1-0.04)</f>
        <v>66.595200000000006</v>
      </c>
      <c r="X546" s="53">
        <f>IF(ISERROR(VLOOKUP($U$546,'TAR FIN'!$A$1:$O$103,15,0)),0,VLOOKUP($U$546,'TAR FIN'!$A$1:$O$103,15,0))*(1-0.04)</f>
        <v>272.98559999999998</v>
      </c>
      <c r="Y546" s="53"/>
      <c r="Z546" s="53">
        <f ca="1">('TUSD BE'!$AM$22+'TUSD BF'!$AM$22+'TUSD CVA'!$AM$22)*1*(1-0.02)</f>
        <v>109.01177069928978</v>
      </c>
      <c r="AA546" s="53">
        <f>('TE BE'!$AB$9+'TE BF'!$AB$9+'TE CVA'!$AB$9)*1*(1-0.02)</f>
        <v>253.85603972032115</v>
      </c>
      <c r="AB546" s="6">
        <f>$K$546*$V$546</f>
        <v>0</v>
      </c>
      <c r="AC546" s="6">
        <f>$M$546*$W$546</f>
        <v>187.7318688</v>
      </c>
      <c r="AD546" s="6">
        <f>$O$546*$X$546</f>
        <v>769.54640639999991</v>
      </c>
      <c r="AE546" s="6">
        <f>$K$546*$Y$546</f>
        <v>0</v>
      </c>
      <c r="AF546" s="6">
        <f ca="1">$M$546*$Z$546</f>
        <v>307.3041816012979</v>
      </c>
      <c r="AG546" s="6">
        <f>$O$546*$AA$546</f>
        <v>715.62017597158535</v>
      </c>
    </row>
    <row r="547" spans="1:33" ht="11.25" customHeight="1" x14ac:dyDescent="0.25">
      <c r="A547" s="4" t="s">
        <v>21</v>
      </c>
      <c r="B547" s="4" t="s">
        <v>33</v>
      </c>
      <c r="C547" s="4" t="s">
        <v>34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44531</v>
      </c>
      <c r="J547" s="6">
        <v>0</v>
      </c>
      <c r="K547" s="53">
        <v>0</v>
      </c>
      <c r="L547" s="6">
        <v>2.294</v>
      </c>
      <c r="M547" s="53">
        <v>2.294</v>
      </c>
      <c r="N547" s="6">
        <v>2.294</v>
      </c>
      <c r="O547" s="53">
        <v>2.294</v>
      </c>
      <c r="P547" s="6">
        <v>0</v>
      </c>
      <c r="Q547" s="4" t="s">
        <v>26</v>
      </c>
      <c r="R547" s="4">
        <v>0</v>
      </c>
      <c r="S547" s="6">
        <v>0</v>
      </c>
      <c r="T547" s="6">
        <v>20</v>
      </c>
      <c r="U547" s="6">
        <v>66</v>
      </c>
      <c r="V547" s="53">
        <f>IF(ISERROR(VLOOKUP($S$547,'TAR FIN'!$A$1:$O$103,15,0)),0,VLOOKUP($S$547,'TAR FIN'!$A$1:$O$103,15,0))</f>
        <v>0</v>
      </c>
      <c r="W547" s="53">
        <f>IF(ISERROR(VLOOKUP($T$547,'TAR FIN'!$A$1:$O$103,15,0)),0,VLOOKUP($T$547,'TAR FIN'!$A$1:$O$103,15,0))*(1-0.04)</f>
        <v>66.595200000000006</v>
      </c>
      <c r="X547" s="53">
        <f>IF(ISERROR(VLOOKUP($U$547,'TAR FIN'!$A$1:$O$103,15,0)),0,VLOOKUP($U$547,'TAR FIN'!$A$1:$O$103,15,0))*(1-0.04)</f>
        <v>272.98559999999998</v>
      </c>
      <c r="Y547" s="53"/>
      <c r="Z547" s="53">
        <f ca="1">('TUSD BE'!$AM$22+'TUSD BF'!$AM$22+'TUSD CVA'!$AM$22)*1*(1-0.02)</f>
        <v>109.01177069928978</v>
      </c>
      <c r="AA547" s="53">
        <f>('TE BE'!$AB$9+'TE BF'!$AB$9+'TE CVA'!$AB$9)*1*(1-0.02)</f>
        <v>253.85603972032115</v>
      </c>
      <c r="AB547" s="6">
        <f>$K$547*$V$547</f>
        <v>0</v>
      </c>
      <c r="AC547" s="6">
        <f>$M$547*$W$547</f>
        <v>152.7693888</v>
      </c>
      <c r="AD547" s="6">
        <f>$O$547*$X$547</f>
        <v>626.22896639999999</v>
      </c>
      <c r="AE547" s="6">
        <f>$K$547*$Y$547</f>
        <v>0</v>
      </c>
      <c r="AF547" s="6">
        <f ca="1">$M$547*$Z$547</f>
        <v>250.07300198417076</v>
      </c>
      <c r="AG547" s="6">
        <f>$O$547*$AA$547</f>
        <v>582.34575511841672</v>
      </c>
    </row>
    <row r="548" spans="1:33" ht="11.25" customHeight="1" x14ac:dyDescent="0.25">
      <c r="A548" s="4" t="s">
        <v>21</v>
      </c>
      <c r="B548" s="4" t="s">
        <v>33</v>
      </c>
      <c r="C548" s="4" t="s">
        <v>34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44593</v>
      </c>
      <c r="J548" s="6">
        <v>0</v>
      </c>
      <c r="K548" s="53">
        <v>0</v>
      </c>
      <c r="L548" s="6">
        <v>3.8010000000000002</v>
      </c>
      <c r="M548" s="53">
        <v>3.8010000000000002</v>
      </c>
      <c r="N548" s="6">
        <v>3.8010000000000002</v>
      </c>
      <c r="O548" s="53">
        <v>3.8010000000000002</v>
      </c>
      <c r="P548" s="6">
        <v>0</v>
      </c>
      <c r="Q548" s="4" t="s">
        <v>26</v>
      </c>
      <c r="R548" s="4">
        <v>0</v>
      </c>
      <c r="S548" s="6">
        <v>0</v>
      </c>
      <c r="T548" s="6">
        <v>20</v>
      </c>
      <c r="U548" s="6">
        <v>66</v>
      </c>
      <c r="V548" s="53">
        <f>IF(ISERROR(VLOOKUP($S$548,'TAR FIN'!$A$1:$O$103,15,0)),0,VLOOKUP($S$548,'TAR FIN'!$A$1:$O$103,15,0))</f>
        <v>0</v>
      </c>
      <c r="W548" s="53">
        <f>IF(ISERROR(VLOOKUP($T$548,'TAR FIN'!$A$1:$O$103,15,0)),0,VLOOKUP($T$548,'TAR FIN'!$A$1:$O$103,15,0))*(1-0.04)</f>
        <v>66.595200000000006</v>
      </c>
      <c r="X548" s="53">
        <f>IF(ISERROR(VLOOKUP($U$548,'TAR FIN'!$A$1:$O$103,15,0)),0,VLOOKUP($U$548,'TAR FIN'!$A$1:$O$103,15,0))*(1-0.04)</f>
        <v>272.98559999999998</v>
      </c>
      <c r="Y548" s="53"/>
      <c r="Z548" s="53">
        <f ca="1">('TUSD BE'!$AM$22+'TUSD BF'!$AM$22+'TUSD CVA'!$AM$22)*1*(1-0.02)</f>
        <v>109.01177069928978</v>
      </c>
      <c r="AA548" s="53">
        <f>('TE BE'!$AB$9+'TE BF'!$AB$9+'TE CVA'!$AB$9)*1*(1-0.02)</f>
        <v>253.85603972032115</v>
      </c>
      <c r="AB548" s="6">
        <f>$K$548*$V$548</f>
        <v>0</v>
      </c>
      <c r="AC548" s="6">
        <f>$M$548*$W$548</f>
        <v>253.12835520000004</v>
      </c>
      <c r="AD548" s="6">
        <f>$O$548*$X$548</f>
        <v>1037.6182655999999</v>
      </c>
      <c r="AE548" s="6">
        <f>$K$548*$Y$548</f>
        <v>0</v>
      </c>
      <c r="AF548" s="6">
        <f ca="1">$M$548*$Z$548</f>
        <v>414.35374042800049</v>
      </c>
      <c r="AG548" s="6">
        <f>$O$548*$AA$548</f>
        <v>964.90680697694074</v>
      </c>
    </row>
    <row r="549" spans="1:33" ht="11.25" customHeight="1" x14ac:dyDescent="0.25">
      <c r="A549" s="4" t="s">
        <v>21</v>
      </c>
      <c r="B549" s="4" t="s">
        <v>33</v>
      </c>
      <c r="C549" s="4" t="s">
        <v>34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44621</v>
      </c>
      <c r="J549" s="6">
        <v>0</v>
      </c>
      <c r="K549" s="53">
        <v>0</v>
      </c>
      <c r="L549" s="6">
        <v>3.0979999999999999</v>
      </c>
      <c r="M549" s="53">
        <v>3.0979999999999999</v>
      </c>
      <c r="N549" s="6">
        <v>3.0979999999999999</v>
      </c>
      <c r="O549" s="53">
        <v>3.0979999999999999</v>
      </c>
      <c r="P549" s="6">
        <v>0</v>
      </c>
      <c r="Q549" s="4" t="s">
        <v>26</v>
      </c>
      <c r="R549" s="4">
        <v>0</v>
      </c>
      <c r="S549" s="6">
        <v>0</v>
      </c>
      <c r="T549" s="6">
        <v>20</v>
      </c>
      <c r="U549" s="6">
        <v>66</v>
      </c>
      <c r="V549" s="53">
        <f>IF(ISERROR(VLOOKUP($S$549,'TAR FIN'!$A$1:$O$103,15,0)),0,VLOOKUP($S$549,'TAR FIN'!$A$1:$O$103,15,0))</f>
        <v>0</v>
      </c>
      <c r="W549" s="53">
        <f>IF(ISERROR(VLOOKUP($T$549,'TAR FIN'!$A$1:$O$103,15,0)),0,VLOOKUP($T$549,'TAR FIN'!$A$1:$O$103,15,0))*(1-0.04)</f>
        <v>66.595200000000006</v>
      </c>
      <c r="X549" s="53">
        <f>IF(ISERROR(VLOOKUP($U$549,'TAR FIN'!$A$1:$O$103,15,0)),0,VLOOKUP($U$549,'TAR FIN'!$A$1:$O$103,15,0))*(1-0.04)</f>
        <v>272.98559999999998</v>
      </c>
      <c r="Y549" s="53"/>
      <c r="Z549" s="53">
        <f ca="1">('TUSD BE'!$AM$22+'TUSD BF'!$AM$22+'TUSD CVA'!$AM$22)*1*(1-0.02)</f>
        <v>109.01177069928978</v>
      </c>
      <c r="AA549" s="53">
        <f>('TE BE'!$AB$9+'TE BF'!$AB$9+'TE CVA'!$AB$9)*1*(1-0.02)</f>
        <v>253.85603972032115</v>
      </c>
      <c r="AB549" s="6">
        <f>$K$549*$V$549</f>
        <v>0</v>
      </c>
      <c r="AC549" s="6">
        <f>$M$549*$W$549</f>
        <v>206.31192960000001</v>
      </c>
      <c r="AD549" s="6">
        <f>$O$549*$X$549</f>
        <v>845.70938879999994</v>
      </c>
      <c r="AE549" s="6">
        <f>$K$549*$Y$549</f>
        <v>0</v>
      </c>
      <c r="AF549" s="6">
        <f ca="1">$M$549*$Z$549</f>
        <v>337.71846562639973</v>
      </c>
      <c r="AG549" s="6">
        <f>$O$549*$AA$549</f>
        <v>786.44601105355491</v>
      </c>
    </row>
    <row r="550" spans="1:33" ht="11.25" customHeight="1" x14ac:dyDescent="0.25">
      <c r="A550" s="4" t="s">
        <v>21</v>
      </c>
      <c r="B550" s="4" t="s">
        <v>33</v>
      </c>
      <c r="C550" s="4" t="s">
        <v>34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44652</v>
      </c>
      <c r="J550" s="6">
        <v>0</v>
      </c>
      <c r="K550" s="53">
        <v>0</v>
      </c>
      <c r="L550" s="6">
        <v>2.2429999999999999</v>
      </c>
      <c r="M550" s="53">
        <v>2.2429999999999999</v>
      </c>
      <c r="N550" s="6">
        <v>2.2429999999999999</v>
      </c>
      <c r="O550" s="53">
        <v>2.2429999999999999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20</v>
      </c>
      <c r="U550" s="6">
        <v>66</v>
      </c>
      <c r="V550" s="53">
        <f>IF(ISERROR(VLOOKUP($S$550,'TAR FIN'!$A$1:$O$103,15,0)),0,VLOOKUP($S$550,'TAR FIN'!$A$1:$O$103,15,0))</f>
        <v>0</v>
      </c>
      <c r="W550" s="53">
        <f>IF(ISERROR(VLOOKUP($T$550,'TAR FIN'!$A$1:$O$103,15,0)),0,VLOOKUP($T$550,'TAR FIN'!$A$1:$O$103,15,0))*(1-0.04)</f>
        <v>66.595200000000006</v>
      </c>
      <c r="X550" s="53">
        <f>IF(ISERROR(VLOOKUP($U$550,'TAR FIN'!$A$1:$O$103,15,0)),0,VLOOKUP($U$550,'TAR FIN'!$A$1:$O$103,15,0))*(1-0.04)</f>
        <v>272.98559999999998</v>
      </c>
      <c r="Y550" s="53"/>
      <c r="Z550" s="53">
        <f ca="1">('TUSD BE'!$AM$22+'TUSD BF'!$AM$22+'TUSD CVA'!$AM$22)*1*(1-0.02)</f>
        <v>109.01177069928978</v>
      </c>
      <c r="AA550" s="53">
        <f>('TE BE'!$AB$9+'TE BF'!$AB$9+'TE CVA'!$AB$9)*1*(1-0.02)</f>
        <v>253.85603972032115</v>
      </c>
      <c r="AB550" s="6">
        <f>$K$550*$V$550</f>
        <v>0</v>
      </c>
      <c r="AC550" s="6">
        <f>$M$550*$W$550</f>
        <v>149.37303360000001</v>
      </c>
      <c r="AD550" s="6">
        <f>$O$550*$X$550</f>
        <v>612.30670079999993</v>
      </c>
      <c r="AE550" s="6">
        <f>$K$550*$Y$550</f>
        <v>0</v>
      </c>
      <c r="AF550" s="6">
        <f ca="1">$M$550*$Z$550</f>
        <v>244.51340167850697</v>
      </c>
      <c r="AG550" s="6">
        <f>$O$550*$AA$550</f>
        <v>569.39909709268034</v>
      </c>
    </row>
    <row r="551" spans="1:33" ht="11.25" customHeight="1" x14ac:dyDescent="0.25">
      <c r="A551" s="4" t="s">
        <v>21</v>
      </c>
      <c r="B551" s="4" t="s">
        <v>33</v>
      </c>
      <c r="C551" s="4" t="s">
        <v>34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44682</v>
      </c>
      <c r="J551" s="6">
        <v>0</v>
      </c>
      <c r="K551" s="53">
        <v>0</v>
      </c>
      <c r="L551" s="6">
        <v>2.492</v>
      </c>
      <c r="M551" s="53">
        <v>2.492</v>
      </c>
      <c r="N551" s="6">
        <v>2.492</v>
      </c>
      <c r="O551" s="53">
        <v>2.492</v>
      </c>
      <c r="P551" s="6">
        <v>0</v>
      </c>
      <c r="Q551" s="4" t="s">
        <v>26</v>
      </c>
      <c r="R551" s="4">
        <v>0</v>
      </c>
      <c r="S551" s="6">
        <v>0</v>
      </c>
      <c r="T551" s="6">
        <v>20</v>
      </c>
      <c r="U551" s="6">
        <v>66</v>
      </c>
      <c r="V551" s="53">
        <f>IF(ISERROR(VLOOKUP($S$551,'TAR FIN'!$A$1:$O$103,15,0)),0,VLOOKUP($S$551,'TAR FIN'!$A$1:$O$103,15,0))</f>
        <v>0</v>
      </c>
      <c r="W551" s="53">
        <f>IF(ISERROR(VLOOKUP($T$551,'TAR FIN'!$A$1:$O$103,15,0)),0,VLOOKUP($T$551,'TAR FIN'!$A$1:$O$103,15,0))*(1-0.04)</f>
        <v>66.595200000000006</v>
      </c>
      <c r="X551" s="53">
        <f>IF(ISERROR(VLOOKUP($U$551,'TAR FIN'!$A$1:$O$103,15,0)),0,VLOOKUP($U$551,'TAR FIN'!$A$1:$O$103,15,0))*(1-0.04)</f>
        <v>272.98559999999998</v>
      </c>
      <c r="Y551" s="53"/>
      <c r="Z551" s="53">
        <f ca="1">('TUSD BE'!$AM$22+'TUSD BF'!$AM$22+'TUSD CVA'!$AM$22)*1*(1-0.02)</f>
        <v>109.01177069928978</v>
      </c>
      <c r="AA551" s="53">
        <f>('TE BE'!$AB$9+'TE BF'!$AB$9+'TE CVA'!$AB$9)*1*(1-0.02)</f>
        <v>253.85603972032115</v>
      </c>
      <c r="AB551" s="6">
        <f>$K$551*$V$551</f>
        <v>0</v>
      </c>
      <c r="AC551" s="6">
        <f>$M$551*$W$551</f>
        <v>165.95523840000001</v>
      </c>
      <c r="AD551" s="6">
        <f>$O$551*$X$551</f>
        <v>680.28011519999995</v>
      </c>
      <c r="AE551" s="6">
        <f>$K$551*$Y$551</f>
        <v>0</v>
      </c>
      <c r="AF551" s="6">
        <f ca="1">$M$551*$Z$551</f>
        <v>271.65733258263015</v>
      </c>
      <c r="AG551" s="6">
        <f>$O$551*$AA$551</f>
        <v>632.60925098304028</v>
      </c>
    </row>
    <row r="552" spans="1:33" ht="11.25" customHeight="1" x14ac:dyDescent="0.25">
      <c r="A552" s="4" t="s">
        <v>21</v>
      </c>
      <c r="B552" s="4" t="s">
        <v>33</v>
      </c>
      <c r="C552" s="4" t="s">
        <v>34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44348</v>
      </c>
      <c r="J552" s="6">
        <v>98</v>
      </c>
      <c r="K552" s="53">
        <v>98</v>
      </c>
      <c r="L552" s="6">
        <v>0</v>
      </c>
      <c r="M552" s="53">
        <v>0</v>
      </c>
      <c r="N552" s="6">
        <v>0</v>
      </c>
      <c r="O552" s="53">
        <v>0</v>
      </c>
      <c r="P552" s="6">
        <v>2</v>
      </c>
      <c r="Q552" s="4" t="s">
        <v>26</v>
      </c>
      <c r="R552" s="4">
        <v>0</v>
      </c>
      <c r="S552" s="6">
        <v>18</v>
      </c>
      <c r="T552" s="6">
        <v>0</v>
      </c>
      <c r="U552" s="6">
        <v>0</v>
      </c>
      <c r="V552" s="53">
        <f>IF(ISERROR(VLOOKUP($S$552,'TAR FIN'!$A$1:$O$103,15,0)),0,VLOOKUP($S$552,'TAR FIN'!$A$1:$O$103,15,0))*(1-0.04)</f>
        <v>11.9232</v>
      </c>
      <c r="W552" s="53">
        <f>IF(ISERROR(VLOOKUP($T$552,'TAR FIN'!$A$1:$O$103,15,0)),0,VLOOKUP($T$552,'TAR FIN'!$A$1:$O$103,15,0))</f>
        <v>0</v>
      </c>
      <c r="X552" s="53">
        <f>IF(ISERROR(VLOOKUP($U$552,'TAR FIN'!$A$1:$O$103,15,0)),0,VLOOKUP($U$552,'TAR FIN'!$A$1:$O$103,15,0))</f>
        <v>0</v>
      </c>
      <c r="Y552" s="53">
        <f ca="1">('TUSD BE'!$AM$20+'TUSD BF'!$AM$20+'TUSD CVA'!$AM$20)*1*(1-0.02)</f>
        <v>16.187938603596493</v>
      </c>
      <c r="Z552" s="53"/>
      <c r="AA552" s="53"/>
      <c r="AB552" s="6">
        <f>$K$552*$V$552</f>
        <v>1168.4736</v>
      </c>
      <c r="AC552" s="6">
        <f>$M$552*$W$552</f>
        <v>0</v>
      </c>
      <c r="AD552" s="6">
        <f>$O$552*$X$552</f>
        <v>0</v>
      </c>
      <c r="AE552" s="6">
        <f ca="1">$K$552*$Y$552</f>
        <v>1586.4179831524564</v>
      </c>
      <c r="AF552" s="6">
        <f>$M$552*$Z$552</f>
        <v>0</v>
      </c>
      <c r="AG552" s="6">
        <f>$O$552*$AA$552</f>
        <v>0</v>
      </c>
    </row>
    <row r="553" spans="1:33" ht="11.25" customHeight="1" x14ac:dyDescent="0.25">
      <c r="A553" s="4" t="s">
        <v>21</v>
      </c>
      <c r="B553" s="4" t="s">
        <v>33</v>
      </c>
      <c r="C553" s="4" t="s">
        <v>34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44378</v>
      </c>
      <c r="J553" s="6">
        <v>37</v>
      </c>
      <c r="K553" s="53">
        <v>37</v>
      </c>
      <c r="L553" s="6">
        <v>0</v>
      </c>
      <c r="M553" s="53">
        <v>0</v>
      </c>
      <c r="N553" s="6">
        <v>0</v>
      </c>
      <c r="O553" s="53">
        <v>0</v>
      </c>
      <c r="P553" s="6">
        <v>2</v>
      </c>
      <c r="Q553" s="4" t="s">
        <v>26</v>
      </c>
      <c r="R553" s="4">
        <v>0</v>
      </c>
      <c r="S553" s="6">
        <v>18</v>
      </c>
      <c r="T553" s="6">
        <v>0</v>
      </c>
      <c r="U553" s="6">
        <v>0</v>
      </c>
      <c r="V553" s="53">
        <f>IF(ISERROR(VLOOKUP($S$553,'TAR FIN'!$A$1:$O$103,15,0)),0,VLOOKUP($S$553,'TAR FIN'!$A$1:$O$103,15,0))*(1-0.04)</f>
        <v>11.9232</v>
      </c>
      <c r="W553" s="53">
        <f>IF(ISERROR(VLOOKUP($T$553,'TAR FIN'!$A$1:$O$103,15,0)),0,VLOOKUP($T$553,'TAR FIN'!$A$1:$O$103,15,0))</f>
        <v>0</v>
      </c>
      <c r="X553" s="53">
        <f>IF(ISERROR(VLOOKUP($U$553,'TAR FIN'!$A$1:$O$103,15,0)),0,VLOOKUP($U$553,'TAR FIN'!$A$1:$O$103,15,0))</f>
        <v>0</v>
      </c>
      <c r="Y553" s="53">
        <f ca="1">('TUSD BE'!$AM$20+'TUSD BF'!$AM$20+'TUSD CVA'!$AM$20)*1*(1-0.02)</f>
        <v>16.187938603596493</v>
      </c>
      <c r="Z553" s="53"/>
      <c r="AA553" s="53"/>
      <c r="AB553" s="6">
        <f>$K$553*$V$553</f>
        <v>441.15839999999997</v>
      </c>
      <c r="AC553" s="6">
        <f>$M$553*$W$553</f>
        <v>0</v>
      </c>
      <c r="AD553" s="6">
        <f>$O$553*$X$553</f>
        <v>0</v>
      </c>
      <c r="AE553" s="6">
        <f ca="1">$K$553*$Y$553</f>
        <v>598.95372833307022</v>
      </c>
      <c r="AF553" s="6">
        <f>$M$553*$Z$553</f>
        <v>0</v>
      </c>
      <c r="AG553" s="6">
        <f>$O$553*$AA$553</f>
        <v>0</v>
      </c>
    </row>
    <row r="554" spans="1:33" ht="11.25" customHeight="1" x14ac:dyDescent="0.25">
      <c r="A554" s="4" t="s">
        <v>21</v>
      </c>
      <c r="B554" s="4" t="s">
        <v>33</v>
      </c>
      <c r="C554" s="4" t="s">
        <v>34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44409</v>
      </c>
      <c r="J554" s="6">
        <v>37</v>
      </c>
      <c r="K554" s="53">
        <v>37</v>
      </c>
      <c r="L554" s="6">
        <v>0</v>
      </c>
      <c r="M554" s="53">
        <v>0</v>
      </c>
      <c r="N554" s="6">
        <v>0</v>
      </c>
      <c r="O554" s="53">
        <v>0</v>
      </c>
      <c r="P554" s="6">
        <v>2</v>
      </c>
      <c r="Q554" s="4" t="s">
        <v>26</v>
      </c>
      <c r="R554" s="4">
        <v>0</v>
      </c>
      <c r="S554" s="6">
        <v>18</v>
      </c>
      <c r="T554" s="6">
        <v>0</v>
      </c>
      <c r="U554" s="6">
        <v>0</v>
      </c>
      <c r="V554" s="53">
        <f>IF(ISERROR(VLOOKUP($S$554,'TAR FIN'!$A$1:$O$103,15,0)),0,VLOOKUP($S$554,'TAR FIN'!$A$1:$O$103,15,0))*(1-0.04)</f>
        <v>11.9232</v>
      </c>
      <c r="W554" s="53">
        <f>IF(ISERROR(VLOOKUP($T$554,'TAR FIN'!$A$1:$O$103,15,0)),0,VLOOKUP($T$554,'TAR FIN'!$A$1:$O$103,15,0))</f>
        <v>0</v>
      </c>
      <c r="X554" s="53">
        <f>IF(ISERROR(VLOOKUP($U$554,'TAR FIN'!$A$1:$O$103,15,0)),0,VLOOKUP($U$554,'TAR FIN'!$A$1:$O$103,15,0))</f>
        <v>0</v>
      </c>
      <c r="Y554" s="53">
        <f ca="1">('TUSD BE'!$AM$20+'TUSD BF'!$AM$20+'TUSD CVA'!$AM$20)*1*(1-0.02)</f>
        <v>16.187938603596493</v>
      </c>
      <c r="Z554" s="53"/>
      <c r="AA554" s="53"/>
      <c r="AB554" s="6">
        <f>$K$554*$V$554</f>
        <v>441.15839999999997</v>
      </c>
      <c r="AC554" s="6">
        <f>$M$554*$W$554</f>
        <v>0</v>
      </c>
      <c r="AD554" s="6">
        <f>$O$554*$X$554</f>
        <v>0</v>
      </c>
      <c r="AE554" s="6">
        <f ca="1">$K$554*$Y$554</f>
        <v>598.95372833307022</v>
      </c>
      <c r="AF554" s="6">
        <f>$M$554*$Z$554</f>
        <v>0</v>
      </c>
      <c r="AG554" s="6">
        <f>$O$554*$AA$554</f>
        <v>0</v>
      </c>
    </row>
    <row r="555" spans="1:33" ht="11.25" customHeight="1" x14ac:dyDescent="0.25">
      <c r="A555" s="4" t="s">
        <v>21</v>
      </c>
      <c r="B555" s="4" t="s">
        <v>33</v>
      </c>
      <c r="C555" s="4" t="s">
        <v>34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44440</v>
      </c>
      <c r="J555" s="6">
        <v>37</v>
      </c>
      <c r="K555" s="53">
        <v>37</v>
      </c>
      <c r="L555" s="6">
        <v>0</v>
      </c>
      <c r="M555" s="53">
        <v>0</v>
      </c>
      <c r="N555" s="6">
        <v>0</v>
      </c>
      <c r="O555" s="53">
        <v>0</v>
      </c>
      <c r="P555" s="6">
        <v>2</v>
      </c>
      <c r="Q555" s="4" t="s">
        <v>26</v>
      </c>
      <c r="R555" s="4">
        <v>0</v>
      </c>
      <c r="S555" s="6">
        <v>18</v>
      </c>
      <c r="T555" s="6">
        <v>0</v>
      </c>
      <c r="U555" s="6">
        <v>0</v>
      </c>
      <c r="V555" s="53">
        <f>IF(ISERROR(VLOOKUP($S$555,'TAR FIN'!$A$1:$O$103,15,0)),0,VLOOKUP($S$555,'TAR FIN'!$A$1:$O$103,15,0))*(1-0.04)</f>
        <v>11.9232</v>
      </c>
      <c r="W555" s="53">
        <f>IF(ISERROR(VLOOKUP($T$555,'TAR FIN'!$A$1:$O$103,15,0)),0,VLOOKUP($T$555,'TAR FIN'!$A$1:$O$103,15,0))</f>
        <v>0</v>
      </c>
      <c r="X555" s="53">
        <f>IF(ISERROR(VLOOKUP($U$555,'TAR FIN'!$A$1:$O$103,15,0)),0,VLOOKUP($U$555,'TAR FIN'!$A$1:$O$103,15,0))</f>
        <v>0</v>
      </c>
      <c r="Y555" s="53">
        <f ca="1">('TUSD BE'!$AM$20+'TUSD BF'!$AM$20+'TUSD CVA'!$AM$20)*1*(1-0.02)</f>
        <v>16.187938603596493</v>
      </c>
      <c r="Z555" s="53"/>
      <c r="AA555" s="53"/>
      <c r="AB555" s="6">
        <f>$K$555*$V$555</f>
        <v>441.15839999999997</v>
      </c>
      <c r="AC555" s="6">
        <f>$M$555*$W$555</f>
        <v>0</v>
      </c>
      <c r="AD555" s="6">
        <f>$O$555*$X$555</f>
        <v>0</v>
      </c>
      <c r="AE555" s="6">
        <f ca="1">$K$555*$Y$555</f>
        <v>598.95372833307022</v>
      </c>
      <c r="AF555" s="6">
        <f>$M$555*$Z$555</f>
        <v>0</v>
      </c>
      <c r="AG555" s="6">
        <f>$O$555*$AA$555</f>
        <v>0</v>
      </c>
    </row>
    <row r="556" spans="1:33" ht="11.25" customHeight="1" x14ac:dyDescent="0.25">
      <c r="A556" s="4" t="s">
        <v>21</v>
      </c>
      <c r="B556" s="4" t="s">
        <v>33</v>
      </c>
      <c r="C556" s="4" t="s">
        <v>34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44470</v>
      </c>
      <c r="J556" s="6">
        <v>37</v>
      </c>
      <c r="K556" s="53">
        <v>37</v>
      </c>
      <c r="L556" s="6">
        <v>0</v>
      </c>
      <c r="M556" s="53">
        <v>0</v>
      </c>
      <c r="N556" s="6">
        <v>0</v>
      </c>
      <c r="O556" s="53">
        <v>0</v>
      </c>
      <c r="P556" s="6">
        <v>2</v>
      </c>
      <c r="Q556" s="4" t="s">
        <v>26</v>
      </c>
      <c r="R556" s="4">
        <v>0</v>
      </c>
      <c r="S556" s="6">
        <v>18</v>
      </c>
      <c r="T556" s="6">
        <v>0</v>
      </c>
      <c r="U556" s="6">
        <v>0</v>
      </c>
      <c r="V556" s="53">
        <f>IF(ISERROR(VLOOKUP($S$556,'TAR FIN'!$A$1:$O$103,15,0)),0,VLOOKUP($S$556,'TAR FIN'!$A$1:$O$103,15,0))*(1-0.04)</f>
        <v>11.9232</v>
      </c>
      <c r="W556" s="53">
        <f>IF(ISERROR(VLOOKUP($T$556,'TAR FIN'!$A$1:$O$103,15,0)),0,VLOOKUP($T$556,'TAR FIN'!$A$1:$O$103,15,0))</f>
        <v>0</v>
      </c>
      <c r="X556" s="53">
        <f>IF(ISERROR(VLOOKUP($U$556,'TAR FIN'!$A$1:$O$103,15,0)),0,VLOOKUP($U$556,'TAR FIN'!$A$1:$O$103,15,0))</f>
        <v>0</v>
      </c>
      <c r="Y556" s="53">
        <f ca="1">('TUSD BE'!$AM$20+'TUSD BF'!$AM$20+'TUSD CVA'!$AM$20)*1*(1-0.02)</f>
        <v>16.187938603596493</v>
      </c>
      <c r="Z556" s="53"/>
      <c r="AA556" s="53"/>
      <c r="AB556" s="6">
        <f>$K$556*$V$556</f>
        <v>441.15839999999997</v>
      </c>
      <c r="AC556" s="6">
        <f>$M$556*$W$556</f>
        <v>0</v>
      </c>
      <c r="AD556" s="6">
        <f>$O$556*$X$556</f>
        <v>0</v>
      </c>
      <c r="AE556" s="6">
        <f ca="1">$K$556*$Y$556</f>
        <v>598.95372833307022</v>
      </c>
      <c r="AF556" s="6">
        <f>$M$556*$Z$556</f>
        <v>0</v>
      </c>
      <c r="AG556" s="6">
        <f>$O$556*$AA$556</f>
        <v>0</v>
      </c>
    </row>
    <row r="557" spans="1:33" ht="11.25" customHeight="1" x14ac:dyDescent="0.25">
      <c r="A557" s="4" t="s">
        <v>21</v>
      </c>
      <c r="B557" s="4" t="s">
        <v>33</v>
      </c>
      <c r="C557" s="4" t="s">
        <v>34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44501</v>
      </c>
      <c r="J557" s="6">
        <v>37</v>
      </c>
      <c r="K557" s="53">
        <v>37</v>
      </c>
      <c r="L557" s="6">
        <v>0</v>
      </c>
      <c r="M557" s="53">
        <v>0</v>
      </c>
      <c r="N557" s="6">
        <v>0</v>
      </c>
      <c r="O557" s="53">
        <v>0</v>
      </c>
      <c r="P557" s="6">
        <v>2</v>
      </c>
      <c r="Q557" s="4" t="s">
        <v>26</v>
      </c>
      <c r="R557" s="4">
        <v>0</v>
      </c>
      <c r="S557" s="6">
        <v>18</v>
      </c>
      <c r="T557" s="6">
        <v>0</v>
      </c>
      <c r="U557" s="6">
        <v>0</v>
      </c>
      <c r="V557" s="53">
        <f>IF(ISERROR(VLOOKUP($S$557,'TAR FIN'!$A$1:$O$103,15,0)),0,VLOOKUP($S$557,'TAR FIN'!$A$1:$O$103,15,0))*(1-0.04)</f>
        <v>11.9232</v>
      </c>
      <c r="W557" s="53">
        <f>IF(ISERROR(VLOOKUP($T$557,'TAR FIN'!$A$1:$O$103,15,0)),0,VLOOKUP($T$557,'TAR FIN'!$A$1:$O$103,15,0))</f>
        <v>0</v>
      </c>
      <c r="X557" s="53">
        <f>IF(ISERROR(VLOOKUP($U$557,'TAR FIN'!$A$1:$O$103,15,0)),0,VLOOKUP($U$557,'TAR FIN'!$A$1:$O$103,15,0))</f>
        <v>0</v>
      </c>
      <c r="Y557" s="53">
        <f ca="1">('TUSD BE'!$AM$20+'TUSD BF'!$AM$20+'TUSD CVA'!$AM$20)*1*(1-0.02)</f>
        <v>16.187938603596493</v>
      </c>
      <c r="Z557" s="53"/>
      <c r="AA557" s="53"/>
      <c r="AB557" s="6">
        <f>$K$557*$V$557</f>
        <v>441.15839999999997</v>
      </c>
      <c r="AC557" s="6">
        <f>$M$557*$W$557</f>
        <v>0</v>
      </c>
      <c r="AD557" s="6">
        <f>$O$557*$X$557</f>
        <v>0</v>
      </c>
      <c r="AE557" s="6">
        <f ca="1">$K$557*$Y$557</f>
        <v>598.95372833307022</v>
      </c>
      <c r="AF557" s="6">
        <f>$M$557*$Z$557</f>
        <v>0</v>
      </c>
      <c r="AG557" s="6">
        <f>$O$557*$AA$557</f>
        <v>0</v>
      </c>
    </row>
    <row r="558" spans="1:33" ht="11.25" customHeight="1" x14ac:dyDescent="0.25">
      <c r="A558" s="4" t="s">
        <v>21</v>
      </c>
      <c r="B558" s="4" t="s">
        <v>33</v>
      </c>
      <c r="C558" s="4" t="s">
        <v>34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37</v>
      </c>
      <c r="K558" s="53">
        <v>37</v>
      </c>
      <c r="L558" s="6">
        <v>0</v>
      </c>
      <c r="M558" s="53">
        <v>0</v>
      </c>
      <c r="N558" s="6">
        <v>0</v>
      </c>
      <c r="O558" s="53">
        <v>0</v>
      </c>
      <c r="P558" s="6">
        <v>2</v>
      </c>
      <c r="Q558" s="4" t="s">
        <v>26</v>
      </c>
      <c r="R558" s="4">
        <v>0</v>
      </c>
      <c r="S558" s="6">
        <v>18</v>
      </c>
      <c r="T558" s="6">
        <v>0</v>
      </c>
      <c r="U558" s="6">
        <v>0</v>
      </c>
      <c r="V558" s="53">
        <f>IF(ISERROR(VLOOKUP($S$558,'TAR FIN'!$A$1:$O$103,15,0)),0,VLOOKUP($S$558,'TAR FIN'!$A$1:$O$103,15,0))*(1-0.04)</f>
        <v>11.9232</v>
      </c>
      <c r="W558" s="53">
        <f>IF(ISERROR(VLOOKUP($T$558,'TAR FIN'!$A$1:$O$103,15,0)),0,VLOOKUP($T$558,'TAR FIN'!$A$1:$O$103,15,0))</f>
        <v>0</v>
      </c>
      <c r="X558" s="53">
        <f>IF(ISERROR(VLOOKUP($U$558,'TAR FIN'!$A$1:$O$103,15,0)),0,VLOOKUP($U$558,'TAR FIN'!$A$1:$O$103,15,0))</f>
        <v>0</v>
      </c>
      <c r="Y558" s="53">
        <f ca="1">('TUSD BE'!$AM$20+'TUSD BF'!$AM$20+'TUSD CVA'!$AM$20)*1*(1-0.02)</f>
        <v>16.187938603596493</v>
      </c>
      <c r="Z558" s="53"/>
      <c r="AA558" s="53"/>
      <c r="AB558" s="6">
        <f>$K$558*$V$558</f>
        <v>441.15839999999997</v>
      </c>
      <c r="AC558" s="6">
        <f>$M$558*$W$558</f>
        <v>0</v>
      </c>
      <c r="AD558" s="6">
        <f>$O$558*$X$558</f>
        <v>0</v>
      </c>
      <c r="AE558" s="6">
        <f ca="1">$K$558*$Y$558</f>
        <v>598.95372833307022</v>
      </c>
      <c r="AF558" s="6">
        <f>$M$558*$Z$558</f>
        <v>0</v>
      </c>
      <c r="AG558" s="6">
        <f>$O$558*$AA$558</f>
        <v>0</v>
      </c>
    </row>
    <row r="559" spans="1:33" ht="11.25" customHeight="1" x14ac:dyDescent="0.25">
      <c r="A559" s="4" t="s">
        <v>21</v>
      </c>
      <c r="B559" s="4" t="s">
        <v>33</v>
      </c>
      <c r="C559" s="4" t="s">
        <v>34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44593</v>
      </c>
      <c r="J559" s="6">
        <v>30</v>
      </c>
      <c r="K559" s="53">
        <v>30</v>
      </c>
      <c r="L559" s="6">
        <v>0</v>
      </c>
      <c r="M559" s="53">
        <v>0</v>
      </c>
      <c r="N559" s="6">
        <v>0</v>
      </c>
      <c r="O559" s="53">
        <v>0</v>
      </c>
      <c r="P559" s="6">
        <v>1</v>
      </c>
      <c r="Q559" s="4" t="s">
        <v>26</v>
      </c>
      <c r="R559" s="4">
        <v>0</v>
      </c>
      <c r="S559" s="6">
        <v>18</v>
      </c>
      <c r="T559" s="6">
        <v>0</v>
      </c>
      <c r="U559" s="6">
        <v>0</v>
      </c>
      <c r="V559" s="53">
        <f>IF(ISERROR(VLOOKUP($S$559,'TAR FIN'!$A$1:$O$103,15,0)),0,VLOOKUP($S$559,'TAR FIN'!$A$1:$O$103,15,0))*(1-0.04)</f>
        <v>11.9232</v>
      </c>
      <c r="W559" s="53">
        <f>IF(ISERROR(VLOOKUP($T$559,'TAR FIN'!$A$1:$O$103,15,0)),0,VLOOKUP($T$559,'TAR FIN'!$A$1:$O$103,15,0))</f>
        <v>0</v>
      </c>
      <c r="X559" s="53">
        <f>IF(ISERROR(VLOOKUP($U$559,'TAR FIN'!$A$1:$O$103,15,0)),0,VLOOKUP($U$559,'TAR FIN'!$A$1:$O$103,15,0))</f>
        <v>0</v>
      </c>
      <c r="Y559" s="53">
        <f ca="1">('TUSD BE'!$AM$20+'TUSD BF'!$AM$20+'TUSD CVA'!$AM$20)*1*(1-0.02)</f>
        <v>16.187938603596493</v>
      </c>
      <c r="Z559" s="53"/>
      <c r="AA559" s="53"/>
      <c r="AB559" s="6">
        <f>$K$559*$V$559</f>
        <v>357.69599999999997</v>
      </c>
      <c r="AC559" s="6">
        <f>$M$559*$W$559</f>
        <v>0</v>
      </c>
      <c r="AD559" s="6">
        <f>$O$559*$X$559</f>
        <v>0</v>
      </c>
      <c r="AE559" s="6">
        <f ca="1">$K$559*$Y$559</f>
        <v>485.63815810789481</v>
      </c>
      <c r="AF559" s="6">
        <f>$M$559*$Z$559</f>
        <v>0</v>
      </c>
      <c r="AG559" s="6">
        <f>$O$559*$AA$559</f>
        <v>0</v>
      </c>
    </row>
    <row r="560" spans="1:33" ht="11.25" customHeight="1" x14ac:dyDescent="0.25">
      <c r="A560" s="4" t="s">
        <v>21</v>
      </c>
      <c r="B560" s="4" t="s">
        <v>33</v>
      </c>
      <c r="C560" s="4" t="s">
        <v>34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44621</v>
      </c>
      <c r="J560" s="6">
        <v>30</v>
      </c>
      <c r="K560" s="53">
        <v>30</v>
      </c>
      <c r="L560" s="6">
        <v>0</v>
      </c>
      <c r="M560" s="53">
        <v>0</v>
      </c>
      <c r="N560" s="6">
        <v>0</v>
      </c>
      <c r="O560" s="53">
        <v>0</v>
      </c>
      <c r="P560" s="6">
        <v>1</v>
      </c>
      <c r="Q560" s="4" t="s">
        <v>26</v>
      </c>
      <c r="R560" s="4">
        <v>0</v>
      </c>
      <c r="S560" s="6">
        <v>18</v>
      </c>
      <c r="T560" s="6">
        <v>0</v>
      </c>
      <c r="U560" s="6">
        <v>0</v>
      </c>
      <c r="V560" s="53">
        <f>IF(ISERROR(VLOOKUP($S$560,'TAR FIN'!$A$1:$O$103,15,0)),0,VLOOKUP($S$560,'TAR FIN'!$A$1:$O$103,15,0))*(1-0.04)</f>
        <v>11.9232</v>
      </c>
      <c r="W560" s="53">
        <f>IF(ISERROR(VLOOKUP($T$560,'TAR FIN'!$A$1:$O$103,15,0)),0,VLOOKUP($T$560,'TAR FIN'!$A$1:$O$103,15,0))</f>
        <v>0</v>
      </c>
      <c r="X560" s="53">
        <f>IF(ISERROR(VLOOKUP($U$560,'TAR FIN'!$A$1:$O$103,15,0)),0,VLOOKUP($U$560,'TAR FIN'!$A$1:$O$103,15,0))</f>
        <v>0</v>
      </c>
      <c r="Y560" s="53">
        <f ca="1">('TUSD BE'!$AM$20+'TUSD BF'!$AM$20+'TUSD CVA'!$AM$20)*1*(1-0.02)</f>
        <v>16.187938603596493</v>
      </c>
      <c r="Z560" s="53"/>
      <c r="AA560" s="53"/>
      <c r="AB560" s="6">
        <f>$K$560*$V$560</f>
        <v>357.69599999999997</v>
      </c>
      <c r="AC560" s="6">
        <f>$M$560*$W$560</f>
        <v>0</v>
      </c>
      <c r="AD560" s="6">
        <f>$O$560*$X$560</f>
        <v>0</v>
      </c>
      <c r="AE560" s="6">
        <f ca="1">$K$560*$Y$560</f>
        <v>485.63815810789481</v>
      </c>
      <c r="AF560" s="6">
        <f>$M$560*$Z$560</f>
        <v>0</v>
      </c>
      <c r="AG560" s="6">
        <f>$O$560*$AA$560</f>
        <v>0</v>
      </c>
    </row>
    <row r="561" spans="1:33" ht="11.25" customHeight="1" x14ac:dyDescent="0.25">
      <c r="A561" s="4" t="s">
        <v>21</v>
      </c>
      <c r="B561" s="4" t="s">
        <v>33</v>
      </c>
      <c r="C561" s="4" t="s">
        <v>34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44652</v>
      </c>
      <c r="J561" s="6">
        <v>30</v>
      </c>
      <c r="K561" s="53">
        <v>30</v>
      </c>
      <c r="L561" s="6">
        <v>0</v>
      </c>
      <c r="M561" s="53">
        <v>0</v>
      </c>
      <c r="N561" s="6">
        <v>0</v>
      </c>
      <c r="O561" s="53">
        <v>0</v>
      </c>
      <c r="P561" s="6">
        <v>1</v>
      </c>
      <c r="Q561" s="4" t="s">
        <v>26</v>
      </c>
      <c r="R561" s="4">
        <v>0</v>
      </c>
      <c r="S561" s="6">
        <v>18</v>
      </c>
      <c r="T561" s="6">
        <v>0</v>
      </c>
      <c r="U561" s="6">
        <v>0</v>
      </c>
      <c r="V561" s="53">
        <f>IF(ISERROR(VLOOKUP($S$561,'TAR FIN'!$A$1:$O$103,15,0)),0,VLOOKUP($S$561,'TAR FIN'!$A$1:$O$103,15,0))*(1-0.04)</f>
        <v>11.9232</v>
      </c>
      <c r="W561" s="53">
        <f>IF(ISERROR(VLOOKUP($T$561,'TAR FIN'!$A$1:$O$103,15,0)),0,VLOOKUP($T$561,'TAR FIN'!$A$1:$O$103,15,0))</f>
        <v>0</v>
      </c>
      <c r="X561" s="53">
        <f>IF(ISERROR(VLOOKUP($U$561,'TAR FIN'!$A$1:$O$103,15,0)),0,VLOOKUP($U$561,'TAR FIN'!$A$1:$O$103,15,0))</f>
        <v>0</v>
      </c>
      <c r="Y561" s="53">
        <f ca="1">('TUSD BE'!$AM$20+'TUSD BF'!$AM$20+'TUSD CVA'!$AM$20)*1*(1-0.02)</f>
        <v>16.187938603596493</v>
      </c>
      <c r="Z561" s="53"/>
      <c r="AA561" s="53"/>
      <c r="AB561" s="6">
        <f>$K$561*$V$561</f>
        <v>357.69599999999997</v>
      </c>
      <c r="AC561" s="6">
        <f>$M$561*$W$561</f>
        <v>0</v>
      </c>
      <c r="AD561" s="6">
        <f>$O$561*$X$561</f>
        <v>0</v>
      </c>
      <c r="AE561" s="6">
        <f ca="1">$K$561*$Y$561</f>
        <v>485.63815810789481</v>
      </c>
      <c r="AF561" s="6">
        <f>$M$561*$Z$561</f>
        <v>0</v>
      </c>
      <c r="AG561" s="6">
        <f>$O$561*$AA$561</f>
        <v>0</v>
      </c>
    </row>
    <row r="562" spans="1:33" ht="11.25" customHeight="1" x14ac:dyDescent="0.25">
      <c r="A562" s="4" t="s">
        <v>21</v>
      </c>
      <c r="B562" s="4" t="s">
        <v>33</v>
      </c>
      <c r="C562" s="4" t="s">
        <v>34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30</v>
      </c>
      <c r="K562" s="53">
        <v>30</v>
      </c>
      <c r="L562" s="6">
        <v>0</v>
      </c>
      <c r="M562" s="53">
        <v>0</v>
      </c>
      <c r="N562" s="6">
        <v>0</v>
      </c>
      <c r="O562" s="53">
        <v>0</v>
      </c>
      <c r="P562" s="6">
        <v>1</v>
      </c>
      <c r="Q562" s="4" t="s">
        <v>26</v>
      </c>
      <c r="R562" s="4">
        <v>0</v>
      </c>
      <c r="S562" s="6">
        <v>18</v>
      </c>
      <c r="T562" s="6">
        <v>0</v>
      </c>
      <c r="U562" s="6">
        <v>0</v>
      </c>
      <c r="V562" s="53">
        <f>IF(ISERROR(VLOOKUP($S$562,'TAR FIN'!$A$1:$O$103,15,0)),0,VLOOKUP($S$562,'TAR FIN'!$A$1:$O$103,15,0))*(1-0.04)</f>
        <v>11.9232</v>
      </c>
      <c r="W562" s="53">
        <f>IF(ISERROR(VLOOKUP($T$562,'TAR FIN'!$A$1:$O$103,15,0)),0,VLOOKUP($T$562,'TAR FIN'!$A$1:$O$103,15,0))</f>
        <v>0</v>
      </c>
      <c r="X562" s="53">
        <f>IF(ISERROR(VLOOKUP($U$562,'TAR FIN'!$A$1:$O$103,15,0)),0,VLOOKUP($U$562,'TAR FIN'!$A$1:$O$103,15,0))</f>
        <v>0</v>
      </c>
      <c r="Y562" s="53">
        <f ca="1">('TUSD BE'!$AM$20+'TUSD BF'!$AM$20+'TUSD CVA'!$AM$20)*1*(1-0.02)</f>
        <v>16.187938603596493</v>
      </c>
      <c r="Z562" s="53"/>
      <c r="AA562" s="53"/>
      <c r="AB562" s="6">
        <f>$K$562*$V$562</f>
        <v>357.69599999999997</v>
      </c>
      <c r="AC562" s="6">
        <f>$M$562*$W$562</f>
        <v>0</v>
      </c>
      <c r="AD562" s="6">
        <f>$O$562*$X$562</f>
        <v>0</v>
      </c>
      <c r="AE562" s="6">
        <f ca="1">$K$562*$Y$562</f>
        <v>485.63815810789481</v>
      </c>
      <c r="AF562" s="6">
        <f>$M$562*$Z$562</f>
        <v>0</v>
      </c>
      <c r="AG562" s="6">
        <f>$O$562*$AA$562</f>
        <v>0</v>
      </c>
    </row>
    <row r="563" spans="1:33" ht="11.25" customHeight="1" x14ac:dyDescent="0.25">
      <c r="A563" s="4" t="s">
        <v>21</v>
      </c>
      <c r="B563" s="4" t="s">
        <v>33</v>
      </c>
      <c r="C563" s="4" t="s">
        <v>34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37</v>
      </c>
      <c r="I563" s="5">
        <v>44348</v>
      </c>
      <c r="J563" s="6">
        <v>0</v>
      </c>
      <c r="K563" s="53">
        <v>0</v>
      </c>
      <c r="L563" s="6">
        <v>0.33300000000000002</v>
      </c>
      <c r="M563" s="53">
        <v>0.33300000000000002</v>
      </c>
      <c r="N563" s="6">
        <v>0.33300000000000002</v>
      </c>
      <c r="O563" s="53">
        <v>0.33300000000000002</v>
      </c>
      <c r="P563" s="6">
        <v>0</v>
      </c>
      <c r="Q563" s="4" t="s">
        <v>26</v>
      </c>
      <c r="R563" s="4">
        <v>0</v>
      </c>
      <c r="S563" s="6">
        <v>0</v>
      </c>
      <c r="T563" s="6">
        <v>19</v>
      </c>
      <c r="U563" s="6">
        <v>65</v>
      </c>
      <c r="V563" s="53">
        <f>IF(ISERROR(VLOOKUP($S$563,'TAR FIN'!$A$1:$O$103,15,0)),0,VLOOKUP($S$563,'TAR FIN'!$A$1:$O$103,15,0))</f>
        <v>0</v>
      </c>
      <c r="W563" s="53">
        <f>IF(ISERROR(VLOOKUP($T$563,'TAR FIN'!$A$1:$O$103,15,0)),0,VLOOKUP($T$563,'TAR FIN'!$A$1:$O$103,15,0))*(1-0.04)</f>
        <v>808.61759999999992</v>
      </c>
      <c r="X563" s="53">
        <f>IF(ISERROR(VLOOKUP($U$563,'TAR FIN'!$A$1:$O$103,15,0)),0,VLOOKUP($U$563,'TAR FIN'!$A$1:$O$103,15,0))*(1-0.04)</f>
        <v>436.70399999999995</v>
      </c>
      <c r="Y563" s="53"/>
      <c r="Z563" s="53">
        <f ca="1">('TUSD BE'!$AM$21+'TUSD BF'!$AM$21+'TUSD CVA'!$AM$21)*1*(1-0.02)</f>
        <v>1123.452533864312</v>
      </c>
      <c r="AA563" s="53">
        <f>('TE BE'!$AB$8+'TE BF'!$AB$8+'TE CVA'!$AB$8)*1*(1-0.02)</f>
        <v>406.75340069530864</v>
      </c>
      <c r="AB563" s="6">
        <f>$K$563*$V$563</f>
        <v>0</v>
      </c>
      <c r="AC563" s="6">
        <f>$M$563*$W$563</f>
        <v>269.2696608</v>
      </c>
      <c r="AD563" s="6">
        <f>$O$563*$X$563</f>
        <v>145.42243199999999</v>
      </c>
      <c r="AE563" s="6">
        <f>$K$563*$Y$563</f>
        <v>0</v>
      </c>
      <c r="AF563" s="6">
        <f ca="1">$M$563*$Z$563</f>
        <v>374.10969377681596</v>
      </c>
      <c r="AG563" s="6">
        <f>$O$563*$AA$563</f>
        <v>135.44888243153778</v>
      </c>
    </row>
    <row r="564" spans="1:33" ht="11.25" customHeight="1" x14ac:dyDescent="0.25">
      <c r="A564" s="4" t="s">
        <v>21</v>
      </c>
      <c r="B564" s="4" t="s">
        <v>33</v>
      </c>
      <c r="C564" s="4" t="s">
        <v>34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37</v>
      </c>
      <c r="I564" s="5">
        <v>44378</v>
      </c>
      <c r="J564" s="6">
        <v>0</v>
      </c>
      <c r="K564" s="53">
        <v>0</v>
      </c>
      <c r="L564" s="6">
        <v>0.39800000000000002</v>
      </c>
      <c r="M564" s="53">
        <v>0.39800000000000002</v>
      </c>
      <c r="N564" s="6">
        <v>0.39800000000000002</v>
      </c>
      <c r="O564" s="53">
        <v>0.39800000000000002</v>
      </c>
      <c r="P564" s="6">
        <v>0</v>
      </c>
      <c r="Q564" s="4" t="s">
        <v>26</v>
      </c>
      <c r="R564" s="4">
        <v>0</v>
      </c>
      <c r="S564" s="6">
        <v>0</v>
      </c>
      <c r="T564" s="6">
        <v>19</v>
      </c>
      <c r="U564" s="6">
        <v>65</v>
      </c>
      <c r="V564" s="53">
        <f>IF(ISERROR(VLOOKUP($S$564,'TAR FIN'!$A$1:$O$103,15,0)),0,VLOOKUP($S$564,'TAR FIN'!$A$1:$O$103,15,0))</f>
        <v>0</v>
      </c>
      <c r="W564" s="53">
        <f>IF(ISERROR(VLOOKUP($T$564,'TAR FIN'!$A$1:$O$103,15,0)),0,VLOOKUP($T$564,'TAR FIN'!$A$1:$O$103,15,0))*(1-0.04)</f>
        <v>808.61759999999992</v>
      </c>
      <c r="X564" s="53">
        <f>IF(ISERROR(VLOOKUP($U$564,'TAR FIN'!$A$1:$O$103,15,0)),0,VLOOKUP($U$564,'TAR FIN'!$A$1:$O$103,15,0))*(1-0.04)</f>
        <v>436.70399999999995</v>
      </c>
      <c r="Y564" s="53"/>
      <c r="Z564" s="53">
        <f ca="1">('TUSD BE'!$AM$21+'TUSD BF'!$AM$21+'TUSD CVA'!$AM$21)*1*(1-0.02)</f>
        <v>1123.452533864312</v>
      </c>
      <c r="AA564" s="53">
        <f>('TE BE'!$AB$8+'TE BF'!$AB$8+'TE CVA'!$AB$8)*1*(1-0.02)</f>
        <v>406.75340069530864</v>
      </c>
      <c r="AB564" s="6">
        <f>$K$564*$V$564</f>
        <v>0</v>
      </c>
      <c r="AC564" s="6">
        <f>$M$564*$W$564</f>
        <v>321.82980479999998</v>
      </c>
      <c r="AD564" s="6">
        <f>$O$564*$X$564</f>
        <v>173.80819199999999</v>
      </c>
      <c r="AE564" s="6">
        <f>$K$564*$Y$564</f>
        <v>0</v>
      </c>
      <c r="AF564" s="6">
        <f ca="1">$M$564*$Z$564</f>
        <v>447.13410847799622</v>
      </c>
      <c r="AG564" s="6">
        <f>$O$564*$AA$564</f>
        <v>161.88785347673286</v>
      </c>
    </row>
    <row r="565" spans="1:33" ht="11.25" customHeight="1" x14ac:dyDescent="0.25">
      <c r="A565" s="4" t="s">
        <v>21</v>
      </c>
      <c r="B565" s="4" t="s">
        <v>33</v>
      </c>
      <c r="C565" s="4" t="s">
        <v>34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37</v>
      </c>
      <c r="I565" s="5">
        <v>44409</v>
      </c>
      <c r="J565" s="6">
        <v>0</v>
      </c>
      <c r="K565" s="53">
        <v>0</v>
      </c>
      <c r="L565" s="6">
        <v>0.35799999999999998</v>
      </c>
      <c r="M565" s="53">
        <v>0.35799999999999998</v>
      </c>
      <c r="N565" s="6">
        <v>0.35799999999999998</v>
      </c>
      <c r="O565" s="53">
        <v>0.35799999999999998</v>
      </c>
      <c r="P565" s="6">
        <v>0</v>
      </c>
      <c r="Q565" s="4" t="s">
        <v>26</v>
      </c>
      <c r="R565" s="4">
        <v>0</v>
      </c>
      <c r="S565" s="6">
        <v>0</v>
      </c>
      <c r="T565" s="6">
        <v>19</v>
      </c>
      <c r="U565" s="6">
        <v>65</v>
      </c>
      <c r="V565" s="53">
        <f>IF(ISERROR(VLOOKUP($S$565,'TAR FIN'!$A$1:$O$103,15,0)),0,VLOOKUP($S$565,'TAR FIN'!$A$1:$O$103,15,0))</f>
        <v>0</v>
      </c>
      <c r="W565" s="53">
        <f>IF(ISERROR(VLOOKUP($T$565,'TAR FIN'!$A$1:$O$103,15,0)),0,VLOOKUP($T$565,'TAR FIN'!$A$1:$O$103,15,0))*(1-0.04)</f>
        <v>808.61759999999992</v>
      </c>
      <c r="X565" s="53">
        <f>IF(ISERROR(VLOOKUP($U$565,'TAR FIN'!$A$1:$O$103,15,0)),0,VLOOKUP($U$565,'TAR FIN'!$A$1:$O$103,15,0))*(1-0.04)</f>
        <v>436.70399999999995</v>
      </c>
      <c r="Y565" s="53"/>
      <c r="Z565" s="53">
        <f ca="1">('TUSD BE'!$AM$21+'TUSD BF'!$AM$21+'TUSD CVA'!$AM$21)*1*(1-0.02)</f>
        <v>1123.452533864312</v>
      </c>
      <c r="AA565" s="53">
        <f>('TE BE'!$AB$8+'TE BF'!$AB$8+'TE CVA'!$AB$8)*1*(1-0.02)</f>
        <v>406.75340069530864</v>
      </c>
      <c r="AB565" s="6">
        <f>$K$565*$V$565</f>
        <v>0</v>
      </c>
      <c r="AC565" s="6">
        <f>$M$565*$W$565</f>
        <v>289.48510079999994</v>
      </c>
      <c r="AD565" s="6">
        <f>$O$565*$X$565</f>
        <v>156.34003199999998</v>
      </c>
      <c r="AE565" s="6">
        <f>$K$565*$Y$565</f>
        <v>0</v>
      </c>
      <c r="AF565" s="6">
        <f ca="1">$M$565*$Z$565</f>
        <v>402.19600712342367</v>
      </c>
      <c r="AG565" s="6">
        <f>$O$565*$AA$565</f>
        <v>145.6177174489205</v>
      </c>
    </row>
    <row r="566" spans="1:33" ht="11.25" customHeight="1" x14ac:dyDescent="0.25">
      <c r="A566" s="4" t="s">
        <v>21</v>
      </c>
      <c r="B566" s="4" t="s">
        <v>33</v>
      </c>
      <c r="C566" s="4" t="s">
        <v>34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37</v>
      </c>
      <c r="I566" s="5">
        <v>44440</v>
      </c>
      <c r="J566" s="6">
        <v>0</v>
      </c>
      <c r="K566" s="53">
        <v>0</v>
      </c>
      <c r="L566" s="6">
        <v>0.371</v>
      </c>
      <c r="M566" s="53">
        <v>0.371</v>
      </c>
      <c r="N566" s="6">
        <v>0.371</v>
      </c>
      <c r="O566" s="53">
        <v>0.371</v>
      </c>
      <c r="P566" s="6">
        <v>0</v>
      </c>
      <c r="Q566" s="4" t="s">
        <v>26</v>
      </c>
      <c r="R566" s="4">
        <v>0</v>
      </c>
      <c r="S566" s="6">
        <v>0</v>
      </c>
      <c r="T566" s="6">
        <v>19</v>
      </c>
      <c r="U566" s="6">
        <v>65</v>
      </c>
      <c r="V566" s="53">
        <f>IF(ISERROR(VLOOKUP($S$566,'TAR FIN'!$A$1:$O$103,15,0)),0,VLOOKUP($S$566,'TAR FIN'!$A$1:$O$103,15,0))</f>
        <v>0</v>
      </c>
      <c r="W566" s="53">
        <f>IF(ISERROR(VLOOKUP($T$566,'TAR FIN'!$A$1:$O$103,15,0)),0,VLOOKUP($T$566,'TAR FIN'!$A$1:$O$103,15,0))*(1-0.04)</f>
        <v>808.61759999999992</v>
      </c>
      <c r="X566" s="53">
        <f>IF(ISERROR(VLOOKUP($U$566,'TAR FIN'!$A$1:$O$103,15,0)),0,VLOOKUP($U$566,'TAR FIN'!$A$1:$O$103,15,0))*(1-0.04)</f>
        <v>436.70399999999995</v>
      </c>
      <c r="Y566" s="53"/>
      <c r="Z566" s="53">
        <f ca="1">('TUSD BE'!$AM$21+'TUSD BF'!$AM$21+'TUSD CVA'!$AM$21)*1*(1-0.02)</f>
        <v>1123.452533864312</v>
      </c>
      <c r="AA566" s="53">
        <f>('TE BE'!$AB$8+'TE BF'!$AB$8+'TE CVA'!$AB$8)*1*(1-0.02)</f>
        <v>406.75340069530864</v>
      </c>
      <c r="AB566" s="6">
        <f>$K$566*$V$566</f>
        <v>0</v>
      </c>
      <c r="AC566" s="6">
        <f>$M$566*$W$566</f>
        <v>299.99712959999999</v>
      </c>
      <c r="AD566" s="6">
        <f>$O$566*$X$566</f>
        <v>162.01718399999999</v>
      </c>
      <c r="AE566" s="6">
        <f>$K$566*$Y$566</f>
        <v>0</v>
      </c>
      <c r="AF566" s="6">
        <f ca="1">$M$566*$Z$566</f>
        <v>416.80089006365978</v>
      </c>
      <c r="AG566" s="6">
        <f>$O$566*$AA$566</f>
        <v>150.90551165795949</v>
      </c>
    </row>
    <row r="567" spans="1:33" ht="11.25" customHeight="1" x14ac:dyDescent="0.25">
      <c r="A567" s="4" t="s">
        <v>21</v>
      </c>
      <c r="B567" s="4" t="s">
        <v>33</v>
      </c>
      <c r="C567" s="4" t="s">
        <v>34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37</v>
      </c>
      <c r="I567" s="5">
        <v>44470</v>
      </c>
      <c r="J567" s="6">
        <v>0</v>
      </c>
      <c r="K567" s="53">
        <v>0</v>
      </c>
      <c r="L567" s="6">
        <v>0.34499999999999997</v>
      </c>
      <c r="M567" s="53">
        <v>0.34499999999999997</v>
      </c>
      <c r="N567" s="6">
        <v>0.34499999999999997</v>
      </c>
      <c r="O567" s="53">
        <v>0.34499999999999997</v>
      </c>
      <c r="P567" s="6">
        <v>0</v>
      </c>
      <c r="Q567" s="4" t="s">
        <v>26</v>
      </c>
      <c r="R567" s="4">
        <v>0</v>
      </c>
      <c r="S567" s="6">
        <v>0</v>
      </c>
      <c r="T567" s="6">
        <v>19</v>
      </c>
      <c r="U567" s="6">
        <v>65</v>
      </c>
      <c r="V567" s="53">
        <f>IF(ISERROR(VLOOKUP($S$567,'TAR FIN'!$A$1:$O$103,15,0)),0,VLOOKUP($S$567,'TAR FIN'!$A$1:$O$103,15,0))</f>
        <v>0</v>
      </c>
      <c r="W567" s="53">
        <f>IF(ISERROR(VLOOKUP($T$567,'TAR FIN'!$A$1:$O$103,15,0)),0,VLOOKUP($T$567,'TAR FIN'!$A$1:$O$103,15,0))*(1-0.04)</f>
        <v>808.61759999999992</v>
      </c>
      <c r="X567" s="53">
        <f>IF(ISERROR(VLOOKUP($U$567,'TAR FIN'!$A$1:$O$103,15,0)),0,VLOOKUP($U$567,'TAR FIN'!$A$1:$O$103,15,0))*(1-0.04)</f>
        <v>436.70399999999995</v>
      </c>
      <c r="Y567" s="53"/>
      <c r="Z567" s="53">
        <f ca="1">('TUSD BE'!$AM$21+'TUSD BF'!$AM$21+'TUSD CVA'!$AM$21)*1*(1-0.02)</f>
        <v>1123.452533864312</v>
      </c>
      <c r="AA567" s="53">
        <f>('TE BE'!$AB$8+'TE BF'!$AB$8+'TE CVA'!$AB$8)*1*(1-0.02)</f>
        <v>406.75340069530864</v>
      </c>
      <c r="AB567" s="6">
        <f>$K$567*$V$567</f>
        <v>0</v>
      </c>
      <c r="AC567" s="6">
        <f>$M$567*$W$567</f>
        <v>278.97307199999995</v>
      </c>
      <c r="AD567" s="6">
        <f>$O$567*$X$567</f>
        <v>150.66287999999997</v>
      </c>
      <c r="AE567" s="6">
        <f>$K$567*$Y$567</f>
        <v>0</v>
      </c>
      <c r="AF567" s="6">
        <f ca="1">$M$567*$Z$567</f>
        <v>387.59112418318762</v>
      </c>
      <c r="AG567" s="6">
        <f>$O$567*$AA$567</f>
        <v>140.32992323988148</v>
      </c>
    </row>
    <row r="568" spans="1:33" ht="11.25" customHeight="1" x14ac:dyDescent="0.25">
      <c r="A568" s="4" t="s">
        <v>21</v>
      </c>
      <c r="B568" s="4" t="s">
        <v>33</v>
      </c>
      <c r="C568" s="4" t="s">
        <v>34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37</v>
      </c>
      <c r="I568" s="5">
        <v>44501</v>
      </c>
      <c r="J568" s="6">
        <v>0</v>
      </c>
      <c r="K568" s="53">
        <v>0</v>
      </c>
      <c r="L568" s="6">
        <v>0.34399999999999997</v>
      </c>
      <c r="M568" s="53">
        <v>0.34399999999999997</v>
      </c>
      <c r="N568" s="6">
        <v>0.34399999999999997</v>
      </c>
      <c r="O568" s="53">
        <v>0.34399999999999997</v>
      </c>
      <c r="P568" s="6">
        <v>0</v>
      </c>
      <c r="Q568" s="4" t="s">
        <v>26</v>
      </c>
      <c r="R568" s="4">
        <v>0</v>
      </c>
      <c r="S568" s="6">
        <v>0</v>
      </c>
      <c r="T568" s="6">
        <v>19</v>
      </c>
      <c r="U568" s="6">
        <v>65</v>
      </c>
      <c r="V568" s="53">
        <f>IF(ISERROR(VLOOKUP($S$568,'TAR FIN'!$A$1:$O$103,15,0)),0,VLOOKUP($S$568,'TAR FIN'!$A$1:$O$103,15,0))</f>
        <v>0</v>
      </c>
      <c r="W568" s="53">
        <f>IF(ISERROR(VLOOKUP($T$568,'TAR FIN'!$A$1:$O$103,15,0)),0,VLOOKUP($T$568,'TAR FIN'!$A$1:$O$103,15,0))*(1-0.04)</f>
        <v>808.61759999999992</v>
      </c>
      <c r="X568" s="53">
        <f>IF(ISERROR(VLOOKUP($U$568,'TAR FIN'!$A$1:$O$103,15,0)),0,VLOOKUP($U$568,'TAR FIN'!$A$1:$O$103,15,0))*(1-0.04)</f>
        <v>436.70399999999995</v>
      </c>
      <c r="Y568" s="53"/>
      <c r="Z568" s="53">
        <f ca="1">('TUSD BE'!$AM$21+'TUSD BF'!$AM$21+'TUSD CVA'!$AM$21)*1*(1-0.02)</f>
        <v>1123.452533864312</v>
      </c>
      <c r="AA568" s="53">
        <f>('TE BE'!$AB$8+'TE BF'!$AB$8+'TE CVA'!$AB$8)*1*(1-0.02)</f>
        <v>406.75340069530864</v>
      </c>
      <c r="AB568" s="6">
        <f>$K$568*$V$568</f>
        <v>0</v>
      </c>
      <c r="AC568" s="6">
        <f>$M$568*$W$568</f>
        <v>278.16445439999995</v>
      </c>
      <c r="AD568" s="6">
        <f>$O$568*$X$568</f>
        <v>150.22617599999998</v>
      </c>
      <c r="AE568" s="6">
        <f>$K$568*$Y$568</f>
        <v>0</v>
      </c>
      <c r="AF568" s="6">
        <f ca="1">$M$568*$Z$568</f>
        <v>386.46767164932334</v>
      </c>
      <c r="AG568" s="6">
        <f>$O$568*$AA$568</f>
        <v>139.92316983918616</v>
      </c>
    </row>
    <row r="569" spans="1:33" ht="11.25" customHeight="1" x14ac:dyDescent="0.25">
      <c r="A569" s="4" t="s">
        <v>21</v>
      </c>
      <c r="B569" s="4" t="s">
        <v>33</v>
      </c>
      <c r="C569" s="4" t="s">
        <v>34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37</v>
      </c>
      <c r="I569" s="5">
        <v>44531</v>
      </c>
      <c r="J569" s="6">
        <v>0</v>
      </c>
      <c r="K569" s="53">
        <v>0</v>
      </c>
      <c r="L569" s="6">
        <v>0.31</v>
      </c>
      <c r="M569" s="53">
        <v>0.31</v>
      </c>
      <c r="N569" s="6">
        <v>0.31</v>
      </c>
      <c r="O569" s="53">
        <v>0.31</v>
      </c>
      <c r="P569" s="6">
        <v>0</v>
      </c>
      <c r="Q569" s="4" t="s">
        <v>26</v>
      </c>
      <c r="R569" s="4">
        <v>0</v>
      </c>
      <c r="S569" s="6">
        <v>0</v>
      </c>
      <c r="T569" s="6">
        <v>19</v>
      </c>
      <c r="U569" s="6">
        <v>65</v>
      </c>
      <c r="V569" s="53">
        <f>IF(ISERROR(VLOOKUP($S$569,'TAR FIN'!$A$1:$O$103,15,0)),0,VLOOKUP($S$569,'TAR FIN'!$A$1:$O$103,15,0))</f>
        <v>0</v>
      </c>
      <c r="W569" s="53">
        <f>IF(ISERROR(VLOOKUP($T$569,'TAR FIN'!$A$1:$O$103,15,0)),0,VLOOKUP($T$569,'TAR FIN'!$A$1:$O$103,15,0))*(1-0.04)</f>
        <v>808.61759999999992</v>
      </c>
      <c r="X569" s="53">
        <f>IF(ISERROR(VLOOKUP($U$569,'TAR FIN'!$A$1:$O$103,15,0)),0,VLOOKUP($U$569,'TAR FIN'!$A$1:$O$103,15,0))*(1-0.04)</f>
        <v>436.70399999999995</v>
      </c>
      <c r="Y569" s="53"/>
      <c r="Z569" s="53">
        <f ca="1">('TUSD BE'!$AM$21+'TUSD BF'!$AM$21+'TUSD CVA'!$AM$21)*1*(1-0.02)</f>
        <v>1123.452533864312</v>
      </c>
      <c r="AA569" s="53">
        <f>('TE BE'!$AB$8+'TE BF'!$AB$8+'TE CVA'!$AB$8)*1*(1-0.02)</f>
        <v>406.75340069530864</v>
      </c>
      <c r="AB569" s="6">
        <f>$K$569*$V$569</f>
        <v>0</v>
      </c>
      <c r="AC569" s="6">
        <f>$M$569*$W$569</f>
        <v>250.67145599999998</v>
      </c>
      <c r="AD569" s="6">
        <f>$O$569*$X$569</f>
        <v>135.37823999999998</v>
      </c>
      <c r="AE569" s="6">
        <f>$K$569*$Y$569</f>
        <v>0</v>
      </c>
      <c r="AF569" s="6">
        <f ca="1">$M$569*$Z$569</f>
        <v>348.27028549793675</v>
      </c>
      <c r="AG569" s="6">
        <f>$O$569*$AA$569</f>
        <v>126.09355421554568</v>
      </c>
    </row>
    <row r="570" spans="1:33" ht="11.25" customHeight="1" x14ac:dyDescent="0.25">
      <c r="A570" s="4" t="s">
        <v>21</v>
      </c>
      <c r="B570" s="4" t="s">
        <v>33</v>
      </c>
      <c r="C570" s="4" t="s">
        <v>34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37</v>
      </c>
      <c r="I570" s="5">
        <v>44593</v>
      </c>
      <c r="J570" s="6">
        <v>0</v>
      </c>
      <c r="K570" s="53">
        <v>0</v>
      </c>
      <c r="L570" s="6">
        <v>0.49299999999999999</v>
      </c>
      <c r="M570" s="53">
        <v>0.49299999999999999</v>
      </c>
      <c r="N570" s="6">
        <v>0.49299999999999999</v>
      </c>
      <c r="O570" s="53">
        <v>0.49299999999999999</v>
      </c>
      <c r="P570" s="6">
        <v>0</v>
      </c>
      <c r="Q570" s="4" t="s">
        <v>26</v>
      </c>
      <c r="R570" s="4">
        <v>0</v>
      </c>
      <c r="S570" s="6">
        <v>0</v>
      </c>
      <c r="T570" s="6">
        <v>19</v>
      </c>
      <c r="U570" s="6">
        <v>65</v>
      </c>
      <c r="V570" s="53">
        <f>IF(ISERROR(VLOOKUP($S$570,'TAR FIN'!$A$1:$O$103,15,0)),0,VLOOKUP($S$570,'TAR FIN'!$A$1:$O$103,15,0))</f>
        <v>0</v>
      </c>
      <c r="W570" s="53">
        <f>IF(ISERROR(VLOOKUP($T$570,'TAR FIN'!$A$1:$O$103,15,0)),0,VLOOKUP($T$570,'TAR FIN'!$A$1:$O$103,15,0))*(1-0.04)</f>
        <v>808.61759999999992</v>
      </c>
      <c r="X570" s="53">
        <f>IF(ISERROR(VLOOKUP($U$570,'TAR FIN'!$A$1:$O$103,15,0)),0,VLOOKUP($U$570,'TAR FIN'!$A$1:$O$103,15,0))*(1-0.04)</f>
        <v>436.70399999999995</v>
      </c>
      <c r="Y570" s="53"/>
      <c r="Z570" s="53">
        <f ca="1">('TUSD BE'!$AM$21+'TUSD BF'!$AM$21+'TUSD CVA'!$AM$21)*1*(1-0.02)</f>
        <v>1123.452533864312</v>
      </c>
      <c r="AA570" s="53">
        <f>('TE BE'!$AB$8+'TE BF'!$AB$8+'TE CVA'!$AB$8)*1*(1-0.02)</f>
        <v>406.75340069530864</v>
      </c>
      <c r="AB570" s="6">
        <f>$K$570*$V$570</f>
        <v>0</v>
      </c>
      <c r="AC570" s="6">
        <f>$M$570*$W$570</f>
        <v>398.64847679999997</v>
      </c>
      <c r="AD570" s="6">
        <f>$O$570*$X$570</f>
        <v>215.29507199999998</v>
      </c>
      <c r="AE570" s="6">
        <f>$K$570*$Y$570</f>
        <v>0</v>
      </c>
      <c r="AF570" s="6">
        <f ca="1">$M$570*$Z$570</f>
        <v>553.86209919510588</v>
      </c>
      <c r="AG570" s="6">
        <f>$O$570*$AA$570</f>
        <v>200.52942654278715</v>
      </c>
    </row>
    <row r="571" spans="1:33" ht="11.25" customHeight="1" x14ac:dyDescent="0.25">
      <c r="A571" s="4" t="s">
        <v>21</v>
      </c>
      <c r="B571" s="4" t="s">
        <v>33</v>
      </c>
      <c r="C571" s="4" t="s">
        <v>34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37</v>
      </c>
      <c r="I571" s="5">
        <v>44621</v>
      </c>
      <c r="J571" s="6">
        <v>0</v>
      </c>
      <c r="K571" s="53">
        <v>0</v>
      </c>
      <c r="L571" s="6">
        <v>0.34200000000000003</v>
      </c>
      <c r="M571" s="53">
        <v>0.34200000000000003</v>
      </c>
      <c r="N571" s="6">
        <v>0.34200000000000003</v>
      </c>
      <c r="O571" s="53">
        <v>0.34200000000000003</v>
      </c>
      <c r="P571" s="6">
        <v>0</v>
      </c>
      <c r="Q571" s="4" t="s">
        <v>26</v>
      </c>
      <c r="R571" s="4">
        <v>0</v>
      </c>
      <c r="S571" s="6">
        <v>0</v>
      </c>
      <c r="T571" s="6">
        <v>19</v>
      </c>
      <c r="U571" s="6">
        <v>65</v>
      </c>
      <c r="V571" s="53">
        <f>IF(ISERROR(VLOOKUP($S$571,'TAR FIN'!$A$1:$O$103,15,0)),0,VLOOKUP($S$571,'TAR FIN'!$A$1:$O$103,15,0))</f>
        <v>0</v>
      </c>
      <c r="W571" s="53">
        <f>IF(ISERROR(VLOOKUP($T$571,'TAR FIN'!$A$1:$O$103,15,0)),0,VLOOKUP($T$571,'TAR FIN'!$A$1:$O$103,15,0))*(1-0.04)</f>
        <v>808.61759999999992</v>
      </c>
      <c r="X571" s="53">
        <f>IF(ISERROR(VLOOKUP($U$571,'TAR FIN'!$A$1:$O$103,15,0)),0,VLOOKUP($U$571,'TAR FIN'!$A$1:$O$103,15,0))*(1-0.04)</f>
        <v>436.70399999999995</v>
      </c>
      <c r="Y571" s="53"/>
      <c r="Z571" s="53">
        <f ca="1">('TUSD BE'!$AM$21+'TUSD BF'!$AM$21+'TUSD CVA'!$AM$21)*1*(1-0.02)</f>
        <v>1123.452533864312</v>
      </c>
      <c r="AA571" s="53">
        <f>('TE BE'!$AB$8+'TE BF'!$AB$8+'TE CVA'!$AB$8)*1*(1-0.02)</f>
        <v>406.75340069530864</v>
      </c>
      <c r="AB571" s="6">
        <f>$K$571*$V$571</f>
        <v>0</v>
      </c>
      <c r="AC571" s="6">
        <f>$M$571*$W$571</f>
        <v>276.54721919999997</v>
      </c>
      <c r="AD571" s="6">
        <f>$O$571*$X$571</f>
        <v>149.352768</v>
      </c>
      <c r="AE571" s="6">
        <f>$K$571*$Y$571</f>
        <v>0</v>
      </c>
      <c r="AF571" s="6">
        <f ca="1">$M$571*$Z$571</f>
        <v>384.22076658159477</v>
      </c>
      <c r="AG571" s="6">
        <f>$O$571*$AA$571</f>
        <v>139.10966303779557</v>
      </c>
    </row>
    <row r="572" spans="1:33" ht="11.25" customHeight="1" x14ac:dyDescent="0.25">
      <c r="A572" s="4" t="s">
        <v>21</v>
      </c>
      <c r="B572" s="4" t="s">
        <v>33</v>
      </c>
      <c r="C572" s="4" t="s">
        <v>34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37</v>
      </c>
      <c r="I572" s="5">
        <v>44652</v>
      </c>
      <c r="J572" s="6">
        <v>0</v>
      </c>
      <c r="K572" s="53">
        <v>0</v>
      </c>
      <c r="L572" s="6">
        <v>0.27100000000000002</v>
      </c>
      <c r="M572" s="53">
        <v>0.27100000000000002</v>
      </c>
      <c r="N572" s="6">
        <v>0.27100000000000002</v>
      </c>
      <c r="O572" s="53">
        <v>0.27100000000000002</v>
      </c>
      <c r="P572" s="6">
        <v>0</v>
      </c>
      <c r="Q572" s="4" t="s">
        <v>26</v>
      </c>
      <c r="R572" s="4">
        <v>0</v>
      </c>
      <c r="S572" s="6">
        <v>0</v>
      </c>
      <c r="T572" s="6">
        <v>19</v>
      </c>
      <c r="U572" s="6">
        <v>65</v>
      </c>
      <c r="V572" s="53">
        <f>IF(ISERROR(VLOOKUP($S$572,'TAR FIN'!$A$1:$O$103,15,0)),0,VLOOKUP($S$572,'TAR FIN'!$A$1:$O$103,15,0))</f>
        <v>0</v>
      </c>
      <c r="W572" s="53">
        <f>IF(ISERROR(VLOOKUP($T$572,'TAR FIN'!$A$1:$O$103,15,0)),0,VLOOKUP($T$572,'TAR FIN'!$A$1:$O$103,15,0))*(1-0.04)</f>
        <v>808.61759999999992</v>
      </c>
      <c r="X572" s="53">
        <f>IF(ISERROR(VLOOKUP($U$572,'TAR FIN'!$A$1:$O$103,15,0)),0,VLOOKUP($U$572,'TAR FIN'!$A$1:$O$103,15,0))*(1-0.04)</f>
        <v>436.70399999999995</v>
      </c>
      <c r="Y572" s="53"/>
      <c r="Z572" s="53">
        <f ca="1">('TUSD BE'!$AM$21+'TUSD BF'!$AM$21+'TUSD CVA'!$AM$21)*1*(1-0.02)</f>
        <v>1123.452533864312</v>
      </c>
      <c r="AA572" s="53">
        <f>('TE BE'!$AB$8+'TE BF'!$AB$8+'TE CVA'!$AB$8)*1*(1-0.02)</f>
        <v>406.75340069530864</v>
      </c>
      <c r="AB572" s="6">
        <f>$K$572*$V$572</f>
        <v>0</v>
      </c>
      <c r="AC572" s="6">
        <f>$M$572*$W$572</f>
        <v>219.13536959999999</v>
      </c>
      <c r="AD572" s="6">
        <f>$O$572*$X$572</f>
        <v>118.346784</v>
      </c>
      <c r="AE572" s="6">
        <f>$K$572*$Y$572</f>
        <v>0</v>
      </c>
      <c r="AF572" s="6">
        <f ca="1">$M$572*$Z$572</f>
        <v>304.4556366772286</v>
      </c>
      <c r="AG572" s="6">
        <f>$O$572*$AA$572</f>
        <v>110.23017158842865</v>
      </c>
    </row>
    <row r="573" spans="1:33" ht="11.25" customHeight="1" x14ac:dyDescent="0.25">
      <c r="A573" s="4" t="s">
        <v>21</v>
      </c>
      <c r="B573" s="4" t="s">
        <v>33</v>
      </c>
      <c r="C573" s="4" t="s">
        <v>34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37</v>
      </c>
      <c r="I573" s="5">
        <v>44682</v>
      </c>
      <c r="J573" s="6">
        <v>0</v>
      </c>
      <c r="K573" s="53">
        <v>0</v>
      </c>
      <c r="L573" s="6">
        <v>0.33300000000000002</v>
      </c>
      <c r="M573" s="53">
        <v>0.33300000000000002</v>
      </c>
      <c r="N573" s="6">
        <v>0.33300000000000002</v>
      </c>
      <c r="O573" s="53">
        <v>0.33300000000000002</v>
      </c>
      <c r="P573" s="6">
        <v>0</v>
      </c>
      <c r="Q573" s="4" t="s">
        <v>26</v>
      </c>
      <c r="R573" s="4">
        <v>0</v>
      </c>
      <c r="S573" s="6">
        <v>0</v>
      </c>
      <c r="T573" s="6">
        <v>19</v>
      </c>
      <c r="U573" s="6">
        <v>65</v>
      </c>
      <c r="V573" s="53">
        <f>IF(ISERROR(VLOOKUP($S$573,'TAR FIN'!$A$1:$O$103,15,0)),0,VLOOKUP($S$573,'TAR FIN'!$A$1:$O$103,15,0))</f>
        <v>0</v>
      </c>
      <c r="W573" s="53">
        <f>IF(ISERROR(VLOOKUP($T$573,'TAR FIN'!$A$1:$O$103,15,0)),0,VLOOKUP($T$573,'TAR FIN'!$A$1:$O$103,15,0))*(1-0.04)</f>
        <v>808.61759999999992</v>
      </c>
      <c r="X573" s="53">
        <f>IF(ISERROR(VLOOKUP($U$573,'TAR FIN'!$A$1:$O$103,15,0)),0,VLOOKUP($U$573,'TAR FIN'!$A$1:$O$103,15,0))*(1-0.04)</f>
        <v>436.70399999999995</v>
      </c>
      <c r="Y573" s="53"/>
      <c r="Z573" s="53">
        <f ca="1">('TUSD BE'!$AM$21+'TUSD BF'!$AM$21+'TUSD CVA'!$AM$21)*1*(1-0.02)</f>
        <v>1123.452533864312</v>
      </c>
      <c r="AA573" s="53">
        <f>('TE BE'!$AB$8+'TE BF'!$AB$8+'TE CVA'!$AB$8)*1*(1-0.02)</f>
        <v>406.75340069530864</v>
      </c>
      <c r="AB573" s="6">
        <f>$K$573*$V$573</f>
        <v>0</v>
      </c>
      <c r="AC573" s="6">
        <f>$M$573*$W$573</f>
        <v>269.2696608</v>
      </c>
      <c r="AD573" s="6">
        <f>$O$573*$X$573</f>
        <v>145.42243199999999</v>
      </c>
      <c r="AE573" s="6">
        <f>$K$573*$Y$573</f>
        <v>0</v>
      </c>
      <c r="AF573" s="6">
        <f ca="1">$M$573*$Z$573</f>
        <v>374.10969377681596</v>
      </c>
      <c r="AG573" s="6">
        <f>$O$573*$AA$573</f>
        <v>135.44888243153778</v>
      </c>
    </row>
    <row r="574" spans="1:33" ht="11.25" customHeight="1" x14ac:dyDescent="0.25">
      <c r="A574" s="4" t="s">
        <v>21</v>
      </c>
      <c r="B574" s="4" t="s">
        <v>33</v>
      </c>
      <c r="C574" s="4" t="s">
        <v>34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35</v>
      </c>
      <c r="I574" s="5">
        <v>44348</v>
      </c>
      <c r="J574" s="6">
        <v>0</v>
      </c>
      <c r="K574" s="53">
        <v>0</v>
      </c>
      <c r="L574" s="6">
        <v>392.327</v>
      </c>
      <c r="M574" s="53">
        <v>392.327</v>
      </c>
      <c r="N574" s="6">
        <v>392.327</v>
      </c>
      <c r="O574" s="53">
        <v>392.327</v>
      </c>
      <c r="P574" s="6">
        <v>0</v>
      </c>
      <c r="Q574" s="4" t="s">
        <v>26</v>
      </c>
      <c r="R574" s="4">
        <v>0</v>
      </c>
      <c r="S574" s="6">
        <v>0</v>
      </c>
      <c r="T574" s="6">
        <v>20</v>
      </c>
      <c r="U574" s="6">
        <v>66</v>
      </c>
      <c r="V574" s="53">
        <f>IF(ISERROR(VLOOKUP($S$574,'TAR FIN'!$A$1:$O$103,15,0)),0,VLOOKUP($S$574,'TAR FIN'!$A$1:$O$103,15,0))</f>
        <v>0</v>
      </c>
      <c r="W574" s="53">
        <f>IF(ISERROR(VLOOKUP($T$574,'TAR FIN'!$A$1:$O$103,15,0)),0,VLOOKUP($T$574,'TAR FIN'!$A$1:$O$103,15,0))*(1-0.06)</f>
        <v>65.207800000000006</v>
      </c>
      <c r="X574" s="53">
        <f>IF(ISERROR(VLOOKUP($U$574,'TAR FIN'!$A$1:$O$103,15,0)),0,VLOOKUP($U$574,'TAR FIN'!$A$1:$O$103,15,0))*(1-0.06)</f>
        <v>267.29840000000002</v>
      </c>
      <c r="Y574" s="53"/>
      <c r="Z574" s="53">
        <f ca="1">('TUSD BE'!$AM$22+'TUSD BF'!$AM$22+'TUSD CVA'!$AM$22)*1*(1-0.03)</f>
        <v>107.89940569215416</v>
      </c>
      <c r="AA574" s="53">
        <f>('TE BE'!$AB$9+'TE BF'!$AB$9+'TE CVA'!$AB$9)*1*(1-0.03)</f>
        <v>251.26567196807298</v>
      </c>
      <c r="AB574" s="6">
        <f>$K$574*$V$574</f>
        <v>0</v>
      </c>
      <c r="AC574" s="6">
        <f>$M$574*$W$574</f>
        <v>25582.7805506</v>
      </c>
      <c r="AD574" s="6">
        <f>$O$574*$X$574</f>
        <v>104868.3793768</v>
      </c>
      <c r="AE574" s="6">
        <f>$K$574*$Y$574</f>
        <v>0</v>
      </c>
      <c r="AF574" s="6">
        <f ca="1">$M$574*$Z$574</f>
        <v>42331.850136985762</v>
      </c>
      <c r="AG574" s="6">
        <f>$O$574*$AA$574</f>
        <v>98578.307286218173</v>
      </c>
    </row>
    <row r="575" spans="1:33" ht="11.25" customHeight="1" x14ac:dyDescent="0.25">
      <c r="A575" s="4" t="s">
        <v>21</v>
      </c>
      <c r="B575" s="4" t="s">
        <v>33</v>
      </c>
      <c r="C575" s="4" t="s">
        <v>34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35</v>
      </c>
      <c r="I575" s="5">
        <v>44378</v>
      </c>
      <c r="J575" s="6">
        <v>0</v>
      </c>
      <c r="K575" s="53">
        <v>0</v>
      </c>
      <c r="L575" s="6">
        <v>387.32</v>
      </c>
      <c r="M575" s="53">
        <v>387.32</v>
      </c>
      <c r="N575" s="6">
        <v>387.32</v>
      </c>
      <c r="O575" s="53">
        <v>387.32</v>
      </c>
      <c r="P575" s="6">
        <v>0</v>
      </c>
      <c r="Q575" s="4" t="s">
        <v>26</v>
      </c>
      <c r="R575" s="4">
        <v>0</v>
      </c>
      <c r="S575" s="6">
        <v>0</v>
      </c>
      <c r="T575" s="6">
        <v>20</v>
      </c>
      <c r="U575" s="6">
        <v>66</v>
      </c>
      <c r="V575" s="53">
        <f>IF(ISERROR(VLOOKUP($S$575,'TAR FIN'!$A$1:$O$103,15,0)),0,VLOOKUP($S$575,'TAR FIN'!$A$1:$O$103,15,0))</f>
        <v>0</v>
      </c>
      <c r="W575" s="53">
        <f>IF(ISERROR(VLOOKUP($T$575,'TAR FIN'!$A$1:$O$103,15,0)),0,VLOOKUP($T$575,'TAR FIN'!$A$1:$O$103,15,0))*(1-0.06)</f>
        <v>65.207800000000006</v>
      </c>
      <c r="X575" s="53">
        <f>IF(ISERROR(VLOOKUP($U$575,'TAR FIN'!$A$1:$O$103,15,0)),0,VLOOKUP($U$575,'TAR FIN'!$A$1:$O$103,15,0))*(1-0.06)</f>
        <v>267.29840000000002</v>
      </c>
      <c r="Y575" s="53"/>
      <c r="Z575" s="53">
        <f ca="1">('TUSD BE'!$AM$22+'TUSD BF'!$AM$22+'TUSD CVA'!$AM$22)*1*(1-0.03)</f>
        <v>107.89940569215416</v>
      </c>
      <c r="AA575" s="53">
        <f>('TE BE'!$AB$9+'TE BF'!$AB$9+'TE CVA'!$AB$9)*1*(1-0.03)</f>
        <v>251.26567196807298</v>
      </c>
      <c r="AB575" s="6">
        <f>$K$575*$V$575</f>
        <v>0</v>
      </c>
      <c r="AC575" s="6">
        <f>$M$575*$W$575</f>
        <v>25256.285096000003</v>
      </c>
      <c r="AD575" s="6">
        <f>$O$575*$X$575</f>
        <v>103530.016288</v>
      </c>
      <c r="AE575" s="6">
        <f>$K$575*$Y$575</f>
        <v>0</v>
      </c>
      <c r="AF575" s="6">
        <f ca="1">$M$575*$Z$575</f>
        <v>41791.597812685148</v>
      </c>
      <c r="AG575" s="6">
        <f>$O$575*$AA$575</f>
        <v>97320.220066674025</v>
      </c>
    </row>
    <row r="576" spans="1:33" ht="11.25" customHeight="1" x14ac:dyDescent="0.25">
      <c r="A576" s="4" t="s">
        <v>21</v>
      </c>
      <c r="B576" s="4" t="s">
        <v>33</v>
      </c>
      <c r="C576" s="4" t="s">
        <v>34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35</v>
      </c>
      <c r="I576" s="5">
        <v>44409</v>
      </c>
      <c r="J576" s="6">
        <v>0</v>
      </c>
      <c r="K576" s="53">
        <v>0</v>
      </c>
      <c r="L576" s="6">
        <v>393.12599999999998</v>
      </c>
      <c r="M576" s="53">
        <v>393.12599999999998</v>
      </c>
      <c r="N576" s="6">
        <v>393.12599999999998</v>
      </c>
      <c r="O576" s="53">
        <v>393.12599999999998</v>
      </c>
      <c r="P576" s="6">
        <v>0</v>
      </c>
      <c r="Q576" s="4" t="s">
        <v>26</v>
      </c>
      <c r="R576" s="4">
        <v>0</v>
      </c>
      <c r="S576" s="6">
        <v>0</v>
      </c>
      <c r="T576" s="6">
        <v>20</v>
      </c>
      <c r="U576" s="6">
        <v>66</v>
      </c>
      <c r="V576" s="53">
        <f>IF(ISERROR(VLOOKUP($S$576,'TAR FIN'!$A$1:$O$103,15,0)),0,VLOOKUP($S$576,'TAR FIN'!$A$1:$O$103,15,0))</f>
        <v>0</v>
      </c>
      <c r="W576" s="53">
        <f>IF(ISERROR(VLOOKUP($T$576,'TAR FIN'!$A$1:$O$103,15,0)),0,VLOOKUP($T$576,'TAR FIN'!$A$1:$O$103,15,0))*(1-0.06)</f>
        <v>65.207800000000006</v>
      </c>
      <c r="X576" s="53">
        <f>IF(ISERROR(VLOOKUP($U$576,'TAR FIN'!$A$1:$O$103,15,0)),0,VLOOKUP($U$576,'TAR FIN'!$A$1:$O$103,15,0))*(1-0.06)</f>
        <v>267.29840000000002</v>
      </c>
      <c r="Y576" s="53"/>
      <c r="Z576" s="53">
        <f ca="1">('TUSD BE'!$AM$22+'TUSD BF'!$AM$22+'TUSD CVA'!$AM$22)*1*(1-0.03)</f>
        <v>107.89940569215416</v>
      </c>
      <c r="AA576" s="53">
        <f>('TE BE'!$AB$9+'TE BF'!$AB$9+'TE CVA'!$AB$9)*1*(1-0.03)</f>
        <v>251.26567196807298</v>
      </c>
      <c r="AB576" s="6">
        <f>$K$576*$V$576</f>
        <v>0</v>
      </c>
      <c r="AC576" s="6">
        <f>$M$576*$W$576</f>
        <v>25634.881582800001</v>
      </c>
      <c r="AD576" s="6">
        <f>$O$576*$X$576</f>
        <v>105081.95079839999</v>
      </c>
      <c r="AE576" s="6">
        <f>$K$576*$Y$576</f>
        <v>0</v>
      </c>
      <c r="AF576" s="6">
        <f ca="1">$M$576*$Z$576</f>
        <v>42418.061762133795</v>
      </c>
      <c r="AG576" s="6">
        <f>$O$576*$AA$576</f>
        <v>98779.068558120649</v>
      </c>
    </row>
    <row r="577" spans="1:33" ht="11.25" customHeight="1" x14ac:dyDescent="0.25">
      <c r="A577" s="4" t="s">
        <v>21</v>
      </c>
      <c r="B577" s="4" t="s">
        <v>33</v>
      </c>
      <c r="C577" s="4" t="s">
        <v>34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35</v>
      </c>
      <c r="I577" s="5">
        <v>44440</v>
      </c>
      <c r="J577" s="6">
        <v>0</v>
      </c>
      <c r="K577" s="53">
        <v>0</v>
      </c>
      <c r="L577" s="6">
        <v>388.779</v>
      </c>
      <c r="M577" s="53">
        <v>388.779</v>
      </c>
      <c r="N577" s="6">
        <v>388.779</v>
      </c>
      <c r="O577" s="53">
        <v>388.779</v>
      </c>
      <c r="P577" s="6">
        <v>0</v>
      </c>
      <c r="Q577" s="4" t="s">
        <v>26</v>
      </c>
      <c r="R577" s="4">
        <v>0</v>
      </c>
      <c r="S577" s="6">
        <v>0</v>
      </c>
      <c r="T577" s="6">
        <v>20</v>
      </c>
      <c r="U577" s="6">
        <v>66</v>
      </c>
      <c r="V577" s="53">
        <f>IF(ISERROR(VLOOKUP($S$577,'TAR FIN'!$A$1:$O$103,15,0)),0,VLOOKUP($S$577,'TAR FIN'!$A$1:$O$103,15,0))</f>
        <v>0</v>
      </c>
      <c r="W577" s="53">
        <f>IF(ISERROR(VLOOKUP($T$577,'TAR FIN'!$A$1:$O$103,15,0)),0,VLOOKUP($T$577,'TAR FIN'!$A$1:$O$103,15,0))*(1-0.06)</f>
        <v>65.207800000000006</v>
      </c>
      <c r="X577" s="53">
        <f>IF(ISERROR(VLOOKUP($U$577,'TAR FIN'!$A$1:$O$103,15,0)),0,VLOOKUP($U$577,'TAR FIN'!$A$1:$O$103,15,0))*(1-0.06)</f>
        <v>267.29840000000002</v>
      </c>
      <c r="Y577" s="53"/>
      <c r="Z577" s="53">
        <f ca="1">('TUSD BE'!$AM$22+'TUSD BF'!$AM$22+'TUSD CVA'!$AM$22)*1*(1-0.03)</f>
        <v>107.89940569215416</v>
      </c>
      <c r="AA577" s="53">
        <f>('TE BE'!$AB$9+'TE BF'!$AB$9+'TE CVA'!$AB$9)*1*(1-0.03)</f>
        <v>251.26567196807298</v>
      </c>
      <c r="AB577" s="6">
        <f>$K$577*$V$577</f>
        <v>0</v>
      </c>
      <c r="AC577" s="6">
        <f>$M$577*$W$577</f>
        <v>25351.423276200003</v>
      </c>
      <c r="AD577" s="6">
        <f>$O$577*$X$577</f>
        <v>103920.0046536</v>
      </c>
      <c r="AE577" s="6">
        <f>$K$577*$Y$577</f>
        <v>0</v>
      </c>
      <c r="AF577" s="6">
        <f ca="1">$M$577*$Z$577</f>
        <v>41949.023045590002</v>
      </c>
      <c r="AG577" s="6">
        <f>$O$577*$AA$577</f>
        <v>97686.816682075441</v>
      </c>
    </row>
    <row r="578" spans="1:33" ht="11.25" customHeight="1" x14ac:dyDescent="0.25">
      <c r="A578" s="4" t="s">
        <v>21</v>
      </c>
      <c r="B578" s="4" t="s">
        <v>33</v>
      </c>
      <c r="C578" s="4" t="s">
        <v>34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35</v>
      </c>
      <c r="I578" s="5">
        <v>44470</v>
      </c>
      <c r="J578" s="6">
        <v>0</v>
      </c>
      <c r="K578" s="53">
        <v>0</v>
      </c>
      <c r="L578" s="6">
        <v>389.73399999999998</v>
      </c>
      <c r="M578" s="53">
        <v>389.73399999999998</v>
      </c>
      <c r="N578" s="6">
        <v>389.73399999999998</v>
      </c>
      <c r="O578" s="53">
        <v>389.73399999999998</v>
      </c>
      <c r="P578" s="6">
        <v>0</v>
      </c>
      <c r="Q578" s="4" t="s">
        <v>26</v>
      </c>
      <c r="R578" s="4">
        <v>0</v>
      </c>
      <c r="S578" s="6">
        <v>0</v>
      </c>
      <c r="T578" s="6">
        <v>20</v>
      </c>
      <c r="U578" s="6">
        <v>66</v>
      </c>
      <c r="V578" s="53">
        <f>IF(ISERROR(VLOOKUP($S$578,'TAR FIN'!$A$1:$O$103,15,0)),0,VLOOKUP($S$578,'TAR FIN'!$A$1:$O$103,15,0))</f>
        <v>0</v>
      </c>
      <c r="W578" s="53">
        <f>IF(ISERROR(VLOOKUP($T$578,'TAR FIN'!$A$1:$O$103,15,0)),0,VLOOKUP($T$578,'TAR FIN'!$A$1:$O$103,15,0))*(1-0.06)</f>
        <v>65.207800000000006</v>
      </c>
      <c r="X578" s="53">
        <f>IF(ISERROR(VLOOKUP($U$578,'TAR FIN'!$A$1:$O$103,15,0)),0,VLOOKUP($U$578,'TAR FIN'!$A$1:$O$103,15,0))*(1-0.06)</f>
        <v>267.29840000000002</v>
      </c>
      <c r="Y578" s="53"/>
      <c r="Z578" s="53">
        <f ca="1">('TUSD BE'!$AM$22+'TUSD BF'!$AM$22+'TUSD CVA'!$AM$22)*1*(1-0.03)</f>
        <v>107.89940569215416</v>
      </c>
      <c r="AA578" s="53">
        <f>('TE BE'!$AB$9+'TE BF'!$AB$9+'TE CVA'!$AB$9)*1*(1-0.03)</f>
        <v>251.26567196807298</v>
      </c>
      <c r="AB578" s="6">
        <f>$K$578*$V$578</f>
        <v>0</v>
      </c>
      <c r="AC578" s="6">
        <f>$M$578*$W$578</f>
        <v>25413.696725199999</v>
      </c>
      <c r="AD578" s="6">
        <f>$O$578*$X$578</f>
        <v>104175.2746256</v>
      </c>
      <c r="AE578" s="6">
        <f>$K$578*$Y$578</f>
        <v>0</v>
      </c>
      <c r="AF578" s="6">
        <f ca="1">$M$578*$Z$578</f>
        <v>42052.066978026007</v>
      </c>
      <c r="AG578" s="6">
        <f>$O$578*$AA$578</f>
        <v>97926.775398804952</v>
      </c>
    </row>
    <row r="579" spans="1:33" ht="11.25" customHeight="1" x14ac:dyDescent="0.25">
      <c r="A579" s="4" t="s">
        <v>21</v>
      </c>
      <c r="B579" s="4" t="s">
        <v>33</v>
      </c>
      <c r="C579" s="4" t="s">
        <v>34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35</v>
      </c>
      <c r="I579" s="5">
        <v>44501</v>
      </c>
      <c r="J579" s="6">
        <v>0</v>
      </c>
      <c r="K579" s="53">
        <v>0</v>
      </c>
      <c r="L579" s="6">
        <v>397.99599999999998</v>
      </c>
      <c r="M579" s="53">
        <v>397.99599999999998</v>
      </c>
      <c r="N579" s="6">
        <v>397.99599999999998</v>
      </c>
      <c r="O579" s="53">
        <v>397.99599999999998</v>
      </c>
      <c r="P579" s="6">
        <v>0</v>
      </c>
      <c r="Q579" s="4" t="s">
        <v>26</v>
      </c>
      <c r="R579" s="4">
        <v>0</v>
      </c>
      <c r="S579" s="6">
        <v>0</v>
      </c>
      <c r="T579" s="6">
        <v>20</v>
      </c>
      <c r="U579" s="6">
        <v>66</v>
      </c>
      <c r="V579" s="53">
        <f>IF(ISERROR(VLOOKUP($S$579,'TAR FIN'!$A$1:$O$103,15,0)),0,VLOOKUP($S$579,'TAR FIN'!$A$1:$O$103,15,0))</f>
        <v>0</v>
      </c>
      <c r="W579" s="53">
        <f>IF(ISERROR(VLOOKUP($T$579,'TAR FIN'!$A$1:$O$103,15,0)),0,VLOOKUP($T$579,'TAR FIN'!$A$1:$O$103,15,0))*(1-0.06)</f>
        <v>65.207800000000006</v>
      </c>
      <c r="X579" s="53">
        <f>IF(ISERROR(VLOOKUP($U$579,'TAR FIN'!$A$1:$O$103,15,0)),0,VLOOKUP($U$579,'TAR FIN'!$A$1:$O$103,15,0))*(1-0.06)</f>
        <v>267.29840000000002</v>
      </c>
      <c r="Y579" s="53"/>
      <c r="Z579" s="53">
        <f ca="1">('TUSD BE'!$AM$22+'TUSD BF'!$AM$22+'TUSD CVA'!$AM$22)*1*(1-0.03)</f>
        <v>107.89940569215416</v>
      </c>
      <c r="AA579" s="53">
        <f>('TE BE'!$AB$9+'TE BF'!$AB$9+'TE CVA'!$AB$9)*1*(1-0.03)</f>
        <v>251.26567196807298</v>
      </c>
      <c r="AB579" s="6">
        <f>$K$579*$V$579</f>
        <v>0</v>
      </c>
      <c r="AC579" s="6">
        <f>$M$579*$W$579</f>
        <v>25952.443568800001</v>
      </c>
      <c r="AD579" s="6">
        <f>$O$579*$X$579</f>
        <v>106383.69400639999</v>
      </c>
      <c r="AE579" s="6">
        <f>$K$579*$Y$579</f>
        <v>0</v>
      </c>
      <c r="AF579" s="6">
        <f ca="1">$M$579*$Z$579</f>
        <v>42943.531867854588</v>
      </c>
      <c r="AG579" s="6">
        <f>$O$579*$AA$579</f>
        <v>100002.73238060517</v>
      </c>
    </row>
    <row r="580" spans="1:33" ht="11.25" customHeight="1" x14ac:dyDescent="0.25">
      <c r="A580" s="4" t="s">
        <v>21</v>
      </c>
      <c r="B580" s="4" t="s">
        <v>33</v>
      </c>
      <c r="C580" s="4" t="s">
        <v>34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35</v>
      </c>
      <c r="I580" s="5">
        <v>44531</v>
      </c>
      <c r="J580" s="6">
        <v>0</v>
      </c>
      <c r="K580" s="53">
        <v>0</v>
      </c>
      <c r="L580" s="6">
        <v>428.596</v>
      </c>
      <c r="M580" s="53">
        <v>428.596</v>
      </c>
      <c r="N580" s="6">
        <v>428.596</v>
      </c>
      <c r="O580" s="53">
        <v>428.596</v>
      </c>
      <c r="P580" s="6">
        <v>0</v>
      </c>
      <c r="Q580" s="4" t="s">
        <v>26</v>
      </c>
      <c r="R580" s="4">
        <v>0</v>
      </c>
      <c r="S580" s="6">
        <v>0</v>
      </c>
      <c r="T580" s="6">
        <v>20</v>
      </c>
      <c r="U580" s="6">
        <v>66</v>
      </c>
      <c r="V580" s="53">
        <f>IF(ISERROR(VLOOKUP($S$580,'TAR FIN'!$A$1:$O$103,15,0)),0,VLOOKUP($S$580,'TAR FIN'!$A$1:$O$103,15,0))</f>
        <v>0</v>
      </c>
      <c r="W580" s="53">
        <f>IF(ISERROR(VLOOKUP($T$580,'TAR FIN'!$A$1:$O$103,15,0)),0,VLOOKUP($T$580,'TAR FIN'!$A$1:$O$103,15,0))*(1-0.06)</f>
        <v>65.207800000000006</v>
      </c>
      <c r="X580" s="53">
        <f>IF(ISERROR(VLOOKUP($U$580,'TAR FIN'!$A$1:$O$103,15,0)),0,VLOOKUP($U$580,'TAR FIN'!$A$1:$O$103,15,0))*(1-0.06)</f>
        <v>267.29840000000002</v>
      </c>
      <c r="Y580" s="53"/>
      <c r="Z580" s="53">
        <f ca="1">('TUSD BE'!$AM$22+'TUSD BF'!$AM$22+'TUSD CVA'!$AM$22)*1*(1-0.03)</f>
        <v>107.89940569215416</v>
      </c>
      <c r="AA580" s="53">
        <f>('TE BE'!$AB$9+'TE BF'!$AB$9+'TE CVA'!$AB$9)*1*(1-0.03)</f>
        <v>251.26567196807298</v>
      </c>
      <c r="AB580" s="6">
        <f>$K$580*$V$580</f>
        <v>0</v>
      </c>
      <c r="AC580" s="6">
        <f>$M$580*$W$580</f>
        <v>27947.802248800002</v>
      </c>
      <c r="AD580" s="6">
        <f>$O$580*$X$580</f>
        <v>114563.02504640001</v>
      </c>
      <c r="AE580" s="6">
        <f>$K$580*$Y$580</f>
        <v>0</v>
      </c>
      <c r="AF580" s="6">
        <f ca="1">$M$580*$Z$580</f>
        <v>46245.253682034505</v>
      </c>
      <c r="AG580" s="6">
        <f>$O$580*$AA$580</f>
        <v>107691.4619428282</v>
      </c>
    </row>
    <row r="581" spans="1:33" ht="11.25" customHeight="1" x14ac:dyDescent="0.25">
      <c r="A581" s="4" t="s">
        <v>21</v>
      </c>
      <c r="B581" s="4" t="s">
        <v>33</v>
      </c>
      <c r="C581" s="4" t="s">
        <v>34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35</v>
      </c>
      <c r="I581" s="5">
        <v>44562</v>
      </c>
      <c r="J581" s="6">
        <v>0</v>
      </c>
      <c r="K581" s="53">
        <v>0</v>
      </c>
      <c r="L581" s="6">
        <v>447.78</v>
      </c>
      <c r="M581" s="53">
        <v>447.78</v>
      </c>
      <c r="N581" s="6">
        <v>447.78</v>
      </c>
      <c r="O581" s="53">
        <v>447.78</v>
      </c>
      <c r="P581" s="6">
        <v>0</v>
      </c>
      <c r="Q581" s="4" t="s">
        <v>26</v>
      </c>
      <c r="R581" s="4">
        <v>0</v>
      </c>
      <c r="S581" s="6">
        <v>0</v>
      </c>
      <c r="T581" s="6">
        <v>20</v>
      </c>
      <c r="U581" s="6">
        <v>66</v>
      </c>
      <c r="V581" s="53">
        <f>IF(ISERROR(VLOOKUP($S$581,'TAR FIN'!$A$1:$O$103,15,0)),0,VLOOKUP($S$581,'TAR FIN'!$A$1:$O$103,15,0))</f>
        <v>0</v>
      </c>
      <c r="W581" s="53">
        <f>IF(ISERROR(VLOOKUP($T$581,'TAR FIN'!$A$1:$O$103,15,0)),0,VLOOKUP($T$581,'TAR FIN'!$A$1:$O$103,15,0))*(1-0.06)</f>
        <v>65.207800000000006</v>
      </c>
      <c r="X581" s="53">
        <f>IF(ISERROR(VLOOKUP($U$581,'TAR FIN'!$A$1:$O$103,15,0)),0,VLOOKUP($U$581,'TAR FIN'!$A$1:$O$103,15,0))*(1-0.06)</f>
        <v>267.29840000000002</v>
      </c>
      <c r="Y581" s="53"/>
      <c r="Z581" s="53">
        <f ca="1">('TUSD BE'!$AM$22+'TUSD BF'!$AM$22+'TUSD CVA'!$AM$22)*1*(1-0.03)</f>
        <v>107.89940569215416</v>
      </c>
      <c r="AA581" s="53">
        <f>('TE BE'!$AB$9+'TE BF'!$AB$9+'TE CVA'!$AB$9)*1*(1-0.03)</f>
        <v>251.26567196807298</v>
      </c>
      <c r="AB581" s="6">
        <f>$K$581*$V$581</f>
        <v>0</v>
      </c>
      <c r="AC581" s="6">
        <f>$M$581*$W$581</f>
        <v>29198.748684000002</v>
      </c>
      <c r="AD581" s="6">
        <f>$O$581*$X$581</f>
        <v>119690.87755200001</v>
      </c>
      <c r="AE581" s="6">
        <f>$K$581*$Y$581</f>
        <v>0</v>
      </c>
      <c r="AF581" s="6">
        <f ca="1">$M$581*$Z$581</f>
        <v>48315.195880832791</v>
      </c>
      <c r="AG581" s="6">
        <f>$O$581*$AA$581</f>
        <v>112511.74259386372</v>
      </c>
    </row>
    <row r="582" spans="1:33" ht="11.25" customHeight="1" x14ac:dyDescent="0.25">
      <c r="A582" s="4" t="s">
        <v>21</v>
      </c>
      <c r="B582" s="4" t="s">
        <v>33</v>
      </c>
      <c r="C582" s="4" t="s">
        <v>34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35</v>
      </c>
      <c r="I582" s="5">
        <v>44593</v>
      </c>
      <c r="J582" s="6">
        <v>0</v>
      </c>
      <c r="K582" s="53">
        <v>0</v>
      </c>
      <c r="L582" s="6">
        <v>417.27699999999999</v>
      </c>
      <c r="M582" s="53">
        <v>417.27699999999999</v>
      </c>
      <c r="N582" s="6">
        <v>417.27699999999999</v>
      </c>
      <c r="O582" s="53">
        <v>417.27699999999999</v>
      </c>
      <c r="P582" s="6">
        <v>0</v>
      </c>
      <c r="Q582" s="4" t="s">
        <v>26</v>
      </c>
      <c r="R582" s="4">
        <v>0</v>
      </c>
      <c r="S582" s="6">
        <v>0</v>
      </c>
      <c r="T582" s="6">
        <v>20</v>
      </c>
      <c r="U582" s="6">
        <v>66</v>
      </c>
      <c r="V582" s="53">
        <f>IF(ISERROR(VLOOKUP($S$582,'TAR FIN'!$A$1:$O$103,15,0)),0,VLOOKUP($S$582,'TAR FIN'!$A$1:$O$103,15,0))</f>
        <v>0</v>
      </c>
      <c r="W582" s="53">
        <f>IF(ISERROR(VLOOKUP($T$582,'TAR FIN'!$A$1:$O$103,15,0)),0,VLOOKUP($T$582,'TAR FIN'!$A$1:$O$103,15,0))*(1-0.06)</f>
        <v>65.207800000000006</v>
      </c>
      <c r="X582" s="53">
        <f>IF(ISERROR(VLOOKUP($U$582,'TAR FIN'!$A$1:$O$103,15,0)),0,VLOOKUP($U$582,'TAR FIN'!$A$1:$O$103,15,0))*(1-0.06)</f>
        <v>267.29840000000002</v>
      </c>
      <c r="Y582" s="53"/>
      <c r="Z582" s="53">
        <f ca="1">('TUSD BE'!$AM$22+'TUSD BF'!$AM$22+'TUSD CVA'!$AM$22)*1*(1-0.03)</f>
        <v>107.89940569215416</v>
      </c>
      <c r="AA582" s="53">
        <f>('TE BE'!$AB$9+'TE BF'!$AB$9+'TE CVA'!$AB$9)*1*(1-0.03)</f>
        <v>251.26567196807298</v>
      </c>
      <c r="AB582" s="6">
        <f>$K$582*$V$582</f>
        <v>0</v>
      </c>
      <c r="AC582" s="6">
        <f>$M$582*$W$582</f>
        <v>27209.715160600001</v>
      </c>
      <c r="AD582" s="6">
        <f>$O$582*$X$582</f>
        <v>111537.4744568</v>
      </c>
      <c r="AE582" s="6">
        <f>$K$582*$Y$582</f>
        <v>0</v>
      </c>
      <c r="AF582" s="6">
        <f ca="1">$M$582*$Z$582</f>
        <v>45023.940309005011</v>
      </c>
      <c r="AG582" s="6">
        <f>$O$582*$AA$582</f>
        <v>104847.38580182158</v>
      </c>
    </row>
    <row r="583" spans="1:33" ht="11.25" customHeight="1" x14ac:dyDescent="0.25">
      <c r="A583" s="4" t="s">
        <v>21</v>
      </c>
      <c r="B583" s="4" t="s">
        <v>33</v>
      </c>
      <c r="C583" s="4" t="s">
        <v>34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35</v>
      </c>
      <c r="I583" s="5">
        <v>44621</v>
      </c>
      <c r="J583" s="6">
        <v>0</v>
      </c>
      <c r="K583" s="53">
        <v>0</v>
      </c>
      <c r="L583" s="6">
        <v>385.72699999999998</v>
      </c>
      <c r="M583" s="53">
        <v>385.72699999999998</v>
      </c>
      <c r="N583" s="6">
        <v>385.72699999999998</v>
      </c>
      <c r="O583" s="53">
        <v>385.72699999999998</v>
      </c>
      <c r="P583" s="6">
        <v>0</v>
      </c>
      <c r="Q583" s="4" t="s">
        <v>26</v>
      </c>
      <c r="R583" s="4">
        <v>0</v>
      </c>
      <c r="S583" s="6">
        <v>0</v>
      </c>
      <c r="T583" s="6">
        <v>20</v>
      </c>
      <c r="U583" s="6">
        <v>66</v>
      </c>
      <c r="V583" s="53">
        <f>IF(ISERROR(VLOOKUP($S$583,'TAR FIN'!$A$1:$O$103,15,0)),0,VLOOKUP($S$583,'TAR FIN'!$A$1:$O$103,15,0))</f>
        <v>0</v>
      </c>
      <c r="W583" s="53">
        <f>IF(ISERROR(VLOOKUP($T$583,'TAR FIN'!$A$1:$O$103,15,0)),0,VLOOKUP($T$583,'TAR FIN'!$A$1:$O$103,15,0))*(1-0.06)</f>
        <v>65.207800000000006</v>
      </c>
      <c r="X583" s="53">
        <f>IF(ISERROR(VLOOKUP($U$583,'TAR FIN'!$A$1:$O$103,15,0)),0,VLOOKUP($U$583,'TAR FIN'!$A$1:$O$103,15,0))*(1-0.06)</f>
        <v>267.29840000000002</v>
      </c>
      <c r="Y583" s="53"/>
      <c r="Z583" s="53">
        <f ca="1">('TUSD BE'!$AM$22+'TUSD BF'!$AM$22+'TUSD CVA'!$AM$22)*1*(1-0.03)</f>
        <v>107.89940569215416</v>
      </c>
      <c r="AA583" s="53">
        <f>('TE BE'!$AB$9+'TE BF'!$AB$9+'TE CVA'!$AB$9)*1*(1-0.03)</f>
        <v>251.26567196807298</v>
      </c>
      <c r="AB583" s="6">
        <f>$K$583*$V$583</f>
        <v>0</v>
      </c>
      <c r="AC583" s="6">
        <f>$M$583*$W$583</f>
        <v>25152.409070600002</v>
      </c>
      <c r="AD583" s="6">
        <f>$O$583*$X$583</f>
        <v>103104.20993680001</v>
      </c>
      <c r="AE583" s="6">
        <f>$K$583*$Y$583</f>
        <v>0</v>
      </c>
      <c r="AF583" s="6">
        <f ca="1">$M$583*$Z$583</f>
        <v>41619.714059417543</v>
      </c>
      <c r="AG583" s="6">
        <f>$O$583*$AA$583</f>
        <v>96919.953851228885</v>
      </c>
    </row>
    <row r="584" spans="1:33" ht="11.25" customHeight="1" x14ac:dyDescent="0.25">
      <c r="A584" s="4" t="s">
        <v>21</v>
      </c>
      <c r="B584" s="4" t="s">
        <v>33</v>
      </c>
      <c r="C584" s="4" t="s">
        <v>34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35</v>
      </c>
      <c r="I584" s="5">
        <v>44652</v>
      </c>
      <c r="J584" s="6">
        <v>0</v>
      </c>
      <c r="K584" s="53">
        <v>0</v>
      </c>
      <c r="L584" s="6">
        <v>450.798</v>
      </c>
      <c r="M584" s="53">
        <v>450.798</v>
      </c>
      <c r="N584" s="6">
        <v>450.798</v>
      </c>
      <c r="O584" s="53">
        <v>450.798</v>
      </c>
      <c r="P584" s="6">
        <v>0</v>
      </c>
      <c r="Q584" s="4" t="s">
        <v>26</v>
      </c>
      <c r="R584" s="4">
        <v>0</v>
      </c>
      <c r="S584" s="6">
        <v>0</v>
      </c>
      <c r="T584" s="6">
        <v>20</v>
      </c>
      <c r="U584" s="6">
        <v>66</v>
      </c>
      <c r="V584" s="53">
        <f>IF(ISERROR(VLOOKUP($S$584,'TAR FIN'!$A$1:$O$103,15,0)),0,VLOOKUP($S$584,'TAR FIN'!$A$1:$O$103,15,0))</f>
        <v>0</v>
      </c>
      <c r="W584" s="53">
        <f>IF(ISERROR(VLOOKUP($T$584,'TAR FIN'!$A$1:$O$103,15,0)),0,VLOOKUP($T$584,'TAR FIN'!$A$1:$O$103,15,0))*(1-0.06)</f>
        <v>65.207800000000006</v>
      </c>
      <c r="X584" s="53">
        <f>IF(ISERROR(VLOOKUP($U$584,'TAR FIN'!$A$1:$O$103,15,0)),0,VLOOKUP($U$584,'TAR FIN'!$A$1:$O$103,15,0))*(1-0.06)</f>
        <v>267.29840000000002</v>
      </c>
      <c r="Y584" s="53"/>
      <c r="Z584" s="53">
        <f ca="1">('TUSD BE'!$AM$22+'TUSD BF'!$AM$22+'TUSD CVA'!$AM$22)*1*(1-0.03)</f>
        <v>107.89940569215416</v>
      </c>
      <c r="AA584" s="53">
        <f>('TE BE'!$AB$9+'TE BF'!$AB$9+'TE CVA'!$AB$9)*1*(1-0.03)</f>
        <v>251.26567196807298</v>
      </c>
      <c r="AB584" s="6">
        <f>$K$584*$V$584</f>
        <v>0</v>
      </c>
      <c r="AC584" s="6">
        <f>$M$584*$W$584</f>
        <v>29395.545824400004</v>
      </c>
      <c r="AD584" s="6">
        <f>$O$584*$X$584</f>
        <v>120497.58412320001</v>
      </c>
      <c r="AE584" s="6">
        <f>$K$584*$Y$584</f>
        <v>0</v>
      </c>
      <c r="AF584" s="6">
        <f ca="1">$M$584*$Z$584</f>
        <v>48640.836287211714</v>
      </c>
      <c r="AG584" s="6">
        <f>$O$584*$AA$584</f>
        <v>113270.06239186336</v>
      </c>
    </row>
    <row r="585" spans="1:33" ht="11.25" customHeight="1" x14ac:dyDescent="0.25">
      <c r="A585" s="4" t="s">
        <v>21</v>
      </c>
      <c r="B585" s="4" t="s">
        <v>33</v>
      </c>
      <c r="C585" s="4" t="s">
        <v>34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35</v>
      </c>
      <c r="I585" s="5">
        <v>44682</v>
      </c>
      <c r="J585" s="6">
        <v>0</v>
      </c>
      <c r="K585" s="53">
        <v>0</v>
      </c>
      <c r="L585" s="6">
        <v>444.18599999999998</v>
      </c>
      <c r="M585" s="53">
        <v>444.18599999999998</v>
      </c>
      <c r="N585" s="6">
        <v>444.18599999999998</v>
      </c>
      <c r="O585" s="53">
        <v>444.18599999999998</v>
      </c>
      <c r="P585" s="6">
        <v>0</v>
      </c>
      <c r="Q585" s="4" t="s">
        <v>26</v>
      </c>
      <c r="R585" s="4">
        <v>0</v>
      </c>
      <c r="S585" s="6">
        <v>0</v>
      </c>
      <c r="T585" s="6">
        <v>20</v>
      </c>
      <c r="U585" s="6">
        <v>66</v>
      </c>
      <c r="V585" s="53">
        <f>IF(ISERROR(VLOOKUP($S$585,'TAR FIN'!$A$1:$O$103,15,0)),0,VLOOKUP($S$585,'TAR FIN'!$A$1:$O$103,15,0))</f>
        <v>0</v>
      </c>
      <c r="W585" s="53">
        <f>IF(ISERROR(VLOOKUP($T$585,'TAR FIN'!$A$1:$O$103,15,0)),0,VLOOKUP($T$585,'TAR FIN'!$A$1:$O$103,15,0))*(1-0.06)</f>
        <v>65.207800000000006</v>
      </c>
      <c r="X585" s="53">
        <f>IF(ISERROR(VLOOKUP($U$585,'TAR FIN'!$A$1:$O$103,15,0)),0,VLOOKUP($U$585,'TAR FIN'!$A$1:$O$103,15,0))*(1-0.06)</f>
        <v>267.29840000000002</v>
      </c>
      <c r="Y585" s="53"/>
      <c r="Z585" s="53">
        <f ca="1">('TUSD BE'!$AM$22+'TUSD BF'!$AM$22+'TUSD CVA'!$AM$22)*1*(1-0.03)</f>
        <v>107.89940569215416</v>
      </c>
      <c r="AA585" s="53">
        <f>('TE BE'!$AB$9+'TE BF'!$AB$9+'TE CVA'!$AB$9)*1*(1-0.03)</f>
        <v>251.26567196807298</v>
      </c>
      <c r="AB585" s="6">
        <f>$K$585*$V$585</f>
        <v>0</v>
      </c>
      <c r="AC585" s="6">
        <f>$M$585*$W$585</f>
        <v>28964.391850800002</v>
      </c>
      <c r="AD585" s="6">
        <f>$O$585*$X$585</f>
        <v>118730.2071024</v>
      </c>
      <c r="AE585" s="6">
        <f>$K$585*$Y$585</f>
        <v>0</v>
      </c>
      <c r="AF585" s="6">
        <f ca="1">$M$585*$Z$585</f>
        <v>47927.405416775189</v>
      </c>
      <c r="AG585" s="6">
        <f>$O$585*$AA$585</f>
        <v>111608.69376881047</v>
      </c>
    </row>
    <row r="586" spans="1:33" ht="11.25" customHeight="1" x14ac:dyDescent="0.25">
      <c r="A586" s="4" t="s">
        <v>21</v>
      </c>
      <c r="B586" s="4" t="s">
        <v>33</v>
      </c>
      <c r="C586" s="4" t="s">
        <v>34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25</v>
      </c>
      <c r="I586" s="5">
        <v>44348</v>
      </c>
      <c r="J586" s="6">
        <v>1428</v>
      </c>
      <c r="K586" s="52">
        <v>1428</v>
      </c>
      <c r="L586" s="6">
        <v>0</v>
      </c>
      <c r="M586" s="53">
        <v>0</v>
      </c>
      <c r="N586" s="6">
        <v>0</v>
      </c>
      <c r="O586" s="53">
        <v>0</v>
      </c>
      <c r="P586" s="6">
        <v>11</v>
      </c>
      <c r="Q586" s="4" t="s">
        <v>26</v>
      </c>
      <c r="R586" s="4">
        <v>0</v>
      </c>
      <c r="S586" s="6">
        <v>18</v>
      </c>
      <c r="T586" s="6">
        <v>0</v>
      </c>
      <c r="U586" s="6">
        <v>0</v>
      </c>
      <c r="V586" s="53">
        <f>IF(ISERROR(VLOOKUP($S$586,'TAR FIN'!$A$1:$O$103,15,0)),0,VLOOKUP($S$586,'TAR FIN'!$A$1:$O$103,15,0))*(1-0.06)</f>
        <v>11.674799999999999</v>
      </c>
      <c r="W586" s="53">
        <f>IF(ISERROR(VLOOKUP($T$586,'TAR FIN'!$A$1:$O$103,15,0)),0,VLOOKUP($T$586,'TAR FIN'!$A$1:$O$103,15,0))</f>
        <v>0</v>
      </c>
      <c r="X586" s="53">
        <f>IF(ISERROR(VLOOKUP($U$586,'TAR FIN'!$A$1:$O$103,15,0)),0,VLOOKUP($U$586,'TAR FIN'!$A$1:$O$103,15,0))</f>
        <v>0</v>
      </c>
      <c r="Y586" s="53">
        <f ca="1">('TUSD BE'!$AM$20+'TUSD BF'!$AM$20+'TUSD CVA'!$AM$20)*1*(1-0.03)</f>
        <v>16.022755556621018</v>
      </c>
      <c r="Z586" s="53"/>
      <c r="AA586" s="53"/>
      <c r="AB586" s="6">
        <f>$K$586*$V$586</f>
        <v>16671.614399999999</v>
      </c>
      <c r="AC586" s="6">
        <f>$M$586*$W$586</f>
        <v>0</v>
      </c>
      <c r="AD586" s="6">
        <f>$O$586*$X$586</f>
        <v>0</v>
      </c>
      <c r="AE586" s="6">
        <f ca="1">$K$586*$Y$586</f>
        <v>22880.494934854814</v>
      </c>
      <c r="AF586" s="6">
        <f>$M$586*$Z$586</f>
        <v>0</v>
      </c>
      <c r="AG586" s="6">
        <f>$O$586*$AA$586</f>
        <v>0</v>
      </c>
    </row>
    <row r="587" spans="1:33" ht="11.25" customHeight="1" x14ac:dyDescent="0.25">
      <c r="A587" s="4" t="s">
        <v>21</v>
      </c>
      <c r="B587" s="4" t="s">
        <v>33</v>
      </c>
      <c r="C587" s="4" t="s">
        <v>34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1416</v>
      </c>
      <c r="K587" s="52">
        <v>1416</v>
      </c>
      <c r="L587" s="6">
        <v>0</v>
      </c>
      <c r="M587" s="53">
        <v>0</v>
      </c>
      <c r="N587" s="6">
        <v>0</v>
      </c>
      <c r="O587" s="53">
        <v>0</v>
      </c>
      <c r="P587" s="6">
        <v>11</v>
      </c>
      <c r="Q587" s="4" t="s">
        <v>26</v>
      </c>
      <c r="R587" s="4">
        <v>0</v>
      </c>
      <c r="S587" s="6">
        <v>18</v>
      </c>
      <c r="T587" s="6">
        <v>0</v>
      </c>
      <c r="U587" s="6">
        <v>0</v>
      </c>
      <c r="V587" s="53">
        <f>IF(ISERROR(VLOOKUP($S$587,'TAR FIN'!$A$1:$O$103,15,0)),0,VLOOKUP($S$587,'TAR FIN'!$A$1:$O$103,15,0))*(1-0.06)</f>
        <v>11.674799999999999</v>
      </c>
      <c r="W587" s="53">
        <f>IF(ISERROR(VLOOKUP($T$587,'TAR FIN'!$A$1:$O$103,15,0)),0,VLOOKUP($T$587,'TAR FIN'!$A$1:$O$103,15,0))</f>
        <v>0</v>
      </c>
      <c r="X587" s="53">
        <f>IF(ISERROR(VLOOKUP($U$587,'TAR FIN'!$A$1:$O$103,15,0)),0,VLOOKUP($U$587,'TAR FIN'!$A$1:$O$103,15,0))</f>
        <v>0</v>
      </c>
      <c r="Y587" s="53">
        <f ca="1">('TUSD BE'!$AM$20+'TUSD BF'!$AM$20+'TUSD CVA'!$AM$20)*1*(1-0.03)</f>
        <v>16.022755556621018</v>
      </c>
      <c r="Z587" s="53"/>
      <c r="AA587" s="53"/>
      <c r="AB587" s="6">
        <f>$K$587*$V$587</f>
        <v>16531.516799999998</v>
      </c>
      <c r="AC587" s="6">
        <f>$M$587*$W$587</f>
        <v>0</v>
      </c>
      <c r="AD587" s="6">
        <f>$O$587*$X$587</f>
        <v>0</v>
      </c>
      <c r="AE587" s="6">
        <f ca="1">$K$587*$Y$587</f>
        <v>22688.221868175362</v>
      </c>
      <c r="AF587" s="6">
        <f>$M$587*$Z$587</f>
        <v>0</v>
      </c>
      <c r="AG587" s="6">
        <f>$O$587*$AA$587</f>
        <v>0</v>
      </c>
    </row>
    <row r="588" spans="1:33" ht="11.25" customHeight="1" x14ac:dyDescent="0.25">
      <c r="A588" s="4" t="s">
        <v>21</v>
      </c>
      <c r="B588" s="4" t="s">
        <v>33</v>
      </c>
      <c r="C588" s="4" t="s">
        <v>34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1427</v>
      </c>
      <c r="K588" s="52">
        <v>1427</v>
      </c>
      <c r="L588" s="6">
        <v>0</v>
      </c>
      <c r="M588" s="53">
        <v>0</v>
      </c>
      <c r="N588" s="6">
        <v>0</v>
      </c>
      <c r="O588" s="53">
        <v>0</v>
      </c>
      <c r="P588" s="6">
        <v>11</v>
      </c>
      <c r="Q588" s="4" t="s">
        <v>26</v>
      </c>
      <c r="R588" s="4">
        <v>0</v>
      </c>
      <c r="S588" s="6">
        <v>18</v>
      </c>
      <c r="T588" s="6">
        <v>0</v>
      </c>
      <c r="U588" s="6">
        <v>0</v>
      </c>
      <c r="V588" s="53">
        <f>IF(ISERROR(VLOOKUP($S$588,'TAR FIN'!$A$1:$O$103,15,0)),0,VLOOKUP($S$588,'TAR FIN'!$A$1:$O$103,15,0))*(1-0.06)</f>
        <v>11.674799999999999</v>
      </c>
      <c r="W588" s="53">
        <f>IF(ISERROR(VLOOKUP($T$588,'TAR FIN'!$A$1:$O$103,15,0)),0,VLOOKUP($T$588,'TAR FIN'!$A$1:$O$103,15,0))</f>
        <v>0</v>
      </c>
      <c r="X588" s="53">
        <f>IF(ISERROR(VLOOKUP($U$588,'TAR FIN'!$A$1:$O$103,15,0)),0,VLOOKUP($U$588,'TAR FIN'!$A$1:$O$103,15,0))</f>
        <v>0</v>
      </c>
      <c r="Y588" s="53">
        <f ca="1">('TUSD BE'!$AM$20+'TUSD BF'!$AM$20+'TUSD CVA'!$AM$20)*1*(1-0.03)</f>
        <v>16.022755556621018</v>
      </c>
      <c r="Z588" s="53"/>
      <c r="AA588" s="53"/>
      <c r="AB588" s="6">
        <f>$K$588*$V$588</f>
        <v>16659.939599999998</v>
      </c>
      <c r="AC588" s="6">
        <f>$M$588*$W$588</f>
        <v>0</v>
      </c>
      <c r="AD588" s="6">
        <f>$O$588*$X$588</f>
        <v>0</v>
      </c>
      <c r="AE588" s="6">
        <f ca="1">$K$588*$Y$588</f>
        <v>22864.472179298191</v>
      </c>
      <c r="AF588" s="6">
        <f>$M$588*$Z$588</f>
        <v>0</v>
      </c>
      <c r="AG588" s="6">
        <f>$O$588*$AA$588</f>
        <v>0</v>
      </c>
    </row>
    <row r="589" spans="1:33" ht="11.25" customHeight="1" x14ac:dyDescent="0.25">
      <c r="A589" s="4" t="s">
        <v>21</v>
      </c>
      <c r="B589" s="4" t="s">
        <v>33</v>
      </c>
      <c r="C589" s="4" t="s">
        <v>34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25</v>
      </c>
      <c r="I589" s="5">
        <v>44440</v>
      </c>
      <c r="J589" s="6">
        <v>1372</v>
      </c>
      <c r="K589" s="52">
        <v>1372</v>
      </c>
      <c r="L589" s="6">
        <v>0</v>
      </c>
      <c r="M589" s="53">
        <v>0</v>
      </c>
      <c r="N589" s="6">
        <v>0</v>
      </c>
      <c r="O589" s="53">
        <v>0</v>
      </c>
      <c r="P589" s="6">
        <v>11</v>
      </c>
      <c r="Q589" s="4" t="s">
        <v>26</v>
      </c>
      <c r="R589" s="4">
        <v>0</v>
      </c>
      <c r="S589" s="6">
        <v>18</v>
      </c>
      <c r="T589" s="6">
        <v>0</v>
      </c>
      <c r="U589" s="6">
        <v>0</v>
      </c>
      <c r="V589" s="53">
        <f>IF(ISERROR(VLOOKUP($S$589,'TAR FIN'!$A$1:$O$103,15,0)),0,VLOOKUP($S$589,'TAR FIN'!$A$1:$O$103,15,0))*(1-0.06)</f>
        <v>11.674799999999999</v>
      </c>
      <c r="W589" s="53">
        <f>IF(ISERROR(VLOOKUP($T$589,'TAR FIN'!$A$1:$O$103,15,0)),0,VLOOKUP($T$589,'TAR FIN'!$A$1:$O$103,15,0))</f>
        <v>0</v>
      </c>
      <c r="X589" s="53">
        <f>IF(ISERROR(VLOOKUP($U$589,'TAR FIN'!$A$1:$O$103,15,0)),0,VLOOKUP($U$589,'TAR FIN'!$A$1:$O$103,15,0))</f>
        <v>0</v>
      </c>
      <c r="Y589" s="53">
        <f ca="1">('TUSD BE'!$AM$20+'TUSD BF'!$AM$20+'TUSD CVA'!$AM$20)*1*(1-0.03)</f>
        <v>16.022755556621018</v>
      </c>
      <c r="Z589" s="53"/>
      <c r="AA589" s="53"/>
      <c r="AB589" s="6">
        <f>$K$589*$V$589</f>
        <v>16017.825599999998</v>
      </c>
      <c r="AC589" s="6">
        <f>$M$589*$W$589</f>
        <v>0</v>
      </c>
      <c r="AD589" s="6">
        <f>$O$589*$X$589</f>
        <v>0</v>
      </c>
      <c r="AE589" s="6">
        <f ca="1">$K$589*$Y$589</f>
        <v>21983.220623684036</v>
      </c>
      <c r="AF589" s="6">
        <f>$M$589*$Z$589</f>
        <v>0</v>
      </c>
      <c r="AG589" s="6">
        <f>$O$589*$AA$589</f>
        <v>0</v>
      </c>
    </row>
    <row r="590" spans="1:33" ht="11.25" customHeight="1" x14ac:dyDescent="0.25">
      <c r="A590" s="4" t="s">
        <v>21</v>
      </c>
      <c r="B590" s="4" t="s">
        <v>33</v>
      </c>
      <c r="C590" s="4" t="s">
        <v>34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1428</v>
      </c>
      <c r="K590" s="52">
        <v>1428</v>
      </c>
      <c r="L590" s="6">
        <v>0</v>
      </c>
      <c r="M590" s="53">
        <v>0</v>
      </c>
      <c r="N590" s="6">
        <v>0</v>
      </c>
      <c r="O590" s="53">
        <v>0</v>
      </c>
      <c r="P590" s="6">
        <v>11</v>
      </c>
      <c r="Q590" s="4" t="s">
        <v>26</v>
      </c>
      <c r="R590" s="4">
        <v>0</v>
      </c>
      <c r="S590" s="6">
        <v>18</v>
      </c>
      <c r="T590" s="6">
        <v>0</v>
      </c>
      <c r="U590" s="6">
        <v>0</v>
      </c>
      <c r="V590" s="53">
        <f>IF(ISERROR(VLOOKUP($S$590,'TAR FIN'!$A$1:$O$103,15,0)),0,VLOOKUP($S$590,'TAR FIN'!$A$1:$O$103,15,0))*(1-0.06)</f>
        <v>11.674799999999999</v>
      </c>
      <c r="W590" s="53">
        <f>IF(ISERROR(VLOOKUP($T$590,'TAR FIN'!$A$1:$O$103,15,0)),0,VLOOKUP($T$590,'TAR FIN'!$A$1:$O$103,15,0))</f>
        <v>0</v>
      </c>
      <c r="X590" s="53">
        <f>IF(ISERROR(VLOOKUP($U$590,'TAR FIN'!$A$1:$O$103,15,0)),0,VLOOKUP($U$590,'TAR FIN'!$A$1:$O$103,15,0))</f>
        <v>0</v>
      </c>
      <c r="Y590" s="53">
        <f ca="1">('TUSD BE'!$AM$20+'TUSD BF'!$AM$20+'TUSD CVA'!$AM$20)*1*(1-0.03)</f>
        <v>16.022755556621018</v>
      </c>
      <c r="Z590" s="53"/>
      <c r="AA590" s="53"/>
      <c r="AB590" s="6">
        <f>$K$590*$V$590</f>
        <v>16671.614399999999</v>
      </c>
      <c r="AC590" s="6">
        <f>$M$590*$W$590</f>
        <v>0</v>
      </c>
      <c r="AD590" s="6">
        <f>$O$590*$X$590</f>
        <v>0</v>
      </c>
      <c r="AE590" s="6">
        <f ca="1">$K$590*$Y$590</f>
        <v>22880.494934854814</v>
      </c>
      <c r="AF590" s="6">
        <f>$M$590*$Z$590</f>
        <v>0</v>
      </c>
      <c r="AG590" s="6">
        <f>$O$590*$AA$590</f>
        <v>0</v>
      </c>
    </row>
    <row r="591" spans="1:33" ht="11.25" customHeight="1" x14ac:dyDescent="0.25">
      <c r="A591" s="4" t="s">
        <v>21</v>
      </c>
      <c r="B591" s="4" t="s">
        <v>33</v>
      </c>
      <c r="C591" s="4" t="s">
        <v>34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1394</v>
      </c>
      <c r="K591" s="52">
        <v>1394</v>
      </c>
      <c r="L591" s="6">
        <v>0</v>
      </c>
      <c r="M591" s="53">
        <v>0</v>
      </c>
      <c r="N591" s="6">
        <v>0</v>
      </c>
      <c r="O591" s="53">
        <v>0</v>
      </c>
      <c r="P591" s="6">
        <v>10</v>
      </c>
      <c r="Q591" s="4" t="s">
        <v>26</v>
      </c>
      <c r="R591" s="4">
        <v>0</v>
      </c>
      <c r="S591" s="6">
        <v>18</v>
      </c>
      <c r="T591" s="6">
        <v>0</v>
      </c>
      <c r="U591" s="6">
        <v>0</v>
      </c>
      <c r="V591" s="53">
        <f>IF(ISERROR(VLOOKUP($S$591,'TAR FIN'!$A$1:$O$103,15,0)),0,VLOOKUP($S$591,'TAR FIN'!$A$1:$O$103,15,0))*(1-0.06)</f>
        <v>11.674799999999999</v>
      </c>
      <c r="W591" s="53">
        <f>IF(ISERROR(VLOOKUP($T$591,'TAR FIN'!$A$1:$O$103,15,0)),0,VLOOKUP($T$591,'TAR FIN'!$A$1:$O$103,15,0))</f>
        <v>0</v>
      </c>
      <c r="X591" s="53">
        <f>IF(ISERROR(VLOOKUP($U$591,'TAR FIN'!$A$1:$O$103,15,0)),0,VLOOKUP($U$591,'TAR FIN'!$A$1:$O$103,15,0))</f>
        <v>0</v>
      </c>
      <c r="Y591" s="53">
        <f ca="1">('TUSD BE'!$AM$20+'TUSD BF'!$AM$20+'TUSD CVA'!$AM$20)*1*(1-0.03)</f>
        <v>16.022755556621018</v>
      </c>
      <c r="Z591" s="53"/>
      <c r="AA591" s="53"/>
      <c r="AB591" s="6">
        <f>$K$591*$V$591</f>
        <v>16274.671199999999</v>
      </c>
      <c r="AC591" s="6">
        <f>$M$591*$W$591</f>
        <v>0</v>
      </c>
      <c r="AD591" s="6">
        <f>$O$591*$X$591</f>
        <v>0</v>
      </c>
      <c r="AE591" s="6">
        <f ca="1">$K$591*$Y$591</f>
        <v>22335.721245929697</v>
      </c>
      <c r="AF591" s="6">
        <f>$M$591*$Z$591</f>
        <v>0</v>
      </c>
      <c r="AG591" s="6">
        <f>$O$591*$AA$591</f>
        <v>0</v>
      </c>
    </row>
    <row r="592" spans="1:33" ht="11.25" customHeight="1" x14ac:dyDescent="0.25">
      <c r="A592" s="4" t="s">
        <v>21</v>
      </c>
      <c r="B592" s="4" t="s">
        <v>33</v>
      </c>
      <c r="C592" s="4" t="s">
        <v>34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1422</v>
      </c>
      <c r="K592" s="52">
        <v>1422</v>
      </c>
      <c r="L592" s="6">
        <v>0</v>
      </c>
      <c r="M592" s="53">
        <v>0</v>
      </c>
      <c r="N592" s="6">
        <v>0</v>
      </c>
      <c r="O592" s="53">
        <v>0</v>
      </c>
      <c r="P592" s="6">
        <v>11</v>
      </c>
      <c r="Q592" s="4" t="s">
        <v>26</v>
      </c>
      <c r="R592" s="4">
        <v>0</v>
      </c>
      <c r="S592" s="6">
        <v>18</v>
      </c>
      <c r="T592" s="6">
        <v>0</v>
      </c>
      <c r="U592" s="6">
        <v>0</v>
      </c>
      <c r="V592" s="53">
        <f>IF(ISERROR(VLOOKUP($S$592,'TAR FIN'!$A$1:$O$103,15,0)),0,VLOOKUP($S$592,'TAR FIN'!$A$1:$O$103,15,0))*(1-0.06)</f>
        <v>11.674799999999999</v>
      </c>
      <c r="W592" s="53">
        <f>IF(ISERROR(VLOOKUP($T$592,'TAR FIN'!$A$1:$O$103,15,0)),0,VLOOKUP($T$592,'TAR FIN'!$A$1:$O$103,15,0))</f>
        <v>0</v>
      </c>
      <c r="X592" s="53">
        <f>IF(ISERROR(VLOOKUP($U$592,'TAR FIN'!$A$1:$O$103,15,0)),0,VLOOKUP($U$592,'TAR FIN'!$A$1:$O$103,15,0))</f>
        <v>0</v>
      </c>
      <c r="Y592" s="53">
        <f ca="1">('TUSD BE'!$AM$20+'TUSD BF'!$AM$20+'TUSD CVA'!$AM$20)*1*(1-0.03)</f>
        <v>16.022755556621018</v>
      </c>
      <c r="Z592" s="53"/>
      <c r="AA592" s="53"/>
      <c r="AB592" s="6">
        <f>$K$592*$V$592</f>
        <v>16601.565599999998</v>
      </c>
      <c r="AC592" s="6">
        <f>$M$592*$W$592</f>
        <v>0</v>
      </c>
      <c r="AD592" s="6">
        <f>$O$592*$X$592</f>
        <v>0</v>
      </c>
      <c r="AE592" s="6">
        <f ca="1">$K$592*$Y$592</f>
        <v>22784.358401515088</v>
      </c>
      <c r="AF592" s="6">
        <f>$M$592*$Z$592</f>
        <v>0</v>
      </c>
      <c r="AG592" s="6">
        <f>$O$592*$AA$592</f>
        <v>0</v>
      </c>
    </row>
    <row r="593" spans="1:33" ht="11.25" customHeight="1" x14ac:dyDescent="0.25">
      <c r="A593" s="4" t="s">
        <v>21</v>
      </c>
      <c r="B593" s="4" t="s">
        <v>33</v>
      </c>
      <c r="C593" s="4" t="s">
        <v>34</v>
      </c>
      <c r="D593" s="4" t="s">
        <v>50</v>
      </c>
      <c r="E593" s="4" t="s">
        <v>51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1419</v>
      </c>
      <c r="K593" s="52">
        <v>1419</v>
      </c>
      <c r="L593" s="6">
        <v>0</v>
      </c>
      <c r="M593" s="53">
        <v>0</v>
      </c>
      <c r="N593" s="6">
        <v>0</v>
      </c>
      <c r="O593" s="53">
        <v>0</v>
      </c>
      <c r="P593" s="6">
        <v>11</v>
      </c>
      <c r="Q593" s="4" t="s">
        <v>26</v>
      </c>
      <c r="R593" s="4">
        <v>0</v>
      </c>
      <c r="S593" s="6">
        <v>18</v>
      </c>
      <c r="T593" s="6">
        <v>0</v>
      </c>
      <c r="U593" s="6">
        <v>0</v>
      </c>
      <c r="V593" s="53">
        <f>IF(ISERROR(VLOOKUP($S$593,'TAR FIN'!$A$1:$O$103,15,0)),0,VLOOKUP($S$593,'TAR FIN'!$A$1:$O$103,15,0))*(1-0.06)</f>
        <v>11.674799999999999</v>
      </c>
      <c r="W593" s="53">
        <f>IF(ISERROR(VLOOKUP($T$593,'TAR FIN'!$A$1:$O$103,15,0)),0,VLOOKUP($T$593,'TAR FIN'!$A$1:$O$103,15,0))</f>
        <v>0</v>
      </c>
      <c r="X593" s="53">
        <f>IF(ISERROR(VLOOKUP($U$593,'TAR FIN'!$A$1:$O$103,15,0)),0,VLOOKUP($U$593,'TAR FIN'!$A$1:$O$103,15,0))</f>
        <v>0</v>
      </c>
      <c r="Y593" s="53">
        <f ca="1">('TUSD BE'!$AM$20+'TUSD BF'!$AM$20+'TUSD CVA'!$AM$20)*1*(1-0.03)</f>
        <v>16.022755556621018</v>
      </c>
      <c r="Z593" s="53"/>
      <c r="AA593" s="53"/>
      <c r="AB593" s="6">
        <f>$K$593*$V$593</f>
        <v>16566.5412</v>
      </c>
      <c r="AC593" s="6">
        <f>$M$593*$W$593</f>
        <v>0</v>
      </c>
      <c r="AD593" s="6">
        <f>$O$593*$X$593</f>
        <v>0</v>
      </c>
      <c r="AE593" s="6">
        <f ca="1">$K$593*$Y$593</f>
        <v>22736.290134845225</v>
      </c>
      <c r="AF593" s="6">
        <f>$M$593*$Z$593</f>
        <v>0</v>
      </c>
      <c r="AG593" s="6">
        <f>$O$593*$AA$593</f>
        <v>0</v>
      </c>
    </row>
    <row r="594" spans="1:33" ht="11.25" customHeight="1" x14ac:dyDescent="0.25">
      <c r="A594" s="4" t="s">
        <v>21</v>
      </c>
      <c r="B594" s="4" t="s">
        <v>33</v>
      </c>
      <c r="C594" s="4" t="s">
        <v>34</v>
      </c>
      <c r="D594" s="4" t="s">
        <v>50</v>
      </c>
      <c r="E594" s="4" t="s">
        <v>51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1408</v>
      </c>
      <c r="K594" s="52">
        <v>1408</v>
      </c>
      <c r="L594" s="6">
        <v>0</v>
      </c>
      <c r="M594" s="53">
        <v>0</v>
      </c>
      <c r="N594" s="6">
        <v>0</v>
      </c>
      <c r="O594" s="53">
        <v>0</v>
      </c>
      <c r="P594" s="6">
        <v>11</v>
      </c>
      <c r="Q594" s="4" t="s">
        <v>26</v>
      </c>
      <c r="R594" s="4">
        <v>0</v>
      </c>
      <c r="S594" s="6">
        <v>18</v>
      </c>
      <c r="T594" s="6">
        <v>0</v>
      </c>
      <c r="U594" s="6">
        <v>0</v>
      </c>
      <c r="V594" s="53">
        <f>IF(ISERROR(VLOOKUP($S$594,'TAR FIN'!$A$1:$O$103,15,0)),0,VLOOKUP($S$594,'TAR FIN'!$A$1:$O$103,15,0))*(1-0.06)</f>
        <v>11.674799999999999</v>
      </c>
      <c r="W594" s="53">
        <f>IF(ISERROR(VLOOKUP($T$594,'TAR FIN'!$A$1:$O$103,15,0)),0,VLOOKUP($T$594,'TAR FIN'!$A$1:$O$103,15,0))</f>
        <v>0</v>
      </c>
      <c r="X594" s="53">
        <f>IF(ISERROR(VLOOKUP($U$594,'TAR FIN'!$A$1:$O$103,15,0)),0,VLOOKUP($U$594,'TAR FIN'!$A$1:$O$103,15,0))</f>
        <v>0</v>
      </c>
      <c r="Y594" s="53">
        <f ca="1">('TUSD BE'!$AM$20+'TUSD BF'!$AM$20+'TUSD CVA'!$AM$20)*1*(1-0.03)</f>
        <v>16.022755556621018</v>
      </c>
      <c r="Z594" s="53"/>
      <c r="AA594" s="53"/>
      <c r="AB594" s="6">
        <f>$K$594*$V$594</f>
        <v>16438.118399999999</v>
      </c>
      <c r="AC594" s="6">
        <f>$M$594*$W$594</f>
        <v>0</v>
      </c>
      <c r="AD594" s="6">
        <f>$O$594*$X$594</f>
        <v>0</v>
      </c>
      <c r="AE594" s="6">
        <f ca="1">$K$594*$Y$594</f>
        <v>22560.039823722393</v>
      </c>
      <c r="AF594" s="6">
        <f>$M$594*$Z$594</f>
        <v>0</v>
      </c>
      <c r="AG594" s="6">
        <f>$O$594*$AA$594</f>
        <v>0</v>
      </c>
    </row>
    <row r="595" spans="1:33" ht="11.25" customHeight="1" x14ac:dyDescent="0.25">
      <c r="A595" s="4" t="s">
        <v>21</v>
      </c>
      <c r="B595" s="4" t="s">
        <v>33</v>
      </c>
      <c r="C595" s="4" t="s">
        <v>34</v>
      </c>
      <c r="D595" s="4" t="s">
        <v>50</v>
      </c>
      <c r="E595" s="4" t="s">
        <v>51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1384</v>
      </c>
      <c r="K595" s="52">
        <v>1384</v>
      </c>
      <c r="L595" s="6">
        <v>0</v>
      </c>
      <c r="M595" s="53">
        <v>0</v>
      </c>
      <c r="N595" s="6">
        <v>0</v>
      </c>
      <c r="O595" s="53">
        <v>0</v>
      </c>
      <c r="P595" s="6">
        <v>11</v>
      </c>
      <c r="Q595" s="4" t="s">
        <v>26</v>
      </c>
      <c r="R595" s="4">
        <v>0</v>
      </c>
      <c r="S595" s="6">
        <v>18</v>
      </c>
      <c r="T595" s="6">
        <v>0</v>
      </c>
      <c r="U595" s="6">
        <v>0</v>
      </c>
      <c r="V595" s="53">
        <f>IF(ISERROR(VLOOKUP($S$595,'TAR FIN'!$A$1:$O$103,15,0)),0,VLOOKUP($S$595,'TAR FIN'!$A$1:$O$103,15,0))*(1-0.06)</f>
        <v>11.674799999999999</v>
      </c>
      <c r="W595" s="53">
        <f>IF(ISERROR(VLOOKUP($T$595,'TAR FIN'!$A$1:$O$103,15,0)),0,VLOOKUP($T$595,'TAR FIN'!$A$1:$O$103,15,0))</f>
        <v>0</v>
      </c>
      <c r="X595" s="53">
        <f>IF(ISERROR(VLOOKUP($U$595,'TAR FIN'!$A$1:$O$103,15,0)),0,VLOOKUP($U$595,'TAR FIN'!$A$1:$O$103,15,0))</f>
        <v>0</v>
      </c>
      <c r="Y595" s="53">
        <f ca="1">('TUSD BE'!$AM$20+'TUSD BF'!$AM$20+'TUSD CVA'!$AM$20)*1*(1-0.03)</f>
        <v>16.022755556621018</v>
      </c>
      <c r="Z595" s="53"/>
      <c r="AA595" s="53"/>
      <c r="AB595" s="6">
        <f>$K$595*$V$595</f>
        <v>16157.923199999999</v>
      </c>
      <c r="AC595" s="6">
        <f>$M$595*$W$595</f>
        <v>0</v>
      </c>
      <c r="AD595" s="6">
        <f>$O$595*$X$595</f>
        <v>0</v>
      </c>
      <c r="AE595" s="6">
        <f ca="1">$K$595*$Y$595</f>
        <v>22175.493690363488</v>
      </c>
      <c r="AF595" s="6">
        <f>$M$595*$Z$595</f>
        <v>0</v>
      </c>
      <c r="AG595" s="6">
        <f>$O$595*$AA$595</f>
        <v>0</v>
      </c>
    </row>
    <row r="596" spans="1:33" ht="11.25" customHeight="1" x14ac:dyDescent="0.25">
      <c r="A596" s="4" t="s">
        <v>21</v>
      </c>
      <c r="B596" s="4" t="s">
        <v>33</v>
      </c>
      <c r="C596" s="4" t="s">
        <v>34</v>
      </c>
      <c r="D596" s="4" t="s">
        <v>50</v>
      </c>
      <c r="E596" s="4" t="s">
        <v>51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1423</v>
      </c>
      <c r="K596" s="52">
        <v>1423</v>
      </c>
      <c r="L596" s="6">
        <v>0</v>
      </c>
      <c r="M596" s="53">
        <v>0</v>
      </c>
      <c r="N596" s="6">
        <v>0</v>
      </c>
      <c r="O596" s="53">
        <v>0</v>
      </c>
      <c r="P596" s="6">
        <v>11</v>
      </c>
      <c r="Q596" s="4" t="s">
        <v>26</v>
      </c>
      <c r="R596" s="4">
        <v>0</v>
      </c>
      <c r="S596" s="6">
        <v>18</v>
      </c>
      <c r="T596" s="6">
        <v>0</v>
      </c>
      <c r="U596" s="6">
        <v>0</v>
      </c>
      <c r="V596" s="53">
        <f>IF(ISERROR(VLOOKUP($S$596,'TAR FIN'!$A$1:$O$103,15,0)),0,VLOOKUP($S$596,'TAR FIN'!$A$1:$O$103,15,0))*(1-0.06)</f>
        <v>11.674799999999999</v>
      </c>
      <c r="W596" s="53">
        <f>IF(ISERROR(VLOOKUP($T$596,'TAR FIN'!$A$1:$O$103,15,0)),0,VLOOKUP($T$596,'TAR FIN'!$A$1:$O$103,15,0))</f>
        <v>0</v>
      </c>
      <c r="X596" s="53">
        <f>IF(ISERROR(VLOOKUP($U$596,'TAR FIN'!$A$1:$O$103,15,0)),0,VLOOKUP($U$596,'TAR FIN'!$A$1:$O$103,15,0))</f>
        <v>0</v>
      </c>
      <c r="Y596" s="53">
        <f ca="1">('TUSD BE'!$AM$20+'TUSD BF'!$AM$20+'TUSD CVA'!$AM$20)*1*(1-0.03)</f>
        <v>16.022755556621018</v>
      </c>
      <c r="Z596" s="53"/>
      <c r="AA596" s="53"/>
      <c r="AB596" s="6">
        <f>$K$596*$V$596</f>
        <v>16613.240399999999</v>
      </c>
      <c r="AC596" s="6">
        <f>$M$596*$W$596</f>
        <v>0</v>
      </c>
      <c r="AD596" s="6">
        <f>$O$596*$X$596</f>
        <v>0</v>
      </c>
      <c r="AE596" s="6">
        <f ca="1">$K$596*$Y$596</f>
        <v>22800.381157071708</v>
      </c>
      <c r="AF596" s="6">
        <f>$M$596*$Z$596</f>
        <v>0</v>
      </c>
      <c r="AG596" s="6">
        <f>$O$596*$AA$596</f>
        <v>0</v>
      </c>
    </row>
    <row r="597" spans="1:33" ht="11.25" customHeight="1" x14ac:dyDescent="0.25">
      <c r="A597" s="4" t="s">
        <v>21</v>
      </c>
      <c r="B597" s="4" t="s">
        <v>33</v>
      </c>
      <c r="C597" s="4" t="s">
        <v>34</v>
      </c>
      <c r="D597" s="4" t="s">
        <v>50</v>
      </c>
      <c r="E597" s="4" t="s">
        <v>51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1426</v>
      </c>
      <c r="K597" s="52">
        <v>1426</v>
      </c>
      <c r="L597" s="6">
        <v>0</v>
      </c>
      <c r="M597" s="53">
        <v>0</v>
      </c>
      <c r="N597" s="6">
        <v>0</v>
      </c>
      <c r="O597" s="53">
        <v>0</v>
      </c>
      <c r="P597" s="6">
        <v>11</v>
      </c>
      <c r="Q597" s="4" t="s">
        <v>26</v>
      </c>
      <c r="R597" s="4">
        <v>0</v>
      </c>
      <c r="S597" s="6">
        <v>18</v>
      </c>
      <c r="T597" s="6">
        <v>0</v>
      </c>
      <c r="U597" s="6">
        <v>0</v>
      </c>
      <c r="V597" s="53">
        <f>IF(ISERROR(VLOOKUP($S$597,'TAR FIN'!$A$1:$O$103,15,0)),0,VLOOKUP($S$597,'TAR FIN'!$A$1:$O$103,15,0))*(1-0.06)</f>
        <v>11.674799999999999</v>
      </c>
      <c r="W597" s="53">
        <f>IF(ISERROR(VLOOKUP($T$597,'TAR FIN'!$A$1:$O$103,15,0)),0,VLOOKUP($T$597,'TAR FIN'!$A$1:$O$103,15,0))</f>
        <v>0</v>
      </c>
      <c r="X597" s="53">
        <f>IF(ISERROR(VLOOKUP($U$597,'TAR FIN'!$A$1:$O$103,15,0)),0,VLOOKUP($U$597,'TAR FIN'!$A$1:$O$103,15,0))</f>
        <v>0</v>
      </c>
      <c r="Y597" s="53">
        <f ca="1">('TUSD BE'!$AM$20+'TUSD BF'!$AM$20+'TUSD CVA'!$AM$20)*1*(1-0.03)</f>
        <v>16.022755556621018</v>
      </c>
      <c r="Z597" s="53"/>
      <c r="AA597" s="53"/>
      <c r="AB597" s="6">
        <f>$K$597*$V$597</f>
        <v>16648.264800000001</v>
      </c>
      <c r="AC597" s="6">
        <f>$M$597*$W$597</f>
        <v>0</v>
      </c>
      <c r="AD597" s="6">
        <f>$O$597*$X$597</f>
        <v>0</v>
      </c>
      <c r="AE597" s="6">
        <f ca="1">$K$597*$Y$597</f>
        <v>22848.449423741571</v>
      </c>
      <c r="AF597" s="6">
        <f>$M$597*$Z$597</f>
        <v>0</v>
      </c>
      <c r="AG597" s="6">
        <f>$O$597*$AA$597</f>
        <v>0</v>
      </c>
    </row>
    <row r="598" spans="1:33" ht="11.25" customHeight="1" x14ac:dyDescent="0.25">
      <c r="A598" s="4" t="s">
        <v>21</v>
      </c>
      <c r="B598" s="4" t="s">
        <v>33</v>
      </c>
      <c r="C598" s="4" t="s">
        <v>34</v>
      </c>
      <c r="D598" s="4" t="s">
        <v>50</v>
      </c>
      <c r="E598" s="4" t="s">
        <v>51</v>
      </c>
      <c r="F598" s="4" t="s">
        <v>25</v>
      </c>
      <c r="G598" s="4" t="s">
        <v>25</v>
      </c>
      <c r="H598" s="4" t="s">
        <v>37</v>
      </c>
      <c r="I598" s="5">
        <v>44348</v>
      </c>
      <c r="J598" s="6">
        <v>0</v>
      </c>
      <c r="K598" s="53">
        <v>0</v>
      </c>
      <c r="L598" s="6">
        <v>44.351999999999997</v>
      </c>
      <c r="M598" s="53">
        <v>44.351999999999997</v>
      </c>
      <c r="N598" s="6">
        <v>44.351999999999997</v>
      </c>
      <c r="O598" s="53">
        <v>44.351999999999997</v>
      </c>
      <c r="P598" s="6">
        <v>0</v>
      </c>
      <c r="Q598" s="4" t="s">
        <v>26</v>
      </c>
      <c r="R598" s="4">
        <v>0</v>
      </c>
      <c r="S598" s="6">
        <v>0</v>
      </c>
      <c r="T598" s="6">
        <v>19</v>
      </c>
      <c r="U598" s="6">
        <v>65</v>
      </c>
      <c r="V598" s="53">
        <f>IF(ISERROR(VLOOKUP($S$598,'TAR FIN'!$A$1:$O$103,15,0)),0,VLOOKUP($S$598,'TAR FIN'!$A$1:$O$103,15,0))</f>
        <v>0</v>
      </c>
      <c r="W598" s="53">
        <f>IF(ISERROR(VLOOKUP($T$598,'TAR FIN'!$A$1:$O$103,15,0)),0,VLOOKUP($T$598,'TAR FIN'!$A$1:$O$103,15,0))*(1-0.06)</f>
        <v>791.77139999999986</v>
      </c>
      <c r="X598" s="53">
        <f>IF(ISERROR(VLOOKUP($U$598,'TAR FIN'!$A$1:$O$103,15,0)),0,VLOOKUP($U$598,'TAR FIN'!$A$1:$O$103,15,0))*(1-0.06)</f>
        <v>427.60599999999994</v>
      </c>
      <c r="Y598" s="53"/>
      <c r="Z598" s="53">
        <f ca="1">('TUSD BE'!$AM$21+'TUSD BF'!$AM$21+'TUSD CVA'!$AM$21)*1*(1-0.03)</f>
        <v>1111.9887324983497</v>
      </c>
      <c r="AA598" s="53">
        <f>('TE BE'!$AB$8+'TE BF'!$AB$8+'TE CVA'!$AB$8)*1*(1-0.03)</f>
        <v>402.60285579025447</v>
      </c>
      <c r="AB598" s="6">
        <f>$K$598*$V$598</f>
        <v>0</v>
      </c>
      <c r="AC598" s="6">
        <f>$M$598*$W$598</f>
        <v>35116.645132799989</v>
      </c>
      <c r="AD598" s="6">
        <f>$O$598*$X$598</f>
        <v>18965.181311999997</v>
      </c>
      <c r="AE598" s="6">
        <f>$K$598*$Y$598</f>
        <v>0</v>
      </c>
      <c r="AF598" s="6">
        <f ca="1">$M$598*$Z$598</f>
        <v>49318.924263766799</v>
      </c>
      <c r="AG598" s="6">
        <f>$O$598*$AA$598</f>
        <v>17856.241860009366</v>
      </c>
    </row>
    <row r="599" spans="1:33" ht="11.25" customHeight="1" x14ac:dyDescent="0.25">
      <c r="A599" s="4" t="s">
        <v>21</v>
      </c>
      <c r="B599" s="4" t="s">
        <v>33</v>
      </c>
      <c r="C599" s="4" t="s">
        <v>34</v>
      </c>
      <c r="D599" s="4" t="s">
        <v>50</v>
      </c>
      <c r="E599" s="4" t="s">
        <v>51</v>
      </c>
      <c r="F599" s="4" t="s">
        <v>25</v>
      </c>
      <c r="G599" s="4" t="s">
        <v>25</v>
      </c>
      <c r="H599" s="4" t="s">
        <v>37</v>
      </c>
      <c r="I599" s="5">
        <v>44378</v>
      </c>
      <c r="J599" s="6">
        <v>0</v>
      </c>
      <c r="K599" s="53">
        <v>0</v>
      </c>
      <c r="L599" s="6">
        <v>41.981000000000002</v>
      </c>
      <c r="M599" s="53">
        <v>41.981000000000002</v>
      </c>
      <c r="N599" s="6">
        <v>41.981000000000002</v>
      </c>
      <c r="O599" s="53">
        <v>41.981000000000002</v>
      </c>
      <c r="P599" s="6">
        <v>0</v>
      </c>
      <c r="Q599" s="4" t="s">
        <v>26</v>
      </c>
      <c r="R599" s="4">
        <v>0</v>
      </c>
      <c r="S599" s="6">
        <v>0</v>
      </c>
      <c r="T599" s="6">
        <v>19</v>
      </c>
      <c r="U599" s="6">
        <v>65</v>
      </c>
      <c r="V599" s="53">
        <f>IF(ISERROR(VLOOKUP($S$599,'TAR FIN'!$A$1:$O$103,15,0)),0,VLOOKUP($S$599,'TAR FIN'!$A$1:$O$103,15,0))</f>
        <v>0</v>
      </c>
      <c r="W599" s="53">
        <f>IF(ISERROR(VLOOKUP($T$599,'TAR FIN'!$A$1:$O$103,15,0)),0,VLOOKUP($T$599,'TAR FIN'!$A$1:$O$103,15,0))*(1-0.06)</f>
        <v>791.77139999999986</v>
      </c>
      <c r="X599" s="53">
        <f>IF(ISERROR(VLOOKUP($U$599,'TAR FIN'!$A$1:$O$103,15,0)),0,VLOOKUP($U$599,'TAR FIN'!$A$1:$O$103,15,0))*(1-0.06)</f>
        <v>427.60599999999994</v>
      </c>
      <c r="Y599" s="53"/>
      <c r="Z599" s="53">
        <f ca="1">('TUSD BE'!$AM$21+'TUSD BF'!$AM$21+'TUSD CVA'!$AM$21)*1*(1-0.03)</f>
        <v>1111.9887324983497</v>
      </c>
      <c r="AA599" s="53">
        <f>('TE BE'!$AB$8+'TE BF'!$AB$8+'TE CVA'!$AB$8)*1*(1-0.03)</f>
        <v>402.60285579025447</v>
      </c>
      <c r="AB599" s="6">
        <f>$K$599*$V$599</f>
        <v>0</v>
      </c>
      <c r="AC599" s="6">
        <f>$M$599*$W$599</f>
        <v>33239.355143399996</v>
      </c>
      <c r="AD599" s="6">
        <f>$O$599*$X$599</f>
        <v>17951.327485999998</v>
      </c>
      <c r="AE599" s="6">
        <f>$K$599*$Y$599</f>
        <v>0</v>
      </c>
      <c r="AF599" s="6">
        <f ca="1">$M$599*$Z$599</f>
        <v>46682.398979013218</v>
      </c>
      <c r="AG599" s="6">
        <f>$O$599*$AA$599</f>
        <v>16901.670488930675</v>
      </c>
    </row>
    <row r="600" spans="1:33" ht="11.25" customHeight="1" x14ac:dyDescent="0.25">
      <c r="A600" s="4" t="s">
        <v>21</v>
      </c>
      <c r="B600" s="4" t="s">
        <v>33</v>
      </c>
      <c r="C600" s="4" t="s">
        <v>34</v>
      </c>
      <c r="D600" s="4" t="s">
        <v>50</v>
      </c>
      <c r="E600" s="4" t="s">
        <v>51</v>
      </c>
      <c r="F600" s="4" t="s">
        <v>25</v>
      </c>
      <c r="G600" s="4" t="s">
        <v>25</v>
      </c>
      <c r="H600" s="4" t="s">
        <v>37</v>
      </c>
      <c r="I600" s="5">
        <v>44409</v>
      </c>
      <c r="J600" s="6">
        <v>0</v>
      </c>
      <c r="K600" s="53">
        <v>0</v>
      </c>
      <c r="L600" s="6">
        <v>45.158000000000001</v>
      </c>
      <c r="M600" s="53">
        <v>45.158000000000001</v>
      </c>
      <c r="N600" s="6">
        <v>45.158000000000001</v>
      </c>
      <c r="O600" s="53">
        <v>45.158000000000001</v>
      </c>
      <c r="P600" s="6">
        <v>0</v>
      </c>
      <c r="Q600" s="4" t="s">
        <v>26</v>
      </c>
      <c r="R600" s="4">
        <v>0</v>
      </c>
      <c r="S600" s="6">
        <v>0</v>
      </c>
      <c r="T600" s="6">
        <v>19</v>
      </c>
      <c r="U600" s="6">
        <v>65</v>
      </c>
      <c r="V600" s="53">
        <f>IF(ISERROR(VLOOKUP($S$600,'TAR FIN'!$A$1:$O$103,15,0)),0,VLOOKUP($S$600,'TAR FIN'!$A$1:$O$103,15,0))</f>
        <v>0</v>
      </c>
      <c r="W600" s="53">
        <f>IF(ISERROR(VLOOKUP($T$600,'TAR FIN'!$A$1:$O$103,15,0)),0,VLOOKUP($T$600,'TAR FIN'!$A$1:$O$103,15,0))*(1-0.06)</f>
        <v>791.77139999999986</v>
      </c>
      <c r="X600" s="53">
        <f>IF(ISERROR(VLOOKUP($U$600,'TAR FIN'!$A$1:$O$103,15,0)),0,VLOOKUP($U$600,'TAR FIN'!$A$1:$O$103,15,0))*(1-0.06)</f>
        <v>427.60599999999994</v>
      </c>
      <c r="Y600" s="53"/>
      <c r="Z600" s="53">
        <f ca="1">('TUSD BE'!$AM$21+'TUSD BF'!$AM$21+'TUSD CVA'!$AM$21)*1*(1-0.03)</f>
        <v>1111.9887324983497</v>
      </c>
      <c r="AA600" s="53">
        <f>('TE BE'!$AB$8+'TE BF'!$AB$8+'TE CVA'!$AB$8)*1*(1-0.03)</f>
        <v>402.60285579025447</v>
      </c>
      <c r="AB600" s="6">
        <f>$K$600*$V$600</f>
        <v>0</v>
      </c>
      <c r="AC600" s="6">
        <f>$M$600*$W$600</f>
        <v>35754.812881199992</v>
      </c>
      <c r="AD600" s="6">
        <f>$O$600*$X$600</f>
        <v>19309.831747999997</v>
      </c>
      <c r="AE600" s="6">
        <f>$K$600*$Y$600</f>
        <v>0</v>
      </c>
      <c r="AF600" s="6">
        <f ca="1">$M$600*$Z$600</f>
        <v>50215.18718216048</v>
      </c>
      <c r="AG600" s="6">
        <f>$O$600*$AA$600</f>
        <v>18180.739761776313</v>
      </c>
    </row>
    <row r="601" spans="1:33" ht="11.25" customHeight="1" x14ac:dyDescent="0.25">
      <c r="A601" s="4" t="s">
        <v>21</v>
      </c>
      <c r="B601" s="4" t="s">
        <v>33</v>
      </c>
      <c r="C601" s="4" t="s">
        <v>34</v>
      </c>
      <c r="D601" s="4" t="s">
        <v>50</v>
      </c>
      <c r="E601" s="4" t="s">
        <v>51</v>
      </c>
      <c r="F601" s="4" t="s">
        <v>25</v>
      </c>
      <c r="G601" s="4" t="s">
        <v>25</v>
      </c>
      <c r="H601" s="4" t="s">
        <v>37</v>
      </c>
      <c r="I601" s="5">
        <v>44440</v>
      </c>
      <c r="J601" s="6">
        <v>0</v>
      </c>
      <c r="K601" s="53">
        <v>0</v>
      </c>
      <c r="L601" s="6">
        <v>42.091000000000001</v>
      </c>
      <c r="M601" s="53">
        <v>42.091000000000001</v>
      </c>
      <c r="N601" s="6">
        <v>42.091000000000001</v>
      </c>
      <c r="O601" s="53">
        <v>42.091000000000001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19</v>
      </c>
      <c r="U601" s="6">
        <v>65</v>
      </c>
      <c r="V601" s="53">
        <f>IF(ISERROR(VLOOKUP($S$601,'TAR FIN'!$A$1:$O$103,15,0)),0,VLOOKUP($S$601,'TAR FIN'!$A$1:$O$103,15,0))</f>
        <v>0</v>
      </c>
      <c r="W601" s="53">
        <f>IF(ISERROR(VLOOKUP($T$601,'TAR FIN'!$A$1:$O$103,15,0)),0,VLOOKUP($T$601,'TAR FIN'!$A$1:$O$103,15,0))*(1-0.06)</f>
        <v>791.77139999999986</v>
      </c>
      <c r="X601" s="53">
        <f>IF(ISERROR(VLOOKUP($U$601,'TAR FIN'!$A$1:$O$103,15,0)),0,VLOOKUP($U$601,'TAR FIN'!$A$1:$O$103,15,0))*(1-0.06)</f>
        <v>427.60599999999994</v>
      </c>
      <c r="Y601" s="53"/>
      <c r="Z601" s="53">
        <f ca="1">('TUSD BE'!$AM$21+'TUSD BF'!$AM$21+'TUSD CVA'!$AM$21)*1*(1-0.03)</f>
        <v>1111.9887324983497</v>
      </c>
      <c r="AA601" s="53">
        <f>('TE BE'!$AB$8+'TE BF'!$AB$8+'TE CVA'!$AB$8)*1*(1-0.03)</f>
        <v>402.60285579025447</v>
      </c>
      <c r="AB601" s="6">
        <f>$K$601*$V$601</f>
        <v>0</v>
      </c>
      <c r="AC601" s="6">
        <f>$M$601*$W$601</f>
        <v>33326.449997399992</v>
      </c>
      <c r="AD601" s="6">
        <f>$O$601*$X$601</f>
        <v>17998.364145999996</v>
      </c>
      <c r="AE601" s="6">
        <f>$K$601*$Y$601</f>
        <v>0</v>
      </c>
      <c r="AF601" s="6">
        <f ca="1">$M$601*$Z$601</f>
        <v>46804.717739588035</v>
      </c>
      <c r="AG601" s="6">
        <f>$O$601*$AA$601</f>
        <v>16945.956803067602</v>
      </c>
    </row>
    <row r="602" spans="1:33" ht="11.25" customHeight="1" x14ac:dyDescent="0.25">
      <c r="A602" s="4" t="s">
        <v>21</v>
      </c>
      <c r="B602" s="4" t="s">
        <v>33</v>
      </c>
      <c r="C602" s="4" t="s">
        <v>34</v>
      </c>
      <c r="D602" s="4" t="s">
        <v>50</v>
      </c>
      <c r="E602" s="4" t="s">
        <v>51</v>
      </c>
      <c r="F602" s="4" t="s">
        <v>25</v>
      </c>
      <c r="G602" s="4" t="s">
        <v>25</v>
      </c>
      <c r="H602" s="4" t="s">
        <v>37</v>
      </c>
      <c r="I602" s="5">
        <v>44470</v>
      </c>
      <c r="J602" s="6">
        <v>0</v>
      </c>
      <c r="K602" s="53">
        <v>0</v>
      </c>
      <c r="L602" s="6">
        <v>43.345999999999997</v>
      </c>
      <c r="M602" s="53">
        <v>43.345999999999997</v>
      </c>
      <c r="N602" s="6">
        <v>43.345999999999997</v>
      </c>
      <c r="O602" s="53">
        <v>43.345999999999997</v>
      </c>
      <c r="P602" s="6">
        <v>0</v>
      </c>
      <c r="Q602" s="4" t="s">
        <v>26</v>
      </c>
      <c r="R602" s="4">
        <v>0</v>
      </c>
      <c r="S602" s="6">
        <v>0</v>
      </c>
      <c r="T602" s="6">
        <v>19</v>
      </c>
      <c r="U602" s="6">
        <v>65</v>
      </c>
      <c r="V602" s="53">
        <f>IF(ISERROR(VLOOKUP($S$602,'TAR FIN'!$A$1:$O$103,15,0)),0,VLOOKUP($S$602,'TAR FIN'!$A$1:$O$103,15,0))</f>
        <v>0</v>
      </c>
      <c r="W602" s="53">
        <f>IF(ISERROR(VLOOKUP($T$602,'TAR FIN'!$A$1:$O$103,15,0)),0,VLOOKUP($T$602,'TAR FIN'!$A$1:$O$103,15,0))*(1-0.06)</f>
        <v>791.77139999999986</v>
      </c>
      <c r="X602" s="53">
        <f>IF(ISERROR(VLOOKUP($U$602,'TAR FIN'!$A$1:$O$103,15,0)),0,VLOOKUP($U$602,'TAR FIN'!$A$1:$O$103,15,0))*(1-0.06)</f>
        <v>427.60599999999994</v>
      </c>
      <c r="Y602" s="53"/>
      <c r="Z602" s="53">
        <f ca="1">('TUSD BE'!$AM$21+'TUSD BF'!$AM$21+'TUSD CVA'!$AM$21)*1*(1-0.03)</f>
        <v>1111.9887324983497</v>
      </c>
      <c r="AA602" s="53">
        <f>('TE BE'!$AB$8+'TE BF'!$AB$8+'TE CVA'!$AB$8)*1*(1-0.03)</f>
        <v>402.60285579025447</v>
      </c>
      <c r="AB602" s="6">
        <f>$K$602*$V$602</f>
        <v>0</v>
      </c>
      <c r="AC602" s="6">
        <f>$M$602*$W$602</f>
        <v>34320.123104399994</v>
      </c>
      <c r="AD602" s="6">
        <f>$O$602*$X$602</f>
        <v>18535.009675999994</v>
      </c>
      <c r="AE602" s="6">
        <f>$K$602*$Y$602</f>
        <v>0</v>
      </c>
      <c r="AF602" s="6">
        <f ca="1">$M$602*$Z$602</f>
        <v>48200.263598873462</v>
      </c>
      <c r="AG602" s="6">
        <f>$O$602*$AA$602</f>
        <v>17451.22338708437</v>
      </c>
    </row>
    <row r="603" spans="1:33" ht="11.25" customHeight="1" x14ac:dyDescent="0.25">
      <c r="A603" s="4" t="s">
        <v>21</v>
      </c>
      <c r="B603" s="4" t="s">
        <v>33</v>
      </c>
      <c r="C603" s="4" t="s">
        <v>34</v>
      </c>
      <c r="D603" s="4" t="s">
        <v>50</v>
      </c>
      <c r="E603" s="4" t="s">
        <v>51</v>
      </c>
      <c r="F603" s="4" t="s">
        <v>25</v>
      </c>
      <c r="G603" s="4" t="s">
        <v>25</v>
      </c>
      <c r="H603" s="4" t="s">
        <v>37</v>
      </c>
      <c r="I603" s="5">
        <v>44501</v>
      </c>
      <c r="J603" s="6">
        <v>0</v>
      </c>
      <c r="K603" s="53">
        <v>0</v>
      </c>
      <c r="L603" s="6">
        <v>44.795999999999999</v>
      </c>
      <c r="M603" s="53">
        <v>44.795999999999999</v>
      </c>
      <c r="N603" s="6">
        <v>44.795999999999999</v>
      </c>
      <c r="O603" s="53">
        <v>44.795999999999999</v>
      </c>
      <c r="P603" s="6">
        <v>0</v>
      </c>
      <c r="Q603" s="4" t="s">
        <v>26</v>
      </c>
      <c r="R603" s="4">
        <v>0</v>
      </c>
      <c r="S603" s="6">
        <v>0</v>
      </c>
      <c r="T603" s="6">
        <v>19</v>
      </c>
      <c r="U603" s="6">
        <v>65</v>
      </c>
      <c r="V603" s="53">
        <f>IF(ISERROR(VLOOKUP($S$603,'TAR FIN'!$A$1:$O$103,15,0)),0,VLOOKUP($S$603,'TAR FIN'!$A$1:$O$103,15,0))</f>
        <v>0</v>
      </c>
      <c r="W603" s="53">
        <f>IF(ISERROR(VLOOKUP($T$603,'TAR FIN'!$A$1:$O$103,15,0)),0,VLOOKUP($T$603,'TAR FIN'!$A$1:$O$103,15,0))*(1-0.06)</f>
        <v>791.77139999999986</v>
      </c>
      <c r="X603" s="53">
        <f>IF(ISERROR(VLOOKUP($U$603,'TAR FIN'!$A$1:$O$103,15,0)),0,VLOOKUP($U$603,'TAR FIN'!$A$1:$O$103,15,0))*(1-0.06)</f>
        <v>427.60599999999994</v>
      </c>
      <c r="Y603" s="53"/>
      <c r="Z603" s="53">
        <f ca="1">('TUSD BE'!$AM$21+'TUSD BF'!$AM$21+'TUSD CVA'!$AM$21)*1*(1-0.03)</f>
        <v>1111.9887324983497</v>
      </c>
      <c r="AA603" s="53">
        <f>('TE BE'!$AB$8+'TE BF'!$AB$8+'TE CVA'!$AB$8)*1*(1-0.03)</f>
        <v>402.60285579025447</v>
      </c>
      <c r="AB603" s="6">
        <f>$K$603*$V$603</f>
        <v>0</v>
      </c>
      <c r="AC603" s="6">
        <f>$M$603*$W$603</f>
        <v>35468.191634399991</v>
      </c>
      <c r="AD603" s="6">
        <f>$O$603*$X$603</f>
        <v>19155.038375999997</v>
      </c>
      <c r="AE603" s="6">
        <f>$K$603*$Y$603</f>
        <v>0</v>
      </c>
      <c r="AF603" s="6">
        <f ca="1">$M$603*$Z$603</f>
        <v>49812.647260996069</v>
      </c>
      <c r="AG603" s="6">
        <f>$O$603*$AA$603</f>
        <v>18034.997527980238</v>
      </c>
    </row>
    <row r="604" spans="1:33" ht="11.25" customHeight="1" x14ac:dyDescent="0.25">
      <c r="A604" s="4" t="s">
        <v>21</v>
      </c>
      <c r="B604" s="4" t="s">
        <v>33</v>
      </c>
      <c r="C604" s="4" t="s">
        <v>34</v>
      </c>
      <c r="D604" s="4" t="s">
        <v>50</v>
      </c>
      <c r="E604" s="4" t="s">
        <v>51</v>
      </c>
      <c r="F604" s="4" t="s">
        <v>25</v>
      </c>
      <c r="G604" s="4" t="s">
        <v>25</v>
      </c>
      <c r="H604" s="4" t="s">
        <v>37</v>
      </c>
      <c r="I604" s="5">
        <v>44531</v>
      </c>
      <c r="J604" s="6">
        <v>0</v>
      </c>
      <c r="K604" s="53">
        <v>0</v>
      </c>
      <c r="L604" s="6">
        <v>52.677</v>
      </c>
      <c r="M604" s="53">
        <v>52.677</v>
      </c>
      <c r="N604" s="6">
        <v>52.677</v>
      </c>
      <c r="O604" s="53">
        <v>52.677</v>
      </c>
      <c r="P604" s="6">
        <v>0</v>
      </c>
      <c r="Q604" s="4" t="s">
        <v>26</v>
      </c>
      <c r="R604" s="4">
        <v>0</v>
      </c>
      <c r="S604" s="6">
        <v>0</v>
      </c>
      <c r="T604" s="6">
        <v>19</v>
      </c>
      <c r="U604" s="6">
        <v>65</v>
      </c>
      <c r="V604" s="53">
        <f>IF(ISERROR(VLOOKUP($S$604,'TAR FIN'!$A$1:$O$103,15,0)),0,VLOOKUP($S$604,'TAR FIN'!$A$1:$O$103,15,0))</f>
        <v>0</v>
      </c>
      <c r="W604" s="53">
        <f>IF(ISERROR(VLOOKUP($T$604,'TAR FIN'!$A$1:$O$103,15,0)),0,VLOOKUP($T$604,'TAR FIN'!$A$1:$O$103,15,0))*(1-0.06)</f>
        <v>791.77139999999986</v>
      </c>
      <c r="X604" s="53">
        <f>IF(ISERROR(VLOOKUP($U$604,'TAR FIN'!$A$1:$O$103,15,0)),0,VLOOKUP($U$604,'TAR FIN'!$A$1:$O$103,15,0))*(1-0.06)</f>
        <v>427.60599999999994</v>
      </c>
      <c r="Y604" s="53"/>
      <c r="Z604" s="53">
        <f ca="1">('TUSD BE'!$AM$21+'TUSD BF'!$AM$21+'TUSD CVA'!$AM$21)*1*(1-0.03)</f>
        <v>1111.9887324983497</v>
      </c>
      <c r="AA604" s="53">
        <f>('TE BE'!$AB$8+'TE BF'!$AB$8+'TE CVA'!$AB$8)*1*(1-0.03)</f>
        <v>402.60285579025447</v>
      </c>
      <c r="AB604" s="6">
        <f>$K$604*$V$604</f>
        <v>0</v>
      </c>
      <c r="AC604" s="6">
        <f>$M$604*$W$604</f>
        <v>41708.142037799989</v>
      </c>
      <c r="AD604" s="6">
        <f>$O$604*$X$604</f>
        <v>22525.001261999998</v>
      </c>
      <c r="AE604" s="6">
        <f>$K$604*$Y$604</f>
        <v>0</v>
      </c>
      <c r="AF604" s="6">
        <f ca="1">$M$604*$Z$604</f>
        <v>58576.230461815569</v>
      </c>
      <c r="AG604" s="6">
        <f>$O$604*$AA$604</f>
        <v>21207.910634463235</v>
      </c>
    </row>
    <row r="605" spans="1:33" ht="11.25" customHeight="1" x14ac:dyDescent="0.25">
      <c r="A605" s="4" t="s">
        <v>21</v>
      </c>
      <c r="B605" s="4" t="s">
        <v>33</v>
      </c>
      <c r="C605" s="4" t="s">
        <v>34</v>
      </c>
      <c r="D605" s="4" t="s">
        <v>50</v>
      </c>
      <c r="E605" s="4" t="s">
        <v>51</v>
      </c>
      <c r="F605" s="4" t="s">
        <v>25</v>
      </c>
      <c r="G605" s="4" t="s">
        <v>25</v>
      </c>
      <c r="H605" s="4" t="s">
        <v>37</v>
      </c>
      <c r="I605" s="5">
        <v>44562</v>
      </c>
      <c r="J605" s="6">
        <v>0</v>
      </c>
      <c r="K605" s="53">
        <v>0</v>
      </c>
      <c r="L605" s="6">
        <v>49.811999999999998</v>
      </c>
      <c r="M605" s="53">
        <v>49.811999999999998</v>
      </c>
      <c r="N605" s="6">
        <v>49.811999999999998</v>
      </c>
      <c r="O605" s="53">
        <v>49.811999999999998</v>
      </c>
      <c r="P605" s="6">
        <v>0</v>
      </c>
      <c r="Q605" s="4" t="s">
        <v>26</v>
      </c>
      <c r="R605" s="4">
        <v>0</v>
      </c>
      <c r="S605" s="6">
        <v>0</v>
      </c>
      <c r="T605" s="6">
        <v>19</v>
      </c>
      <c r="U605" s="6">
        <v>65</v>
      </c>
      <c r="V605" s="53">
        <f>IF(ISERROR(VLOOKUP($S$605,'TAR FIN'!$A$1:$O$103,15,0)),0,VLOOKUP($S$605,'TAR FIN'!$A$1:$O$103,15,0))</f>
        <v>0</v>
      </c>
      <c r="W605" s="53">
        <f>IF(ISERROR(VLOOKUP($T$605,'TAR FIN'!$A$1:$O$103,15,0)),0,VLOOKUP($T$605,'TAR FIN'!$A$1:$O$103,15,0))*(1-0.06)</f>
        <v>791.77139999999986</v>
      </c>
      <c r="X605" s="53">
        <f>IF(ISERROR(VLOOKUP($U$605,'TAR FIN'!$A$1:$O$103,15,0)),0,VLOOKUP($U$605,'TAR FIN'!$A$1:$O$103,15,0))*(1-0.06)</f>
        <v>427.60599999999994</v>
      </c>
      <c r="Y605" s="53"/>
      <c r="Z605" s="53">
        <f ca="1">('TUSD BE'!$AM$21+'TUSD BF'!$AM$21+'TUSD CVA'!$AM$21)*1*(1-0.03)</f>
        <v>1111.9887324983497</v>
      </c>
      <c r="AA605" s="53">
        <f>('TE BE'!$AB$8+'TE BF'!$AB$8+'TE CVA'!$AB$8)*1*(1-0.03)</f>
        <v>402.60285579025447</v>
      </c>
      <c r="AB605" s="6">
        <f>$K$605*$V$605</f>
        <v>0</v>
      </c>
      <c r="AC605" s="6">
        <f>$M$605*$W$605</f>
        <v>39439.716976799988</v>
      </c>
      <c r="AD605" s="6">
        <f>$O$605*$X$605</f>
        <v>21299.910071999995</v>
      </c>
      <c r="AE605" s="6">
        <f>$K$605*$Y$605</f>
        <v>0</v>
      </c>
      <c r="AF605" s="6">
        <f ca="1">$M$605*$Z$605</f>
        <v>55390.382743207789</v>
      </c>
      <c r="AG605" s="6">
        <f>$O$605*$AA$605</f>
        <v>20054.453452624155</v>
      </c>
    </row>
    <row r="606" spans="1:33" ht="11.25" customHeight="1" x14ac:dyDescent="0.25">
      <c r="A606" s="4" t="s">
        <v>21</v>
      </c>
      <c r="B606" s="4" t="s">
        <v>33</v>
      </c>
      <c r="C606" s="4" t="s">
        <v>34</v>
      </c>
      <c r="D606" s="4" t="s">
        <v>50</v>
      </c>
      <c r="E606" s="4" t="s">
        <v>51</v>
      </c>
      <c r="F606" s="4" t="s">
        <v>25</v>
      </c>
      <c r="G606" s="4" t="s">
        <v>25</v>
      </c>
      <c r="H606" s="4" t="s">
        <v>37</v>
      </c>
      <c r="I606" s="5">
        <v>44593</v>
      </c>
      <c r="J606" s="6">
        <v>0</v>
      </c>
      <c r="K606" s="53">
        <v>0</v>
      </c>
      <c r="L606" s="6">
        <v>47.137999999999998</v>
      </c>
      <c r="M606" s="53">
        <v>47.137999999999998</v>
      </c>
      <c r="N606" s="6">
        <v>47.137999999999998</v>
      </c>
      <c r="O606" s="53">
        <v>47.137999999999998</v>
      </c>
      <c r="P606" s="6">
        <v>0</v>
      </c>
      <c r="Q606" s="4" t="s">
        <v>26</v>
      </c>
      <c r="R606" s="4">
        <v>0</v>
      </c>
      <c r="S606" s="6">
        <v>0</v>
      </c>
      <c r="T606" s="6">
        <v>19</v>
      </c>
      <c r="U606" s="6">
        <v>65</v>
      </c>
      <c r="V606" s="53">
        <f>IF(ISERROR(VLOOKUP($S$606,'TAR FIN'!$A$1:$O$103,15,0)),0,VLOOKUP($S$606,'TAR FIN'!$A$1:$O$103,15,0))</f>
        <v>0</v>
      </c>
      <c r="W606" s="53">
        <f>IF(ISERROR(VLOOKUP($T$606,'TAR FIN'!$A$1:$O$103,15,0)),0,VLOOKUP($T$606,'TAR FIN'!$A$1:$O$103,15,0))*(1-0.06)</f>
        <v>791.77139999999986</v>
      </c>
      <c r="X606" s="53">
        <f>IF(ISERROR(VLOOKUP($U$606,'TAR FIN'!$A$1:$O$103,15,0)),0,VLOOKUP($U$606,'TAR FIN'!$A$1:$O$103,15,0))*(1-0.06)</f>
        <v>427.60599999999994</v>
      </c>
      <c r="Y606" s="53"/>
      <c r="Z606" s="53">
        <f ca="1">('TUSD BE'!$AM$21+'TUSD BF'!$AM$21+'TUSD CVA'!$AM$21)*1*(1-0.03)</f>
        <v>1111.9887324983497</v>
      </c>
      <c r="AA606" s="53">
        <f>('TE BE'!$AB$8+'TE BF'!$AB$8+'TE CVA'!$AB$8)*1*(1-0.03)</f>
        <v>402.60285579025447</v>
      </c>
      <c r="AB606" s="6">
        <f>$K$606*$V$606</f>
        <v>0</v>
      </c>
      <c r="AC606" s="6">
        <f>$M$606*$W$606</f>
        <v>37322.520253199989</v>
      </c>
      <c r="AD606" s="6">
        <f>$O$606*$X$606</f>
        <v>20156.491627999996</v>
      </c>
      <c r="AE606" s="6">
        <f>$K$606*$Y$606</f>
        <v>0</v>
      </c>
      <c r="AF606" s="6">
        <f ca="1">$M$606*$Z$606</f>
        <v>52416.924872507203</v>
      </c>
      <c r="AG606" s="6">
        <f>$O$606*$AA$606</f>
        <v>18977.893416241015</v>
      </c>
    </row>
    <row r="607" spans="1:33" ht="11.25" customHeight="1" x14ac:dyDescent="0.25">
      <c r="A607" s="4" t="s">
        <v>21</v>
      </c>
      <c r="B607" s="4" t="s">
        <v>33</v>
      </c>
      <c r="C607" s="4" t="s">
        <v>34</v>
      </c>
      <c r="D607" s="4" t="s">
        <v>50</v>
      </c>
      <c r="E607" s="4" t="s">
        <v>51</v>
      </c>
      <c r="F607" s="4" t="s">
        <v>25</v>
      </c>
      <c r="G607" s="4" t="s">
        <v>25</v>
      </c>
      <c r="H607" s="4" t="s">
        <v>37</v>
      </c>
      <c r="I607" s="5">
        <v>44621</v>
      </c>
      <c r="J607" s="6">
        <v>0</v>
      </c>
      <c r="K607" s="53">
        <v>0</v>
      </c>
      <c r="L607" s="6">
        <v>44.237000000000002</v>
      </c>
      <c r="M607" s="53">
        <v>44.237000000000002</v>
      </c>
      <c r="N607" s="6">
        <v>44.237000000000002</v>
      </c>
      <c r="O607" s="53">
        <v>44.237000000000002</v>
      </c>
      <c r="P607" s="6">
        <v>0</v>
      </c>
      <c r="Q607" s="4" t="s">
        <v>26</v>
      </c>
      <c r="R607" s="4">
        <v>0</v>
      </c>
      <c r="S607" s="6">
        <v>0</v>
      </c>
      <c r="T607" s="6">
        <v>19</v>
      </c>
      <c r="U607" s="6">
        <v>65</v>
      </c>
      <c r="V607" s="53">
        <f>IF(ISERROR(VLOOKUP($S$607,'TAR FIN'!$A$1:$O$103,15,0)),0,VLOOKUP($S$607,'TAR FIN'!$A$1:$O$103,15,0))</f>
        <v>0</v>
      </c>
      <c r="W607" s="53">
        <f>IF(ISERROR(VLOOKUP($T$607,'TAR FIN'!$A$1:$O$103,15,0)),0,VLOOKUP($T$607,'TAR FIN'!$A$1:$O$103,15,0))*(1-0.06)</f>
        <v>791.77139999999986</v>
      </c>
      <c r="X607" s="53">
        <f>IF(ISERROR(VLOOKUP($U$607,'TAR FIN'!$A$1:$O$103,15,0)),0,VLOOKUP($U$607,'TAR FIN'!$A$1:$O$103,15,0))*(1-0.06)</f>
        <v>427.60599999999994</v>
      </c>
      <c r="Y607" s="53"/>
      <c r="Z607" s="53">
        <f ca="1">('TUSD BE'!$AM$21+'TUSD BF'!$AM$21+'TUSD CVA'!$AM$21)*1*(1-0.03)</f>
        <v>1111.9887324983497</v>
      </c>
      <c r="AA607" s="53">
        <f>('TE BE'!$AB$8+'TE BF'!$AB$8+'TE CVA'!$AB$8)*1*(1-0.03)</f>
        <v>402.60285579025447</v>
      </c>
      <c r="AB607" s="6">
        <f>$K$607*$V$607</f>
        <v>0</v>
      </c>
      <c r="AC607" s="6">
        <f>$M$607*$W$607</f>
        <v>35025.591421799996</v>
      </c>
      <c r="AD607" s="6">
        <f>$O$607*$X$607</f>
        <v>18916.006621999997</v>
      </c>
      <c r="AE607" s="6">
        <f>$K$607*$Y$607</f>
        <v>0</v>
      </c>
      <c r="AF607" s="6">
        <f ca="1">$M$607*$Z$607</f>
        <v>49191.045559529499</v>
      </c>
      <c r="AG607" s="6">
        <f>$O$607*$AA$607</f>
        <v>17809.942531593486</v>
      </c>
    </row>
    <row r="608" spans="1:33" ht="11.25" customHeight="1" x14ac:dyDescent="0.25">
      <c r="A608" s="4" t="s">
        <v>21</v>
      </c>
      <c r="B608" s="4" t="s">
        <v>33</v>
      </c>
      <c r="C608" s="4" t="s">
        <v>34</v>
      </c>
      <c r="D608" s="4" t="s">
        <v>50</v>
      </c>
      <c r="E608" s="4" t="s">
        <v>51</v>
      </c>
      <c r="F608" s="4" t="s">
        <v>25</v>
      </c>
      <c r="G608" s="4" t="s">
        <v>25</v>
      </c>
      <c r="H608" s="4" t="s">
        <v>37</v>
      </c>
      <c r="I608" s="5">
        <v>44652</v>
      </c>
      <c r="J608" s="6">
        <v>0</v>
      </c>
      <c r="K608" s="53">
        <v>0</v>
      </c>
      <c r="L608" s="6">
        <v>45.927999999999997</v>
      </c>
      <c r="M608" s="53">
        <v>45.927999999999997</v>
      </c>
      <c r="N608" s="6">
        <v>45.927999999999997</v>
      </c>
      <c r="O608" s="53">
        <v>45.927999999999997</v>
      </c>
      <c r="P608" s="6">
        <v>0</v>
      </c>
      <c r="Q608" s="4" t="s">
        <v>26</v>
      </c>
      <c r="R608" s="4">
        <v>0</v>
      </c>
      <c r="S608" s="6">
        <v>0</v>
      </c>
      <c r="T608" s="6">
        <v>19</v>
      </c>
      <c r="U608" s="6">
        <v>65</v>
      </c>
      <c r="V608" s="53">
        <f>IF(ISERROR(VLOOKUP($S$608,'TAR FIN'!$A$1:$O$103,15,0)),0,VLOOKUP($S$608,'TAR FIN'!$A$1:$O$103,15,0))</f>
        <v>0</v>
      </c>
      <c r="W608" s="53">
        <f>IF(ISERROR(VLOOKUP($T$608,'TAR FIN'!$A$1:$O$103,15,0)),0,VLOOKUP($T$608,'TAR FIN'!$A$1:$O$103,15,0))*(1-0.06)</f>
        <v>791.77139999999986</v>
      </c>
      <c r="X608" s="53">
        <f>IF(ISERROR(VLOOKUP($U$608,'TAR FIN'!$A$1:$O$103,15,0)),0,VLOOKUP($U$608,'TAR FIN'!$A$1:$O$103,15,0))*(1-0.06)</f>
        <v>427.60599999999994</v>
      </c>
      <c r="Y608" s="53"/>
      <c r="Z608" s="53">
        <f ca="1">('TUSD BE'!$AM$21+'TUSD BF'!$AM$21+'TUSD CVA'!$AM$21)*1*(1-0.03)</f>
        <v>1111.9887324983497</v>
      </c>
      <c r="AA608" s="53">
        <f>('TE BE'!$AB$8+'TE BF'!$AB$8+'TE CVA'!$AB$8)*1*(1-0.03)</f>
        <v>402.60285579025447</v>
      </c>
      <c r="AB608" s="6">
        <f>$K$608*$V$608</f>
        <v>0</v>
      </c>
      <c r="AC608" s="6">
        <f>$M$608*$W$608</f>
        <v>36364.476859199989</v>
      </c>
      <c r="AD608" s="6">
        <f>$O$608*$X$608</f>
        <v>19639.088367999997</v>
      </c>
      <c r="AE608" s="6">
        <f>$K$608*$Y$608</f>
        <v>0</v>
      </c>
      <c r="AF608" s="6">
        <f ca="1">$M$608*$Z$608</f>
        <v>51071.4185061842</v>
      </c>
      <c r="AG608" s="6">
        <f>$O$608*$AA$608</f>
        <v>18490.743960734806</v>
      </c>
    </row>
    <row r="609" spans="1:33" ht="11.25" customHeight="1" x14ac:dyDescent="0.25">
      <c r="A609" s="4" t="s">
        <v>21</v>
      </c>
      <c r="B609" s="4" t="s">
        <v>33</v>
      </c>
      <c r="C609" s="4" t="s">
        <v>34</v>
      </c>
      <c r="D609" s="4" t="s">
        <v>50</v>
      </c>
      <c r="E609" s="4" t="s">
        <v>51</v>
      </c>
      <c r="F609" s="4" t="s">
        <v>25</v>
      </c>
      <c r="G609" s="4" t="s">
        <v>25</v>
      </c>
      <c r="H609" s="4" t="s">
        <v>37</v>
      </c>
      <c r="I609" s="5">
        <v>44682</v>
      </c>
      <c r="J609" s="6">
        <v>0</v>
      </c>
      <c r="K609" s="53">
        <v>0</v>
      </c>
      <c r="L609" s="6">
        <v>52.463999999999999</v>
      </c>
      <c r="M609" s="53">
        <v>52.463999999999999</v>
      </c>
      <c r="N609" s="6">
        <v>52.463999999999999</v>
      </c>
      <c r="O609" s="53">
        <v>52.463999999999999</v>
      </c>
      <c r="P609" s="6">
        <v>0</v>
      </c>
      <c r="Q609" s="4" t="s">
        <v>26</v>
      </c>
      <c r="R609" s="4">
        <v>0</v>
      </c>
      <c r="S609" s="6">
        <v>0</v>
      </c>
      <c r="T609" s="6">
        <v>19</v>
      </c>
      <c r="U609" s="6">
        <v>65</v>
      </c>
      <c r="V609" s="53">
        <f>IF(ISERROR(VLOOKUP($S$609,'TAR FIN'!$A$1:$O$103,15,0)),0,VLOOKUP($S$609,'TAR FIN'!$A$1:$O$103,15,0))</f>
        <v>0</v>
      </c>
      <c r="W609" s="53">
        <f>IF(ISERROR(VLOOKUP($T$609,'TAR FIN'!$A$1:$O$103,15,0)),0,VLOOKUP($T$609,'TAR FIN'!$A$1:$O$103,15,0))*(1-0.06)</f>
        <v>791.77139999999986</v>
      </c>
      <c r="X609" s="53">
        <f>IF(ISERROR(VLOOKUP($U$609,'TAR FIN'!$A$1:$O$103,15,0)),0,VLOOKUP($U$609,'TAR FIN'!$A$1:$O$103,15,0))*(1-0.06)</f>
        <v>427.60599999999994</v>
      </c>
      <c r="Y609" s="53"/>
      <c r="Z609" s="53">
        <f ca="1">('TUSD BE'!$AM$21+'TUSD BF'!$AM$21+'TUSD CVA'!$AM$21)*1*(1-0.03)</f>
        <v>1111.9887324983497</v>
      </c>
      <c r="AA609" s="53">
        <f>('TE BE'!$AB$8+'TE BF'!$AB$8+'TE CVA'!$AB$8)*1*(1-0.03)</f>
        <v>402.60285579025447</v>
      </c>
      <c r="AB609" s="6">
        <f>$K$609*$V$609</f>
        <v>0</v>
      </c>
      <c r="AC609" s="6">
        <f>$M$609*$W$609</f>
        <v>41539.494729599988</v>
      </c>
      <c r="AD609" s="6">
        <f>$O$609*$X$609</f>
        <v>22433.921183999995</v>
      </c>
      <c r="AE609" s="6">
        <f>$K$609*$Y$609</f>
        <v>0</v>
      </c>
      <c r="AF609" s="6">
        <f ca="1">$M$609*$Z$609</f>
        <v>58339.376861793418</v>
      </c>
      <c r="AG609" s="6">
        <f>$O$609*$AA$609</f>
        <v>21122.156226179908</v>
      </c>
    </row>
    <row r="610" spans="1:33" ht="11.25" customHeight="1" x14ac:dyDescent="0.25">
      <c r="A610" s="4" t="s">
        <v>21</v>
      </c>
      <c r="B610" s="4" t="s">
        <v>22</v>
      </c>
      <c r="C610" s="4" t="s">
        <v>36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35</v>
      </c>
      <c r="I610" s="5">
        <v>44348</v>
      </c>
      <c r="J610" s="6">
        <v>0</v>
      </c>
      <c r="K610" s="6">
        <v>0</v>
      </c>
      <c r="L610" s="6">
        <v>2.1080000000000001</v>
      </c>
      <c r="M610" s="6">
        <v>2.1080000000000001</v>
      </c>
      <c r="N610" s="6">
        <v>2.1080000000000001</v>
      </c>
      <c r="O610" s="6">
        <v>2.1080000000000001</v>
      </c>
      <c r="P610" s="6">
        <v>0</v>
      </c>
      <c r="Q610" s="4" t="s">
        <v>26</v>
      </c>
      <c r="R610" s="4">
        <v>0</v>
      </c>
      <c r="S610" s="6">
        <v>0</v>
      </c>
      <c r="T610" s="6">
        <v>29</v>
      </c>
      <c r="U610" s="6">
        <v>70</v>
      </c>
      <c r="V610" s="6">
        <f>IF(ISERROR(VLOOKUP($S$610,'TAR FIN'!$A$1:$O$103,15,0)),0,VLOOKUP($S$610,'TAR FIN'!$A$1:$O$103,15,0))</f>
        <v>0</v>
      </c>
      <c r="W610" s="6">
        <f>IF(ISERROR(VLOOKUP($T$610,'TAR FIN'!$A$1:$O$103,15,0)),0,VLOOKUP($T$610,'TAR FIN'!$A$1:$O$103,15,0))</f>
        <v>198.56</v>
      </c>
      <c r="X610" s="6">
        <f>IF(ISERROR(VLOOKUP($U$610,'TAR FIN'!$A$1:$O$103,15,0)),0,VLOOKUP($U$610,'TAR FIN'!$A$1:$O$103,15,0))</f>
        <v>275.36</v>
      </c>
      <c r="Y610" s="6"/>
      <c r="Z610" s="6">
        <f ca="1">('TUSD BE'!$AM$29+'TUSD BF'!$AM$29+'TUSD CVA'!$AM$29)*1</f>
        <v>201.61836856290807</v>
      </c>
      <c r="AA610" s="6">
        <f>('TE BE'!$AB$13+'TE BF'!$AB$13+'TE CVA'!$AB$13)*1</f>
        <v>259.03677522481752</v>
      </c>
      <c r="AB610" s="6">
        <f>$K$610*$V$610</f>
        <v>0</v>
      </c>
      <c r="AC610" s="6">
        <f>$M$610*$W$610</f>
        <v>418.56448</v>
      </c>
      <c r="AD610" s="6">
        <f>$O$610*$X$610</f>
        <v>580.45888000000002</v>
      </c>
      <c r="AE610" s="6">
        <f>$K$610*$Y$610</f>
        <v>0</v>
      </c>
      <c r="AF610" s="6">
        <f ca="1">$M$610*$Z$610</f>
        <v>425.01152093061023</v>
      </c>
      <c r="AG610" s="6">
        <f>$O$610*$AA$610</f>
        <v>546.04952217391531</v>
      </c>
    </row>
    <row r="611" spans="1:33" ht="11.25" customHeight="1" x14ac:dyDescent="0.25">
      <c r="A611" s="4" t="s">
        <v>21</v>
      </c>
      <c r="B611" s="4" t="s">
        <v>22</v>
      </c>
      <c r="C611" s="4" t="s">
        <v>36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35</v>
      </c>
      <c r="I611" s="5">
        <v>44378</v>
      </c>
      <c r="J611" s="6">
        <v>0</v>
      </c>
      <c r="K611" s="6">
        <v>0</v>
      </c>
      <c r="L611" s="6">
        <v>2.0760000000000001</v>
      </c>
      <c r="M611" s="6">
        <v>2.0760000000000001</v>
      </c>
      <c r="N611" s="6">
        <v>2.0760000000000001</v>
      </c>
      <c r="O611" s="6">
        <v>2.0760000000000001</v>
      </c>
      <c r="P611" s="6">
        <v>0</v>
      </c>
      <c r="Q611" s="4" t="s">
        <v>26</v>
      </c>
      <c r="R611" s="4">
        <v>0</v>
      </c>
      <c r="S611" s="6">
        <v>0</v>
      </c>
      <c r="T611" s="6">
        <v>29</v>
      </c>
      <c r="U611" s="6">
        <v>70</v>
      </c>
      <c r="V611" s="6">
        <f>IF(ISERROR(VLOOKUP($S$611,'TAR FIN'!$A$1:$O$103,15,0)),0,VLOOKUP($S$611,'TAR FIN'!$A$1:$O$103,15,0))</f>
        <v>0</v>
      </c>
      <c r="W611" s="6">
        <f>IF(ISERROR(VLOOKUP($T$611,'TAR FIN'!$A$1:$O$103,15,0)),0,VLOOKUP($T$611,'TAR FIN'!$A$1:$O$103,15,0))</f>
        <v>198.56</v>
      </c>
      <c r="X611" s="6">
        <f>IF(ISERROR(VLOOKUP($U$611,'TAR FIN'!$A$1:$O$103,15,0)),0,VLOOKUP($U$611,'TAR FIN'!$A$1:$O$103,15,0))</f>
        <v>275.36</v>
      </c>
      <c r="Y611" s="6"/>
      <c r="Z611" s="6">
        <f ca="1">('TUSD BE'!$AM$29+'TUSD BF'!$AM$29+'TUSD CVA'!$AM$29)*1</f>
        <v>201.61836856290807</v>
      </c>
      <c r="AA611" s="6">
        <f>('TE BE'!$AB$13+'TE BF'!$AB$13+'TE CVA'!$AB$13)*1</f>
        <v>259.03677522481752</v>
      </c>
      <c r="AB611" s="6">
        <f>$K$611*$V$611</f>
        <v>0</v>
      </c>
      <c r="AC611" s="6">
        <f>$M$611*$W$611</f>
        <v>412.21056000000004</v>
      </c>
      <c r="AD611" s="6">
        <f>$O$611*$X$611</f>
        <v>571.64736000000005</v>
      </c>
      <c r="AE611" s="6">
        <f>$K$611*$Y$611</f>
        <v>0</v>
      </c>
      <c r="AF611" s="6">
        <f ca="1">$M$611*$Z$611</f>
        <v>418.55973313659717</v>
      </c>
      <c r="AG611" s="6">
        <f>$O$611*$AA$611</f>
        <v>537.76034536672114</v>
      </c>
    </row>
    <row r="612" spans="1:33" ht="11.25" customHeight="1" x14ac:dyDescent="0.25">
      <c r="A612" s="4" t="s">
        <v>21</v>
      </c>
      <c r="B612" s="4" t="s">
        <v>22</v>
      </c>
      <c r="C612" s="4" t="s">
        <v>36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35</v>
      </c>
      <c r="I612" s="5">
        <v>44409</v>
      </c>
      <c r="J612" s="6">
        <v>0</v>
      </c>
      <c r="K612" s="6">
        <v>0</v>
      </c>
      <c r="L612" s="6">
        <v>1.903</v>
      </c>
      <c r="M612" s="6">
        <v>1.903</v>
      </c>
      <c r="N612" s="6">
        <v>1.903</v>
      </c>
      <c r="O612" s="6">
        <v>1.903</v>
      </c>
      <c r="P612" s="6">
        <v>0</v>
      </c>
      <c r="Q612" s="4" t="s">
        <v>26</v>
      </c>
      <c r="R612" s="4">
        <v>0</v>
      </c>
      <c r="S612" s="6">
        <v>0</v>
      </c>
      <c r="T612" s="6">
        <v>29</v>
      </c>
      <c r="U612" s="6">
        <v>70</v>
      </c>
      <c r="V612" s="6">
        <f>IF(ISERROR(VLOOKUP($S$612,'TAR FIN'!$A$1:$O$103,15,0)),0,VLOOKUP($S$612,'TAR FIN'!$A$1:$O$103,15,0))</f>
        <v>0</v>
      </c>
      <c r="W612" s="6">
        <f>IF(ISERROR(VLOOKUP($T$612,'TAR FIN'!$A$1:$O$103,15,0)),0,VLOOKUP($T$612,'TAR FIN'!$A$1:$O$103,15,0))</f>
        <v>198.56</v>
      </c>
      <c r="X612" s="6">
        <f>IF(ISERROR(VLOOKUP($U$612,'TAR FIN'!$A$1:$O$103,15,0)),0,VLOOKUP($U$612,'TAR FIN'!$A$1:$O$103,15,0))</f>
        <v>275.36</v>
      </c>
      <c r="Y612" s="6"/>
      <c r="Z612" s="6">
        <f ca="1">('TUSD BE'!$AM$29+'TUSD BF'!$AM$29+'TUSD CVA'!$AM$29)*1</f>
        <v>201.61836856290807</v>
      </c>
      <c r="AA612" s="6">
        <f>('TE BE'!$AB$13+'TE BF'!$AB$13+'TE CVA'!$AB$13)*1</f>
        <v>259.03677522481752</v>
      </c>
      <c r="AB612" s="6">
        <f>$K$612*$V$612</f>
        <v>0</v>
      </c>
      <c r="AC612" s="6">
        <f>$M$612*$W$612</f>
        <v>377.85968000000003</v>
      </c>
      <c r="AD612" s="6">
        <f>$O$612*$X$612</f>
        <v>524.01008000000002</v>
      </c>
      <c r="AE612" s="6">
        <f>$K$612*$Y$612</f>
        <v>0</v>
      </c>
      <c r="AF612" s="6">
        <f ca="1">$M$612*$Z$612</f>
        <v>383.67975537521409</v>
      </c>
      <c r="AG612" s="6">
        <f>$O$612*$AA$612</f>
        <v>492.94698325282775</v>
      </c>
    </row>
    <row r="613" spans="1:33" ht="11.25" customHeight="1" x14ac:dyDescent="0.25">
      <c r="A613" s="4" t="s">
        <v>21</v>
      </c>
      <c r="B613" s="4" t="s">
        <v>22</v>
      </c>
      <c r="C613" s="4" t="s">
        <v>36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35</v>
      </c>
      <c r="I613" s="5">
        <v>44440</v>
      </c>
      <c r="J613" s="6">
        <v>0</v>
      </c>
      <c r="K613" s="6">
        <v>0</v>
      </c>
      <c r="L613" s="6">
        <v>1.9359999999999999</v>
      </c>
      <c r="M613" s="6">
        <v>1.9359999999999999</v>
      </c>
      <c r="N613" s="6">
        <v>1.9359999999999999</v>
      </c>
      <c r="O613" s="6">
        <v>1.9359999999999999</v>
      </c>
      <c r="P613" s="6">
        <v>0</v>
      </c>
      <c r="Q613" s="4" t="s">
        <v>26</v>
      </c>
      <c r="R613" s="4">
        <v>0</v>
      </c>
      <c r="S613" s="6">
        <v>0</v>
      </c>
      <c r="T613" s="6">
        <v>29</v>
      </c>
      <c r="U613" s="6">
        <v>70</v>
      </c>
      <c r="V613" s="6">
        <f>IF(ISERROR(VLOOKUP($S$613,'TAR FIN'!$A$1:$O$103,15,0)),0,VLOOKUP($S$613,'TAR FIN'!$A$1:$O$103,15,0))</f>
        <v>0</v>
      </c>
      <c r="W613" s="6">
        <f>IF(ISERROR(VLOOKUP($T$613,'TAR FIN'!$A$1:$O$103,15,0)),0,VLOOKUP($T$613,'TAR FIN'!$A$1:$O$103,15,0))</f>
        <v>198.56</v>
      </c>
      <c r="X613" s="6">
        <f>IF(ISERROR(VLOOKUP($U$613,'TAR FIN'!$A$1:$O$103,15,0)),0,VLOOKUP($U$613,'TAR FIN'!$A$1:$O$103,15,0))</f>
        <v>275.36</v>
      </c>
      <c r="Y613" s="6"/>
      <c r="Z613" s="6">
        <f ca="1">('TUSD BE'!$AM$29+'TUSD BF'!$AM$29+'TUSD CVA'!$AM$29)*1</f>
        <v>201.61836856290807</v>
      </c>
      <c r="AA613" s="6">
        <f>('TE BE'!$AB$13+'TE BF'!$AB$13+'TE CVA'!$AB$13)*1</f>
        <v>259.03677522481752</v>
      </c>
      <c r="AB613" s="6">
        <f>$K$613*$V$613</f>
        <v>0</v>
      </c>
      <c r="AC613" s="6">
        <f>$M$613*$W$613</f>
        <v>384.41215999999997</v>
      </c>
      <c r="AD613" s="6">
        <f>$O$613*$X$613</f>
        <v>533.09695999999997</v>
      </c>
      <c r="AE613" s="6">
        <f>$K$613*$Y$613</f>
        <v>0</v>
      </c>
      <c r="AF613" s="6">
        <f ca="1">$M$613*$Z$613</f>
        <v>390.33316153779003</v>
      </c>
      <c r="AG613" s="6">
        <f>$O$613*$AA$613</f>
        <v>501.4951968352467</v>
      </c>
    </row>
    <row r="614" spans="1:33" ht="11.25" customHeight="1" x14ac:dyDescent="0.25">
      <c r="A614" s="4" t="s">
        <v>21</v>
      </c>
      <c r="B614" s="4" t="s">
        <v>22</v>
      </c>
      <c r="C614" s="4" t="s">
        <v>36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35</v>
      </c>
      <c r="I614" s="5">
        <v>44470</v>
      </c>
      <c r="J614" s="6">
        <v>0</v>
      </c>
      <c r="K614" s="6">
        <v>0</v>
      </c>
      <c r="L614" s="6">
        <v>1.9530000000000001</v>
      </c>
      <c r="M614" s="6">
        <v>1.9530000000000001</v>
      </c>
      <c r="N614" s="6">
        <v>1.9530000000000001</v>
      </c>
      <c r="O614" s="6">
        <v>1.9530000000000001</v>
      </c>
      <c r="P614" s="6">
        <v>0</v>
      </c>
      <c r="Q614" s="4" t="s">
        <v>26</v>
      </c>
      <c r="R614" s="4">
        <v>0</v>
      </c>
      <c r="S614" s="6">
        <v>0</v>
      </c>
      <c r="T614" s="6">
        <v>29</v>
      </c>
      <c r="U614" s="6">
        <v>70</v>
      </c>
      <c r="V614" s="6">
        <f>IF(ISERROR(VLOOKUP($S$614,'TAR FIN'!$A$1:$O$103,15,0)),0,VLOOKUP($S$614,'TAR FIN'!$A$1:$O$103,15,0))</f>
        <v>0</v>
      </c>
      <c r="W614" s="6">
        <f>IF(ISERROR(VLOOKUP($T$614,'TAR FIN'!$A$1:$O$103,15,0)),0,VLOOKUP($T$614,'TAR FIN'!$A$1:$O$103,15,0))</f>
        <v>198.56</v>
      </c>
      <c r="X614" s="6">
        <f>IF(ISERROR(VLOOKUP($U$614,'TAR FIN'!$A$1:$O$103,15,0)),0,VLOOKUP($U$614,'TAR FIN'!$A$1:$O$103,15,0))</f>
        <v>275.36</v>
      </c>
      <c r="Y614" s="6"/>
      <c r="Z614" s="6">
        <f ca="1">('TUSD BE'!$AM$29+'TUSD BF'!$AM$29+'TUSD CVA'!$AM$29)*1</f>
        <v>201.61836856290807</v>
      </c>
      <c r="AA614" s="6">
        <f>('TE BE'!$AB$13+'TE BF'!$AB$13+'TE CVA'!$AB$13)*1</f>
        <v>259.03677522481752</v>
      </c>
      <c r="AB614" s="6">
        <f>$K$614*$V$614</f>
        <v>0</v>
      </c>
      <c r="AC614" s="6">
        <f>$M$614*$W$614</f>
        <v>387.78768000000002</v>
      </c>
      <c r="AD614" s="6">
        <f>$O$614*$X$614</f>
        <v>537.77808000000005</v>
      </c>
      <c r="AE614" s="6">
        <f>$K$614*$Y$614</f>
        <v>0</v>
      </c>
      <c r="AF614" s="6">
        <f ca="1">$M$614*$Z$614</f>
        <v>393.76067380335951</v>
      </c>
      <c r="AG614" s="6">
        <f>$O$614*$AA$614</f>
        <v>505.89882201406863</v>
      </c>
    </row>
    <row r="615" spans="1:33" ht="11.25" customHeight="1" x14ac:dyDescent="0.25">
      <c r="A615" s="4" t="s">
        <v>21</v>
      </c>
      <c r="B615" s="4" t="s">
        <v>22</v>
      </c>
      <c r="C615" s="4" t="s">
        <v>36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35</v>
      </c>
      <c r="I615" s="5">
        <v>44501</v>
      </c>
      <c r="J615" s="6">
        <v>0</v>
      </c>
      <c r="K615" s="6">
        <v>0</v>
      </c>
      <c r="L615" s="6">
        <v>2.177</v>
      </c>
      <c r="M615" s="6">
        <v>2.177</v>
      </c>
      <c r="N615" s="6">
        <v>2.177</v>
      </c>
      <c r="O615" s="6">
        <v>2.177</v>
      </c>
      <c r="P615" s="6">
        <v>0</v>
      </c>
      <c r="Q615" s="4" t="s">
        <v>26</v>
      </c>
      <c r="R615" s="4">
        <v>0</v>
      </c>
      <c r="S615" s="6">
        <v>0</v>
      </c>
      <c r="T615" s="6">
        <v>29</v>
      </c>
      <c r="U615" s="6">
        <v>70</v>
      </c>
      <c r="V615" s="6">
        <f>IF(ISERROR(VLOOKUP($S$615,'TAR FIN'!$A$1:$O$103,15,0)),0,VLOOKUP($S$615,'TAR FIN'!$A$1:$O$103,15,0))</f>
        <v>0</v>
      </c>
      <c r="W615" s="6">
        <f>IF(ISERROR(VLOOKUP($T$615,'TAR FIN'!$A$1:$O$103,15,0)),0,VLOOKUP($T$615,'TAR FIN'!$A$1:$O$103,15,0))</f>
        <v>198.56</v>
      </c>
      <c r="X615" s="6">
        <f>IF(ISERROR(VLOOKUP($U$615,'TAR FIN'!$A$1:$O$103,15,0)),0,VLOOKUP($U$615,'TAR FIN'!$A$1:$O$103,15,0))</f>
        <v>275.36</v>
      </c>
      <c r="Y615" s="6"/>
      <c r="Z615" s="6">
        <f ca="1">('TUSD BE'!$AM$29+'TUSD BF'!$AM$29+'TUSD CVA'!$AM$29)*1</f>
        <v>201.61836856290807</v>
      </c>
      <c r="AA615" s="6">
        <f>('TE BE'!$AB$13+'TE BF'!$AB$13+'TE CVA'!$AB$13)*1</f>
        <v>259.03677522481752</v>
      </c>
      <c r="AB615" s="6">
        <f>$K$615*$V$615</f>
        <v>0</v>
      </c>
      <c r="AC615" s="6">
        <f>$M$615*$W$615</f>
        <v>432.26512000000002</v>
      </c>
      <c r="AD615" s="6">
        <f>$O$615*$X$615</f>
        <v>599.45872000000008</v>
      </c>
      <c r="AE615" s="6">
        <f>$K$615*$Y$615</f>
        <v>0</v>
      </c>
      <c r="AF615" s="6">
        <f ca="1">$M$615*$Z$615</f>
        <v>438.92318836145091</v>
      </c>
      <c r="AG615" s="6">
        <f>$O$615*$AA$615</f>
        <v>563.9230596644278</v>
      </c>
    </row>
    <row r="616" spans="1:33" ht="11.25" customHeight="1" x14ac:dyDescent="0.25">
      <c r="A616" s="4" t="s">
        <v>21</v>
      </c>
      <c r="B616" s="4" t="s">
        <v>22</v>
      </c>
      <c r="C616" s="4" t="s">
        <v>36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35</v>
      </c>
      <c r="I616" s="5">
        <v>44531</v>
      </c>
      <c r="J616" s="6">
        <v>0</v>
      </c>
      <c r="K616" s="6">
        <v>0</v>
      </c>
      <c r="L616" s="6">
        <v>2.2120000000000002</v>
      </c>
      <c r="M616" s="6">
        <v>2.2120000000000002</v>
      </c>
      <c r="N616" s="6">
        <v>2.2120000000000002</v>
      </c>
      <c r="O616" s="6">
        <v>2.2120000000000002</v>
      </c>
      <c r="P616" s="6">
        <v>0</v>
      </c>
      <c r="Q616" s="4" t="s">
        <v>26</v>
      </c>
      <c r="R616" s="4">
        <v>0</v>
      </c>
      <c r="S616" s="6">
        <v>0</v>
      </c>
      <c r="T616" s="6">
        <v>29</v>
      </c>
      <c r="U616" s="6">
        <v>70</v>
      </c>
      <c r="V616" s="6">
        <f>IF(ISERROR(VLOOKUP($S$616,'TAR FIN'!$A$1:$O$103,15,0)),0,VLOOKUP($S$616,'TAR FIN'!$A$1:$O$103,15,0))</f>
        <v>0</v>
      </c>
      <c r="W616" s="6">
        <f>IF(ISERROR(VLOOKUP($T$616,'TAR FIN'!$A$1:$O$103,15,0)),0,VLOOKUP($T$616,'TAR FIN'!$A$1:$O$103,15,0))</f>
        <v>198.56</v>
      </c>
      <c r="X616" s="6">
        <f>IF(ISERROR(VLOOKUP($U$616,'TAR FIN'!$A$1:$O$103,15,0)),0,VLOOKUP($U$616,'TAR FIN'!$A$1:$O$103,15,0))</f>
        <v>275.36</v>
      </c>
      <c r="Y616" s="6"/>
      <c r="Z616" s="6">
        <f ca="1">('TUSD BE'!$AM$29+'TUSD BF'!$AM$29+'TUSD CVA'!$AM$29)*1</f>
        <v>201.61836856290807</v>
      </c>
      <c r="AA616" s="6">
        <f>('TE BE'!$AB$13+'TE BF'!$AB$13+'TE CVA'!$AB$13)*1</f>
        <v>259.03677522481752</v>
      </c>
      <c r="AB616" s="6">
        <f>$K$616*$V$616</f>
        <v>0</v>
      </c>
      <c r="AC616" s="6">
        <f>$M$616*$W$616</f>
        <v>439.21472000000006</v>
      </c>
      <c r="AD616" s="6">
        <f>$O$616*$X$616</f>
        <v>609.09632000000011</v>
      </c>
      <c r="AE616" s="6">
        <f>$K$616*$Y$616</f>
        <v>0</v>
      </c>
      <c r="AF616" s="6">
        <f ca="1">$M$616*$Z$616</f>
        <v>445.9798312611527</v>
      </c>
      <c r="AG616" s="6">
        <f>$O$616*$AA$616</f>
        <v>572.98934679729643</v>
      </c>
    </row>
    <row r="617" spans="1:33" ht="11.25" customHeight="1" x14ac:dyDescent="0.25">
      <c r="A617" s="4" t="s">
        <v>21</v>
      </c>
      <c r="B617" s="4" t="s">
        <v>22</v>
      </c>
      <c r="C617" s="4" t="s">
        <v>36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35</v>
      </c>
      <c r="I617" s="5">
        <v>44562</v>
      </c>
      <c r="J617" s="6">
        <v>0</v>
      </c>
      <c r="K617" s="6">
        <v>0</v>
      </c>
      <c r="L617" s="6">
        <v>1.9159999999999999</v>
      </c>
      <c r="M617" s="6">
        <v>1.9159999999999999</v>
      </c>
      <c r="N617" s="6">
        <v>1.9159999999999999</v>
      </c>
      <c r="O617" s="6">
        <v>1.9159999999999999</v>
      </c>
      <c r="P617" s="6">
        <v>0</v>
      </c>
      <c r="Q617" s="4" t="s">
        <v>26</v>
      </c>
      <c r="R617" s="4">
        <v>0</v>
      </c>
      <c r="S617" s="6">
        <v>0</v>
      </c>
      <c r="T617" s="6">
        <v>29</v>
      </c>
      <c r="U617" s="6">
        <v>70</v>
      </c>
      <c r="V617" s="6">
        <f>IF(ISERROR(VLOOKUP($S$617,'TAR FIN'!$A$1:$O$103,15,0)),0,VLOOKUP($S$617,'TAR FIN'!$A$1:$O$103,15,0))</f>
        <v>0</v>
      </c>
      <c r="W617" s="6">
        <f>IF(ISERROR(VLOOKUP($T$617,'TAR FIN'!$A$1:$O$103,15,0)),0,VLOOKUP($T$617,'TAR FIN'!$A$1:$O$103,15,0))</f>
        <v>198.56</v>
      </c>
      <c r="X617" s="6">
        <f>IF(ISERROR(VLOOKUP($U$617,'TAR FIN'!$A$1:$O$103,15,0)),0,VLOOKUP($U$617,'TAR FIN'!$A$1:$O$103,15,0))</f>
        <v>275.36</v>
      </c>
      <c r="Y617" s="6"/>
      <c r="Z617" s="6">
        <f ca="1">('TUSD BE'!$AM$29+'TUSD BF'!$AM$29+'TUSD CVA'!$AM$29)*1</f>
        <v>201.61836856290807</v>
      </c>
      <c r="AA617" s="6">
        <f>('TE BE'!$AB$13+'TE BF'!$AB$13+'TE CVA'!$AB$13)*1</f>
        <v>259.03677522481752</v>
      </c>
      <c r="AB617" s="6">
        <f>$K$617*$V$617</f>
        <v>0</v>
      </c>
      <c r="AC617" s="6">
        <f>$M$617*$W$617</f>
        <v>380.44095999999996</v>
      </c>
      <c r="AD617" s="6">
        <f>$O$617*$X$617</f>
        <v>527.58975999999996</v>
      </c>
      <c r="AE617" s="6">
        <f>$K$617*$Y$617</f>
        <v>0</v>
      </c>
      <c r="AF617" s="6">
        <f ca="1">$M$617*$Z$617</f>
        <v>386.30079416653183</v>
      </c>
      <c r="AG617" s="6">
        <f>$O$617*$AA$617</f>
        <v>496.31446133075036</v>
      </c>
    </row>
    <row r="618" spans="1:33" ht="11.25" customHeight="1" x14ac:dyDescent="0.25">
      <c r="A618" s="4" t="s">
        <v>21</v>
      </c>
      <c r="B618" s="4" t="s">
        <v>22</v>
      </c>
      <c r="C618" s="4" t="s">
        <v>36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35</v>
      </c>
      <c r="I618" s="5">
        <v>44593</v>
      </c>
      <c r="J618" s="6">
        <v>0</v>
      </c>
      <c r="K618" s="6">
        <v>0</v>
      </c>
      <c r="L618" s="6">
        <v>2.0550000000000002</v>
      </c>
      <c r="M618" s="6">
        <v>2.0550000000000002</v>
      </c>
      <c r="N618" s="6">
        <v>2.0550000000000002</v>
      </c>
      <c r="O618" s="6">
        <v>2.0550000000000002</v>
      </c>
      <c r="P618" s="6">
        <v>0</v>
      </c>
      <c r="Q618" s="4" t="s">
        <v>26</v>
      </c>
      <c r="R618" s="4">
        <v>0</v>
      </c>
      <c r="S618" s="6">
        <v>0</v>
      </c>
      <c r="T618" s="6">
        <v>29</v>
      </c>
      <c r="U618" s="6">
        <v>70</v>
      </c>
      <c r="V618" s="6">
        <f>IF(ISERROR(VLOOKUP($S$618,'TAR FIN'!$A$1:$O$103,15,0)),0,VLOOKUP($S$618,'TAR FIN'!$A$1:$O$103,15,0))</f>
        <v>0</v>
      </c>
      <c r="W618" s="6">
        <f>IF(ISERROR(VLOOKUP($T$618,'TAR FIN'!$A$1:$O$103,15,0)),0,VLOOKUP($T$618,'TAR FIN'!$A$1:$O$103,15,0))</f>
        <v>198.56</v>
      </c>
      <c r="X618" s="6">
        <f>IF(ISERROR(VLOOKUP($U$618,'TAR FIN'!$A$1:$O$103,15,0)),0,VLOOKUP($U$618,'TAR FIN'!$A$1:$O$103,15,0))</f>
        <v>275.36</v>
      </c>
      <c r="Y618" s="6"/>
      <c r="Z618" s="6">
        <f ca="1">('TUSD BE'!$AM$29+'TUSD BF'!$AM$29+'TUSD CVA'!$AM$29)*1</f>
        <v>201.61836856290807</v>
      </c>
      <c r="AA618" s="6">
        <f>('TE BE'!$AB$13+'TE BF'!$AB$13+'TE CVA'!$AB$13)*1</f>
        <v>259.03677522481752</v>
      </c>
      <c r="AB618" s="6">
        <f>$K$618*$V$618</f>
        <v>0</v>
      </c>
      <c r="AC618" s="6">
        <f>$M$618*$W$618</f>
        <v>408.04080000000005</v>
      </c>
      <c r="AD618" s="6">
        <f>$O$618*$X$618</f>
        <v>565.86480000000006</v>
      </c>
      <c r="AE618" s="6">
        <f>$K$618*$Y$618</f>
        <v>0</v>
      </c>
      <c r="AF618" s="6">
        <f ca="1">$M$618*$Z$618</f>
        <v>414.32574739677614</v>
      </c>
      <c r="AG618" s="6">
        <f>$O$618*$AA$618</f>
        <v>532.32057308700007</v>
      </c>
    </row>
    <row r="619" spans="1:33" ht="11.25" customHeight="1" x14ac:dyDescent="0.25">
      <c r="A619" s="4" t="s">
        <v>21</v>
      </c>
      <c r="B619" s="4" t="s">
        <v>22</v>
      </c>
      <c r="C619" s="4" t="s">
        <v>36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35</v>
      </c>
      <c r="I619" s="5">
        <v>44621</v>
      </c>
      <c r="J619" s="6">
        <v>0</v>
      </c>
      <c r="K619" s="6">
        <v>0</v>
      </c>
      <c r="L619" s="6">
        <v>1.95</v>
      </c>
      <c r="M619" s="6">
        <v>1.95</v>
      </c>
      <c r="N619" s="6">
        <v>1.95</v>
      </c>
      <c r="O619" s="6">
        <v>1.95</v>
      </c>
      <c r="P619" s="6">
        <v>0</v>
      </c>
      <c r="Q619" s="4" t="s">
        <v>26</v>
      </c>
      <c r="R619" s="4">
        <v>0</v>
      </c>
      <c r="S619" s="6">
        <v>0</v>
      </c>
      <c r="T619" s="6">
        <v>29</v>
      </c>
      <c r="U619" s="6">
        <v>70</v>
      </c>
      <c r="V619" s="6">
        <f>IF(ISERROR(VLOOKUP($S$619,'TAR FIN'!$A$1:$O$103,15,0)),0,VLOOKUP($S$619,'TAR FIN'!$A$1:$O$103,15,0))</f>
        <v>0</v>
      </c>
      <c r="W619" s="6">
        <f>IF(ISERROR(VLOOKUP($T$619,'TAR FIN'!$A$1:$O$103,15,0)),0,VLOOKUP($T$619,'TAR FIN'!$A$1:$O$103,15,0))</f>
        <v>198.56</v>
      </c>
      <c r="X619" s="6">
        <f>IF(ISERROR(VLOOKUP($U$619,'TAR FIN'!$A$1:$O$103,15,0)),0,VLOOKUP($U$619,'TAR FIN'!$A$1:$O$103,15,0))</f>
        <v>275.36</v>
      </c>
      <c r="Y619" s="6"/>
      <c r="Z619" s="6">
        <f ca="1">('TUSD BE'!$AM$29+'TUSD BF'!$AM$29+'TUSD CVA'!$AM$29)*1</f>
        <v>201.61836856290807</v>
      </c>
      <c r="AA619" s="6">
        <f>('TE BE'!$AB$13+'TE BF'!$AB$13+'TE CVA'!$AB$13)*1</f>
        <v>259.03677522481752</v>
      </c>
      <c r="AB619" s="6">
        <f>$K$619*$V$619</f>
        <v>0</v>
      </c>
      <c r="AC619" s="6">
        <f>$M$619*$W$619</f>
        <v>387.19200000000001</v>
      </c>
      <c r="AD619" s="6">
        <f>$O$619*$X$619</f>
        <v>536.952</v>
      </c>
      <c r="AE619" s="6">
        <f>$K$619*$Y$619</f>
        <v>0</v>
      </c>
      <c r="AF619" s="6">
        <f ca="1">$M$619*$Z$619</f>
        <v>393.15581869767072</v>
      </c>
      <c r="AG619" s="6">
        <f>$O$619*$AA$619</f>
        <v>505.12171168839416</v>
      </c>
    </row>
    <row r="620" spans="1:33" ht="11.25" customHeight="1" x14ac:dyDescent="0.25">
      <c r="A620" s="4" t="s">
        <v>21</v>
      </c>
      <c r="B620" s="4" t="s">
        <v>22</v>
      </c>
      <c r="C620" s="4" t="s">
        <v>36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35</v>
      </c>
      <c r="I620" s="5">
        <v>44652</v>
      </c>
      <c r="J620" s="6">
        <v>0</v>
      </c>
      <c r="K620" s="6">
        <v>0</v>
      </c>
      <c r="L620" s="6">
        <v>1.927</v>
      </c>
      <c r="M620" s="6">
        <v>1.927</v>
      </c>
      <c r="N620" s="6">
        <v>1.927</v>
      </c>
      <c r="O620" s="6">
        <v>1.927</v>
      </c>
      <c r="P620" s="6">
        <v>0</v>
      </c>
      <c r="Q620" s="4" t="s">
        <v>26</v>
      </c>
      <c r="R620" s="4">
        <v>0</v>
      </c>
      <c r="S620" s="6">
        <v>0</v>
      </c>
      <c r="T620" s="6">
        <v>29</v>
      </c>
      <c r="U620" s="6">
        <v>70</v>
      </c>
      <c r="V620" s="6">
        <f>IF(ISERROR(VLOOKUP($S$620,'TAR FIN'!$A$1:$O$103,15,0)),0,VLOOKUP($S$620,'TAR FIN'!$A$1:$O$103,15,0))</f>
        <v>0</v>
      </c>
      <c r="W620" s="6">
        <f>IF(ISERROR(VLOOKUP($T$620,'TAR FIN'!$A$1:$O$103,15,0)),0,VLOOKUP($T$620,'TAR FIN'!$A$1:$O$103,15,0))</f>
        <v>198.56</v>
      </c>
      <c r="X620" s="6">
        <f>IF(ISERROR(VLOOKUP($U$620,'TAR FIN'!$A$1:$O$103,15,0)),0,VLOOKUP($U$620,'TAR FIN'!$A$1:$O$103,15,0))</f>
        <v>275.36</v>
      </c>
      <c r="Y620" s="6"/>
      <c r="Z620" s="6">
        <f ca="1">('TUSD BE'!$AM$29+'TUSD BF'!$AM$29+'TUSD CVA'!$AM$29)*1</f>
        <v>201.61836856290807</v>
      </c>
      <c r="AA620" s="6">
        <f>('TE BE'!$AB$13+'TE BF'!$AB$13+'TE CVA'!$AB$13)*1</f>
        <v>259.03677522481752</v>
      </c>
      <c r="AB620" s="6">
        <f>$K$620*$V$620</f>
        <v>0</v>
      </c>
      <c r="AC620" s="6">
        <f>$M$620*$W$620</f>
        <v>382.62512000000004</v>
      </c>
      <c r="AD620" s="6">
        <f>$O$620*$X$620</f>
        <v>530.61872000000005</v>
      </c>
      <c r="AE620" s="6">
        <f>$K$620*$Y$620</f>
        <v>0</v>
      </c>
      <c r="AF620" s="6">
        <f ca="1">$M$620*$Z$620</f>
        <v>388.51859622072385</v>
      </c>
      <c r="AG620" s="6">
        <f>$O$620*$AA$620</f>
        <v>499.16386585822335</v>
      </c>
    </row>
    <row r="621" spans="1:33" ht="11.25" customHeight="1" x14ac:dyDescent="0.25">
      <c r="A621" s="4" t="s">
        <v>21</v>
      </c>
      <c r="B621" s="4" t="s">
        <v>22</v>
      </c>
      <c r="C621" s="4" t="s">
        <v>36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35</v>
      </c>
      <c r="I621" s="5">
        <v>44682</v>
      </c>
      <c r="J621" s="6">
        <v>0</v>
      </c>
      <c r="K621" s="6">
        <v>0</v>
      </c>
      <c r="L621" s="6">
        <v>1.7849999999999999</v>
      </c>
      <c r="M621" s="6">
        <v>1.7849999999999999</v>
      </c>
      <c r="N621" s="6">
        <v>1.7849999999999999</v>
      </c>
      <c r="O621" s="6">
        <v>1.7849999999999999</v>
      </c>
      <c r="P621" s="6">
        <v>0</v>
      </c>
      <c r="Q621" s="4" t="s">
        <v>26</v>
      </c>
      <c r="R621" s="4">
        <v>0</v>
      </c>
      <c r="S621" s="6">
        <v>0</v>
      </c>
      <c r="T621" s="6">
        <v>29</v>
      </c>
      <c r="U621" s="6">
        <v>70</v>
      </c>
      <c r="V621" s="6">
        <f>IF(ISERROR(VLOOKUP($S$621,'TAR FIN'!$A$1:$O$103,15,0)),0,VLOOKUP($S$621,'TAR FIN'!$A$1:$O$103,15,0))</f>
        <v>0</v>
      </c>
      <c r="W621" s="6">
        <f>IF(ISERROR(VLOOKUP($T$621,'TAR FIN'!$A$1:$O$103,15,0)),0,VLOOKUP($T$621,'TAR FIN'!$A$1:$O$103,15,0))</f>
        <v>198.56</v>
      </c>
      <c r="X621" s="6">
        <f>IF(ISERROR(VLOOKUP($U$621,'TAR FIN'!$A$1:$O$103,15,0)),0,VLOOKUP($U$621,'TAR FIN'!$A$1:$O$103,15,0))</f>
        <v>275.36</v>
      </c>
      <c r="Y621" s="6"/>
      <c r="Z621" s="6">
        <f ca="1">('TUSD BE'!$AM$29+'TUSD BF'!$AM$29+'TUSD CVA'!$AM$29)*1</f>
        <v>201.61836856290807</v>
      </c>
      <c r="AA621" s="6">
        <f>('TE BE'!$AB$13+'TE BF'!$AB$13+'TE CVA'!$AB$13)*1</f>
        <v>259.03677522481752</v>
      </c>
      <c r="AB621" s="6">
        <f>$K$621*$V$621</f>
        <v>0</v>
      </c>
      <c r="AC621" s="6">
        <f>$M$621*$W$621</f>
        <v>354.42959999999999</v>
      </c>
      <c r="AD621" s="6">
        <f>$O$621*$X$621</f>
        <v>491.51760000000002</v>
      </c>
      <c r="AE621" s="6">
        <f>$K$621*$Y$621</f>
        <v>0</v>
      </c>
      <c r="AF621" s="6">
        <f ca="1">$M$621*$Z$621</f>
        <v>359.88878788479087</v>
      </c>
      <c r="AG621" s="6">
        <f>$O$621*$AA$621</f>
        <v>462.38064377629922</v>
      </c>
    </row>
    <row r="622" spans="1:33" ht="11.25" customHeight="1" x14ac:dyDescent="0.25">
      <c r="A622" s="4" t="s">
        <v>21</v>
      </c>
      <c r="B622" s="4" t="s">
        <v>22</v>
      </c>
      <c r="C622" s="4" t="s">
        <v>36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38</v>
      </c>
      <c r="I622" s="5">
        <v>44348</v>
      </c>
      <c r="J622" s="6">
        <v>0</v>
      </c>
      <c r="K622" s="6">
        <v>0</v>
      </c>
      <c r="L622" s="6">
        <v>0.155</v>
      </c>
      <c r="M622" s="6">
        <v>0.155</v>
      </c>
      <c r="N622" s="6">
        <v>0.155</v>
      </c>
      <c r="O622" s="6">
        <v>0.155</v>
      </c>
      <c r="P622" s="6">
        <v>0</v>
      </c>
      <c r="Q622" s="4" t="s">
        <v>26</v>
      </c>
      <c r="R622" s="4">
        <v>0</v>
      </c>
      <c r="S622" s="6">
        <v>0</v>
      </c>
      <c r="T622" s="6">
        <v>28</v>
      </c>
      <c r="U622" s="6">
        <v>69</v>
      </c>
      <c r="V622" s="6">
        <f>IF(ISERROR(VLOOKUP($S$622,'TAR FIN'!$A$1:$O$103,15,0)),0,VLOOKUP($S$622,'TAR FIN'!$A$1:$O$103,15,0))</f>
        <v>0</v>
      </c>
      <c r="W622" s="6">
        <f>IF(ISERROR(VLOOKUP($T$622,'TAR FIN'!$A$1:$O$103,15,0)),0,VLOOKUP($T$622,'TAR FIN'!$A$1:$O$103,15,0))</f>
        <v>380.18</v>
      </c>
      <c r="X622" s="6">
        <f>IF(ISERROR(VLOOKUP($U$622,'TAR FIN'!$A$1:$O$103,15,0)),0,VLOOKUP($U$622,'TAR FIN'!$A$1:$O$103,15,0))</f>
        <v>275.36</v>
      </c>
      <c r="Y622" s="6"/>
      <c r="Z622" s="6">
        <f ca="1">('TUSD BE'!$AM$28+'TUSD BF'!$AM$28+'TUSD CVA'!$AM$28)*1</f>
        <v>439.61697450651195</v>
      </c>
      <c r="AA622" s="6">
        <f>('TE BE'!$AB$12+'TE BF'!$AB$12+'TE CVA'!$AB$12)*1</f>
        <v>259.03677522481752</v>
      </c>
      <c r="AB622" s="6">
        <f>$K$622*$V$622</f>
        <v>0</v>
      </c>
      <c r="AC622" s="6">
        <f>$M$622*$W$622</f>
        <v>58.927900000000001</v>
      </c>
      <c r="AD622" s="6">
        <f>$O$622*$X$622</f>
        <v>42.680800000000005</v>
      </c>
      <c r="AE622" s="6">
        <f>$K$622*$Y$622</f>
        <v>0</v>
      </c>
      <c r="AF622" s="6">
        <f ca="1">$M$622*$Z$622</f>
        <v>68.140631048509348</v>
      </c>
      <c r="AG622" s="6">
        <f>$O$622*$AA$622</f>
        <v>40.150700159846714</v>
      </c>
    </row>
    <row r="623" spans="1:33" ht="11.25" customHeight="1" x14ac:dyDescent="0.25">
      <c r="A623" s="4" t="s">
        <v>21</v>
      </c>
      <c r="B623" s="4" t="s">
        <v>22</v>
      </c>
      <c r="C623" s="4" t="s">
        <v>36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38</v>
      </c>
      <c r="I623" s="5">
        <v>44378</v>
      </c>
      <c r="J623" s="6">
        <v>0</v>
      </c>
      <c r="K623" s="6">
        <v>0</v>
      </c>
      <c r="L623" s="6">
        <v>0.17699999999999999</v>
      </c>
      <c r="M623" s="6">
        <v>0.17699999999999999</v>
      </c>
      <c r="N623" s="6">
        <v>0.17699999999999999</v>
      </c>
      <c r="O623" s="6">
        <v>0.17699999999999999</v>
      </c>
      <c r="P623" s="6">
        <v>0</v>
      </c>
      <c r="Q623" s="4" t="s">
        <v>26</v>
      </c>
      <c r="R623" s="4">
        <v>0</v>
      </c>
      <c r="S623" s="6">
        <v>0</v>
      </c>
      <c r="T623" s="6">
        <v>28</v>
      </c>
      <c r="U623" s="6">
        <v>69</v>
      </c>
      <c r="V623" s="6">
        <f>IF(ISERROR(VLOOKUP($S$623,'TAR FIN'!$A$1:$O$103,15,0)),0,VLOOKUP($S$623,'TAR FIN'!$A$1:$O$103,15,0))</f>
        <v>0</v>
      </c>
      <c r="W623" s="6">
        <f>IF(ISERROR(VLOOKUP($T$623,'TAR FIN'!$A$1:$O$103,15,0)),0,VLOOKUP($T$623,'TAR FIN'!$A$1:$O$103,15,0))</f>
        <v>380.18</v>
      </c>
      <c r="X623" s="6">
        <f>IF(ISERROR(VLOOKUP($U$623,'TAR FIN'!$A$1:$O$103,15,0)),0,VLOOKUP($U$623,'TAR FIN'!$A$1:$O$103,15,0))</f>
        <v>275.36</v>
      </c>
      <c r="Y623" s="6"/>
      <c r="Z623" s="6">
        <f ca="1">('TUSD BE'!$AM$28+'TUSD BF'!$AM$28+'TUSD CVA'!$AM$28)*1</f>
        <v>439.61697450651195</v>
      </c>
      <c r="AA623" s="6">
        <f>('TE BE'!$AB$12+'TE BF'!$AB$12+'TE CVA'!$AB$12)*1</f>
        <v>259.03677522481752</v>
      </c>
      <c r="AB623" s="6">
        <f>$K$623*$V$623</f>
        <v>0</v>
      </c>
      <c r="AC623" s="6">
        <f>$M$623*$W$623</f>
        <v>67.29186</v>
      </c>
      <c r="AD623" s="6">
        <f>$O$623*$X$623</f>
        <v>48.738720000000001</v>
      </c>
      <c r="AE623" s="6">
        <f>$K$623*$Y$623</f>
        <v>0</v>
      </c>
      <c r="AF623" s="6">
        <f ca="1">$M$623*$Z$623</f>
        <v>77.812204487652608</v>
      </c>
      <c r="AG623" s="6">
        <f>$O$623*$AA$623</f>
        <v>45.849509214792697</v>
      </c>
    </row>
    <row r="624" spans="1:33" ht="11.25" customHeight="1" x14ac:dyDescent="0.25">
      <c r="A624" s="4" t="s">
        <v>21</v>
      </c>
      <c r="B624" s="4" t="s">
        <v>22</v>
      </c>
      <c r="C624" s="4" t="s">
        <v>36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38</v>
      </c>
      <c r="I624" s="5">
        <v>44409</v>
      </c>
      <c r="J624" s="6">
        <v>0</v>
      </c>
      <c r="K624" s="6">
        <v>0</v>
      </c>
      <c r="L624" s="6">
        <v>0.14000000000000001</v>
      </c>
      <c r="M624" s="6">
        <v>0.14000000000000001</v>
      </c>
      <c r="N624" s="6">
        <v>0.14000000000000001</v>
      </c>
      <c r="O624" s="6">
        <v>0.14000000000000001</v>
      </c>
      <c r="P624" s="6">
        <v>0</v>
      </c>
      <c r="Q624" s="4" t="s">
        <v>26</v>
      </c>
      <c r="R624" s="4">
        <v>0</v>
      </c>
      <c r="S624" s="6">
        <v>0</v>
      </c>
      <c r="T624" s="6">
        <v>28</v>
      </c>
      <c r="U624" s="6">
        <v>69</v>
      </c>
      <c r="V624" s="6">
        <f>IF(ISERROR(VLOOKUP($S$624,'TAR FIN'!$A$1:$O$103,15,0)),0,VLOOKUP($S$624,'TAR FIN'!$A$1:$O$103,15,0))</f>
        <v>0</v>
      </c>
      <c r="W624" s="6">
        <f>IF(ISERROR(VLOOKUP($T$624,'TAR FIN'!$A$1:$O$103,15,0)),0,VLOOKUP($T$624,'TAR FIN'!$A$1:$O$103,15,0))</f>
        <v>380.18</v>
      </c>
      <c r="X624" s="6">
        <f>IF(ISERROR(VLOOKUP($U$624,'TAR FIN'!$A$1:$O$103,15,0)),0,VLOOKUP($U$624,'TAR FIN'!$A$1:$O$103,15,0))</f>
        <v>275.36</v>
      </c>
      <c r="Y624" s="6"/>
      <c r="Z624" s="6">
        <f ca="1">('TUSD BE'!$AM$28+'TUSD BF'!$AM$28+'TUSD CVA'!$AM$28)*1</f>
        <v>439.61697450651195</v>
      </c>
      <c r="AA624" s="6">
        <f>('TE BE'!$AB$12+'TE BF'!$AB$12+'TE CVA'!$AB$12)*1</f>
        <v>259.03677522481752</v>
      </c>
      <c r="AB624" s="6">
        <f>$K$624*$V$624</f>
        <v>0</v>
      </c>
      <c r="AC624" s="6">
        <f>$M$624*$W$624</f>
        <v>53.225200000000008</v>
      </c>
      <c r="AD624" s="6">
        <f>$O$624*$X$624</f>
        <v>38.550400000000003</v>
      </c>
      <c r="AE624" s="6">
        <f>$K$624*$Y$624</f>
        <v>0</v>
      </c>
      <c r="AF624" s="6">
        <f ca="1">$M$624*$Z$624</f>
        <v>61.546376430911678</v>
      </c>
      <c r="AG624" s="6">
        <f>$O$624*$AA$624</f>
        <v>36.265148531474459</v>
      </c>
    </row>
    <row r="625" spans="1:33" ht="11.25" customHeight="1" x14ac:dyDescent="0.25">
      <c r="A625" s="4" t="s">
        <v>21</v>
      </c>
      <c r="B625" s="4" t="s">
        <v>22</v>
      </c>
      <c r="C625" s="4" t="s">
        <v>36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38</v>
      </c>
      <c r="I625" s="5">
        <v>44440</v>
      </c>
      <c r="J625" s="6">
        <v>0</v>
      </c>
      <c r="K625" s="6">
        <v>0</v>
      </c>
      <c r="L625" s="6">
        <v>0.13500000000000001</v>
      </c>
      <c r="M625" s="6">
        <v>0.13500000000000001</v>
      </c>
      <c r="N625" s="6">
        <v>0.13500000000000001</v>
      </c>
      <c r="O625" s="6">
        <v>0.13500000000000001</v>
      </c>
      <c r="P625" s="6">
        <v>0</v>
      </c>
      <c r="Q625" s="4" t="s">
        <v>26</v>
      </c>
      <c r="R625" s="4">
        <v>0</v>
      </c>
      <c r="S625" s="6">
        <v>0</v>
      </c>
      <c r="T625" s="6">
        <v>28</v>
      </c>
      <c r="U625" s="6">
        <v>69</v>
      </c>
      <c r="V625" s="6">
        <f>IF(ISERROR(VLOOKUP($S$625,'TAR FIN'!$A$1:$O$103,15,0)),0,VLOOKUP($S$625,'TAR FIN'!$A$1:$O$103,15,0))</f>
        <v>0</v>
      </c>
      <c r="W625" s="6">
        <f>IF(ISERROR(VLOOKUP($T$625,'TAR FIN'!$A$1:$O$103,15,0)),0,VLOOKUP($T$625,'TAR FIN'!$A$1:$O$103,15,0))</f>
        <v>380.18</v>
      </c>
      <c r="X625" s="6">
        <f>IF(ISERROR(VLOOKUP($U$625,'TAR FIN'!$A$1:$O$103,15,0)),0,VLOOKUP($U$625,'TAR FIN'!$A$1:$O$103,15,0))</f>
        <v>275.36</v>
      </c>
      <c r="Y625" s="6"/>
      <c r="Z625" s="6">
        <f ca="1">('TUSD BE'!$AM$28+'TUSD BF'!$AM$28+'TUSD CVA'!$AM$28)*1</f>
        <v>439.61697450651195</v>
      </c>
      <c r="AA625" s="6">
        <f>('TE BE'!$AB$12+'TE BF'!$AB$12+'TE CVA'!$AB$12)*1</f>
        <v>259.03677522481752</v>
      </c>
      <c r="AB625" s="6">
        <f>$K$625*$V$625</f>
        <v>0</v>
      </c>
      <c r="AC625" s="6">
        <f>$M$625*$W$625</f>
        <v>51.324300000000001</v>
      </c>
      <c r="AD625" s="6">
        <f>$O$625*$X$625</f>
        <v>37.173600000000008</v>
      </c>
      <c r="AE625" s="6">
        <f>$K$625*$Y$625</f>
        <v>0</v>
      </c>
      <c r="AF625" s="6">
        <f ca="1">$M$625*$Z$625</f>
        <v>59.348291558379117</v>
      </c>
      <c r="AG625" s="6">
        <f>$O$625*$AA$625</f>
        <v>34.969964655350367</v>
      </c>
    </row>
    <row r="626" spans="1:33" ht="11.25" customHeight="1" x14ac:dyDescent="0.25">
      <c r="A626" s="4" t="s">
        <v>21</v>
      </c>
      <c r="B626" s="4" t="s">
        <v>22</v>
      </c>
      <c r="C626" s="4" t="s">
        <v>36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38</v>
      </c>
      <c r="I626" s="5">
        <v>44470</v>
      </c>
      <c r="J626" s="6">
        <v>0</v>
      </c>
      <c r="K626" s="6">
        <v>0</v>
      </c>
      <c r="L626" s="6">
        <v>0.13600000000000001</v>
      </c>
      <c r="M626" s="6">
        <v>0.13600000000000001</v>
      </c>
      <c r="N626" s="6">
        <v>0.13600000000000001</v>
      </c>
      <c r="O626" s="6">
        <v>0.13600000000000001</v>
      </c>
      <c r="P626" s="6">
        <v>0</v>
      </c>
      <c r="Q626" s="4" t="s">
        <v>26</v>
      </c>
      <c r="R626" s="4">
        <v>0</v>
      </c>
      <c r="S626" s="6">
        <v>0</v>
      </c>
      <c r="T626" s="6">
        <v>28</v>
      </c>
      <c r="U626" s="6">
        <v>69</v>
      </c>
      <c r="V626" s="6">
        <f>IF(ISERROR(VLOOKUP($S$626,'TAR FIN'!$A$1:$O$103,15,0)),0,VLOOKUP($S$626,'TAR FIN'!$A$1:$O$103,15,0))</f>
        <v>0</v>
      </c>
      <c r="W626" s="6">
        <f>IF(ISERROR(VLOOKUP($T$626,'TAR FIN'!$A$1:$O$103,15,0)),0,VLOOKUP($T$626,'TAR FIN'!$A$1:$O$103,15,0))</f>
        <v>380.18</v>
      </c>
      <c r="X626" s="6">
        <f>IF(ISERROR(VLOOKUP($U$626,'TAR FIN'!$A$1:$O$103,15,0)),0,VLOOKUP($U$626,'TAR FIN'!$A$1:$O$103,15,0))</f>
        <v>275.36</v>
      </c>
      <c r="Y626" s="6"/>
      <c r="Z626" s="6">
        <f ca="1">('TUSD BE'!$AM$28+'TUSD BF'!$AM$28+'TUSD CVA'!$AM$28)*1</f>
        <v>439.61697450651195</v>
      </c>
      <c r="AA626" s="6">
        <f>('TE BE'!$AB$12+'TE BF'!$AB$12+'TE CVA'!$AB$12)*1</f>
        <v>259.03677522481752</v>
      </c>
      <c r="AB626" s="6">
        <f>$K$626*$V$626</f>
        <v>0</v>
      </c>
      <c r="AC626" s="6">
        <f>$M$626*$W$626</f>
        <v>51.704480000000004</v>
      </c>
      <c r="AD626" s="6">
        <f>$O$626*$X$626</f>
        <v>37.448960000000007</v>
      </c>
      <c r="AE626" s="6">
        <f>$K$626*$Y$626</f>
        <v>0</v>
      </c>
      <c r="AF626" s="6">
        <f ca="1">$M$626*$Z$626</f>
        <v>59.787908532885631</v>
      </c>
      <c r="AG626" s="6">
        <f>$O$626*$AA$626</f>
        <v>35.229001430575188</v>
      </c>
    </row>
    <row r="627" spans="1:33" ht="11.25" customHeight="1" x14ac:dyDescent="0.25">
      <c r="A627" s="4" t="s">
        <v>21</v>
      </c>
      <c r="B627" s="4" t="s">
        <v>22</v>
      </c>
      <c r="C627" s="4" t="s">
        <v>36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38</v>
      </c>
      <c r="I627" s="5">
        <v>44501</v>
      </c>
      <c r="J627" s="6">
        <v>0</v>
      </c>
      <c r="K627" s="6">
        <v>0</v>
      </c>
      <c r="L627" s="6">
        <v>1.1850000000000001</v>
      </c>
      <c r="M627" s="6">
        <v>1.1850000000000001</v>
      </c>
      <c r="N627" s="6">
        <v>1.1850000000000001</v>
      </c>
      <c r="O627" s="6">
        <v>1.1850000000000001</v>
      </c>
      <c r="P627" s="6">
        <v>0</v>
      </c>
      <c r="Q627" s="4" t="s">
        <v>26</v>
      </c>
      <c r="R627" s="4">
        <v>0</v>
      </c>
      <c r="S627" s="6">
        <v>0</v>
      </c>
      <c r="T627" s="6">
        <v>28</v>
      </c>
      <c r="U627" s="6">
        <v>69</v>
      </c>
      <c r="V627" s="6">
        <f>IF(ISERROR(VLOOKUP($S$627,'TAR FIN'!$A$1:$O$103,15,0)),0,VLOOKUP($S$627,'TAR FIN'!$A$1:$O$103,15,0))</f>
        <v>0</v>
      </c>
      <c r="W627" s="6">
        <f>IF(ISERROR(VLOOKUP($T$627,'TAR FIN'!$A$1:$O$103,15,0)),0,VLOOKUP($T$627,'TAR FIN'!$A$1:$O$103,15,0))</f>
        <v>380.18</v>
      </c>
      <c r="X627" s="6">
        <f>IF(ISERROR(VLOOKUP($U$627,'TAR FIN'!$A$1:$O$103,15,0)),0,VLOOKUP($U$627,'TAR FIN'!$A$1:$O$103,15,0))</f>
        <v>275.36</v>
      </c>
      <c r="Y627" s="6"/>
      <c r="Z627" s="6">
        <f ca="1">('TUSD BE'!$AM$28+'TUSD BF'!$AM$28+'TUSD CVA'!$AM$28)*1</f>
        <v>439.61697450651195</v>
      </c>
      <c r="AA627" s="6">
        <f>('TE BE'!$AB$12+'TE BF'!$AB$12+'TE CVA'!$AB$12)*1</f>
        <v>259.03677522481752</v>
      </c>
      <c r="AB627" s="6">
        <f>$K$627*$V$627</f>
        <v>0</v>
      </c>
      <c r="AC627" s="6">
        <f>$M$627*$W$627</f>
        <v>450.51330000000002</v>
      </c>
      <c r="AD627" s="6">
        <f>$O$627*$X$627</f>
        <v>326.30160000000001</v>
      </c>
      <c r="AE627" s="6">
        <f>$K$627*$Y$627</f>
        <v>0</v>
      </c>
      <c r="AF627" s="6">
        <f ca="1">$M$627*$Z$627</f>
        <v>520.94611479021671</v>
      </c>
      <c r="AG627" s="6">
        <f>$O$627*$AA$627</f>
        <v>306.95857864140879</v>
      </c>
    </row>
    <row r="628" spans="1:33" ht="11.25" customHeight="1" x14ac:dyDescent="0.25">
      <c r="A628" s="4" t="s">
        <v>21</v>
      </c>
      <c r="B628" s="4" t="s">
        <v>22</v>
      </c>
      <c r="C628" s="4" t="s">
        <v>36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38</v>
      </c>
      <c r="I628" s="5">
        <v>44531</v>
      </c>
      <c r="J628" s="6">
        <v>0</v>
      </c>
      <c r="K628" s="6">
        <v>0</v>
      </c>
      <c r="L628" s="6">
        <v>0.124</v>
      </c>
      <c r="M628" s="6">
        <v>0.124</v>
      </c>
      <c r="N628" s="6">
        <v>0.124</v>
      </c>
      <c r="O628" s="6">
        <v>0.124</v>
      </c>
      <c r="P628" s="6">
        <v>0</v>
      </c>
      <c r="Q628" s="4" t="s">
        <v>26</v>
      </c>
      <c r="R628" s="4">
        <v>0</v>
      </c>
      <c r="S628" s="6">
        <v>0</v>
      </c>
      <c r="T628" s="6">
        <v>28</v>
      </c>
      <c r="U628" s="6">
        <v>69</v>
      </c>
      <c r="V628" s="6">
        <f>IF(ISERROR(VLOOKUP($S$628,'TAR FIN'!$A$1:$O$103,15,0)),0,VLOOKUP($S$628,'TAR FIN'!$A$1:$O$103,15,0))</f>
        <v>0</v>
      </c>
      <c r="W628" s="6">
        <f>IF(ISERROR(VLOOKUP($T$628,'TAR FIN'!$A$1:$O$103,15,0)),0,VLOOKUP($T$628,'TAR FIN'!$A$1:$O$103,15,0))</f>
        <v>380.18</v>
      </c>
      <c r="X628" s="6">
        <f>IF(ISERROR(VLOOKUP($U$628,'TAR FIN'!$A$1:$O$103,15,0)),0,VLOOKUP($U$628,'TAR FIN'!$A$1:$O$103,15,0))</f>
        <v>275.36</v>
      </c>
      <c r="Y628" s="6"/>
      <c r="Z628" s="6">
        <f ca="1">('TUSD BE'!$AM$28+'TUSD BF'!$AM$28+'TUSD CVA'!$AM$28)*1</f>
        <v>439.61697450651195</v>
      </c>
      <c r="AA628" s="6">
        <f>('TE BE'!$AB$12+'TE BF'!$AB$12+'TE CVA'!$AB$12)*1</f>
        <v>259.03677522481752</v>
      </c>
      <c r="AB628" s="6">
        <f>$K$628*$V$628</f>
        <v>0</v>
      </c>
      <c r="AC628" s="6">
        <f>$M$628*$W$628</f>
        <v>47.142319999999998</v>
      </c>
      <c r="AD628" s="6">
        <f>$O$628*$X$628</f>
        <v>34.144640000000003</v>
      </c>
      <c r="AE628" s="6">
        <f>$K$628*$Y$628</f>
        <v>0</v>
      </c>
      <c r="AF628" s="6">
        <f ca="1">$M$628*$Z$628</f>
        <v>54.51250483880748</v>
      </c>
      <c r="AG628" s="6">
        <f>$O$628*$AA$628</f>
        <v>32.120560127877368</v>
      </c>
    </row>
    <row r="629" spans="1:33" ht="11.25" customHeight="1" x14ac:dyDescent="0.25">
      <c r="A629" s="4" t="s">
        <v>21</v>
      </c>
      <c r="B629" s="4" t="s">
        <v>22</v>
      </c>
      <c r="C629" s="4" t="s">
        <v>36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38</v>
      </c>
      <c r="I629" s="5">
        <v>44562</v>
      </c>
      <c r="J629" s="6">
        <v>0</v>
      </c>
      <c r="K629" s="6">
        <v>0</v>
      </c>
      <c r="L629" s="6">
        <v>0.13200000000000001</v>
      </c>
      <c r="M629" s="6">
        <v>0.13200000000000001</v>
      </c>
      <c r="N629" s="6">
        <v>0.13200000000000001</v>
      </c>
      <c r="O629" s="6">
        <v>0.13200000000000001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28</v>
      </c>
      <c r="U629" s="6">
        <v>69</v>
      </c>
      <c r="V629" s="6">
        <f>IF(ISERROR(VLOOKUP($S$629,'TAR FIN'!$A$1:$O$103,15,0)),0,VLOOKUP($S$629,'TAR FIN'!$A$1:$O$103,15,0))</f>
        <v>0</v>
      </c>
      <c r="W629" s="6">
        <f>IF(ISERROR(VLOOKUP($T$629,'TAR FIN'!$A$1:$O$103,15,0)),0,VLOOKUP($T$629,'TAR FIN'!$A$1:$O$103,15,0))</f>
        <v>380.18</v>
      </c>
      <c r="X629" s="6">
        <f>IF(ISERROR(VLOOKUP($U$629,'TAR FIN'!$A$1:$O$103,15,0)),0,VLOOKUP($U$629,'TAR FIN'!$A$1:$O$103,15,0))</f>
        <v>275.36</v>
      </c>
      <c r="Y629" s="6"/>
      <c r="Z629" s="6">
        <f ca="1">('TUSD BE'!$AM$28+'TUSD BF'!$AM$28+'TUSD CVA'!$AM$28)*1</f>
        <v>439.61697450651195</v>
      </c>
      <c r="AA629" s="6">
        <f>('TE BE'!$AB$12+'TE BF'!$AB$12+'TE CVA'!$AB$12)*1</f>
        <v>259.03677522481752</v>
      </c>
      <c r="AB629" s="6">
        <f>$K$629*$V$629</f>
        <v>0</v>
      </c>
      <c r="AC629" s="6">
        <f>$M$629*$W$629</f>
        <v>50.183760000000007</v>
      </c>
      <c r="AD629" s="6">
        <f>$O$629*$X$629</f>
        <v>36.347520000000003</v>
      </c>
      <c r="AE629" s="6">
        <f>$K$629*$Y$629</f>
        <v>0</v>
      </c>
      <c r="AF629" s="6">
        <f ca="1">$M$629*$Z$629</f>
        <v>58.029440634859583</v>
      </c>
      <c r="AG629" s="6">
        <f>$O$629*$AA$629</f>
        <v>34.192854329675917</v>
      </c>
    </row>
    <row r="630" spans="1:33" ht="11.25" customHeight="1" x14ac:dyDescent="0.25">
      <c r="A630" s="4" t="s">
        <v>21</v>
      </c>
      <c r="B630" s="4" t="s">
        <v>22</v>
      </c>
      <c r="C630" s="4" t="s">
        <v>36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38</v>
      </c>
      <c r="I630" s="5">
        <v>44593</v>
      </c>
      <c r="J630" s="6">
        <v>0</v>
      </c>
      <c r="K630" s="6">
        <v>0</v>
      </c>
      <c r="L630" s="6">
        <v>0.13600000000000001</v>
      </c>
      <c r="M630" s="6">
        <v>0.13600000000000001</v>
      </c>
      <c r="N630" s="6">
        <v>0.13600000000000001</v>
      </c>
      <c r="O630" s="6">
        <v>0.13600000000000001</v>
      </c>
      <c r="P630" s="6">
        <v>0</v>
      </c>
      <c r="Q630" s="4" t="s">
        <v>26</v>
      </c>
      <c r="R630" s="4">
        <v>0</v>
      </c>
      <c r="S630" s="6">
        <v>0</v>
      </c>
      <c r="T630" s="6">
        <v>28</v>
      </c>
      <c r="U630" s="6">
        <v>69</v>
      </c>
      <c r="V630" s="6">
        <f>IF(ISERROR(VLOOKUP($S$630,'TAR FIN'!$A$1:$O$103,15,0)),0,VLOOKUP($S$630,'TAR FIN'!$A$1:$O$103,15,0))</f>
        <v>0</v>
      </c>
      <c r="W630" s="6">
        <f>IF(ISERROR(VLOOKUP($T$630,'TAR FIN'!$A$1:$O$103,15,0)),0,VLOOKUP($T$630,'TAR FIN'!$A$1:$O$103,15,0))</f>
        <v>380.18</v>
      </c>
      <c r="X630" s="6">
        <f>IF(ISERROR(VLOOKUP($U$630,'TAR FIN'!$A$1:$O$103,15,0)),0,VLOOKUP($U$630,'TAR FIN'!$A$1:$O$103,15,0))</f>
        <v>275.36</v>
      </c>
      <c r="Y630" s="6"/>
      <c r="Z630" s="6">
        <f ca="1">('TUSD BE'!$AM$28+'TUSD BF'!$AM$28+'TUSD CVA'!$AM$28)*1</f>
        <v>439.61697450651195</v>
      </c>
      <c r="AA630" s="6">
        <f>('TE BE'!$AB$12+'TE BF'!$AB$12+'TE CVA'!$AB$12)*1</f>
        <v>259.03677522481752</v>
      </c>
      <c r="AB630" s="6">
        <f>$K$630*$V$630</f>
        <v>0</v>
      </c>
      <c r="AC630" s="6">
        <f>$M$630*$W$630</f>
        <v>51.704480000000004</v>
      </c>
      <c r="AD630" s="6">
        <f>$O$630*$X$630</f>
        <v>37.448960000000007</v>
      </c>
      <c r="AE630" s="6">
        <f>$K$630*$Y$630</f>
        <v>0</v>
      </c>
      <c r="AF630" s="6">
        <f ca="1">$M$630*$Z$630</f>
        <v>59.787908532885631</v>
      </c>
      <c r="AG630" s="6">
        <f>$O$630*$AA$630</f>
        <v>35.229001430575188</v>
      </c>
    </row>
    <row r="631" spans="1:33" ht="11.25" customHeight="1" x14ac:dyDescent="0.25">
      <c r="A631" s="4" t="s">
        <v>21</v>
      </c>
      <c r="B631" s="4" t="s">
        <v>22</v>
      </c>
      <c r="C631" s="4" t="s">
        <v>36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38</v>
      </c>
      <c r="I631" s="5">
        <v>44621</v>
      </c>
      <c r="J631" s="6">
        <v>0</v>
      </c>
      <c r="K631" s="6">
        <v>0</v>
      </c>
      <c r="L631" s="6">
        <v>0.11600000000000001</v>
      </c>
      <c r="M631" s="6">
        <v>0.11600000000000001</v>
      </c>
      <c r="N631" s="6">
        <v>0.11600000000000001</v>
      </c>
      <c r="O631" s="6">
        <v>0.11600000000000001</v>
      </c>
      <c r="P631" s="6">
        <v>0</v>
      </c>
      <c r="Q631" s="4" t="s">
        <v>26</v>
      </c>
      <c r="R631" s="4">
        <v>0</v>
      </c>
      <c r="S631" s="6">
        <v>0</v>
      </c>
      <c r="T631" s="6">
        <v>28</v>
      </c>
      <c r="U631" s="6">
        <v>69</v>
      </c>
      <c r="V631" s="6">
        <f>IF(ISERROR(VLOOKUP($S$631,'TAR FIN'!$A$1:$O$103,15,0)),0,VLOOKUP($S$631,'TAR FIN'!$A$1:$O$103,15,0))</f>
        <v>0</v>
      </c>
      <c r="W631" s="6">
        <f>IF(ISERROR(VLOOKUP($T$631,'TAR FIN'!$A$1:$O$103,15,0)),0,VLOOKUP($T$631,'TAR FIN'!$A$1:$O$103,15,0))</f>
        <v>380.18</v>
      </c>
      <c r="X631" s="6">
        <f>IF(ISERROR(VLOOKUP($U$631,'TAR FIN'!$A$1:$O$103,15,0)),0,VLOOKUP($U$631,'TAR FIN'!$A$1:$O$103,15,0))</f>
        <v>275.36</v>
      </c>
      <c r="Y631" s="6"/>
      <c r="Z631" s="6">
        <f ca="1">('TUSD BE'!$AM$28+'TUSD BF'!$AM$28+'TUSD CVA'!$AM$28)*1</f>
        <v>439.61697450651195</v>
      </c>
      <c r="AA631" s="6">
        <f>('TE BE'!$AB$12+'TE BF'!$AB$12+'TE CVA'!$AB$12)*1</f>
        <v>259.03677522481752</v>
      </c>
      <c r="AB631" s="6">
        <f>$K$631*$V$631</f>
        <v>0</v>
      </c>
      <c r="AC631" s="6">
        <f>$M$631*$W$631</f>
        <v>44.100880000000004</v>
      </c>
      <c r="AD631" s="6">
        <f>$O$631*$X$631</f>
        <v>31.941760000000002</v>
      </c>
      <c r="AE631" s="6">
        <f>$K$631*$Y$631</f>
        <v>0</v>
      </c>
      <c r="AF631" s="6">
        <f ca="1">$M$631*$Z$631</f>
        <v>50.995569042755392</v>
      </c>
      <c r="AG631" s="6">
        <f>$O$631*$AA$631</f>
        <v>30.048265926078834</v>
      </c>
    </row>
    <row r="632" spans="1:33" ht="11.25" customHeight="1" x14ac:dyDescent="0.25">
      <c r="A632" s="4" t="s">
        <v>21</v>
      </c>
      <c r="B632" s="4" t="s">
        <v>22</v>
      </c>
      <c r="C632" s="4" t="s">
        <v>36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38</v>
      </c>
      <c r="I632" s="5">
        <v>44652</v>
      </c>
      <c r="J632" s="6">
        <v>0</v>
      </c>
      <c r="K632" s="6">
        <v>0</v>
      </c>
      <c r="L632" s="6">
        <v>0.125</v>
      </c>
      <c r="M632" s="6">
        <v>0.125</v>
      </c>
      <c r="N632" s="6">
        <v>0.125</v>
      </c>
      <c r="O632" s="6">
        <v>0.125</v>
      </c>
      <c r="P632" s="6">
        <v>0</v>
      </c>
      <c r="Q632" s="4" t="s">
        <v>26</v>
      </c>
      <c r="R632" s="4">
        <v>0</v>
      </c>
      <c r="S632" s="6">
        <v>0</v>
      </c>
      <c r="T632" s="6">
        <v>28</v>
      </c>
      <c r="U632" s="6">
        <v>69</v>
      </c>
      <c r="V632" s="6">
        <f>IF(ISERROR(VLOOKUP($S$632,'TAR FIN'!$A$1:$O$103,15,0)),0,VLOOKUP($S$632,'TAR FIN'!$A$1:$O$103,15,0))</f>
        <v>0</v>
      </c>
      <c r="W632" s="6">
        <f>IF(ISERROR(VLOOKUP($T$632,'TAR FIN'!$A$1:$O$103,15,0)),0,VLOOKUP($T$632,'TAR FIN'!$A$1:$O$103,15,0))</f>
        <v>380.18</v>
      </c>
      <c r="X632" s="6">
        <f>IF(ISERROR(VLOOKUP($U$632,'TAR FIN'!$A$1:$O$103,15,0)),0,VLOOKUP($U$632,'TAR FIN'!$A$1:$O$103,15,0))</f>
        <v>275.36</v>
      </c>
      <c r="Y632" s="6"/>
      <c r="Z632" s="6">
        <f ca="1">('TUSD BE'!$AM$28+'TUSD BF'!$AM$28+'TUSD CVA'!$AM$28)*1</f>
        <v>439.61697450651195</v>
      </c>
      <c r="AA632" s="6">
        <f>('TE BE'!$AB$12+'TE BF'!$AB$12+'TE CVA'!$AB$12)*1</f>
        <v>259.03677522481752</v>
      </c>
      <c r="AB632" s="6">
        <f>$K$632*$V$632</f>
        <v>0</v>
      </c>
      <c r="AC632" s="6">
        <f>$M$632*$W$632</f>
        <v>47.522500000000001</v>
      </c>
      <c r="AD632" s="6">
        <f>$O$632*$X$632</f>
        <v>34.42</v>
      </c>
      <c r="AE632" s="6">
        <f>$K$632*$Y$632</f>
        <v>0</v>
      </c>
      <c r="AF632" s="6">
        <f ca="1">$M$632*$Z$632</f>
        <v>54.952121813313994</v>
      </c>
      <c r="AG632" s="6">
        <f>$O$632*$AA$632</f>
        <v>32.37959690310219</v>
      </c>
    </row>
    <row r="633" spans="1:33" ht="11.25" customHeight="1" x14ac:dyDescent="0.25">
      <c r="A633" s="4" t="s">
        <v>21</v>
      </c>
      <c r="B633" s="4" t="s">
        <v>22</v>
      </c>
      <c r="C633" s="4" t="s">
        <v>36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38</v>
      </c>
      <c r="I633" s="5">
        <v>44682</v>
      </c>
      <c r="J633" s="6">
        <v>0</v>
      </c>
      <c r="K633" s="6">
        <v>0</v>
      </c>
      <c r="L633" s="6">
        <v>0.115</v>
      </c>
      <c r="M633" s="6">
        <v>0.115</v>
      </c>
      <c r="N633" s="6">
        <v>0.115</v>
      </c>
      <c r="O633" s="6">
        <v>0.115</v>
      </c>
      <c r="P633" s="6">
        <v>0</v>
      </c>
      <c r="Q633" s="4" t="s">
        <v>26</v>
      </c>
      <c r="R633" s="4">
        <v>0</v>
      </c>
      <c r="S633" s="6">
        <v>0</v>
      </c>
      <c r="T633" s="6">
        <v>28</v>
      </c>
      <c r="U633" s="6">
        <v>69</v>
      </c>
      <c r="V633" s="6">
        <f>IF(ISERROR(VLOOKUP($S$633,'TAR FIN'!$A$1:$O$103,15,0)),0,VLOOKUP($S$633,'TAR FIN'!$A$1:$O$103,15,0))</f>
        <v>0</v>
      </c>
      <c r="W633" s="6">
        <f>IF(ISERROR(VLOOKUP($T$633,'TAR FIN'!$A$1:$O$103,15,0)),0,VLOOKUP($T$633,'TAR FIN'!$A$1:$O$103,15,0))</f>
        <v>380.18</v>
      </c>
      <c r="X633" s="6">
        <f>IF(ISERROR(VLOOKUP($U$633,'TAR FIN'!$A$1:$O$103,15,0)),0,VLOOKUP($U$633,'TAR FIN'!$A$1:$O$103,15,0))</f>
        <v>275.36</v>
      </c>
      <c r="Y633" s="6"/>
      <c r="Z633" s="6">
        <f ca="1">('TUSD BE'!$AM$28+'TUSD BF'!$AM$28+'TUSD CVA'!$AM$28)*1</f>
        <v>439.61697450651195</v>
      </c>
      <c r="AA633" s="6">
        <f>('TE BE'!$AB$12+'TE BF'!$AB$12+'TE CVA'!$AB$12)*1</f>
        <v>259.03677522481752</v>
      </c>
      <c r="AB633" s="6">
        <f>$K$633*$V$633</f>
        <v>0</v>
      </c>
      <c r="AC633" s="6">
        <f>$M$633*$W$633</f>
        <v>43.720700000000001</v>
      </c>
      <c r="AD633" s="6">
        <f>$O$633*$X$633</f>
        <v>31.666400000000003</v>
      </c>
      <c r="AE633" s="6">
        <f>$K$633*$Y$633</f>
        <v>0</v>
      </c>
      <c r="AF633" s="6">
        <f ca="1">$M$633*$Z$633</f>
        <v>50.555952068248878</v>
      </c>
      <c r="AG633" s="6">
        <f>$O$633*$AA$633</f>
        <v>29.789229150854016</v>
      </c>
    </row>
    <row r="634" spans="1:33" ht="11.25" customHeight="1" x14ac:dyDescent="0.25">
      <c r="A634" s="4" t="s">
        <v>21</v>
      </c>
      <c r="B634" s="4" t="s">
        <v>22</v>
      </c>
      <c r="C634" s="4" t="s">
        <v>36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37</v>
      </c>
      <c r="I634" s="5">
        <v>44348</v>
      </c>
      <c r="J634" s="6">
        <v>0</v>
      </c>
      <c r="K634" s="6">
        <v>0</v>
      </c>
      <c r="L634" s="6">
        <v>0.192</v>
      </c>
      <c r="M634" s="6">
        <v>0.192</v>
      </c>
      <c r="N634" s="6">
        <v>0.192</v>
      </c>
      <c r="O634" s="6">
        <v>0.192</v>
      </c>
      <c r="P634" s="6">
        <v>0</v>
      </c>
      <c r="Q634" s="4" t="s">
        <v>26</v>
      </c>
      <c r="R634" s="4">
        <v>0</v>
      </c>
      <c r="S634" s="6">
        <v>0</v>
      </c>
      <c r="T634" s="6">
        <v>27</v>
      </c>
      <c r="U634" s="6">
        <v>68</v>
      </c>
      <c r="V634" s="6">
        <f>IF(ISERROR(VLOOKUP($S$634,'TAR FIN'!$A$1:$O$103,15,0)),0,VLOOKUP($S$634,'TAR FIN'!$A$1:$O$103,15,0))</f>
        <v>0</v>
      </c>
      <c r="W634" s="6">
        <f>IF(ISERROR(VLOOKUP($T$634,'TAR FIN'!$A$1:$O$103,15,0)),0,VLOOKUP($T$634,'TAR FIN'!$A$1:$O$103,15,0))</f>
        <v>561.79999999999995</v>
      </c>
      <c r="X634" s="6">
        <f>IF(ISERROR(VLOOKUP($U$634,'TAR FIN'!$A$1:$O$103,15,0)),0,VLOOKUP($U$634,'TAR FIN'!$A$1:$O$103,15,0))</f>
        <v>437.87</v>
      </c>
      <c r="Y634" s="6"/>
      <c r="Z634" s="6">
        <f ca="1">('TUSD BE'!$AM$27+'TUSD BF'!$AM$27+'TUSD CVA'!$AM$27)*1</f>
        <v>1332.1115514867013</v>
      </c>
      <c r="AA634" s="6">
        <f>('TE BE'!$AB$11+'TE BF'!$AB$11+'TE CVA'!$AB$11)*1</f>
        <v>415.05449050541699</v>
      </c>
      <c r="AB634" s="6">
        <f>$K$634*$V$634</f>
        <v>0</v>
      </c>
      <c r="AC634" s="6">
        <f>$M$634*$W$634</f>
        <v>107.8656</v>
      </c>
      <c r="AD634" s="6">
        <f>$O$634*$X$634</f>
        <v>84.071039999999996</v>
      </c>
      <c r="AE634" s="6">
        <f>$K$634*$Y$634</f>
        <v>0</v>
      </c>
      <c r="AF634" s="6">
        <f ca="1">$M$634*$Z$634</f>
        <v>255.76541788544665</v>
      </c>
      <c r="AG634" s="6">
        <f>$O$634*$AA$634</f>
        <v>79.690462177040061</v>
      </c>
    </row>
    <row r="635" spans="1:33" ht="11.25" customHeight="1" x14ac:dyDescent="0.25">
      <c r="A635" s="4" t="s">
        <v>21</v>
      </c>
      <c r="B635" s="4" t="s">
        <v>22</v>
      </c>
      <c r="C635" s="4" t="s">
        <v>36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37</v>
      </c>
      <c r="I635" s="5">
        <v>44378</v>
      </c>
      <c r="J635" s="6">
        <v>0</v>
      </c>
      <c r="K635" s="6">
        <v>0</v>
      </c>
      <c r="L635" s="6">
        <v>0.16400000000000001</v>
      </c>
      <c r="M635" s="6">
        <v>0.16400000000000001</v>
      </c>
      <c r="N635" s="6">
        <v>0.16400000000000001</v>
      </c>
      <c r="O635" s="6">
        <v>0.16400000000000001</v>
      </c>
      <c r="P635" s="6">
        <v>0</v>
      </c>
      <c r="Q635" s="4" t="s">
        <v>26</v>
      </c>
      <c r="R635" s="4">
        <v>0</v>
      </c>
      <c r="S635" s="6">
        <v>0</v>
      </c>
      <c r="T635" s="6">
        <v>27</v>
      </c>
      <c r="U635" s="6">
        <v>68</v>
      </c>
      <c r="V635" s="6">
        <f>IF(ISERROR(VLOOKUP($S$635,'TAR FIN'!$A$1:$O$103,15,0)),0,VLOOKUP($S$635,'TAR FIN'!$A$1:$O$103,15,0))</f>
        <v>0</v>
      </c>
      <c r="W635" s="6">
        <f>IF(ISERROR(VLOOKUP($T$635,'TAR FIN'!$A$1:$O$103,15,0)),0,VLOOKUP($T$635,'TAR FIN'!$A$1:$O$103,15,0))</f>
        <v>561.79999999999995</v>
      </c>
      <c r="X635" s="6">
        <f>IF(ISERROR(VLOOKUP($U$635,'TAR FIN'!$A$1:$O$103,15,0)),0,VLOOKUP($U$635,'TAR FIN'!$A$1:$O$103,15,0))</f>
        <v>437.87</v>
      </c>
      <c r="Y635" s="6"/>
      <c r="Z635" s="6">
        <f ca="1">('TUSD BE'!$AM$27+'TUSD BF'!$AM$27+'TUSD CVA'!$AM$27)*1</f>
        <v>1332.1115514867013</v>
      </c>
      <c r="AA635" s="6">
        <f>('TE BE'!$AB$11+'TE BF'!$AB$11+'TE CVA'!$AB$11)*1</f>
        <v>415.05449050541699</v>
      </c>
      <c r="AB635" s="6">
        <f>$K$635*$V$635</f>
        <v>0</v>
      </c>
      <c r="AC635" s="6">
        <f>$M$635*$W$635</f>
        <v>92.135199999999998</v>
      </c>
      <c r="AD635" s="6">
        <f>$O$635*$X$635</f>
        <v>71.810680000000005</v>
      </c>
      <c r="AE635" s="6">
        <f>$K$635*$Y$635</f>
        <v>0</v>
      </c>
      <c r="AF635" s="6">
        <f ca="1">$M$635*$Z$635</f>
        <v>218.46629444381901</v>
      </c>
      <c r="AG635" s="6">
        <f>$O$635*$AA$635</f>
        <v>68.068936442888386</v>
      </c>
    </row>
    <row r="636" spans="1:33" ht="11.25" customHeight="1" x14ac:dyDescent="0.25">
      <c r="A636" s="4" t="s">
        <v>21</v>
      </c>
      <c r="B636" s="4" t="s">
        <v>22</v>
      </c>
      <c r="C636" s="4" t="s">
        <v>36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37</v>
      </c>
      <c r="I636" s="5">
        <v>44409</v>
      </c>
      <c r="J636" s="6">
        <v>0</v>
      </c>
      <c r="K636" s="6">
        <v>0</v>
      </c>
      <c r="L636" s="6">
        <v>0.153</v>
      </c>
      <c r="M636" s="6">
        <v>0.153</v>
      </c>
      <c r="N636" s="6">
        <v>0.153</v>
      </c>
      <c r="O636" s="6">
        <v>0.153</v>
      </c>
      <c r="P636" s="6">
        <v>0</v>
      </c>
      <c r="Q636" s="4" t="s">
        <v>26</v>
      </c>
      <c r="R636" s="4">
        <v>0</v>
      </c>
      <c r="S636" s="6">
        <v>0</v>
      </c>
      <c r="T636" s="6">
        <v>27</v>
      </c>
      <c r="U636" s="6">
        <v>68</v>
      </c>
      <c r="V636" s="6">
        <f>IF(ISERROR(VLOOKUP($S$636,'TAR FIN'!$A$1:$O$103,15,0)),0,VLOOKUP($S$636,'TAR FIN'!$A$1:$O$103,15,0))</f>
        <v>0</v>
      </c>
      <c r="W636" s="6">
        <f>IF(ISERROR(VLOOKUP($T$636,'TAR FIN'!$A$1:$O$103,15,0)),0,VLOOKUP($T$636,'TAR FIN'!$A$1:$O$103,15,0))</f>
        <v>561.79999999999995</v>
      </c>
      <c r="X636" s="6">
        <f>IF(ISERROR(VLOOKUP($U$636,'TAR FIN'!$A$1:$O$103,15,0)),0,VLOOKUP($U$636,'TAR FIN'!$A$1:$O$103,15,0))</f>
        <v>437.87</v>
      </c>
      <c r="Y636" s="6"/>
      <c r="Z636" s="6">
        <f ca="1">('TUSD BE'!$AM$27+'TUSD BF'!$AM$27+'TUSD CVA'!$AM$27)*1</f>
        <v>1332.1115514867013</v>
      </c>
      <c r="AA636" s="6">
        <f>('TE BE'!$AB$11+'TE BF'!$AB$11+'TE CVA'!$AB$11)*1</f>
        <v>415.05449050541699</v>
      </c>
      <c r="AB636" s="6">
        <f>$K$636*$V$636</f>
        <v>0</v>
      </c>
      <c r="AC636" s="6">
        <f>$M$636*$W$636</f>
        <v>85.955399999999997</v>
      </c>
      <c r="AD636" s="6">
        <f>$O$636*$X$636</f>
        <v>66.994110000000006</v>
      </c>
      <c r="AE636" s="6">
        <f>$K$636*$Y$636</f>
        <v>0</v>
      </c>
      <c r="AF636" s="6">
        <f ca="1">$M$636*$Z$636</f>
        <v>203.8130673774653</v>
      </c>
      <c r="AG636" s="6">
        <f>$O$636*$AA$636</f>
        <v>63.503337047328799</v>
      </c>
    </row>
    <row r="637" spans="1:33" ht="11.25" customHeight="1" x14ac:dyDescent="0.25">
      <c r="A637" s="4" t="s">
        <v>21</v>
      </c>
      <c r="B637" s="4" t="s">
        <v>22</v>
      </c>
      <c r="C637" s="4" t="s">
        <v>36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37</v>
      </c>
      <c r="I637" s="5">
        <v>44440</v>
      </c>
      <c r="J637" s="6">
        <v>0</v>
      </c>
      <c r="K637" s="6">
        <v>0</v>
      </c>
      <c r="L637" s="6">
        <v>0.16200000000000001</v>
      </c>
      <c r="M637" s="6">
        <v>0.16200000000000001</v>
      </c>
      <c r="N637" s="6">
        <v>0.16200000000000001</v>
      </c>
      <c r="O637" s="6">
        <v>0.16200000000000001</v>
      </c>
      <c r="P637" s="6">
        <v>0</v>
      </c>
      <c r="Q637" s="4" t="s">
        <v>26</v>
      </c>
      <c r="R637" s="4">
        <v>0</v>
      </c>
      <c r="S637" s="6">
        <v>0</v>
      </c>
      <c r="T637" s="6">
        <v>27</v>
      </c>
      <c r="U637" s="6">
        <v>68</v>
      </c>
      <c r="V637" s="6">
        <f>IF(ISERROR(VLOOKUP($S$637,'TAR FIN'!$A$1:$O$103,15,0)),0,VLOOKUP($S$637,'TAR FIN'!$A$1:$O$103,15,0))</f>
        <v>0</v>
      </c>
      <c r="W637" s="6">
        <f>IF(ISERROR(VLOOKUP($T$637,'TAR FIN'!$A$1:$O$103,15,0)),0,VLOOKUP($T$637,'TAR FIN'!$A$1:$O$103,15,0))</f>
        <v>561.79999999999995</v>
      </c>
      <c r="X637" s="6">
        <f>IF(ISERROR(VLOOKUP($U$637,'TAR FIN'!$A$1:$O$103,15,0)),0,VLOOKUP($U$637,'TAR FIN'!$A$1:$O$103,15,0))</f>
        <v>437.87</v>
      </c>
      <c r="Y637" s="6"/>
      <c r="Z637" s="6">
        <f ca="1">('TUSD BE'!$AM$27+'TUSD BF'!$AM$27+'TUSD CVA'!$AM$27)*1</f>
        <v>1332.1115514867013</v>
      </c>
      <c r="AA637" s="6">
        <f>('TE BE'!$AB$11+'TE BF'!$AB$11+'TE CVA'!$AB$11)*1</f>
        <v>415.05449050541699</v>
      </c>
      <c r="AB637" s="6">
        <f>$K$637*$V$637</f>
        <v>0</v>
      </c>
      <c r="AC637" s="6">
        <f>$M$637*$W$637</f>
        <v>91.011600000000001</v>
      </c>
      <c r="AD637" s="6">
        <f>$O$637*$X$637</f>
        <v>70.934939999999997</v>
      </c>
      <c r="AE637" s="6">
        <f>$K$637*$Y$637</f>
        <v>0</v>
      </c>
      <c r="AF637" s="6">
        <f ca="1">$M$637*$Z$637</f>
        <v>215.8020713408456</v>
      </c>
      <c r="AG637" s="6">
        <f>$O$637*$AA$637</f>
        <v>67.238827461877548</v>
      </c>
    </row>
    <row r="638" spans="1:33" ht="11.25" customHeight="1" x14ac:dyDescent="0.25">
      <c r="A638" s="4" t="s">
        <v>21</v>
      </c>
      <c r="B638" s="4" t="s">
        <v>22</v>
      </c>
      <c r="C638" s="4" t="s">
        <v>36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37</v>
      </c>
      <c r="I638" s="5">
        <v>44470</v>
      </c>
      <c r="J638" s="6">
        <v>0</v>
      </c>
      <c r="K638" s="6">
        <v>0</v>
      </c>
      <c r="L638" s="6">
        <v>0.33600000000000002</v>
      </c>
      <c r="M638" s="6">
        <v>0.33600000000000002</v>
      </c>
      <c r="N638" s="6">
        <v>0.33600000000000002</v>
      </c>
      <c r="O638" s="6">
        <v>0.33600000000000002</v>
      </c>
      <c r="P638" s="6">
        <v>0</v>
      </c>
      <c r="Q638" s="4" t="s">
        <v>26</v>
      </c>
      <c r="R638" s="4">
        <v>0</v>
      </c>
      <c r="S638" s="6">
        <v>0</v>
      </c>
      <c r="T638" s="6">
        <v>27</v>
      </c>
      <c r="U638" s="6">
        <v>68</v>
      </c>
      <c r="V638" s="6">
        <f>IF(ISERROR(VLOOKUP($S$638,'TAR FIN'!$A$1:$O$103,15,0)),0,VLOOKUP($S$638,'TAR FIN'!$A$1:$O$103,15,0))</f>
        <v>0</v>
      </c>
      <c r="W638" s="6">
        <f>IF(ISERROR(VLOOKUP($T$638,'TAR FIN'!$A$1:$O$103,15,0)),0,VLOOKUP($T$638,'TAR FIN'!$A$1:$O$103,15,0))</f>
        <v>561.79999999999995</v>
      </c>
      <c r="X638" s="6">
        <f>IF(ISERROR(VLOOKUP($U$638,'TAR FIN'!$A$1:$O$103,15,0)),0,VLOOKUP($U$638,'TAR FIN'!$A$1:$O$103,15,0))</f>
        <v>437.87</v>
      </c>
      <c r="Y638" s="6"/>
      <c r="Z638" s="6">
        <f ca="1">('TUSD BE'!$AM$27+'TUSD BF'!$AM$27+'TUSD CVA'!$AM$27)*1</f>
        <v>1332.1115514867013</v>
      </c>
      <c r="AA638" s="6">
        <f>('TE BE'!$AB$11+'TE BF'!$AB$11+'TE CVA'!$AB$11)*1</f>
        <v>415.05449050541699</v>
      </c>
      <c r="AB638" s="6">
        <f>$K$638*$V$638</f>
        <v>0</v>
      </c>
      <c r="AC638" s="6">
        <f>$M$638*$W$638</f>
        <v>188.76480000000001</v>
      </c>
      <c r="AD638" s="6">
        <f>$O$638*$X$638</f>
        <v>147.12432000000001</v>
      </c>
      <c r="AE638" s="6">
        <f>$K$638*$Y$638</f>
        <v>0</v>
      </c>
      <c r="AF638" s="6">
        <f ca="1">$M$638*$Z$638</f>
        <v>447.58948129953166</v>
      </c>
      <c r="AG638" s="6">
        <f>$O$638*$AA$638</f>
        <v>139.45830880982012</v>
      </c>
    </row>
    <row r="639" spans="1:33" ht="11.25" customHeight="1" x14ac:dyDescent="0.25">
      <c r="A639" s="4" t="s">
        <v>21</v>
      </c>
      <c r="B639" s="4" t="s">
        <v>22</v>
      </c>
      <c r="C639" s="4" t="s">
        <v>36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37</v>
      </c>
      <c r="I639" s="5">
        <v>44501</v>
      </c>
      <c r="J639" s="6">
        <v>0</v>
      </c>
      <c r="K639" s="6">
        <v>0</v>
      </c>
      <c r="L639" s="6">
        <v>0.188</v>
      </c>
      <c r="M639" s="6">
        <v>0.188</v>
      </c>
      <c r="N639" s="6">
        <v>0.188</v>
      </c>
      <c r="O639" s="6">
        <v>0.188</v>
      </c>
      <c r="P639" s="6">
        <v>0</v>
      </c>
      <c r="Q639" s="4" t="s">
        <v>26</v>
      </c>
      <c r="R639" s="4">
        <v>0</v>
      </c>
      <c r="S639" s="6">
        <v>0</v>
      </c>
      <c r="T639" s="6">
        <v>27</v>
      </c>
      <c r="U639" s="6">
        <v>68</v>
      </c>
      <c r="V639" s="6">
        <f>IF(ISERROR(VLOOKUP($S$639,'TAR FIN'!$A$1:$O$103,15,0)),0,VLOOKUP($S$639,'TAR FIN'!$A$1:$O$103,15,0))</f>
        <v>0</v>
      </c>
      <c r="W639" s="6">
        <f>IF(ISERROR(VLOOKUP($T$639,'TAR FIN'!$A$1:$O$103,15,0)),0,VLOOKUP($T$639,'TAR FIN'!$A$1:$O$103,15,0))</f>
        <v>561.79999999999995</v>
      </c>
      <c r="X639" s="6">
        <f>IF(ISERROR(VLOOKUP($U$639,'TAR FIN'!$A$1:$O$103,15,0)),0,VLOOKUP($U$639,'TAR FIN'!$A$1:$O$103,15,0))</f>
        <v>437.87</v>
      </c>
      <c r="Y639" s="6"/>
      <c r="Z639" s="6">
        <f ca="1">('TUSD BE'!$AM$27+'TUSD BF'!$AM$27+'TUSD CVA'!$AM$27)*1</f>
        <v>1332.1115514867013</v>
      </c>
      <c r="AA639" s="6">
        <f>('TE BE'!$AB$11+'TE BF'!$AB$11+'TE CVA'!$AB$11)*1</f>
        <v>415.05449050541699</v>
      </c>
      <c r="AB639" s="6">
        <f>$K$639*$V$639</f>
        <v>0</v>
      </c>
      <c r="AC639" s="6">
        <f>$M$639*$W$639</f>
        <v>105.61839999999999</v>
      </c>
      <c r="AD639" s="6">
        <f>$O$639*$X$639</f>
        <v>82.319559999999996</v>
      </c>
      <c r="AE639" s="6">
        <f>$K$639*$Y$639</f>
        <v>0</v>
      </c>
      <c r="AF639" s="6">
        <f ca="1">$M$639*$Z$639</f>
        <v>250.43697167949983</v>
      </c>
      <c r="AG639" s="6">
        <f>$O$639*$AA$639</f>
        <v>78.030244215018399</v>
      </c>
    </row>
    <row r="640" spans="1:33" ht="11.25" customHeight="1" x14ac:dyDescent="0.25">
      <c r="A640" s="4" t="s">
        <v>21</v>
      </c>
      <c r="B640" s="4" t="s">
        <v>22</v>
      </c>
      <c r="C640" s="4" t="s">
        <v>36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37</v>
      </c>
      <c r="I640" s="5">
        <v>44531</v>
      </c>
      <c r="J640" s="6">
        <v>0</v>
      </c>
      <c r="K640" s="6">
        <v>0</v>
      </c>
      <c r="L640" s="6">
        <v>0.17199999999999999</v>
      </c>
      <c r="M640" s="6">
        <v>0.17199999999999999</v>
      </c>
      <c r="N640" s="6">
        <v>0.17199999999999999</v>
      </c>
      <c r="O640" s="6">
        <v>0.17199999999999999</v>
      </c>
      <c r="P640" s="6">
        <v>0</v>
      </c>
      <c r="Q640" s="4" t="s">
        <v>26</v>
      </c>
      <c r="R640" s="4">
        <v>0</v>
      </c>
      <c r="S640" s="6">
        <v>0</v>
      </c>
      <c r="T640" s="6">
        <v>27</v>
      </c>
      <c r="U640" s="6">
        <v>68</v>
      </c>
      <c r="V640" s="6">
        <f>IF(ISERROR(VLOOKUP($S$640,'TAR FIN'!$A$1:$O$103,15,0)),0,VLOOKUP($S$640,'TAR FIN'!$A$1:$O$103,15,0))</f>
        <v>0</v>
      </c>
      <c r="W640" s="6">
        <f>IF(ISERROR(VLOOKUP($T$640,'TAR FIN'!$A$1:$O$103,15,0)),0,VLOOKUP($T$640,'TAR FIN'!$A$1:$O$103,15,0))</f>
        <v>561.79999999999995</v>
      </c>
      <c r="X640" s="6">
        <f>IF(ISERROR(VLOOKUP($U$640,'TAR FIN'!$A$1:$O$103,15,0)),0,VLOOKUP($U$640,'TAR FIN'!$A$1:$O$103,15,0))</f>
        <v>437.87</v>
      </c>
      <c r="Y640" s="6"/>
      <c r="Z640" s="6">
        <f ca="1">('TUSD BE'!$AM$27+'TUSD BF'!$AM$27+'TUSD CVA'!$AM$27)*1</f>
        <v>1332.1115514867013</v>
      </c>
      <c r="AA640" s="6">
        <f>('TE BE'!$AB$11+'TE BF'!$AB$11+'TE CVA'!$AB$11)*1</f>
        <v>415.05449050541699</v>
      </c>
      <c r="AB640" s="6">
        <f>$K$640*$V$640</f>
        <v>0</v>
      </c>
      <c r="AC640" s="6">
        <f>$M$640*$W$640</f>
        <v>96.629599999999982</v>
      </c>
      <c r="AD640" s="6">
        <f>$O$640*$X$640</f>
        <v>75.313639999999992</v>
      </c>
      <c r="AE640" s="6">
        <f>$K$640*$Y$640</f>
        <v>0</v>
      </c>
      <c r="AF640" s="6">
        <f ca="1">$M$640*$Z$640</f>
        <v>229.12318685571259</v>
      </c>
      <c r="AG640" s="6">
        <f>$O$640*$AA$640</f>
        <v>71.389372366931724</v>
      </c>
    </row>
    <row r="641" spans="1:33" ht="11.25" customHeight="1" x14ac:dyDescent="0.25">
      <c r="A641" s="4" t="s">
        <v>21</v>
      </c>
      <c r="B641" s="4" t="s">
        <v>22</v>
      </c>
      <c r="C641" s="4" t="s">
        <v>36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37</v>
      </c>
      <c r="I641" s="5">
        <v>44562</v>
      </c>
      <c r="J641" s="6">
        <v>0</v>
      </c>
      <c r="K641" s="6">
        <v>0</v>
      </c>
      <c r="L641" s="6">
        <v>0.17699999999999999</v>
      </c>
      <c r="M641" s="6">
        <v>0.17699999999999999</v>
      </c>
      <c r="N641" s="6">
        <v>0.17699999999999999</v>
      </c>
      <c r="O641" s="6">
        <v>0.17699999999999999</v>
      </c>
      <c r="P641" s="6">
        <v>0</v>
      </c>
      <c r="Q641" s="4" t="s">
        <v>26</v>
      </c>
      <c r="R641" s="4">
        <v>0</v>
      </c>
      <c r="S641" s="6">
        <v>0</v>
      </c>
      <c r="T641" s="6">
        <v>27</v>
      </c>
      <c r="U641" s="6">
        <v>68</v>
      </c>
      <c r="V641" s="6">
        <f>IF(ISERROR(VLOOKUP($S$641,'TAR FIN'!$A$1:$O$103,15,0)),0,VLOOKUP($S$641,'TAR FIN'!$A$1:$O$103,15,0))</f>
        <v>0</v>
      </c>
      <c r="W641" s="6">
        <f>IF(ISERROR(VLOOKUP($T$641,'TAR FIN'!$A$1:$O$103,15,0)),0,VLOOKUP($T$641,'TAR FIN'!$A$1:$O$103,15,0))</f>
        <v>561.79999999999995</v>
      </c>
      <c r="X641" s="6">
        <f>IF(ISERROR(VLOOKUP($U$641,'TAR FIN'!$A$1:$O$103,15,0)),0,VLOOKUP($U$641,'TAR FIN'!$A$1:$O$103,15,0))</f>
        <v>437.87</v>
      </c>
      <c r="Y641" s="6"/>
      <c r="Z641" s="6">
        <f ca="1">('TUSD BE'!$AM$27+'TUSD BF'!$AM$27+'TUSD CVA'!$AM$27)*1</f>
        <v>1332.1115514867013</v>
      </c>
      <c r="AA641" s="6">
        <f>('TE BE'!$AB$11+'TE BF'!$AB$11+'TE CVA'!$AB$11)*1</f>
        <v>415.05449050541699</v>
      </c>
      <c r="AB641" s="6">
        <f>$K$641*$V$641</f>
        <v>0</v>
      </c>
      <c r="AC641" s="6">
        <f>$M$641*$W$641</f>
        <v>99.43859999999998</v>
      </c>
      <c r="AD641" s="6">
        <f>$O$641*$X$641</f>
        <v>77.502989999999997</v>
      </c>
      <c r="AE641" s="6">
        <f>$K$641*$Y$641</f>
        <v>0</v>
      </c>
      <c r="AF641" s="6">
        <f ca="1">$M$641*$Z$641</f>
        <v>235.78374461314613</v>
      </c>
      <c r="AG641" s="6">
        <f>$O$641*$AA$641</f>
        <v>73.464644819458798</v>
      </c>
    </row>
    <row r="642" spans="1:33" ht="11.25" customHeight="1" x14ac:dyDescent="0.25">
      <c r="A642" s="4" t="s">
        <v>21</v>
      </c>
      <c r="B642" s="4" t="s">
        <v>22</v>
      </c>
      <c r="C642" s="4" t="s">
        <v>36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37</v>
      </c>
      <c r="I642" s="5">
        <v>44593</v>
      </c>
      <c r="J642" s="6">
        <v>0</v>
      </c>
      <c r="K642" s="6">
        <v>0</v>
      </c>
      <c r="L642" s="6">
        <v>0.188</v>
      </c>
      <c r="M642" s="6">
        <v>0.188</v>
      </c>
      <c r="N642" s="6">
        <v>0.188</v>
      </c>
      <c r="O642" s="6">
        <v>0.188</v>
      </c>
      <c r="P642" s="6">
        <v>0</v>
      </c>
      <c r="Q642" s="4" t="s">
        <v>26</v>
      </c>
      <c r="R642" s="4">
        <v>0</v>
      </c>
      <c r="S642" s="6">
        <v>0</v>
      </c>
      <c r="T642" s="6">
        <v>27</v>
      </c>
      <c r="U642" s="6">
        <v>68</v>
      </c>
      <c r="V642" s="6">
        <f>IF(ISERROR(VLOOKUP($S$642,'TAR FIN'!$A$1:$O$103,15,0)),0,VLOOKUP($S$642,'TAR FIN'!$A$1:$O$103,15,0))</f>
        <v>0</v>
      </c>
      <c r="W642" s="6">
        <f>IF(ISERROR(VLOOKUP($T$642,'TAR FIN'!$A$1:$O$103,15,0)),0,VLOOKUP($T$642,'TAR FIN'!$A$1:$O$103,15,0))</f>
        <v>561.79999999999995</v>
      </c>
      <c r="X642" s="6">
        <f>IF(ISERROR(VLOOKUP($U$642,'TAR FIN'!$A$1:$O$103,15,0)),0,VLOOKUP($U$642,'TAR FIN'!$A$1:$O$103,15,0))</f>
        <v>437.87</v>
      </c>
      <c r="Y642" s="6"/>
      <c r="Z642" s="6">
        <f ca="1">('TUSD BE'!$AM$27+'TUSD BF'!$AM$27+'TUSD CVA'!$AM$27)*1</f>
        <v>1332.1115514867013</v>
      </c>
      <c r="AA642" s="6">
        <f>('TE BE'!$AB$11+'TE BF'!$AB$11+'TE CVA'!$AB$11)*1</f>
        <v>415.05449050541699</v>
      </c>
      <c r="AB642" s="6">
        <f>$K$642*$V$642</f>
        <v>0</v>
      </c>
      <c r="AC642" s="6">
        <f>$M$642*$W$642</f>
        <v>105.61839999999999</v>
      </c>
      <c r="AD642" s="6">
        <f>$O$642*$X$642</f>
        <v>82.319559999999996</v>
      </c>
      <c r="AE642" s="6">
        <f>$K$642*$Y$642</f>
        <v>0</v>
      </c>
      <c r="AF642" s="6">
        <f ca="1">$M$642*$Z$642</f>
        <v>250.43697167949983</v>
      </c>
      <c r="AG642" s="6">
        <f>$O$642*$AA$642</f>
        <v>78.030244215018399</v>
      </c>
    </row>
    <row r="643" spans="1:33" ht="11.25" customHeight="1" x14ac:dyDescent="0.25">
      <c r="A643" s="4" t="s">
        <v>21</v>
      </c>
      <c r="B643" s="4" t="s">
        <v>22</v>
      </c>
      <c r="C643" s="4" t="s">
        <v>36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37</v>
      </c>
      <c r="I643" s="5">
        <v>44621</v>
      </c>
      <c r="J643" s="6">
        <v>0</v>
      </c>
      <c r="K643" s="6">
        <v>0</v>
      </c>
      <c r="L643" s="6">
        <v>0.17899999999999999</v>
      </c>
      <c r="M643" s="6">
        <v>0.17899999999999999</v>
      </c>
      <c r="N643" s="6">
        <v>0.17899999999999999</v>
      </c>
      <c r="O643" s="6">
        <v>0.17899999999999999</v>
      </c>
      <c r="P643" s="6">
        <v>0</v>
      </c>
      <c r="Q643" s="4" t="s">
        <v>26</v>
      </c>
      <c r="R643" s="4">
        <v>0</v>
      </c>
      <c r="S643" s="6">
        <v>0</v>
      </c>
      <c r="T643" s="6">
        <v>27</v>
      </c>
      <c r="U643" s="6">
        <v>68</v>
      </c>
      <c r="V643" s="6">
        <f>IF(ISERROR(VLOOKUP($S$643,'TAR FIN'!$A$1:$O$103,15,0)),0,VLOOKUP($S$643,'TAR FIN'!$A$1:$O$103,15,0))</f>
        <v>0</v>
      </c>
      <c r="W643" s="6">
        <f>IF(ISERROR(VLOOKUP($T$643,'TAR FIN'!$A$1:$O$103,15,0)),0,VLOOKUP($T$643,'TAR FIN'!$A$1:$O$103,15,0))</f>
        <v>561.79999999999995</v>
      </c>
      <c r="X643" s="6">
        <f>IF(ISERROR(VLOOKUP($U$643,'TAR FIN'!$A$1:$O$103,15,0)),0,VLOOKUP($U$643,'TAR FIN'!$A$1:$O$103,15,0))</f>
        <v>437.87</v>
      </c>
      <c r="Y643" s="6"/>
      <c r="Z643" s="6">
        <f ca="1">('TUSD BE'!$AM$27+'TUSD BF'!$AM$27+'TUSD CVA'!$AM$27)*1</f>
        <v>1332.1115514867013</v>
      </c>
      <c r="AA643" s="6">
        <f>('TE BE'!$AB$11+'TE BF'!$AB$11+'TE CVA'!$AB$11)*1</f>
        <v>415.05449050541699</v>
      </c>
      <c r="AB643" s="6">
        <f>$K$643*$V$643</f>
        <v>0</v>
      </c>
      <c r="AC643" s="6">
        <f>$M$643*$W$643</f>
        <v>100.56219999999999</v>
      </c>
      <c r="AD643" s="6">
        <f>$O$643*$X$643</f>
        <v>78.378730000000004</v>
      </c>
      <c r="AE643" s="6">
        <f>$K$643*$Y$643</f>
        <v>0</v>
      </c>
      <c r="AF643" s="6">
        <f ca="1">$M$643*$Z$643</f>
        <v>238.44796771611951</v>
      </c>
      <c r="AG643" s="6">
        <f>$O$643*$AA$643</f>
        <v>74.294753800469636</v>
      </c>
    </row>
    <row r="644" spans="1:33" ht="11.25" customHeight="1" x14ac:dyDescent="0.25">
      <c r="A644" s="4" t="s">
        <v>21</v>
      </c>
      <c r="B644" s="4" t="s">
        <v>22</v>
      </c>
      <c r="C644" s="4" t="s">
        <v>36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37</v>
      </c>
      <c r="I644" s="5">
        <v>44652</v>
      </c>
      <c r="J644" s="6">
        <v>0</v>
      </c>
      <c r="K644" s="6">
        <v>0</v>
      </c>
      <c r="L644" s="6">
        <v>0.16700000000000001</v>
      </c>
      <c r="M644" s="6">
        <v>0.16700000000000001</v>
      </c>
      <c r="N644" s="6">
        <v>0.16700000000000001</v>
      </c>
      <c r="O644" s="6">
        <v>0.16700000000000001</v>
      </c>
      <c r="P644" s="6">
        <v>0</v>
      </c>
      <c r="Q644" s="4" t="s">
        <v>26</v>
      </c>
      <c r="R644" s="4">
        <v>0</v>
      </c>
      <c r="S644" s="6">
        <v>0</v>
      </c>
      <c r="T644" s="6">
        <v>27</v>
      </c>
      <c r="U644" s="6">
        <v>68</v>
      </c>
      <c r="V644" s="6">
        <f>IF(ISERROR(VLOOKUP($S$644,'TAR FIN'!$A$1:$O$103,15,0)),0,VLOOKUP($S$644,'TAR FIN'!$A$1:$O$103,15,0))</f>
        <v>0</v>
      </c>
      <c r="W644" s="6">
        <f>IF(ISERROR(VLOOKUP($T$644,'TAR FIN'!$A$1:$O$103,15,0)),0,VLOOKUP($T$644,'TAR FIN'!$A$1:$O$103,15,0))</f>
        <v>561.79999999999995</v>
      </c>
      <c r="X644" s="6">
        <f>IF(ISERROR(VLOOKUP($U$644,'TAR FIN'!$A$1:$O$103,15,0)),0,VLOOKUP($U$644,'TAR FIN'!$A$1:$O$103,15,0))</f>
        <v>437.87</v>
      </c>
      <c r="Y644" s="6"/>
      <c r="Z644" s="6">
        <f ca="1">('TUSD BE'!$AM$27+'TUSD BF'!$AM$27+'TUSD CVA'!$AM$27)*1</f>
        <v>1332.1115514867013</v>
      </c>
      <c r="AA644" s="6">
        <f>('TE BE'!$AB$11+'TE BF'!$AB$11+'TE CVA'!$AB$11)*1</f>
        <v>415.05449050541699</v>
      </c>
      <c r="AB644" s="6">
        <f>$K$644*$V$644</f>
        <v>0</v>
      </c>
      <c r="AC644" s="6">
        <f>$M$644*$W$644</f>
        <v>93.820599999999999</v>
      </c>
      <c r="AD644" s="6">
        <f>$O$644*$X$644</f>
        <v>73.124290000000002</v>
      </c>
      <c r="AE644" s="6">
        <f>$K$644*$Y$644</f>
        <v>0</v>
      </c>
      <c r="AF644" s="6">
        <f ca="1">$M$644*$Z$644</f>
        <v>222.46262909827914</v>
      </c>
      <c r="AG644" s="6">
        <f>$O$644*$AA$644</f>
        <v>69.314099914404636</v>
      </c>
    </row>
    <row r="645" spans="1:33" ht="11.25" customHeight="1" x14ac:dyDescent="0.25">
      <c r="A645" s="4" t="s">
        <v>21</v>
      </c>
      <c r="B645" s="4" t="s">
        <v>22</v>
      </c>
      <c r="C645" s="4" t="s">
        <v>36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37</v>
      </c>
      <c r="I645" s="5">
        <v>44682</v>
      </c>
      <c r="J645" s="6">
        <v>0</v>
      </c>
      <c r="K645" s="6">
        <v>0</v>
      </c>
      <c r="L645" s="6">
        <v>0.14099999999999999</v>
      </c>
      <c r="M645" s="6">
        <v>0.14099999999999999</v>
      </c>
      <c r="N645" s="6">
        <v>0.14099999999999999</v>
      </c>
      <c r="O645" s="6">
        <v>0.14099999999999999</v>
      </c>
      <c r="P645" s="6">
        <v>0</v>
      </c>
      <c r="Q645" s="4" t="s">
        <v>26</v>
      </c>
      <c r="R645" s="4">
        <v>0</v>
      </c>
      <c r="S645" s="6">
        <v>0</v>
      </c>
      <c r="T645" s="6">
        <v>27</v>
      </c>
      <c r="U645" s="6">
        <v>68</v>
      </c>
      <c r="V645" s="6">
        <f>IF(ISERROR(VLOOKUP($S$645,'TAR FIN'!$A$1:$O$103,15,0)),0,VLOOKUP($S$645,'TAR FIN'!$A$1:$O$103,15,0))</f>
        <v>0</v>
      </c>
      <c r="W645" s="6">
        <f>IF(ISERROR(VLOOKUP($T$645,'TAR FIN'!$A$1:$O$103,15,0)),0,VLOOKUP($T$645,'TAR FIN'!$A$1:$O$103,15,0))</f>
        <v>561.79999999999995</v>
      </c>
      <c r="X645" s="6">
        <f>IF(ISERROR(VLOOKUP($U$645,'TAR FIN'!$A$1:$O$103,15,0)),0,VLOOKUP($U$645,'TAR FIN'!$A$1:$O$103,15,0))</f>
        <v>437.87</v>
      </c>
      <c r="Y645" s="6"/>
      <c r="Z645" s="6">
        <f ca="1">('TUSD BE'!$AM$27+'TUSD BF'!$AM$27+'TUSD CVA'!$AM$27)*1</f>
        <v>1332.1115514867013</v>
      </c>
      <c r="AA645" s="6">
        <f>('TE BE'!$AB$11+'TE BF'!$AB$11+'TE CVA'!$AB$11)*1</f>
        <v>415.05449050541699</v>
      </c>
      <c r="AB645" s="6">
        <f>$K$645*$V$645</f>
        <v>0</v>
      </c>
      <c r="AC645" s="6">
        <f>$M$645*$W$645</f>
        <v>79.213799999999992</v>
      </c>
      <c r="AD645" s="6">
        <f>$O$645*$X$645</f>
        <v>61.739669999999997</v>
      </c>
      <c r="AE645" s="6">
        <f>$K$645*$Y$645</f>
        <v>0</v>
      </c>
      <c r="AF645" s="6">
        <f ca="1">$M$645*$Z$645</f>
        <v>187.82772875962488</v>
      </c>
      <c r="AG645" s="6">
        <f>$O$645*$AA$645</f>
        <v>58.522683161263792</v>
      </c>
    </row>
    <row r="646" spans="1:33" ht="11.25" customHeight="1" x14ac:dyDescent="0.25">
      <c r="A646" s="4" t="s">
        <v>21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44348</v>
      </c>
      <c r="J646" s="6">
        <v>0</v>
      </c>
      <c r="K646" s="6">
        <v>0</v>
      </c>
      <c r="L646" s="6">
        <v>7050.8720000000003</v>
      </c>
      <c r="M646" s="6">
        <v>7050.8720000000003</v>
      </c>
      <c r="N646" s="6">
        <v>7050.8720000000003</v>
      </c>
      <c r="O646" s="6">
        <v>7050.8720000000003</v>
      </c>
      <c r="P646" s="6">
        <v>43492</v>
      </c>
      <c r="Q646" s="4" t="s">
        <v>26</v>
      </c>
      <c r="R646" s="4">
        <v>0</v>
      </c>
      <c r="S646" s="6">
        <v>0</v>
      </c>
      <c r="T646" s="6">
        <v>30</v>
      </c>
      <c r="U646" s="6">
        <v>71</v>
      </c>
      <c r="V646" s="6">
        <f>IF(ISERROR(VLOOKUP($S$646,'TAR FIN'!$A$1:$O$103,15,0)),0,VLOOKUP($S$646,'TAR FIN'!$A$1:$O$103,15,0))</f>
        <v>0</v>
      </c>
      <c r="W646" s="6">
        <f>IF(ISERROR(VLOOKUP($T$646,'TAR FIN'!$A$1:$O$103,15,0)),0,VLOOKUP($T$646,'TAR FIN'!$A$1:$O$103,15,0))</f>
        <v>269.91000000000003</v>
      </c>
      <c r="X646" s="6">
        <f>IF(ISERROR(VLOOKUP($U$646,'TAR FIN'!$A$1:$O$103,15,0)),0,VLOOKUP($U$646,'TAR FIN'!$A$1:$O$103,15,0))</f>
        <v>288.89999999999998</v>
      </c>
      <c r="Y646" s="6"/>
      <c r="Z646" s="6">
        <f ca="1">('TUSD BE'!$AM$30+'TUSD BF'!$AM$30+'TUSD CVA'!$AM$30)*1</f>
        <v>362.48776111536552</v>
      </c>
      <c r="AA646" s="6">
        <f>('TE BE'!$AB$14+'TE BF'!$AB$14+'TE CVA'!$AB$14)*1</f>
        <v>272.03825149820085</v>
      </c>
      <c r="AB646" s="6">
        <f>$K$646*$V$646</f>
        <v>0</v>
      </c>
      <c r="AC646" s="6">
        <f>$M$646*$W$646</f>
        <v>1903100.8615200003</v>
      </c>
      <c r="AD646" s="6">
        <f>$O$646*$X$646</f>
        <v>2036996.9208</v>
      </c>
      <c r="AE646" s="6">
        <f>$K$646*$Y$646</f>
        <v>0</v>
      </c>
      <c r="AF646" s="6">
        <f ca="1">$M$646*$Z$646</f>
        <v>2555854.8051910195</v>
      </c>
      <c r="AG646" s="6">
        <f>$O$646*$AA$646</f>
        <v>1918106.8904176224</v>
      </c>
    </row>
    <row r="647" spans="1:33" ht="11.25" customHeight="1" x14ac:dyDescent="0.25">
      <c r="A647" s="4" t="s">
        <v>27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44348</v>
      </c>
      <c r="J647" s="6">
        <v>0</v>
      </c>
      <c r="K647" s="6">
        <v>0</v>
      </c>
      <c r="L647" s="6">
        <v>-11.6</v>
      </c>
      <c r="M647" s="6">
        <v>-11.6</v>
      </c>
      <c r="N647" s="6">
        <v>-11.6</v>
      </c>
      <c r="O647" s="6">
        <v>-11.6</v>
      </c>
      <c r="P647" s="6">
        <v>0</v>
      </c>
      <c r="Q647" s="4" t="s">
        <v>26</v>
      </c>
      <c r="R647" s="4">
        <v>0</v>
      </c>
      <c r="S647" s="6">
        <v>0</v>
      </c>
      <c r="T647" s="6">
        <v>30</v>
      </c>
      <c r="U647" s="6">
        <v>71</v>
      </c>
      <c r="V647" s="6">
        <f>IF(ISERROR(VLOOKUP($S$647,'TAR FIN'!$A$1:$O$103,15,0)),0,VLOOKUP($S$647,'TAR FIN'!$A$1:$O$103,15,0))</f>
        <v>0</v>
      </c>
      <c r="W647" s="6">
        <f>IF(ISERROR(VLOOKUP($T$647,'TAR FIN'!$A$1:$O$103,15,0)),0,VLOOKUP($T$647,'TAR FIN'!$A$1:$O$103,15,0))</f>
        <v>269.91000000000003</v>
      </c>
      <c r="X647" s="6">
        <f>IF(ISERROR(VLOOKUP($U$647,'TAR FIN'!$A$1:$O$103,15,0)),0,VLOOKUP($U$647,'TAR FIN'!$A$1:$O$103,15,0))</f>
        <v>288.89999999999998</v>
      </c>
      <c r="Y647" s="6"/>
      <c r="Z647" s="6">
        <f ca="1">('TUSD BE'!$AM$30+'TUSD BF'!$AM$30+'TUSD CVA'!$AM$30)*1</f>
        <v>362.48776111536552</v>
      </c>
      <c r="AA647" s="6">
        <f>('TE BE'!$AB$14+'TE BF'!$AB$14+'TE CVA'!$AB$14)*1</f>
        <v>272.03825149820085</v>
      </c>
      <c r="AB647" s="6">
        <f>$K$647*$V$647</f>
        <v>0</v>
      </c>
      <c r="AC647" s="6">
        <f>$M$647*$W$647</f>
        <v>-3130.9560000000001</v>
      </c>
      <c r="AD647" s="6">
        <f>$O$647*$X$647</f>
        <v>-3351.24</v>
      </c>
      <c r="AE647" s="6">
        <f>$K$647*$Y$647</f>
        <v>0</v>
      </c>
      <c r="AF647" s="6">
        <f ca="1">$M$647*$Z$647</f>
        <v>-4204.8580289382398</v>
      </c>
      <c r="AG647" s="6">
        <f>$O$647*$AA$647</f>
        <v>-3155.6437173791296</v>
      </c>
    </row>
    <row r="648" spans="1:33" ht="11.25" customHeight="1" x14ac:dyDescent="0.25">
      <c r="A648" s="4" t="s">
        <v>28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44348</v>
      </c>
      <c r="J648" s="6">
        <v>0</v>
      </c>
      <c r="K648" s="6">
        <v>0</v>
      </c>
      <c r="L648" s="6">
        <v>21.725000000000001</v>
      </c>
      <c r="M648" s="6">
        <v>21.725000000000001</v>
      </c>
      <c r="N648" s="6">
        <v>21.725000000000001</v>
      </c>
      <c r="O648" s="6">
        <v>21.725000000000001</v>
      </c>
      <c r="P648" s="6">
        <v>107</v>
      </c>
      <c r="Q648" s="4" t="s">
        <v>26</v>
      </c>
      <c r="R648" s="4">
        <v>0</v>
      </c>
      <c r="S648" s="6">
        <v>0</v>
      </c>
      <c r="T648" s="6">
        <v>30</v>
      </c>
      <c r="U648" s="6">
        <v>71</v>
      </c>
      <c r="V648" s="6">
        <f>IF(ISERROR(VLOOKUP($S$648,'TAR FIN'!$A$1:$O$103,15,0)),0,VLOOKUP($S$648,'TAR FIN'!$A$1:$O$103,15,0))</f>
        <v>0</v>
      </c>
      <c r="W648" s="6">
        <f>IF(ISERROR(VLOOKUP($T$648,'TAR FIN'!$A$1:$O$103,15,0)),0,VLOOKUP($T$648,'TAR FIN'!$A$1:$O$103,15,0))</f>
        <v>269.91000000000003</v>
      </c>
      <c r="X648" s="6">
        <f>IF(ISERROR(VLOOKUP($U$648,'TAR FIN'!$A$1:$O$103,15,0)),0,VLOOKUP($U$648,'TAR FIN'!$A$1:$O$103,15,0))</f>
        <v>288.89999999999998</v>
      </c>
      <c r="Y648" s="6"/>
      <c r="Z648" s="6">
        <f ca="1">('TUSD BE'!$AM$30+'TUSD BF'!$AM$30+'TUSD CVA'!$AM$30)*1</f>
        <v>362.48776111536552</v>
      </c>
      <c r="AA648" s="6">
        <f>('TE BE'!$AB$14+'TE BF'!$AB$14+'TE CVA'!$AB$14)*1</f>
        <v>272.03825149820085</v>
      </c>
      <c r="AB648" s="6">
        <f>$K$648*$V$648</f>
        <v>0</v>
      </c>
      <c r="AC648" s="6">
        <f>$M$648*$W$648</f>
        <v>5863.7947500000009</v>
      </c>
      <c r="AD648" s="6">
        <f>$O$648*$X$648</f>
        <v>6276.3525</v>
      </c>
      <c r="AE648" s="6">
        <f>$K$648*$Y$648</f>
        <v>0</v>
      </c>
      <c r="AF648" s="6">
        <f ca="1">$M$648*$Z$648</f>
        <v>7875.0466102313167</v>
      </c>
      <c r="AG648" s="6">
        <f>$O$648*$AA$648</f>
        <v>5910.0310137984143</v>
      </c>
    </row>
    <row r="649" spans="1:33" ht="11.25" customHeight="1" x14ac:dyDescent="0.25">
      <c r="A649" s="4" t="s">
        <v>21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7344.5290000000005</v>
      </c>
      <c r="M649" s="6">
        <v>7344.5290000000005</v>
      </c>
      <c r="N649" s="6">
        <v>7344.5290000000005</v>
      </c>
      <c r="O649" s="6">
        <v>7344.5290000000005</v>
      </c>
      <c r="P649" s="6">
        <v>43505</v>
      </c>
      <c r="Q649" s="4" t="s">
        <v>26</v>
      </c>
      <c r="R649" s="4">
        <v>0</v>
      </c>
      <c r="S649" s="6">
        <v>0</v>
      </c>
      <c r="T649" s="6">
        <v>30</v>
      </c>
      <c r="U649" s="6">
        <v>71</v>
      </c>
      <c r="V649" s="6">
        <f>IF(ISERROR(VLOOKUP($S$649,'TAR FIN'!$A$1:$O$103,15,0)),0,VLOOKUP($S$649,'TAR FIN'!$A$1:$O$103,15,0))</f>
        <v>0</v>
      </c>
      <c r="W649" s="6">
        <f>IF(ISERROR(VLOOKUP($T$649,'TAR FIN'!$A$1:$O$103,15,0)),0,VLOOKUP($T$649,'TAR FIN'!$A$1:$O$103,15,0))</f>
        <v>269.91000000000003</v>
      </c>
      <c r="X649" s="6">
        <f>IF(ISERROR(VLOOKUP($U$649,'TAR FIN'!$A$1:$O$103,15,0)),0,VLOOKUP($U$649,'TAR FIN'!$A$1:$O$103,15,0))</f>
        <v>288.89999999999998</v>
      </c>
      <c r="Y649" s="6"/>
      <c r="Z649" s="6">
        <f ca="1">('TUSD BE'!$AM$30+'TUSD BF'!$AM$30+'TUSD CVA'!$AM$30)*1</f>
        <v>362.48776111536552</v>
      </c>
      <c r="AA649" s="6">
        <f>('TE BE'!$AB$14+'TE BF'!$AB$14+'TE CVA'!$AB$14)*1</f>
        <v>272.03825149820085</v>
      </c>
      <c r="AB649" s="6">
        <f>$K$649*$V$649</f>
        <v>0</v>
      </c>
      <c r="AC649" s="6">
        <f>$M$649*$W$649</f>
        <v>1982361.8223900003</v>
      </c>
      <c r="AD649" s="6">
        <f>$O$649*$X$649</f>
        <v>2121834.4281000001</v>
      </c>
      <c r="AE649" s="6">
        <f>$K$649*$Y$649</f>
        <v>0</v>
      </c>
      <c r="AF649" s="6">
        <f ca="1">$M$649*$Z$649</f>
        <v>2662301.8736568745</v>
      </c>
      <c r="AG649" s="6">
        <f>$O$649*$AA$649</f>
        <v>1997992.8272378298</v>
      </c>
    </row>
    <row r="650" spans="1:33" ht="11.25" customHeight="1" x14ac:dyDescent="0.25">
      <c r="A650" s="4" t="s">
        <v>27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44378</v>
      </c>
      <c r="J650" s="6">
        <v>0</v>
      </c>
      <c r="K650" s="6">
        <v>0</v>
      </c>
      <c r="L650" s="6">
        <v>-108.758</v>
      </c>
      <c r="M650" s="6">
        <v>-108.758</v>
      </c>
      <c r="N650" s="6">
        <v>-108.758</v>
      </c>
      <c r="O650" s="6">
        <v>-108.758</v>
      </c>
      <c r="P650" s="6">
        <v>0</v>
      </c>
      <c r="Q650" s="4" t="s">
        <v>26</v>
      </c>
      <c r="R650" s="4">
        <v>0</v>
      </c>
      <c r="S650" s="6">
        <v>0</v>
      </c>
      <c r="T650" s="6">
        <v>30</v>
      </c>
      <c r="U650" s="6">
        <v>71</v>
      </c>
      <c r="V650" s="6">
        <f>IF(ISERROR(VLOOKUP($S$650,'TAR FIN'!$A$1:$O$103,15,0)),0,VLOOKUP($S$650,'TAR FIN'!$A$1:$O$103,15,0))</f>
        <v>0</v>
      </c>
      <c r="W650" s="6">
        <f>IF(ISERROR(VLOOKUP($T$650,'TAR FIN'!$A$1:$O$103,15,0)),0,VLOOKUP($T$650,'TAR FIN'!$A$1:$O$103,15,0))</f>
        <v>269.91000000000003</v>
      </c>
      <c r="X650" s="6">
        <f>IF(ISERROR(VLOOKUP($U$650,'TAR FIN'!$A$1:$O$103,15,0)),0,VLOOKUP($U$650,'TAR FIN'!$A$1:$O$103,15,0))</f>
        <v>288.89999999999998</v>
      </c>
      <c r="Y650" s="6"/>
      <c r="Z650" s="6">
        <f ca="1">('TUSD BE'!$AM$30+'TUSD BF'!$AM$30+'TUSD CVA'!$AM$30)*1</f>
        <v>362.48776111536552</v>
      </c>
      <c r="AA650" s="6">
        <f>('TE BE'!$AB$14+'TE BF'!$AB$14+'TE CVA'!$AB$14)*1</f>
        <v>272.03825149820085</v>
      </c>
      <c r="AB650" s="6">
        <f>$K$650*$V$650</f>
        <v>0</v>
      </c>
      <c r="AC650" s="6">
        <f>$M$650*$W$650</f>
        <v>-29354.871780000001</v>
      </c>
      <c r="AD650" s="6">
        <f>$O$650*$X$650</f>
        <v>-31420.186199999996</v>
      </c>
      <c r="AE650" s="6">
        <f>$K$650*$Y$650</f>
        <v>0</v>
      </c>
      <c r="AF650" s="6">
        <f ca="1">$M$650*$Z$650</f>
        <v>-39423.443923384919</v>
      </c>
      <c r="AG650" s="6">
        <f>$O$650*$AA$650</f>
        <v>-29586.336156441328</v>
      </c>
    </row>
    <row r="651" spans="1:3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44378</v>
      </c>
      <c r="J651" s="6">
        <v>0</v>
      </c>
      <c r="K651" s="6">
        <v>0</v>
      </c>
      <c r="L651" s="6">
        <v>26.963000000000001</v>
      </c>
      <c r="M651" s="6">
        <v>26.963000000000001</v>
      </c>
      <c r="N651" s="6">
        <v>26.963000000000001</v>
      </c>
      <c r="O651" s="6">
        <v>26.963000000000001</v>
      </c>
      <c r="P651" s="6">
        <v>115</v>
      </c>
      <c r="Q651" s="4" t="s">
        <v>26</v>
      </c>
      <c r="R651" s="4">
        <v>0</v>
      </c>
      <c r="S651" s="6">
        <v>0</v>
      </c>
      <c r="T651" s="6">
        <v>30</v>
      </c>
      <c r="U651" s="6">
        <v>71</v>
      </c>
      <c r="V651" s="6">
        <f>IF(ISERROR(VLOOKUP($S$651,'TAR FIN'!$A$1:$O$103,15,0)),0,VLOOKUP($S$651,'TAR FIN'!$A$1:$O$103,15,0))</f>
        <v>0</v>
      </c>
      <c r="W651" s="6">
        <f>IF(ISERROR(VLOOKUP($T$651,'TAR FIN'!$A$1:$O$103,15,0)),0,VLOOKUP($T$651,'TAR FIN'!$A$1:$O$103,15,0))</f>
        <v>269.91000000000003</v>
      </c>
      <c r="X651" s="6">
        <f>IF(ISERROR(VLOOKUP($U$651,'TAR FIN'!$A$1:$O$103,15,0)),0,VLOOKUP($U$651,'TAR FIN'!$A$1:$O$103,15,0))</f>
        <v>288.89999999999998</v>
      </c>
      <c r="Y651" s="6"/>
      <c r="Z651" s="6">
        <f ca="1">('TUSD BE'!$AM$30+'TUSD BF'!$AM$30+'TUSD CVA'!$AM$30)*1</f>
        <v>362.48776111536552</v>
      </c>
      <c r="AA651" s="6">
        <f>('TE BE'!$AB$14+'TE BF'!$AB$14+'TE CVA'!$AB$14)*1</f>
        <v>272.03825149820085</v>
      </c>
      <c r="AB651" s="6">
        <f>$K$651*$V$651</f>
        <v>0</v>
      </c>
      <c r="AC651" s="6">
        <f>$M$651*$W$651</f>
        <v>7277.5833300000013</v>
      </c>
      <c r="AD651" s="6">
        <f>$O$651*$X$651</f>
        <v>7789.6106999999993</v>
      </c>
      <c r="AE651" s="6">
        <f>$K$651*$Y$651</f>
        <v>0</v>
      </c>
      <c r="AF651" s="6">
        <f ca="1">$M$651*$Z$651</f>
        <v>9773.7575029536001</v>
      </c>
      <c r="AG651" s="6">
        <f>$O$651*$AA$651</f>
        <v>7334.9673751459895</v>
      </c>
    </row>
    <row r="652" spans="1:33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44409</v>
      </c>
      <c r="J652" s="6">
        <v>0</v>
      </c>
      <c r="K652" s="6">
        <v>0</v>
      </c>
      <c r="L652" s="6">
        <v>7438.7420000000002</v>
      </c>
      <c r="M652" s="6">
        <v>7438.7420000000002</v>
      </c>
      <c r="N652" s="6">
        <v>7438.7420000000002</v>
      </c>
      <c r="O652" s="6">
        <v>7438.7420000000002</v>
      </c>
      <c r="P652" s="6">
        <v>43533</v>
      </c>
      <c r="Q652" s="4" t="s">
        <v>26</v>
      </c>
      <c r="R652" s="4">
        <v>0</v>
      </c>
      <c r="S652" s="6">
        <v>0</v>
      </c>
      <c r="T652" s="6">
        <v>30</v>
      </c>
      <c r="U652" s="6">
        <v>71</v>
      </c>
      <c r="V652" s="6">
        <f>IF(ISERROR(VLOOKUP($S$652,'TAR FIN'!$A$1:$O$103,15,0)),0,VLOOKUP($S$652,'TAR FIN'!$A$1:$O$103,15,0))</f>
        <v>0</v>
      </c>
      <c r="W652" s="6">
        <f>IF(ISERROR(VLOOKUP($T$652,'TAR FIN'!$A$1:$O$103,15,0)),0,VLOOKUP($T$652,'TAR FIN'!$A$1:$O$103,15,0))</f>
        <v>269.91000000000003</v>
      </c>
      <c r="X652" s="6">
        <f>IF(ISERROR(VLOOKUP($U$652,'TAR FIN'!$A$1:$O$103,15,0)),0,VLOOKUP($U$652,'TAR FIN'!$A$1:$O$103,15,0))</f>
        <v>288.89999999999998</v>
      </c>
      <c r="Y652" s="6"/>
      <c r="Z652" s="6">
        <f ca="1">('TUSD BE'!$AM$30+'TUSD BF'!$AM$30+'TUSD CVA'!$AM$30)*1</f>
        <v>362.48776111536552</v>
      </c>
      <c r="AA652" s="6">
        <f>('TE BE'!$AB$14+'TE BF'!$AB$14+'TE CVA'!$AB$14)*1</f>
        <v>272.03825149820085</v>
      </c>
      <c r="AB652" s="6">
        <f>$K$652*$V$652</f>
        <v>0</v>
      </c>
      <c r="AC652" s="6">
        <f>$M$652*$W$652</f>
        <v>2007790.8532200002</v>
      </c>
      <c r="AD652" s="6">
        <f>$O$652*$X$652</f>
        <v>2149052.5637999997</v>
      </c>
      <c r="AE652" s="6">
        <f>$K$652*$Y$652</f>
        <v>0</v>
      </c>
      <c r="AF652" s="6">
        <f ca="1">$M$652*$Z$652</f>
        <v>2696452.9330948363</v>
      </c>
      <c r="AG652" s="6">
        <f>$O$652*$AA$652</f>
        <v>2023622.3670262296</v>
      </c>
    </row>
    <row r="653" spans="1:33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44409</v>
      </c>
      <c r="J653" s="6">
        <v>0</v>
      </c>
      <c r="K653" s="6">
        <v>0</v>
      </c>
      <c r="L653" s="6">
        <v>-190.488</v>
      </c>
      <c r="M653" s="6">
        <v>-190.488</v>
      </c>
      <c r="N653" s="6">
        <v>-190.488</v>
      </c>
      <c r="O653" s="6">
        <v>-190.488</v>
      </c>
      <c r="P653" s="6">
        <v>0</v>
      </c>
      <c r="Q653" s="4" t="s">
        <v>26</v>
      </c>
      <c r="R653" s="4">
        <v>0</v>
      </c>
      <c r="S653" s="6">
        <v>0</v>
      </c>
      <c r="T653" s="6">
        <v>30</v>
      </c>
      <c r="U653" s="6">
        <v>71</v>
      </c>
      <c r="V653" s="6">
        <f>IF(ISERROR(VLOOKUP($S$653,'TAR FIN'!$A$1:$O$103,15,0)),0,VLOOKUP($S$653,'TAR FIN'!$A$1:$O$103,15,0))</f>
        <v>0</v>
      </c>
      <c r="W653" s="6">
        <f>IF(ISERROR(VLOOKUP($T$653,'TAR FIN'!$A$1:$O$103,15,0)),0,VLOOKUP($T$653,'TAR FIN'!$A$1:$O$103,15,0))</f>
        <v>269.91000000000003</v>
      </c>
      <c r="X653" s="6">
        <f>IF(ISERROR(VLOOKUP($U$653,'TAR FIN'!$A$1:$O$103,15,0)),0,VLOOKUP($U$653,'TAR FIN'!$A$1:$O$103,15,0))</f>
        <v>288.89999999999998</v>
      </c>
      <c r="Y653" s="6"/>
      <c r="Z653" s="6">
        <f ca="1">('TUSD BE'!$AM$30+'TUSD BF'!$AM$30+'TUSD CVA'!$AM$30)*1</f>
        <v>362.48776111536552</v>
      </c>
      <c r="AA653" s="6">
        <f>('TE BE'!$AB$14+'TE BF'!$AB$14+'TE CVA'!$AB$14)*1</f>
        <v>272.03825149820085</v>
      </c>
      <c r="AB653" s="6">
        <f>$K$653*$V$653</f>
        <v>0</v>
      </c>
      <c r="AC653" s="6">
        <f>$M$653*$W$653</f>
        <v>-51414.616080000007</v>
      </c>
      <c r="AD653" s="6">
        <f>$O$653*$X$653</f>
        <v>-55031.983199999995</v>
      </c>
      <c r="AE653" s="6">
        <f>$K$653*$Y$653</f>
        <v>0</v>
      </c>
      <c r="AF653" s="6">
        <f ca="1">$M$653*$Z$653</f>
        <v>-69049.56863934375</v>
      </c>
      <c r="AG653" s="6">
        <f>$O$653*$AA$653</f>
        <v>-51820.022451389283</v>
      </c>
    </row>
    <row r="654" spans="1:33" ht="11.25" customHeight="1" x14ac:dyDescent="0.25">
      <c r="A654" s="4" t="s">
        <v>28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44409</v>
      </c>
      <c r="J654" s="6">
        <v>0</v>
      </c>
      <c r="K654" s="6">
        <v>0</v>
      </c>
      <c r="L654" s="6">
        <v>24.37</v>
      </c>
      <c r="M654" s="6">
        <v>24.37</v>
      </c>
      <c r="N654" s="6">
        <v>24.37</v>
      </c>
      <c r="O654" s="6">
        <v>24.37</v>
      </c>
      <c r="P654" s="6">
        <v>125</v>
      </c>
      <c r="Q654" s="4" t="s">
        <v>26</v>
      </c>
      <c r="R654" s="4">
        <v>0</v>
      </c>
      <c r="S654" s="6">
        <v>0</v>
      </c>
      <c r="T654" s="6">
        <v>30</v>
      </c>
      <c r="U654" s="6">
        <v>71</v>
      </c>
      <c r="V654" s="6">
        <f>IF(ISERROR(VLOOKUP($S$654,'TAR FIN'!$A$1:$O$103,15,0)),0,VLOOKUP($S$654,'TAR FIN'!$A$1:$O$103,15,0))</f>
        <v>0</v>
      </c>
      <c r="W654" s="6">
        <f>IF(ISERROR(VLOOKUP($T$654,'TAR FIN'!$A$1:$O$103,15,0)),0,VLOOKUP($T$654,'TAR FIN'!$A$1:$O$103,15,0))</f>
        <v>269.91000000000003</v>
      </c>
      <c r="X654" s="6">
        <f>IF(ISERROR(VLOOKUP($U$654,'TAR FIN'!$A$1:$O$103,15,0)),0,VLOOKUP($U$654,'TAR FIN'!$A$1:$O$103,15,0))</f>
        <v>288.89999999999998</v>
      </c>
      <c r="Y654" s="6"/>
      <c r="Z654" s="6">
        <f ca="1">('TUSD BE'!$AM$30+'TUSD BF'!$AM$30+'TUSD CVA'!$AM$30)*1</f>
        <v>362.48776111536552</v>
      </c>
      <c r="AA654" s="6">
        <f>('TE BE'!$AB$14+'TE BF'!$AB$14+'TE CVA'!$AB$14)*1</f>
        <v>272.03825149820085</v>
      </c>
      <c r="AB654" s="6">
        <f>$K$654*$V$654</f>
        <v>0</v>
      </c>
      <c r="AC654" s="6">
        <f>$M$654*$W$654</f>
        <v>6577.7067000000006</v>
      </c>
      <c r="AD654" s="6">
        <f>$O$654*$X$654</f>
        <v>7040.4929999999995</v>
      </c>
      <c r="AE654" s="6">
        <f>$K$654*$Y$654</f>
        <v>0</v>
      </c>
      <c r="AF654" s="6">
        <f ca="1">$M$654*$Z$654</f>
        <v>8833.8267383814582</v>
      </c>
      <c r="AG654" s="6">
        <f>$O$654*$AA$654</f>
        <v>6629.5721890111554</v>
      </c>
    </row>
    <row r="655" spans="1:33" ht="11.25" customHeight="1" x14ac:dyDescent="0.25">
      <c r="A655" s="4" t="s">
        <v>21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44440</v>
      </c>
      <c r="J655" s="6">
        <v>0</v>
      </c>
      <c r="K655" s="6">
        <v>0</v>
      </c>
      <c r="L655" s="6">
        <v>6926.53</v>
      </c>
      <c r="M655" s="6">
        <v>6926.53</v>
      </c>
      <c r="N655" s="6">
        <v>6926.53</v>
      </c>
      <c r="O655" s="6">
        <v>6926.53</v>
      </c>
      <c r="P655" s="6">
        <v>43503</v>
      </c>
      <c r="Q655" s="4" t="s">
        <v>26</v>
      </c>
      <c r="R655" s="4">
        <v>0</v>
      </c>
      <c r="S655" s="6">
        <v>0</v>
      </c>
      <c r="T655" s="6">
        <v>30</v>
      </c>
      <c r="U655" s="6">
        <v>71</v>
      </c>
      <c r="V655" s="6">
        <f>IF(ISERROR(VLOOKUP($S$655,'TAR FIN'!$A$1:$O$103,15,0)),0,VLOOKUP($S$655,'TAR FIN'!$A$1:$O$103,15,0))</f>
        <v>0</v>
      </c>
      <c r="W655" s="6">
        <f>IF(ISERROR(VLOOKUP($T$655,'TAR FIN'!$A$1:$O$103,15,0)),0,VLOOKUP($T$655,'TAR FIN'!$A$1:$O$103,15,0))</f>
        <v>269.91000000000003</v>
      </c>
      <c r="X655" s="6">
        <f>IF(ISERROR(VLOOKUP($U$655,'TAR FIN'!$A$1:$O$103,15,0)),0,VLOOKUP($U$655,'TAR FIN'!$A$1:$O$103,15,0))</f>
        <v>288.89999999999998</v>
      </c>
      <c r="Y655" s="6"/>
      <c r="Z655" s="6">
        <f ca="1">('TUSD BE'!$AM$30+'TUSD BF'!$AM$30+'TUSD CVA'!$AM$30)*1</f>
        <v>362.48776111536552</v>
      </c>
      <c r="AA655" s="6">
        <f>('TE BE'!$AB$14+'TE BF'!$AB$14+'TE CVA'!$AB$14)*1</f>
        <v>272.03825149820085</v>
      </c>
      <c r="AB655" s="6">
        <f>$K$655*$V$655</f>
        <v>0</v>
      </c>
      <c r="AC655" s="6">
        <f>$M$655*$W$655</f>
        <v>1869539.7123</v>
      </c>
      <c r="AD655" s="6">
        <f>$O$655*$X$655</f>
        <v>2001074.5169999998</v>
      </c>
      <c r="AE655" s="6">
        <f>$K$655*$Y$655</f>
        <v>0</v>
      </c>
      <c r="AF655" s="6">
        <f ca="1">$M$655*$Z$655</f>
        <v>2510782.3519984125</v>
      </c>
      <c r="AG655" s="6">
        <f>$O$655*$AA$655</f>
        <v>1884281.1101498331</v>
      </c>
    </row>
    <row r="656" spans="1:33" ht="11.25" customHeight="1" x14ac:dyDescent="0.25">
      <c r="A656" s="4" t="s">
        <v>27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44440</v>
      </c>
      <c r="J656" s="6">
        <v>0</v>
      </c>
      <c r="K656" s="6">
        <v>0</v>
      </c>
      <c r="L656" s="6">
        <v>-7.5220000000000002</v>
      </c>
      <c r="M656" s="6">
        <v>-7.5220000000000002</v>
      </c>
      <c r="N656" s="6">
        <v>-7.5220000000000002</v>
      </c>
      <c r="O656" s="6">
        <v>-7.5220000000000002</v>
      </c>
      <c r="P656" s="6">
        <v>0</v>
      </c>
      <c r="Q656" s="4" t="s">
        <v>26</v>
      </c>
      <c r="R656" s="4">
        <v>0</v>
      </c>
      <c r="S656" s="6">
        <v>0</v>
      </c>
      <c r="T656" s="6">
        <v>30</v>
      </c>
      <c r="U656" s="6">
        <v>71</v>
      </c>
      <c r="V656" s="6">
        <f>IF(ISERROR(VLOOKUP($S$656,'TAR FIN'!$A$1:$O$103,15,0)),0,VLOOKUP($S$656,'TAR FIN'!$A$1:$O$103,15,0))</f>
        <v>0</v>
      </c>
      <c r="W656" s="6">
        <f>IF(ISERROR(VLOOKUP($T$656,'TAR FIN'!$A$1:$O$103,15,0)),0,VLOOKUP($T$656,'TAR FIN'!$A$1:$O$103,15,0))</f>
        <v>269.91000000000003</v>
      </c>
      <c r="X656" s="6">
        <f>IF(ISERROR(VLOOKUP($U$656,'TAR FIN'!$A$1:$O$103,15,0)),0,VLOOKUP($U$656,'TAR FIN'!$A$1:$O$103,15,0))</f>
        <v>288.89999999999998</v>
      </c>
      <c r="Y656" s="6"/>
      <c r="Z656" s="6">
        <f ca="1">('TUSD BE'!$AM$30+'TUSD BF'!$AM$30+'TUSD CVA'!$AM$30)*1</f>
        <v>362.48776111536552</v>
      </c>
      <c r="AA656" s="6">
        <f>('TE BE'!$AB$14+'TE BF'!$AB$14+'TE CVA'!$AB$14)*1</f>
        <v>272.03825149820085</v>
      </c>
      <c r="AB656" s="6">
        <f>$K$656*$V$656</f>
        <v>0</v>
      </c>
      <c r="AC656" s="6">
        <f>$M$656*$W$656</f>
        <v>-2030.2630200000003</v>
      </c>
      <c r="AD656" s="6">
        <f>$O$656*$X$656</f>
        <v>-2173.1057999999998</v>
      </c>
      <c r="AE656" s="6">
        <f>$K$656*$Y$656</f>
        <v>0</v>
      </c>
      <c r="AF656" s="6">
        <f ca="1">$M$656*$Z$656</f>
        <v>-2726.6329391097793</v>
      </c>
      <c r="AG656" s="6">
        <f>$O$656*$AA$656</f>
        <v>-2046.2717277694669</v>
      </c>
    </row>
    <row r="657" spans="1:33" ht="11.25" customHeight="1" x14ac:dyDescent="0.25">
      <c r="A657" s="4" t="s">
        <v>28</v>
      </c>
      <c r="B657" s="4" t="s">
        <v>22</v>
      </c>
      <c r="C657" s="4" t="s">
        <v>23</v>
      </c>
      <c r="D657" s="4" t="s">
        <v>24</v>
      </c>
      <c r="E657" s="4" t="s">
        <v>24</v>
      </c>
      <c r="F657" s="4" t="s">
        <v>25</v>
      </c>
      <c r="G657" s="4" t="s">
        <v>25</v>
      </c>
      <c r="H657" s="4" t="s">
        <v>25</v>
      </c>
      <c r="I657" s="5">
        <v>44440</v>
      </c>
      <c r="J657" s="6">
        <v>0</v>
      </c>
      <c r="K657" s="6">
        <v>0</v>
      </c>
      <c r="L657" s="6">
        <v>26.727</v>
      </c>
      <c r="M657" s="6">
        <v>26.727</v>
      </c>
      <c r="N657" s="6">
        <v>26.727</v>
      </c>
      <c r="O657" s="6">
        <v>26.727</v>
      </c>
      <c r="P657" s="6">
        <v>140</v>
      </c>
      <c r="Q657" s="4" t="s">
        <v>26</v>
      </c>
      <c r="R657" s="4">
        <v>0</v>
      </c>
      <c r="S657" s="6">
        <v>0</v>
      </c>
      <c r="T657" s="6">
        <v>30</v>
      </c>
      <c r="U657" s="6">
        <v>71</v>
      </c>
      <c r="V657" s="6">
        <f>IF(ISERROR(VLOOKUP($S$657,'TAR FIN'!$A$1:$O$103,15,0)),0,VLOOKUP($S$657,'TAR FIN'!$A$1:$O$103,15,0))</f>
        <v>0</v>
      </c>
      <c r="W657" s="6">
        <f>IF(ISERROR(VLOOKUP($T$657,'TAR FIN'!$A$1:$O$103,15,0)),0,VLOOKUP($T$657,'TAR FIN'!$A$1:$O$103,15,0))</f>
        <v>269.91000000000003</v>
      </c>
      <c r="X657" s="6">
        <f>IF(ISERROR(VLOOKUP($U$657,'TAR FIN'!$A$1:$O$103,15,0)),0,VLOOKUP($U$657,'TAR FIN'!$A$1:$O$103,15,0))</f>
        <v>288.89999999999998</v>
      </c>
      <c r="Y657" s="6"/>
      <c r="Z657" s="6">
        <f ca="1">('TUSD BE'!$AM$30+'TUSD BF'!$AM$30+'TUSD CVA'!$AM$30)*1</f>
        <v>362.48776111536552</v>
      </c>
      <c r="AA657" s="6">
        <f>('TE BE'!$AB$14+'TE BF'!$AB$14+'TE CVA'!$AB$14)*1</f>
        <v>272.03825149820085</v>
      </c>
      <c r="AB657" s="6">
        <f>$K$657*$V$657</f>
        <v>0</v>
      </c>
      <c r="AC657" s="6">
        <f>$M$657*$W$657</f>
        <v>7213.8845700000011</v>
      </c>
      <c r="AD657" s="6">
        <f>$O$657*$X$657</f>
        <v>7721.4302999999991</v>
      </c>
      <c r="AE657" s="6">
        <f>$K$657*$Y$657</f>
        <v>0</v>
      </c>
      <c r="AF657" s="6">
        <f ca="1">$M$657*$Z$657</f>
        <v>9688.2103913303745</v>
      </c>
      <c r="AG657" s="6">
        <f>$O$657*$AA$657</f>
        <v>7270.7663477924143</v>
      </c>
    </row>
    <row r="658" spans="1:33" ht="11.25" customHeight="1" x14ac:dyDescent="0.25">
      <c r="A658" s="4" t="s">
        <v>21</v>
      </c>
      <c r="B658" s="4" t="s">
        <v>22</v>
      </c>
      <c r="C658" s="4" t="s">
        <v>23</v>
      </c>
      <c r="D658" s="4" t="s">
        <v>24</v>
      </c>
      <c r="E658" s="4" t="s">
        <v>24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6937.9660000000003</v>
      </c>
      <c r="M658" s="6">
        <v>6937.9660000000003</v>
      </c>
      <c r="N658" s="6">
        <v>6937.9660000000003</v>
      </c>
      <c r="O658" s="6">
        <v>6937.9660000000003</v>
      </c>
      <c r="P658" s="6">
        <v>43646</v>
      </c>
      <c r="Q658" s="4" t="s">
        <v>26</v>
      </c>
      <c r="R658" s="4">
        <v>0</v>
      </c>
      <c r="S658" s="6">
        <v>0</v>
      </c>
      <c r="T658" s="6">
        <v>30</v>
      </c>
      <c r="U658" s="6">
        <v>71</v>
      </c>
      <c r="V658" s="6">
        <f>IF(ISERROR(VLOOKUP($S$658,'TAR FIN'!$A$1:$O$103,15,0)),0,VLOOKUP($S$658,'TAR FIN'!$A$1:$O$103,15,0))</f>
        <v>0</v>
      </c>
      <c r="W658" s="6">
        <f>IF(ISERROR(VLOOKUP($T$658,'TAR FIN'!$A$1:$O$103,15,0)),0,VLOOKUP($T$658,'TAR FIN'!$A$1:$O$103,15,0))</f>
        <v>269.91000000000003</v>
      </c>
      <c r="X658" s="6">
        <f>IF(ISERROR(VLOOKUP($U$658,'TAR FIN'!$A$1:$O$103,15,0)),0,VLOOKUP($U$658,'TAR FIN'!$A$1:$O$103,15,0))</f>
        <v>288.89999999999998</v>
      </c>
      <c r="Y658" s="6"/>
      <c r="Z658" s="6">
        <f ca="1">('TUSD BE'!$AM$30+'TUSD BF'!$AM$30+'TUSD CVA'!$AM$30)*1</f>
        <v>362.48776111536552</v>
      </c>
      <c r="AA658" s="6">
        <f>('TE BE'!$AB$14+'TE BF'!$AB$14+'TE CVA'!$AB$14)*1</f>
        <v>272.03825149820085</v>
      </c>
      <c r="AB658" s="6">
        <f>$K$658*$V$658</f>
        <v>0</v>
      </c>
      <c r="AC658" s="6">
        <f>$M$658*$W$658</f>
        <v>1872626.4030600002</v>
      </c>
      <c r="AD658" s="6">
        <f>$O$658*$X$658</f>
        <v>2004378.3773999999</v>
      </c>
      <c r="AE658" s="6">
        <f>$K$658*$Y$658</f>
        <v>0</v>
      </c>
      <c r="AF658" s="6">
        <f ca="1">$M$658*$Z$658</f>
        <v>2514927.762034528</v>
      </c>
      <c r="AG658" s="6">
        <f>$O$658*$AA$658</f>
        <v>1887392.1395939668</v>
      </c>
    </row>
    <row r="659" spans="1:33" ht="11.25" customHeight="1" x14ac:dyDescent="0.25">
      <c r="A659" s="4" t="s">
        <v>27</v>
      </c>
      <c r="B659" s="4" t="s">
        <v>22</v>
      </c>
      <c r="C659" s="4" t="s">
        <v>23</v>
      </c>
      <c r="D659" s="4" t="s">
        <v>24</v>
      </c>
      <c r="E659" s="4" t="s">
        <v>24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-6.5350000000000001</v>
      </c>
      <c r="M659" s="6">
        <v>-6.5350000000000001</v>
      </c>
      <c r="N659" s="6">
        <v>-6.5350000000000001</v>
      </c>
      <c r="O659" s="6">
        <v>-6.5350000000000001</v>
      </c>
      <c r="P659" s="6">
        <v>0</v>
      </c>
      <c r="Q659" s="4" t="s">
        <v>26</v>
      </c>
      <c r="R659" s="4">
        <v>0</v>
      </c>
      <c r="S659" s="6">
        <v>0</v>
      </c>
      <c r="T659" s="6">
        <v>30</v>
      </c>
      <c r="U659" s="6">
        <v>71</v>
      </c>
      <c r="V659" s="6">
        <f>IF(ISERROR(VLOOKUP($S$659,'TAR FIN'!$A$1:$O$103,15,0)),0,VLOOKUP($S$659,'TAR FIN'!$A$1:$O$103,15,0))</f>
        <v>0</v>
      </c>
      <c r="W659" s="6">
        <f>IF(ISERROR(VLOOKUP($T$659,'TAR FIN'!$A$1:$O$103,15,0)),0,VLOOKUP($T$659,'TAR FIN'!$A$1:$O$103,15,0))</f>
        <v>269.91000000000003</v>
      </c>
      <c r="X659" s="6">
        <f>IF(ISERROR(VLOOKUP($U$659,'TAR FIN'!$A$1:$O$103,15,0)),0,VLOOKUP($U$659,'TAR FIN'!$A$1:$O$103,15,0))</f>
        <v>288.89999999999998</v>
      </c>
      <c r="Y659" s="6"/>
      <c r="Z659" s="6">
        <f ca="1">('TUSD BE'!$AM$30+'TUSD BF'!$AM$30+'TUSD CVA'!$AM$30)*1</f>
        <v>362.48776111536552</v>
      </c>
      <c r="AA659" s="6">
        <f>('TE BE'!$AB$14+'TE BF'!$AB$14+'TE CVA'!$AB$14)*1</f>
        <v>272.03825149820085</v>
      </c>
      <c r="AB659" s="6">
        <f>$K$659*$V$659</f>
        <v>0</v>
      </c>
      <c r="AC659" s="6">
        <f>$M$659*$W$659</f>
        <v>-1763.8618500000002</v>
      </c>
      <c r="AD659" s="6">
        <f>$O$659*$X$659</f>
        <v>-1887.9614999999999</v>
      </c>
      <c r="AE659" s="6">
        <f>$K$659*$Y$659</f>
        <v>0</v>
      </c>
      <c r="AF659" s="6">
        <f ca="1">$M$659*$Z$659</f>
        <v>-2368.8575188889135</v>
      </c>
      <c r="AG659" s="6">
        <f>$O$659*$AA$659</f>
        <v>-1777.7699735407425</v>
      </c>
    </row>
    <row r="660" spans="1:3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24</v>
      </c>
      <c r="F660" s="4" t="s">
        <v>25</v>
      </c>
      <c r="G660" s="4" t="s">
        <v>25</v>
      </c>
      <c r="H660" s="4" t="s">
        <v>25</v>
      </c>
      <c r="I660" s="5">
        <v>44470</v>
      </c>
      <c r="J660" s="6">
        <v>0</v>
      </c>
      <c r="K660" s="6">
        <v>0</v>
      </c>
      <c r="L660" s="6">
        <v>24.908000000000001</v>
      </c>
      <c r="M660" s="6">
        <v>24.908000000000001</v>
      </c>
      <c r="N660" s="6">
        <v>24.908000000000001</v>
      </c>
      <c r="O660" s="6">
        <v>24.908000000000001</v>
      </c>
      <c r="P660" s="6">
        <v>153</v>
      </c>
      <c r="Q660" s="4" t="s">
        <v>26</v>
      </c>
      <c r="R660" s="4">
        <v>0</v>
      </c>
      <c r="S660" s="6">
        <v>0</v>
      </c>
      <c r="T660" s="6">
        <v>30</v>
      </c>
      <c r="U660" s="6">
        <v>71</v>
      </c>
      <c r="V660" s="6">
        <f>IF(ISERROR(VLOOKUP($S$660,'TAR FIN'!$A$1:$O$103,15,0)),0,VLOOKUP($S$660,'TAR FIN'!$A$1:$O$103,15,0))</f>
        <v>0</v>
      </c>
      <c r="W660" s="6">
        <f>IF(ISERROR(VLOOKUP($T$660,'TAR FIN'!$A$1:$O$103,15,0)),0,VLOOKUP($T$660,'TAR FIN'!$A$1:$O$103,15,0))</f>
        <v>269.91000000000003</v>
      </c>
      <c r="X660" s="6">
        <f>IF(ISERROR(VLOOKUP($U$660,'TAR FIN'!$A$1:$O$103,15,0)),0,VLOOKUP($U$660,'TAR FIN'!$A$1:$O$103,15,0))</f>
        <v>288.89999999999998</v>
      </c>
      <c r="Y660" s="6"/>
      <c r="Z660" s="6">
        <f ca="1">('TUSD BE'!$AM$30+'TUSD BF'!$AM$30+'TUSD CVA'!$AM$30)*1</f>
        <v>362.48776111536552</v>
      </c>
      <c r="AA660" s="6">
        <f>('TE BE'!$AB$14+'TE BF'!$AB$14+'TE CVA'!$AB$14)*1</f>
        <v>272.03825149820085</v>
      </c>
      <c r="AB660" s="6">
        <f>$K$660*$V$660</f>
        <v>0</v>
      </c>
      <c r="AC660" s="6">
        <f>$M$660*$W$660</f>
        <v>6722.9182800000008</v>
      </c>
      <c r="AD660" s="6">
        <f>$O$660*$X$660</f>
        <v>7195.9211999999998</v>
      </c>
      <c r="AE660" s="6">
        <f>$K$660*$Y$660</f>
        <v>0</v>
      </c>
      <c r="AF660" s="6">
        <f ca="1">$M$660*$Z$660</f>
        <v>9028.8451538615245</v>
      </c>
      <c r="AG660" s="6">
        <f>$O$660*$AA$660</f>
        <v>6775.928768317187</v>
      </c>
    </row>
    <row r="661" spans="1:3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24</v>
      </c>
      <c r="F661" s="4" t="s">
        <v>25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6876.5110000000004</v>
      </c>
      <c r="M661" s="6">
        <v>6876.5110000000004</v>
      </c>
      <c r="N661" s="6">
        <v>6876.5110000000004</v>
      </c>
      <c r="O661" s="6">
        <v>6876.5110000000004</v>
      </c>
      <c r="P661" s="6">
        <v>43980</v>
      </c>
      <c r="Q661" s="4" t="s">
        <v>26</v>
      </c>
      <c r="R661" s="4">
        <v>0</v>
      </c>
      <c r="S661" s="6">
        <v>0</v>
      </c>
      <c r="T661" s="6">
        <v>30</v>
      </c>
      <c r="U661" s="6">
        <v>71</v>
      </c>
      <c r="V661" s="6">
        <f>IF(ISERROR(VLOOKUP($S$661,'TAR FIN'!$A$1:$O$103,15,0)),0,VLOOKUP($S$661,'TAR FIN'!$A$1:$O$103,15,0))</f>
        <v>0</v>
      </c>
      <c r="W661" s="6">
        <f>IF(ISERROR(VLOOKUP($T$661,'TAR FIN'!$A$1:$O$103,15,0)),0,VLOOKUP($T$661,'TAR FIN'!$A$1:$O$103,15,0))</f>
        <v>269.91000000000003</v>
      </c>
      <c r="X661" s="6">
        <f>IF(ISERROR(VLOOKUP($U$661,'TAR FIN'!$A$1:$O$103,15,0)),0,VLOOKUP($U$661,'TAR FIN'!$A$1:$O$103,15,0))</f>
        <v>288.89999999999998</v>
      </c>
      <c r="Y661" s="6"/>
      <c r="Z661" s="6">
        <f ca="1">('TUSD BE'!$AM$30+'TUSD BF'!$AM$30+'TUSD CVA'!$AM$30)*1</f>
        <v>362.48776111536552</v>
      </c>
      <c r="AA661" s="6">
        <f>('TE BE'!$AB$14+'TE BF'!$AB$14+'TE CVA'!$AB$14)*1</f>
        <v>272.03825149820085</v>
      </c>
      <c r="AB661" s="6">
        <f>$K$661*$V$661</f>
        <v>0</v>
      </c>
      <c r="AC661" s="6">
        <f>$M$661*$W$661</f>
        <v>1856039.0840100003</v>
      </c>
      <c r="AD661" s="6">
        <f>$O$661*$X$661</f>
        <v>1986624.0278999999</v>
      </c>
      <c r="AE661" s="6">
        <f>$K$661*$Y$661</f>
        <v>0</v>
      </c>
      <c r="AF661" s="6">
        <f ca="1">$M$661*$Z$661</f>
        <v>2492651.0766751836</v>
      </c>
      <c r="AG661" s="6">
        <f>$O$661*$AA$661</f>
        <v>1870674.0288481447</v>
      </c>
    </row>
    <row r="662" spans="1:33" ht="11.25" customHeight="1" x14ac:dyDescent="0.25">
      <c r="A662" s="4" t="s">
        <v>27</v>
      </c>
      <c r="B662" s="4" t="s">
        <v>22</v>
      </c>
      <c r="C662" s="4" t="s">
        <v>23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25</v>
      </c>
      <c r="I662" s="5">
        <v>44501</v>
      </c>
      <c r="J662" s="6">
        <v>0</v>
      </c>
      <c r="K662" s="6">
        <v>0</v>
      </c>
      <c r="L662" s="6">
        <v>-6.35</v>
      </c>
      <c r="M662" s="6">
        <v>-6.35</v>
      </c>
      <c r="N662" s="6">
        <v>-6.35</v>
      </c>
      <c r="O662" s="6">
        <v>-6.35</v>
      </c>
      <c r="P662" s="6">
        <v>0</v>
      </c>
      <c r="Q662" s="4" t="s">
        <v>26</v>
      </c>
      <c r="R662" s="4">
        <v>0</v>
      </c>
      <c r="S662" s="6">
        <v>0</v>
      </c>
      <c r="T662" s="6">
        <v>30</v>
      </c>
      <c r="U662" s="6">
        <v>71</v>
      </c>
      <c r="V662" s="6">
        <f>IF(ISERROR(VLOOKUP($S$662,'TAR FIN'!$A$1:$O$103,15,0)),0,VLOOKUP($S$662,'TAR FIN'!$A$1:$O$103,15,0))</f>
        <v>0</v>
      </c>
      <c r="W662" s="6">
        <f>IF(ISERROR(VLOOKUP($T$662,'TAR FIN'!$A$1:$O$103,15,0)),0,VLOOKUP($T$662,'TAR FIN'!$A$1:$O$103,15,0))</f>
        <v>269.91000000000003</v>
      </c>
      <c r="X662" s="6">
        <f>IF(ISERROR(VLOOKUP($U$662,'TAR FIN'!$A$1:$O$103,15,0)),0,VLOOKUP($U$662,'TAR FIN'!$A$1:$O$103,15,0))</f>
        <v>288.89999999999998</v>
      </c>
      <c r="Y662" s="6"/>
      <c r="Z662" s="6">
        <f ca="1">('TUSD BE'!$AM$30+'TUSD BF'!$AM$30+'TUSD CVA'!$AM$30)*1</f>
        <v>362.48776111536552</v>
      </c>
      <c r="AA662" s="6">
        <f>('TE BE'!$AB$14+'TE BF'!$AB$14+'TE CVA'!$AB$14)*1</f>
        <v>272.03825149820085</v>
      </c>
      <c r="AB662" s="6">
        <f>$K$662*$V$662</f>
        <v>0</v>
      </c>
      <c r="AC662" s="6">
        <f>$M$662*$W$662</f>
        <v>-1713.9285</v>
      </c>
      <c r="AD662" s="6">
        <f>$O$662*$X$662</f>
        <v>-1834.5149999999996</v>
      </c>
      <c r="AE662" s="6">
        <f>$K$662*$Y$662</f>
        <v>0</v>
      </c>
      <c r="AF662" s="6">
        <f ca="1">$M$662*$Z$662</f>
        <v>-2301.7972830825711</v>
      </c>
      <c r="AG662" s="6">
        <f>$O$662*$AA$662</f>
        <v>-1727.4428970135752</v>
      </c>
    </row>
    <row r="663" spans="1:3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0</v>
      </c>
      <c r="K663" s="6">
        <v>0</v>
      </c>
      <c r="L663" s="6">
        <v>21.52</v>
      </c>
      <c r="M663" s="6">
        <v>21.52</v>
      </c>
      <c r="N663" s="6">
        <v>21.52</v>
      </c>
      <c r="O663" s="6">
        <v>21.52</v>
      </c>
      <c r="P663" s="6">
        <v>162</v>
      </c>
      <c r="Q663" s="4" t="s">
        <v>26</v>
      </c>
      <c r="R663" s="4">
        <v>0</v>
      </c>
      <c r="S663" s="6">
        <v>0</v>
      </c>
      <c r="T663" s="6">
        <v>30</v>
      </c>
      <c r="U663" s="6">
        <v>71</v>
      </c>
      <c r="V663" s="6">
        <f>IF(ISERROR(VLOOKUP($S$663,'TAR FIN'!$A$1:$O$103,15,0)),0,VLOOKUP($S$663,'TAR FIN'!$A$1:$O$103,15,0))</f>
        <v>0</v>
      </c>
      <c r="W663" s="6">
        <f>IF(ISERROR(VLOOKUP($T$663,'TAR FIN'!$A$1:$O$103,15,0)),0,VLOOKUP($T$663,'TAR FIN'!$A$1:$O$103,15,0))</f>
        <v>269.91000000000003</v>
      </c>
      <c r="X663" s="6">
        <f>IF(ISERROR(VLOOKUP($U$663,'TAR FIN'!$A$1:$O$103,15,0)),0,VLOOKUP($U$663,'TAR FIN'!$A$1:$O$103,15,0))</f>
        <v>288.89999999999998</v>
      </c>
      <c r="Y663" s="6"/>
      <c r="Z663" s="6">
        <f ca="1">('TUSD BE'!$AM$30+'TUSD BF'!$AM$30+'TUSD CVA'!$AM$30)*1</f>
        <v>362.48776111536552</v>
      </c>
      <c r="AA663" s="6">
        <f>('TE BE'!$AB$14+'TE BF'!$AB$14+'TE CVA'!$AB$14)*1</f>
        <v>272.03825149820085</v>
      </c>
      <c r="AB663" s="6">
        <f>$K$663*$V$663</f>
        <v>0</v>
      </c>
      <c r="AC663" s="6">
        <f>$M$663*$W$663</f>
        <v>5808.4632000000001</v>
      </c>
      <c r="AD663" s="6">
        <f>$O$663*$X$663</f>
        <v>6217.1279999999997</v>
      </c>
      <c r="AE663" s="6">
        <f>$K$663*$Y$663</f>
        <v>0</v>
      </c>
      <c r="AF663" s="6">
        <f ca="1">$M$663*$Z$663</f>
        <v>7800.7366192026657</v>
      </c>
      <c r="AG663" s="6">
        <f>$O$663*$AA$663</f>
        <v>5854.2631722412825</v>
      </c>
    </row>
    <row r="664" spans="1:3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25</v>
      </c>
      <c r="I664" s="5">
        <v>44531</v>
      </c>
      <c r="J664" s="6">
        <v>0</v>
      </c>
      <c r="K664" s="6">
        <v>0</v>
      </c>
      <c r="L664" s="6">
        <v>6856.2129999999997</v>
      </c>
      <c r="M664" s="6">
        <v>6856.2129999999997</v>
      </c>
      <c r="N664" s="6">
        <v>6856.2129999999997</v>
      </c>
      <c r="O664" s="6">
        <v>6856.2129999999997</v>
      </c>
      <c r="P664" s="6">
        <v>44242</v>
      </c>
      <c r="Q664" s="4" t="s">
        <v>26</v>
      </c>
      <c r="R664" s="4">
        <v>0</v>
      </c>
      <c r="S664" s="6">
        <v>0</v>
      </c>
      <c r="T664" s="6">
        <v>30</v>
      </c>
      <c r="U664" s="6">
        <v>71</v>
      </c>
      <c r="V664" s="6">
        <f>IF(ISERROR(VLOOKUP($S$664,'TAR FIN'!$A$1:$O$103,15,0)),0,VLOOKUP($S$664,'TAR FIN'!$A$1:$O$103,15,0))</f>
        <v>0</v>
      </c>
      <c r="W664" s="6">
        <f>IF(ISERROR(VLOOKUP($T$664,'TAR FIN'!$A$1:$O$103,15,0)),0,VLOOKUP($T$664,'TAR FIN'!$A$1:$O$103,15,0))</f>
        <v>269.91000000000003</v>
      </c>
      <c r="X664" s="6">
        <f>IF(ISERROR(VLOOKUP($U$664,'TAR FIN'!$A$1:$O$103,15,0)),0,VLOOKUP($U$664,'TAR FIN'!$A$1:$O$103,15,0))</f>
        <v>288.89999999999998</v>
      </c>
      <c r="Y664" s="6"/>
      <c r="Z664" s="6">
        <f ca="1">('TUSD BE'!$AM$30+'TUSD BF'!$AM$30+'TUSD CVA'!$AM$30)*1</f>
        <v>362.48776111536552</v>
      </c>
      <c r="AA664" s="6">
        <f>('TE BE'!$AB$14+'TE BF'!$AB$14+'TE CVA'!$AB$14)*1</f>
        <v>272.03825149820085</v>
      </c>
      <c r="AB664" s="6">
        <f>$K$664*$V$664</f>
        <v>0</v>
      </c>
      <c r="AC664" s="6">
        <f>$M$664*$W$664</f>
        <v>1850560.45083</v>
      </c>
      <c r="AD664" s="6">
        <f>$O$664*$X$664</f>
        <v>1980759.9356999998</v>
      </c>
      <c r="AE664" s="6">
        <f>$K$664*$Y$664</f>
        <v>0</v>
      </c>
      <c r="AF664" s="6">
        <f ca="1">$M$664*$Z$664</f>
        <v>2485293.3001000634</v>
      </c>
      <c r="AG664" s="6">
        <f>$O$664*$AA$664</f>
        <v>1865152.1964192342</v>
      </c>
    </row>
    <row r="665" spans="1:3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0</v>
      </c>
      <c r="K665" s="6">
        <v>0</v>
      </c>
      <c r="L665" s="6">
        <v>-4.88</v>
      </c>
      <c r="M665" s="6">
        <v>-4.88</v>
      </c>
      <c r="N665" s="6">
        <v>-4.88</v>
      </c>
      <c r="O665" s="6">
        <v>-4.88</v>
      </c>
      <c r="P665" s="6">
        <v>0</v>
      </c>
      <c r="Q665" s="4" t="s">
        <v>26</v>
      </c>
      <c r="R665" s="4">
        <v>0</v>
      </c>
      <c r="S665" s="6">
        <v>0</v>
      </c>
      <c r="T665" s="6">
        <v>30</v>
      </c>
      <c r="U665" s="6">
        <v>71</v>
      </c>
      <c r="V665" s="6">
        <f>IF(ISERROR(VLOOKUP($S$665,'TAR FIN'!$A$1:$O$103,15,0)),0,VLOOKUP($S$665,'TAR FIN'!$A$1:$O$103,15,0))</f>
        <v>0</v>
      </c>
      <c r="W665" s="6">
        <f>IF(ISERROR(VLOOKUP($T$665,'TAR FIN'!$A$1:$O$103,15,0)),0,VLOOKUP($T$665,'TAR FIN'!$A$1:$O$103,15,0))</f>
        <v>269.91000000000003</v>
      </c>
      <c r="X665" s="6">
        <f>IF(ISERROR(VLOOKUP($U$665,'TAR FIN'!$A$1:$O$103,15,0)),0,VLOOKUP($U$665,'TAR FIN'!$A$1:$O$103,15,0))</f>
        <v>288.89999999999998</v>
      </c>
      <c r="Y665" s="6"/>
      <c r="Z665" s="6">
        <f ca="1">('TUSD BE'!$AM$30+'TUSD BF'!$AM$30+'TUSD CVA'!$AM$30)*1</f>
        <v>362.48776111536552</v>
      </c>
      <c r="AA665" s="6">
        <f>('TE BE'!$AB$14+'TE BF'!$AB$14+'TE CVA'!$AB$14)*1</f>
        <v>272.03825149820085</v>
      </c>
      <c r="AB665" s="6">
        <f>$K$665*$V$665</f>
        <v>0</v>
      </c>
      <c r="AC665" s="6">
        <f>$M$665*$W$665</f>
        <v>-1317.1608000000001</v>
      </c>
      <c r="AD665" s="6">
        <f>$O$665*$X$665</f>
        <v>-1409.8319999999999</v>
      </c>
      <c r="AE665" s="6">
        <f>$K$665*$Y$665</f>
        <v>0</v>
      </c>
      <c r="AF665" s="6">
        <f ca="1">$M$665*$Z$665</f>
        <v>-1768.9402742429836</v>
      </c>
      <c r="AG665" s="6">
        <f>$O$665*$AA$665</f>
        <v>-1327.5466673112201</v>
      </c>
    </row>
    <row r="666" spans="1:3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18.059999999999999</v>
      </c>
      <c r="M666" s="6">
        <v>18.059999999999999</v>
      </c>
      <c r="N666" s="6">
        <v>18.059999999999999</v>
      </c>
      <c r="O666" s="6">
        <v>18.059999999999999</v>
      </c>
      <c r="P666" s="6">
        <v>174</v>
      </c>
      <c r="Q666" s="4" t="s">
        <v>26</v>
      </c>
      <c r="R666" s="4">
        <v>0</v>
      </c>
      <c r="S666" s="6">
        <v>0</v>
      </c>
      <c r="T666" s="6">
        <v>30</v>
      </c>
      <c r="U666" s="6">
        <v>71</v>
      </c>
      <c r="V666" s="6">
        <f>IF(ISERROR(VLOOKUP($S$666,'TAR FIN'!$A$1:$O$103,15,0)),0,VLOOKUP($S$666,'TAR FIN'!$A$1:$O$103,15,0))</f>
        <v>0</v>
      </c>
      <c r="W666" s="6">
        <f>IF(ISERROR(VLOOKUP($T$666,'TAR FIN'!$A$1:$O$103,15,0)),0,VLOOKUP($T$666,'TAR FIN'!$A$1:$O$103,15,0))</f>
        <v>269.91000000000003</v>
      </c>
      <c r="X666" s="6">
        <f>IF(ISERROR(VLOOKUP($U$666,'TAR FIN'!$A$1:$O$103,15,0)),0,VLOOKUP($U$666,'TAR FIN'!$A$1:$O$103,15,0))</f>
        <v>288.89999999999998</v>
      </c>
      <c r="Y666" s="6"/>
      <c r="Z666" s="6">
        <f ca="1">('TUSD BE'!$AM$30+'TUSD BF'!$AM$30+'TUSD CVA'!$AM$30)*1</f>
        <v>362.48776111536552</v>
      </c>
      <c r="AA666" s="6">
        <f>('TE BE'!$AB$14+'TE BF'!$AB$14+'TE CVA'!$AB$14)*1</f>
        <v>272.03825149820085</v>
      </c>
      <c r="AB666" s="6">
        <f>$K$666*$V$666</f>
        <v>0</v>
      </c>
      <c r="AC666" s="6">
        <f>$M$666*$W$666</f>
        <v>4874.5745999999999</v>
      </c>
      <c r="AD666" s="6">
        <f>$O$666*$X$666</f>
        <v>5217.5339999999997</v>
      </c>
      <c r="AE666" s="6">
        <f>$K$666*$Y$666</f>
        <v>0</v>
      </c>
      <c r="AF666" s="6">
        <f ca="1">$M$666*$Z$666</f>
        <v>6546.5289657435005</v>
      </c>
      <c r="AG666" s="6">
        <f>$O$666*$AA$666</f>
        <v>4913.0108220575066</v>
      </c>
    </row>
    <row r="667" spans="1:3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-0.17100000000000001</v>
      </c>
      <c r="M667" s="6">
        <v>-0.17100000000000001</v>
      </c>
      <c r="N667" s="6">
        <v>-0.17100000000000001</v>
      </c>
      <c r="O667" s="6">
        <v>-0.17100000000000001</v>
      </c>
      <c r="P667" s="6">
        <v>4</v>
      </c>
      <c r="Q667" s="4" t="s">
        <v>26</v>
      </c>
      <c r="R667" s="4">
        <v>0</v>
      </c>
      <c r="S667" s="6">
        <v>0</v>
      </c>
      <c r="T667" s="6">
        <v>30</v>
      </c>
      <c r="U667" s="6">
        <v>71</v>
      </c>
      <c r="V667" s="6">
        <f>IF(ISERROR(VLOOKUP($S$667,'TAR FIN'!$A$1:$O$103,15,0)),0,VLOOKUP($S$667,'TAR FIN'!$A$1:$O$103,15,0))</f>
        <v>0</v>
      </c>
      <c r="W667" s="6">
        <f>IF(ISERROR(VLOOKUP($T$667,'TAR FIN'!$A$1:$O$103,15,0)),0,VLOOKUP($T$667,'TAR FIN'!$A$1:$O$103,15,0))</f>
        <v>269.91000000000003</v>
      </c>
      <c r="X667" s="6">
        <f>IF(ISERROR(VLOOKUP($U$667,'TAR FIN'!$A$1:$O$103,15,0)),0,VLOOKUP($U$667,'TAR FIN'!$A$1:$O$103,15,0))</f>
        <v>288.89999999999998</v>
      </c>
      <c r="Y667" s="6"/>
      <c r="Z667" s="6">
        <f ca="1">('TUSD BE'!$AM$30+'TUSD BF'!$AM$30+'TUSD CVA'!$AM$30)*1</f>
        <v>362.48776111536552</v>
      </c>
      <c r="AA667" s="6">
        <f>('TE BE'!$AB$14+'TE BF'!$AB$14+'TE CVA'!$AB$14)*1</f>
        <v>272.03825149820085</v>
      </c>
      <c r="AB667" s="6">
        <f>$K$667*$V$667</f>
        <v>0</v>
      </c>
      <c r="AC667" s="6">
        <f>$M$667*$W$667</f>
        <v>-46.154610000000005</v>
      </c>
      <c r="AD667" s="6">
        <f>$O$667*$X$667</f>
        <v>-49.401899999999998</v>
      </c>
      <c r="AE667" s="6">
        <f>$K$667*$Y$667</f>
        <v>0</v>
      </c>
      <c r="AF667" s="6">
        <f ca="1">$M$667*$Z$667</f>
        <v>-61.985407150727511</v>
      </c>
      <c r="AG667" s="6">
        <f>$O$667*$AA$667</f>
        <v>-46.518541006192351</v>
      </c>
    </row>
    <row r="668" spans="1:3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6939.0129999999999</v>
      </c>
      <c r="M668" s="6">
        <v>6939.0129999999999</v>
      </c>
      <c r="N668" s="6">
        <v>6939.0129999999999</v>
      </c>
      <c r="O668" s="6">
        <v>6939.0129999999999</v>
      </c>
      <c r="P668" s="6">
        <v>44215</v>
      </c>
      <c r="Q668" s="4" t="s">
        <v>26</v>
      </c>
      <c r="R668" s="4">
        <v>0</v>
      </c>
      <c r="S668" s="6">
        <v>0</v>
      </c>
      <c r="T668" s="6">
        <v>30</v>
      </c>
      <c r="U668" s="6">
        <v>71</v>
      </c>
      <c r="V668" s="6">
        <f>IF(ISERROR(VLOOKUP($S$668,'TAR FIN'!$A$1:$O$103,15,0)),0,VLOOKUP($S$668,'TAR FIN'!$A$1:$O$103,15,0))</f>
        <v>0</v>
      </c>
      <c r="W668" s="6">
        <f>IF(ISERROR(VLOOKUP($T$668,'TAR FIN'!$A$1:$O$103,15,0)),0,VLOOKUP($T$668,'TAR FIN'!$A$1:$O$103,15,0))</f>
        <v>269.91000000000003</v>
      </c>
      <c r="X668" s="6">
        <f>IF(ISERROR(VLOOKUP($U$668,'TAR FIN'!$A$1:$O$103,15,0)),0,VLOOKUP($U$668,'TAR FIN'!$A$1:$O$103,15,0))</f>
        <v>288.89999999999998</v>
      </c>
      <c r="Y668" s="6"/>
      <c r="Z668" s="6">
        <f ca="1">('TUSD BE'!$AM$30+'TUSD BF'!$AM$30+'TUSD CVA'!$AM$30)*1</f>
        <v>362.48776111536552</v>
      </c>
      <c r="AA668" s="6">
        <f>('TE BE'!$AB$14+'TE BF'!$AB$14+'TE CVA'!$AB$14)*1</f>
        <v>272.03825149820085</v>
      </c>
      <c r="AB668" s="6">
        <f>$K$668*$V$668</f>
        <v>0</v>
      </c>
      <c r="AC668" s="6">
        <f>$M$668*$W$668</f>
        <v>1872908.9988300002</v>
      </c>
      <c r="AD668" s="6">
        <f>$O$668*$X$668</f>
        <v>2004680.8556999997</v>
      </c>
      <c r="AE668" s="6">
        <f>$K$668*$Y$668</f>
        <v>0</v>
      </c>
      <c r="AF668" s="6">
        <f ca="1">$M$668*$Z$668</f>
        <v>2515307.2867204156</v>
      </c>
      <c r="AG668" s="6">
        <f>$O$668*$AA$668</f>
        <v>1887676.9636432852</v>
      </c>
    </row>
    <row r="669" spans="1:3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-9.3409999999999993</v>
      </c>
      <c r="M669" s="6">
        <v>-9.3409999999999993</v>
      </c>
      <c r="N669" s="6">
        <v>-9.3409999999999993</v>
      </c>
      <c r="O669" s="6">
        <v>-9.3409999999999993</v>
      </c>
      <c r="P669" s="6">
        <v>0</v>
      </c>
      <c r="Q669" s="4" t="s">
        <v>26</v>
      </c>
      <c r="R669" s="4">
        <v>0</v>
      </c>
      <c r="S669" s="6">
        <v>0</v>
      </c>
      <c r="T669" s="6">
        <v>30</v>
      </c>
      <c r="U669" s="6">
        <v>71</v>
      </c>
      <c r="V669" s="6">
        <f>IF(ISERROR(VLOOKUP($S$669,'TAR FIN'!$A$1:$O$103,15,0)),0,VLOOKUP($S$669,'TAR FIN'!$A$1:$O$103,15,0))</f>
        <v>0</v>
      </c>
      <c r="W669" s="6">
        <f>IF(ISERROR(VLOOKUP($T$669,'TAR FIN'!$A$1:$O$103,15,0)),0,VLOOKUP($T$669,'TAR FIN'!$A$1:$O$103,15,0))</f>
        <v>269.91000000000003</v>
      </c>
      <c r="X669" s="6">
        <f>IF(ISERROR(VLOOKUP($U$669,'TAR FIN'!$A$1:$O$103,15,0)),0,VLOOKUP($U$669,'TAR FIN'!$A$1:$O$103,15,0))</f>
        <v>288.89999999999998</v>
      </c>
      <c r="Y669" s="6"/>
      <c r="Z669" s="6">
        <f ca="1">('TUSD BE'!$AM$30+'TUSD BF'!$AM$30+'TUSD CVA'!$AM$30)*1</f>
        <v>362.48776111536552</v>
      </c>
      <c r="AA669" s="6">
        <f>('TE BE'!$AB$14+'TE BF'!$AB$14+'TE CVA'!$AB$14)*1</f>
        <v>272.03825149820085</v>
      </c>
      <c r="AB669" s="6">
        <f>$K$669*$V$669</f>
        <v>0</v>
      </c>
      <c r="AC669" s="6">
        <f>$M$669*$W$669</f>
        <v>-2521.2293100000002</v>
      </c>
      <c r="AD669" s="6">
        <f>$O$669*$X$669</f>
        <v>-2698.6148999999996</v>
      </c>
      <c r="AE669" s="6">
        <f>$K$669*$Y$669</f>
        <v>0</v>
      </c>
      <c r="AF669" s="6">
        <f ca="1">$M$669*$Z$669</f>
        <v>-3385.9981765786292</v>
      </c>
      <c r="AG669" s="6">
        <f>$O$669*$AA$669</f>
        <v>-2541.1093072446938</v>
      </c>
    </row>
    <row r="670" spans="1:3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25</v>
      </c>
      <c r="I670" s="5">
        <v>44562</v>
      </c>
      <c r="J670" s="6">
        <v>0</v>
      </c>
      <c r="K670" s="6">
        <v>0</v>
      </c>
      <c r="L670" s="6">
        <v>21.228999999999999</v>
      </c>
      <c r="M670" s="6">
        <v>21.228999999999999</v>
      </c>
      <c r="N670" s="6">
        <v>21.228999999999999</v>
      </c>
      <c r="O670" s="6">
        <v>21.228999999999999</v>
      </c>
      <c r="P670" s="6">
        <v>192</v>
      </c>
      <c r="Q670" s="4" t="s">
        <v>26</v>
      </c>
      <c r="R670" s="4">
        <v>0</v>
      </c>
      <c r="S670" s="6">
        <v>0</v>
      </c>
      <c r="T670" s="6">
        <v>30</v>
      </c>
      <c r="U670" s="6">
        <v>71</v>
      </c>
      <c r="V670" s="6">
        <f>IF(ISERROR(VLOOKUP($S$670,'TAR FIN'!$A$1:$O$103,15,0)),0,VLOOKUP($S$670,'TAR FIN'!$A$1:$O$103,15,0))</f>
        <v>0</v>
      </c>
      <c r="W670" s="6">
        <f>IF(ISERROR(VLOOKUP($T$670,'TAR FIN'!$A$1:$O$103,15,0)),0,VLOOKUP($T$670,'TAR FIN'!$A$1:$O$103,15,0))</f>
        <v>269.91000000000003</v>
      </c>
      <c r="X670" s="6">
        <f>IF(ISERROR(VLOOKUP($U$670,'TAR FIN'!$A$1:$O$103,15,0)),0,VLOOKUP($U$670,'TAR FIN'!$A$1:$O$103,15,0))</f>
        <v>288.89999999999998</v>
      </c>
      <c r="Y670" s="6"/>
      <c r="Z670" s="6">
        <f ca="1">('TUSD BE'!$AM$30+'TUSD BF'!$AM$30+'TUSD CVA'!$AM$30)*1</f>
        <v>362.48776111536552</v>
      </c>
      <c r="AA670" s="6">
        <f>('TE BE'!$AB$14+'TE BF'!$AB$14+'TE CVA'!$AB$14)*1</f>
        <v>272.03825149820085</v>
      </c>
      <c r="AB670" s="6">
        <f>$K$670*$V$670</f>
        <v>0</v>
      </c>
      <c r="AC670" s="6">
        <f>$M$670*$W$670</f>
        <v>5729.91939</v>
      </c>
      <c r="AD670" s="6">
        <f>$O$670*$X$670</f>
        <v>6133.0580999999993</v>
      </c>
      <c r="AE670" s="6">
        <f>$K$670*$Y$670</f>
        <v>0</v>
      </c>
      <c r="AF670" s="6">
        <f ca="1">$M$670*$Z$670</f>
        <v>7695.2526807180939</v>
      </c>
      <c r="AG670" s="6">
        <f>$O$670*$AA$670</f>
        <v>5775.1000410553061</v>
      </c>
    </row>
    <row r="671" spans="1:3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7259.8360000000002</v>
      </c>
      <c r="M671" s="6">
        <v>7259.8360000000002</v>
      </c>
      <c r="N671" s="6">
        <v>7259.8360000000002</v>
      </c>
      <c r="O671" s="6">
        <v>7259.8360000000002</v>
      </c>
      <c r="P671" s="6">
        <v>44109</v>
      </c>
      <c r="Q671" s="4" t="s">
        <v>26</v>
      </c>
      <c r="R671" s="4">
        <v>0</v>
      </c>
      <c r="S671" s="6">
        <v>0</v>
      </c>
      <c r="T671" s="6">
        <v>30</v>
      </c>
      <c r="U671" s="6">
        <v>71</v>
      </c>
      <c r="V671" s="6">
        <f>IF(ISERROR(VLOOKUP($S$671,'TAR FIN'!$A$1:$O$103,15,0)),0,VLOOKUP($S$671,'TAR FIN'!$A$1:$O$103,15,0))</f>
        <v>0</v>
      </c>
      <c r="W671" s="6">
        <f>IF(ISERROR(VLOOKUP($T$671,'TAR FIN'!$A$1:$O$103,15,0)),0,VLOOKUP($T$671,'TAR FIN'!$A$1:$O$103,15,0))</f>
        <v>269.91000000000003</v>
      </c>
      <c r="X671" s="6">
        <f>IF(ISERROR(VLOOKUP($U$671,'TAR FIN'!$A$1:$O$103,15,0)),0,VLOOKUP($U$671,'TAR FIN'!$A$1:$O$103,15,0))</f>
        <v>288.89999999999998</v>
      </c>
      <c r="Y671" s="6"/>
      <c r="Z671" s="6">
        <f ca="1">('TUSD BE'!$AM$30+'TUSD BF'!$AM$30+'TUSD CVA'!$AM$30)*1</f>
        <v>362.48776111536552</v>
      </c>
      <c r="AA671" s="6">
        <f>('TE BE'!$AB$14+'TE BF'!$AB$14+'TE CVA'!$AB$14)*1</f>
        <v>272.03825149820085</v>
      </c>
      <c r="AB671" s="6">
        <f>$K$671*$V$671</f>
        <v>0</v>
      </c>
      <c r="AC671" s="6">
        <f>$M$671*$W$671</f>
        <v>1959502.3347600002</v>
      </c>
      <c r="AD671" s="6">
        <f>$O$671*$X$671</f>
        <v>2097366.6203999999</v>
      </c>
      <c r="AE671" s="6">
        <f>$K$671*$Y$671</f>
        <v>0</v>
      </c>
      <c r="AF671" s="6">
        <f ca="1">$M$671*$Z$671</f>
        <v>2631601.697704731</v>
      </c>
      <c r="AG671" s="6">
        <f>$O$671*$AA$671</f>
        <v>1974953.0916036926</v>
      </c>
    </row>
    <row r="672" spans="1:33" ht="11.25" customHeight="1" x14ac:dyDescent="0.25">
      <c r="A672" s="4" t="s">
        <v>28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22.004999999999999</v>
      </c>
      <c r="M672" s="6">
        <v>22.004999999999999</v>
      </c>
      <c r="N672" s="6">
        <v>22.004999999999999</v>
      </c>
      <c r="O672" s="6">
        <v>22.004999999999999</v>
      </c>
      <c r="P672" s="6">
        <v>198</v>
      </c>
      <c r="Q672" s="4" t="s">
        <v>26</v>
      </c>
      <c r="R672" s="4">
        <v>0</v>
      </c>
      <c r="S672" s="6">
        <v>0</v>
      </c>
      <c r="T672" s="6">
        <v>30</v>
      </c>
      <c r="U672" s="6">
        <v>71</v>
      </c>
      <c r="V672" s="6">
        <f>IF(ISERROR(VLOOKUP($S$672,'TAR FIN'!$A$1:$O$103,15,0)),0,VLOOKUP($S$672,'TAR FIN'!$A$1:$O$103,15,0))</f>
        <v>0</v>
      </c>
      <c r="W672" s="6">
        <f>IF(ISERROR(VLOOKUP($T$672,'TAR FIN'!$A$1:$O$103,15,0)),0,VLOOKUP($T$672,'TAR FIN'!$A$1:$O$103,15,0))</f>
        <v>269.91000000000003</v>
      </c>
      <c r="X672" s="6">
        <f>IF(ISERROR(VLOOKUP($U$672,'TAR FIN'!$A$1:$O$103,15,0)),0,VLOOKUP($U$672,'TAR FIN'!$A$1:$O$103,15,0))</f>
        <v>288.89999999999998</v>
      </c>
      <c r="Y672" s="6"/>
      <c r="Z672" s="6">
        <f ca="1">('TUSD BE'!$AM$30+'TUSD BF'!$AM$30+'TUSD CVA'!$AM$30)*1</f>
        <v>362.48776111536552</v>
      </c>
      <c r="AA672" s="6">
        <f>('TE BE'!$AB$14+'TE BF'!$AB$14+'TE CVA'!$AB$14)*1</f>
        <v>272.03825149820085</v>
      </c>
      <c r="AB672" s="6">
        <f>$K$672*$V$672</f>
        <v>0</v>
      </c>
      <c r="AC672" s="6">
        <f>$M$672*$W$672</f>
        <v>5939.3695500000003</v>
      </c>
      <c r="AD672" s="6">
        <f>$O$672*$X$672</f>
        <v>6357.2444999999989</v>
      </c>
      <c r="AE672" s="6">
        <f>$K$672*$Y$672</f>
        <v>0</v>
      </c>
      <c r="AF672" s="6">
        <f ca="1">$M$672*$Z$672</f>
        <v>7976.5431833436178</v>
      </c>
      <c r="AG672" s="6">
        <f>$O$672*$AA$672</f>
        <v>5986.201724217909</v>
      </c>
    </row>
    <row r="673" spans="1:33" ht="11.25" customHeight="1" x14ac:dyDescent="0.25">
      <c r="A673" s="4" t="s">
        <v>21</v>
      </c>
      <c r="B673" s="4" t="s">
        <v>22</v>
      </c>
      <c r="C673" s="4" t="s">
        <v>23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7015.7569999999996</v>
      </c>
      <c r="M673" s="6">
        <v>7015.7569999999996</v>
      </c>
      <c r="N673" s="6">
        <v>7015.7569999999996</v>
      </c>
      <c r="O673" s="6">
        <v>7015.7569999999996</v>
      </c>
      <c r="P673" s="6">
        <v>43821</v>
      </c>
      <c r="Q673" s="4" t="s">
        <v>26</v>
      </c>
      <c r="R673" s="4">
        <v>0</v>
      </c>
      <c r="S673" s="6">
        <v>0</v>
      </c>
      <c r="T673" s="6">
        <v>30</v>
      </c>
      <c r="U673" s="6">
        <v>71</v>
      </c>
      <c r="V673" s="6">
        <f>IF(ISERROR(VLOOKUP($S$673,'TAR FIN'!$A$1:$O$103,15,0)),0,VLOOKUP($S$673,'TAR FIN'!$A$1:$O$103,15,0))</f>
        <v>0</v>
      </c>
      <c r="W673" s="6">
        <f>IF(ISERROR(VLOOKUP($T$673,'TAR FIN'!$A$1:$O$103,15,0)),0,VLOOKUP($T$673,'TAR FIN'!$A$1:$O$103,15,0))</f>
        <v>269.91000000000003</v>
      </c>
      <c r="X673" s="6">
        <f>IF(ISERROR(VLOOKUP($U$673,'TAR FIN'!$A$1:$O$103,15,0)),0,VLOOKUP($U$673,'TAR FIN'!$A$1:$O$103,15,0))</f>
        <v>288.89999999999998</v>
      </c>
      <c r="Y673" s="6"/>
      <c r="Z673" s="6">
        <f ca="1">('TUSD BE'!$AM$30+'TUSD BF'!$AM$30+'TUSD CVA'!$AM$30)*1</f>
        <v>362.48776111536552</v>
      </c>
      <c r="AA673" s="6">
        <f>('TE BE'!$AB$14+'TE BF'!$AB$14+'TE CVA'!$AB$14)*1</f>
        <v>272.03825149820085</v>
      </c>
      <c r="AB673" s="6">
        <f>$K$673*$V$673</f>
        <v>0</v>
      </c>
      <c r="AC673" s="6">
        <f>$M$673*$W$673</f>
        <v>1893622.97187</v>
      </c>
      <c r="AD673" s="6">
        <f>$O$673*$X$673</f>
        <v>2026852.1972999997</v>
      </c>
      <c r="AE673" s="6">
        <f>$K$673*$Y$673</f>
        <v>0</v>
      </c>
      <c r="AF673" s="6">
        <f ca="1">$M$673*$Z$673</f>
        <v>2543126.0474594533</v>
      </c>
      <c r="AG673" s="6">
        <f>$O$673*$AA$673</f>
        <v>1908554.2672162631</v>
      </c>
    </row>
    <row r="674" spans="1:33" ht="11.25" customHeight="1" x14ac:dyDescent="0.25">
      <c r="A674" s="4" t="s">
        <v>27</v>
      </c>
      <c r="B674" s="4" t="s">
        <v>22</v>
      </c>
      <c r="C674" s="4" t="s">
        <v>23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-0.56100000000000005</v>
      </c>
      <c r="M674" s="6">
        <v>-0.56100000000000005</v>
      </c>
      <c r="N674" s="6">
        <v>-0.56100000000000005</v>
      </c>
      <c r="O674" s="6">
        <v>-0.56100000000000005</v>
      </c>
      <c r="P674" s="6">
        <v>0</v>
      </c>
      <c r="Q674" s="4" t="s">
        <v>26</v>
      </c>
      <c r="R674" s="4">
        <v>0</v>
      </c>
      <c r="S674" s="6">
        <v>0</v>
      </c>
      <c r="T674" s="6">
        <v>30</v>
      </c>
      <c r="U674" s="6">
        <v>71</v>
      </c>
      <c r="V674" s="6">
        <f>IF(ISERROR(VLOOKUP($S$674,'TAR FIN'!$A$1:$O$103,15,0)),0,VLOOKUP($S$674,'TAR FIN'!$A$1:$O$103,15,0))</f>
        <v>0</v>
      </c>
      <c r="W674" s="6">
        <f>IF(ISERROR(VLOOKUP($T$674,'TAR FIN'!$A$1:$O$103,15,0)),0,VLOOKUP($T$674,'TAR FIN'!$A$1:$O$103,15,0))</f>
        <v>269.91000000000003</v>
      </c>
      <c r="X674" s="6">
        <f>IF(ISERROR(VLOOKUP($U$674,'TAR FIN'!$A$1:$O$103,15,0)),0,VLOOKUP($U$674,'TAR FIN'!$A$1:$O$103,15,0))</f>
        <v>288.89999999999998</v>
      </c>
      <c r="Y674" s="6"/>
      <c r="Z674" s="6">
        <f ca="1">('TUSD BE'!$AM$30+'TUSD BF'!$AM$30+'TUSD CVA'!$AM$30)*1</f>
        <v>362.48776111536552</v>
      </c>
      <c r="AA674" s="6">
        <f>('TE BE'!$AB$14+'TE BF'!$AB$14+'TE CVA'!$AB$14)*1</f>
        <v>272.03825149820085</v>
      </c>
      <c r="AB674" s="6">
        <f>$K$674*$V$674</f>
        <v>0</v>
      </c>
      <c r="AC674" s="6">
        <f>$M$674*$W$674</f>
        <v>-151.41951000000003</v>
      </c>
      <c r="AD674" s="6">
        <f>$O$674*$X$674</f>
        <v>-162.0729</v>
      </c>
      <c r="AE674" s="6">
        <f>$K$674*$Y$674</f>
        <v>0</v>
      </c>
      <c r="AF674" s="6">
        <f ca="1">$M$674*$Z$674</f>
        <v>-203.35563398572006</v>
      </c>
      <c r="AG674" s="6">
        <f>$O$674*$AA$674</f>
        <v>-152.61345909049069</v>
      </c>
    </row>
    <row r="675" spans="1:33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25</v>
      </c>
      <c r="I675" s="5">
        <v>44621</v>
      </c>
      <c r="J675" s="6">
        <v>0</v>
      </c>
      <c r="K675" s="6">
        <v>0</v>
      </c>
      <c r="L675" s="6">
        <v>25.526</v>
      </c>
      <c r="M675" s="6">
        <v>25.526</v>
      </c>
      <c r="N675" s="6">
        <v>25.526</v>
      </c>
      <c r="O675" s="6">
        <v>25.526</v>
      </c>
      <c r="P675" s="6">
        <v>220</v>
      </c>
      <c r="Q675" s="4" t="s">
        <v>26</v>
      </c>
      <c r="R675" s="4">
        <v>0</v>
      </c>
      <c r="S675" s="6">
        <v>0</v>
      </c>
      <c r="T675" s="6">
        <v>30</v>
      </c>
      <c r="U675" s="6">
        <v>71</v>
      </c>
      <c r="V675" s="6">
        <f>IF(ISERROR(VLOOKUP($S$675,'TAR FIN'!$A$1:$O$103,15,0)),0,VLOOKUP($S$675,'TAR FIN'!$A$1:$O$103,15,0))</f>
        <v>0</v>
      </c>
      <c r="W675" s="6">
        <f>IF(ISERROR(VLOOKUP($T$675,'TAR FIN'!$A$1:$O$103,15,0)),0,VLOOKUP($T$675,'TAR FIN'!$A$1:$O$103,15,0))</f>
        <v>269.91000000000003</v>
      </c>
      <c r="X675" s="6">
        <f>IF(ISERROR(VLOOKUP($U$675,'TAR FIN'!$A$1:$O$103,15,0)),0,VLOOKUP($U$675,'TAR FIN'!$A$1:$O$103,15,0))</f>
        <v>288.89999999999998</v>
      </c>
      <c r="Y675" s="6"/>
      <c r="Z675" s="6">
        <f ca="1">('TUSD BE'!$AM$30+'TUSD BF'!$AM$30+'TUSD CVA'!$AM$30)*1</f>
        <v>362.48776111536552</v>
      </c>
      <c r="AA675" s="6">
        <f>('TE BE'!$AB$14+'TE BF'!$AB$14+'TE CVA'!$AB$14)*1</f>
        <v>272.03825149820085</v>
      </c>
      <c r="AB675" s="6">
        <f>$K$675*$V$675</f>
        <v>0</v>
      </c>
      <c r="AC675" s="6">
        <f>$M$675*$W$675</f>
        <v>6889.7226600000004</v>
      </c>
      <c r="AD675" s="6">
        <f>$O$675*$X$675</f>
        <v>7374.4613999999992</v>
      </c>
      <c r="AE675" s="6">
        <f>$K$675*$Y$675</f>
        <v>0</v>
      </c>
      <c r="AF675" s="6">
        <f ca="1">$M$675*$Z$675</f>
        <v>9252.8625902308195</v>
      </c>
      <c r="AG675" s="6">
        <f>$O$675*$AA$675</f>
        <v>6944.0484077430747</v>
      </c>
    </row>
    <row r="676" spans="1:33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0</v>
      </c>
      <c r="K676" s="6">
        <v>0</v>
      </c>
      <c r="L676" s="6">
        <v>6796.78</v>
      </c>
      <c r="M676" s="6">
        <v>6796.78</v>
      </c>
      <c r="N676" s="6">
        <v>6796.78</v>
      </c>
      <c r="O676" s="6">
        <v>6796.78</v>
      </c>
      <c r="P676" s="6">
        <v>43907</v>
      </c>
      <c r="Q676" s="4" t="s">
        <v>26</v>
      </c>
      <c r="R676" s="4">
        <v>0</v>
      </c>
      <c r="S676" s="6">
        <v>0</v>
      </c>
      <c r="T676" s="6">
        <v>30</v>
      </c>
      <c r="U676" s="6">
        <v>71</v>
      </c>
      <c r="V676" s="6">
        <f>IF(ISERROR(VLOOKUP($S$676,'TAR FIN'!$A$1:$O$103,15,0)),0,VLOOKUP($S$676,'TAR FIN'!$A$1:$O$103,15,0))</f>
        <v>0</v>
      </c>
      <c r="W676" s="6">
        <f>IF(ISERROR(VLOOKUP($T$676,'TAR FIN'!$A$1:$O$103,15,0)),0,VLOOKUP($T$676,'TAR FIN'!$A$1:$O$103,15,0))</f>
        <v>269.91000000000003</v>
      </c>
      <c r="X676" s="6">
        <f>IF(ISERROR(VLOOKUP($U$676,'TAR FIN'!$A$1:$O$103,15,0)),0,VLOOKUP($U$676,'TAR FIN'!$A$1:$O$103,15,0))</f>
        <v>288.89999999999998</v>
      </c>
      <c r="Y676" s="6"/>
      <c r="Z676" s="6">
        <f ca="1">('TUSD BE'!$AM$30+'TUSD BF'!$AM$30+'TUSD CVA'!$AM$30)*1</f>
        <v>362.48776111536552</v>
      </c>
      <c r="AA676" s="6">
        <f>('TE BE'!$AB$14+'TE BF'!$AB$14+'TE CVA'!$AB$14)*1</f>
        <v>272.03825149820085</v>
      </c>
      <c r="AB676" s="6">
        <f>$K$676*$V$676</f>
        <v>0</v>
      </c>
      <c r="AC676" s="6">
        <f>$M$676*$W$676</f>
        <v>1834518.8898</v>
      </c>
      <c r="AD676" s="6">
        <f>$O$676*$X$676</f>
        <v>1963589.7419999999</v>
      </c>
      <c r="AE676" s="6">
        <f>$K$676*$Y$676</f>
        <v>0</v>
      </c>
      <c r="AF676" s="6">
        <f ca="1">$M$676*$Z$676</f>
        <v>2463749.564993694</v>
      </c>
      <c r="AG676" s="6">
        <f>$O$676*$AA$676</f>
        <v>1848984.1470179416</v>
      </c>
    </row>
    <row r="677" spans="1:33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25</v>
      </c>
      <c r="I677" s="5">
        <v>44652</v>
      </c>
      <c r="J677" s="6">
        <v>0</v>
      </c>
      <c r="K677" s="6">
        <v>0</v>
      </c>
      <c r="L677" s="6">
        <v>-1.5169999999999999</v>
      </c>
      <c r="M677" s="6">
        <v>-1.5169999999999999</v>
      </c>
      <c r="N677" s="6">
        <v>-1.5169999999999999</v>
      </c>
      <c r="O677" s="6">
        <v>-1.5169999999999999</v>
      </c>
      <c r="P677" s="6">
        <v>0</v>
      </c>
      <c r="Q677" s="4" t="s">
        <v>26</v>
      </c>
      <c r="R677" s="4">
        <v>0</v>
      </c>
      <c r="S677" s="6">
        <v>0</v>
      </c>
      <c r="T677" s="6">
        <v>30</v>
      </c>
      <c r="U677" s="6">
        <v>71</v>
      </c>
      <c r="V677" s="6">
        <f>IF(ISERROR(VLOOKUP($S$677,'TAR FIN'!$A$1:$O$103,15,0)),0,VLOOKUP($S$677,'TAR FIN'!$A$1:$O$103,15,0))</f>
        <v>0</v>
      </c>
      <c r="W677" s="6">
        <f>IF(ISERROR(VLOOKUP($T$677,'TAR FIN'!$A$1:$O$103,15,0)),0,VLOOKUP($T$677,'TAR FIN'!$A$1:$O$103,15,0))</f>
        <v>269.91000000000003</v>
      </c>
      <c r="X677" s="6">
        <f>IF(ISERROR(VLOOKUP($U$677,'TAR FIN'!$A$1:$O$103,15,0)),0,VLOOKUP($U$677,'TAR FIN'!$A$1:$O$103,15,0))</f>
        <v>288.89999999999998</v>
      </c>
      <c r="Y677" s="6"/>
      <c r="Z677" s="6">
        <f ca="1">('TUSD BE'!$AM$30+'TUSD BF'!$AM$30+'TUSD CVA'!$AM$30)*1</f>
        <v>362.48776111536552</v>
      </c>
      <c r="AA677" s="6">
        <f>('TE BE'!$AB$14+'TE BF'!$AB$14+'TE CVA'!$AB$14)*1</f>
        <v>272.03825149820085</v>
      </c>
      <c r="AB677" s="6">
        <f>$K$677*$V$677</f>
        <v>0</v>
      </c>
      <c r="AC677" s="6">
        <f>$M$677*$W$677</f>
        <v>-409.45347000000004</v>
      </c>
      <c r="AD677" s="6">
        <f>$O$677*$X$677</f>
        <v>-438.26129999999995</v>
      </c>
      <c r="AE677" s="6">
        <f>$K$677*$Y$677</f>
        <v>0</v>
      </c>
      <c r="AF677" s="6">
        <f ca="1">$M$677*$Z$677</f>
        <v>-549.8939336120095</v>
      </c>
      <c r="AG677" s="6">
        <f>$O$677*$AA$677</f>
        <v>-412.68202752277068</v>
      </c>
    </row>
    <row r="678" spans="1:3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25</v>
      </c>
      <c r="I678" s="5">
        <v>44652</v>
      </c>
      <c r="J678" s="6">
        <v>0</v>
      </c>
      <c r="K678" s="6">
        <v>0</v>
      </c>
      <c r="L678" s="6">
        <v>32.314</v>
      </c>
      <c r="M678" s="6">
        <v>32.314</v>
      </c>
      <c r="N678" s="6">
        <v>32.314</v>
      </c>
      <c r="O678" s="6">
        <v>32.314</v>
      </c>
      <c r="P678" s="6">
        <v>226</v>
      </c>
      <c r="Q678" s="4" t="s">
        <v>26</v>
      </c>
      <c r="R678" s="4">
        <v>0</v>
      </c>
      <c r="S678" s="6">
        <v>0</v>
      </c>
      <c r="T678" s="6">
        <v>30</v>
      </c>
      <c r="U678" s="6">
        <v>71</v>
      </c>
      <c r="V678" s="6">
        <f>IF(ISERROR(VLOOKUP($S$678,'TAR FIN'!$A$1:$O$103,15,0)),0,VLOOKUP($S$678,'TAR FIN'!$A$1:$O$103,15,0))</f>
        <v>0</v>
      </c>
      <c r="W678" s="6">
        <f>IF(ISERROR(VLOOKUP($T$678,'TAR FIN'!$A$1:$O$103,15,0)),0,VLOOKUP($T$678,'TAR FIN'!$A$1:$O$103,15,0))</f>
        <v>269.91000000000003</v>
      </c>
      <c r="X678" s="6">
        <f>IF(ISERROR(VLOOKUP($U$678,'TAR FIN'!$A$1:$O$103,15,0)),0,VLOOKUP($U$678,'TAR FIN'!$A$1:$O$103,15,0))</f>
        <v>288.89999999999998</v>
      </c>
      <c r="Y678" s="6"/>
      <c r="Z678" s="6">
        <f ca="1">('TUSD BE'!$AM$30+'TUSD BF'!$AM$30+'TUSD CVA'!$AM$30)*1</f>
        <v>362.48776111536552</v>
      </c>
      <c r="AA678" s="6">
        <f>('TE BE'!$AB$14+'TE BF'!$AB$14+'TE CVA'!$AB$14)*1</f>
        <v>272.03825149820085</v>
      </c>
      <c r="AB678" s="6">
        <f>$K$678*$V$678</f>
        <v>0</v>
      </c>
      <c r="AC678" s="6">
        <f>$M$678*$W$678</f>
        <v>8721.8717400000005</v>
      </c>
      <c r="AD678" s="6">
        <f>$O$678*$X$678</f>
        <v>9335.5145999999986</v>
      </c>
      <c r="AE678" s="6">
        <f>$K$678*$Y$678</f>
        <v>0</v>
      </c>
      <c r="AF678" s="6">
        <f ca="1">$M$678*$Z$678</f>
        <v>11713.429512681922</v>
      </c>
      <c r="AG678" s="6">
        <f>$O$678*$AA$678</f>
        <v>8790.6440589128615</v>
      </c>
    </row>
    <row r="679" spans="1:33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0</v>
      </c>
      <c r="K679" s="6">
        <v>0</v>
      </c>
      <c r="L679" s="6">
        <v>6872.0820000000003</v>
      </c>
      <c r="M679" s="6">
        <v>6872.0820000000003</v>
      </c>
      <c r="N679" s="6">
        <v>6872.0820000000003</v>
      </c>
      <c r="O679" s="6">
        <v>6872.0820000000003</v>
      </c>
      <c r="P679" s="6">
        <v>43891</v>
      </c>
      <c r="Q679" s="4" t="s">
        <v>26</v>
      </c>
      <c r="R679" s="4">
        <v>0</v>
      </c>
      <c r="S679" s="6">
        <v>0</v>
      </c>
      <c r="T679" s="6">
        <v>30</v>
      </c>
      <c r="U679" s="6">
        <v>71</v>
      </c>
      <c r="V679" s="6">
        <f>IF(ISERROR(VLOOKUP($S$679,'TAR FIN'!$A$1:$O$103,15,0)),0,VLOOKUP($S$679,'TAR FIN'!$A$1:$O$103,15,0))</f>
        <v>0</v>
      </c>
      <c r="W679" s="6">
        <f>IF(ISERROR(VLOOKUP($T$679,'TAR FIN'!$A$1:$O$103,15,0)),0,VLOOKUP($T$679,'TAR FIN'!$A$1:$O$103,15,0))</f>
        <v>269.91000000000003</v>
      </c>
      <c r="X679" s="6">
        <f>IF(ISERROR(VLOOKUP($U$679,'TAR FIN'!$A$1:$O$103,15,0)),0,VLOOKUP($U$679,'TAR FIN'!$A$1:$O$103,15,0))</f>
        <v>288.89999999999998</v>
      </c>
      <c r="Y679" s="6"/>
      <c r="Z679" s="6">
        <f ca="1">('TUSD BE'!$AM$30+'TUSD BF'!$AM$30+'TUSD CVA'!$AM$30)*1</f>
        <v>362.48776111536552</v>
      </c>
      <c r="AA679" s="6">
        <f>('TE BE'!$AB$14+'TE BF'!$AB$14+'TE CVA'!$AB$14)*1</f>
        <v>272.03825149820085</v>
      </c>
      <c r="AB679" s="6">
        <f>$K$679*$V$679</f>
        <v>0</v>
      </c>
      <c r="AC679" s="6">
        <f>$M$679*$W$679</f>
        <v>1854843.6526200003</v>
      </c>
      <c r="AD679" s="6">
        <f>$O$679*$X$679</f>
        <v>1985344.4897999999</v>
      </c>
      <c r="AE679" s="6">
        <f>$K$679*$Y$679</f>
        <v>0</v>
      </c>
      <c r="AF679" s="6">
        <f ca="1">$M$679*$Z$679</f>
        <v>2491045.6183812036</v>
      </c>
      <c r="AG679" s="6">
        <f>$O$679*$AA$679</f>
        <v>1869469.1714322593</v>
      </c>
    </row>
    <row r="680" spans="1:33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0</v>
      </c>
      <c r="K680" s="6">
        <v>0</v>
      </c>
      <c r="L680" s="6">
        <v>-2.9249999999999998</v>
      </c>
      <c r="M680" s="6">
        <v>-2.9249999999999998</v>
      </c>
      <c r="N680" s="6">
        <v>-2.9249999999999998</v>
      </c>
      <c r="O680" s="6">
        <v>-2.9249999999999998</v>
      </c>
      <c r="P680" s="6">
        <v>0</v>
      </c>
      <c r="Q680" s="4" t="s">
        <v>26</v>
      </c>
      <c r="R680" s="4">
        <v>0</v>
      </c>
      <c r="S680" s="6">
        <v>0</v>
      </c>
      <c r="T680" s="6">
        <v>30</v>
      </c>
      <c r="U680" s="6">
        <v>71</v>
      </c>
      <c r="V680" s="6">
        <f>IF(ISERROR(VLOOKUP($S$680,'TAR FIN'!$A$1:$O$103,15,0)),0,VLOOKUP($S$680,'TAR FIN'!$A$1:$O$103,15,0))</f>
        <v>0</v>
      </c>
      <c r="W680" s="6">
        <f>IF(ISERROR(VLOOKUP($T$680,'TAR FIN'!$A$1:$O$103,15,0)),0,VLOOKUP($T$680,'TAR FIN'!$A$1:$O$103,15,0))</f>
        <v>269.91000000000003</v>
      </c>
      <c r="X680" s="6">
        <f>IF(ISERROR(VLOOKUP($U$680,'TAR FIN'!$A$1:$O$103,15,0)),0,VLOOKUP($U$680,'TAR FIN'!$A$1:$O$103,15,0))</f>
        <v>288.89999999999998</v>
      </c>
      <c r="Y680" s="6"/>
      <c r="Z680" s="6">
        <f ca="1">('TUSD BE'!$AM$30+'TUSD BF'!$AM$30+'TUSD CVA'!$AM$30)*1</f>
        <v>362.48776111536552</v>
      </c>
      <c r="AA680" s="6">
        <f>('TE BE'!$AB$14+'TE BF'!$AB$14+'TE CVA'!$AB$14)*1</f>
        <v>272.03825149820085</v>
      </c>
      <c r="AB680" s="6">
        <f>$K$680*$V$680</f>
        <v>0</v>
      </c>
      <c r="AC680" s="6">
        <f>$M$680*$W$680</f>
        <v>-789.48675000000003</v>
      </c>
      <c r="AD680" s="6">
        <f>$O$680*$X$680</f>
        <v>-845.03249999999991</v>
      </c>
      <c r="AE680" s="6">
        <f>$K$680*$Y$680</f>
        <v>0</v>
      </c>
      <c r="AF680" s="6">
        <f ca="1">$M$680*$Z$680</f>
        <v>-1060.276701262444</v>
      </c>
      <c r="AG680" s="6">
        <f>$O$680*$AA$680</f>
        <v>-795.71188563223745</v>
      </c>
    </row>
    <row r="681" spans="1:33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25</v>
      </c>
      <c r="I681" s="5">
        <v>44682</v>
      </c>
      <c r="J681" s="6">
        <v>0</v>
      </c>
      <c r="K681" s="6">
        <v>0</v>
      </c>
      <c r="L681" s="6">
        <v>42.796999999999997</v>
      </c>
      <c r="M681" s="6">
        <v>42.796999999999997</v>
      </c>
      <c r="N681" s="6">
        <v>42.796999999999997</v>
      </c>
      <c r="O681" s="6">
        <v>42.796999999999997</v>
      </c>
      <c r="P681" s="6">
        <v>266</v>
      </c>
      <c r="Q681" s="4" t="s">
        <v>26</v>
      </c>
      <c r="R681" s="4">
        <v>0</v>
      </c>
      <c r="S681" s="6">
        <v>0</v>
      </c>
      <c r="T681" s="6">
        <v>30</v>
      </c>
      <c r="U681" s="6">
        <v>71</v>
      </c>
      <c r="V681" s="6">
        <f>IF(ISERROR(VLOOKUP($S$681,'TAR FIN'!$A$1:$O$103,15,0)),0,VLOOKUP($S$681,'TAR FIN'!$A$1:$O$103,15,0))</f>
        <v>0</v>
      </c>
      <c r="W681" s="6">
        <f>IF(ISERROR(VLOOKUP($T$681,'TAR FIN'!$A$1:$O$103,15,0)),0,VLOOKUP($T$681,'TAR FIN'!$A$1:$O$103,15,0))</f>
        <v>269.91000000000003</v>
      </c>
      <c r="X681" s="6">
        <f>IF(ISERROR(VLOOKUP($U$681,'TAR FIN'!$A$1:$O$103,15,0)),0,VLOOKUP($U$681,'TAR FIN'!$A$1:$O$103,15,0))</f>
        <v>288.89999999999998</v>
      </c>
      <c r="Y681" s="6"/>
      <c r="Z681" s="6">
        <f ca="1">('TUSD BE'!$AM$30+'TUSD BF'!$AM$30+'TUSD CVA'!$AM$30)*1</f>
        <v>362.48776111536552</v>
      </c>
      <c r="AA681" s="6">
        <f>('TE BE'!$AB$14+'TE BF'!$AB$14+'TE CVA'!$AB$14)*1</f>
        <v>272.03825149820085</v>
      </c>
      <c r="AB681" s="6">
        <f>$K$681*$V$681</f>
        <v>0</v>
      </c>
      <c r="AC681" s="6">
        <f>$M$681*$W$681</f>
        <v>11551.33827</v>
      </c>
      <c r="AD681" s="6">
        <f>$O$681*$X$681</f>
        <v>12364.053299999998</v>
      </c>
      <c r="AE681" s="6">
        <f>$K$681*$Y$681</f>
        <v>0</v>
      </c>
      <c r="AF681" s="6">
        <f ca="1">$M$681*$Z$681</f>
        <v>15513.388712454296</v>
      </c>
      <c r="AG681" s="6">
        <f>$O$681*$AA$681</f>
        <v>11642.4210493685</v>
      </c>
    </row>
    <row r="682" spans="1:33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44348</v>
      </c>
      <c r="J682" s="6">
        <v>0</v>
      </c>
      <c r="K682" s="6">
        <v>0</v>
      </c>
      <c r="L682" s="6">
        <v>139.75299999999999</v>
      </c>
      <c r="M682" s="6">
        <v>139.75299999999999</v>
      </c>
      <c r="N682" s="6">
        <v>139.75299999999999</v>
      </c>
      <c r="O682" s="6">
        <v>139.75299999999999</v>
      </c>
      <c r="P682" s="6">
        <v>227</v>
      </c>
      <c r="Q682" s="4" t="s">
        <v>26</v>
      </c>
      <c r="R682" s="4">
        <v>0</v>
      </c>
      <c r="S682" s="6">
        <v>0</v>
      </c>
      <c r="T682" s="6">
        <v>31</v>
      </c>
      <c r="U682" s="6">
        <v>72</v>
      </c>
      <c r="V682" s="6">
        <f>IF(ISERROR(VLOOKUP($S$682,'TAR FIN'!$A$1:$O$103,15,0)),0,VLOOKUP($S$682,'TAR FIN'!$A$1:$O$103,15,0))</f>
        <v>0</v>
      </c>
      <c r="W682" s="6">
        <f>IF(ISERROR(VLOOKUP($T$682,'TAR FIN'!$A$1:$O$103,15,0)),0,VLOOKUP($T$682,'TAR FIN'!$A$1:$O$103,15,0))</f>
        <v>68.53</v>
      </c>
      <c r="X682" s="6">
        <f>IF(ISERROR(VLOOKUP($U$682,'TAR FIN'!$A$1:$O$103,15,0)),0,VLOOKUP($U$682,'TAR FIN'!$A$1:$O$103,15,0))</f>
        <v>101.12</v>
      </c>
      <c r="Y682" s="6"/>
      <c r="Z682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2" s="6">
        <f>('TE BE'!$AB$15+'TE BF'!$AB$15+'TE CVA'!$AB$15)*(1-CUSTOS!$M$34)</f>
        <v>95.213388024370289</v>
      </c>
      <c r="AB682" s="6">
        <f>$K$682*$V$682</f>
        <v>0</v>
      </c>
      <c r="AC682" s="6">
        <f>$M$682*$W$682</f>
        <v>9577.2730899999988</v>
      </c>
      <c r="AD682" s="6">
        <f>$O$682*$X$682</f>
        <v>14131.823359999999</v>
      </c>
      <c r="AE682" s="6">
        <f>$K$682*$Y$682</f>
        <v>0</v>
      </c>
      <c r="AF682" s="6">
        <f ca="1">$M$682*$Z$682</f>
        <v>11838.072217322002</v>
      </c>
      <c r="AG682" s="6">
        <f>$O$682*$AA$682</f>
        <v>13306.356616569819</v>
      </c>
    </row>
    <row r="683" spans="1:33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44378</v>
      </c>
      <c r="J683" s="6">
        <v>0</v>
      </c>
      <c r="K683" s="6">
        <v>0</v>
      </c>
      <c r="L683" s="6">
        <v>141.46</v>
      </c>
      <c r="M683" s="6">
        <v>141.46</v>
      </c>
      <c r="N683" s="6">
        <v>141.46</v>
      </c>
      <c r="O683" s="6">
        <v>141.46</v>
      </c>
      <c r="P683" s="6">
        <v>254</v>
      </c>
      <c r="Q683" s="4" t="s">
        <v>26</v>
      </c>
      <c r="R683" s="4">
        <v>0</v>
      </c>
      <c r="S683" s="6">
        <v>0</v>
      </c>
      <c r="T683" s="6">
        <v>31</v>
      </c>
      <c r="U683" s="6">
        <v>72</v>
      </c>
      <c r="V683" s="6">
        <f>IF(ISERROR(VLOOKUP($S$683,'TAR FIN'!$A$1:$O$103,15,0)),0,VLOOKUP($S$683,'TAR FIN'!$A$1:$O$103,15,0))</f>
        <v>0</v>
      </c>
      <c r="W683" s="6">
        <f>IF(ISERROR(VLOOKUP($T$683,'TAR FIN'!$A$1:$O$103,15,0)),0,VLOOKUP($T$683,'TAR FIN'!$A$1:$O$103,15,0))</f>
        <v>68.53</v>
      </c>
      <c r="X683" s="6">
        <f>IF(ISERROR(VLOOKUP($U$683,'TAR FIN'!$A$1:$O$103,15,0)),0,VLOOKUP($U$683,'TAR FIN'!$A$1:$O$103,15,0))</f>
        <v>101.12</v>
      </c>
      <c r="Y683" s="6"/>
      <c r="Z683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3" s="6">
        <f>('TE BE'!$AB$15+'TE BF'!$AB$15+'TE CVA'!$AB$15)*(1-CUSTOS!$M$34)</f>
        <v>95.213388024370289</v>
      </c>
      <c r="AB683" s="6">
        <f>$K$683*$V$683</f>
        <v>0</v>
      </c>
      <c r="AC683" s="6">
        <f>$M$683*$W$683</f>
        <v>9694.2538000000004</v>
      </c>
      <c r="AD683" s="6">
        <f>$O$683*$X$683</f>
        <v>14304.435200000002</v>
      </c>
      <c r="AE683" s="6">
        <f>$K$683*$Y$683</f>
        <v>0</v>
      </c>
      <c r="AF683" s="6">
        <f ca="1">$M$683*$Z$683</f>
        <v>11982.667247661022</v>
      </c>
      <c r="AG683" s="6">
        <f>$O$683*$AA$683</f>
        <v>13468.885869927422</v>
      </c>
    </row>
    <row r="684" spans="1:33" ht="11.25" customHeight="1" x14ac:dyDescent="0.25">
      <c r="A684" s="4" t="s">
        <v>21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44409</v>
      </c>
      <c r="J684" s="6">
        <v>0</v>
      </c>
      <c r="K684" s="6">
        <v>0</v>
      </c>
      <c r="L684" s="6">
        <v>143.18799999999999</v>
      </c>
      <c r="M684" s="6">
        <v>143.18799999999999</v>
      </c>
      <c r="N684" s="6">
        <v>143.18799999999999</v>
      </c>
      <c r="O684" s="6">
        <v>143.18799999999999</v>
      </c>
      <c r="P684" s="6">
        <v>251</v>
      </c>
      <c r="Q684" s="4" t="s">
        <v>26</v>
      </c>
      <c r="R684" s="4">
        <v>0</v>
      </c>
      <c r="S684" s="6">
        <v>0</v>
      </c>
      <c r="T684" s="6">
        <v>31</v>
      </c>
      <c r="U684" s="6">
        <v>72</v>
      </c>
      <c r="V684" s="6">
        <f>IF(ISERROR(VLOOKUP($S$684,'TAR FIN'!$A$1:$O$103,15,0)),0,VLOOKUP($S$684,'TAR FIN'!$A$1:$O$103,15,0))</f>
        <v>0</v>
      </c>
      <c r="W684" s="6">
        <f>IF(ISERROR(VLOOKUP($T$684,'TAR FIN'!$A$1:$O$103,15,0)),0,VLOOKUP($T$684,'TAR FIN'!$A$1:$O$103,15,0))</f>
        <v>68.53</v>
      </c>
      <c r="X684" s="6">
        <f>IF(ISERROR(VLOOKUP($U$684,'TAR FIN'!$A$1:$O$103,15,0)),0,VLOOKUP($U$684,'TAR FIN'!$A$1:$O$103,15,0))</f>
        <v>101.12</v>
      </c>
      <c r="Y684" s="6"/>
      <c r="Z684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4" s="6">
        <f>('TE BE'!$AB$15+'TE BF'!$AB$15+'TE CVA'!$AB$15)*(1-CUSTOS!$M$34)</f>
        <v>95.213388024370289</v>
      </c>
      <c r="AB684" s="6">
        <f>$K$684*$V$684</f>
        <v>0</v>
      </c>
      <c r="AC684" s="6">
        <f>$M$684*$W$684</f>
        <v>9812.6736399999991</v>
      </c>
      <c r="AD684" s="6">
        <f>$O$684*$X$684</f>
        <v>14479.170559999999</v>
      </c>
      <c r="AE684" s="6">
        <f>$K$684*$Y$684</f>
        <v>0</v>
      </c>
      <c r="AF684" s="6">
        <f ca="1">$M$684*$Z$684</f>
        <v>12129.041127230921</v>
      </c>
      <c r="AG684" s="6">
        <f>$O$684*$AA$684</f>
        <v>13633.414604433532</v>
      </c>
    </row>
    <row r="685" spans="1:33" ht="11.25" customHeight="1" x14ac:dyDescent="0.25">
      <c r="A685" s="4" t="s">
        <v>21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6">
        <v>0</v>
      </c>
      <c r="L685" s="6">
        <v>144.38200000000001</v>
      </c>
      <c r="M685" s="6">
        <v>144.38200000000001</v>
      </c>
      <c r="N685" s="6">
        <v>144.38200000000001</v>
      </c>
      <c r="O685" s="6">
        <v>144.38200000000001</v>
      </c>
      <c r="P685" s="6">
        <v>217</v>
      </c>
      <c r="Q685" s="4" t="s">
        <v>26</v>
      </c>
      <c r="R685" s="4">
        <v>0</v>
      </c>
      <c r="S685" s="6">
        <v>0</v>
      </c>
      <c r="T685" s="6">
        <v>31</v>
      </c>
      <c r="U685" s="6">
        <v>72</v>
      </c>
      <c r="V685" s="6">
        <f>IF(ISERROR(VLOOKUP($S$685,'TAR FIN'!$A$1:$O$103,15,0)),0,VLOOKUP($S$685,'TAR FIN'!$A$1:$O$103,15,0))</f>
        <v>0</v>
      </c>
      <c r="W685" s="6">
        <f>IF(ISERROR(VLOOKUP($T$685,'TAR FIN'!$A$1:$O$103,15,0)),0,VLOOKUP($T$685,'TAR FIN'!$A$1:$O$103,15,0))</f>
        <v>68.53</v>
      </c>
      <c r="X685" s="6">
        <f>IF(ISERROR(VLOOKUP($U$685,'TAR FIN'!$A$1:$O$103,15,0)),0,VLOOKUP($U$685,'TAR FIN'!$A$1:$O$103,15,0))</f>
        <v>101.12</v>
      </c>
      <c r="Y685" s="6"/>
      <c r="Z685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5" s="6">
        <f>('TE BE'!$AB$15+'TE BF'!$AB$15+'TE CVA'!$AB$15)*(1-CUSTOS!$M$34)</f>
        <v>95.213388024370289</v>
      </c>
      <c r="AB685" s="6">
        <f>$K$685*$V$685</f>
        <v>0</v>
      </c>
      <c r="AC685" s="6">
        <f>$M$685*$W$685</f>
        <v>9894.4984600000007</v>
      </c>
      <c r="AD685" s="6">
        <f>$O$685*$X$685</f>
        <v>14599.907840000002</v>
      </c>
      <c r="AE685" s="6">
        <f>$K$685*$Y$685</f>
        <v>0</v>
      </c>
      <c r="AF685" s="6">
        <f ca="1">$M$685*$Z$685</f>
        <v>12230.181412072625</v>
      </c>
      <c r="AG685" s="6">
        <f>$O$685*$AA$685</f>
        <v>13747.099389734631</v>
      </c>
    </row>
    <row r="686" spans="1:33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6">
        <v>0</v>
      </c>
      <c r="L686" s="6">
        <v>143.66900000000001</v>
      </c>
      <c r="M686" s="6">
        <v>143.66900000000001</v>
      </c>
      <c r="N686" s="6">
        <v>143.66900000000001</v>
      </c>
      <c r="O686" s="6">
        <v>143.66900000000001</v>
      </c>
      <c r="P686" s="6">
        <v>214</v>
      </c>
      <c r="Q686" s="4" t="s">
        <v>26</v>
      </c>
      <c r="R686" s="4">
        <v>0</v>
      </c>
      <c r="S686" s="6">
        <v>0</v>
      </c>
      <c r="T686" s="6">
        <v>31</v>
      </c>
      <c r="U686" s="6">
        <v>72</v>
      </c>
      <c r="V686" s="6">
        <f>IF(ISERROR(VLOOKUP($S$686,'TAR FIN'!$A$1:$O$103,15,0)),0,VLOOKUP($S$686,'TAR FIN'!$A$1:$O$103,15,0))</f>
        <v>0</v>
      </c>
      <c r="W686" s="6">
        <f>IF(ISERROR(VLOOKUP($T$686,'TAR FIN'!$A$1:$O$103,15,0)),0,VLOOKUP($T$686,'TAR FIN'!$A$1:$O$103,15,0))</f>
        <v>68.53</v>
      </c>
      <c r="X686" s="6">
        <f>IF(ISERROR(VLOOKUP($U$686,'TAR FIN'!$A$1:$O$103,15,0)),0,VLOOKUP($U$686,'TAR FIN'!$A$1:$O$103,15,0))</f>
        <v>101.12</v>
      </c>
      <c r="Y686" s="6"/>
      <c r="Z686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6" s="6">
        <f>('TE BE'!$AB$15+'TE BF'!$AB$15+'TE CVA'!$AB$15)*(1-CUSTOS!$M$34)</f>
        <v>95.213388024370289</v>
      </c>
      <c r="AB686" s="6">
        <f>$K$686*$V$686</f>
        <v>0</v>
      </c>
      <c r="AC686" s="6">
        <f>$M$686*$W$686</f>
        <v>9845.6365700000006</v>
      </c>
      <c r="AD686" s="6">
        <f>$O$686*$X$686</f>
        <v>14527.809280000001</v>
      </c>
      <c r="AE686" s="6">
        <f>$K$686*$Y$686</f>
        <v>0</v>
      </c>
      <c r="AF686" s="6">
        <f ca="1">$M$686*$Z$686</f>
        <v>12169.785245328794</v>
      </c>
      <c r="AG686" s="6">
        <f>$O$686*$AA$686</f>
        <v>13679.212244073256</v>
      </c>
    </row>
    <row r="687" spans="1:33" ht="11.25" customHeight="1" x14ac:dyDescent="0.25">
      <c r="A687" s="4" t="s">
        <v>21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140.34</v>
      </c>
      <c r="M687" s="6">
        <v>140.34</v>
      </c>
      <c r="N687" s="6">
        <v>140.34</v>
      </c>
      <c r="O687" s="6">
        <v>140.34</v>
      </c>
      <c r="P687" s="6">
        <v>217</v>
      </c>
      <c r="Q687" s="4" t="s">
        <v>26</v>
      </c>
      <c r="R687" s="4">
        <v>0</v>
      </c>
      <c r="S687" s="6">
        <v>0</v>
      </c>
      <c r="T687" s="6">
        <v>31</v>
      </c>
      <c r="U687" s="6">
        <v>72</v>
      </c>
      <c r="V687" s="6">
        <f>IF(ISERROR(VLOOKUP($S$687,'TAR FIN'!$A$1:$O$103,15,0)),0,VLOOKUP($S$687,'TAR FIN'!$A$1:$O$103,15,0))</f>
        <v>0</v>
      </c>
      <c r="W687" s="6">
        <f>IF(ISERROR(VLOOKUP($T$687,'TAR FIN'!$A$1:$O$103,15,0)),0,VLOOKUP($T$687,'TAR FIN'!$A$1:$O$103,15,0))</f>
        <v>68.53</v>
      </c>
      <c r="X687" s="6">
        <f>IF(ISERROR(VLOOKUP($U$687,'TAR FIN'!$A$1:$O$103,15,0)),0,VLOOKUP($U$687,'TAR FIN'!$A$1:$O$103,15,0))</f>
        <v>101.12</v>
      </c>
      <c r="Y687" s="6"/>
      <c r="Z687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7" s="6">
        <f>('TE BE'!$AB$15+'TE BF'!$AB$15+'TE CVA'!$AB$15)*(1-CUSTOS!$M$34)</f>
        <v>95.213388024370289</v>
      </c>
      <c r="AB687" s="6">
        <f>$K$687*$V$687</f>
        <v>0</v>
      </c>
      <c r="AC687" s="6">
        <f>$M$687*$W$687</f>
        <v>9617.5002000000004</v>
      </c>
      <c r="AD687" s="6">
        <f>$O$687*$X$687</f>
        <v>14191.1808</v>
      </c>
      <c r="AE687" s="6">
        <f>$K$687*$Y$687</f>
        <v>0</v>
      </c>
      <c r="AF687" s="6">
        <f ca="1">$M$687*$Z$687</f>
        <v>11887.795288680529</v>
      </c>
      <c r="AG687" s="6">
        <f>$O$687*$AA$687</f>
        <v>13362.246875340126</v>
      </c>
    </row>
    <row r="688" spans="1:3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136.69900000000001</v>
      </c>
      <c r="M688" s="6">
        <v>136.69900000000001</v>
      </c>
      <c r="N688" s="6">
        <v>136.69900000000001</v>
      </c>
      <c r="O688" s="6">
        <v>136.69900000000001</v>
      </c>
      <c r="P688" s="6">
        <v>178</v>
      </c>
      <c r="Q688" s="4" t="s">
        <v>26</v>
      </c>
      <c r="R688" s="4">
        <v>0</v>
      </c>
      <c r="S688" s="6">
        <v>0</v>
      </c>
      <c r="T688" s="6">
        <v>31</v>
      </c>
      <c r="U688" s="6">
        <v>72</v>
      </c>
      <c r="V688" s="6">
        <f>IF(ISERROR(VLOOKUP($S$688,'TAR FIN'!$A$1:$O$103,15,0)),0,VLOOKUP($S$688,'TAR FIN'!$A$1:$O$103,15,0))</f>
        <v>0</v>
      </c>
      <c r="W688" s="6">
        <f>IF(ISERROR(VLOOKUP($T$688,'TAR FIN'!$A$1:$O$103,15,0)),0,VLOOKUP($T$688,'TAR FIN'!$A$1:$O$103,15,0))</f>
        <v>68.53</v>
      </c>
      <c r="X688" s="6">
        <f>IF(ISERROR(VLOOKUP($U$688,'TAR FIN'!$A$1:$O$103,15,0)),0,VLOOKUP($U$688,'TAR FIN'!$A$1:$O$103,15,0))</f>
        <v>101.12</v>
      </c>
      <c r="Y688" s="6"/>
      <c r="Z688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8" s="6">
        <f>('TE BE'!$AB$15+'TE BF'!$AB$15+'TE CVA'!$AB$15)*(1-CUSTOS!$M$34)</f>
        <v>95.213388024370289</v>
      </c>
      <c r="AB688" s="6">
        <f>$K$688*$V$688</f>
        <v>0</v>
      </c>
      <c r="AC688" s="6">
        <f>$M$688*$W$688</f>
        <v>9367.9824700000008</v>
      </c>
      <c r="AD688" s="6">
        <f>$O$688*$X$688</f>
        <v>13823.002880000002</v>
      </c>
      <c r="AE688" s="6">
        <f>$K$688*$Y$688</f>
        <v>0</v>
      </c>
      <c r="AF688" s="6">
        <f ca="1">$M$688*$Z$688</f>
        <v>11579.3767148877</v>
      </c>
      <c r="AG688" s="6">
        <f>$O$688*$AA$688</f>
        <v>13015.574929543396</v>
      </c>
    </row>
    <row r="689" spans="1:33" ht="11.25" customHeight="1" x14ac:dyDescent="0.25">
      <c r="A689" s="4" t="s">
        <v>21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137.904</v>
      </c>
      <c r="M689" s="6">
        <v>137.904</v>
      </c>
      <c r="N689" s="6">
        <v>137.904</v>
      </c>
      <c r="O689" s="6">
        <v>137.904</v>
      </c>
      <c r="P689" s="6">
        <v>181</v>
      </c>
      <c r="Q689" s="4" t="s">
        <v>26</v>
      </c>
      <c r="R689" s="4">
        <v>0</v>
      </c>
      <c r="S689" s="6">
        <v>0</v>
      </c>
      <c r="T689" s="6">
        <v>31</v>
      </c>
      <c r="U689" s="6">
        <v>72</v>
      </c>
      <c r="V689" s="6">
        <f>IF(ISERROR(VLOOKUP($S$689,'TAR FIN'!$A$1:$O$103,15,0)),0,VLOOKUP($S$689,'TAR FIN'!$A$1:$O$103,15,0))</f>
        <v>0</v>
      </c>
      <c r="W689" s="6">
        <f>IF(ISERROR(VLOOKUP($T$689,'TAR FIN'!$A$1:$O$103,15,0)),0,VLOOKUP($T$689,'TAR FIN'!$A$1:$O$103,15,0))</f>
        <v>68.53</v>
      </c>
      <c r="X689" s="6">
        <f>IF(ISERROR(VLOOKUP($U$689,'TAR FIN'!$A$1:$O$103,15,0)),0,VLOOKUP($U$689,'TAR FIN'!$A$1:$O$103,15,0))</f>
        <v>101.12</v>
      </c>
      <c r="Y689" s="6"/>
      <c r="Z689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89" s="6">
        <f>('TE BE'!$AB$15+'TE BF'!$AB$15+'TE CVA'!$AB$15)*(1-CUSTOS!$M$34)</f>
        <v>95.213388024370289</v>
      </c>
      <c r="AB689" s="6">
        <f>$K$689*$V$689</f>
        <v>0</v>
      </c>
      <c r="AC689" s="6">
        <f>$M$689*$W$689</f>
        <v>9450.5611200000003</v>
      </c>
      <c r="AD689" s="6">
        <f>$O$689*$X$689</f>
        <v>13944.85248</v>
      </c>
      <c r="AE689" s="6">
        <f>$K$689*$Y$689</f>
        <v>0</v>
      </c>
      <c r="AF689" s="6">
        <f ca="1">$M$689*$Z$689</f>
        <v>11681.44877789796</v>
      </c>
      <c r="AG689" s="6">
        <f>$O$689*$AA$689</f>
        <v>13130.307062112761</v>
      </c>
    </row>
    <row r="690" spans="1:33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142.95599999999999</v>
      </c>
      <c r="M690" s="6">
        <v>142.95599999999999</v>
      </c>
      <c r="N690" s="6">
        <v>142.95599999999999</v>
      </c>
      <c r="O690" s="6">
        <v>142.95599999999999</v>
      </c>
      <c r="P690" s="6">
        <v>186</v>
      </c>
      <c r="Q690" s="4" t="s">
        <v>26</v>
      </c>
      <c r="R690" s="4">
        <v>0</v>
      </c>
      <c r="S690" s="6">
        <v>0</v>
      </c>
      <c r="T690" s="6">
        <v>31</v>
      </c>
      <c r="U690" s="6">
        <v>72</v>
      </c>
      <c r="V690" s="6">
        <f>IF(ISERROR(VLOOKUP($S$690,'TAR FIN'!$A$1:$O$103,15,0)),0,VLOOKUP($S$690,'TAR FIN'!$A$1:$O$103,15,0))</f>
        <v>0</v>
      </c>
      <c r="W690" s="6">
        <f>IF(ISERROR(VLOOKUP($T$690,'TAR FIN'!$A$1:$O$103,15,0)),0,VLOOKUP($T$690,'TAR FIN'!$A$1:$O$103,15,0))</f>
        <v>68.53</v>
      </c>
      <c r="X690" s="6">
        <f>IF(ISERROR(VLOOKUP($U$690,'TAR FIN'!$A$1:$O$103,15,0)),0,VLOOKUP($U$690,'TAR FIN'!$A$1:$O$103,15,0))</f>
        <v>101.12</v>
      </c>
      <c r="Y690" s="6"/>
      <c r="Z690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90" s="6">
        <f>('TE BE'!$AB$15+'TE BF'!$AB$15+'TE CVA'!$AB$15)*(1-CUSTOS!$M$34)</f>
        <v>95.213388024370289</v>
      </c>
      <c r="AB690" s="6">
        <f>$K$690*$V$690</f>
        <v>0</v>
      </c>
      <c r="AC690" s="6">
        <f>$M$690*$W$690</f>
        <v>9796.7746799999986</v>
      </c>
      <c r="AD690" s="6">
        <f>$O$690*$X$690</f>
        <v>14455.710719999999</v>
      </c>
      <c r="AE690" s="6">
        <f>$K$690*$Y$690</f>
        <v>0</v>
      </c>
      <c r="AF690" s="6">
        <f ca="1">$M$690*$Z$690</f>
        <v>12109.389078584962</v>
      </c>
      <c r="AG690" s="6">
        <f>$O$690*$AA$690</f>
        <v>13611.325098411879</v>
      </c>
    </row>
    <row r="691" spans="1:33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44621</v>
      </c>
      <c r="J691" s="6">
        <v>0</v>
      </c>
      <c r="K691" s="6">
        <v>0</v>
      </c>
      <c r="L691" s="6">
        <v>153.839</v>
      </c>
      <c r="M691" s="6">
        <v>153.839</v>
      </c>
      <c r="N691" s="6">
        <v>153.839</v>
      </c>
      <c r="O691" s="6">
        <v>153.839</v>
      </c>
      <c r="P691" s="6">
        <v>200</v>
      </c>
      <c r="Q691" s="4" t="s">
        <v>26</v>
      </c>
      <c r="R691" s="4">
        <v>0</v>
      </c>
      <c r="S691" s="6">
        <v>0</v>
      </c>
      <c r="T691" s="6">
        <v>31</v>
      </c>
      <c r="U691" s="6">
        <v>72</v>
      </c>
      <c r="V691" s="6">
        <f>IF(ISERROR(VLOOKUP($S$691,'TAR FIN'!$A$1:$O$103,15,0)),0,VLOOKUP($S$691,'TAR FIN'!$A$1:$O$103,15,0))</f>
        <v>0</v>
      </c>
      <c r="W691" s="6">
        <f>IF(ISERROR(VLOOKUP($T$691,'TAR FIN'!$A$1:$O$103,15,0)),0,VLOOKUP($T$691,'TAR FIN'!$A$1:$O$103,15,0))</f>
        <v>68.53</v>
      </c>
      <c r="X691" s="6">
        <f>IF(ISERROR(VLOOKUP($U$691,'TAR FIN'!$A$1:$O$103,15,0)),0,VLOOKUP($U$691,'TAR FIN'!$A$1:$O$103,15,0))</f>
        <v>101.12</v>
      </c>
      <c r="Y691" s="6"/>
      <c r="Z691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91" s="6">
        <f>('TE BE'!$AB$15+'TE BF'!$AB$15+'TE CVA'!$AB$15)*(1-CUSTOS!$M$34)</f>
        <v>95.213388024370289</v>
      </c>
      <c r="AB691" s="6">
        <f>$K$691*$V$691</f>
        <v>0</v>
      </c>
      <c r="AC691" s="6">
        <f>$M$691*$W$691</f>
        <v>10542.586670000001</v>
      </c>
      <c r="AD691" s="6">
        <f>$O$691*$X$691</f>
        <v>15556.19968</v>
      </c>
      <c r="AE691" s="6">
        <f>$K$691*$Y$691</f>
        <v>0</v>
      </c>
      <c r="AF691" s="6">
        <f ca="1">$M$691*$Z$691</f>
        <v>13031.256515714151</v>
      </c>
      <c r="AG691" s="6">
        <f>$O$691*$AA$691</f>
        <v>14647.532400281101</v>
      </c>
    </row>
    <row r="692" spans="1:3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44652</v>
      </c>
      <c r="J692" s="6">
        <v>0</v>
      </c>
      <c r="K692" s="6">
        <v>0</v>
      </c>
      <c r="L692" s="6">
        <v>154.833</v>
      </c>
      <c r="M692" s="6">
        <v>154.833</v>
      </c>
      <c r="N692" s="6">
        <v>154.833</v>
      </c>
      <c r="O692" s="6">
        <v>154.833</v>
      </c>
      <c r="P692" s="6">
        <v>226</v>
      </c>
      <c r="Q692" s="4" t="s">
        <v>26</v>
      </c>
      <c r="R692" s="4">
        <v>0</v>
      </c>
      <c r="S692" s="6">
        <v>0</v>
      </c>
      <c r="T692" s="6">
        <v>31</v>
      </c>
      <c r="U692" s="6">
        <v>72</v>
      </c>
      <c r="V692" s="6">
        <f>IF(ISERROR(VLOOKUP($S$692,'TAR FIN'!$A$1:$O$103,15,0)),0,VLOOKUP($S$692,'TAR FIN'!$A$1:$O$103,15,0))</f>
        <v>0</v>
      </c>
      <c r="W692" s="6">
        <f>IF(ISERROR(VLOOKUP($T$692,'TAR FIN'!$A$1:$O$103,15,0)),0,VLOOKUP($T$692,'TAR FIN'!$A$1:$O$103,15,0))</f>
        <v>68.53</v>
      </c>
      <c r="X692" s="6">
        <f>IF(ISERROR(VLOOKUP($U$692,'TAR FIN'!$A$1:$O$103,15,0)),0,VLOOKUP($U$692,'TAR FIN'!$A$1:$O$103,15,0))</f>
        <v>101.12</v>
      </c>
      <c r="Y692" s="6"/>
      <c r="Z692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92" s="6">
        <f>('TE BE'!$AB$15+'TE BF'!$AB$15+'TE CVA'!$AB$15)*(1-CUSTOS!$M$34)</f>
        <v>95.213388024370289</v>
      </c>
      <c r="AB692" s="6">
        <f>$K$692*$V$692</f>
        <v>0</v>
      </c>
      <c r="AC692" s="6">
        <f>$M$692*$W$692</f>
        <v>10610.70549</v>
      </c>
      <c r="AD692" s="6">
        <f>$O$692*$X$692</f>
        <v>15656.712960000001</v>
      </c>
      <c r="AE692" s="6">
        <f>$K$692*$Y$692</f>
        <v>0</v>
      </c>
      <c r="AF692" s="6">
        <f ca="1">$M$692*$Z$692</f>
        <v>13115.455379309336</v>
      </c>
      <c r="AG692" s="6">
        <f>$O$692*$AA$692</f>
        <v>14742.174507977325</v>
      </c>
    </row>
    <row r="693" spans="1:33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44682</v>
      </c>
      <c r="J693" s="6">
        <v>0</v>
      </c>
      <c r="K693" s="6">
        <v>0</v>
      </c>
      <c r="L693" s="6">
        <v>156.267</v>
      </c>
      <c r="M693" s="6">
        <v>156.267</v>
      </c>
      <c r="N693" s="6">
        <v>156.267</v>
      </c>
      <c r="O693" s="6">
        <v>156.267</v>
      </c>
      <c r="P693" s="6">
        <v>247</v>
      </c>
      <c r="Q693" s="4" t="s">
        <v>26</v>
      </c>
      <c r="R693" s="4">
        <v>0</v>
      </c>
      <c r="S693" s="6">
        <v>0</v>
      </c>
      <c r="T693" s="6">
        <v>31</v>
      </c>
      <c r="U693" s="6">
        <v>72</v>
      </c>
      <c r="V693" s="6">
        <f>IF(ISERROR(VLOOKUP($S$693,'TAR FIN'!$A$1:$O$103,15,0)),0,VLOOKUP($S$693,'TAR FIN'!$A$1:$O$103,15,0))</f>
        <v>0</v>
      </c>
      <c r="W693" s="6">
        <f>IF(ISERROR(VLOOKUP($T$693,'TAR FIN'!$A$1:$O$103,15,0)),0,VLOOKUP($T$693,'TAR FIN'!$A$1:$O$103,15,0))</f>
        <v>68.53</v>
      </c>
      <c r="X693" s="6">
        <f>IF(ISERROR(VLOOKUP($U$693,'TAR FIN'!$A$1:$O$103,15,0)),0,VLOOKUP($U$693,'TAR FIN'!$A$1:$O$103,15,0))</f>
        <v>101.12</v>
      </c>
      <c r="Y693" s="6"/>
      <c r="Z693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93" s="6">
        <f>('TE BE'!$AB$15+'TE BF'!$AB$15+'TE CVA'!$AB$15)*(1-CUSTOS!$M$34)</f>
        <v>95.213388024370289</v>
      </c>
      <c r="AB693" s="6">
        <f>$K$693*$V$693</f>
        <v>0</v>
      </c>
      <c r="AC693" s="6">
        <f>$M$693*$W$693</f>
        <v>10708.977510000001</v>
      </c>
      <c r="AD693" s="6">
        <f>$O$693*$X$693</f>
        <v>15801.71904</v>
      </c>
      <c r="AE693" s="6">
        <f>$K$693*$Y$693</f>
        <v>0</v>
      </c>
      <c r="AF693" s="6">
        <f ca="1">$M$693*$Z$693</f>
        <v>13236.925369646859</v>
      </c>
      <c r="AG693" s="6">
        <f>$O$693*$AA$693</f>
        <v>14878.710506404272</v>
      </c>
    </row>
    <row r="694" spans="1:33" ht="11.25" customHeight="1" x14ac:dyDescent="0.25">
      <c r="A694" s="4" t="s">
        <v>27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44682</v>
      </c>
      <c r="J694" s="6">
        <v>0</v>
      </c>
      <c r="K694" s="6">
        <v>0</v>
      </c>
      <c r="L694" s="6">
        <v>0.06</v>
      </c>
      <c r="M694" s="6">
        <v>0.06</v>
      </c>
      <c r="N694" s="6">
        <v>0.06</v>
      </c>
      <c r="O694" s="6">
        <v>0.06</v>
      </c>
      <c r="P694" s="6">
        <v>0</v>
      </c>
      <c r="Q694" s="4" t="s">
        <v>26</v>
      </c>
      <c r="R694" s="4">
        <v>0</v>
      </c>
      <c r="S694" s="6">
        <v>0</v>
      </c>
      <c r="T694" s="6">
        <v>31</v>
      </c>
      <c r="U694" s="6">
        <v>72</v>
      </c>
      <c r="V694" s="6">
        <f>IF(ISERROR(VLOOKUP($S$694,'TAR FIN'!$A$1:$O$103,15,0)),0,VLOOKUP($S$694,'TAR FIN'!$A$1:$O$103,15,0))</f>
        <v>0</v>
      </c>
      <c r="W694" s="6">
        <f>IF(ISERROR(VLOOKUP($T$694,'TAR FIN'!$A$1:$O$103,15,0)),0,VLOOKUP($T$694,'TAR FIN'!$A$1:$O$103,15,0))</f>
        <v>68.53</v>
      </c>
      <c r="X694" s="6">
        <f>IF(ISERROR(VLOOKUP($U$694,'TAR FIN'!$A$1:$O$103,15,0)),0,VLOOKUP($U$694,'TAR FIN'!$A$1:$O$103,15,0))</f>
        <v>101.12</v>
      </c>
      <c r="Y694" s="6"/>
      <c r="Z694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694" s="6">
        <f>('TE BE'!$AB$15+'TE BF'!$AB$15+'TE CVA'!$AB$15)*(1-CUSTOS!$M$34)</f>
        <v>95.213388024370289</v>
      </c>
      <c r="AB694" s="6">
        <f>$K$694*$V$694</f>
        <v>0</v>
      </c>
      <c r="AC694" s="6">
        <f>$M$694*$W$694</f>
        <v>4.1117999999999997</v>
      </c>
      <c r="AD694" s="6">
        <f>$O$694*$X$694</f>
        <v>6.0671999999999997</v>
      </c>
      <c r="AE694" s="6">
        <f>$K$694*$Y$694</f>
        <v>0</v>
      </c>
      <c r="AF694" s="6">
        <f ca="1">$M$694*$Z$694</f>
        <v>5.0824263739549078</v>
      </c>
      <c r="AG694" s="6">
        <f>$O$694*$AA$694</f>
        <v>5.7128032814622172</v>
      </c>
    </row>
    <row r="695" spans="1:33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30</v>
      </c>
      <c r="F695" s="4" t="s">
        <v>25</v>
      </c>
      <c r="G695" s="4" t="s">
        <v>25</v>
      </c>
      <c r="H695" s="4" t="s">
        <v>25</v>
      </c>
      <c r="I695" s="5">
        <v>44348</v>
      </c>
      <c r="J695" s="6">
        <v>0</v>
      </c>
      <c r="K695" s="6">
        <v>0</v>
      </c>
      <c r="L695" s="6">
        <v>261.74599999999998</v>
      </c>
      <c r="M695" s="6">
        <v>261.74599999999998</v>
      </c>
      <c r="N695" s="6">
        <v>261.74599999999998</v>
      </c>
      <c r="O695" s="6">
        <v>261.74599999999998</v>
      </c>
      <c r="P695" s="6">
        <v>1688</v>
      </c>
      <c r="Q695" s="4" t="s">
        <v>26</v>
      </c>
      <c r="R695" s="4">
        <v>0</v>
      </c>
      <c r="S695" s="6">
        <v>0</v>
      </c>
      <c r="T695" s="6">
        <v>32</v>
      </c>
      <c r="U695" s="6">
        <v>73</v>
      </c>
      <c r="V695" s="6">
        <f>IF(ISERROR(VLOOKUP($S$695,'TAR FIN'!$A$1:$O$103,15,0)),0,VLOOKUP($S$695,'TAR FIN'!$A$1:$O$103,15,0))</f>
        <v>0</v>
      </c>
      <c r="W695" s="6">
        <f>IF(ISERROR(VLOOKUP($T$695,'TAR FIN'!$A$1:$O$103,15,0)),0,VLOOKUP($T$695,'TAR FIN'!$A$1:$O$103,15,0))</f>
        <v>117.48</v>
      </c>
      <c r="X695" s="6">
        <f>IF(ISERROR(VLOOKUP($U$695,'TAR FIN'!$A$1:$O$103,15,0)),0,VLOOKUP($U$695,'TAR FIN'!$A$1:$O$103,15,0))</f>
        <v>173.34</v>
      </c>
      <c r="Y695" s="6"/>
      <c r="Z695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695" s="6">
        <f>('TE BE'!$AB$16+'TE BF'!$AB$16+'TE CVA'!$AB$16)*(1-CUSTOS!$M$35)</f>
        <v>163.22295089892052</v>
      </c>
      <c r="AB695" s="6">
        <f>$K$695*$V$695</f>
        <v>0</v>
      </c>
      <c r="AC695" s="6">
        <f>$M$695*$W$695</f>
        <v>30749.92008</v>
      </c>
      <c r="AD695" s="6">
        <f>$O$695*$X$695</f>
        <v>45371.051639999998</v>
      </c>
      <c r="AE695" s="6">
        <f>$K$695*$Y$695</f>
        <v>0</v>
      </c>
      <c r="AF695" s="6">
        <f ca="1">$M$695*$Z$695</f>
        <v>38008.707819348609</v>
      </c>
      <c r="AG695" s="6">
        <f>$O$695*$AA$695</f>
        <v>42722.954505988848</v>
      </c>
    </row>
    <row r="696" spans="1:33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30</v>
      </c>
      <c r="F696" s="4" t="s">
        <v>25</v>
      </c>
      <c r="G696" s="4" t="s">
        <v>25</v>
      </c>
      <c r="H696" s="4" t="s">
        <v>25</v>
      </c>
      <c r="I696" s="5">
        <v>44348</v>
      </c>
      <c r="J696" s="6">
        <v>0</v>
      </c>
      <c r="K696" s="6">
        <v>0</v>
      </c>
      <c r="L696" s="6">
        <v>-8.9999999999999993E-3</v>
      </c>
      <c r="M696" s="6">
        <v>-8.9999999999999993E-3</v>
      </c>
      <c r="N696" s="6">
        <v>-8.9999999999999993E-3</v>
      </c>
      <c r="O696" s="6">
        <v>-8.9999999999999993E-3</v>
      </c>
      <c r="P696" s="6">
        <v>0</v>
      </c>
      <c r="Q696" s="4" t="s">
        <v>26</v>
      </c>
      <c r="R696" s="4">
        <v>0</v>
      </c>
      <c r="S696" s="6">
        <v>0</v>
      </c>
      <c r="T696" s="6">
        <v>32</v>
      </c>
      <c r="U696" s="6">
        <v>73</v>
      </c>
      <c r="V696" s="6">
        <f>IF(ISERROR(VLOOKUP($S$696,'TAR FIN'!$A$1:$O$103,15,0)),0,VLOOKUP($S$696,'TAR FIN'!$A$1:$O$103,15,0))</f>
        <v>0</v>
      </c>
      <c r="W696" s="6">
        <f>IF(ISERROR(VLOOKUP($T$696,'TAR FIN'!$A$1:$O$103,15,0)),0,VLOOKUP($T$696,'TAR FIN'!$A$1:$O$103,15,0))</f>
        <v>117.48</v>
      </c>
      <c r="X696" s="6">
        <f>IF(ISERROR(VLOOKUP($U$696,'TAR FIN'!$A$1:$O$103,15,0)),0,VLOOKUP($U$696,'TAR FIN'!$A$1:$O$103,15,0))</f>
        <v>173.34</v>
      </c>
      <c r="Y696" s="6"/>
      <c r="Z696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696" s="6">
        <f>('TE BE'!$AB$16+'TE BF'!$AB$16+'TE CVA'!$AB$16)*(1-CUSTOS!$M$35)</f>
        <v>163.22295089892052</v>
      </c>
      <c r="AB696" s="6">
        <f>$K$696*$V$696</f>
        <v>0</v>
      </c>
      <c r="AC696" s="6">
        <f>$M$696*$W$696</f>
        <v>-1.05732</v>
      </c>
      <c r="AD696" s="6">
        <f>$O$696*$X$696</f>
        <v>-1.56006</v>
      </c>
      <c r="AE696" s="6">
        <f>$K$696*$Y$696</f>
        <v>0</v>
      </c>
      <c r="AF696" s="6">
        <f ca="1">$M$696*$Z$696</f>
        <v>-1.3069096390169763</v>
      </c>
      <c r="AG696" s="6">
        <f>$O$696*$AA$696</f>
        <v>-1.4690065580902845</v>
      </c>
    </row>
    <row r="697" spans="1:33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30</v>
      </c>
      <c r="F697" s="4" t="s">
        <v>25</v>
      </c>
      <c r="G697" s="4" t="s">
        <v>25</v>
      </c>
      <c r="H697" s="4" t="s">
        <v>25</v>
      </c>
      <c r="I697" s="5">
        <v>44378</v>
      </c>
      <c r="J697" s="6">
        <v>0</v>
      </c>
      <c r="K697" s="6">
        <v>0</v>
      </c>
      <c r="L697" s="6">
        <v>261.61599999999999</v>
      </c>
      <c r="M697" s="6">
        <v>261.61599999999999</v>
      </c>
      <c r="N697" s="6">
        <v>261.61599999999999</v>
      </c>
      <c r="O697" s="6">
        <v>261.61599999999999</v>
      </c>
      <c r="P697" s="6">
        <v>1732</v>
      </c>
      <c r="Q697" s="4" t="s">
        <v>26</v>
      </c>
      <c r="R697" s="4">
        <v>0</v>
      </c>
      <c r="S697" s="6">
        <v>0</v>
      </c>
      <c r="T697" s="6">
        <v>32</v>
      </c>
      <c r="U697" s="6">
        <v>73</v>
      </c>
      <c r="V697" s="6">
        <f>IF(ISERROR(VLOOKUP($S$697,'TAR FIN'!$A$1:$O$103,15,0)),0,VLOOKUP($S$697,'TAR FIN'!$A$1:$O$103,15,0))</f>
        <v>0</v>
      </c>
      <c r="W697" s="6">
        <f>IF(ISERROR(VLOOKUP($T$697,'TAR FIN'!$A$1:$O$103,15,0)),0,VLOOKUP($T$697,'TAR FIN'!$A$1:$O$103,15,0))</f>
        <v>117.48</v>
      </c>
      <c r="X697" s="6">
        <f>IF(ISERROR(VLOOKUP($U$697,'TAR FIN'!$A$1:$O$103,15,0)),0,VLOOKUP($U$697,'TAR FIN'!$A$1:$O$103,15,0))</f>
        <v>173.34</v>
      </c>
      <c r="Y697" s="6"/>
      <c r="Z697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697" s="6">
        <f>('TE BE'!$AB$16+'TE BF'!$AB$16+'TE CVA'!$AB$16)*(1-CUSTOS!$M$35)</f>
        <v>163.22295089892052</v>
      </c>
      <c r="AB697" s="6">
        <f>$K$697*$V$697</f>
        <v>0</v>
      </c>
      <c r="AC697" s="6">
        <f>$M$697*$W$697</f>
        <v>30734.647679999998</v>
      </c>
      <c r="AD697" s="6">
        <f>$O$697*$X$697</f>
        <v>45348.517439999996</v>
      </c>
      <c r="AE697" s="6">
        <f>$K$697*$Y$697</f>
        <v>0</v>
      </c>
      <c r="AF697" s="6">
        <f ca="1">$M$697*$Z$697</f>
        <v>37989.830235673915</v>
      </c>
      <c r="AG697" s="6">
        <f>$O$697*$AA$697</f>
        <v>42701.735522371986</v>
      </c>
    </row>
    <row r="698" spans="1:33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30</v>
      </c>
      <c r="F698" s="4" t="s">
        <v>25</v>
      </c>
      <c r="G698" s="4" t="s">
        <v>25</v>
      </c>
      <c r="H698" s="4" t="s">
        <v>25</v>
      </c>
      <c r="I698" s="5">
        <v>44378</v>
      </c>
      <c r="J698" s="6">
        <v>0</v>
      </c>
      <c r="K698" s="6">
        <v>0</v>
      </c>
      <c r="L698" s="6">
        <v>-4.0000000000000001E-3</v>
      </c>
      <c r="M698" s="6">
        <v>-4.0000000000000001E-3</v>
      </c>
      <c r="N698" s="6">
        <v>-4.0000000000000001E-3</v>
      </c>
      <c r="O698" s="6">
        <v>-4.0000000000000001E-3</v>
      </c>
      <c r="P698" s="6">
        <v>0</v>
      </c>
      <c r="Q698" s="4" t="s">
        <v>26</v>
      </c>
      <c r="R698" s="4">
        <v>0</v>
      </c>
      <c r="S698" s="6">
        <v>0</v>
      </c>
      <c r="T698" s="6">
        <v>32</v>
      </c>
      <c r="U698" s="6">
        <v>73</v>
      </c>
      <c r="V698" s="6">
        <f>IF(ISERROR(VLOOKUP($S$698,'TAR FIN'!$A$1:$O$103,15,0)),0,VLOOKUP($S$698,'TAR FIN'!$A$1:$O$103,15,0))</f>
        <v>0</v>
      </c>
      <c r="W698" s="6">
        <f>IF(ISERROR(VLOOKUP($T$698,'TAR FIN'!$A$1:$O$103,15,0)),0,VLOOKUP($T$698,'TAR FIN'!$A$1:$O$103,15,0))</f>
        <v>117.48</v>
      </c>
      <c r="X698" s="6">
        <f>IF(ISERROR(VLOOKUP($U$698,'TAR FIN'!$A$1:$O$103,15,0)),0,VLOOKUP($U$698,'TAR FIN'!$A$1:$O$103,15,0))</f>
        <v>173.34</v>
      </c>
      <c r="Y698" s="6"/>
      <c r="Z698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698" s="6">
        <f>('TE BE'!$AB$16+'TE BF'!$AB$16+'TE CVA'!$AB$16)*(1-CUSTOS!$M$35)</f>
        <v>163.22295089892052</v>
      </c>
      <c r="AB698" s="6">
        <f>$K$698*$V$698</f>
        <v>0</v>
      </c>
      <c r="AC698" s="6">
        <f>$M$698*$W$698</f>
        <v>-0.46992</v>
      </c>
      <c r="AD698" s="6">
        <f>$O$698*$X$698</f>
        <v>-0.69335999999999998</v>
      </c>
      <c r="AE698" s="6">
        <f>$K$698*$Y$698</f>
        <v>0</v>
      </c>
      <c r="AF698" s="6">
        <f ca="1">$M$698*$Z$698</f>
        <v>-0.58084872845198954</v>
      </c>
      <c r="AG698" s="6">
        <f>$O$698*$AA$698</f>
        <v>-0.65289180359568211</v>
      </c>
    </row>
    <row r="699" spans="1:33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30</v>
      </c>
      <c r="F699" s="4" t="s">
        <v>25</v>
      </c>
      <c r="G699" s="4" t="s">
        <v>25</v>
      </c>
      <c r="H699" s="4" t="s">
        <v>25</v>
      </c>
      <c r="I699" s="5">
        <v>44409</v>
      </c>
      <c r="J699" s="6">
        <v>0</v>
      </c>
      <c r="K699" s="6">
        <v>0</v>
      </c>
      <c r="L699" s="6">
        <v>265.65699999999998</v>
      </c>
      <c r="M699" s="6">
        <v>265.65699999999998</v>
      </c>
      <c r="N699" s="6">
        <v>265.65699999999998</v>
      </c>
      <c r="O699" s="6">
        <v>265.65699999999998</v>
      </c>
      <c r="P699" s="6">
        <v>1693</v>
      </c>
      <c r="Q699" s="4" t="s">
        <v>26</v>
      </c>
      <c r="R699" s="4">
        <v>0</v>
      </c>
      <c r="S699" s="6">
        <v>0</v>
      </c>
      <c r="T699" s="6">
        <v>32</v>
      </c>
      <c r="U699" s="6">
        <v>73</v>
      </c>
      <c r="V699" s="6">
        <f>IF(ISERROR(VLOOKUP($S$699,'TAR FIN'!$A$1:$O$103,15,0)),0,VLOOKUP($S$699,'TAR FIN'!$A$1:$O$103,15,0))</f>
        <v>0</v>
      </c>
      <c r="W699" s="6">
        <f>IF(ISERROR(VLOOKUP($T$699,'TAR FIN'!$A$1:$O$103,15,0)),0,VLOOKUP($T$699,'TAR FIN'!$A$1:$O$103,15,0))</f>
        <v>117.48</v>
      </c>
      <c r="X699" s="6">
        <f>IF(ISERROR(VLOOKUP($U$699,'TAR FIN'!$A$1:$O$103,15,0)),0,VLOOKUP($U$699,'TAR FIN'!$A$1:$O$103,15,0))</f>
        <v>173.34</v>
      </c>
      <c r="Y699" s="6"/>
      <c r="Z699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699" s="6">
        <f>('TE BE'!$AB$16+'TE BF'!$AB$16+'TE CVA'!$AB$16)*(1-CUSTOS!$M$35)</f>
        <v>163.22295089892052</v>
      </c>
      <c r="AB699" s="6">
        <f>$K$699*$V$699</f>
        <v>0</v>
      </c>
      <c r="AC699" s="6">
        <f>$M$699*$W$699</f>
        <v>31209.38436</v>
      </c>
      <c r="AD699" s="6">
        <f>$O$699*$X$699</f>
        <v>46048.984379999994</v>
      </c>
      <c r="AE699" s="6">
        <f>$K$699*$Y$699</f>
        <v>0</v>
      </c>
      <c r="AF699" s="6">
        <f ca="1">$M$699*$Z$699</f>
        <v>38576.632663592536</v>
      </c>
      <c r="AG699" s="6">
        <f>$O$699*$AA$699</f>
        <v>43361.319466954526</v>
      </c>
    </row>
    <row r="700" spans="1:33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30</v>
      </c>
      <c r="F700" s="4" t="s">
        <v>25</v>
      </c>
      <c r="G700" s="4" t="s">
        <v>25</v>
      </c>
      <c r="H700" s="4" t="s">
        <v>25</v>
      </c>
      <c r="I700" s="5">
        <v>44409</v>
      </c>
      <c r="J700" s="6">
        <v>0</v>
      </c>
      <c r="K700" s="6">
        <v>0</v>
      </c>
      <c r="L700" s="6">
        <v>-3.9E-2</v>
      </c>
      <c r="M700" s="6">
        <v>-3.9E-2</v>
      </c>
      <c r="N700" s="6">
        <v>-3.9E-2</v>
      </c>
      <c r="O700" s="6">
        <v>-3.9E-2</v>
      </c>
      <c r="P700" s="6">
        <v>0</v>
      </c>
      <c r="Q700" s="4" t="s">
        <v>26</v>
      </c>
      <c r="R700" s="4">
        <v>0</v>
      </c>
      <c r="S700" s="6">
        <v>0</v>
      </c>
      <c r="T700" s="6">
        <v>32</v>
      </c>
      <c r="U700" s="6">
        <v>73</v>
      </c>
      <c r="V700" s="6">
        <f>IF(ISERROR(VLOOKUP($S$700,'TAR FIN'!$A$1:$O$103,15,0)),0,VLOOKUP($S$700,'TAR FIN'!$A$1:$O$103,15,0))</f>
        <v>0</v>
      </c>
      <c r="W700" s="6">
        <f>IF(ISERROR(VLOOKUP($T$700,'TAR FIN'!$A$1:$O$103,15,0)),0,VLOOKUP($T$700,'TAR FIN'!$A$1:$O$103,15,0))</f>
        <v>117.48</v>
      </c>
      <c r="X700" s="6">
        <f>IF(ISERROR(VLOOKUP($U$700,'TAR FIN'!$A$1:$O$103,15,0)),0,VLOOKUP($U$700,'TAR FIN'!$A$1:$O$103,15,0))</f>
        <v>173.34</v>
      </c>
      <c r="Y700" s="6"/>
      <c r="Z700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0" s="6">
        <f>('TE BE'!$AB$16+'TE BF'!$AB$16+'TE CVA'!$AB$16)*(1-CUSTOS!$M$35)</f>
        <v>163.22295089892052</v>
      </c>
      <c r="AB700" s="6">
        <f>$K$700*$V$700</f>
        <v>0</v>
      </c>
      <c r="AC700" s="6">
        <f>$M$700*$W$700</f>
        <v>-4.5817199999999998</v>
      </c>
      <c r="AD700" s="6">
        <f>$O$700*$X$700</f>
        <v>-6.7602599999999997</v>
      </c>
      <c r="AE700" s="6">
        <f>$K$700*$Y$700</f>
        <v>0</v>
      </c>
      <c r="AF700" s="6">
        <f ca="1">$M$700*$Z$700</f>
        <v>-5.6632751024068977</v>
      </c>
      <c r="AG700" s="6">
        <f>$O$700*$AA$700</f>
        <v>-6.3656950850578999</v>
      </c>
    </row>
    <row r="701" spans="1:33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30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273.36700000000002</v>
      </c>
      <c r="M701" s="6">
        <v>273.36700000000002</v>
      </c>
      <c r="N701" s="6">
        <v>273.36700000000002</v>
      </c>
      <c r="O701" s="6">
        <v>273.36700000000002</v>
      </c>
      <c r="P701" s="6">
        <v>1663</v>
      </c>
      <c r="Q701" s="4" t="s">
        <v>26</v>
      </c>
      <c r="R701" s="4">
        <v>0</v>
      </c>
      <c r="S701" s="6">
        <v>0</v>
      </c>
      <c r="T701" s="6">
        <v>32</v>
      </c>
      <c r="U701" s="6">
        <v>73</v>
      </c>
      <c r="V701" s="6">
        <f>IF(ISERROR(VLOOKUP($S$701,'TAR FIN'!$A$1:$O$103,15,0)),0,VLOOKUP($S$701,'TAR FIN'!$A$1:$O$103,15,0))</f>
        <v>0</v>
      </c>
      <c r="W701" s="6">
        <f>IF(ISERROR(VLOOKUP($T$701,'TAR FIN'!$A$1:$O$103,15,0)),0,VLOOKUP($T$701,'TAR FIN'!$A$1:$O$103,15,0))</f>
        <v>117.48</v>
      </c>
      <c r="X701" s="6">
        <f>IF(ISERROR(VLOOKUP($U$701,'TAR FIN'!$A$1:$O$103,15,0)),0,VLOOKUP($U$701,'TAR FIN'!$A$1:$O$103,15,0))</f>
        <v>173.34</v>
      </c>
      <c r="Y701" s="6"/>
      <c r="Z701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1" s="6">
        <f>('TE BE'!$AB$16+'TE BF'!$AB$16+'TE CVA'!$AB$16)*(1-CUSTOS!$M$35)</f>
        <v>163.22295089892052</v>
      </c>
      <c r="AB701" s="6">
        <f>$K$701*$V$701</f>
        <v>0</v>
      </c>
      <c r="AC701" s="6">
        <f>$M$701*$W$701</f>
        <v>32115.155160000002</v>
      </c>
      <c r="AD701" s="6">
        <f>$O$701*$X$701</f>
        <v>47385.435780000007</v>
      </c>
      <c r="AE701" s="6">
        <f>$K$701*$Y$701</f>
        <v>0</v>
      </c>
      <c r="AF701" s="6">
        <f ca="1">$M$701*$Z$701</f>
        <v>39696.218587683754</v>
      </c>
      <c r="AG701" s="6">
        <f>$O$701*$AA$701</f>
        <v>44619.768418385211</v>
      </c>
    </row>
    <row r="702" spans="1:33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30</v>
      </c>
      <c r="F702" s="4" t="s">
        <v>25</v>
      </c>
      <c r="G702" s="4" t="s">
        <v>25</v>
      </c>
      <c r="H702" s="4" t="s">
        <v>25</v>
      </c>
      <c r="I702" s="5">
        <v>44440</v>
      </c>
      <c r="J702" s="6">
        <v>0</v>
      </c>
      <c r="K702" s="6">
        <v>0</v>
      </c>
      <c r="L702" s="6">
        <v>-0.13500000000000001</v>
      </c>
      <c r="M702" s="6">
        <v>-0.13500000000000001</v>
      </c>
      <c r="N702" s="6">
        <v>-0.13500000000000001</v>
      </c>
      <c r="O702" s="6">
        <v>-0.13500000000000001</v>
      </c>
      <c r="P702" s="6">
        <v>0</v>
      </c>
      <c r="Q702" s="4" t="s">
        <v>26</v>
      </c>
      <c r="R702" s="4">
        <v>0</v>
      </c>
      <c r="S702" s="6">
        <v>0</v>
      </c>
      <c r="T702" s="6">
        <v>32</v>
      </c>
      <c r="U702" s="6">
        <v>73</v>
      </c>
      <c r="V702" s="6">
        <f>IF(ISERROR(VLOOKUP($S$702,'TAR FIN'!$A$1:$O$103,15,0)),0,VLOOKUP($S$702,'TAR FIN'!$A$1:$O$103,15,0))</f>
        <v>0</v>
      </c>
      <c r="W702" s="6">
        <f>IF(ISERROR(VLOOKUP($T$702,'TAR FIN'!$A$1:$O$103,15,0)),0,VLOOKUP($T$702,'TAR FIN'!$A$1:$O$103,15,0))</f>
        <v>117.48</v>
      </c>
      <c r="X702" s="6">
        <f>IF(ISERROR(VLOOKUP($U$702,'TAR FIN'!$A$1:$O$103,15,0)),0,VLOOKUP($U$702,'TAR FIN'!$A$1:$O$103,15,0))</f>
        <v>173.34</v>
      </c>
      <c r="Y702" s="6"/>
      <c r="Z702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2" s="6">
        <f>('TE BE'!$AB$16+'TE BF'!$AB$16+'TE CVA'!$AB$16)*(1-CUSTOS!$M$35)</f>
        <v>163.22295089892052</v>
      </c>
      <c r="AB702" s="6">
        <f>$K$702*$V$702</f>
        <v>0</v>
      </c>
      <c r="AC702" s="6">
        <f>$M$702*$W$702</f>
        <v>-15.859800000000002</v>
      </c>
      <c r="AD702" s="6">
        <f>$O$702*$X$702</f>
        <v>-23.400900000000004</v>
      </c>
      <c r="AE702" s="6">
        <f>$K$702*$Y$702</f>
        <v>0</v>
      </c>
      <c r="AF702" s="6">
        <f ca="1">$M$702*$Z$702</f>
        <v>-19.603644585254646</v>
      </c>
      <c r="AG702" s="6">
        <f>$O$702*$AA$702</f>
        <v>-22.03509837135427</v>
      </c>
    </row>
    <row r="703" spans="1:33" ht="11.25" customHeight="1" x14ac:dyDescent="0.25">
      <c r="A703" s="4" t="s">
        <v>21</v>
      </c>
      <c r="B703" s="4" t="s">
        <v>22</v>
      </c>
      <c r="C703" s="4" t="s">
        <v>23</v>
      </c>
      <c r="D703" s="4" t="s">
        <v>24</v>
      </c>
      <c r="E703" s="4" t="s">
        <v>30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273.81</v>
      </c>
      <c r="M703" s="6">
        <v>273.81</v>
      </c>
      <c r="N703" s="6">
        <v>273.81</v>
      </c>
      <c r="O703" s="6">
        <v>273.81</v>
      </c>
      <c r="P703" s="6">
        <v>1632</v>
      </c>
      <c r="Q703" s="4" t="s">
        <v>26</v>
      </c>
      <c r="R703" s="4">
        <v>0</v>
      </c>
      <c r="S703" s="6">
        <v>0</v>
      </c>
      <c r="T703" s="6">
        <v>32</v>
      </c>
      <c r="U703" s="6">
        <v>73</v>
      </c>
      <c r="V703" s="6">
        <f>IF(ISERROR(VLOOKUP($S$703,'TAR FIN'!$A$1:$O$103,15,0)),0,VLOOKUP($S$703,'TAR FIN'!$A$1:$O$103,15,0))</f>
        <v>0</v>
      </c>
      <c r="W703" s="6">
        <f>IF(ISERROR(VLOOKUP($T$703,'TAR FIN'!$A$1:$O$103,15,0)),0,VLOOKUP($T$703,'TAR FIN'!$A$1:$O$103,15,0))</f>
        <v>117.48</v>
      </c>
      <c r="X703" s="6">
        <f>IF(ISERROR(VLOOKUP($U$703,'TAR FIN'!$A$1:$O$103,15,0)),0,VLOOKUP($U$703,'TAR FIN'!$A$1:$O$103,15,0))</f>
        <v>173.34</v>
      </c>
      <c r="Y703" s="6"/>
      <c r="Z703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3" s="6">
        <f>('TE BE'!$AB$16+'TE BF'!$AB$16+'TE CVA'!$AB$16)*(1-CUSTOS!$M$35)</f>
        <v>163.22295089892052</v>
      </c>
      <c r="AB703" s="6">
        <f>$K$703*$V$703</f>
        <v>0</v>
      </c>
      <c r="AC703" s="6">
        <f>$M$703*$W$703</f>
        <v>32167.198800000002</v>
      </c>
      <c r="AD703" s="6">
        <f>$O$703*$X$703</f>
        <v>47462.225400000003</v>
      </c>
      <c r="AE703" s="6">
        <f>$K$703*$Y$703</f>
        <v>0</v>
      </c>
      <c r="AF703" s="6">
        <f ca="1">$M$703*$Z$703</f>
        <v>39760.547584359811</v>
      </c>
      <c r="AG703" s="6">
        <f>$O$703*$AA$703</f>
        <v>44692.076185633428</v>
      </c>
    </row>
    <row r="704" spans="1:33" ht="11.25" customHeight="1" x14ac:dyDescent="0.25">
      <c r="A704" s="4" t="s">
        <v>27</v>
      </c>
      <c r="B704" s="4" t="s">
        <v>22</v>
      </c>
      <c r="C704" s="4" t="s">
        <v>23</v>
      </c>
      <c r="D704" s="4" t="s">
        <v>24</v>
      </c>
      <c r="E704" s="4" t="s">
        <v>30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-6.5000000000000002E-2</v>
      </c>
      <c r="M704" s="6">
        <v>-6.5000000000000002E-2</v>
      </c>
      <c r="N704" s="6">
        <v>-6.5000000000000002E-2</v>
      </c>
      <c r="O704" s="6">
        <v>-6.5000000000000002E-2</v>
      </c>
      <c r="P704" s="6">
        <v>0</v>
      </c>
      <c r="Q704" s="4" t="s">
        <v>26</v>
      </c>
      <c r="R704" s="4">
        <v>0</v>
      </c>
      <c r="S704" s="6">
        <v>0</v>
      </c>
      <c r="T704" s="6">
        <v>32</v>
      </c>
      <c r="U704" s="6">
        <v>73</v>
      </c>
      <c r="V704" s="6">
        <f>IF(ISERROR(VLOOKUP($S$704,'TAR FIN'!$A$1:$O$103,15,0)),0,VLOOKUP($S$704,'TAR FIN'!$A$1:$O$103,15,0))</f>
        <v>0</v>
      </c>
      <c r="W704" s="6">
        <f>IF(ISERROR(VLOOKUP($T$704,'TAR FIN'!$A$1:$O$103,15,0)),0,VLOOKUP($T$704,'TAR FIN'!$A$1:$O$103,15,0))</f>
        <v>117.48</v>
      </c>
      <c r="X704" s="6">
        <f>IF(ISERROR(VLOOKUP($U$704,'TAR FIN'!$A$1:$O$103,15,0)),0,VLOOKUP($U$704,'TAR FIN'!$A$1:$O$103,15,0))</f>
        <v>173.34</v>
      </c>
      <c r="Y704" s="6"/>
      <c r="Z704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4" s="6">
        <f>('TE BE'!$AB$16+'TE BF'!$AB$16+'TE CVA'!$AB$16)*(1-CUSTOS!$M$35)</f>
        <v>163.22295089892052</v>
      </c>
      <c r="AB704" s="6">
        <f>$K$704*$V$704</f>
        <v>0</v>
      </c>
      <c r="AC704" s="6">
        <f>$M$704*$W$704</f>
        <v>-7.6362000000000005</v>
      </c>
      <c r="AD704" s="6">
        <f>$O$704*$X$704</f>
        <v>-11.267100000000001</v>
      </c>
      <c r="AE704" s="6">
        <f>$K$704*$Y$704</f>
        <v>0</v>
      </c>
      <c r="AF704" s="6">
        <f ca="1">$M$704*$Z$704</f>
        <v>-9.4387918373448301</v>
      </c>
      <c r="AG704" s="6">
        <f>$O$704*$AA$704</f>
        <v>-10.609491808429834</v>
      </c>
    </row>
    <row r="705" spans="1:33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30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265.63600000000002</v>
      </c>
      <c r="M705" s="6">
        <v>265.63600000000002</v>
      </c>
      <c r="N705" s="6">
        <v>265.63600000000002</v>
      </c>
      <c r="O705" s="6">
        <v>265.63600000000002</v>
      </c>
      <c r="P705" s="6">
        <v>1637</v>
      </c>
      <c r="Q705" s="4" t="s">
        <v>26</v>
      </c>
      <c r="R705" s="4">
        <v>0</v>
      </c>
      <c r="S705" s="6">
        <v>0</v>
      </c>
      <c r="T705" s="6">
        <v>32</v>
      </c>
      <c r="U705" s="6">
        <v>73</v>
      </c>
      <c r="V705" s="6">
        <f>IF(ISERROR(VLOOKUP($S$705,'TAR FIN'!$A$1:$O$103,15,0)),0,VLOOKUP($S$705,'TAR FIN'!$A$1:$O$103,15,0))</f>
        <v>0</v>
      </c>
      <c r="W705" s="6">
        <f>IF(ISERROR(VLOOKUP($T$705,'TAR FIN'!$A$1:$O$103,15,0)),0,VLOOKUP($T$705,'TAR FIN'!$A$1:$O$103,15,0))</f>
        <v>117.48</v>
      </c>
      <c r="X705" s="6">
        <f>IF(ISERROR(VLOOKUP($U$705,'TAR FIN'!$A$1:$O$103,15,0)),0,VLOOKUP($U$705,'TAR FIN'!$A$1:$O$103,15,0))</f>
        <v>173.34</v>
      </c>
      <c r="Y705" s="6"/>
      <c r="Z705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5" s="6">
        <f>('TE BE'!$AB$16+'TE BF'!$AB$16+'TE CVA'!$AB$16)*(1-CUSTOS!$M$35)</f>
        <v>163.22295089892052</v>
      </c>
      <c r="AB705" s="6">
        <f>$K$705*$V$705</f>
        <v>0</v>
      </c>
      <c r="AC705" s="6">
        <f>$M$705*$W$705</f>
        <v>31206.917280000005</v>
      </c>
      <c r="AD705" s="6">
        <f>$O$705*$X$705</f>
        <v>46045.344240000006</v>
      </c>
      <c r="AE705" s="6">
        <f>$K$705*$Y$705</f>
        <v>0</v>
      </c>
      <c r="AF705" s="6">
        <f ca="1">$M$705*$Z$705</f>
        <v>38573.58320776817</v>
      </c>
      <c r="AG705" s="6">
        <f>$O$705*$AA$705</f>
        <v>43357.891784985652</v>
      </c>
    </row>
    <row r="706" spans="1:33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30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-6.4000000000000001E-2</v>
      </c>
      <c r="M706" s="6">
        <v>-6.4000000000000001E-2</v>
      </c>
      <c r="N706" s="6">
        <v>-6.4000000000000001E-2</v>
      </c>
      <c r="O706" s="6">
        <v>-6.4000000000000001E-2</v>
      </c>
      <c r="P706" s="6">
        <v>0</v>
      </c>
      <c r="Q706" s="4" t="s">
        <v>26</v>
      </c>
      <c r="R706" s="4">
        <v>0</v>
      </c>
      <c r="S706" s="6">
        <v>0</v>
      </c>
      <c r="T706" s="6">
        <v>32</v>
      </c>
      <c r="U706" s="6">
        <v>73</v>
      </c>
      <c r="V706" s="6">
        <f>IF(ISERROR(VLOOKUP($S$706,'TAR FIN'!$A$1:$O$103,15,0)),0,VLOOKUP($S$706,'TAR FIN'!$A$1:$O$103,15,0))</f>
        <v>0</v>
      </c>
      <c r="W706" s="6">
        <f>IF(ISERROR(VLOOKUP($T$706,'TAR FIN'!$A$1:$O$103,15,0)),0,VLOOKUP($T$706,'TAR FIN'!$A$1:$O$103,15,0))</f>
        <v>117.48</v>
      </c>
      <c r="X706" s="6">
        <f>IF(ISERROR(VLOOKUP($U$706,'TAR FIN'!$A$1:$O$103,15,0)),0,VLOOKUP($U$706,'TAR FIN'!$A$1:$O$103,15,0))</f>
        <v>173.34</v>
      </c>
      <c r="Y706" s="6"/>
      <c r="Z706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6" s="6">
        <f>('TE BE'!$AB$16+'TE BF'!$AB$16+'TE CVA'!$AB$16)*(1-CUSTOS!$M$35)</f>
        <v>163.22295089892052</v>
      </c>
      <c r="AB706" s="6">
        <f>$K$706*$V$706</f>
        <v>0</v>
      </c>
      <c r="AC706" s="6">
        <f>$M$706*$W$706</f>
        <v>-7.5187200000000001</v>
      </c>
      <c r="AD706" s="6">
        <f>$O$706*$X$706</f>
        <v>-11.09376</v>
      </c>
      <c r="AE706" s="6">
        <f>$K$706*$Y$706</f>
        <v>0</v>
      </c>
      <c r="AF706" s="6">
        <f ca="1">$M$706*$Z$706</f>
        <v>-9.2935796552318326</v>
      </c>
      <c r="AG706" s="6">
        <f>$O$706*$AA$706</f>
        <v>-10.446268857530914</v>
      </c>
    </row>
    <row r="707" spans="1:33" ht="11.25" customHeight="1" x14ac:dyDescent="0.25">
      <c r="A707" s="4" t="s">
        <v>21</v>
      </c>
      <c r="B707" s="4" t="s">
        <v>22</v>
      </c>
      <c r="C707" s="4" t="s">
        <v>23</v>
      </c>
      <c r="D707" s="4" t="s">
        <v>24</v>
      </c>
      <c r="E707" s="4" t="s">
        <v>30</v>
      </c>
      <c r="F707" s="4" t="s">
        <v>25</v>
      </c>
      <c r="G707" s="4" t="s">
        <v>25</v>
      </c>
      <c r="H707" s="4" t="s">
        <v>25</v>
      </c>
      <c r="I707" s="5">
        <v>44531</v>
      </c>
      <c r="J707" s="6">
        <v>0</v>
      </c>
      <c r="K707" s="6">
        <v>0</v>
      </c>
      <c r="L707" s="6">
        <v>263.64100000000002</v>
      </c>
      <c r="M707" s="6">
        <v>263.64100000000002</v>
      </c>
      <c r="N707" s="6">
        <v>263.64100000000002</v>
      </c>
      <c r="O707" s="6">
        <v>263.64100000000002</v>
      </c>
      <c r="P707" s="6">
        <v>1554</v>
      </c>
      <c r="Q707" s="4" t="s">
        <v>26</v>
      </c>
      <c r="R707" s="4">
        <v>0</v>
      </c>
      <c r="S707" s="6">
        <v>0</v>
      </c>
      <c r="T707" s="6">
        <v>32</v>
      </c>
      <c r="U707" s="6">
        <v>73</v>
      </c>
      <c r="V707" s="6">
        <f>IF(ISERROR(VLOOKUP($S$707,'TAR FIN'!$A$1:$O$103,15,0)),0,VLOOKUP($S$707,'TAR FIN'!$A$1:$O$103,15,0))</f>
        <v>0</v>
      </c>
      <c r="W707" s="6">
        <f>IF(ISERROR(VLOOKUP($T$707,'TAR FIN'!$A$1:$O$103,15,0)),0,VLOOKUP($T$707,'TAR FIN'!$A$1:$O$103,15,0))</f>
        <v>117.48</v>
      </c>
      <c r="X707" s="6">
        <f>IF(ISERROR(VLOOKUP($U$707,'TAR FIN'!$A$1:$O$103,15,0)),0,VLOOKUP($U$707,'TAR FIN'!$A$1:$O$103,15,0))</f>
        <v>173.34</v>
      </c>
      <c r="Y707" s="6"/>
      <c r="Z707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7" s="6">
        <f>('TE BE'!$AB$16+'TE BF'!$AB$16+'TE CVA'!$AB$16)*(1-CUSTOS!$M$35)</f>
        <v>163.22295089892052</v>
      </c>
      <c r="AB707" s="6">
        <f>$K$707*$V$707</f>
        <v>0</v>
      </c>
      <c r="AC707" s="6">
        <f>$M$707*$W$707</f>
        <v>30972.544680000003</v>
      </c>
      <c r="AD707" s="6">
        <f>$O$707*$X$707</f>
        <v>45699.530940000004</v>
      </c>
      <c r="AE707" s="6">
        <f>$K$707*$Y$707</f>
        <v>0</v>
      </c>
      <c r="AF707" s="6">
        <f ca="1">$M$707*$Z$707</f>
        <v>38283.884904452745</v>
      </c>
      <c r="AG707" s="6">
        <f>$O$707*$AA$707</f>
        <v>43032.261997942303</v>
      </c>
    </row>
    <row r="708" spans="1:33" ht="11.25" customHeight="1" x14ac:dyDescent="0.25">
      <c r="A708" s="4" t="s">
        <v>27</v>
      </c>
      <c r="B708" s="4" t="s">
        <v>22</v>
      </c>
      <c r="C708" s="4" t="s">
        <v>23</v>
      </c>
      <c r="D708" s="4" t="s">
        <v>24</v>
      </c>
      <c r="E708" s="4" t="s">
        <v>30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1.6E-2</v>
      </c>
      <c r="M708" s="6">
        <v>1.6E-2</v>
      </c>
      <c r="N708" s="6">
        <v>1.6E-2</v>
      </c>
      <c r="O708" s="6">
        <v>1.6E-2</v>
      </c>
      <c r="P708" s="6">
        <v>0</v>
      </c>
      <c r="Q708" s="4" t="s">
        <v>26</v>
      </c>
      <c r="R708" s="4">
        <v>0</v>
      </c>
      <c r="S708" s="6">
        <v>0</v>
      </c>
      <c r="T708" s="6">
        <v>32</v>
      </c>
      <c r="U708" s="6">
        <v>73</v>
      </c>
      <c r="V708" s="6">
        <f>IF(ISERROR(VLOOKUP($S$708,'TAR FIN'!$A$1:$O$103,15,0)),0,VLOOKUP($S$708,'TAR FIN'!$A$1:$O$103,15,0))</f>
        <v>0</v>
      </c>
      <c r="W708" s="6">
        <f>IF(ISERROR(VLOOKUP($T$708,'TAR FIN'!$A$1:$O$103,15,0)),0,VLOOKUP($T$708,'TAR FIN'!$A$1:$O$103,15,0))</f>
        <v>117.48</v>
      </c>
      <c r="X708" s="6">
        <f>IF(ISERROR(VLOOKUP($U$708,'TAR FIN'!$A$1:$O$103,15,0)),0,VLOOKUP($U$708,'TAR FIN'!$A$1:$O$103,15,0))</f>
        <v>173.34</v>
      </c>
      <c r="Y708" s="6"/>
      <c r="Z708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8" s="6">
        <f>('TE BE'!$AB$16+'TE BF'!$AB$16+'TE CVA'!$AB$16)*(1-CUSTOS!$M$35)</f>
        <v>163.22295089892052</v>
      </c>
      <c r="AB708" s="6">
        <f>$K$708*$V$708</f>
        <v>0</v>
      </c>
      <c r="AC708" s="6">
        <f>$M$708*$W$708</f>
        <v>1.87968</v>
      </c>
      <c r="AD708" s="6">
        <f>$O$708*$X$708</f>
        <v>2.7734399999999999</v>
      </c>
      <c r="AE708" s="6">
        <f>$K$708*$Y$708</f>
        <v>0</v>
      </c>
      <c r="AF708" s="6">
        <f ca="1">$M$708*$Z$708</f>
        <v>2.3233949138079582</v>
      </c>
      <c r="AG708" s="6">
        <f>$O$708*$AA$708</f>
        <v>2.6115672143827284</v>
      </c>
    </row>
    <row r="709" spans="1:33" ht="11.25" customHeight="1" x14ac:dyDescent="0.25">
      <c r="A709" s="4" t="s">
        <v>21</v>
      </c>
      <c r="B709" s="4" t="s">
        <v>22</v>
      </c>
      <c r="C709" s="4" t="s">
        <v>23</v>
      </c>
      <c r="D709" s="4" t="s">
        <v>24</v>
      </c>
      <c r="E709" s="4" t="s">
        <v>30</v>
      </c>
      <c r="F709" s="4" t="s">
        <v>25</v>
      </c>
      <c r="G709" s="4" t="s">
        <v>25</v>
      </c>
      <c r="H709" s="4" t="s">
        <v>25</v>
      </c>
      <c r="I709" s="5">
        <v>44562</v>
      </c>
      <c r="J709" s="6">
        <v>0</v>
      </c>
      <c r="K709" s="6">
        <v>0</v>
      </c>
      <c r="L709" s="6">
        <v>267.75400000000002</v>
      </c>
      <c r="M709" s="6">
        <v>267.75400000000002</v>
      </c>
      <c r="N709" s="6">
        <v>267.75400000000002</v>
      </c>
      <c r="O709" s="6">
        <v>267.75400000000002</v>
      </c>
      <c r="P709" s="6">
        <v>1520</v>
      </c>
      <c r="Q709" s="4" t="s">
        <v>26</v>
      </c>
      <c r="R709" s="4">
        <v>0</v>
      </c>
      <c r="S709" s="6">
        <v>0</v>
      </c>
      <c r="T709" s="6">
        <v>32</v>
      </c>
      <c r="U709" s="6">
        <v>73</v>
      </c>
      <c r="V709" s="6">
        <f>IF(ISERROR(VLOOKUP($S$709,'TAR FIN'!$A$1:$O$103,15,0)),0,VLOOKUP($S$709,'TAR FIN'!$A$1:$O$103,15,0))</f>
        <v>0</v>
      </c>
      <c r="W709" s="6">
        <f>IF(ISERROR(VLOOKUP($T$709,'TAR FIN'!$A$1:$O$103,15,0)),0,VLOOKUP($T$709,'TAR FIN'!$A$1:$O$103,15,0))</f>
        <v>117.48</v>
      </c>
      <c r="X709" s="6">
        <f>IF(ISERROR(VLOOKUP($U$709,'TAR FIN'!$A$1:$O$103,15,0)),0,VLOOKUP($U$709,'TAR FIN'!$A$1:$O$103,15,0))</f>
        <v>173.34</v>
      </c>
      <c r="Y709" s="6"/>
      <c r="Z709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09" s="6">
        <f>('TE BE'!$AB$16+'TE BF'!$AB$16+'TE CVA'!$AB$16)*(1-CUSTOS!$M$35)</f>
        <v>163.22295089892052</v>
      </c>
      <c r="AB709" s="6">
        <f>$K$709*$V$709</f>
        <v>0</v>
      </c>
      <c r="AC709" s="6">
        <f>$M$709*$W$709</f>
        <v>31455.739920000004</v>
      </c>
      <c r="AD709" s="6">
        <f>$O$709*$X$709</f>
        <v>46412.478360000001</v>
      </c>
      <c r="AE709" s="6">
        <f>$K$709*$Y$709</f>
        <v>0</v>
      </c>
      <c r="AF709" s="6">
        <f ca="1">$M$709*$Z$709</f>
        <v>38881.142609483497</v>
      </c>
      <c r="AG709" s="6">
        <f>$O$709*$AA$709</f>
        <v>43703.59799498957</v>
      </c>
    </row>
    <row r="710" spans="1:33" ht="11.25" customHeight="1" x14ac:dyDescent="0.25">
      <c r="A710" s="4" t="s">
        <v>27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44562</v>
      </c>
      <c r="J710" s="6">
        <v>0</v>
      </c>
      <c r="K710" s="6">
        <v>0</v>
      </c>
      <c r="L710" s="6">
        <v>-0.09</v>
      </c>
      <c r="M710" s="6">
        <v>-0.09</v>
      </c>
      <c r="N710" s="6">
        <v>-0.09</v>
      </c>
      <c r="O710" s="6">
        <v>-0.09</v>
      </c>
      <c r="P710" s="6">
        <v>0</v>
      </c>
      <c r="Q710" s="4" t="s">
        <v>26</v>
      </c>
      <c r="R710" s="4">
        <v>0</v>
      </c>
      <c r="S710" s="6">
        <v>0</v>
      </c>
      <c r="T710" s="6">
        <v>32</v>
      </c>
      <c r="U710" s="6">
        <v>73</v>
      </c>
      <c r="V710" s="6">
        <f>IF(ISERROR(VLOOKUP($S$710,'TAR FIN'!$A$1:$O$103,15,0)),0,VLOOKUP($S$710,'TAR FIN'!$A$1:$O$103,15,0))</f>
        <v>0</v>
      </c>
      <c r="W710" s="6">
        <f>IF(ISERROR(VLOOKUP($T$710,'TAR FIN'!$A$1:$O$103,15,0)),0,VLOOKUP($T$710,'TAR FIN'!$A$1:$O$103,15,0))</f>
        <v>117.48</v>
      </c>
      <c r="X710" s="6">
        <f>IF(ISERROR(VLOOKUP($U$710,'TAR FIN'!$A$1:$O$103,15,0)),0,VLOOKUP($U$710,'TAR FIN'!$A$1:$O$103,15,0))</f>
        <v>173.34</v>
      </c>
      <c r="Y710" s="6"/>
      <c r="Z710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0" s="6">
        <f>('TE BE'!$AB$16+'TE BF'!$AB$16+'TE CVA'!$AB$16)*(1-CUSTOS!$M$35)</f>
        <v>163.22295089892052</v>
      </c>
      <c r="AB710" s="6">
        <f>$K$710*$V$710</f>
        <v>0</v>
      </c>
      <c r="AC710" s="6">
        <f>$M$710*$W$710</f>
        <v>-10.5732</v>
      </c>
      <c r="AD710" s="6">
        <f>$O$710*$X$710</f>
        <v>-15.6006</v>
      </c>
      <c r="AE710" s="6">
        <f>$K$710*$Y$710</f>
        <v>0</v>
      </c>
      <c r="AF710" s="6">
        <f ca="1">$M$710*$Z$710</f>
        <v>-13.069096390169763</v>
      </c>
      <c r="AG710" s="6">
        <f>$O$710*$AA$710</f>
        <v>-14.690065580902846</v>
      </c>
    </row>
    <row r="711" spans="1:3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44593</v>
      </c>
      <c r="J711" s="6">
        <v>0</v>
      </c>
      <c r="K711" s="6">
        <v>0</v>
      </c>
      <c r="L711" s="6">
        <v>283.09500000000003</v>
      </c>
      <c r="M711" s="6">
        <v>283.09500000000003</v>
      </c>
      <c r="N711" s="6">
        <v>283.09500000000003</v>
      </c>
      <c r="O711" s="6">
        <v>283.09500000000003</v>
      </c>
      <c r="P711" s="6">
        <v>1423</v>
      </c>
      <c r="Q711" s="4" t="s">
        <v>26</v>
      </c>
      <c r="R711" s="4">
        <v>0</v>
      </c>
      <c r="S711" s="6">
        <v>0</v>
      </c>
      <c r="T711" s="6">
        <v>32</v>
      </c>
      <c r="U711" s="6">
        <v>73</v>
      </c>
      <c r="V711" s="6">
        <f>IF(ISERROR(VLOOKUP($S$711,'TAR FIN'!$A$1:$O$103,15,0)),0,VLOOKUP($S$711,'TAR FIN'!$A$1:$O$103,15,0))</f>
        <v>0</v>
      </c>
      <c r="W711" s="6">
        <f>IF(ISERROR(VLOOKUP($T$711,'TAR FIN'!$A$1:$O$103,15,0)),0,VLOOKUP($T$711,'TAR FIN'!$A$1:$O$103,15,0))</f>
        <v>117.48</v>
      </c>
      <c r="X711" s="6">
        <f>IF(ISERROR(VLOOKUP($U$711,'TAR FIN'!$A$1:$O$103,15,0)),0,VLOOKUP($U$711,'TAR FIN'!$A$1:$O$103,15,0))</f>
        <v>173.34</v>
      </c>
      <c r="Y711" s="6"/>
      <c r="Z711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1" s="6">
        <f>('TE BE'!$AB$16+'TE BF'!$AB$16+'TE CVA'!$AB$16)*(1-CUSTOS!$M$35)</f>
        <v>163.22295089892052</v>
      </c>
      <c r="AB711" s="6">
        <f>$K$711*$V$711</f>
        <v>0</v>
      </c>
      <c r="AC711" s="6">
        <f>$M$711*$W$711</f>
        <v>33258.000600000007</v>
      </c>
      <c r="AD711" s="6">
        <f>$O$711*$X$711</f>
        <v>49071.687300000005</v>
      </c>
      <c r="AE711" s="6">
        <f>$K$711*$Y$711</f>
        <v>0</v>
      </c>
      <c r="AF711" s="6">
        <f ca="1">$M$711*$Z$711</f>
        <v>41108.842695278996</v>
      </c>
      <c r="AG711" s="6">
        <f>$O$711*$AA$711</f>
        <v>46207.601284729906</v>
      </c>
    </row>
    <row r="712" spans="1:33" ht="11.25" customHeight="1" x14ac:dyDescent="0.25">
      <c r="A712" s="4" t="s">
        <v>21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299.08600000000001</v>
      </c>
      <c r="M712" s="6">
        <v>299.08600000000001</v>
      </c>
      <c r="N712" s="6">
        <v>299.08600000000001</v>
      </c>
      <c r="O712" s="6">
        <v>299.08600000000001</v>
      </c>
      <c r="P712" s="6">
        <v>1670</v>
      </c>
      <c r="Q712" s="4" t="s">
        <v>26</v>
      </c>
      <c r="R712" s="4">
        <v>0</v>
      </c>
      <c r="S712" s="6">
        <v>0</v>
      </c>
      <c r="T712" s="6">
        <v>32</v>
      </c>
      <c r="U712" s="6">
        <v>73</v>
      </c>
      <c r="V712" s="6">
        <f>IF(ISERROR(VLOOKUP($S$712,'TAR FIN'!$A$1:$O$103,15,0)),0,VLOOKUP($S$712,'TAR FIN'!$A$1:$O$103,15,0))</f>
        <v>0</v>
      </c>
      <c r="W712" s="6">
        <f>IF(ISERROR(VLOOKUP($T$712,'TAR FIN'!$A$1:$O$103,15,0)),0,VLOOKUP($T$712,'TAR FIN'!$A$1:$O$103,15,0))</f>
        <v>117.48</v>
      </c>
      <c r="X712" s="6">
        <f>IF(ISERROR(VLOOKUP($U$712,'TAR FIN'!$A$1:$O$103,15,0)),0,VLOOKUP($U$712,'TAR FIN'!$A$1:$O$103,15,0))</f>
        <v>173.34</v>
      </c>
      <c r="Y712" s="6"/>
      <c r="Z712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2" s="6">
        <f>('TE BE'!$AB$16+'TE BF'!$AB$16+'TE CVA'!$AB$16)*(1-CUSTOS!$M$35)</f>
        <v>163.22295089892052</v>
      </c>
      <c r="AB712" s="6">
        <f>$K$712*$V$712</f>
        <v>0</v>
      </c>
      <c r="AC712" s="6">
        <f>$M$712*$W$712</f>
        <v>35136.62328</v>
      </c>
      <c r="AD712" s="6">
        <f>$O$712*$X$712</f>
        <v>51843.567240000004</v>
      </c>
      <c r="AE712" s="6">
        <f>$K$712*$Y$712</f>
        <v>0</v>
      </c>
      <c r="AF712" s="6">
        <f ca="1">$M$712*$Z$712</f>
        <v>43430.930699447934</v>
      </c>
      <c r="AG712" s="6">
        <f>$O$712*$AA$712</f>
        <v>48817.699492554544</v>
      </c>
    </row>
    <row r="713" spans="1:33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295.02300000000002</v>
      </c>
      <c r="M713" s="6">
        <v>295.02300000000002</v>
      </c>
      <c r="N713" s="6">
        <v>295.02300000000002</v>
      </c>
      <c r="O713" s="6">
        <v>295.02300000000002</v>
      </c>
      <c r="P713" s="6">
        <v>1800</v>
      </c>
      <c r="Q713" s="4" t="s">
        <v>26</v>
      </c>
      <c r="R713" s="4">
        <v>0</v>
      </c>
      <c r="S713" s="6">
        <v>0</v>
      </c>
      <c r="T713" s="6">
        <v>32</v>
      </c>
      <c r="U713" s="6">
        <v>73</v>
      </c>
      <c r="V713" s="6">
        <f>IF(ISERROR(VLOOKUP($S$713,'TAR FIN'!$A$1:$O$103,15,0)),0,VLOOKUP($S$713,'TAR FIN'!$A$1:$O$103,15,0))</f>
        <v>0</v>
      </c>
      <c r="W713" s="6">
        <f>IF(ISERROR(VLOOKUP($T$713,'TAR FIN'!$A$1:$O$103,15,0)),0,VLOOKUP($T$713,'TAR FIN'!$A$1:$O$103,15,0))</f>
        <v>117.48</v>
      </c>
      <c r="X713" s="6">
        <f>IF(ISERROR(VLOOKUP($U$713,'TAR FIN'!$A$1:$O$103,15,0)),0,VLOOKUP($U$713,'TAR FIN'!$A$1:$O$103,15,0))</f>
        <v>173.34</v>
      </c>
      <c r="Y713" s="6"/>
      <c r="Z713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3" s="6">
        <f>('TE BE'!$AB$16+'TE BF'!$AB$16+'TE CVA'!$AB$16)*(1-CUSTOS!$M$35)</f>
        <v>163.22295089892052</v>
      </c>
      <c r="AB713" s="6">
        <f>$K$713*$V$713</f>
        <v>0</v>
      </c>
      <c r="AC713" s="6">
        <f>$M$713*$W$713</f>
        <v>34659.302040000002</v>
      </c>
      <c r="AD713" s="6">
        <f>$O$713*$X$713</f>
        <v>51139.286820000008</v>
      </c>
      <c r="AE713" s="6">
        <f>$K$713*$Y$713</f>
        <v>0</v>
      </c>
      <c r="AF713" s="6">
        <f ca="1">$M$713*$Z$713</f>
        <v>42840.933603522826</v>
      </c>
      <c r="AG713" s="6">
        <f>$O$713*$AA$713</f>
        <v>48154.524643052231</v>
      </c>
    </row>
    <row r="714" spans="1:3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44682</v>
      </c>
      <c r="J714" s="6">
        <v>0</v>
      </c>
      <c r="K714" s="6">
        <v>0</v>
      </c>
      <c r="L714" s="6">
        <v>296.60599999999999</v>
      </c>
      <c r="M714" s="6">
        <v>296.60599999999999</v>
      </c>
      <c r="N714" s="6">
        <v>296.60599999999999</v>
      </c>
      <c r="O714" s="6">
        <v>296.60599999999999</v>
      </c>
      <c r="P714" s="6">
        <v>1802</v>
      </c>
      <c r="Q714" s="4" t="s">
        <v>26</v>
      </c>
      <c r="R714" s="4">
        <v>0</v>
      </c>
      <c r="S714" s="6">
        <v>0</v>
      </c>
      <c r="T714" s="6">
        <v>32</v>
      </c>
      <c r="U714" s="6">
        <v>73</v>
      </c>
      <c r="V714" s="6">
        <f>IF(ISERROR(VLOOKUP($S$714,'TAR FIN'!$A$1:$O$103,15,0)),0,VLOOKUP($S$714,'TAR FIN'!$A$1:$O$103,15,0))</f>
        <v>0</v>
      </c>
      <c r="W714" s="6">
        <f>IF(ISERROR(VLOOKUP($T$714,'TAR FIN'!$A$1:$O$103,15,0)),0,VLOOKUP($T$714,'TAR FIN'!$A$1:$O$103,15,0))</f>
        <v>117.48</v>
      </c>
      <c r="X714" s="6">
        <f>IF(ISERROR(VLOOKUP($U$714,'TAR FIN'!$A$1:$O$103,15,0)),0,VLOOKUP($U$714,'TAR FIN'!$A$1:$O$103,15,0))</f>
        <v>173.34</v>
      </c>
      <c r="Y714" s="6"/>
      <c r="Z714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4" s="6">
        <f>('TE BE'!$AB$16+'TE BF'!$AB$16+'TE CVA'!$AB$16)*(1-CUSTOS!$M$35)</f>
        <v>163.22295089892052</v>
      </c>
      <c r="AB714" s="6">
        <f>$K$714*$V$714</f>
        <v>0</v>
      </c>
      <c r="AC714" s="6">
        <f>$M$714*$W$714</f>
        <v>34845.272880000004</v>
      </c>
      <c r="AD714" s="6">
        <f>$O$714*$X$714</f>
        <v>51413.68404</v>
      </c>
      <c r="AE714" s="6">
        <f>$K$714*$Y$714</f>
        <v>0</v>
      </c>
      <c r="AF714" s="6">
        <f ca="1">$M$714*$Z$714</f>
        <v>43070.804487807698</v>
      </c>
      <c r="AG714" s="6">
        <f>$O$714*$AA$714</f>
        <v>48412.906574325214</v>
      </c>
    </row>
    <row r="715" spans="1:3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44682</v>
      </c>
      <c r="J715" s="6">
        <v>0</v>
      </c>
      <c r="K715" s="6">
        <v>0</v>
      </c>
      <c r="L715" s="6">
        <v>7.0000000000000007E-2</v>
      </c>
      <c r="M715" s="6">
        <v>7.0000000000000007E-2</v>
      </c>
      <c r="N715" s="6">
        <v>7.0000000000000007E-2</v>
      </c>
      <c r="O715" s="6">
        <v>7.0000000000000007E-2</v>
      </c>
      <c r="P715" s="6">
        <v>0</v>
      </c>
      <c r="Q715" s="4" t="s">
        <v>26</v>
      </c>
      <c r="R715" s="4">
        <v>0</v>
      </c>
      <c r="S715" s="6">
        <v>0</v>
      </c>
      <c r="T715" s="6">
        <v>32</v>
      </c>
      <c r="U715" s="6">
        <v>73</v>
      </c>
      <c r="V715" s="6">
        <f>IF(ISERROR(VLOOKUP($S$715,'TAR FIN'!$A$1:$O$103,15,0)),0,VLOOKUP($S$715,'TAR FIN'!$A$1:$O$103,15,0))</f>
        <v>0</v>
      </c>
      <c r="W715" s="6">
        <f>IF(ISERROR(VLOOKUP($T$715,'TAR FIN'!$A$1:$O$103,15,0)),0,VLOOKUP($T$715,'TAR FIN'!$A$1:$O$103,15,0))</f>
        <v>117.48</v>
      </c>
      <c r="X715" s="6">
        <f>IF(ISERROR(VLOOKUP($U$715,'TAR FIN'!$A$1:$O$103,15,0)),0,VLOOKUP($U$715,'TAR FIN'!$A$1:$O$103,15,0))</f>
        <v>173.34</v>
      </c>
      <c r="Y715" s="6"/>
      <c r="Z715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715" s="6">
        <f>('TE BE'!$AB$16+'TE BF'!$AB$16+'TE CVA'!$AB$16)*(1-CUSTOS!$M$35)</f>
        <v>163.22295089892052</v>
      </c>
      <c r="AB715" s="6">
        <f>$K$715*$V$715</f>
        <v>0</v>
      </c>
      <c r="AC715" s="6">
        <f>$M$715*$W$715</f>
        <v>8.2236000000000011</v>
      </c>
      <c r="AD715" s="6">
        <f>$O$715*$X$715</f>
        <v>12.133800000000001</v>
      </c>
      <c r="AE715" s="6">
        <f>$K$715*$Y$715</f>
        <v>0</v>
      </c>
      <c r="AF715" s="6">
        <f ca="1">$M$715*$Z$715</f>
        <v>10.164852747909817</v>
      </c>
      <c r="AG715" s="6">
        <f>$O$715*$AA$715</f>
        <v>11.425606562924438</v>
      </c>
    </row>
    <row r="716" spans="1:33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31</v>
      </c>
      <c r="F716" s="4" t="s">
        <v>25</v>
      </c>
      <c r="G716" s="4" t="s">
        <v>25</v>
      </c>
      <c r="H716" s="4" t="s">
        <v>25</v>
      </c>
      <c r="I716" s="5">
        <v>44348</v>
      </c>
      <c r="J716" s="6">
        <v>0</v>
      </c>
      <c r="K716" s="6">
        <v>0</v>
      </c>
      <c r="L716" s="6">
        <v>165.16200000000001</v>
      </c>
      <c r="M716" s="6">
        <v>165.16200000000001</v>
      </c>
      <c r="N716" s="6">
        <v>165.16200000000001</v>
      </c>
      <c r="O716" s="6">
        <v>165.16200000000001</v>
      </c>
      <c r="P716" s="6">
        <v>2235</v>
      </c>
      <c r="Q716" s="4" t="s">
        <v>26</v>
      </c>
      <c r="R716" s="4">
        <v>0</v>
      </c>
      <c r="S716" s="6">
        <v>0</v>
      </c>
      <c r="T716" s="6">
        <v>33</v>
      </c>
      <c r="U716" s="6">
        <v>74</v>
      </c>
      <c r="V716" s="6">
        <f>IF(ISERROR(VLOOKUP($S$716,'TAR FIN'!$A$1:$O$103,15,0)),0,VLOOKUP($S$716,'TAR FIN'!$A$1:$O$103,15,0))</f>
        <v>0</v>
      </c>
      <c r="W716" s="6">
        <f>IF(ISERROR(VLOOKUP($T$716,'TAR FIN'!$A$1:$O$103,15,0)),0,VLOOKUP($T$716,'TAR FIN'!$A$1:$O$103,15,0))</f>
        <v>176.22</v>
      </c>
      <c r="X716" s="6">
        <f>IF(ISERROR(VLOOKUP($U$716,'TAR FIN'!$A$1:$O$103,15,0)),0,VLOOKUP($U$716,'TAR FIN'!$A$1:$O$103,15,0))</f>
        <v>260.01</v>
      </c>
      <c r="Y716" s="6"/>
      <c r="Z716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16" s="6">
        <f>('TE BE'!$AB$17+'TE BF'!$AB$17+'TE CVA'!$AB$17)*(1-CUSTOS!$M$36)</f>
        <v>244.83442634838076</v>
      </c>
      <c r="AB716" s="6">
        <f>$K$716*$V$716</f>
        <v>0</v>
      </c>
      <c r="AC716" s="6">
        <f>$M$716*$W$716</f>
        <v>29104.84764</v>
      </c>
      <c r="AD716" s="6">
        <f>$O$716*$X$716</f>
        <v>42943.77162</v>
      </c>
      <c r="AE716" s="6">
        <f>$K$716*$Y$716</f>
        <v>0</v>
      </c>
      <c r="AF716" s="6">
        <f ca="1">$M$716*$Z$716</f>
        <v>35975.301633220311</v>
      </c>
      <c r="AG716" s="6">
        <f>$O$716*$AA$716</f>
        <v>40437.343524551266</v>
      </c>
    </row>
    <row r="717" spans="1:33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31</v>
      </c>
      <c r="F717" s="4" t="s">
        <v>25</v>
      </c>
      <c r="G717" s="4" t="s">
        <v>25</v>
      </c>
      <c r="H717" s="4" t="s">
        <v>25</v>
      </c>
      <c r="I717" s="5">
        <v>44348</v>
      </c>
      <c r="J717" s="6">
        <v>0</v>
      </c>
      <c r="K717" s="6">
        <v>0</v>
      </c>
      <c r="L717" s="6">
        <v>-0.14000000000000001</v>
      </c>
      <c r="M717" s="6">
        <v>-0.14000000000000001</v>
      </c>
      <c r="N717" s="6">
        <v>-0.14000000000000001</v>
      </c>
      <c r="O717" s="6">
        <v>-0.14000000000000001</v>
      </c>
      <c r="P717" s="6">
        <v>0</v>
      </c>
      <c r="Q717" s="4" t="s">
        <v>26</v>
      </c>
      <c r="R717" s="4">
        <v>0</v>
      </c>
      <c r="S717" s="6">
        <v>0</v>
      </c>
      <c r="T717" s="6">
        <v>33</v>
      </c>
      <c r="U717" s="6">
        <v>74</v>
      </c>
      <c r="V717" s="6">
        <f>IF(ISERROR(VLOOKUP($S$717,'TAR FIN'!$A$1:$O$103,15,0)),0,VLOOKUP($S$717,'TAR FIN'!$A$1:$O$103,15,0))</f>
        <v>0</v>
      </c>
      <c r="W717" s="6">
        <f>IF(ISERROR(VLOOKUP($T$717,'TAR FIN'!$A$1:$O$103,15,0)),0,VLOOKUP($T$717,'TAR FIN'!$A$1:$O$103,15,0))</f>
        <v>176.22</v>
      </c>
      <c r="X717" s="6">
        <f>IF(ISERROR(VLOOKUP($U$717,'TAR FIN'!$A$1:$O$103,15,0)),0,VLOOKUP($U$717,'TAR FIN'!$A$1:$O$103,15,0))</f>
        <v>260.01</v>
      </c>
      <c r="Y717" s="6"/>
      <c r="Z717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17" s="6">
        <f>('TE BE'!$AB$17+'TE BF'!$AB$17+'TE CVA'!$AB$17)*(1-CUSTOS!$M$36)</f>
        <v>244.83442634838076</v>
      </c>
      <c r="AB717" s="6">
        <f>$K$717*$V$717</f>
        <v>0</v>
      </c>
      <c r="AC717" s="6">
        <f>$M$717*$W$717</f>
        <v>-24.670800000000003</v>
      </c>
      <c r="AD717" s="6">
        <f>$O$717*$X$717</f>
        <v>-36.401400000000002</v>
      </c>
      <c r="AE717" s="6">
        <f>$K$717*$Y$717</f>
        <v>0</v>
      </c>
      <c r="AF717" s="6">
        <f ca="1">$M$717*$Z$717</f>
        <v>-30.49455824372945</v>
      </c>
      <c r="AG717" s="6">
        <f>$O$717*$AA$717</f>
        <v>-34.276819688773308</v>
      </c>
    </row>
    <row r="718" spans="1:33" ht="11.25" customHeight="1" x14ac:dyDescent="0.25">
      <c r="A718" s="4" t="s">
        <v>21</v>
      </c>
      <c r="B718" s="4" t="s">
        <v>22</v>
      </c>
      <c r="C718" s="4" t="s">
        <v>23</v>
      </c>
      <c r="D718" s="4" t="s">
        <v>24</v>
      </c>
      <c r="E718" s="4" t="s">
        <v>31</v>
      </c>
      <c r="F718" s="4" t="s">
        <v>25</v>
      </c>
      <c r="G718" s="4" t="s">
        <v>25</v>
      </c>
      <c r="H718" s="4" t="s">
        <v>25</v>
      </c>
      <c r="I718" s="5">
        <v>44378</v>
      </c>
      <c r="J718" s="6">
        <v>0</v>
      </c>
      <c r="K718" s="6">
        <v>0</v>
      </c>
      <c r="L718" s="6">
        <v>164.381</v>
      </c>
      <c r="M718" s="6">
        <v>164.381</v>
      </c>
      <c r="N718" s="6">
        <v>164.381</v>
      </c>
      <c r="O718" s="6">
        <v>164.381</v>
      </c>
      <c r="P718" s="6">
        <v>2212</v>
      </c>
      <c r="Q718" s="4" t="s">
        <v>26</v>
      </c>
      <c r="R718" s="4">
        <v>0</v>
      </c>
      <c r="S718" s="6">
        <v>0</v>
      </c>
      <c r="T718" s="6">
        <v>33</v>
      </c>
      <c r="U718" s="6">
        <v>74</v>
      </c>
      <c r="V718" s="6">
        <f>IF(ISERROR(VLOOKUP($S$718,'TAR FIN'!$A$1:$O$103,15,0)),0,VLOOKUP($S$718,'TAR FIN'!$A$1:$O$103,15,0))</f>
        <v>0</v>
      </c>
      <c r="W718" s="6">
        <f>IF(ISERROR(VLOOKUP($T$718,'TAR FIN'!$A$1:$O$103,15,0)),0,VLOOKUP($T$718,'TAR FIN'!$A$1:$O$103,15,0))</f>
        <v>176.22</v>
      </c>
      <c r="X718" s="6">
        <f>IF(ISERROR(VLOOKUP($U$718,'TAR FIN'!$A$1:$O$103,15,0)),0,VLOOKUP($U$718,'TAR FIN'!$A$1:$O$103,15,0))</f>
        <v>260.01</v>
      </c>
      <c r="Y718" s="6"/>
      <c r="Z718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18" s="6">
        <f>('TE BE'!$AB$17+'TE BF'!$AB$17+'TE CVA'!$AB$17)*(1-CUSTOS!$M$36)</f>
        <v>244.83442634838076</v>
      </c>
      <c r="AB718" s="6">
        <f>$K$718*$V$718</f>
        <v>0</v>
      </c>
      <c r="AC718" s="6">
        <f>$M$718*$W$718</f>
        <v>28967.219819999998</v>
      </c>
      <c r="AD718" s="6">
        <f>$O$718*$X$718</f>
        <v>42740.703809999999</v>
      </c>
      <c r="AE718" s="6">
        <f>$K$718*$Y$718</f>
        <v>0</v>
      </c>
      <c r="AF718" s="6">
        <f ca="1">$M$718*$Z$718</f>
        <v>35805.185561874932</v>
      </c>
      <c r="AG718" s="6">
        <f>$O$718*$AA$718</f>
        <v>40246.127837573178</v>
      </c>
    </row>
    <row r="719" spans="1:33" ht="11.25" customHeight="1" x14ac:dyDescent="0.25">
      <c r="A719" s="4" t="s">
        <v>27</v>
      </c>
      <c r="B719" s="4" t="s">
        <v>22</v>
      </c>
      <c r="C719" s="4" t="s">
        <v>23</v>
      </c>
      <c r="D719" s="4" t="s">
        <v>24</v>
      </c>
      <c r="E719" s="4" t="s">
        <v>31</v>
      </c>
      <c r="F719" s="4" t="s">
        <v>25</v>
      </c>
      <c r="G719" s="4" t="s">
        <v>25</v>
      </c>
      <c r="H719" s="4" t="s">
        <v>25</v>
      </c>
      <c r="I719" s="5">
        <v>44378</v>
      </c>
      <c r="J719" s="6">
        <v>0</v>
      </c>
      <c r="K719" s="6">
        <v>0</v>
      </c>
      <c r="L719" s="6">
        <v>-0.13900000000000001</v>
      </c>
      <c r="M719" s="6">
        <v>-0.13900000000000001</v>
      </c>
      <c r="N719" s="6">
        <v>-0.13900000000000001</v>
      </c>
      <c r="O719" s="6">
        <v>-0.13900000000000001</v>
      </c>
      <c r="P719" s="6">
        <v>0</v>
      </c>
      <c r="Q719" s="4" t="s">
        <v>26</v>
      </c>
      <c r="R719" s="4">
        <v>0</v>
      </c>
      <c r="S719" s="6">
        <v>0</v>
      </c>
      <c r="T719" s="6">
        <v>33</v>
      </c>
      <c r="U719" s="6">
        <v>74</v>
      </c>
      <c r="V719" s="6">
        <f>IF(ISERROR(VLOOKUP($S$719,'TAR FIN'!$A$1:$O$103,15,0)),0,VLOOKUP($S$719,'TAR FIN'!$A$1:$O$103,15,0))</f>
        <v>0</v>
      </c>
      <c r="W719" s="6">
        <f>IF(ISERROR(VLOOKUP($T$719,'TAR FIN'!$A$1:$O$103,15,0)),0,VLOOKUP($T$719,'TAR FIN'!$A$1:$O$103,15,0))</f>
        <v>176.22</v>
      </c>
      <c r="X719" s="6">
        <f>IF(ISERROR(VLOOKUP($U$719,'TAR FIN'!$A$1:$O$103,15,0)),0,VLOOKUP($U$719,'TAR FIN'!$A$1:$O$103,15,0))</f>
        <v>260.01</v>
      </c>
      <c r="Y719" s="6"/>
      <c r="Z719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19" s="6">
        <f>('TE BE'!$AB$17+'TE BF'!$AB$17+'TE CVA'!$AB$17)*(1-CUSTOS!$M$36)</f>
        <v>244.83442634838076</v>
      </c>
      <c r="AB719" s="6">
        <f>$K$719*$V$719</f>
        <v>0</v>
      </c>
      <c r="AC719" s="6">
        <f>$M$719*$W$719</f>
        <v>-24.494580000000003</v>
      </c>
      <c r="AD719" s="6">
        <f>$O$719*$X$719</f>
        <v>-36.141390000000001</v>
      </c>
      <c r="AE719" s="6">
        <f>$K$719*$Y$719</f>
        <v>0</v>
      </c>
      <c r="AF719" s="6">
        <f ca="1">$M$719*$Z$719</f>
        <v>-30.276739970559955</v>
      </c>
      <c r="AG719" s="6">
        <f>$O$719*$AA$719</f>
        <v>-34.031985262424932</v>
      </c>
    </row>
    <row r="720" spans="1:3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31</v>
      </c>
      <c r="F720" s="4" t="s">
        <v>25</v>
      </c>
      <c r="G720" s="4" t="s">
        <v>25</v>
      </c>
      <c r="H720" s="4" t="s">
        <v>25</v>
      </c>
      <c r="I720" s="5">
        <v>44409</v>
      </c>
      <c r="J720" s="6">
        <v>0</v>
      </c>
      <c r="K720" s="6">
        <v>0</v>
      </c>
      <c r="L720" s="6">
        <v>172.28899999999999</v>
      </c>
      <c r="M720" s="6">
        <v>172.28899999999999</v>
      </c>
      <c r="N720" s="6">
        <v>172.28899999999999</v>
      </c>
      <c r="O720" s="6">
        <v>172.28899999999999</v>
      </c>
      <c r="P720" s="6">
        <v>2288</v>
      </c>
      <c r="Q720" s="4" t="s">
        <v>26</v>
      </c>
      <c r="R720" s="4">
        <v>0</v>
      </c>
      <c r="S720" s="6">
        <v>0</v>
      </c>
      <c r="T720" s="6">
        <v>33</v>
      </c>
      <c r="U720" s="6">
        <v>74</v>
      </c>
      <c r="V720" s="6">
        <f>IF(ISERROR(VLOOKUP($S$720,'TAR FIN'!$A$1:$O$103,15,0)),0,VLOOKUP($S$720,'TAR FIN'!$A$1:$O$103,15,0))</f>
        <v>0</v>
      </c>
      <c r="W720" s="6">
        <f>IF(ISERROR(VLOOKUP($T$720,'TAR FIN'!$A$1:$O$103,15,0)),0,VLOOKUP($T$720,'TAR FIN'!$A$1:$O$103,15,0))</f>
        <v>176.22</v>
      </c>
      <c r="X720" s="6">
        <f>IF(ISERROR(VLOOKUP($U$720,'TAR FIN'!$A$1:$O$103,15,0)),0,VLOOKUP($U$720,'TAR FIN'!$A$1:$O$103,15,0))</f>
        <v>260.01</v>
      </c>
      <c r="Y720" s="6"/>
      <c r="Z720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0" s="6">
        <f>('TE BE'!$AB$17+'TE BF'!$AB$17+'TE CVA'!$AB$17)*(1-CUSTOS!$M$36)</f>
        <v>244.83442634838076</v>
      </c>
      <c r="AB720" s="6">
        <f>$K$720*$V$720</f>
        <v>0</v>
      </c>
      <c r="AC720" s="6">
        <f>$M$720*$W$720</f>
        <v>30360.767579999996</v>
      </c>
      <c r="AD720" s="6">
        <f>$O$720*$X$720</f>
        <v>44796.862889999997</v>
      </c>
      <c r="AE720" s="6">
        <f>$K$720*$Y$720</f>
        <v>0</v>
      </c>
      <c r="AF720" s="6">
        <f ca="1">$M$720*$Z$720</f>
        <v>37527.692466099303</v>
      </c>
      <c r="AG720" s="6">
        <f>$O$720*$AA$720</f>
        <v>42182.278481136171</v>
      </c>
    </row>
    <row r="721" spans="1:3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31</v>
      </c>
      <c r="F721" s="4" t="s">
        <v>25</v>
      </c>
      <c r="G721" s="4" t="s">
        <v>25</v>
      </c>
      <c r="H721" s="4" t="s">
        <v>25</v>
      </c>
      <c r="I721" s="5">
        <v>44409</v>
      </c>
      <c r="J721" s="6">
        <v>0</v>
      </c>
      <c r="K721" s="6">
        <v>0</v>
      </c>
      <c r="L721" s="6">
        <v>-0.41199999999999998</v>
      </c>
      <c r="M721" s="6">
        <v>-0.41199999999999998</v>
      </c>
      <c r="N721" s="6">
        <v>-0.41199999999999998</v>
      </c>
      <c r="O721" s="6">
        <v>-0.41199999999999998</v>
      </c>
      <c r="P721" s="6">
        <v>0</v>
      </c>
      <c r="Q721" s="4" t="s">
        <v>26</v>
      </c>
      <c r="R721" s="4">
        <v>0</v>
      </c>
      <c r="S721" s="6">
        <v>0</v>
      </c>
      <c r="T721" s="6">
        <v>33</v>
      </c>
      <c r="U721" s="6">
        <v>74</v>
      </c>
      <c r="V721" s="6">
        <f>IF(ISERROR(VLOOKUP($S$721,'TAR FIN'!$A$1:$O$103,15,0)),0,VLOOKUP($S$721,'TAR FIN'!$A$1:$O$103,15,0))</f>
        <v>0</v>
      </c>
      <c r="W721" s="6">
        <f>IF(ISERROR(VLOOKUP($T$721,'TAR FIN'!$A$1:$O$103,15,0)),0,VLOOKUP($T$721,'TAR FIN'!$A$1:$O$103,15,0))</f>
        <v>176.22</v>
      </c>
      <c r="X721" s="6">
        <f>IF(ISERROR(VLOOKUP($U$721,'TAR FIN'!$A$1:$O$103,15,0)),0,VLOOKUP($U$721,'TAR FIN'!$A$1:$O$103,15,0))</f>
        <v>260.01</v>
      </c>
      <c r="Y721" s="6"/>
      <c r="Z721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1" s="6">
        <f>('TE BE'!$AB$17+'TE BF'!$AB$17+'TE CVA'!$AB$17)*(1-CUSTOS!$M$36)</f>
        <v>244.83442634838076</v>
      </c>
      <c r="AB721" s="6">
        <f>$K$721*$V$721</f>
        <v>0</v>
      </c>
      <c r="AC721" s="6">
        <f>$M$721*$W$721</f>
        <v>-72.602639999999994</v>
      </c>
      <c r="AD721" s="6">
        <f>$O$721*$X$721</f>
        <v>-107.12411999999999</v>
      </c>
      <c r="AE721" s="6">
        <f>$K$721*$Y$721</f>
        <v>0</v>
      </c>
      <c r="AF721" s="6">
        <f ca="1">$M$721*$Z$721</f>
        <v>-89.741128545832368</v>
      </c>
      <c r="AG721" s="6">
        <f>$O$721*$AA$721</f>
        <v>-100.87178365553287</v>
      </c>
    </row>
    <row r="722" spans="1:33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31</v>
      </c>
      <c r="F722" s="4" t="s">
        <v>25</v>
      </c>
      <c r="G722" s="4" t="s">
        <v>25</v>
      </c>
      <c r="H722" s="4" t="s">
        <v>25</v>
      </c>
      <c r="I722" s="5">
        <v>44440</v>
      </c>
      <c r="J722" s="6">
        <v>0</v>
      </c>
      <c r="K722" s="6">
        <v>0</v>
      </c>
      <c r="L722" s="6">
        <v>172.27199999999999</v>
      </c>
      <c r="M722" s="6">
        <v>172.27199999999999</v>
      </c>
      <c r="N722" s="6">
        <v>172.27199999999999</v>
      </c>
      <c r="O722" s="6">
        <v>172.27199999999999</v>
      </c>
      <c r="P722" s="6">
        <v>2446</v>
      </c>
      <c r="Q722" s="4" t="s">
        <v>26</v>
      </c>
      <c r="R722" s="4">
        <v>0</v>
      </c>
      <c r="S722" s="6">
        <v>0</v>
      </c>
      <c r="T722" s="6">
        <v>33</v>
      </c>
      <c r="U722" s="6">
        <v>74</v>
      </c>
      <c r="V722" s="6">
        <f>IF(ISERROR(VLOOKUP($S$722,'TAR FIN'!$A$1:$O$103,15,0)),0,VLOOKUP($S$722,'TAR FIN'!$A$1:$O$103,15,0))</f>
        <v>0</v>
      </c>
      <c r="W722" s="6">
        <f>IF(ISERROR(VLOOKUP($T$722,'TAR FIN'!$A$1:$O$103,15,0)),0,VLOOKUP($T$722,'TAR FIN'!$A$1:$O$103,15,0))</f>
        <v>176.22</v>
      </c>
      <c r="X722" s="6">
        <f>IF(ISERROR(VLOOKUP($U$722,'TAR FIN'!$A$1:$O$103,15,0)),0,VLOOKUP($U$722,'TAR FIN'!$A$1:$O$103,15,0))</f>
        <v>260.01</v>
      </c>
      <c r="Y722" s="6"/>
      <c r="Z722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2" s="6">
        <f>('TE BE'!$AB$17+'TE BF'!$AB$17+'TE CVA'!$AB$17)*(1-CUSTOS!$M$36)</f>
        <v>244.83442634838076</v>
      </c>
      <c r="AB722" s="6">
        <f>$K$722*$V$722</f>
        <v>0</v>
      </c>
      <c r="AC722" s="6">
        <f>$M$722*$W$722</f>
        <v>30357.771839999998</v>
      </c>
      <c r="AD722" s="6">
        <f>$O$722*$X$722</f>
        <v>44792.442719999999</v>
      </c>
      <c r="AE722" s="6">
        <f>$K$722*$Y$722</f>
        <v>0</v>
      </c>
      <c r="AF722" s="6">
        <f ca="1">$M$722*$Z$722</f>
        <v>37523.989555455424</v>
      </c>
      <c r="AG722" s="6">
        <f>$O$722*$AA$722</f>
        <v>42178.116295888249</v>
      </c>
    </row>
    <row r="723" spans="1:33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31</v>
      </c>
      <c r="F723" s="4" t="s">
        <v>25</v>
      </c>
      <c r="G723" s="4" t="s">
        <v>25</v>
      </c>
      <c r="H723" s="4" t="s">
        <v>25</v>
      </c>
      <c r="I723" s="5">
        <v>44440</v>
      </c>
      <c r="J723" s="6">
        <v>0</v>
      </c>
      <c r="K723" s="6">
        <v>0</v>
      </c>
      <c r="L723" s="6">
        <v>-0.23200000000000001</v>
      </c>
      <c r="M723" s="6">
        <v>-0.23200000000000001</v>
      </c>
      <c r="N723" s="6">
        <v>-0.23200000000000001</v>
      </c>
      <c r="O723" s="6">
        <v>-0.23200000000000001</v>
      </c>
      <c r="P723" s="6">
        <v>0</v>
      </c>
      <c r="Q723" s="4" t="s">
        <v>26</v>
      </c>
      <c r="R723" s="4">
        <v>0</v>
      </c>
      <c r="S723" s="6">
        <v>0</v>
      </c>
      <c r="T723" s="6">
        <v>33</v>
      </c>
      <c r="U723" s="6">
        <v>74</v>
      </c>
      <c r="V723" s="6">
        <f>IF(ISERROR(VLOOKUP($S$723,'TAR FIN'!$A$1:$O$103,15,0)),0,VLOOKUP($S$723,'TAR FIN'!$A$1:$O$103,15,0))</f>
        <v>0</v>
      </c>
      <c r="W723" s="6">
        <f>IF(ISERROR(VLOOKUP($T$723,'TAR FIN'!$A$1:$O$103,15,0)),0,VLOOKUP($T$723,'TAR FIN'!$A$1:$O$103,15,0))</f>
        <v>176.22</v>
      </c>
      <c r="X723" s="6">
        <f>IF(ISERROR(VLOOKUP($U$723,'TAR FIN'!$A$1:$O$103,15,0)),0,VLOOKUP($U$723,'TAR FIN'!$A$1:$O$103,15,0))</f>
        <v>260.01</v>
      </c>
      <c r="Y723" s="6"/>
      <c r="Z723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3" s="6">
        <f>('TE BE'!$AB$17+'TE BF'!$AB$17+'TE CVA'!$AB$17)*(1-CUSTOS!$M$36)</f>
        <v>244.83442634838076</v>
      </c>
      <c r="AB723" s="6">
        <f>$K$723*$V$723</f>
        <v>0</v>
      </c>
      <c r="AC723" s="6">
        <f>$M$723*$W$723</f>
        <v>-40.883040000000001</v>
      </c>
      <c r="AD723" s="6">
        <f>$O$723*$X$723</f>
        <v>-60.322319999999998</v>
      </c>
      <c r="AE723" s="6">
        <f>$K$723*$Y$723</f>
        <v>0</v>
      </c>
      <c r="AF723" s="6">
        <f ca="1">$M$723*$Z$723</f>
        <v>-50.533839375323083</v>
      </c>
      <c r="AG723" s="6">
        <f>$O$723*$AA$723</f>
        <v>-56.801586912824341</v>
      </c>
    </row>
    <row r="724" spans="1:33" ht="11.25" customHeight="1" x14ac:dyDescent="0.25">
      <c r="A724" s="4" t="s">
        <v>21</v>
      </c>
      <c r="B724" s="4" t="s">
        <v>22</v>
      </c>
      <c r="C724" s="4" t="s">
        <v>23</v>
      </c>
      <c r="D724" s="4" t="s">
        <v>24</v>
      </c>
      <c r="E724" s="4" t="s">
        <v>31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6">
        <v>0</v>
      </c>
      <c r="L724" s="6">
        <v>173.268</v>
      </c>
      <c r="M724" s="6">
        <v>173.268</v>
      </c>
      <c r="N724" s="6">
        <v>173.268</v>
      </c>
      <c r="O724" s="6">
        <v>173.268</v>
      </c>
      <c r="P724" s="6">
        <v>2438</v>
      </c>
      <c r="Q724" s="4" t="s">
        <v>26</v>
      </c>
      <c r="R724" s="4">
        <v>0</v>
      </c>
      <c r="S724" s="6">
        <v>0</v>
      </c>
      <c r="T724" s="6">
        <v>33</v>
      </c>
      <c r="U724" s="6">
        <v>74</v>
      </c>
      <c r="V724" s="6">
        <f>IF(ISERROR(VLOOKUP($S$724,'TAR FIN'!$A$1:$O$103,15,0)),0,VLOOKUP($S$724,'TAR FIN'!$A$1:$O$103,15,0))</f>
        <v>0</v>
      </c>
      <c r="W724" s="6">
        <f>IF(ISERROR(VLOOKUP($T$724,'TAR FIN'!$A$1:$O$103,15,0)),0,VLOOKUP($T$724,'TAR FIN'!$A$1:$O$103,15,0))</f>
        <v>176.22</v>
      </c>
      <c r="X724" s="6">
        <f>IF(ISERROR(VLOOKUP($U$724,'TAR FIN'!$A$1:$O$103,15,0)),0,VLOOKUP($U$724,'TAR FIN'!$A$1:$O$103,15,0))</f>
        <v>260.01</v>
      </c>
      <c r="Y724" s="6"/>
      <c r="Z724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4" s="6">
        <f>('TE BE'!$AB$17+'TE BF'!$AB$17+'TE CVA'!$AB$17)*(1-CUSTOS!$M$36)</f>
        <v>244.83442634838076</v>
      </c>
      <c r="AB724" s="6">
        <f>$K$724*$V$724</f>
        <v>0</v>
      </c>
      <c r="AC724" s="6">
        <f>$M$724*$W$724</f>
        <v>30533.286960000001</v>
      </c>
      <c r="AD724" s="6">
        <f>$O$724*$X$724</f>
        <v>45051.412680000001</v>
      </c>
      <c r="AE724" s="6">
        <f>$K$724*$Y$724</f>
        <v>0</v>
      </c>
      <c r="AF724" s="6">
        <f ca="1">$M$724*$Z$724</f>
        <v>37740.936555532244</v>
      </c>
      <c r="AG724" s="6">
        <f>$O$724*$AA$724</f>
        <v>42421.971384531236</v>
      </c>
    </row>
    <row r="725" spans="1:33" ht="11.25" customHeight="1" x14ac:dyDescent="0.25">
      <c r="A725" s="4" t="s">
        <v>27</v>
      </c>
      <c r="B725" s="4" t="s">
        <v>22</v>
      </c>
      <c r="C725" s="4" t="s">
        <v>23</v>
      </c>
      <c r="D725" s="4" t="s">
        <v>24</v>
      </c>
      <c r="E725" s="4" t="s">
        <v>31</v>
      </c>
      <c r="F725" s="4" t="s">
        <v>25</v>
      </c>
      <c r="G725" s="4" t="s">
        <v>25</v>
      </c>
      <c r="H725" s="4" t="s">
        <v>25</v>
      </c>
      <c r="I725" s="5">
        <v>44470</v>
      </c>
      <c r="J725" s="6">
        <v>0</v>
      </c>
      <c r="K725" s="6">
        <v>0</v>
      </c>
      <c r="L725" s="6">
        <v>-0.32200000000000001</v>
      </c>
      <c r="M725" s="6">
        <v>-0.32200000000000001</v>
      </c>
      <c r="N725" s="6">
        <v>-0.32200000000000001</v>
      </c>
      <c r="O725" s="6">
        <v>-0.32200000000000001</v>
      </c>
      <c r="P725" s="6">
        <v>0</v>
      </c>
      <c r="Q725" s="4" t="s">
        <v>26</v>
      </c>
      <c r="R725" s="4">
        <v>0</v>
      </c>
      <c r="S725" s="6">
        <v>0</v>
      </c>
      <c r="T725" s="6">
        <v>33</v>
      </c>
      <c r="U725" s="6">
        <v>74</v>
      </c>
      <c r="V725" s="6">
        <f>IF(ISERROR(VLOOKUP($S$725,'TAR FIN'!$A$1:$O$103,15,0)),0,VLOOKUP($S$725,'TAR FIN'!$A$1:$O$103,15,0))</f>
        <v>0</v>
      </c>
      <c r="W725" s="6">
        <f>IF(ISERROR(VLOOKUP($T$725,'TAR FIN'!$A$1:$O$103,15,0)),0,VLOOKUP($T$725,'TAR FIN'!$A$1:$O$103,15,0))</f>
        <v>176.22</v>
      </c>
      <c r="X725" s="6">
        <f>IF(ISERROR(VLOOKUP($U$725,'TAR FIN'!$A$1:$O$103,15,0)),0,VLOOKUP($U$725,'TAR FIN'!$A$1:$O$103,15,0))</f>
        <v>260.01</v>
      </c>
      <c r="Y725" s="6"/>
      <c r="Z725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5" s="6">
        <f>('TE BE'!$AB$17+'TE BF'!$AB$17+'TE CVA'!$AB$17)*(1-CUSTOS!$M$36)</f>
        <v>244.83442634838076</v>
      </c>
      <c r="AB725" s="6">
        <f>$K$725*$V$725</f>
        <v>0</v>
      </c>
      <c r="AC725" s="6">
        <f>$M$725*$W$725</f>
        <v>-56.742840000000001</v>
      </c>
      <c r="AD725" s="6">
        <f>$O$725*$X$725</f>
        <v>-83.723219999999998</v>
      </c>
      <c r="AE725" s="6">
        <f>$K$725*$Y$725</f>
        <v>0</v>
      </c>
      <c r="AF725" s="6">
        <f ca="1">$M$725*$Z$725</f>
        <v>-70.137483960577725</v>
      </c>
      <c r="AG725" s="6">
        <f>$O$725*$AA$725</f>
        <v>-78.8366852841786</v>
      </c>
    </row>
    <row r="726" spans="1:3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31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163.98</v>
      </c>
      <c r="M726" s="6">
        <v>163.98</v>
      </c>
      <c r="N726" s="6">
        <v>163.98</v>
      </c>
      <c r="O726" s="6">
        <v>163.98</v>
      </c>
      <c r="P726" s="6">
        <v>2360</v>
      </c>
      <c r="Q726" s="4" t="s">
        <v>26</v>
      </c>
      <c r="R726" s="4">
        <v>0</v>
      </c>
      <c r="S726" s="6">
        <v>0</v>
      </c>
      <c r="T726" s="6">
        <v>33</v>
      </c>
      <c r="U726" s="6">
        <v>74</v>
      </c>
      <c r="V726" s="6">
        <f>IF(ISERROR(VLOOKUP($S$726,'TAR FIN'!$A$1:$O$103,15,0)),0,VLOOKUP($S$726,'TAR FIN'!$A$1:$O$103,15,0))</f>
        <v>0</v>
      </c>
      <c r="W726" s="6">
        <f>IF(ISERROR(VLOOKUP($T$726,'TAR FIN'!$A$1:$O$103,15,0)),0,VLOOKUP($T$726,'TAR FIN'!$A$1:$O$103,15,0))</f>
        <v>176.22</v>
      </c>
      <c r="X726" s="6">
        <f>IF(ISERROR(VLOOKUP($U$726,'TAR FIN'!$A$1:$O$103,15,0)),0,VLOOKUP($U$726,'TAR FIN'!$A$1:$O$103,15,0))</f>
        <v>260.01</v>
      </c>
      <c r="Y726" s="6"/>
      <c r="Z726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6" s="6">
        <f>('TE BE'!$AB$17+'TE BF'!$AB$17+'TE CVA'!$AB$17)*(1-CUSTOS!$M$36)</f>
        <v>244.83442634838076</v>
      </c>
      <c r="AB726" s="6">
        <f>$K$726*$V$726</f>
        <v>0</v>
      </c>
      <c r="AC726" s="6">
        <f>$M$726*$W$726</f>
        <v>28896.5556</v>
      </c>
      <c r="AD726" s="6">
        <f>$O$726*$X$726</f>
        <v>42636.439799999993</v>
      </c>
      <c r="AE726" s="6">
        <f>$K$726*$Y$726</f>
        <v>0</v>
      </c>
      <c r="AF726" s="6">
        <f ca="1">$M$726*$Z$726</f>
        <v>35717.840434333957</v>
      </c>
      <c r="AG726" s="6">
        <f>$O$726*$AA$726</f>
        <v>40147.949232607476</v>
      </c>
    </row>
    <row r="727" spans="1:33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31</v>
      </c>
      <c r="F727" s="4" t="s">
        <v>25</v>
      </c>
      <c r="G727" s="4" t="s">
        <v>25</v>
      </c>
      <c r="H727" s="4" t="s">
        <v>25</v>
      </c>
      <c r="I727" s="5">
        <v>44501</v>
      </c>
      <c r="J727" s="6">
        <v>0</v>
      </c>
      <c r="K727" s="6">
        <v>0</v>
      </c>
      <c r="L727" s="6">
        <v>-0.16700000000000001</v>
      </c>
      <c r="M727" s="6">
        <v>-0.16700000000000001</v>
      </c>
      <c r="N727" s="6">
        <v>-0.16700000000000001</v>
      </c>
      <c r="O727" s="6">
        <v>-0.16700000000000001</v>
      </c>
      <c r="P727" s="6">
        <v>0</v>
      </c>
      <c r="Q727" s="4" t="s">
        <v>26</v>
      </c>
      <c r="R727" s="4">
        <v>0</v>
      </c>
      <c r="S727" s="6">
        <v>0</v>
      </c>
      <c r="T727" s="6">
        <v>33</v>
      </c>
      <c r="U727" s="6">
        <v>74</v>
      </c>
      <c r="V727" s="6">
        <f>IF(ISERROR(VLOOKUP($S$727,'TAR FIN'!$A$1:$O$103,15,0)),0,VLOOKUP($S$727,'TAR FIN'!$A$1:$O$103,15,0))</f>
        <v>0</v>
      </c>
      <c r="W727" s="6">
        <f>IF(ISERROR(VLOOKUP($T$727,'TAR FIN'!$A$1:$O$103,15,0)),0,VLOOKUP($T$727,'TAR FIN'!$A$1:$O$103,15,0))</f>
        <v>176.22</v>
      </c>
      <c r="X727" s="6">
        <f>IF(ISERROR(VLOOKUP($U$727,'TAR FIN'!$A$1:$O$103,15,0)),0,VLOOKUP($U$727,'TAR FIN'!$A$1:$O$103,15,0))</f>
        <v>260.01</v>
      </c>
      <c r="Y727" s="6"/>
      <c r="Z727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7" s="6">
        <f>('TE BE'!$AB$17+'TE BF'!$AB$17+'TE CVA'!$AB$17)*(1-CUSTOS!$M$36)</f>
        <v>244.83442634838076</v>
      </c>
      <c r="AB727" s="6">
        <f>$K$727*$V$727</f>
        <v>0</v>
      </c>
      <c r="AC727" s="6">
        <f>$M$727*$W$727</f>
        <v>-29.428740000000001</v>
      </c>
      <c r="AD727" s="6">
        <f>$O$727*$X$727</f>
        <v>-43.421669999999999</v>
      </c>
      <c r="AE727" s="6">
        <f>$K$727*$Y$727</f>
        <v>0</v>
      </c>
      <c r="AF727" s="6">
        <f ca="1">$M$727*$Z$727</f>
        <v>-36.375651619305842</v>
      </c>
      <c r="AG727" s="6">
        <f>$O$727*$AA$727</f>
        <v>-40.887349200179592</v>
      </c>
    </row>
    <row r="728" spans="1:3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31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157.48400000000001</v>
      </c>
      <c r="M728" s="6">
        <v>157.48400000000001</v>
      </c>
      <c r="N728" s="6">
        <v>157.48400000000001</v>
      </c>
      <c r="O728" s="6">
        <v>157.48400000000001</v>
      </c>
      <c r="P728" s="6">
        <v>2424</v>
      </c>
      <c r="Q728" s="4" t="s">
        <v>26</v>
      </c>
      <c r="R728" s="4">
        <v>0</v>
      </c>
      <c r="S728" s="6">
        <v>0</v>
      </c>
      <c r="T728" s="6">
        <v>33</v>
      </c>
      <c r="U728" s="6">
        <v>74</v>
      </c>
      <c r="V728" s="6">
        <f>IF(ISERROR(VLOOKUP($S$728,'TAR FIN'!$A$1:$O$103,15,0)),0,VLOOKUP($S$728,'TAR FIN'!$A$1:$O$103,15,0))</f>
        <v>0</v>
      </c>
      <c r="W728" s="6">
        <f>IF(ISERROR(VLOOKUP($T$728,'TAR FIN'!$A$1:$O$103,15,0)),0,VLOOKUP($T$728,'TAR FIN'!$A$1:$O$103,15,0))</f>
        <v>176.22</v>
      </c>
      <c r="X728" s="6">
        <f>IF(ISERROR(VLOOKUP($U$728,'TAR FIN'!$A$1:$O$103,15,0)),0,VLOOKUP($U$728,'TAR FIN'!$A$1:$O$103,15,0))</f>
        <v>260.01</v>
      </c>
      <c r="Y728" s="6"/>
      <c r="Z728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8" s="6">
        <f>('TE BE'!$AB$17+'TE BF'!$AB$17+'TE CVA'!$AB$17)*(1-CUSTOS!$M$36)</f>
        <v>244.83442634838076</v>
      </c>
      <c r="AB728" s="6">
        <f>$K$728*$V$728</f>
        <v>0</v>
      </c>
      <c r="AC728" s="6">
        <f>$M$728*$W$728</f>
        <v>27751.830480000001</v>
      </c>
      <c r="AD728" s="6">
        <f>$O$728*$X$728</f>
        <v>40947.414839999998</v>
      </c>
      <c r="AE728" s="6">
        <f>$K$728*$Y$728</f>
        <v>0</v>
      </c>
      <c r="AF728" s="6">
        <f ca="1">$M$728*$Z$728</f>
        <v>34302.892931824921</v>
      </c>
      <c r="AG728" s="6">
        <f>$O$728*$AA$728</f>
        <v>38557.504799048394</v>
      </c>
    </row>
    <row r="729" spans="1:3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31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-0.33300000000000002</v>
      </c>
      <c r="M729" s="6">
        <v>-0.33300000000000002</v>
      </c>
      <c r="N729" s="6">
        <v>-0.33300000000000002</v>
      </c>
      <c r="O729" s="6">
        <v>-0.33300000000000002</v>
      </c>
      <c r="P729" s="6">
        <v>0</v>
      </c>
      <c r="Q729" s="4" t="s">
        <v>26</v>
      </c>
      <c r="R729" s="4">
        <v>0</v>
      </c>
      <c r="S729" s="6">
        <v>0</v>
      </c>
      <c r="T729" s="6">
        <v>33</v>
      </c>
      <c r="U729" s="6">
        <v>74</v>
      </c>
      <c r="V729" s="6">
        <f>IF(ISERROR(VLOOKUP($S$729,'TAR FIN'!$A$1:$O$103,15,0)),0,VLOOKUP($S$729,'TAR FIN'!$A$1:$O$103,15,0))</f>
        <v>0</v>
      </c>
      <c r="W729" s="6">
        <f>IF(ISERROR(VLOOKUP($T$729,'TAR FIN'!$A$1:$O$103,15,0)),0,VLOOKUP($T$729,'TAR FIN'!$A$1:$O$103,15,0))</f>
        <v>176.22</v>
      </c>
      <c r="X729" s="6">
        <f>IF(ISERROR(VLOOKUP($U$729,'TAR FIN'!$A$1:$O$103,15,0)),0,VLOOKUP($U$729,'TAR FIN'!$A$1:$O$103,15,0))</f>
        <v>260.01</v>
      </c>
      <c r="Y729" s="6"/>
      <c r="Z729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29" s="6">
        <f>('TE BE'!$AB$17+'TE BF'!$AB$17+'TE CVA'!$AB$17)*(1-CUSTOS!$M$36)</f>
        <v>244.83442634838076</v>
      </c>
      <c r="AB729" s="6">
        <f>$K$729*$V$729</f>
        <v>0</v>
      </c>
      <c r="AC729" s="6">
        <f>$M$729*$W$729</f>
        <v>-58.681260000000002</v>
      </c>
      <c r="AD729" s="6">
        <f>$O$729*$X$729</f>
        <v>-86.583330000000004</v>
      </c>
      <c r="AE729" s="6">
        <f>$K$729*$Y$729</f>
        <v>0</v>
      </c>
      <c r="AF729" s="6">
        <f ca="1">$M$729*$Z$729</f>
        <v>-72.533484965442184</v>
      </c>
      <c r="AG729" s="6">
        <f>$O$729*$AA$729</f>
        <v>-81.529863974010794</v>
      </c>
    </row>
    <row r="730" spans="1:3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31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164.59299999999999</v>
      </c>
      <c r="M730" s="6">
        <v>164.59299999999999</v>
      </c>
      <c r="N730" s="6">
        <v>164.59299999999999</v>
      </c>
      <c r="O730" s="6">
        <v>164.59299999999999</v>
      </c>
      <c r="P730" s="6">
        <v>2457</v>
      </c>
      <c r="Q730" s="4" t="s">
        <v>26</v>
      </c>
      <c r="R730" s="4">
        <v>0</v>
      </c>
      <c r="S730" s="6">
        <v>0</v>
      </c>
      <c r="T730" s="6">
        <v>33</v>
      </c>
      <c r="U730" s="6">
        <v>74</v>
      </c>
      <c r="V730" s="6">
        <f>IF(ISERROR(VLOOKUP($S$730,'TAR FIN'!$A$1:$O$103,15,0)),0,VLOOKUP($S$730,'TAR FIN'!$A$1:$O$103,15,0))</f>
        <v>0</v>
      </c>
      <c r="W730" s="6">
        <f>IF(ISERROR(VLOOKUP($T$730,'TAR FIN'!$A$1:$O$103,15,0)),0,VLOOKUP($T$730,'TAR FIN'!$A$1:$O$103,15,0))</f>
        <v>176.22</v>
      </c>
      <c r="X730" s="6">
        <f>IF(ISERROR(VLOOKUP($U$730,'TAR FIN'!$A$1:$O$103,15,0)),0,VLOOKUP($U$730,'TAR FIN'!$A$1:$O$103,15,0))</f>
        <v>260.01</v>
      </c>
      <c r="Y730" s="6"/>
      <c r="Z730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0" s="6">
        <f>('TE BE'!$AB$17+'TE BF'!$AB$17+'TE CVA'!$AB$17)*(1-CUSTOS!$M$36)</f>
        <v>244.83442634838076</v>
      </c>
      <c r="AB730" s="6">
        <f>$K$730*$V$730</f>
        <v>0</v>
      </c>
      <c r="AC730" s="6">
        <f>$M$730*$W$730</f>
        <v>29004.578459999997</v>
      </c>
      <c r="AD730" s="6">
        <f>$O$730*$X$730</f>
        <v>42795.825929999999</v>
      </c>
      <c r="AE730" s="6">
        <f>$K$730*$Y$730</f>
        <v>0</v>
      </c>
      <c r="AF730" s="6">
        <f ca="1">$M$730*$Z$730</f>
        <v>35851.363035786861</v>
      </c>
      <c r="AG730" s="6">
        <f>$O$730*$AA$730</f>
        <v>40298.03273595903</v>
      </c>
    </row>
    <row r="731" spans="1:33" ht="11.25" customHeight="1" x14ac:dyDescent="0.25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31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-0.313</v>
      </c>
      <c r="M731" s="6">
        <v>-0.313</v>
      </c>
      <c r="N731" s="6">
        <v>-0.313</v>
      </c>
      <c r="O731" s="6">
        <v>-0.313</v>
      </c>
      <c r="P731" s="6">
        <v>0</v>
      </c>
      <c r="Q731" s="4" t="s">
        <v>26</v>
      </c>
      <c r="R731" s="4">
        <v>0</v>
      </c>
      <c r="S731" s="6">
        <v>0</v>
      </c>
      <c r="T731" s="6">
        <v>33</v>
      </c>
      <c r="U731" s="6">
        <v>74</v>
      </c>
      <c r="V731" s="6">
        <f>IF(ISERROR(VLOOKUP($S$731,'TAR FIN'!$A$1:$O$103,15,0)),0,VLOOKUP($S$731,'TAR FIN'!$A$1:$O$103,15,0))</f>
        <v>0</v>
      </c>
      <c r="W731" s="6">
        <f>IF(ISERROR(VLOOKUP($T$731,'TAR FIN'!$A$1:$O$103,15,0)),0,VLOOKUP($T$731,'TAR FIN'!$A$1:$O$103,15,0))</f>
        <v>176.22</v>
      </c>
      <c r="X731" s="6">
        <f>IF(ISERROR(VLOOKUP($U$731,'TAR FIN'!$A$1:$O$103,15,0)),0,VLOOKUP($U$731,'TAR FIN'!$A$1:$O$103,15,0))</f>
        <v>260.01</v>
      </c>
      <c r="Y731" s="6"/>
      <c r="Z731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1" s="6">
        <f>('TE BE'!$AB$17+'TE BF'!$AB$17+'TE CVA'!$AB$17)*(1-CUSTOS!$M$36)</f>
        <v>244.83442634838076</v>
      </c>
      <c r="AB731" s="6">
        <f>$K$731*$V$731</f>
        <v>0</v>
      </c>
      <c r="AC731" s="6">
        <f>$M$731*$W$731</f>
        <v>-55.156860000000002</v>
      </c>
      <c r="AD731" s="6">
        <f>$O$731*$X$731</f>
        <v>-81.383129999999994</v>
      </c>
      <c r="AE731" s="6">
        <f>$K$731*$Y$731</f>
        <v>0</v>
      </c>
      <c r="AF731" s="6">
        <f ca="1">$M$731*$Z$731</f>
        <v>-68.177119502052264</v>
      </c>
      <c r="AG731" s="6">
        <f>$O$731*$AA$731</f>
        <v>-76.633175447043172</v>
      </c>
    </row>
    <row r="732" spans="1:3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31</v>
      </c>
      <c r="F732" s="4" t="s">
        <v>25</v>
      </c>
      <c r="G732" s="4" t="s">
        <v>25</v>
      </c>
      <c r="H732" s="4" t="s">
        <v>25</v>
      </c>
      <c r="I732" s="5">
        <v>44593</v>
      </c>
      <c r="J732" s="6">
        <v>0</v>
      </c>
      <c r="K732" s="6">
        <v>0</v>
      </c>
      <c r="L732" s="6">
        <v>191.77099999999999</v>
      </c>
      <c r="M732" s="6">
        <v>191.77099999999999</v>
      </c>
      <c r="N732" s="6">
        <v>191.77099999999999</v>
      </c>
      <c r="O732" s="6">
        <v>191.77099999999999</v>
      </c>
      <c r="P732" s="6">
        <v>2580</v>
      </c>
      <c r="Q732" s="4" t="s">
        <v>26</v>
      </c>
      <c r="R732" s="4">
        <v>0</v>
      </c>
      <c r="S732" s="6">
        <v>0</v>
      </c>
      <c r="T732" s="6">
        <v>33</v>
      </c>
      <c r="U732" s="6">
        <v>74</v>
      </c>
      <c r="V732" s="6">
        <f>IF(ISERROR(VLOOKUP($S$732,'TAR FIN'!$A$1:$O$103,15,0)),0,VLOOKUP($S$732,'TAR FIN'!$A$1:$O$103,15,0))</f>
        <v>0</v>
      </c>
      <c r="W732" s="6">
        <f>IF(ISERROR(VLOOKUP($T$732,'TAR FIN'!$A$1:$O$103,15,0)),0,VLOOKUP($T$732,'TAR FIN'!$A$1:$O$103,15,0))</f>
        <v>176.22</v>
      </c>
      <c r="X732" s="6">
        <f>IF(ISERROR(VLOOKUP($U$732,'TAR FIN'!$A$1:$O$103,15,0)),0,VLOOKUP($U$732,'TAR FIN'!$A$1:$O$103,15,0))</f>
        <v>260.01</v>
      </c>
      <c r="Y732" s="6"/>
      <c r="Z732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2" s="6">
        <f>('TE BE'!$AB$17+'TE BF'!$AB$17+'TE CVA'!$AB$17)*(1-CUSTOS!$M$36)</f>
        <v>244.83442634838076</v>
      </c>
      <c r="AB732" s="6">
        <f>$K$732*$V$732</f>
        <v>0</v>
      </c>
      <c r="AC732" s="6">
        <f>$M$732*$W$732</f>
        <v>33793.885620000001</v>
      </c>
      <c r="AD732" s="6">
        <f>$O$732*$X$732</f>
        <v>49862.377709999993</v>
      </c>
      <c r="AE732" s="6">
        <f>$K$732*$Y$732</f>
        <v>0</v>
      </c>
      <c r="AF732" s="6">
        <f ca="1">$M$732*$Z$732</f>
        <v>41771.228063987423</v>
      </c>
      <c r="AG732" s="6">
        <f>$O$732*$AA$732</f>
        <v>46952.142775255321</v>
      </c>
    </row>
    <row r="733" spans="1:33" ht="11.25" customHeight="1" x14ac:dyDescent="0.25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31</v>
      </c>
      <c r="F733" s="4" t="s">
        <v>25</v>
      </c>
      <c r="G733" s="4" t="s">
        <v>25</v>
      </c>
      <c r="H733" s="4" t="s">
        <v>25</v>
      </c>
      <c r="I733" s="5">
        <v>44621</v>
      </c>
      <c r="J733" s="6">
        <v>0</v>
      </c>
      <c r="K733" s="6">
        <v>0</v>
      </c>
      <c r="L733" s="6">
        <v>193.261</v>
      </c>
      <c r="M733" s="6">
        <v>193.261</v>
      </c>
      <c r="N733" s="6">
        <v>193.261</v>
      </c>
      <c r="O733" s="6">
        <v>193.261</v>
      </c>
      <c r="P733" s="6">
        <v>2685</v>
      </c>
      <c r="Q733" s="4" t="s">
        <v>26</v>
      </c>
      <c r="R733" s="4">
        <v>0</v>
      </c>
      <c r="S733" s="6">
        <v>0</v>
      </c>
      <c r="T733" s="6">
        <v>33</v>
      </c>
      <c r="U733" s="6">
        <v>74</v>
      </c>
      <c r="V733" s="6">
        <f>IF(ISERROR(VLOOKUP($S$733,'TAR FIN'!$A$1:$O$103,15,0)),0,VLOOKUP($S$733,'TAR FIN'!$A$1:$O$103,15,0))</f>
        <v>0</v>
      </c>
      <c r="W733" s="6">
        <f>IF(ISERROR(VLOOKUP($T$733,'TAR FIN'!$A$1:$O$103,15,0)),0,VLOOKUP($T$733,'TAR FIN'!$A$1:$O$103,15,0))</f>
        <v>176.22</v>
      </c>
      <c r="X733" s="6">
        <f>IF(ISERROR(VLOOKUP($U$733,'TAR FIN'!$A$1:$O$103,15,0)),0,VLOOKUP($U$733,'TAR FIN'!$A$1:$O$103,15,0))</f>
        <v>260.01</v>
      </c>
      <c r="Y733" s="6"/>
      <c r="Z733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3" s="6">
        <f>('TE BE'!$AB$17+'TE BF'!$AB$17+'TE CVA'!$AB$17)*(1-CUSTOS!$M$36)</f>
        <v>244.83442634838076</v>
      </c>
      <c r="AB733" s="6">
        <f>$K$733*$V$733</f>
        <v>0</v>
      </c>
      <c r="AC733" s="6">
        <f>$M$733*$W$733</f>
        <v>34056.453419999998</v>
      </c>
      <c r="AD733" s="6">
        <f>$O$733*$X$733</f>
        <v>50249.792609999997</v>
      </c>
      <c r="AE733" s="6">
        <f>$K$733*$Y$733</f>
        <v>0</v>
      </c>
      <c r="AF733" s="6">
        <f ca="1">$M$733*$Z$733</f>
        <v>42095.777291009974</v>
      </c>
      <c r="AG733" s="6">
        <f>$O$733*$AA$733</f>
        <v>47316.946070514416</v>
      </c>
    </row>
    <row r="734" spans="1:33" ht="11.25" customHeight="1" x14ac:dyDescent="0.25">
      <c r="A734" s="4" t="s">
        <v>21</v>
      </c>
      <c r="B734" s="4" t="s">
        <v>22</v>
      </c>
      <c r="C734" s="4" t="s">
        <v>23</v>
      </c>
      <c r="D734" s="4" t="s">
        <v>24</v>
      </c>
      <c r="E734" s="4" t="s">
        <v>31</v>
      </c>
      <c r="F734" s="4" t="s">
        <v>25</v>
      </c>
      <c r="G734" s="4" t="s">
        <v>25</v>
      </c>
      <c r="H734" s="4" t="s">
        <v>25</v>
      </c>
      <c r="I734" s="5">
        <v>44652</v>
      </c>
      <c r="J734" s="6">
        <v>0</v>
      </c>
      <c r="K734" s="6">
        <v>0</v>
      </c>
      <c r="L734" s="6">
        <v>183.00200000000001</v>
      </c>
      <c r="M734" s="6">
        <v>183.00200000000001</v>
      </c>
      <c r="N734" s="6">
        <v>183.00200000000001</v>
      </c>
      <c r="O734" s="6">
        <v>183.00200000000001</v>
      </c>
      <c r="P734" s="6">
        <v>2618</v>
      </c>
      <c r="Q734" s="4" t="s">
        <v>26</v>
      </c>
      <c r="R734" s="4">
        <v>0</v>
      </c>
      <c r="S734" s="6">
        <v>0</v>
      </c>
      <c r="T734" s="6">
        <v>33</v>
      </c>
      <c r="U734" s="6">
        <v>74</v>
      </c>
      <c r="V734" s="6">
        <f>IF(ISERROR(VLOOKUP($S$734,'TAR FIN'!$A$1:$O$103,15,0)),0,VLOOKUP($S$734,'TAR FIN'!$A$1:$O$103,15,0))</f>
        <v>0</v>
      </c>
      <c r="W734" s="6">
        <f>IF(ISERROR(VLOOKUP($T$734,'TAR FIN'!$A$1:$O$103,15,0)),0,VLOOKUP($T$734,'TAR FIN'!$A$1:$O$103,15,0))</f>
        <v>176.22</v>
      </c>
      <c r="X734" s="6">
        <f>IF(ISERROR(VLOOKUP($U$734,'TAR FIN'!$A$1:$O$103,15,0)),0,VLOOKUP($U$734,'TAR FIN'!$A$1:$O$103,15,0))</f>
        <v>260.01</v>
      </c>
      <c r="Y734" s="6"/>
      <c r="Z734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4" s="6">
        <f>('TE BE'!$AB$17+'TE BF'!$AB$17+'TE CVA'!$AB$17)*(1-CUSTOS!$M$36)</f>
        <v>244.83442634838076</v>
      </c>
      <c r="AB734" s="6">
        <f>$K$734*$V$734</f>
        <v>0</v>
      </c>
      <c r="AC734" s="6">
        <f>$M$734*$W$734</f>
        <v>32248.612440000001</v>
      </c>
      <c r="AD734" s="6">
        <f>$O$734*$X$734</f>
        <v>47582.350019999998</v>
      </c>
      <c r="AE734" s="6">
        <f>$K$734*$Y$734</f>
        <v>0</v>
      </c>
      <c r="AF734" s="6">
        <f ca="1">$M$734*$Z$734</f>
        <v>39861.179626564117</v>
      </c>
      <c r="AG734" s="6">
        <f>$O$734*$AA$734</f>
        <v>44805.189690606378</v>
      </c>
    </row>
    <row r="735" spans="1:3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31</v>
      </c>
      <c r="F735" s="4" t="s">
        <v>25</v>
      </c>
      <c r="G735" s="4" t="s">
        <v>25</v>
      </c>
      <c r="H735" s="4" t="s">
        <v>25</v>
      </c>
      <c r="I735" s="5">
        <v>44682</v>
      </c>
      <c r="J735" s="6">
        <v>0</v>
      </c>
      <c r="K735" s="6">
        <v>0</v>
      </c>
      <c r="L735" s="6">
        <v>185.56899999999999</v>
      </c>
      <c r="M735" s="6">
        <v>185.56899999999999</v>
      </c>
      <c r="N735" s="6">
        <v>185.56899999999999</v>
      </c>
      <c r="O735" s="6">
        <v>185.56899999999999</v>
      </c>
      <c r="P735" s="6">
        <v>2619</v>
      </c>
      <c r="Q735" s="4" t="s">
        <v>26</v>
      </c>
      <c r="R735" s="4">
        <v>0</v>
      </c>
      <c r="S735" s="6">
        <v>0</v>
      </c>
      <c r="T735" s="6">
        <v>33</v>
      </c>
      <c r="U735" s="6">
        <v>74</v>
      </c>
      <c r="V735" s="6">
        <f>IF(ISERROR(VLOOKUP($S$735,'TAR FIN'!$A$1:$O$103,15,0)),0,VLOOKUP($S$735,'TAR FIN'!$A$1:$O$103,15,0))</f>
        <v>0</v>
      </c>
      <c r="W735" s="6">
        <f>IF(ISERROR(VLOOKUP($T$735,'TAR FIN'!$A$1:$O$103,15,0)),0,VLOOKUP($T$735,'TAR FIN'!$A$1:$O$103,15,0))</f>
        <v>176.22</v>
      </c>
      <c r="X735" s="6">
        <f>IF(ISERROR(VLOOKUP($U$735,'TAR FIN'!$A$1:$O$103,15,0)),0,VLOOKUP($U$735,'TAR FIN'!$A$1:$O$103,15,0))</f>
        <v>260.01</v>
      </c>
      <c r="Y735" s="6"/>
      <c r="Z735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5" s="6">
        <f>('TE BE'!$AB$17+'TE BF'!$AB$17+'TE CVA'!$AB$17)*(1-CUSTOS!$M$36)</f>
        <v>244.83442634838076</v>
      </c>
      <c r="AB735" s="6">
        <f>$K$735*$V$735</f>
        <v>0</v>
      </c>
      <c r="AC735" s="6">
        <f>$M$735*$W$735</f>
        <v>32700.969179999996</v>
      </c>
      <c r="AD735" s="6">
        <f>$O$735*$X$735</f>
        <v>48249.795689999992</v>
      </c>
      <c r="AE735" s="6">
        <f>$K$735*$Y$735</f>
        <v>0</v>
      </c>
      <c r="AF735" s="6">
        <f ca="1">$M$735*$Z$735</f>
        <v>40420.31913379021</v>
      </c>
      <c r="AG735" s="6">
        <f>$O$735*$AA$735</f>
        <v>45433.679663042669</v>
      </c>
    </row>
    <row r="736" spans="1:33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44682</v>
      </c>
      <c r="J736" s="6">
        <v>0</v>
      </c>
      <c r="K736" s="6">
        <v>0</v>
      </c>
      <c r="L736" s="6">
        <v>-0.157</v>
      </c>
      <c r="M736" s="6">
        <v>-0.157</v>
      </c>
      <c r="N736" s="6">
        <v>-0.157</v>
      </c>
      <c r="O736" s="6">
        <v>-0.157</v>
      </c>
      <c r="P736" s="6">
        <v>0</v>
      </c>
      <c r="Q736" s="4" t="s">
        <v>26</v>
      </c>
      <c r="R736" s="4">
        <v>0</v>
      </c>
      <c r="S736" s="6">
        <v>0</v>
      </c>
      <c r="T736" s="6">
        <v>33</v>
      </c>
      <c r="U736" s="6">
        <v>74</v>
      </c>
      <c r="V736" s="6">
        <f>IF(ISERROR(VLOOKUP($S$736,'TAR FIN'!$A$1:$O$103,15,0)),0,VLOOKUP($S$736,'TAR FIN'!$A$1:$O$103,15,0))</f>
        <v>0</v>
      </c>
      <c r="W736" s="6">
        <f>IF(ISERROR(VLOOKUP($T$736,'TAR FIN'!$A$1:$O$103,15,0)),0,VLOOKUP($T$736,'TAR FIN'!$A$1:$O$103,15,0))</f>
        <v>176.22</v>
      </c>
      <c r="X736" s="6">
        <f>IF(ISERROR(VLOOKUP($U$736,'TAR FIN'!$A$1:$O$103,15,0)),0,VLOOKUP($U$736,'TAR FIN'!$A$1:$O$103,15,0))</f>
        <v>260.01</v>
      </c>
      <c r="Y736" s="6"/>
      <c r="Z736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736" s="6">
        <f>('TE BE'!$AB$17+'TE BF'!$AB$17+'TE CVA'!$AB$17)*(1-CUSTOS!$M$36)</f>
        <v>244.83442634838076</v>
      </c>
      <c r="AB736" s="6">
        <f>$K$736*$V$736</f>
        <v>0</v>
      </c>
      <c r="AC736" s="6">
        <f>$M$736*$W$736</f>
        <v>-27.666540000000001</v>
      </c>
      <c r="AD736" s="6">
        <f>$O$736*$X$736</f>
        <v>-40.821570000000001</v>
      </c>
      <c r="AE736" s="6">
        <f>$K$736*$Y$736</f>
        <v>0</v>
      </c>
      <c r="AF736" s="6">
        <f ca="1">$M$736*$Z$736</f>
        <v>-34.197468887610881</v>
      </c>
      <c r="AG736" s="6">
        <f>$O$736*$AA$736</f>
        <v>-38.439004936695781</v>
      </c>
    </row>
    <row r="737" spans="1:3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44348</v>
      </c>
      <c r="J737" s="6">
        <v>0</v>
      </c>
      <c r="K737" s="6">
        <v>0</v>
      </c>
      <c r="L737" s="6">
        <v>32.509</v>
      </c>
      <c r="M737" s="6">
        <v>32.509</v>
      </c>
      <c r="N737" s="6">
        <v>32.509</v>
      </c>
      <c r="O737" s="6">
        <v>32.509</v>
      </c>
      <c r="P737" s="6">
        <v>507</v>
      </c>
      <c r="Q737" s="4" t="s">
        <v>26</v>
      </c>
      <c r="R737" s="4">
        <v>0</v>
      </c>
      <c r="S737" s="6">
        <v>0</v>
      </c>
      <c r="T737" s="6">
        <v>34</v>
      </c>
      <c r="U737" s="6">
        <v>75</v>
      </c>
      <c r="V737" s="6">
        <f>IF(ISERROR(VLOOKUP($S$737,'TAR FIN'!$A$1:$O$103,15,0)),0,VLOOKUP($S$737,'TAR FIN'!$A$1:$O$103,15,0))</f>
        <v>0</v>
      </c>
      <c r="W737" s="6">
        <f>IF(ISERROR(VLOOKUP($T$737,'TAR FIN'!$A$1:$O$103,15,0)),0,VLOOKUP($T$737,'TAR FIN'!$A$1:$O$103,15,0))</f>
        <v>195.8</v>
      </c>
      <c r="X737" s="6">
        <f>IF(ISERROR(VLOOKUP($U$737,'TAR FIN'!$A$1:$O$103,15,0)),0,VLOOKUP($U$737,'TAR FIN'!$A$1:$O$103,15,0))</f>
        <v>288.89999999999998</v>
      </c>
      <c r="Y737" s="6"/>
      <c r="Z737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37" s="6">
        <f>('TE BE'!$AB$18+'TE BF'!$AB$18+'TE CVA'!$AB$18)*(1-CUSTOS!$M$37)</f>
        <v>272.03825149820085</v>
      </c>
      <c r="AB737" s="6">
        <f>$K$737*$V$737</f>
        <v>0</v>
      </c>
      <c r="AC737" s="6">
        <f>$M$737*$W$737</f>
        <v>6365.2622000000001</v>
      </c>
      <c r="AD737" s="6">
        <f>$O$737*$X$737</f>
        <v>9391.8500999999997</v>
      </c>
      <c r="AE737" s="6">
        <f>$K$737*$Y$737</f>
        <v>0</v>
      </c>
      <c r="AF737" s="6">
        <f ca="1">$M$737*$Z$737</f>
        <v>7867.838047185719</v>
      </c>
      <c r="AG737" s="6">
        <f>$O$737*$AA$737</f>
        <v>8843.6915179550124</v>
      </c>
    </row>
    <row r="738" spans="1:33" ht="11.25" customHeight="1" x14ac:dyDescent="0.25">
      <c r="A738" s="4" t="s">
        <v>27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44348</v>
      </c>
      <c r="J738" s="6">
        <v>0</v>
      </c>
      <c r="K738" s="6">
        <v>0</v>
      </c>
      <c r="L738" s="6">
        <v>-0.16300000000000001</v>
      </c>
      <c r="M738" s="6">
        <v>-0.16300000000000001</v>
      </c>
      <c r="N738" s="6">
        <v>-0.16300000000000001</v>
      </c>
      <c r="O738" s="6">
        <v>-0.16300000000000001</v>
      </c>
      <c r="P738" s="6">
        <v>0</v>
      </c>
      <c r="Q738" s="4" t="s">
        <v>26</v>
      </c>
      <c r="R738" s="4">
        <v>0</v>
      </c>
      <c r="S738" s="6">
        <v>0</v>
      </c>
      <c r="T738" s="6">
        <v>34</v>
      </c>
      <c r="U738" s="6">
        <v>75</v>
      </c>
      <c r="V738" s="6">
        <f>IF(ISERROR(VLOOKUP($S$738,'TAR FIN'!$A$1:$O$103,15,0)),0,VLOOKUP($S$738,'TAR FIN'!$A$1:$O$103,15,0))</f>
        <v>0</v>
      </c>
      <c r="W738" s="6">
        <f>IF(ISERROR(VLOOKUP($T$738,'TAR FIN'!$A$1:$O$103,15,0)),0,VLOOKUP($T$738,'TAR FIN'!$A$1:$O$103,15,0))</f>
        <v>195.8</v>
      </c>
      <c r="X738" s="6">
        <f>IF(ISERROR(VLOOKUP($U$738,'TAR FIN'!$A$1:$O$103,15,0)),0,VLOOKUP($U$738,'TAR FIN'!$A$1:$O$103,15,0))</f>
        <v>288.89999999999998</v>
      </c>
      <c r="Y738" s="6"/>
      <c r="Z738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38" s="6">
        <f>('TE BE'!$AB$18+'TE BF'!$AB$18+'TE CVA'!$AB$18)*(1-CUSTOS!$M$37)</f>
        <v>272.03825149820085</v>
      </c>
      <c r="AB738" s="6">
        <f>$K$738*$V$738</f>
        <v>0</v>
      </c>
      <c r="AC738" s="6">
        <f>$M$738*$W$738</f>
        <v>-31.915400000000002</v>
      </c>
      <c r="AD738" s="6">
        <f>$O$738*$X$738</f>
        <v>-47.090699999999998</v>
      </c>
      <c r="AE738" s="6">
        <f>$K$738*$Y$738</f>
        <v>0</v>
      </c>
      <c r="AF738" s="6">
        <f ca="1">$M$738*$Z$738</f>
        <v>-39.449309474030954</v>
      </c>
      <c r="AG738" s="6">
        <f>$O$738*$AA$738</f>
        <v>-44.342234994206741</v>
      </c>
    </row>
    <row r="739" spans="1:33" ht="11.25" customHeight="1" x14ac:dyDescent="0.25">
      <c r="A739" s="4" t="s">
        <v>21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37.683</v>
      </c>
      <c r="M739" s="6">
        <v>37.683</v>
      </c>
      <c r="N739" s="6">
        <v>37.683</v>
      </c>
      <c r="O739" s="6">
        <v>37.683</v>
      </c>
      <c r="P739" s="6">
        <v>514</v>
      </c>
      <c r="Q739" s="4" t="s">
        <v>26</v>
      </c>
      <c r="R739" s="4">
        <v>0</v>
      </c>
      <c r="S739" s="6">
        <v>0</v>
      </c>
      <c r="T739" s="6">
        <v>34</v>
      </c>
      <c r="U739" s="6">
        <v>75</v>
      </c>
      <c r="V739" s="6">
        <f>IF(ISERROR(VLOOKUP($S$739,'TAR FIN'!$A$1:$O$103,15,0)),0,VLOOKUP($S$739,'TAR FIN'!$A$1:$O$103,15,0))</f>
        <v>0</v>
      </c>
      <c r="W739" s="6">
        <f>IF(ISERROR(VLOOKUP($T$739,'TAR FIN'!$A$1:$O$103,15,0)),0,VLOOKUP($T$739,'TAR FIN'!$A$1:$O$103,15,0))</f>
        <v>195.8</v>
      </c>
      <c r="X739" s="6">
        <f>IF(ISERROR(VLOOKUP($U$739,'TAR FIN'!$A$1:$O$103,15,0)),0,VLOOKUP($U$739,'TAR FIN'!$A$1:$O$103,15,0))</f>
        <v>288.89999999999998</v>
      </c>
      <c r="Y739" s="6"/>
      <c r="Z739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39" s="6">
        <f>('TE BE'!$AB$18+'TE BF'!$AB$18+'TE CVA'!$AB$18)*(1-CUSTOS!$M$37)</f>
        <v>272.03825149820085</v>
      </c>
      <c r="AB739" s="6">
        <f>$K$739*$V$739</f>
        <v>0</v>
      </c>
      <c r="AC739" s="6">
        <f>$M$739*$W$739</f>
        <v>7378.3314</v>
      </c>
      <c r="AD739" s="6">
        <f>$O$739*$X$739</f>
        <v>10886.618699999999</v>
      </c>
      <c r="AE739" s="6">
        <f>$K$739*$Y$739</f>
        <v>0</v>
      </c>
      <c r="AF739" s="6">
        <f ca="1">$M$739*$Z$739</f>
        <v>9120.0510976067999</v>
      </c>
      <c r="AG739" s="6">
        <f>$O$739*$AA$739</f>
        <v>10251.217431206702</v>
      </c>
    </row>
    <row r="740" spans="1:33" ht="11.25" customHeight="1" x14ac:dyDescent="0.25">
      <c r="A740" s="4" t="s">
        <v>27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44378</v>
      </c>
      <c r="J740" s="6">
        <v>0</v>
      </c>
      <c r="K740" s="6">
        <v>0</v>
      </c>
      <c r="L740" s="6">
        <v>-0.79</v>
      </c>
      <c r="M740" s="6">
        <v>-0.79</v>
      </c>
      <c r="N740" s="6">
        <v>-0.79</v>
      </c>
      <c r="O740" s="6">
        <v>-0.79</v>
      </c>
      <c r="P740" s="6">
        <v>0</v>
      </c>
      <c r="Q740" s="4" t="s">
        <v>26</v>
      </c>
      <c r="R740" s="4">
        <v>0</v>
      </c>
      <c r="S740" s="6">
        <v>0</v>
      </c>
      <c r="T740" s="6">
        <v>34</v>
      </c>
      <c r="U740" s="6">
        <v>75</v>
      </c>
      <c r="V740" s="6">
        <f>IF(ISERROR(VLOOKUP($S$740,'TAR FIN'!$A$1:$O$103,15,0)),0,VLOOKUP($S$740,'TAR FIN'!$A$1:$O$103,15,0))</f>
        <v>0</v>
      </c>
      <c r="W740" s="6">
        <f>IF(ISERROR(VLOOKUP($T$740,'TAR FIN'!$A$1:$O$103,15,0)),0,VLOOKUP($T$740,'TAR FIN'!$A$1:$O$103,15,0))</f>
        <v>195.8</v>
      </c>
      <c r="X740" s="6">
        <f>IF(ISERROR(VLOOKUP($U$740,'TAR FIN'!$A$1:$O$103,15,0)),0,VLOOKUP($U$740,'TAR FIN'!$A$1:$O$103,15,0))</f>
        <v>288.89999999999998</v>
      </c>
      <c r="Y740" s="6"/>
      <c r="Z740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0" s="6">
        <f>('TE BE'!$AB$18+'TE BF'!$AB$18+'TE CVA'!$AB$18)*(1-CUSTOS!$M$37)</f>
        <v>272.03825149820085</v>
      </c>
      <c r="AB740" s="6">
        <f>$K$740*$V$740</f>
        <v>0</v>
      </c>
      <c r="AC740" s="6">
        <f>$M$740*$W$740</f>
        <v>-154.68200000000002</v>
      </c>
      <c r="AD740" s="6">
        <f>$O$740*$X$740</f>
        <v>-228.23099999999999</v>
      </c>
      <c r="AE740" s="6">
        <f>$K$740*$Y$740</f>
        <v>0</v>
      </c>
      <c r="AF740" s="6">
        <f ca="1">$M$740*$Z$740</f>
        <v>-191.19603978211319</v>
      </c>
      <c r="AG740" s="6">
        <f>$O$740*$AA$740</f>
        <v>-214.91021868357868</v>
      </c>
    </row>
    <row r="741" spans="1:3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44409</v>
      </c>
      <c r="J741" s="6">
        <v>0</v>
      </c>
      <c r="K741" s="6">
        <v>0</v>
      </c>
      <c r="L741" s="6">
        <v>37.825000000000003</v>
      </c>
      <c r="M741" s="6">
        <v>37.825000000000003</v>
      </c>
      <c r="N741" s="6">
        <v>37.825000000000003</v>
      </c>
      <c r="O741" s="6">
        <v>37.825000000000003</v>
      </c>
      <c r="P741" s="6">
        <v>539</v>
      </c>
      <c r="Q741" s="4" t="s">
        <v>26</v>
      </c>
      <c r="R741" s="4">
        <v>0</v>
      </c>
      <c r="S741" s="6">
        <v>0</v>
      </c>
      <c r="T741" s="6">
        <v>34</v>
      </c>
      <c r="U741" s="6">
        <v>75</v>
      </c>
      <c r="V741" s="6">
        <f>IF(ISERROR(VLOOKUP($S$741,'TAR FIN'!$A$1:$O$103,15,0)),0,VLOOKUP($S$741,'TAR FIN'!$A$1:$O$103,15,0))</f>
        <v>0</v>
      </c>
      <c r="W741" s="6">
        <f>IF(ISERROR(VLOOKUP($T$741,'TAR FIN'!$A$1:$O$103,15,0)),0,VLOOKUP($T$741,'TAR FIN'!$A$1:$O$103,15,0))</f>
        <v>195.8</v>
      </c>
      <c r="X741" s="6">
        <f>IF(ISERROR(VLOOKUP($U$741,'TAR FIN'!$A$1:$O$103,15,0)),0,VLOOKUP($U$741,'TAR FIN'!$A$1:$O$103,15,0))</f>
        <v>288.89999999999998</v>
      </c>
      <c r="Y741" s="6"/>
      <c r="Z741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1" s="6">
        <f>('TE BE'!$AB$18+'TE BF'!$AB$18+'TE CVA'!$AB$18)*(1-CUSTOS!$M$37)</f>
        <v>272.03825149820085</v>
      </c>
      <c r="AB741" s="6">
        <f>$K$741*$V$741</f>
        <v>0</v>
      </c>
      <c r="AC741" s="6">
        <f>$M$741*$W$741</f>
        <v>7406.1350000000011</v>
      </c>
      <c r="AD741" s="6">
        <f>$O$741*$X$741</f>
        <v>10927.6425</v>
      </c>
      <c r="AE741" s="6">
        <f>$K$741*$Y$741</f>
        <v>0</v>
      </c>
      <c r="AF741" s="6">
        <f ca="1">$M$741*$Z$741</f>
        <v>9154.4179807068758</v>
      </c>
      <c r="AG741" s="6">
        <f>$O$741*$AA$741</f>
        <v>10289.846862919449</v>
      </c>
    </row>
    <row r="742" spans="1:3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44409</v>
      </c>
      <c r="J742" s="6">
        <v>0</v>
      </c>
      <c r="K742" s="6">
        <v>0</v>
      </c>
      <c r="L742" s="6">
        <v>-0.34699999999999998</v>
      </c>
      <c r="M742" s="6">
        <v>-0.34699999999999998</v>
      </c>
      <c r="N742" s="6">
        <v>-0.34699999999999998</v>
      </c>
      <c r="O742" s="6">
        <v>-0.34699999999999998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34</v>
      </c>
      <c r="U742" s="6">
        <v>75</v>
      </c>
      <c r="V742" s="6">
        <f>IF(ISERROR(VLOOKUP($S$742,'TAR FIN'!$A$1:$O$103,15,0)),0,VLOOKUP($S$742,'TAR FIN'!$A$1:$O$103,15,0))</f>
        <v>0</v>
      </c>
      <c r="W742" s="6">
        <f>IF(ISERROR(VLOOKUP($T$742,'TAR FIN'!$A$1:$O$103,15,0)),0,VLOOKUP($T$742,'TAR FIN'!$A$1:$O$103,15,0))</f>
        <v>195.8</v>
      </c>
      <c r="X742" s="6">
        <f>IF(ISERROR(VLOOKUP($U$742,'TAR FIN'!$A$1:$O$103,15,0)),0,VLOOKUP($U$742,'TAR FIN'!$A$1:$O$103,15,0))</f>
        <v>288.89999999999998</v>
      </c>
      <c r="Y742" s="6"/>
      <c r="Z742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2" s="6">
        <f>('TE BE'!$AB$18+'TE BF'!$AB$18+'TE CVA'!$AB$18)*(1-CUSTOS!$M$37)</f>
        <v>272.03825149820085</v>
      </c>
      <c r="AB742" s="6">
        <f>$K$742*$V$742</f>
        <v>0</v>
      </c>
      <c r="AC742" s="6">
        <f>$M$742*$W$742</f>
        <v>-67.942599999999999</v>
      </c>
      <c r="AD742" s="6">
        <f>$O$742*$X$742</f>
        <v>-100.24829999999999</v>
      </c>
      <c r="AE742" s="6">
        <f>$K$742*$Y$742</f>
        <v>0</v>
      </c>
      <c r="AF742" s="6">
        <f ca="1">$M$742*$Z$742</f>
        <v>-83.981045322016797</v>
      </c>
      <c r="AG742" s="6">
        <f>$O$742*$AA$742</f>
        <v>-94.397273269875683</v>
      </c>
    </row>
    <row r="743" spans="1:33" ht="11.25" customHeight="1" x14ac:dyDescent="0.25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44440</v>
      </c>
      <c r="J743" s="6">
        <v>0</v>
      </c>
      <c r="K743" s="6">
        <v>0</v>
      </c>
      <c r="L743" s="6">
        <v>30.623000000000001</v>
      </c>
      <c r="M743" s="6">
        <v>30.623000000000001</v>
      </c>
      <c r="N743" s="6">
        <v>30.623000000000001</v>
      </c>
      <c r="O743" s="6">
        <v>30.623000000000001</v>
      </c>
      <c r="P743" s="6">
        <v>487</v>
      </c>
      <c r="Q743" s="4" t="s">
        <v>26</v>
      </c>
      <c r="R743" s="4">
        <v>0</v>
      </c>
      <c r="S743" s="6">
        <v>0</v>
      </c>
      <c r="T743" s="6">
        <v>34</v>
      </c>
      <c r="U743" s="6">
        <v>75</v>
      </c>
      <c r="V743" s="6">
        <f>IF(ISERROR(VLOOKUP($S$743,'TAR FIN'!$A$1:$O$103,15,0)),0,VLOOKUP($S$743,'TAR FIN'!$A$1:$O$103,15,0))</f>
        <v>0</v>
      </c>
      <c r="W743" s="6">
        <f>IF(ISERROR(VLOOKUP($T$743,'TAR FIN'!$A$1:$O$103,15,0)),0,VLOOKUP($T$743,'TAR FIN'!$A$1:$O$103,15,0))</f>
        <v>195.8</v>
      </c>
      <c r="X743" s="6">
        <f>IF(ISERROR(VLOOKUP($U$743,'TAR FIN'!$A$1:$O$103,15,0)),0,VLOOKUP($U$743,'TAR FIN'!$A$1:$O$103,15,0))</f>
        <v>288.89999999999998</v>
      </c>
      <c r="Y743" s="6"/>
      <c r="Z743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3" s="6">
        <f>('TE BE'!$AB$18+'TE BF'!$AB$18+'TE CVA'!$AB$18)*(1-CUSTOS!$M$37)</f>
        <v>272.03825149820085</v>
      </c>
      <c r="AB743" s="6">
        <f>$K$743*$V$743</f>
        <v>0</v>
      </c>
      <c r="AC743" s="6">
        <f>$M$743*$W$743</f>
        <v>5995.983400000001</v>
      </c>
      <c r="AD743" s="6">
        <f>$O$743*$X$743</f>
        <v>8846.9846999999991</v>
      </c>
      <c r="AE743" s="6">
        <f>$K$743*$Y$743</f>
        <v>0</v>
      </c>
      <c r="AF743" s="6">
        <f ca="1">$M$743*$Z$743</f>
        <v>7411.3877547438642</v>
      </c>
      <c r="AG743" s="6">
        <f>$O$743*$AA$743</f>
        <v>8330.6273756294049</v>
      </c>
    </row>
    <row r="744" spans="1:33" ht="11.25" customHeight="1" x14ac:dyDescent="0.25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44440</v>
      </c>
      <c r="J744" s="6">
        <v>0</v>
      </c>
      <c r="K744" s="6">
        <v>0</v>
      </c>
      <c r="L744" s="6">
        <v>-1.9E-2</v>
      </c>
      <c r="M744" s="6">
        <v>-1.9E-2</v>
      </c>
      <c r="N744" s="6">
        <v>-1.9E-2</v>
      </c>
      <c r="O744" s="6">
        <v>-1.9E-2</v>
      </c>
      <c r="P744" s="6">
        <v>0</v>
      </c>
      <c r="Q744" s="4" t="s">
        <v>26</v>
      </c>
      <c r="R744" s="4">
        <v>0</v>
      </c>
      <c r="S744" s="6">
        <v>0</v>
      </c>
      <c r="T744" s="6">
        <v>34</v>
      </c>
      <c r="U744" s="6">
        <v>75</v>
      </c>
      <c r="V744" s="6">
        <f>IF(ISERROR(VLOOKUP($S$744,'TAR FIN'!$A$1:$O$103,15,0)),0,VLOOKUP($S$744,'TAR FIN'!$A$1:$O$103,15,0))</f>
        <v>0</v>
      </c>
      <c r="W744" s="6">
        <f>IF(ISERROR(VLOOKUP($T$744,'TAR FIN'!$A$1:$O$103,15,0)),0,VLOOKUP($T$744,'TAR FIN'!$A$1:$O$103,15,0))</f>
        <v>195.8</v>
      </c>
      <c r="X744" s="6">
        <f>IF(ISERROR(VLOOKUP($U$744,'TAR FIN'!$A$1:$O$103,15,0)),0,VLOOKUP($U$744,'TAR FIN'!$A$1:$O$103,15,0))</f>
        <v>288.89999999999998</v>
      </c>
      <c r="Y744" s="6"/>
      <c r="Z744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4" s="6">
        <f>('TE BE'!$AB$18+'TE BF'!$AB$18+'TE CVA'!$AB$18)*(1-CUSTOS!$M$37)</f>
        <v>272.03825149820085</v>
      </c>
      <c r="AB744" s="6">
        <f>$K$744*$V$744</f>
        <v>0</v>
      </c>
      <c r="AC744" s="6">
        <f>$M$744*$W$744</f>
        <v>-3.7202000000000002</v>
      </c>
      <c r="AD744" s="6">
        <f>$O$744*$X$744</f>
        <v>-5.4890999999999996</v>
      </c>
      <c r="AE744" s="6">
        <f>$K$744*$Y$744</f>
        <v>0</v>
      </c>
      <c r="AF744" s="6">
        <f ca="1">$M$744*$Z$744</f>
        <v>-4.5983857669115826</v>
      </c>
      <c r="AG744" s="6">
        <f>$O$744*$AA$744</f>
        <v>-5.1687267784658157</v>
      </c>
    </row>
    <row r="745" spans="1:33" ht="11.25" customHeight="1" x14ac:dyDescent="0.25">
      <c r="A745" s="4" t="s">
        <v>21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44470</v>
      </c>
      <c r="J745" s="6">
        <v>0</v>
      </c>
      <c r="K745" s="6">
        <v>0</v>
      </c>
      <c r="L745" s="6">
        <v>31.774000000000001</v>
      </c>
      <c r="M745" s="6">
        <v>31.774000000000001</v>
      </c>
      <c r="N745" s="6">
        <v>31.774000000000001</v>
      </c>
      <c r="O745" s="6">
        <v>31.774000000000001</v>
      </c>
      <c r="P745" s="6">
        <v>503</v>
      </c>
      <c r="Q745" s="4" t="s">
        <v>26</v>
      </c>
      <c r="R745" s="4">
        <v>0</v>
      </c>
      <c r="S745" s="6">
        <v>0</v>
      </c>
      <c r="T745" s="6">
        <v>34</v>
      </c>
      <c r="U745" s="6">
        <v>75</v>
      </c>
      <c r="V745" s="6">
        <f>IF(ISERROR(VLOOKUP($S$745,'TAR FIN'!$A$1:$O$103,15,0)),0,VLOOKUP($S$745,'TAR FIN'!$A$1:$O$103,15,0))</f>
        <v>0</v>
      </c>
      <c r="W745" s="6">
        <f>IF(ISERROR(VLOOKUP($T$745,'TAR FIN'!$A$1:$O$103,15,0)),0,VLOOKUP($T$745,'TAR FIN'!$A$1:$O$103,15,0))</f>
        <v>195.8</v>
      </c>
      <c r="X745" s="6">
        <f>IF(ISERROR(VLOOKUP($U$745,'TAR FIN'!$A$1:$O$103,15,0)),0,VLOOKUP($U$745,'TAR FIN'!$A$1:$O$103,15,0))</f>
        <v>288.89999999999998</v>
      </c>
      <c r="Y745" s="6"/>
      <c r="Z745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5" s="6">
        <f>('TE BE'!$AB$18+'TE BF'!$AB$18+'TE CVA'!$AB$18)*(1-CUSTOS!$M$37)</f>
        <v>272.03825149820085</v>
      </c>
      <c r="AB745" s="6">
        <f>$K$745*$V$745</f>
        <v>0</v>
      </c>
      <c r="AC745" s="6">
        <f>$M$745*$W$745</f>
        <v>6221.3492000000006</v>
      </c>
      <c r="AD745" s="6">
        <f>$O$745*$X$745</f>
        <v>9179.5085999999992</v>
      </c>
      <c r="AE745" s="6">
        <f>$K$745*$Y$745</f>
        <v>0</v>
      </c>
      <c r="AF745" s="6">
        <f ca="1">$M$745*$Z$745</f>
        <v>7689.9531240972974</v>
      </c>
      <c r="AG745" s="6">
        <f>$O$745*$AA$745</f>
        <v>8643.7434031038338</v>
      </c>
    </row>
    <row r="746" spans="1:33" ht="11.25" customHeight="1" x14ac:dyDescent="0.25">
      <c r="A746" s="4" t="s">
        <v>27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44470</v>
      </c>
      <c r="J746" s="6">
        <v>0</v>
      </c>
      <c r="K746" s="6">
        <v>0</v>
      </c>
      <c r="L746" s="6">
        <v>-0.60399999999999998</v>
      </c>
      <c r="M746" s="6">
        <v>-0.60399999999999998</v>
      </c>
      <c r="N746" s="6">
        <v>-0.60399999999999998</v>
      </c>
      <c r="O746" s="6">
        <v>-0.60399999999999998</v>
      </c>
      <c r="P746" s="6">
        <v>0</v>
      </c>
      <c r="Q746" s="4" t="s">
        <v>26</v>
      </c>
      <c r="R746" s="4">
        <v>0</v>
      </c>
      <c r="S746" s="6">
        <v>0</v>
      </c>
      <c r="T746" s="6">
        <v>34</v>
      </c>
      <c r="U746" s="6">
        <v>75</v>
      </c>
      <c r="V746" s="6">
        <f>IF(ISERROR(VLOOKUP($S$746,'TAR FIN'!$A$1:$O$103,15,0)),0,VLOOKUP($S$746,'TAR FIN'!$A$1:$O$103,15,0))</f>
        <v>0</v>
      </c>
      <c r="W746" s="6">
        <f>IF(ISERROR(VLOOKUP($T$746,'TAR FIN'!$A$1:$O$103,15,0)),0,VLOOKUP($T$746,'TAR FIN'!$A$1:$O$103,15,0))</f>
        <v>195.8</v>
      </c>
      <c r="X746" s="6">
        <f>IF(ISERROR(VLOOKUP($U$746,'TAR FIN'!$A$1:$O$103,15,0)),0,VLOOKUP($U$746,'TAR FIN'!$A$1:$O$103,15,0))</f>
        <v>288.89999999999998</v>
      </c>
      <c r="Y746" s="6"/>
      <c r="Z746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6" s="6">
        <f>('TE BE'!$AB$18+'TE BF'!$AB$18+'TE CVA'!$AB$18)*(1-CUSTOS!$M$37)</f>
        <v>272.03825149820085</v>
      </c>
      <c r="AB746" s="6">
        <f>$K$746*$V$746</f>
        <v>0</v>
      </c>
      <c r="AC746" s="6">
        <f>$M$746*$W$746</f>
        <v>-118.2632</v>
      </c>
      <c r="AD746" s="6">
        <f>$O$746*$X$746</f>
        <v>-174.49559999999997</v>
      </c>
      <c r="AE746" s="6">
        <f>$K$746*$Y$746</f>
        <v>0</v>
      </c>
      <c r="AF746" s="6">
        <f ca="1">$M$746*$Z$746</f>
        <v>-146.18026332708402</v>
      </c>
      <c r="AG746" s="6">
        <f>$O$746*$AA$746</f>
        <v>-164.3111039049133</v>
      </c>
    </row>
    <row r="747" spans="1:33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32</v>
      </c>
      <c r="F747" s="4" t="s">
        <v>25</v>
      </c>
      <c r="G747" s="4" t="s">
        <v>25</v>
      </c>
      <c r="H747" s="4" t="s">
        <v>25</v>
      </c>
      <c r="I747" s="5">
        <v>44501</v>
      </c>
      <c r="J747" s="6">
        <v>0</v>
      </c>
      <c r="K747" s="6">
        <v>0</v>
      </c>
      <c r="L747" s="6">
        <v>30.585999999999999</v>
      </c>
      <c r="M747" s="6">
        <v>30.585999999999999</v>
      </c>
      <c r="N747" s="6">
        <v>30.585999999999999</v>
      </c>
      <c r="O747" s="6">
        <v>30.585999999999999</v>
      </c>
      <c r="P747" s="6">
        <v>464</v>
      </c>
      <c r="Q747" s="4" t="s">
        <v>26</v>
      </c>
      <c r="R747" s="4">
        <v>0</v>
      </c>
      <c r="S747" s="6">
        <v>0</v>
      </c>
      <c r="T747" s="6">
        <v>34</v>
      </c>
      <c r="U747" s="6">
        <v>75</v>
      </c>
      <c r="V747" s="6">
        <f>IF(ISERROR(VLOOKUP($S$747,'TAR FIN'!$A$1:$O$103,15,0)),0,VLOOKUP($S$747,'TAR FIN'!$A$1:$O$103,15,0))</f>
        <v>0</v>
      </c>
      <c r="W747" s="6">
        <f>IF(ISERROR(VLOOKUP($T$747,'TAR FIN'!$A$1:$O$103,15,0)),0,VLOOKUP($T$747,'TAR FIN'!$A$1:$O$103,15,0))</f>
        <v>195.8</v>
      </c>
      <c r="X747" s="6">
        <f>IF(ISERROR(VLOOKUP($U$747,'TAR FIN'!$A$1:$O$103,15,0)),0,VLOOKUP($U$747,'TAR FIN'!$A$1:$O$103,15,0))</f>
        <v>288.89999999999998</v>
      </c>
      <c r="Y747" s="6"/>
      <c r="Z747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7" s="6">
        <f>('TE BE'!$AB$18+'TE BF'!$AB$18+'TE CVA'!$AB$18)*(1-CUSTOS!$M$37)</f>
        <v>272.03825149820085</v>
      </c>
      <c r="AB747" s="6">
        <f>$K$747*$V$747</f>
        <v>0</v>
      </c>
      <c r="AC747" s="6">
        <f>$M$747*$W$747</f>
        <v>5988.7388000000001</v>
      </c>
      <c r="AD747" s="6">
        <f>$O$747*$X$747</f>
        <v>8836.2953999999991</v>
      </c>
      <c r="AE747" s="6">
        <f>$K$747*$Y$747</f>
        <v>0</v>
      </c>
      <c r="AF747" s="6">
        <f ca="1">$M$747*$Z$747</f>
        <v>7402.4330035135617</v>
      </c>
      <c r="AG747" s="6">
        <f>$O$747*$AA$747</f>
        <v>8320.5619603239702</v>
      </c>
    </row>
    <row r="748" spans="1:33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32</v>
      </c>
      <c r="F748" s="4" t="s">
        <v>25</v>
      </c>
      <c r="G748" s="4" t="s">
        <v>25</v>
      </c>
      <c r="H748" s="4" t="s">
        <v>25</v>
      </c>
      <c r="I748" s="5">
        <v>44501</v>
      </c>
      <c r="J748" s="6">
        <v>0</v>
      </c>
      <c r="K748" s="6">
        <v>0</v>
      </c>
      <c r="L748" s="6">
        <v>-0.45100000000000001</v>
      </c>
      <c r="M748" s="6">
        <v>-0.45100000000000001</v>
      </c>
      <c r="N748" s="6">
        <v>-0.45100000000000001</v>
      </c>
      <c r="O748" s="6">
        <v>-0.45100000000000001</v>
      </c>
      <c r="P748" s="6">
        <v>0</v>
      </c>
      <c r="Q748" s="4" t="s">
        <v>26</v>
      </c>
      <c r="R748" s="4">
        <v>0</v>
      </c>
      <c r="S748" s="6">
        <v>0</v>
      </c>
      <c r="T748" s="6">
        <v>34</v>
      </c>
      <c r="U748" s="6">
        <v>75</v>
      </c>
      <c r="V748" s="6">
        <f>IF(ISERROR(VLOOKUP($S$748,'TAR FIN'!$A$1:$O$103,15,0)),0,VLOOKUP($S$748,'TAR FIN'!$A$1:$O$103,15,0))</f>
        <v>0</v>
      </c>
      <c r="W748" s="6">
        <f>IF(ISERROR(VLOOKUP($T$748,'TAR FIN'!$A$1:$O$103,15,0)),0,VLOOKUP($T$748,'TAR FIN'!$A$1:$O$103,15,0))</f>
        <v>195.8</v>
      </c>
      <c r="X748" s="6">
        <f>IF(ISERROR(VLOOKUP($U$748,'TAR FIN'!$A$1:$O$103,15,0)),0,VLOOKUP($U$748,'TAR FIN'!$A$1:$O$103,15,0))</f>
        <v>288.89999999999998</v>
      </c>
      <c r="Y748" s="6"/>
      <c r="Z748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8" s="6">
        <f>('TE BE'!$AB$18+'TE BF'!$AB$18+'TE CVA'!$AB$18)*(1-CUSTOS!$M$37)</f>
        <v>272.03825149820085</v>
      </c>
      <c r="AB748" s="6">
        <f>$K$748*$V$748</f>
        <v>0</v>
      </c>
      <c r="AC748" s="6">
        <f>$M$748*$W$748</f>
        <v>-88.305800000000005</v>
      </c>
      <c r="AD748" s="6">
        <f>$O$748*$X$748</f>
        <v>-130.29389999999998</v>
      </c>
      <c r="AE748" s="6">
        <f>$K$748*$Y$748</f>
        <v>0</v>
      </c>
      <c r="AF748" s="6">
        <f ca="1">$M$748*$Z$748</f>
        <v>-109.15115688826968</v>
      </c>
      <c r="AG748" s="6">
        <f>$O$748*$AA$748</f>
        <v>-122.68925142568858</v>
      </c>
    </row>
    <row r="749" spans="1:33" ht="11.25" customHeight="1" x14ac:dyDescent="0.25">
      <c r="A749" s="4" t="s">
        <v>21</v>
      </c>
      <c r="B749" s="4" t="s">
        <v>22</v>
      </c>
      <c r="C749" s="4" t="s">
        <v>23</v>
      </c>
      <c r="D749" s="4" t="s">
        <v>24</v>
      </c>
      <c r="E749" s="4" t="s">
        <v>32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25.991</v>
      </c>
      <c r="M749" s="6">
        <v>25.991</v>
      </c>
      <c r="N749" s="6">
        <v>25.991</v>
      </c>
      <c r="O749" s="6">
        <v>25.991</v>
      </c>
      <c r="P749" s="6">
        <v>398</v>
      </c>
      <c r="Q749" s="4" t="s">
        <v>26</v>
      </c>
      <c r="R749" s="4">
        <v>0</v>
      </c>
      <c r="S749" s="6">
        <v>0</v>
      </c>
      <c r="T749" s="6">
        <v>34</v>
      </c>
      <c r="U749" s="6">
        <v>75</v>
      </c>
      <c r="V749" s="6">
        <f>IF(ISERROR(VLOOKUP($S$749,'TAR FIN'!$A$1:$O$103,15,0)),0,VLOOKUP($S$749,'TAR FIN'!$A$1:$O$103,15,0))</f>
        <v>0</v>
      </c>
      <c r="W749" s="6">
        <f>IF(ISERROR(VLOOKUP($T$749,'TAR FIN'!$A$1:$O$103,15,0)),0,VLOOKUP($T$749,'TAR FIN'!$A$1:$O$103,15,0))</f>
        <v>195.8</v>
      </c>
      <c r="X749" s="6">
        <f>IF(ISERROR(VLOOKUP($U$749,'TAR FIN'!$A$1:$O$103,15,0)),0,VLOOKUP($U$749,'TAR FIN'!$A$1:$O$103,15,0))</f>
        <v>288.89999999999998</v>
      </c>
      <c r="Y749" s="6"/>
      <c r="Z749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49" s="6">
        <f>('TE BE'!$AB$18+'TE BF'!$AB$18+'TE CVA'!$AB$18)*(1-CUSTOS!$M$37)</f>
        <v>272.03825149820085</v>
      </c>
      <c r="AB749" s="6">
        <f>$K$749*$V$749</f>
        <v>0</v>
      </c>
      <c r="AC749" s="6">
        <f>$M$749*$W$749</f>
        <v>5089.0378000000001</v>
      </c>
      <c r="AD749" s="6">
        <f>$O$749*$X$749</f>
        <v>7508.7998999999991</v>
      </c>
      <c r="AE749" s="6">
        <f>$K$749*$Y$749</f>
        <v>0</v>
      </c>
      <c r="AF749" s="6">
        <f ca="1">$M$749*$Z$749</f>
        <v>6290.3497088315244</v>
      </c>
      <c r="AG749" s="6">
        <f>$O$749*$AA$749</f>
        <v>7070.5461946897385</v>
      </c>
    </row>
    <row r="750" spans="1:33" ht="11.25" customHeight="1" x14ac:dyDescent="0.25">
      <c r="A750" s="4" t="s">
        <v>27</v>
      </c>
      <c r="B750" s="4" t="s">
        <v>22</v>
      </c>
      <c r="C750" s="4" t="s">
        <v>23</v>
      </c>
      <c r="D750" s="4" t="s">
        <v>24</v>
      </c>
      <c r="E750" s="4" t="s">
        <v>32</v>
      </c>
      <c r="F750" s="4" t="s">
        <v>25</v>
      </c>
      <c r="G750" s="4" t="s">
        <v>25</v>
      </c>
      <c r="H750" s="4" t="s">
        <v>25</v>
      </c>
      <c r="I750" s="5">
        <v>44531</v>
      </c>
      <c r="J750" s="6">
        <v>0</v>
      </c>
      <c r="K750" s="6">
        <v>0</v>
      </c>
      <c r="L750" s="6">
        <v>-7.0000000000000001E-3</v>
      </c>
      <c r="M750" s="6">
        <v>-7.0000000000000001E-3</v>
      </c>
      <c r="N750" s="6">
        <v>-7.0000000000000001E-3</v>
      </c>
      <c r="O750" s="6">
        <v>-7.0000000000000001E-3</v>
      </c>
      <c r="P750" s="6">
        <v>0</v>
      </c>
      <c r="Q750" s="4" t="s">
        <v>26</v>
      </c>
      <c r="R750" s="4">
        <v>0</v>
      </c>
      <c r="S750" s="6">
        <v>0</v>
      </c>
      <c r="T750" s="6">
        <v>34</v>
      </c>
      <c r="U750" s="6">
        <v>75</v>
      </c>
      <c r="V750" s="6">
        <f>IF(ISERROR(VLOOKUP($S$750,'TAR FIN'!$A$1:$O$103,15,0)),0,VLOOKUP($S$750,'TAR FIN'!$A$1:$O$103,15,0))</f>
        <v>0</v>
      </c>
      <c r="W750" s="6">
        <f>IF(ISERROR(VLOOKUP($T$750,'TAR FIN'!$A$1:$O$103,15,0)),0,VLOOKUP($T$750,'TAR FIN'!$A$1:$O$103,15,0))</f>
        <v>195.8</v>
      </c>
      <c r="X750" s="6">
        <f>IF(ISERROR(VLOOKUP($U$750,'TAR FIN'!$A$1:$O$103,15,0)),0,VLOOKUP($U$750,'TAR FIN'!$A$1:$O$103,15,0))</f>
        <v>288.89999999999998</v>
      </c>
      <c r="Y750" s="6"/>
      <c r="Z750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0" s="6">
        <f>('TE BE'!$AB$18+'TE BF'!$AB$18+'TE CVA'!$AB$18)*(1-CUSTOS!$M$37)</f>
        <v>272.03825149820085</v>
      </c>
      <c r="AB750" s="6">
        <f>$K$750*$V$750</f>
        <v>0</v>
      </c>
      <c r="AC750" s="6">
        <f>$M$750*$W$750</f>
        <v>-1.3706</v>
      </c>
      <c r="AD750" s="6">
        <f>$O$750*$X$750</f>
        <v>-2.0223</v>
      </c>
      <c r="AE750" s="6">
        <f>$K$750*$Y$750</f>
        <v>0</v>
      </c>
      <c r="AF750" s="6">
        <f ca="1">$M$750*$Z$750</f>
        <v>-1.6941421246516359</v>
      </c>
      <c r="AG750" s="6">
        <f>$O$750*$AA$750</f>
        <v>-1.9042677604874061</v>
      </c>
    </row>
    <row r="751" spans="1:33" ht="11.25" customHeight="1" x14ac:dyDescent="0.25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32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30.13</v>
      </c>
      <c r="M751" s="6">
        <v>30.13</v>
      </c>
      <c r="N751" s="6">
        <v>30.13</v>
      </c>
      <c r="O751" s="6">
        <v>30.13</v>
      </c>
      <c r="P751" s="6">
        <v>440</v>
      </c>
      <c r="Q751" s="4" t="s">
        <v>26</v>
      </c>
      <c r="R751" s="4">
        <v>0</v>
      </c>
      <c r="S751" s="6">
        <v>0</v>
      </c>
      <c r="T751" s="6">
        <v>34</v>
      </c>
      <c r="U751" s="6">
        <v>75</v>
      </c>
      <c r="V751" s="6">
        <f>IF(ISERROR(VLOOKUP($S$751,'TAR FIN'!$A$1:$O$103,15,0)),0,VLOOKUP($S$751,'TAR FIN'!$A$1:$O$103,15,0))</f>
        <v>0</v>
      </c>
      <c r="W751" s="6">
        <f>IF(ISERROR(VLOOKUP($T$751,'TAR FIN'!$A$1:$O$103,15,0)),0,VLOOKUP($T$751,'TAR FIN'!$A$1:$O$103,15,0))</f>
        <v>195.8</v>
      </c>
      <c r="X751" s="6">
        <f>IF(ISERROR(VLOOKUP($U$751,'TAR FIN'!$A$1:$O$103,15,0)),0,VLOOKUP($U$751,'TAR FIN'!$A$1:$O$103,15,0))</f>
        <v>288.89999999999998</v>
      </c>
      <c r="Y751" s="6"/>
      <c r="Z751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1" s="6">
        <f>('TE BE'!$AB$18+'TE BF'!$AB$18+'TE CVA'!$AB$18)*(1-CUSTOS!$M$37)</f>
        <v>272.03825149820085</v>
      </c>
      <c r="AB751" s="6">
        <f>$K$751*$V$751</f>
        <v>0</v>
      </c>
      <c r="AC751" s="6">
        <f>$M$751*$W$751</f>
        <v>5899.4539999999997</v>
      </c>
      <c r="AD751" s="6">
        <f>$O$751*$X$751</f>
        <v>8704.5569999999989</v>
      </c>
      <c r="AE751" s="6">
        <f>$K$751*$Y$751</f>
        <v>0</v>
      </c>
      <c r="AF751" s="6">
        <f ca="1">$M$751*$Z$751</f>
        <v>7292.0717451076844</v>
      </c>
      <c r="AG751" s="6">
        <f>$O$751*$AA$751</f>
        <v>8196.512517640791</v>
      </c>
    </row>
    <row r="752" spans="1:33" ht="11.25" customHeight="1" x14ac:dyDescent="0.25">
      <c r="A752" s="4" t="s">
        <v>27</v>
      </c>
      <c r="B752" s="4" t="s">
        <v>22</v>
      </c>
      <c r="C752" s="4" t="s">
        <v>23</v>
      </c>
      <c r="D752" s="4" t="s">
        <v>24</v>
      </c>
      <c r="E752" s="4" t="s">
        <v>32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-0.183</v>
      </c>
      <c r="M752" s="6">
        <v>-0.183</v>
      </c>
      <c r="N752" s="6">
        <v>-0.183</v>
      </c>
      <c r="O752" s="6">
        <v>-0.183</v>
      </c>
      <c r="P752" s="6">
        <v>0</v>
      </c>
      <c r="Q752" s="4" t="s">
        <v>26</v>
      </c>
      <c r="R752" s="4">
        <v>0</v>
      </c>
      <c r="S752" s="6">
        <v>0</v>
      </c>
      <c r="T752" s="6">
        <v>34</v>
      </c>
      <c r="U752" s="6">
        <v>75</v>
      </c>
      <c r="V752" s="6">
        <f>IF(ISERROR(VLOOKUP($S$752,'TAR FIN'!$A$1:$O$103,15,0)),0,VLOOKUP($S$752,'TAR FIN'!$A$1:$O$103,15,0))</f>
        <v>0</v>
      </c>
      <c r="W752" s="6">
        <f>IF(ISERROR(VLOOKUP($T$752,'TAR FIN'!$A$1:$O$103,15,0)),0,VLOOKUP($T$752,'TAR FIN'!$A$1:$O$103,15,0))</f>
        <v>195.8</v>
      </c>
      <c r="X752" s="6">
        <f>IF(ISERROR(VLOOKUP($U$752,'TAR FIN'!$A$1:$O$103,15,0)),0,VLOOKUP($U$752,'TAR FIN'!$A$1:$O$103,15,0))</f>
        <v>288.89999999999998</v>
      </c>
      <c r="Y752" s="6"/>
      <c r="Z752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2" s="6">
        <f>('TE BE'!$AB$18+'TE BF'!$AB$18+'TE CVA'!$AB$18)*(1-CUSTOS!$M$37)</f>
        <v>272.03825149820085</v>
      </c>
      <c r="AB752" s="6">
        <f>$K$752*$V$752</f>
        <v>0</v>
      </c>
      <c r="AC752" s="6">
        <f>$M$752*$W$752</f>
        <v>-35.831400000000002</v>
      </c>
      <c r="AD752" s="6">
        <f>$O$752*$X$752</f>
        <v>-52.868699999999997</v>
      </c>
      <c r="AE752" s="6">
        <f>$K$752*$Y$752</f>
        <v>0</v>
      </c>
      <c r="AF752" s="6">
        <f ca="1">$M$752*$Z$752</f>
        <v>-44.289715544464194</v>
      </c>
      <c r="AG752" s="6">
        <f>$O$752*$AA$752</f>
        <v>-49.783000024170754</v>
      </c>
    </row>
    <row r="753" spans="1:33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32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41.759</v>
      </c>
      <c r="M753" s="6">
        <v>41.759</v>
      </c>
      <c r="N753" s="6">
        <v>41.759</v>
      </c>
      <c r="O753" s="6">
        <v>41.759</v>
      </c>
      <c r="P753" s="6">
        <v>578</v>
      </c>
      <c r="Q753" s="4" t="s">
        <v>26</v>
      </c>
      <c r="R753" s="4">
        <v>0</v>
      </c>
      <c r="S753" s="6">
        <v>0</v>
      </c>
      <c r="T753" s="6">
        <v>34</v>
      </c>
      <c r="U753" s="6">
        <v>75</v>
      </c>
      <c r="V753" s="6">
        <f>IF(ISERROR(VLOOKUP($S$753,'TAR FIN'!$A$1:$O$103,15,0)),0,VLOOKUP($S$753,'TAR FIN'!$A$1:$O$103,15,0))</f>
        <v>0</v>
      </c>
      <c r="W753" s="6">
        <f>IF(ISERROR(VLOOKUP($T$753,'TAR FIN'!$A$1:$O$103,15,0)),0,VLOOKUP($T$753,'TAR FIN'!$A$1:$O$103,15,0))</f>
        <v>195.8</v>
      </c>
      <c r="X753" s="6">
        <f>IF(ISERROR(VLOOKUP($U$753,'TAR FIN'!$A$1:$O$103,15,0)),0,VLOOKUP($U$753,'TAR FIN'!$A$1:$O$103,15,0))</f>
        <v>288.89999999999998</v>
      </c>
      <c r="Y753" s="6"/>
      <c r="Z753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3" s="6">
        <f>('TE BE'!$AB$18+'TE BF'!$AB$18+'TE CVA'!$AB$18)*(1-CUSTOS!$M$37)</f>
        <v>272.03825149820085</v>
      </c>
      <c r="AB753" s="6">
        <f>$K$753*$V$753</f>
        <v>0</v>
      </c>
      <c r="AC753" s="6">
        <f>$M$753*$W$753</f>
        <v>8176.4122000000007</v>
      </c>
      <c r="AD753" s="6">
        <f>$O$753*$X$753</f>
        <v>12064.175099999999</v>
      </c>
      <c r="AE753" s="6">
        <f>$K$753*$Y$753</f>
        <v>0</v>
      </c>
      <c r="AF753" s="6">
        <f ca="1">$M$753*$Z$753</f>
        <v>10106.525854761096</v>
      </c>
      <c r="AG753" s="6">
        <f>$O$753*$AA$753</f>
        <v>11360.04534431337</v>
      </c>
    </row>
    <row r="754" spans="1:33" ht="11.25" customHeight="1" x14ac:dyDescent="0.25">
      <c r="A754" s="4" t="s">
        <v>21</v>
      </c>
      <c r="B754" s="4" t="s">
        <v>22</v>
      </c>
      <c r="C754" s="4" t="s">
        <v>23</v>
      </c>
      <c r="D754" s="4" t="s">
        <v>24</v>
      </c>
      <c r="E754" s="4" t="s">
        <v>32</v>
      </c>
      <c r="F754" s="4" t="s">
        <v>25</v>
      </c>
      <c r="G754" s="4" t="s">
        <v>25</v>
      </c>
      <c r="H754" s="4" t="s">
        <v>25</v>
      </c>
      <c r="I754" s="5">
        <v>44621</v>
      </c>
      <c r="J754" s="6">
        <v>0</v>
      </c>
      <c r="K754" s="6">
        <v>0</v>
      </c>
      <c r="L754" s="6">
        <v>43.734999999999999</v>
      </c>
      <c r="M754" s="6">
        <v>43.734999999999999</v>
      </c>
      <c r="N754" s="6">
        <v>43.734999999999999</v>
      </c>
      <c r="O754" s="6">
        <v>43.734999999999999</v>
      </c>
      <c r="P754" s="6">
        <v>572</v>
      </c>
      <c r="Q754" s="4" t="s">
        <v>26</v>
      </c>
      <c r="R754" s="4">
        <v>0</v>
      </c>
      <c r="S754" s="6">
        <v>0</v>
      </c>
      <c r="T754" s="6">
        <v>34</v>
      </c>
      <c r="U754" s="6">
        <v>75</v>
      </c>
      <c r="V754" s="6">
        <f>IF(ISERROR(VLOOKUP($S$754,'TAR FIN'!$A$1:$O$103,15,0)),0,VLOOKUP($S$754,'TAR FIN'!$A$1:$O$103,15,0))</f>
        <v>0</v>
      </c>
      <c r="W754" s="6">
        <f>IF(ISERROR(VLOOKUP($T$754,'TAR FIN'!$A$1:$O$103,15,0)),0,VLOOKUP($T$754,'TAR FIN'!$A$1:$O$103,15,0))</f>
        <v>195.8</v>
      </c>
      <c r="X754" s="6">
        <f>IF(ISERROR(VLOOKUP($U$754,'TAR FIN'!$A$1:$O$103,15,0)),0,VLOOKUP($U$754,'TAR FIN'!$A$1:$O$103,15,0))</f>
        <v>288.89999999999998</v>
      </c>
      <c r="Y754" s="6"/>
      <c r="Z754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4" s="6">
        <f>('TE BE'!$AB$18+'TE BF'!$AB$18+'TE CVA'!$AB$18)*(1-CUSTOS!$M$37)</f>
        <v>272.03825149820085</v>
      </c>
      <c r="AB754" s="6">
        <f>$K$754*$V$754</f>
        <v>0</v>
      </c>
      <c r="AC754" s="6">
        <f>$M$754*$W$754</f>
        <v>8563.3130000000001</v>
      </c>
      <c r="AD754" s="6">
        <f>$O$754*$X$754</f>
        <v>12635.041499999999</v>
      </c>
      <c r="AE754" s="6">
        <f>$K$754*$Y$754</f>
        <v>0</v>
      </c>
      <c r="AF754" s="6">
        <f ca="1">$M$754*$Z$754</f>
        <v>10584.7579745199</v>
      </c>
      <c r="AG754" s="6">
        <f>$O$754*$AA$754</f>
        <v>11897.592929273815</v>
      </c>
    </row>
    <row r="755" spans="1:33" ht="11.25" customHeight="1" x14ac:dyDescent="0.25">
      <c r="A755" s="4" t="s">
        <v>21</v>
      </c>
      <c r="B755" s="4" t="s">
        <v>22</v>
      </c>
      <c r="C755" s="4" t="s">
        <v>23</v>
      </c>
      <c r="D755" s="4" t="s">
        <v>24</v>
      </c>
      <c r="E755" s="4" t="s">
        <v>32</v>
      </c>
      <c r="F755" s="4" t="s">
        <v>25</v>
      </c>
      <c r="G755" s="4" t="s">
        <v>25</v>
      </c>
      <c r="H755" s="4" t="s">
        <v>25</v>
      </c>
      <c r="I755" s="5">
        <v>44652</v>
      </c>
      <c r="J755" s="6">
        <v>0</v>
      </c>
      <c r="K755" s="6">
        <v>0</v>
      </c>
      <c r="L755" s="6">
        <v>34.807000000000002</v>
      </c>
      <c r="M755" s="6">
        <v>34.807000000000002</v>
      </c>
      <c r="N755" s="6">
        <v>34.807000000000002</v>
      </c>
      <c r="O755" s="6">
        <v>34.807000000000002</v>
      </c>
      <c r="P755" s="6">
        <v>514</v>
      </c>
      <c r="Q755" s="4" t="s">
        <v>26</v>
      </c>
      <c r="R755" s="4">
        <v>0</v>
      </c>
      <c r="S755" s="6">
        <v>0</v>
      </c>
      <c r="T755" s="6">
        <v>34</v>
      </c>
      <c r="U755" s="6">
        <v>75</v>
      </c>
      <c r="V755" s="6">
        <f>IF(ISERROR(VLOOKUP($S$755,'TAR FIN'!$A$1:$O$103,15,0)),0,VLOOKUP($S$755,'TAR FIN'!$A$1:$O$103,15,0))</f>
        <v>0</v>
      </c>
      <c r="W755" s="6">
        <f>IF(ISERROR(VLOOKUP($T$755,'TAR FIN'!$A$1:$O$103,15,0)),0,VLOOKUP($T$755,'TAR FIN'!$A$1:$O$103,15,0))</f>
        <v>195.8</v>
      </c>
      <c r="X755" s="6">
        <f>IF(ISERROR(VLOOKUP($U$755,'TAR FIN'!$A$1:$O$103,15,0)),0,VLOOKUP($U$755,'TAR FIN'!$A$1:$O$103,15,0))</f>
        <v>288.89999999999998</v>
      </c>
      <c r="Y755" s="6"/>
      <c r="Z755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5" s="6">
        <f>('TE BE'!$AB$18+'TE BF'!$AB$18+'TE CVA'!$AB$18)*(1-CUSTOS!$M$37)</f>
        <v>272.03825149820085</v>
      </c>
      <c r="AB755" s="6">
        <f>$K$755*$V$755</f>
        <v>0</v>
      </c>
      <c r="AC755" s="6">
        <f>$M$755*$W$755</f>
        <v>6815.2106000000013</v>
      </c>
      <c r="AD755" s="6">
        <f>$O$755*$X$755</f>
        <v>10055.7423</v>
      </c>
      <c r="AE755" s="6">
        <f>$K$755*$Y$755</f>
        <v>0</v>
      </c>
      <c r="AF755" s="6">
        <f ca="1">$M$755*$Z$755</f>
        <v>8424.0007046784995</v>
      </c>
      <c r="AG755" s="6">
        <f>$O$755*$AA$755</f>
        <v>9468.8354198978777</v>
      </c>
    </row>
    <row r="756" spans="1:3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32</v>
      </c>
      <c r="F756" s="4" t="s">
        <v>25</v>
      </c>
      <c r="G756" s="4" t="s">
        <v>25</v>
      </c>
      <c r="H756" s="4" t="s">
        <v>25</v>
      </c>
      <c r="I756" s="5">
        <v>44682</v>
      </c>
      <c r="J756" s="6">
        <v>0</v>
      </c>
      <c r="K756" s="6">
        <v>0</v>
      </c>
      <c r="L756" s="6">
        <v>37.749000000000002</v>
      </c>
      <c r="M756" s="6">
        <v>37.749000000000002</v>
      </c>
      <c r="N756" s="6">
        <v>37.749000000000002</v>
      </c>
      <c r="O756" s="6">
        <v>37.749000000000002</v>
      </c>
      <c r="P756" s="6">
        <v>540</v>
      </c>
      <c r="Q756" s="4" t="s">
        <v>26</v>
      </c>
      <c r="R756" s="4">
        <v>0</v>
      </c>
      <c r="S756" s="6">
        <v>0</v>
      </c>
      <c r="T756" s="6">
        <v>34</v>
      </c>
      <c r="U756" s="6">
        <v>75</v>
      </c>
      <c r="V756" s="6">
        <f>IF(ISERROR(VLOOKUP($S$756,'TAR FIN'!$A$1:$O$103,15,0)),0,VLOOKUP($S$756,'TAR FIN'!$A$1:$O$103,15,0))</f>
        <v>0</v>
      </c>
      <c r="W756" s="6">
        <f>IF(ISERROR(VLOOKUP($T$756,'TAR FIN'!$A$1:$O$103,15,0)),0,VLOOKUP($T$756,'TAR FIN'!$A$1:$O$103,15,0))</f>
        <v>195.8</v>
      </c>
      <c r="X756" s="6">
        <f>IF(ISERROR(VLOOKUP($U$756,'TAR FIN'!$A$1:$O$103,15,0)),0,VLOOKUP($U$756,'TAR FIN'!$A$1:$O$103,15,0))</f>
        <v>288.89999999999998</v>
      </c>
      <c r="Y756" s="6"/>
      <c r="Z756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6" s="6">
        <f>('TE BE'!$AB$18+'TE BF'!$AB$18+'TE CVA'!$AB$18)*(1-CUSTOS!$M$37)</f>
        <v>272.03825149820085</v>
      </c>
      <c r="AB756" s="6">
        <f>$K$756*$V$756</f>
        <v>0</v>
      </c>
      <c r="AC756" s="6">
        <f>$M$756*$W$756</f>
        <v>7391.2542000000012</v>
      </c>
      <c r="AD756" s="6">
        <f>$O$756*$X$756</f>
        <v>10905.686099999999</v>
      </c>
      <c r="AE756" s="6">
        <f>$K$756*$Y$756</f>
        <v>0</v>
      </c>
      <c r="AF756" s="6">
        <f ca="1">$M$756*$Z$756</f>
        <v>9136.0244376392293</v>
      </c>
      <c r="AG756" s="6">
        <f>$O$756*$AA$756</f>
        <v>10269.171955805585</v>
      </c>
    </row>
    <row r="757" spans="1:3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32</v>
      </c>
      <c r="F757" s="4" t="s">
        <v>25</v>
      </c>
      <c r="G757" s="4" t="s">
        <v>25</v>
      </c>
      <c r="H757" s="4" t="s">
        <v>25</v>
      </c>
      <c r="I757" s="5">
        <v>44682</v>
      </c>
      <c r="J757" s="6">
        <v>0</v>
      </c>
      <c r="K757" s="6">
        <v>0</v>
      </c>
      <c r="L757" s="6">
        <v>-0.39300000000000002</v>
      </c>
      <c r="M757" s="6">
        <v>-0.39300000000000002</v>
      </c>
      <c r="N757" s="6">
        <v>-0.39300000000000002</v>
      </c>
      <c r="O757" s="6">
        <v>-0.39300000000000002</v>
      </c>
      <c r="P757" s="6">
        <v>0</v>
      </c>
      <c r="Q757" s="4" t="s">
        <v>26</v>
      </c>
      <c r="R757" s="4">
        <v>0</v>
      </c>
      <c r="S757" s="6">
        <v>0</v>
      </c>
      <c r="T757" s="6">
        <v>34</v>
      </c>
      <c r="U757" s="6">
        <v>75</v>
      </c>
      <c r="V757" s="6">
        <f>IF(ISERROR(VLOOKUP($S$757,'TAR FIN'!$A$1:$O$103,15,0)),0,VLOOKUP($S$757,'TAR FIN'!$A$1:$O$103,15,0))</f>
        <v>0</v>
      </c>
      <c r="W757" s="6">
        <f>IF(ISERROR(VLOOKUP($T$757,'TAR FIN'!$A$1:$O$103,15,0)),0,VLOOKUP($T$757,'TAR FIN'!$A$1:$O$103,15,0))</f>
        <v>195.8</v>
      </c>
      <c r="X757" s="6">
        <f>IF(ISERROR(VLOOKUP($U$757,'TAR FIN'!$A$1:$O$103,15,0)),0,VLOOKUP($U$757,'TAR FIN'!$A$1:$O$103,15,0))</f>
        <v>288.89999999999998</v>
      </c>
      <c r="Y757" s="6"/>
      <c r="Z757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757" s="6">
        <f>('TE BE'!$AB$18+'TE BF'!$AB$18+'TE CVA'!$AB$18)*(1-CUSTOS!$M$37)</f>
        <v>272.03825149820085</v>
      </c>
      <c r="AB757" s="6">
        <f>$K$757*$V$757</f>
        <v>0</v>
      </c>
      <c r="AC757" s="6">
        <f>$M$757*$W$757</f>
        <v>-76.949400000000011</v>
      </c>
      <c r="AD757" s="6">
        <f>$O$757*$X$757</f>
        <v>-113.5377</v>
      </c>
      <c r="AE757" s="6">
        <f>$K$757*$Y$757</f>
        <v>0</v>
      </c>
      <c r="AF757" s="6">
        <f ca="1">$M$757*$Z$757</f>
        <v>-95.113979284013283</v>
      </c>
      <c r="AG757" s="6">
        <f>$O$757*$AA$757</f>
        <v>-106.91103283879293</v>
      </c>
    </row>
    <row r="758" spans="1:33" ht="11.25" customHeight="1" x14ac:dyDescent="0.25">
      <c r="A758" s="4" t="s">
        <v>21</v>
      </c>
      <c r="B758" s="4" t="s">
        <v>44</v>
      </c>
      <c r="C758" s="4" t="s">
        <v>23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44348</v>
      </c>
      <c r="J758" s="6">
        <v>0</v>
      </c>
      <c r="K758" s="6">
        <v>0</v>
      </c>
      <c r="L758" s="6">
        <v>538.70600000000002</v>
      </c>
      <c r="M758" s="6">
        <v>538.70600000000002</v>
      </c>
      <c r="N758" s="6">
        <v>538.70600000000002</v>
      </c>
      <c r="O758" s="6">
        <v>538.70600000000002</v>
      </c>
      <c r="P758" s="6">
        <v>1770</v>
      </c>
      <c r="Q758" s="4" t="s">
        <v>26</v>
      </c>
      <c r="R758" s="4">
        <v>0</v>
      </c>
      <c r="S758" s="6">
        <v>0</v>
      </c>
      <c r="T758" s="6">
        <v>43</v>
      </c>
      <c r="U758" s="6">
        <v>84</v>
      </c>
      <c r="V758" s="6">
        <f>IF(ISERROR(VLOOKUP($S$758,'TAR FIN'!$A$1:$O$103,15,0)),0,VLOOKUP($S$758,'TAR FIN'!$A$1:$O$103,15,0))</f>
        <v>0</v>
      </c>
      <c r="W758" s="6">
        <f>IF(ISERROR(VLOOKUP($T$758,'TAR FIN'!$A$1:$O$103,15,0)),0,VLOOKUP($T$758,'TAR FIN'!$A$1:$O$103,15,0))</f>
        <v>237.52</v>
      </c>
      <c r="X758" s="6">
        <f>IF(ISERROR(VLOOKUP($U$758,'TAR FIN'!$A$1:$O$103,15,0)),0,VLOOKUP($U$758,'TAR FIN'!$A$1:$O$103,15,0))</f>
        <v>254.23</v>
      </c>
      <c r="Y758" s="6"/>
      <c r="Z758" s="6">
        <f ca="1">('TUSD BE'!$AM$43+'TUSD BF'!$AM$43+'TUSD CVA'!$AM$43)*(1-CUSTOS!$M$38)</f>
        <v>340.73849544844359</v>
      </c>
      <c r="AA758" s="6">
        <f>('TE BE'!$AB$27+'TE BF'!$AB$27+'TE CVA'!$AB$27)*(1-CUSTOS!$M$38)</f>
        <v>255.71595640830878</v>
      </c>
      <c r="AB758" s="6">
        <f>$K$758*$V$758</f>
        <v>0</v>
      </c>
      <c r="AC758" s="6">
        <f>$M$758*$W$758</f>
        <v>127953.44912</v>
      </c>
      <c r="AD758" s="6">
        <f>$O$758*$X$758</f>
        <v>136955.22638000001</v>
      </c>
      <c r="AE758" s="6">
        <f>$K$758*$Y$758</f>
        <v>0</v>
      </c>
      <c r="AF758" s="6">
        <f ca="1">$M$758*$Z$758</f>
        <v>183557.87192904926</v>
      </c>
      <c r="AG758" s="6">
        <f>$O$758*$AA$758</f>
        <v>137755.7200128944</v>
      </c>
    </row>
    <row r="759" spans="1:33" ht="11.25" customHeight="1" x14ac:dyDescent="0.25">
      <c r="A759" s="4" t="s">
        <v>27</v>
      </c>
      <c r="B759" s="4" t="s">
        <v>44</v>
      </c>
      <c r="C759" s="4" t="s">
        <v>23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44348</v>
      </c>
      <c r="J759" s="6">
        <v>0</v>
      </c>
      <c r="K759" s="6">
        <v>0</v>
      </c>
      <c r="L759" s="6">
        <v>0.57799999999999996</v>
      </c>
      <c r="M759" s="6">
        <v>0.57799999999999996</v>
      </c>
      <c r="N759" s="6">
        <v>0.57799999999999996</v>
      </c>
      <c r="O759" s="6">
        <v>0.57799999999999996</v>
      </c>
      <c r="P759" s="6">
        <v>0</v>
      </c>
      <c r="Q759" s="4" t="s">
        <v>26</v>
      </c>
      <c r="R759" s="4">
        <v>0</v>
      </c>
      <c r="S759" s="6">
        <v>0</v>
      </c>
      <c r="T759" s="6">
        <v>43</v>
      </c>
      <c r="U759" s="6">
        <v>84</v>
      </c>
      <c r="V759" s="6">
        <f>IF(ISERROR(VLOOKUP($S$759,'TAR FIN'!$A$1:$O$103,15,0)),0,VLOOKUP($S$759,'TAR FIN'!$A$1:$O$103,15,0))</f>
        <v>0</v>
      </c>
      <c r="W759" s="6">
        <f>IF(ISERROR(VLOOKUP($T$759,'TAR FIN'!$A$1:$O$103,15,0)),0,VLOOKUP($T$759,'TAR FIN'!$A$1:$O$103,15,0))</f>
        <v>237.52</v>
      </c>
      <c r="X759" s="6">
        <f>IF(ISERROR(VLOOKUP($U$759,'TAR FIN'!$A$1:$O$103,15,0)),0,VLOOKUP($U$759,'TAR FIN'!$A$1:$O$103,15,0))</f>
        <v>254.23</v>
      </c>
      <c r="Y759" s="6"/>
      <c r="Z759" s="6">
        <f ca="1">('TUSD BE'!$AM$43+'TUSD BF'!$AM$43+'TUSD CVA'!$AM$43)*(1-CUSTOS!$M$38)</f>
        <v>340.73849544844359</v>
      </c>
      <c r="AA759" s="6">
        <f>('TE BE'!$AB$27+'TE BF'!$AB$27+'TE CVA'!$AB$27)*(1-CUSTOS!$M$38)</f>
        <v>255.71595640830878</v>
      </c>
      <c r="AB759" s="6">
        <f>$K$759*$V$759</f>
        <v>0</v>
      </c>
      <c r="AC759" s="6">
        <f>$M$759*$W$759</f>
        <v>137.28656000000001</v>
      </c>
      <c r="AD759" s="6">
        <f>$O$759*$X$759</f>
        <v>146.94493999999997</v>
      </c>
      <c r="AE759" s="6">
        <f>$K$759*$Y$759</f>
        <v>0</v>
      </c>
      <c r="AF759" s="6">
        <f ca="1">$M$759*$Z$759</f>
        <v>196.94685036920038</v>
      </c>
      <c r="AG759" s="6">
        <f>$O$759*$AA$759</f>
        <v>147.80382280400246</v>
      </c>
    </row>
    <row r="760" spans="1:33" ht="11.25" customHeight="1" x14ac:dyDescent="0.25">
      <c r="A760" s="4" t="s">
        <v>28</v>
      </c>
      <c r="B760" s="4" t="s">
        <v>44</v>
      </c>
      <c r="C760" s="4" t="s">
        <v>23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44348</v>
      </c>
      <c r="J760" s="6">
        <v>0</v>
      </c>
      <c r="K760" s="6">
        <v>0</v>
      </c>
      <c r="L760" s="6">
        <v>1.46</v>
      </c>
      <c r="M760" s="6">
        <v>1.46</v>
      </c>
      <c r="N760" s="6">
        <v>1.46</v>
      </c>
      <c r="O760" s="6">
        <v>1.46</v>
      </c>
      <c r="P760" s="6">
        <v>8</v>
      </c>
      <c r="Q760" s="4" t="s">
        <v>26</v>
      </c>
      <c r="R760" s="4">
        <v>0</v>
      </c>
      <c r="S760" s="6">
        <v>0</v>
      </c>
      <c r="T760" s="6">
        <v>43</v>
      </c>
      <c r="U760" s="6">
        <v>84</v>
      </c>
      <c r="V760" s="6">
        <f>IF(ISERROR(VLOOKUP($S$760,'TAR FIN'!$A$1:$O$103,15,0)),0,VLOOKUP($S$760,'TAR FIN'!$A$1:$O$103,15,0))</f>
        <v>0</v>
      </c>
      <c r="W760" s="6">
        <f>IF(ISERROR(VLOOKUP($T$760,'TAR FIN'!$A$1:$O$103,15,0)),0,VLOOKUP($T$760,'TAR FIN'!$A$1:$O$103,15,0))</f>
        <v>237.52</v>
      </c>
      <c r="X760" s="6">
        <f>IF(ISERROR(VLOOKUP($U$760,'TAR FIN'!$A$1:$O$103,15,0)),0,VLOOKUP($U$760,'TAR FIN'!$A$1:$O$103,15,0))</f>
        <v>254.23</v>
      </c>
      <c r="Y760" s="6"/>
      <c r="Z760" s="6">
        <f ca="1">('TUSD BE'!$AM$43+'TUSD BF'!$AM$43+'TUSD CVA'!$AM$43)*(1-CUSTOS!$M$38)</f>
        <v>340.73849544844359</v>
      </c>
      <c r="AA760" s="6">
        <f>('TE BE'!$AB$27+'TE BF'!$AB$27+'TE CVA'!$AB$27)*(1-CUSTOS!$M$38)</f>
        <v>255.71595640830878</v>
      </c>
      <c r="AB760" s="6">
        <f>$K$760*$V$760</f>
        <v>0</v>
      </c>
      <c r="AC760" s="6">
        <f>$M$760*$W$760</f>
        <v>346.7792</v>
      </c>
      <c r="AD760" s="6">
        <f>$O$760*$X$760</f>
        <v>371.17579999999998</v>
      </c>
      <c r="AE760" s="6">
        <f>$K$760*$Y$760</f>
        <v>0</v>
      </c>
      <c r="AF760" s="6">
        <f ca="1">$M$760*$Z$760</f>
        <v>497.47820335472761</v>
      </c>
      <c r="AG760" s="6">
        <f>$O$760*$AA$760</f>
        <v>373.3452963561308</v>
      </c>
    </row>
    <row r="761" spans="1:33" ht="11.25" customHeight="1" x14ac:dyDescent="0.25">
      <c r="A761" s="4" t="s">
        <v>21</v>
      </c>
      <c r="B761" s="4" t="s">
        <v>44</v>
      </c>
      <c r="C761" s="4" t="s">
        <v>23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44378</v>
      </c>
      <c r="J761" s="6">
        <v>0</v>
      </c>
      <c r="K761" s="6">
        <v>0</v>
      </c>
      <c r="L761" s="6">
        <v>562.96199999999999</v>
      </c>
      <c r="M761" s="6">
        <v>562.96199999999999</v>
      </c>
      <c r="N761" s="6">
        <v>562.96199999999999</v>
      </c>
      <c r="O761" s="6">
        <v>562.96199999999999</v>
      </c>
      <c r="P761" s="6">
        <v>1772</v>
      </c>
      <c r="Q761" s="4" t="s">
        <v>26</v>
      </c>
      <c r="R761" s="4">
        <v>0</v>
      </c>
      <c r="S761" s="6">
        <v>0</v>
      </c>
      <c r="T761" s="6">
        <v>43</v>
      </c>
      <c r="U761" s="6">
        <v>84</v>
      </c>
      <c r="V761" s="6">
        <f>IF(ISERROR(VLOOKUP($S$761,'TAR FIN'!$A$1:$O$103,15,0)),0,VLOOKUP($S$761,'TAR FIN'!$A$1:$O$103,15,0))</f>
        <v>0</v>
      </c>
      <c r="W761" s="6">
        <f>IF(ISERROR(VLOOKUP($T$761,'TAR FIN'!$A$1:$O$103,15,0)),0,VLOOKUP($T$761,'TAR FIN'!$A$1:$O$103,15,0))</f>
        <v>237.52</v>
      </c>
      <c r="X761" s="6">
        <f>IF(ISERROR(VLOOKUP($U$761,'TAR FIN'!$A$1:$O$103,15,0)),0,VLOOKUP($U$761,'TAR FIN'!$A$1:$O$103,15,0))</f>
        <v>254.23</v>
      </c>
      <c r="Y761" s="6"/>
      <c r="Z761" s="6">
        <f ca="1">('TUSD BE'!$AM$43+'TUSD BF'!$AM$43+'TUSD CVA'!$AM$43)*(1-CUSTOS!$M$38)</f>
        <v>340.73849544844359</v>
      </c>
      <c r="AA761" s="6">
        <f>('TE BE'!$AB$27+'TE BF'!$AB$27+'TE CVA'!$AB$27)*(1-CUSTOS!$M$38)</f>
        <v>255.71595640830878</v>
      </c>
      <c r="AB761" s="6">
        <f>$K$761*$V$761</f>
        <v>0</v>
      </c>
      <c r="AC761" s="6">
        <f>$M$761*$W$761</f>
        <v>133714.73423999999</v>
      </c>
      <c r="AD761" s="6">
        <f>$O$761*$X$761</f>
        <v>143121.82926</v>
      </c>
      <c r="AE761" s="6">
        <f>$K$761*$Y$761</f>
        <v>0</v>
      </c>
      <c r="AF761" s="6">
        <f ca="1">$M$761*$Z$761</f>
        <v>191822.8248746467</v>
      </c>
      <c r="AG761" s="6">
        <f>$O$761*$AA$761</f>
        <v>143958.36625153432</v>
      </c>
    </row>
    <row r="762" spans="1:33" ht="11.25" customHeight="1" x14ac:dyDescent="0.25">
      <c r="A762" s="4" t="s">
        <v>27</v>
      </c>
      <c r="B762" s="4" t="s">
        <v>44</v>
      </c>
      <c r="C762" s="4" t="s">
        <v>23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44378</v>
      </c>
      <c r="J762" s="6">
        <v>0</v>
      </c>
      <c r="K762" s="6">
        <v>0</v>
      </c>
      <c r="L762" s="6">
        <v>-0.11</v>
      </c>
      <c r="M762" s="6">
        <v>-0.11</v>
      </c>
      <c r="N762" s="6">
        <v>-0.11</v>
      </c>
      <c r="O762" s="6">
        <v>-0.11</v>
      </c>
      <c r="P762" s="6">
        <v>0</v>
      </c>
      <c r="Q762" s="4" t="s">
        <v>26</v>
      </c>
      <c r="R762" s="4">
        <v>0</v>
      </c>
      <c r="S762" s="6">
        <v>0</v>
      </c>
      <c r="T762" s="6">
        <v>43</v>
      </c>
      <c r="U762" s="6">
        <v>84</v>
      </c>
      <c r="V762" s="6">
        <f>IF(ISERROR(VLOOKUP($S$762,'TAR FIN'!$A$1:$O$103,15,0)),0,VLOOKUP($S$762,'TAR FIN'!$A$1:$O$103,15,0))</f>
        <v>0</v>
      </c>
      <c r="W762" s="6">
        <f>IF(ISERROR(VLOOKUP($T$762,'TAR FIN'!$A$1:$O$103,15,0)),0,VLOOKUP($T$762,'TAR FIN'!$A$1:$O$103,15,0))</f>
        <v>237.52</v>
      </c>
      <c r="X762" s="6">
        <f>IF(ISERROR(VLOOKUP($U$762,'TAR FIN'!$A$1:$O$103,15,0)),0,VLOOKUP($U$762,'TAR FIN'!$A$1:$O$103,15,0))</f>
        <v>254.23</v>
      </c>
      <c r="Y762" s="6"/>
      <c r="Z762" s="6">
        <f ca="1">('TUSD BE'!$AM$43+'TUSD BF'!$AM$43+'TUSD CVA'!$AM$43)*(1-CUSTOS!$M$38)</f>
        <v>340.73849544844359</v>
      </c>
      <c r="AA762" s="6">
        <f>('TE BE'!$AB$27+'TE BF'!$AB$27+'TE CVA'!$AB$27)*(1-CUSTOS!$M$38)</f>
        <v>255.71595640830878</v>
      </c>
      <c r="AB762" s="6">
        <f>$K$762*$V$762</f>
        <v>0</v>
      </c>
      <c r="AC762" s="6">
        <f>$M$762*$W$762</f>
        <v>-26.127200000000002</v>
      </c>
      <c r="AD762" s="6">
        <f>$O$762*$X$762</f>
        <v>-27.965299999999999</v>
      </c>
      <c r="AE762" s="6">
        <f>$K$762*$Y$762</f>
        <v>0</v>
      </c>
      <c r="AF762" s="6">
        <f ca="1">$M$762*$Z$762</f>
        <v>-37.481234499328792</v>
      </c>
      <c r="AG762" s="6">
        <f>$O$762*$AA$762</f>
        <v>-28.128755204913965</v>
      </c>
    </row>
    <row r="763" spans="1:33" ht="11.25" customHeight="1" x14ac:dyDescent="0.25">
      <c r="A763" s="4" t="s">
        <v>28</v>
      </c>
      <c r="B763" s="4" t="s">
        <v>44</v>
      </c>
      <c r="C763" s="4" t="s">
        <v>23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44378</v>
      </c>
      <c r="J763" s="6">
        <v>0</v>
      </c>
      <c r="K763" s="6">
        <v>0</v>
      </c>
      <c r="L763" s="6">
        <v>0.84199999999999997</v>
      </c>
      <c r="M763" s="6">
        <v>0.84199999999999997</v>
      </c>
      <c r="N763" s="6">
        <v>0.84199999999999997</v>
      </c>
      <c r="O763" s="6">
        <v>0.84199999999999997</v>
      </c>
      <c r="P763" s="6">
        <v>7</v>
      </c>
      <c r="Q763" s="4" t="s">
        <v>26</v>
      </c>
      <c r="R763" s="4">
        <v>0</v>
      </c>
      <c r="S763" s="6">
        <v>0</v>
      </c>
      <c r="T763" s="6">
        <v>43</v>
      </c>
      <c r="U763" s="6">
        <v>84</v>
      </c>
      <c r="V763" s="6">
        <f>IF(ISERROR(VLOOKUP($S$763,'TAR FIN'!$A$1:$O$103,15,0)),0,VLOOKUP($S$763,'TAR FIN'!$A$1:$O$103,15,0))</f>
        <v>0</v>
      </c>
      <c r="W763" s="6">
        <f>IF(ISERROR(VLOOKUP($T$763,'TAR FIN'!$A$1:$O$103,15,0)),0,VLOOKUP($T$763,'TAR FIN'!$A$1:$O$103,15,0))</f>
        <v>237.52</v>
      </c>
      <c r="X763" s="6">
        <f>IF(ISERROR(VLOOKUP($U$763,'TAR FIN'!$A$1:$O$103,15,0)),0,VLOOKUP($U$763,'TAR FIN'!$A$1:$O$103,15,0))</f>
        <v>254.23</v>
      </c>
      <c r="Y763" s="6"/>
      <c r="Z763" s="6">
        <f ca="1">('TUSD BE'!$AM$43+'TUSD BF'!$AM$43+'TUSD CVA'!$AM$43)*(1-CUSTOS!$M$38)</f>
        <v>340.73849544844359</v>
      </c>
      <c r="AA763" s="6">
        <f>('TE BE'!$AB$27+'TE BF'!$AB$27+'TE CVA'!$AB$27)*(1-CUSTOS!$M$38)</f>
        <v>255.71595640830878</v>
      </c>
      <c r="AB763" s="6">
        <f>$K$763*$V$763</f>
        <v>0</v>
      </c>
      <c r="AC763" s="6">
        <f>$M$763*$W$763</f>
        <v>199.99184</v>
      </c>
      <c r="AD763" s="6">
        <f>$O$763*$X$763</f>
        <v>214.06165999999999</v>
      </c>
      <c r="AE763" s="6">
        <f>$K$763*$Y$763</f>
        <v>0</v>
      </c>
      <c r="AF763" s="6">
        <f ca="1">$M$763*$Z$763</f>
        <v>286.90181316758947</v>
      </c>
      <c r="AG763" s="6">
        <f>$O$763*$AA$763</f>
        <v>215.31283529579599</v>
      </c>
    </row>
    <row r="764" spans="1:33" ht="11.25" customHeight="1" x14ac:dyDescent="0.25">
      <c r="A764" s="4" t="s">
        <v>21</v>
      </c>
      <c r="B764" s="4" t="s">
        <v>44</v>
      </c>
      <c r="C764" s="4" t="s">
        <v>23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44409</v>
      </c>
      <c r="J764" s="6">
        <v>0</v>
      </c>
      <c r="K764" s="6">
        <v>0</v>
      </c>
      <c r="L764" s="6">
        <v>539.01599999999996</v>
      </c>
      <c r="M764" s="6">
        <v>539.01599999999996</v>
      </c>
      <c r="N764" s="6">
        <v>539.01599999999996</v>
      </c>
      <c r="O764" s="6">
        <v>539.01599999999996</v>
      </c>
      <c r="P764" s="6">
        <v>1770</v>
      </c>
      <c r="Q764" s="4" t="s">
        <v>26</v>
      </c>
      <c r="R764" s="4">
        <v>0</v>
      </c>
      <c r="S764" s="6">
        <v>0</v>
      </c>
      <c r="T764" s="6">
        <v>43</v>
      </c>
      <c r="U764" s="6">
        <v>84</v>
      </c>
      <c r="V764" s="6">
        <f>IF(ISERROR(VLOOKUP($S$764,'TAR FIN'!$A$1:$O$103,15,0)),0,VLOOKUP($S$764,'TAR FIN'!$A$1:$O$103,15,0))</f>
        <v>0</v>
      </c>
      <c r="W764" s="6">
        <f>IF(ISERROR(VLOOKUP($T$764,'TAR FIN'!$A$1:$O$103,15,0)),0,VLOOKUP($T$764,'TAR FIN'!$A$1:$O$103,15,0))</f>
        <v>237.52</v>
      </c>
      <c r="X764" s="6">
        <f>IF(ISERROR(VLOOKUP($U$764,'TAR FIN'!$A$1:$O$103,15,0)),0,VLOOKUP($U$764,'TAR FIN'!$A$1:$O$103,15,0))</f>
        <v>254.23</v>
      </c>
      <c r="Y764" s="6"/>
      <c r="Z764" s="6">
        <f ca="1">('TUSD BE'!$AM$43+'TUSD BF'!$AM$43+'TUSD CVA'!$AM$43)*(1-CUSTOS!$M$38)</f>
        <v>340.73849544844359</v>
      </c>
      <c r="AA764" s="6">
        <f>('TE BE'!$AB$27+'TE BF'!$AB$27+'TE CVA'!$AB$27)*(1-CUSTOS!$M$38)</f>
        <v>255.71595640830878</v>
      </c>
      <c r="AB764" s="6">
        <f>$K$764*$V$764</f>
        <v>0</v>
      </c>
      <c r="AC764" s="6">
        <f>$M$764*$W$764</f>
        <v>128027.08031999999</v>
      </c>
      <c r="AD764" s="6">
        <f>$O$764*$X$764</f>
        <v>137034.03767999998</v>
      </c>
      <c r="AE764" s="6">
        <f>$K$764*$Y$764</f>
        <v>0</v>
      </c>
      <c r="AF764" s="6">
        <f ca="1">$M$764*$Z$764</f>
        <v>183663.50086263826</v>
      </c>
      <c r="AG764" s="6">
        <f>$O$764*$AA$764</f>
        <v>137834.99195938095</v>
      </c>
    </row>
    <row r="765" spans="1:33" ht="11.25" customHeight="1" x14ac:dyDescent="0.25">
      <c r="A765" s="4" t="s">
        <v>27</v>
      </c>
      <c r="B765" s="4" t="s">
        <v>44</v>
      </c>
      <c r="C765" s="4" t="s">
        <v>23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44409</v>
      </c>
      <c r="J765" s="6">
        <v>0</v>
      </c>
      <c r="K765" s="6">
        <v>0</v>
      </c>
      <c r="L765" s="6">
        <v>0.09</v>
      </c>
      <c r="M765" s="6">
        <v>0.09</v>
      </c>
      <c r="N765" s="6">
        <v>0.09</v>
      </c>
      <c r="O765" s="6">
        <v>0.09</v>
      </c>
      <c r="P765" s="6">
        <v>0</v>
      </c>
      <c r="Q765" s="4" t="s">
        <v>26</v>
      </c>
      <c r="R765" s="4">
        <v>0</v>
      </c>
      <c r="S765" s="6">
        <v>0</v>
      </c>
      <c r="T765" s="6">
        <v>43</v>
      </c>
      <c r="U765" s="6">
        <v>84</v>
      </c>
      <c r="V765" s="6">
        <f>IF(ISERROR(VLOOKUP($S$765,'TAR FIN'!$A$1:$O$103,15,0)),0,VLOOKUP($S$765,'TAR FIN'!$A$1:$O$103,15,0))</f>
        <v>0</v>
      </c>
      <c r="W765" s="6">
        <f>IF(ISERROR(VLOOKUP($T$765,'TAR FIN'!$A$1:$O$103,15,0)),0,VLOOKUP($T$765,'TAR FIN'!$A$1:$O$103,15,0))</f>
        <v>237.52</v>
      </c>
      <c r="X765" s="6">
        <f>IF(ISERROR(VLOOKUP($U$765,'TAR FIN'!$A$1:$O$103,15,0)),0,VLOOKUP($U$765,'TAR FIN'!$A$1:$O$103,15,0))</f>
        <v>254.23</v>
      </c>
      <c r="Y765" s="6"/>
      <c r="Z765" s="6">
        <f ca="1">('TUSD BE'!$AM$43+'TUSD BF'!$AM$43+'TUSD CVA'!$AM$43)*(1-CUSTOS!$M$38)</f>
        <v>340.73849544844359</v>
      </c>
      <c r="AA765" s="6">
        <f>('TE BE'!$AB$27+'TE BF'!$AB$27+'TE CVA'!$AB$27)*(1-CUSTOS!$M$38)</f>
        <v>255.71595640830878</v>
      </c>
      <c r="AB765" s="6">
        <f>$K$765*$V$765</f>
        <v>0</v>
      </c>
      <c r="AC765" s="6">
        <f>$M$765*$W$765</f>
        <v>21.376799999999999</v>
      </c>
      <c r="AD765" s="6">
        <f>$O$765*$X$765</f>
        <v>22.880699999999997</v>
      </c>
      <c r="AE765" s="6">
        <f>$K$765*$Y$765</f>
        <v>0</v>
      </c>
      <c r="AF765" s="6">
        <f ca="1">$M$765*$Z$765</f>
        <v>30.666464590359922</v>
      </c>
      <c r="AG765" s="6">
        <f>$O$765*$AA$765</f>
        <v>23.014436076747788</v>
      </c>
    </row>
    <row r="766" spans="1:33" ht="11.25" customHeight="1" x14ac:dyDescent="0.25">
      <c r="A766" s="4" t="s">
        <v>28</v>
      </c>
      <c r="B766" s="4" t="s">
        <v>44</v>
      </c>
      <c r="C766" s="4" t="s">
        <v>23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44409</v>
      </c>
      <c r="J766" s="6">
        <v>0</v>
      </c>
      <c r="K766" s="6">
        <v>0</v>
      </c>
      <c r="L766" s="6">
        <v>1.9710000000000001</v>
      </c>
      <c r="M766" s="6">
        <v>1.9710000000000001</v>
      </c>
      <c r="N766" s="6">
        <v>1.9710000000000001</v>
      </c>
      <c r="O766" s="6">
        <v>1.9710000000000001</v>
      </c>
      <c r="P766" s="6">
        <v>8</v>
      </c>
      <c r="Q766" s="4" t="s">
        <v>26</v>
      </c>
      <c r="R766" s="4">
        <v>0</v>
      </c>
      <c r="S766" s="6">
        <v>0</v>
      </c>
      <c r="T766" s="6">
        <v>43</v>
      </c>
      <c r="U766" s="6">
        <v>84</v>
      </c>
      <c r="V766" s="6">
        <f>IF(ISERROR(VLOOKUP($S$766,'TAR FIN'!$A$1:$O$103,15,0)),0,VLOOKUP($S$766,'TAR FIN'!$A$1:$O$103,15,0))</f>
        <v>0</v>
      </c>
      <c r="W766" s="6">
        <f>IF(ISERROR(VLOOKUP($T$766,'TAR FIN'!$A$1:$O$103,15,0)),0,VLOOKUP($T$766,'TAR FIN'!$A$1:$O$103,15,0))</f>
        <v>237.52</v>
      </c>
      <c r="X766" s="6">
        <f>IF(ISERROR(VLOOKUP($U$766,'TAR FIN'!$A$1:$O$103,15,0)),0,VLOOKUP($U$766,'TAR FIN'!$A$1:$O$103,15,0))</f>
        <v>254.23</v>
      </c>
      <c r="Y766" s="6"/>
      <c r="Z766" s="6">
        <f ca="1">('TUSD BE'!$AM$43+'TUSD BF'!$AM$43+'TUSD CVA'!$AM$43)*(1-CUSTOS!$M$38)</f>
        <v>340.73849544844359</v>
      </c>
      <c r="AA766" s="6">
        <f>('TE BE'!$AB$27+'TE BF'!$AB$27+'TE CVA'!$AB$27)*(1-CUSTOS!$M$38)</f>
        <v>255.71595640830878</v>
      </c>
      <c r="AB766" s="6">
        <f>$K$766*$V$766</f>
        <v>0</v>
      </c>
      <c r="AC766" s="6">
        <f>$M$766*$W$766</f>
        <v>468.15192000000002</v>
      </c>
      <c r="AD766" s="6">
        <f>$O$766*$X$766</f>
        <v>501.08733000000001</v>
      </c>
      <c r="AE766" s="6">
        <f>$K$766*$Y$766</f>
        <v>0</v>
      </c>
      <c r="AF766" s="6">
        <f ca="1">$M$766*$Z$766</f>
        <v>671.59557452888237</v>
      </c>
      <c r="AG766" s="6">
        <f>$O$766*$AA$766</f>
        <v>504.01615008077664</v>
      </c>
    </row>
    <row r="767" spans="1:33" ht="11.25" customHeight="1" x14ac:dyDescent="0.25">
      <c r="A767" s="4" t="s">
        <v>21</v>
      </c>
      <c r="B767" s="4" t="s">
        <v>44</v>
      </c>
      <c r="C767" s="4" t="s">
        <v>23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44440</v>
      </c>
      <c r="J767" s="6">
        <v>0</v>
      </c>
      <c r="K767" s="6">
        <v>0</v>
      </c>
      <c r="L767" s="6">
        <v>525.69899999999996</v>
      </c>
      <c r="M767" s="6">
        <v>525.69899999999996</v>
      </c>
      <c r="N767" s="6">
        <v>525.69899999999996</v>
      </c>
      <c r="O767" s="6">
        <v>525.69899999999996</v>
      </c>
      <c r="P767" s="6">
        <v>1768</v>
      </c>
      <c r="Q767" s="4" t="s">
        <v>26</v>
      </c>
      <c r="R767" s="4">
        <v>0</v>
      </c>
      <c r="S767" s="6">
        <v>0</v>
      </c>
      <c r="T767" s="6">
        <v>43</v>
      </c>
      <c r="U767" s="6">
        <v>84</v>
      </c>
      <c r="V767" s="6">
        <f>IF(ISERROR(VLOOKUP($S$767,'TAR FIN'!$A$1:$O$103,15,0)),0,VLOOKUP($S$767,'TAR FIN'!$A$1:$O$103,15,0))</f>
        <v>0</v>
      </c>
      <c r="W767" s="6">
        <f>IF(ISERROR(VLOOKUP($T$767,'TAR FIN'!$A$1:$O$103,15,0)),0,VLOOKUP($T$767,'TAR FIN'!$A$1:$O$103,15,0))</f>
        <v>237.52</v>
      </c>
      <c r="X767" s="6">
        <f>IF(ISERROR(VLOOKUP($U$767,'TAR FIN'!$A$1:$O$103,15,0)),0,VLOOKUP($U$767,'TAR FIN'!$A$1:$O$103,15,0))</f>
        <v>254.23</v>
      </c>
      <c r="Y767" s="6"/>
      <c r="Z767" s="6">
        <f ca="1">('TUSD BE'!$AM$43+'TUSD BF'!$AM$43+'TUSD CVA'!$AM$43)*(1-CUSTOS!$M$38)</f>
        <v>340.73849544844359</v>
      </c>
      <c r="AA767" s="6">
        <f>('TE BE'!$AB$27+'TE BF'!$AB$27+'TE CVA'!$AB$27)*(1-CUSTOS!$M$38)</f>
        <v>255.71595640830878</v>
      </c>
      <c r="AB767" s="6">
        <f>$K$767*$V$767</f>
        <v>0</v>
      </c>
      <c r="AC767" s="6">
        <f>$M$767*$W$767</f>
        <v>124864.02648</v>
      </c>
      <c r="AD767" s="6">
        <f>$O$767*$X$767</f>
        <v>133648.45676999999</v>
      </c>
      <c r="AE767" s="6">
        <f>$K$767*$Y$767</f>
        <v>0</v>
      </c>
      <c r="AF767" s="6">
        <f ca="1">$M$767*$Z$767</f>
        <v>179125.88631875132</v>
      </c>
      <c r="AG767" s="6">
        <f>$O$767*$AA$767</f>
        <v>134429.62256789152</v>
      </c>
    </row>
    <row r="768" spans="1:33" ht="11.25" customHeight="1" x14ac:dyDescent="0.25">
      <c r="A768" s="4" t="s">
        <v>27</v>
      </c>
      <c r="B768" s="4" t="s">
        <v>44</v>
      </c>
      <c r="C768" s="4" t="s">
        <v>23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44440</v>
      </c>
      <c r="J768" s="6">
        <v>0</v>
      </c>
      <c r="K768" s="6">
        <v>0</v>
      </c>
      <c r="L768" s="6">
        <v>-0.26700000000000002</v>
      </c>
      <c r="M768" s="6">
        <v>-0.26700000000000002</v>
      </c>
      <c r="N768" s="6">
        <v>-0.26700000000000002</v>
      </c>
      <c r="O768" s="6">
        <v>-0.26700000000000002</v>
      </c>
      <c r="P768" s="6">
        <v>0</v>
      </c>
      <c r="Q768" s="4" t="s">
        <v>26</v>
      </c>
      <c r="R768" s="4">
        <v>0</v>
      </c>
      <c r="S768" s="6">
        <v>0</v>
      </c>
      <c r="T768" s="6">
        <v>43</v>
      </c>
      <c r="U768" s="6">
        <v>84</v>
      </c>
      <c r="V768" s="6">
        <f>IF(ISERROR(VLOOKUP($S$768,'TAR FIN'!$A$1:$O$103,15,0)),0,VLOOKUP($S$768,'TAR FIN'!$A$1:$O$103,15,0))</f>
        <v>0</v>
      </c>
      <c r="W768" s="6">
        <f>IF(ISERROR(VLOOKUP($T$768,'TAR FIN'!$A$1:$O$103,15,0)),0,VLOOKUP($T$768,'TAR FIN'!$A$1:$O$103,15,0))</f>
        <v>237.52</v>
      </c>
      <c r="X768" s="6">
        <f>IF(ISERROR(VLOOKUP($U$768,'TAR FIN'!$A$1:$O$103,15,0)),0,VLOOKUP($U$768,'TAR FIN'!$A$1:$O$103,15,0))</f>
        <v>254.23</v>
      </c>
      <c r="Y768" s="6"/>
      <c r="Z768" s="6">
        <f ca="1">('TUSD BE'!$AM$43+'TUSD BF'!$AM$43+'TUSD CVA'!$AM$43)*(1-CUSTOS!$M$38)</f>
        <v>340.73849544844359</v>
      </c>
      <c r="AA768" s="6">
        <f>('TE BE'!$AB$27+'TE BF'!$AB$27+'TE CVA'!$AB$27)*(1-CUSTOS!$M$38)</f>
        <v>255.71595640830878</v>
      </c>
      <c r="AB768" s="6">
        <f>$K$768*$V$768</f>
        <v>0</v>
      </c>
      <c r="AC768" s="6">
        <f>$M$768*$W$768</f>
        <v>-63.417840000000005</v>
      </c>
      <c r="AD768" s="6">
        <f>$O$768*$X$768</f>
        <v>-67.879410000000007</v>
      </c>
      <c r="AE768" s="6">
        <f>$K$768*$Y$768</f>
        <v>0</v>
      </c>
      <c r="AF768" s="6">
        <f ca="1">$M$768*$Z$768</f>
        <v>-90.97717828473445</v>
      </c>
      <c r="AG768" s="6">
        <f>$O$768*$AA$768</f>
        <v>-68.276160361018455</v>
      </c>
    </row>
    <row r="769" spans="1:33" ht="11.25" customHeight="1" x14ac:dyDescent="0.25">
      <c r="A769" s="4" t="s">
        <v>28</v>
      </c>
      <c r="B769" s="4" t="s">
        <v>44</v>
      </c>
      <c r="C769" s="4" t="s">
        <v>23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44440</v>
      </c>
      <c r="J769" s="6">
        <v>0</v>
      </c>
      <c r="K769" s="6">
        <v>0</v>
      </c>
      <c r="L769" s="6">
        <v>2.528</v>
      </c>
      <c r="M769" s="6">
        <v>2.528</v>
      </c>
      <c r="N769" s="6">
        <v>2.528</v>
      </c>
      <c r="O769" s="6">
        <v>2.528</v>
      </c>
      <c r="P769" s="6">
        <v>11</v>
      </c>
      <c r="Q769" s="4" t="s">
        <v>26</v>
      </c>
      <c r="R769" s="4">
        <v>0</v>
      </c>
      <c r="S769" s="6">
        <v>0</v>
      </c>
      <c r="T769" s="6">
        <v>43</v>
      </c>
      <c r="U769" s="6">
        <v>84</v>
      </c>
      <c r="V769" s="6">
        <f>IF(ISERROR(VLOOKUP($S$769,'TAR FIN'!$A$1:$O$103,15,0)),0,VLOOKUP($S$769,'TAR FIN'!$A$1:$O$103,15,0))</f>
        <v>0</v>
      </c>
      <c r="W769" s="6">
        <f>IF(ISERROR(VLOOKUP($T$769,'TAR FIN'!$A$1:$O$103,15,0)),0,VLOOKUP($T$769,'TAR FIN'!$A$1:$O$103,15,0))</f>
        <v>237.52</v>
      </c>
      <c r="X769" s="6">
        <f>IF(ISERROR(VLOOKUP($U$769,'TAR FIN'!$A$1:$O$103,15,0)),0,VLOOKUP($U$769,'TAR FIN'!$A$1:$O$103,15,0))</f>
        <v>254.23</v>
      </c>
      <c r="Y769" s="6"/>
      <c r="Z769" s="6">
        <f ca="1">('TUSD BE'!$AM$43+'TUSD BF'!$AM$43+'TUSD CVA'!$AM$43)*(1-CUSTOS!$M$38)</f>
        <v>340.73849544844359</v>
      </c>
      <c r="AA769" s="6">
        <f>('TE BE'!$AB$27+'TE BF'!$AB$27+'TE CVA'!$AB$27)*(1-CUSTOS!$M$38)</f>
        <v>255.71595640830878</v>
      </c>
      <c r="AB769" s="6">
        <f>$K$769*$V$769</f>
        <v>0</v>
      </c>
      <c r="AC769" s="6">
        <f>$M$769*$W$769</f>
        <v>600.45056</v>
      </c>
      <c r="AD769" s="6">
        <f>$O$769*$X$769</f>
        <v>642.69344000000001</v>
      </c>
      <c r="AE769" s="6">
        <f>$K$769*$Y$769</f>
        <v>0</v>
      </c>
      <c r="AF769" s="6">
        <f ca="1">$M$769*$Z$769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"s">
        <v>21</v>
      </c>
      <c r="B770" s="4" t="s">
        <v>44</v>
      </c>
      <c r="C770" s="4" t="s">
        <v>23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44470</v>
      </c>
      <c r="J770" s="6">
        <v>0</v>
      </c>
      <c r="K770" s="6">
        <v>0</v>
      </c>
      <c r="L770" s="6">
        <v>541.39200000000005</v>
      </c>
      <c r="M770" s="6">
        <v>541.39200000000005</v>
      </c>
      <c r="N770" s="6">
        <v>541.39200000000005</v>
      </c>
      <c r="O770" s="6">
        <v>541.39200000000005</v>
      </c>
      <c r="P770" s="6">
        <v>1763</v>
      </c>
      <c r="Q770" s="4" t="s">
        <v>26</v>
      </c>
      <c r="R770" s="4">
        <v>0</v>
      </c>
      <c r="S770" s="6">
        <v>0</v>
      </c>
      <c r="T770" s="6">
        <v>43</v>
      </c>
      <c r="U770" s="6">
        <v>84</v>
      </c>
      <c r="V770" s="6">
        <f>IF(ISERROR(VLOOKUP($S$770,'TAR FIN'!$A$1:$O$103,15,0)),0,VLOOKUP($S$770,'TAR FIN'!$A$1:$O$103,15,0))</f>
        <v>0</v>
      </c>
      <c r="W770" s="6">
        <f>IF(ISERROR(VLOOKUP($T$770,'TAR FIN'!$A$1:$O$103,15,0)),0,VLOOKUP($T$770,'TAR FIN'!$A$1:$O$103,15,0))</f>
        <v>237.52</v>
      </c>
      <c r="X770" s="6">
        <f>IF(ISERROR(VLOOKUP($U$770,'TAR FIN'!$A$1:$O$103,15,0)),0,VLOOKUP($U$770,'TAR FIN'!$A$1:$O$103,15,0))</f>
        <v>254.23</v>
      </c>
      <c r="Y770" s="6"/>
      <c r="Z770" s="6">
        <f ca="1">('TUSD BE'!$AM$43+'TUSD BF'!$AM$43+'TUSD CVA'!$AM$43)*(1-CUSTOS!$M$38)</f>
        <v>340.73849544844359</v>
      </c>
      <c r="AA770" s="6">
        <f>('TE BE'!$AB$27+'TE BF'!$AB$27+'TE CVA'!$AB$27)*(1-CUSTOS!$M$38)</f>
        <v>255.71595640830878</v>
      </c>
      <c r="AB770" s="6">
        <f>$K$770*$V$770</f>
        <v>0</v>
      </c>
      <c r="AC770" s="6">
        <f>$M$770*$W$770</f>
        <v>128591.42784000002</v>
      </c>
      <c r="AD770" s="6">
        <f>$O$770*$X$770</f>
        <v>137638.08816000001</v>
      </c>
      <c r="AE770" s="6">
        <f>$K$770*$Y$770</f>
        <v>0</v>
      </c>
      <c r="AF770" s="6">
        <f ca="1">$M$770*$Z$770</f>
        <v>184473.09552782378</v>
      </c>
      <c r="AG770" s="6">
        <f>$O$770*$AA$770</f>
        <v>138442.57307180713</v>
      </c>
    </row>
    <row r="771" spans="1:33" ht="11.25" customHeight="1" x14ac:dyDescent="0.25">
      <c r="A771" s="4" t="s">
        <v>27</v>
      </c>
      <c r="B771" s="4" t="s">
        <v>44</v>
      </c>
      <c r="C771" s="4" t="s">
        <v>23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44470</v>
      </c>
      <c r="J771" s="6">
        <v>0</v>
      </c>
      <c r="K771" s="6">
        <v>0</v>
      </c>
      <c r="L771" s="6">
        <v>-0.81200000000000006</v>
      </c>
      <c r="M771" s="6">
        <v>-0.81200000000000006</v>
      </c>
      <c r="N771" s="6">
        <v>-0.81200000000000006</v>
      </c>
      <c r="O771" s="6">
        <v>-0.81200000000000006</v>
      </c>
      <c r="P771" s="6">
        <v>0</v>
      </c>
      <c r="Q771" s="4" t="s">
        <v>26</v>
      </c>
      <c r="R771" s="4">
        <v>0</v>
      </c>
      <c r="S771" s="6">
        <v>0</v>
      </c>
      <c r="T771" s="6">
        <v>43</v>
      </c>
      <c r="U771" s="6">
        <v>84</v>
      </c>
      <c r="V771" s="6">
        <f>IF(ISERROR(VLOOKUP($S$771,'TAR FIN'!$A$1:$O$103,15,0)),0,VLOOKUP($S$771,'TAR FIN'!$A$1:$O$103,15,0))</f>
        <v>0</v>
      </c>
      <c r="W771" s="6">
        <f>IF(ISERROR(VLOOKUP($T$771,'TAR FIN'!$A$1:$O$103,15,0)),0,VLOOKUP($T$771,'TAR FIN'!$A$1:$O$103,15,0))</f>
        <v>237.52</v>
      </c>
      <c r="X771" s="6">
        <f>IF(ISERROR(VLOOKUP($U$771,'TAR FIN'!$A$1:$O$103,15,0)),0,VLOOKUP($U$771,'TAR FIN'!$A$1:$O$103,15,0))</f>
        <v>254.23</v>
      </c>
      <c r="Y771" s="6"/>
      <c r="Z771" s="6">
        <f ca="1">('TUSD BE'!$AM$43+'TUSD BF'!$AM$43+'TUSD CVA'!$AM$43)*(1-CUSTOS!$M$38)</f>
        <v>340.73849544844359</v>
      </c>
      <c r="AA771" s="6">
        <f>('TE BE'!$AB$27+'TE BF'!$AB$27+'TE CVA'!$AB$27)*(1-CUSTOS!$M$38)</f>
        <v>255.71595640830878</v>
      </c>
      <c r="AB771" s="6">
        <f>$K$771*$V$771</f>
        <v>0</v>
      </c>
      <c r="AC771" s="6">
        <f>$M$771*$W$771</f>
        <v>-192.86624000000003</v>
      </c>
      <c r="AD771" s="6">
        <f>$O$771*$X$771</f>
        <v>-206.43476000000001</v>
      </c>
      <c r="AE771" s="6">
        <f>$K$771*$Y$771</f>
        <v>0</v>
      </c>
      <c r="AF771" s="6">
        <f ca="1">$M$771*$Z$771</f>
        <v>-276.67965830413618</v>
      </c>
      <c r="AG771" s="6">
        <f>$O$771*$AA$771</f>
        <v>-207.64135660354674</v>
      </c>
    </row>
    <row r="772" spans="1:33" ht="11.25" customHeight="1" x14ac:dyDescent="0.25">
      <c r="A772" s="4" t="s">
        <v>28</v>
      </c>
      <c r="B772" s="4" t="s">
        <v>44</v>
      </c>
      <c r="C772" s="4" t="s">
        <v>23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44470</v>
      </c>
      <c r="J772" s="6">
        <v>0</v>
      </c>
      <c r="K772" s="6">
        <v>0</v>
      </c>
      <c r="L772" s="6">
        <v>1.7310000000000001</v>
      </c>
      <c r="M772" s="6">
        <v>1.7310000000000001</v>
      </c>
      <c r="N772" s="6">
        <v>1.7310000000000001</v>
      </c>
      <c r="O772" s="6">
        <v>1.7310000000000001</v>
      </c>
      <c r="P772" s="6">
        <v>11</v>
      </c>
      <c r="Q772" s="4" t="s">
        <v>26</v>
      </c>
      <c r="R772" s="4">
        <v>0</v>
      </c>
      <c r="S772" s="6">
        <v>0</v>
      </c>
      <c r="T772" s="6">
        <v>43</v>
      </c>
      <c r="U772" s="6">
        <v>84</v>
      </c>
      <c r="V772" s="6">
        <f>IF(ISERROR(VLOOKUP($S$772,'TAR FIN'!$A$1:$O$103,15,0)),0,VLOOKUP($S$772,'TAR FIN'!$A$1:$O$103,15,0))</f>
        <v>0</v>
      </c>
      <c r="W772" s="6">
        <f>IF(ISERROR(VLOOKUP($T$772,'TAR FIN'!$A$1:$O$103,15,0)),0,VLOOKUP($T$772,'TAR FIN'!$A$1:$O$103,15,0))</f>
        <v>237.52</v>
      </c>
      <c r="X772" s="6">
        <f>IF(ISERROR(VLOOKUP($U$772,'TAR FIN'!$A$1:$O$103,15,0)),0,VLOOKUP($U$772,'TAR FIN'!$A$1:$O$103,15,0))</f>
        <v>254.23</v>
      </c>
      <c r="Y772" s="6"/>
      <c r="Z772" s="6">
        <f ca="1">('TUSD BE'!$AM$43+'TUSD BF'!$AM$43+'TUSD CVA'!$AM$43)*(1-CUSTOS!$M$38)</f>
        <v>340.73849544844359</v>
      </c>
      <c r="AA772" s="6">
        <f>('TE BE'!$AB$27+'TE BF'!$AB$27+'TE CVA'!$AB$27)*(1-CUSTOS!$M$38)</f>
        <v>255.71595640830878</v>
      </c>
      <c r="AB772" s="6">
        <f>$K$772*$V$772</f>
        <v>0</v>
      </c>
      <c r="AC772" s="6">
        <f>$M$772*$W$772</f>
        <v>411.14712000000003</v>
      </c>
      <c r="AD772" s="6">
        <f>$O$772*$X$772</f>
        <v>440.07213000000002</v>
      </c>
      <c r="AE772" s="6">
        <f>$K$772*$Y$772</f>
        <v>0</v>
      </c>
      <c r="AF772" s="6">
        <f ca="1">$M$772*$Z$772</f>
        <v>589.81833562125587</v>
      </c>
      <c r="AG772" s="6">
        <f>$O$772*$AA$772</f>
        <v>442.64432054278251</v>
      </c>
    </row>
    <row r="773" spans="1:33" ht="11.25" customHeight="1" x14ac:dyDescent="0.25">
      <c r="A773" s="4" t="s">
        <v>21</v>
      </c>
      <c r="B773" s="4" t="s">
        <v>44</v>
      </c>
      <c r="C773" s="4" t="s">
        <v>23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44501</v>
      </c>
      <c r="J773" s="6">
        <v>0</v>
      </c>
      <c r="K773" s="6">
        <v>0</v>
      </c>
      <c r="L773" s="6">
        <v>512.59900000000005</v>
      </c>
      <c r="M773" s="6">
        <v>512.59900000000005</v>
      </c>
      <c r="N773" s="6">
        <v>512.59900000000005</v>
      </c>
      <c r="O773" s="6">
        <v>512.59900000000005</v>
      </c>
      <c r="P773" s="6">
        <v>1754</v>
      </c>
      <c r="Q773" s="4" t="s">
        <v>26</v>
      </c>
      <c r="R773" s="4">
        <v>0</v>
      </c>
      <c r="S773" s="6">
        <v>0</v>
      </c>
      <c r="T773" s="6">
        <v>43</v>
      </c>
      <c r="U773" s="6">
        <v>84</v>
      </c>
      <c r="V773" s="6">
        <f>IF(ISERROR(VLOOKUP($S$773,'TAR FIN'!$A$1:$O$103,15,0)),0,VLOOKUP($S$773,'TAR FIN'!$A$1:$O$103,15,0))</f>
        <v>0</v>
      </c>
      <c r="W773" s="6">
        <f>IF(ISERROR(VLOOKUP($T$773,'TAR FIN'!$A$1:$O$103,15,0)),0,VLOOKUP($T$773,'TAR FIN'!$A$1:$O$103,15,0))</f>
        <v>237.52</v>
      </c>
      <c r="X773" s="6">
        <f>IF(ISERROR(VLOOKUP($U$773,'TAR FIN'!$A$1:$O$103,15,0)),0,VLOOKUP($U$773,'TAR FIN'!$A$1:$O$103,15,0))</f>
        <v>254.23</v>
      </c>
      <c r="Y773" s="6"/>
      <c r="Z773" s="6">
        <f ca="1">('TUSD BE'!$AM$43+'TUSD BF'!$AM$43+'TUSD CVA'!$AM$43)*(1-CUSTOS!$M$38)</f>
        <v>340.73849544844359</v>
      </c>
      <c r="AA773" s="6">
        <f>('TE BE'!$AB$27+'TE BF'!$AB$27+'TE CVA'!$AB$27)*(1-CUSTOS!$M$38)</f>
        <v>255.71595640830878</v>
      </c>
      <c r="AB773" s="6">
        <f>$K$773*$V$773</f>
        <v>0</v>
      </c>
      <c r="AC773" s="6">
        <f>$M$773*$W$773</f>
        <v>121752.51448000001</v>
      </c>
      <c r="AD773" s="6">
        <f>$O$773*$X$773</f>
        <v>130318.04377</v>
      </c>
      <c r="AE773" s="6">
        <f>$K$773*$Y$773</f>
        <v>0</v>
      </c>
      <c r="AF773" s="6">
        <f ca="1">$M$773*$Z$773</f>
        <v>174662.21202837676</v>
      </c>
      <c r="AG773" s="6">
        <f>$O$773*$AA$773</f>
        <v>131079.74353894268</v>
      </c>
    </row>
    <row r="774" spans="1:33" ht="11.25" customHeight="1" x14ac:dyDescent="0.25">
      <c r="A774" s="4" t="s">
        <v>27</v>
      </c>
      <c r="B774" s="4" t="s">
        <v>44</v>
      </c>
      <c r="C774" s="4" t="s">
        <v>23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44501</v>
      </c>
      <c r="J774" s="6">
        <v>0</v>
      </c>
      <c r="K774" s="6">
        <v>0</v>
      </c>
      <c r="L774" s="6">
        <v>-0.185</v>
      </c>
      <c r="M774" s="6">
        <v>-0.185</v>
      </c>
      <c r="N774" s="6">
        <v>-0.185</v>
      </c>
      <c r="O774" s="6">
        <v>-0.185</v>
      </c>
      <c r="P774" s="6">
        <v>0</v>
      </c>
      <c r="Q774" s="4" t="s">
        <v>26</v>
      </c>
      <c r="R774" s="4">
        <v>0</v>
      </c>
      <c r="S774" s="6">
        <v>0</v>
      </c>
      <c r="T774" s="6">
        <v>43</v>
      </c>
      <c r="U774" s="6">
        <v>84</v>
      </c>
      <c r="V774" s="6">
        <f>IF(ISERROR(VLOOKUP($S$774,'TAR FIN'!$A$1:$O$103,15,0)),0,VLOOKUP($S$774,'TAR FIN'!$A$1:$O$103,15,0))</f>
        <v>0</v>
      </c>
      <c r="W774" s="6">
        <f>IF(ISERROR(VLOOKUP($T$774,'TAR FIN'!$A$1:$O$103,15,0)),0,VLOOKUP($T$774,'TAR FIN'!$A$1:$O$103,15,0))</f>
        <v>237.52</v>
      </c>
      <c r="X774" s="6">
        <f>IF(ISERROR(VLOOKUP($U$774,'TAR FIN'!$A$1:$O$103,15,0)),0,VLOOKUP($U$774,'TAR FIN'!$A$1:$O$103,15,0))</f>
        <v>254.23</v>
      </c>
      <c r="Y774" s="6"/>
      <c r="Z774" s="6">
        <f ca="1">('TUSD BE'!$AM$43+'TUSD BF'!$AM$43+'TUSD CVA'!$AM$43)*(1-CUSTOS!$M$38)</f>
        <v>340.73849544844359</v>
      </c>
      <c r="AA774" s="6">
        <f>('TE BE'!$AB$27+'TE BF'!$AB$27+'TE CVA'!$AB$27)*(1-CUSTOS!$M$38)</f>
        <v>255.71595640830878</v>
      </c>
      <c r="AB774" s="6">
        <f>$K$774*$V$774</f>
        <v>0</v>
      </c>
      <c r="AC774" s="6">
        <f>$M$774*$W$774</f>
        <v>-43.941200000000002</v>
      </c>
      <c r="AD774" s="6">
        <f>$O$774*$X$774</f>
        <v>-47.032550000000001</v>
      </c>
      <c r="AE774" s="6">
        <f>$K$774*$Y$774</f>
        <v>0</v>
      </c>
      <c r="AF774" s="6">
        <f ca="1">$M$774*$Z$774</f>
        <v>-63.036621657962066</v>
      </c>
      <c r="AG774" s="6">
        <f>$O$774*$AA$774</f>
        <v>-47.307451935537124</v>
      </c>
    </row>
    <row r="775" spans="1:33" ht="11.25" customHeight="1" x14ac:dyDescent="0.25">
      <c r="A775" s="4" t="s">
        <v>28</v>
      </c>
      <c r="B775" s="4" t="s">
        <v>44</v>
      </c>
      <c r="C775" s="4" t="s">
        <v>23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44501</v>
      </c>
      <c r="J775" s="6">
        <v>0</v>
      </c>
      <c r="K775" s="6">
        <v>0</v>
      </c>
      <c r="L775" s="6">
        <v>1.8939999999999999</v>
      </c>
      <c r="M775" s="6">
        <v>1.8939999999999999</v>
      </c>
      <c r="N775" s="6">
        <v>1.8939999999999999</v>
      </c>
      <c r="O775" s="6">
        <v>1.8939999999999999</v>
      </c>
      <c r="P775" s="6">
        <v>12</v>
      </c>
      <c r="Q775" s="4" t="s">
        <v>26</v>
      </c>
      <c r="R775" s="4">
        <v>0</v>
      </c>
      <c r="S775" s="6">
        <v>0</v>
      </c>
      <c r="T775" s="6">
        <v>43</v>
      </c>
      <c r="U775" s="6">
        <v>84</v>
      </c>
      <c r="V775" s="6">
        <f>IF(ISERROR(VLOOKUP($S$775,'TAR FIN'!$A$1:$O$103,15,0)),0,VLOOKUP($S$775,'TAR FIN'!$A$1:$O$103,15,0))</f>
        <v>0</v>
      </c>
      <c r="W775" s="6">
        <f>IF(ISERROR(VLOOKUP($T$775,'TAR FIN'!$A$1:$O$103,15,0)),0,VLOOKUP($T$775,'TAR FIN'!$A$1:$O$103,15,0))</f>
        <v>237.52</v>
      </c>
      <c r="X775" s="6">
        <f>IF(ISERROR(VLOOKUP($U$775,'TAR FIN'!$A$1:$O$103,15,0)),0,VLOOKUP($U$775,'TAR FIN'!$A$1:$O$103,15,0))</f>
        <v>254.23</v>
      </c>
      <c r="Y775" s="6"/>
      <c r="Z775" s="6">
        <f ca="1">('TUSD BE'!$AM$43+'TUSD BF'!$AM$43+'TUSD CVA'!$AM$43)*(1-CUSTOS!$M$38)</f>
        <v>340.73849544844359</v>
      </c>
      <c r="AA775" s="6">
        <f>('TE BE'!$AB$27+'TE BF'!$AB$27+'TE CVA'!$AB$27)*(1-CUSTOS!$M$38)</f>
        <v>255.71595640830878</v>
      </c>
      <c r="AB775" s="6">
        <f>$K$775*$V$775</f>
        <v>0</v>
      </c>
      <c r="AC775" s="6">
        <f>$M$775*$W$775</f>
        <v>449.86288000000002</v>
      </c>
      <c r="AD775" s="6">
        <f>$O$775*$X$775</f>
        <v>481.51161999999994</v>
      </c>
      <c r="AE775" s="6">
        <f>$K$775*$Y$775</f>
        <v>0</v>
      </c>
      <c r="AF775" s="6">
        <f ca="1">$M$775*$Z$775</f>
        <v>645.35871037935215</v>
      </c>
      <c r="AG775" s="6">
        <f>$O$775*$AA$775</f>
        <v>484.32602143733681</v>
      </c>
    </row>
    <row r="776" spans="1:33" ht="11.25" customHeight="1" x14ac:dyDescent="0.25">
      <c r="A776" s="4" t="s">
        <v>21</v>
      </c>
      <c r="B776" s="4" t="s">
        <v>44</v>
      </c>
      <c r="C776" s="4" t="s">
        <v>23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44531</v>
      </c>
      <c r="J776" s="6">
        <v>0</v>
      </c>
      <c r="K776" s="6">
        <v>0</v>
      </c>
      <c r="L776" s="6">
        <v>543.45000000000005</v>
      </c>
      <c r="M776" s="6">
        <v>543.45000000000005</v>
      </c>
      <c r="N776" s="6">
        <v>543.45000000000005</v>
      </c>
      <c r="O776" s="6">
        <v>543.45000000000005</v>
      </c>
      <c r="P776" s="6">
        <v>1739</v>
      </c>
      <c r="Q776" s="4" t="s">
        <v>26</v>
      </c>
      <c r="R776" s="4">
        <v>0</v>
      </c>
      <c r="S776" s="6">
        <v>0</v>
      </c>
      <c r="T776" s="6">
        <v>43</v>
      </c>
      <c r="U776" s="6">
        <v>84</v>
      </c>
      <c r="V776" s="6">
        <f>IF(ISERROR(VLOOKUP($S$776,'TAR FIN'!$A$1:$O$103,15,0)),0,VLOOKUP($S$776,'TAR FIN'!$A$1:$O$103,15,0))</f>
        <v>0</v>
      </c>
      <c r="W776" s="6">
        <f>IF(ISERROR(VLOOKUP($T$776,'TAR FIN'!$A$1:$O$103,15,0)),0,VLOOKUP($T$776,'TAR FIN'!$A$1:$O$103,15,0))</f>
        <v>237.52</v>
      </c>
      <c r="X776" s="6">
        <f>IF(ISERROR(VLOOKUP($U$776,'TAR FIN'!$A$1:$O$103,15,0)),0,VLOOKUP($U$776,'TAR FIN'!$A$1:$O$103,15,0))</f>
        <v>254.23</v>
      </c>
      <c r="Y776" s="6"/>
      <c r="Z776" s="6">
        <f ca="1">('TUSD BE'!$AM$43+'TUSD BF'!$AM$43+'TUSD CVA'!$AM$43)*(1-CUSTOS!$M$38)</f>
        <v>340.73849544844359</v>
      </c>
      <c r="AA776" s="6">
        <f>('TE BE'!$AB$27+'TE BF'!$AB$27+'TE CVA'!$AB$27)*(1-CUSTOS!$M$38)</f>
        <v>255.71595640830878</v>
      </c>
      <c r="AB776" s="6">
        <f>$K$776*$V$776</f>
        <v>0</v>
      </c>
      <c r="AC776" s="6">
        <f>$M$776*$W$776</f>
        <v>129080.24400000002</v>
      </c>
      <c r="AD776" s="6">
        <f>$O$776*$X$776</f>
        <v>138161.2935</v>
      </c>
      <c r="AE776" s="6">
        <f>$K$776*$Y$776</f>
        <v>0</v>
      </c>
      <c r="AF776" s="6">
        <f ca="1">$M$776*$Z$776</f>
        <v>185174.33535145668</v>
      </c>
      <c r="AG776" s="6">
        <f>$O$776*$AA$776</f>
        <v>138968.83651009543</v>
      </c>
    </row>
    <row r="777" spans="1:33" ht="11.25" customHeight="1" x14ac:dyDescent="0.25">
      <c r="A777" s="4" t="s">
        <v>27</v>
      </c>
      <c r="B777" s="4" t="s">
        <v>44</v>
      </c>
      <c r="C777" s="4" t="s">
        <v>23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44531</v>
      </c>
      <c r="J777" s="6">
        <v>0</v>
      </c>
      <c r="K777" s="6">
        <v>0</v>
      </c>
      <c r="L777" s="6">
        <v>-0.155</v>
      </c>
      <c r="M777" s="6">
        <v>-0.155</v>
      </c>
      <c r="N777" s="6">
        <v>-0.155</v>
      </c>
      <c r="O777" s="6">
        <v>-0.155</v>
      </c>
      <c r="P777" s="6">
        <v>0</v>
      </c>
      <c r="Q777" s="4" t="s">
        <v>26</v>
      </c>
      <c r="R777" s="4">
        <v>0</v>
      </c>
      <c r="S777" s="6">
        <v>0</v>
      </c>
      <c r="T777" s="6">
        <v>43</v>
      </c>
      <c r="U777" s="6">
        <v>84</v>
      </c>
      <c r="V777" s="6">
        <f>IF(ISERROR(VLOOKUP($S$777,'TAR FIN'!$A$1:$O$103,15,0)),0,VLOOKUP($S$777,'TAR FIN'!$A$1:$O$103,15,0))</f>
        <v>0</v>
      </c>
      <c r="W777" s="6">
        <f>IF(ISERROR(VLOOKUP($T$777,'TAR FIN'!$A$1:$O$103,15,0)),0,VLOOKUP($T$777,'TAR FIN'!$A$1:$O$103,15,0))</f>
        <v>237.52</v>
      </c>
      <c r="X777" s="6">
        <f>IF(ISERROR(VLOOKUP($U$777,'TAR FIN'!$A$1:$O$103,15,0)),0,VLOOKUP($U$777,'TAR FIN'!$A$1:$O$103,15,0))</f>
        <v>254.23</v>
      </c>
      <c r="Y777" s="6"/>
      <c r="Z777" s="6">
        <f ca="1">('TUSD BE'!$AM$43+'TUSD BF'!$AM$43+'TUSD CVA'!$AM$43)*(1-CUSTOS!$M$38)</f>
        <v>340.73849544844359</v>
      </c>
      <c r="AA777" s="6">
        <f>('TE BE'!$AB$27+'TE BF'!$AB$27+'TE CVA'!$AB$27)*(1-CUSTOS!$M$38)</f>
        <v>255.71595640830878</v>
      </c>
      <c r="AB777" s="6">
        <f>$K$777*$V$777</f>
        <v>0</v>
      </c>
      <c r="AC777" s="6">
        <f>$M$777*$W$777</f>
        <v>-36.815600000000003</v>
      </c>
      <c r="AD777" s="6">
        <f>$O$777*$X$777</f>
        <v>-39.405650000000001</v>
      </c>
      <c r="AE777" s="6">
        <f>$K$777*$Y$777</f>
        <v>0</v>
      </c>
      <c r="AF777" s="6">
        <f ca="1">$M$777*$Z$777</f>
        <v>-52.814466794508753</v>
      </c>
      <c r="AG777" s="6">
        <f>$O$777*$AA$777</f>
        <v>-39.635973243287864</v>
      </c>
    </row>
    <row r="778" spans="1:33" ht="11.25" customHeight="1" x14ac:dyDescent="0.25">
      <c r="A778" s="4" t="s">
        <v>28</v>
      </c>
      <c r="B778" s="4" t="s">
        <v>44</v>
      </c>
      <c r="C778" s="4" t="s">
        <v>23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44531</v>
      </c>
      <c r="J778" s="6">
        <v>0</v>
      </c>
      <c r="K778" s="6">
        <v>0</v>
      </c>
      <c r="L778" s="6">
        <v>2.7130000000000001</v>
      </c>
      <c r="M778" s="6">
        <v>2.7130000000000001</v>
      </c>
      <c r="N778" s="6">
        <v>2.7130000000000001</v>
      </c>
      <c r="O778" s="6">
        <v>2.7130000000000001</v>
      </c>
      <c r="P778" s="6">
        <v>19</v>
      </c>
      <c r="Q778" s="4" t="s">
        <v>26</v>
      </c>
      <c r="R778" s="4">
        <v>0</v>
      </c>
      <c r="S778" s="6">
        <v>0</v>
      </c>
      <c r="T778" s="6">
        <v>43</v>
      </c>
      <c r="U778" s="6">
        <v>84</v>
      </c>
      <c r="V778" s="6">
        <f>IF(ISERROR(VLOOKUP($S$778,'TAR FIN'!$A$1:$O$103,15,0)),0,VLOOKUP($S$778,'TAR FIN'!$A$1:$O$103,15,0))</f>
        <v>0</v>
      </c>
      <c r="W778" s="6">
        <f>IF(ISERROR(VLOOKUP($T$778,'TAR FIN'!$A$1:$O$103,15,0)),0,VLOOKUP($T$778,'TAR FIN'!$A$1:$O$103,15,0))</f>
        <v>237.52</v>
      </c>
      <c r="X778" s="6">
        <f>IF(ISERROR(VLOOKUP($U$778,'TAR FIN'!$A$1:$O$103,15,0)),0,VLOOKUP($U$778,'TAR FIN'!$A$1:$O$103,15,0))</f>
        <v>254.23</v>
      </c>
      <c r="Y778" s="6"/>
      <c r="Z778" s="6">
        <f ca="1">('TUSD BE'!$AM$43+'TUSD BF'!$AM$43+'TUSD CVA'!$AM$43)*(1-CUSTOS!$M$38)</f>
        <v>340.73849544844359</v>
      </c>
      <c r="AA778" s="6">
        <f>('TE BE'!$AB$27+'TE BF'!$AB$27+'TE CVA'!$AB$27)*(1-CUSTOS!$M$38)</f>
        <v>255.71595640830878</v>
      </c>
      <c r="AB778" s="6">
        <f>$K$778*$V$778</f>
        <v>0</v>
      </c>
      <c r="AC778" s="6">
        <f>$M$778*$W$778</f>
        <v>644.39176000000009</v>
      </c>
      <c r="AD778" s="6">
        <f>$O$778*$X$778</f>
        <v>689.72599000000002</v>
      </c>
      <c r="AE778" s="6">
        <f>$K$778*$Y$778</f>
        <v>0</v>
      </c>
      <c r="AF778" s="6">
        <f ca="1">$M$778*$Z$778</f>
        <v>924.42353815162744</v>
      </c>
      <c r="AG778" s="6">
        <f>$O$778*$AA$778</f>
        <v>693.75738973574175</v>
      </c>
    </row>
    <row r="779" spans="1:33" ht="11.25" customHeight="1" x14ac:dyDescent="0.25">
      <c r="A779" s="4" t="s">
        <v>21</v>
      </c>
      <c r="B779" s="4" t="s">
        <v>44</v>
      </c>
      <c r="C779" s="4" t="s">
        <v>23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44562</v>
      </c>
      <c r="J779" s="6">
        <v>0</v>
      </c>
      <c r="K779" s="6">
        <v>0</v>
      </c>
      <c r="L779" s="6">
        <v>523.37199999999996</v>
      </c>
      <c r="M779" s="6">
        <v>523.37199999999996</v>
      </c>
      <c r="N779" s="6">
        <v>523.37199999999996</v>
      </c>
      <c r="O779" s="6">
        <v>523.37199999999996</v>
      </c>
      <c r="P779" s="6">
        <v>1733</v>
      </c>
      <c r="Q779" s="4" t="s">
        <v>26</v>
      </c>
      <c r="R779" s="4">
        <v>0</v>
      </c>
      <c r="S779" s="6">
        <v>0</v>
      </c>
      <c r="T779" s="6">
        <v>43</v>
      </c>
      <c r="U779" s="6">
        <v>84</v>
      </c>
      <c r="V779" s="6">
        <f>IF(ISERROR(VLOOKUP($S$779,'TAR FIN'!$A$1:$O$103,15,0)),0,VLOOKUP($S$779,'TAR FIN'!$A$1:$O$103,15,0))</f>
        <v>0</v>
      </c>
      <c r="W779" s="6">
        <f>IF(ISERROR(VLOOKUP($T$779,'TAR FIN'!$A$1:$O$103,15,0)),0,VLOOKUP($T$779,'TAR FIN'!$A$1:$O$103,15,0))</f>
        <v>237.52</v>
      </c>
      <c r="X779" s="6">
        <f>IF(ISERROR(VLOOKUP($U$779,'TAR FIN'!$A$1:$O$103,15,0)),0,VLOOKUP($U$779,'TAR FIN'!$A$1:$O$103,15,0))</f>
        <v>254.23</v>
      </c>
      <c r="Y779" s="6"/>
      <c r="Z779" s="6">
        <f ca="1">('TUSD BE'!$AM$43+'TUSD BF'!$AM$43+'TUSD CVA'!$AM$43)*(1-CUSTOS!$M$38)</f>
        <v>340.73849544844359</v>
      </c>
      <c r="AA779" s="6">
        <f>('TE BE'!$AB$27+'TE BF'!$AB$27+'TE CVA'!$AB$27)*(1-CUSTOS!$M$38)</f>
        <v>255.71595640830878</v>
      </c>
      <c r="AB779" s="6">
        <f>$K$779*$V$779</f>
        <v>0</v>
      </c>
      <c r="AC779" s="6">
        <f>$M$779*$W$779</f>
        <v>124311.31744</v>
      </c>
      <c r="AD779" s="6">
        <f>$O$779*$X$779</f>
        <v>133056.86356</v>
      </c>
      <c r="AE779" s="6">
        <f>$K$779*$Y$779</f>
        <v>0</v>
      </c>
      <c r="AF779" s="6">
        <f ca="1">$M$779*$Z$779</f>
        <v>178332.9878398428</v>
      </c>
      <c r="AG779" s="6">
        <f>$O$779*$AA$779</f>
        <v>133834.57153732938</v>
      </c>
    </row>
    <row r="780" spans="1:33" ht="11.25" customHeight="1" x14ac:dyDescent="0.25">
      <c r="A780" s="4" t="s">
        <v>27</v>
      </c>
      <c r="B780" s="4" t="s">
        <v>44</v>
      </c>
      <c r="C780" s="4" t="s">
        <v>23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44562</v>
      </c>
      <c r="J780" s="6">
        <v>0</v>
      </c>
      <c r="K780" s="6">
        <v>0</v>
      </c>
      <c r="L780" s="6">
        <v>-0.97599999999999998</v>
      </c>
      <c r="M780" s="6">
        <v>-0.97599999999999998</v>
      </c>
      <c r="N780" s="6">
        <v>-0.97599999999999998</v>
      </c>
      <c r="O780" s="6">
        <v>-0.97599999999999998</v>
      </c>
      <c r="P780" s="6">
        <v>0</v>
      </c>
      <c r="Q780" s="4" t="s">
        <v>26</v>
      </c>
      <c r="R780" s="4">
        <v>0</v>
      </c>
      <c r="S780" s="6">
        <v>0</v>
      </c>
      <c r="T780" s="6">
        <v>43</v>
      </c>
      <c r="U780" s="6">
        <v>84</v>
      </c>
      <c r="V780" s="6">
        <f>IF(ISERROR(VLOOKUP($S$780,'TAR FIN'!$A$1:$O$103,15,0)),0,VLOOKUP($S$780,'TAR FIN'!$A$1:$O$103,15,0))</f>
        <v>0</v>
      </c>
      <c r="W780" s="6">
        <f>IF(ISERROR(VLOOKUP($T$780,'TAR FIN'!$A$1:$O$103,15,0)),0,VLOOKUP($T$780,'TAR FIN'!$A$1:$O$103,15,0))</f>
        <v>237.52</v>
      </c>
      <c r="X780" s="6">
        <f>IF(ISERROR(VLOOKUP($U$780,'TAR FIN'!$A$1:$O$103,15,0)),0,VLOOKUP($U$780,'TAR FIN'!$A$1:$O$103,15,0))</f>
        <v>254.23</v>
      </c>
      <c r="Y780" s="6"/>
      <c r="Z780" s="6">
        <f ca="1">('TUSD BE'!$AM$43+'TUSD BF'!$AM$43+'TUSD CVA'!$AM$43)*(1-CUSTOS!$M$38)</f>
        <v>340.73849544844359</v>
      </c>
      <c r="AA780" s="6">
        <f>('TE BE'!$AB$27+'TE BF'!$AB$27+'TE CVA'!$AB$27)*(1-CUSTOS!$M$38)</f>
        <v>255.71595640830878</v>
      </c>
      <c r="AB780" s="6">
        <f>$K$780*$V$780</f>
        <v>0</v>
      </c>
      <c r="AC780" s="6">
        <f>$M$780*$W$780</f>
        <v>-231.81952000000001</v>
      </c>
      <c r="AD780" s="6">
        <f>$O$780*$X$780</f>
        <v>-248.12848</v>
      </c>
      <c r="AE780" s="6">
        <f>$K$780*$Y$780</f>
        <v>0</v>
      </c>
      <c r="AF780" s="6">
        <f ca="1">$M$780*$Z$780</f>
        <v>-332.56077155768094</v>
      </c>
      <c r="AG780" s="6">
        <f>$O$780*$AA$780</f>
        <v>-249.57877345450936</v>
      </c>
    </row>
    <row r="781" spans="1:33" ht="11.25" customHeight="1" x14ac:dyDescent="0.25">
      <c r="A781" s="4" t="s">
        <v>28</v>
      </c>
      <c r="B781" s="4" t="s">
        <v>44</v>
      </c>
      <c r="C781" s="4" t="s">
        <v>23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44562</v>
      </c>
      <c r="J781" s="6">
        <v>0</v>
      </c>
      <c r="K781" s="6">
        <v>0</v>
      </c>
      <c r="L781" s="6">
        <v>3.7149999999999999</v>
      </c>
      <c r="M781" s="6">
        <v>3.7149999999999999</v>
      </c>
      <c r="N781" s="6">
        <v>3.7149999999999999</v>
      </c>
      <c r="O781" s="6">
        <v>3.7149999999999999</v>
      </c>
      <c r="P781" s="6">
        <v>21</v>
      </c>
      <c r="Q781" s="4" t="s">
        <v>26</v>
      </c>
      <c r="R781" s="4">
        <v>0</v>
      </c>
      <c r="S781" s="6">
        <v>0</v>
      </c>
      <c r="T781" s="6">
        <v>43</v>
      </c>
      <c r="U781" s="6">
        <v>84</v>
      </c>
      <c r="V781" s="6">
        <f>IF(ISERROR(VLOOKUP($S$781,'TAR FIN'!$A$1:$O$103,15,0)),0,VLOOKUP($S$781,'TAR FIN'!$A$1:$O$103,15,0))</f>
        <v>0</v>
      </c>
      <c r="W781" s="6">
        <f>IF(ISERROR(VLOOKUP($T$781,'TAR FIN'!$A$1:$O$103,15,0)),0,VLOOKUP($T$781,'TAR FIN'!$A$1:$O$103,15,0))</f>
        <v>237.52</v>
      </c>
      <c r="X781" s="6">
        <f>IF(ISERROR(VLOOKUP($U$781,'TAR FIN'!$A$1:$O$103,15,0)),0,VLOOKUP($U$781,'TAR FIN'!$A$1:$O$103,15,0))</f>
        <v>254.23</v>
      </c>
      <c r="Y781" s="6"/>
      <c r="Z781" s="6">
        <f ca="1">('TUSD BE'!$AM$43+'TUSD BF'!$AM$43+'TUSD CVA'!$AM$43)*(1-CUSTOS!$M$38)</f>
        <v>340.73849544844359</v>
      </c>
      <c r="AA781" s="6">
        <f>('TE BE'!$AB$27+'TE BF'!$AB$27+'TE CVA'!$AB$27)*(1-CUSTOS!$M$38)</f>
        <v>255.71595640830878</v>
      </c>
      <c r="AB781" s="6">
        <f>$K$781*$V$781</f>
        <v>0</v>
      </c>
      <c r="AC781" s="6">
        <f>$M$781*$W$781</f>
        <v>882.38679999999999</v>
      </c>
      <c r="AD781" s="6">
        <f>$O$781*$X$781</f>
        <v>944.46444999999994</v>
      </c>
      <c r="AE781" s="6">
        <f>$K$781*$Y$781</f>
        <v>0</v>
      </c>
      <c r="AF781" s="6">
        <f ca="1">$M$781*$Z$781</f>
        <v>1265.843510590968</v>
      </c>
      <c r="AG781" s="6">
        <f>$O$781*$AA$781</f>
        <v>949.98477805686707</v>
      </c>
    </row>
    <row r="782" spans="1:33" ht="11.25" customHeight="1" x14ac:dyDescent="0.25">
      <c r="A782" s="4" t="s">
        <v>21</v>
      </c>
      <c r="B782" s="4" t="s">
        <v>44</v>
      </c>
      <c r="C782" s="4" t="s">
        <v>23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44593</v>
      </c>
      <c r="J782" s="6">
        <v>0</v>
      </c>
      <c r="K782" s="6">
        <v>0</v>
      </c>
      <c r="L782" s="6">
        <v>521.06500000000005</v>
      </c>
      <c r="M782" s="6">
        <v>521.06500000000005</v>
      </c>
      <c r="N782" s="6">
        <v>521.06500000000005</v>
      </c>
      <c r="O782" s="6">
        <v>521.06500000000005</v>
      </c>
      <c r="P782" s="6">
        <v>1728</v>
      </c>
      <c r="Q782" s="4" t="s">
        <v>26</v>
      </c>
      <c r="R782" s="4">
        <v>0</v>
      </c>
      <c r="S782" s="6">
        <v>0</v>
      </c>
      <c r="T782" s="6">
        <v>43</v>
      </c>
      <c r="U782" s="6">
        <v>84</v>
      </c>
      <c r="V782" s="6">
        <f>IF(ISERROR(VLOOKUP($S$782,'TAR FIN'!$A$1:$O$103,15,0)),0,VLOOKUP($S$782,'TAR FIN'!$A$1:$O$103,15,0))</f>
        <v>0</v>
      </c>
      <c r="W782" s="6">
        <f>IF(ISERROR(VLOOKUP($T$782,'TAR FIN'!$A$1:$O$103,15,0)),0,VLOOKUP($T$782,'TAR FIN'!$A$1:$O$103,15,0))</f>
        <v>237.52</v>
      </c>
      <c r="X782" s="6">
        <f>IF(ISERROR(VLOOKUP($U$782,'TAR FIN'!$A$1:$O$103,15,0)),0,VLOOKUP($U$782,'TAR FIN'!$A$1:$O$103,15,0))</f>
        <v>254.23</v>
      </c>
      <c r="Y782" s="6"/>
      <c r="Z782" s="6">
        <f ca="1">('TUSD BE'!$AM$43+'TUSD BF'!$AM$43+'TUSD CVA'!$AM$43)*(1-CUSTOS!$M$38)</f>
        <v>340.73849544844359</v>
      </c>
      <c r="AA782" s="6">
        <f>('TE BE'!$AB$27+'TE BF'!$AB$27+'TE CVA'!$AB$27)*(1-CUSTOS!$M$38)</f>
        <v>255.71595640830878</v>
      </c>
      <c r="AB782" s="6">
        <f>$K$782*$V$782</f>
        <v>0</v>
      </c>
      <c r="AC782" s="6">
        <f>$M$782*$W$782</f>
        <v>123763.35880000002</v>
      </c>
      <c r="AD782" s="6">
        <f>$O$782*$X$782</f>
        <v>132470.35495000001</v>
      </c>
      <c r="AE782" s="6">
        <f>$K$782*$Y$782</f>
        <v>0</v>
      </c>
      <c r="AF782" s="6">
        <f ca="1">$M$782*$Z$782</f>
        <v>177546.90413084326</v>
      </c>
      <c r="AG782" s="6">
        <f>$O$782*$AA$782</f>
        <v>133244.63482589542</v>
      </c>
    </row>
    <row r="783" spans="1:33" ht="11.25" customHeight="1" x14ac:dyDescent="0.25">
      <c r="A783" s="4" t="s">
        <v>21</v>
      </c>
      <c r="B783" s="4" t="s">
        <v>44</v>
      </c>
      <c r="C783" s="4" t="s">
        <v>23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44621</v>
      </c>
      <c r="J783" s="6">
        <v>0</v>
      </c>
      <c r="K783" s="6">
        <v>0</v>
      </c>
      <c r="L783" s="6">
        <v>508.90899999999999</v>
      </c>
      <c r="M783" s="6">
        <v>508.90899999999999</v>
      </c>
      <c r="N783" s="6">
        <v>508.90899999999999</v>
      </c>
      <c r="O783" s="6">
        <v>508.90899999999999</v>
      </c>
      <c r="P783" s="6">
        <v>1728</v>
      </c>
      <c r="Q783" s="4" t="s">
        <v>26</v>
      </c>
      <c r="R783" s="4">
        <v>0</v>
      </c>
      <c r="S783" s="6">
        <v>0</v>
      </c>
      <c r="T783" s="6">
        <v>43</v>
      </c>
      <c r="U783" s="6">
        <v>84</v>
      </c>
      <c r="V783" s="6">
        <f>IF(ISERROR(VLOOKUP($S$783,'TAR FIN'!$A$1:$O$103,15,0)),0,VLOOKUP($S$783,'TAR FIN'!$A$1:$O$103,15,0))</f>
        <v>0</v>
      </c>
      <c r="W783" s="6">
        <f>IF(ISERROR(VLOOKUP($T$783,'TAR FIN'!$A$1:$O$103,15,0)),0,VLOOKUP($T$783,'TAR FIN'!$A$1:$O$103,15,0))</f>
        <v>237.52</v>
      </c>
      <c r="X783" s="6">
        <f>IF(ISERROR(VLOOKUP($U$783,'TAR FIN'!$A$1:$O$103,15,0)),0,VLOOKUP($U$783,'TAR FIN'!$A$1:$O$103,15,0))</f>
        <v>254.23</v>
      </c>
      <c r="Y783" s="6"/>
      <c r="Z783" s="6">
        <f ca="1">('TUSD BE'!$AM$43+'TUSD BF'!$AM$43+'TUSD CVA'!$AM$43)*(1-CUSTOS!$M$38)</f>
        <v>340.73849544844359</v>
      </c>
      <c r="AA783" s="6">
        <f>('TE BE'!$AB$27+'TE BF'!$AB$27+'TE CVA'!$AB$27)*(1-CUSTOS!$M$38)</f>
        <v>255.71595640830878</v>
      </c>
      <c r="AB783" s="6">
        <f>$K$783*$V$783</f>
        <v>0</v>
      </c>
      <c r="AC783" s="6">
        <f>$M$783*$W$783</f>
        <v>120876.06568</v>
      </c>
      <c r="AD783" s="6">
        <f>$O$783*$X$783</f>
        <v>129379.93506999999</v>
      </c>
      <c r="AE783" s="6">
        <f>$K$783*$Y$783</f>
        <v>0</v>
      </c>
      <c r="AF783" s="6">
        <f ca="1">$M$783*$Z$783</f>
        <v>173404.88698017198</v>
      </c>
      <c r="AG783" s="6">
        <f>$O$783*$AA$783</f>
        <v>130136.15165979601</v>
      </c>
    </row>
    <row r="784" spans="1:33" ht="11.25" customHeight="1" x14ac:dyDescent="0.25">
      <c r="A784" s="4" t="s">
        <v>28</v>
      </c>
      <c r="B784" s="4" t="s">
        <v>44</v>
      </c>
      <c r="C784" s="4" t="s">
        <v>23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44621</v>
      </c>
      <c r="J784" s="6">
        <v>0</v>
      </c>
      <c r="K784" s="6">
        <v>0</v>
      </c>
      <c r="L784" s="6">
        <v>5.8129999999999997</v>
      </c>
      <c r="M784" s="6">
        <v>5.8129999999999997</v>
      </c>
      <c r="N784" s="6">
        <v>5.8129999999999997</v>
      </c>
      <c r="O784" s="6">
        <v>5.8129999999999997</v>
      </c>
      <c r="P784" s="6">
        <v>24</v>
      </c>
      <c r="Q784" s="4" t="s">
        <v>26</v>
      </c>
      <c r="R784" s="4">
        <v>0</v>
      </c>
      <c r="S784" s="6">
        <v>0</v>
      </c>
      <c r="T784" s="6">
        <v>43</v>
      </c>
      <c r="U784" s="6">
        <v>84</v>
      </c>
      <c r="V784" s="6">
        <f>IF(ISERROR(VLOOKUP($S$784,'TAR FIN'!$A$1:$O$103,15,0)),0,VLOOKUP($S$784,'TAR FIN'!$A$1:$O$103,15,0))</f>
        <v>0</v>
      </c>
      <c r="W784" s="6">
        <f>IF(ISERROR(VLOOKUP($T$784,'TAR FIN'!$A$1:$O$103,15,0)),0,VLOOKUP($T$784,'TAR FIN'!$A$1:$O$103,15,0))</f>
        <v>237.52</v>
      </c>
      <c r="X784" s="6">
        <f>IF(ISERROR(VLOOKUP($U$784,'TAR FIN'!$A$1:$O$103,15,0)),0,VLOOKUP($U$784,'TAR FIN'!$A$1:$O$103,15,0))</f>
        <v>254.23</v>
      </c>
      <c r="Y784" s="6"/>
      <c r="Z784" s="6">
        <f ca="1">('TUSD BE'!$AM$43+'TUSD BF'!$AM$43+'TUSD CVA'!$AM$43)*(1-CUSTOS!$M$38)</f>
        <v>340.73849544844359</v>
      </c>
      <c r="AA784" s="6">
        <f>('TE BE'!$AB$27+'TE BF'!$AB$27+'TE CVA'!$AB$27)*(1-CUSTOS!$M$38)</f>
        <v>255.71595640830878</v>
      </c>
      <c r="AB784" s="6">
        <f>$K$784*$V$784</f>
        <v>0</v>
      </c>
      <c r="AC784" s="6">
        <f>$M$784*$W$784</f>
        <v>1380.7037600000001</v>
      </c>
      <c r="AD784" s="6">
        <f>$O$784*$X$784</f>
        <v>1477.83899</v>
      </c>
      <c r="AE784" s="6">
        <f>$K$784*$Y$784</f>
        <v>0</v>
      </c>
      <c r="AF784" s="6">
        <f ca="1">$M$784*$Z$784</f>
        <v>1980.7128740418025</v>
      </c>
      <c r="AG784" s="6">
        <f>$O$784*$AA$784</f>
        <v>1486.4768546014989</v>
      </c>
    </row>
    <row r="785" spans="1:33" ht="11.25" customHeight="1" x14ac:dyDescent="0.25">
      <c r="A785" s="4" t="s">
        <v>21</v>
      </c>
      <c r="B785" s="4" t="s">
        <v>44</v>
      </c>
      <c r="C785" s="4" t="s">
        <v>23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44652</v>
      </c>
      <c r="J785" s="6">
        <v>0</v>
      </c>
      <c r="K785" s="6">
        <v>0</v>
      </c>
      <c r="L785" s="6">
        <v>484.93299999999999</v>
      </c>
      <c r="M785" s="6">
        <v>484.93299999999999</v>
      </c>
      <c r="N785" s="6">
        <v>484.93299999999999</v>
      </c>
      <c r="O785" s="6">
        <v>484.93299999999999</v>
      </c>
      <c r="P785" s="6">
        <v>1705</v>
      </c>
      <c r="Q785" s="4" t="s">
        <v>26</v>
      </c>
      <c r="R785" s="4">
        <v>0</v>
      </c>
      <c r="S785" s="6">
        <v>0</v>
      </c>
      <c r="T785" s="6">
        <v>43</v>
      </c>
      <c r="U785" s="6">
        <v>84</v>
      </c>
      <c r="V785" s="6">
        <f>IF(ISERROR(VLOOKUP($S$785,'TAR FIN'!$A$1:$O$103,15,0)),0,VLOOKUP($S$785,'TAR FIN'!$A$1:$O$103,15,0))</f>
        <v>0</v>
      </c>
      <c r="W785" s="6">
        <f>IF(ISERROR(VLOOKUP($T$785,'TAR FIN'!$A$1:$O$103,15,0)),0,VLOOKUP($T$785,'TAR FIN'!$A$1:$O$103,15,0))</f>
        <v>237.52</v>
      </c>
      <c r="X785" s="6">
        <f>IF(ISERROR(VLOOKUP($U$785,'TAR FIN'!$A$1:$O$103,15,0)),0,VLOOKUP($U$785,'TAR FIN'!$A$1:$O$103,15,0))</f>
        <v>254.23</v>
      </c>
      <c r="Y785" s="6"/>
      <c r="Z785" s="6">
        <f ca="1">('TUSD BE'!$AM$43+'TUSD BF'!$AM$43+'TUSD CVA'!$AM$43)*(1-CUSTOS!$M$38)</f>
        <v>340.73849544844359</v>
      </c>
      <c r="AA785" s="6">
        <f>('TE BE'!$AB$27+'TE BF'!$AB$27+'TE CVA'!$AB$27)*(1-CUSTOS!$M$38)</f>
        <v>255.71595640830878</v>
      </c>
      <c r="AB785" s="6">
        <f>$K$785*$V$785</f>
        <v>0</v>
      </c>
      <c r="AC785" s="6">
        <f>$M$785*$W$785</f>
        <v>115181.28616</v>
      </c>
      <c r="AD785" s="6">
        <f>$O$785*$X$785</f>
        <v>123284.51659</v>
      </c>
      <c r="AE785" s="6">
        <f>$K$785*$Y$785</f>
        <v>0</v>
      </c>
      <c r="AF785" s="6">
        <f ca="1">$M$785*$Z$785</f>
        <v>165235.34081330008</v>
      </c>
      <c r="AG785" s="6">
        <f>$O$785*$AA$785</f>
        <v>124005.10588895041</v>
      </c>
    </row>
    <row r="786" spans="1:33" ht="11.25" customHeight="1" x14ac:dyDescent="0.25">
      <c r="A786" s="4" t="s">
        <v>28</v>
      </c>
      <c r="B786" s="4" t="s">
        <v>44</v>
      </c>
      <c r="C786" s="4" t="s">
        <v>23</v>
      </c>
      <c r="D786" s="4" t="s">
        <v>45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44652</v>
      </c>
      <c r="J786" s="6">
        <v>0</v>
      </c>
      <c r="K786" s="6">
        <v>0</v>
      </c>
      <c r="L786" s="6">
        <v>7.4870000000000001</v>
      </c>
      <c r="M786" s="6">
        <v>7.4870000000000001</v>
      </c>
      <c r="N786" s="6">
        <v>7.4870000000000001</v>
      </c>
      <c r="O786" s="6">
        <v>7.4870000000000001</v>
      </c>
      <c r="P786" s="6">
        <v>24</v>
      </c>
      <c r="Q786" s="4" t="s">
        <v>26</v>
      </c>
      <c r="R786" s="4">
        <v>0</v>
      </c>
      <c r="S786" s="6">
        <v>0</v>
      </c>
      <c r="T786" s="6">
        <v>43</v>
      </c>
      <c r="U786" s="6">
        <v>84</v>
      </c>
      <c r="V786" s="6">
        <f>IF(ISERROR(VLOOKUP($S$786,'TAR FIN'!$A$1:$O$103,15,0)),0,VLOOKUP($S$786,'TAR FIN'!$A$1:$O$103,15,0))</f>
        <v>0</v>
      </c>
      <c r="W786" s="6">
        <f>IF(ISERROR(VLOOKUP($T$786,'TAR FIN'!$A$1:$O$103,15,0)),0,VLOOKUP($T$786,'TAR FIN'!$A$1:$O$103,15,0))</f>
        <v>237.52</v>
      </c>
      <c r="X786" s="6">
        <f>IF(ISERROR(VLOOKUP($U$786,'TAR FIN'!$A$1:$O$103,15,0)),0,VLOOKUP($U$786,'TAR FIN'!$A$1:$O$103,15,0))</f>
        <v>254.23</v>
      </c>
      <c r="Y786" s="6"/>
      <c r="Z786" s="6">
        <f ca="1">('TUSD BE'!$AM$43+'TUSD BF'!$AM$43+'TUSD CVA'!$AM$43)*(1-CUSTOS!$M$38)</f>
        <v>340.73849544844359</v>
      </c>
      <c r="AA786" s="6">
        <f>('TE BE'!$AB$27+'TE BF'!$AB$27+'TE CVA'!$AB$27)*(1-CUSTOS!$M$38)</f>
        <v>255.71595640830878</v>
      </c>
      <c r="AB786" s="6">
        <f>$K$786*$V$786</f>
        <v>0</v>
      </c>
      <c r="AC786" s="6">
        <f>$M$786*$W$786</f>
        <v>1778.3122400000002</v>
      </c>
      <c r="AD786" s="6">
        <f>$O$786*$X$786</f>
        <v>1903.42001</v>
      </c>
      <c r="AE786" s="6">
        <f>$K$786*$Y$786</f>
        <v>0</v>
      </c>
      <c r="AF786" s="6">
        <f ca="1">$M$786*$Z$786</f>
        <v>2551.1091154224973</v>
      </c>
      <c r="AG786" s="6">
        <f>$O$786*$AA$786</f>
        <v>1914.5453656290078</v>
      </c>
    </row>
    <row r="787" spans="1:33" ht="11.25" customHeight="1" x14ac:dyDescent="0.25">
      <c r="A787" s="4" t="s">
        <v>21</v>
      </c>
      <c r="B787" s="4" t="s">
        <v>44</v>
      </c>
      <c r="C787" s="4" t="s">
        <v>23</v>
      </c>
      <c r="D787" s="4" t="s">
        <v>45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44682</v>
      </c>
      <c r="J787" s="6">
        <v>0</v>
      </c>
      <c r="K787" s="6">
        <v>0</v>
      </c>
      <c r="L787" s="6">
        <v>504.78500000000003</v>
      </c>
      <c r="M787" s="6">
        <v>504.78500000000003</v>
      </c>
      <c r="N787" s="6">
        <v>504.78500000000003</v>
      </c>
      <c r="O787" s="6">
        <v>504.78500000000003</v>
      </c>
      <c r="P787" s="6">
        <v>1691</v>
      </c>
      <c r="Q787" s="4" t="s">
        <v>26</v>
      </c>
      <c r="R787" s="4">
        <v>0</v>
      </c>
      <c r="S787" s="6">
        <v>0</v>
      </c>
      <c r="T787" s="6">
        <v>43</v>
      </c>
      <c r="U787" s="6">
        <v>84</v>
      </c>
      <c r="V787" s="6">
        <f>IF(ISERROR(VLOOKUP($S$787,'TAR FIN'!$A$1:$O$103,15,0)),0,VLOOKUP($S$787,'TAR FIN'!$A$1:$O$103,15,0))</f>
        <v>0</v>
      </c>
      <c r="W787" s="6">
        <f>IF(ISERROR(VLOOKUP($T$787,'TAR FIN'!$A$1:$O$103,15,0)),0,VLOOKUP($T$787,'TAR FIN'!$A$1:$O$103,15,0))</f>
        <v>237.52</v>
      </c>
      <c r="X787" s="6">
        <f>IF(ISERROR(VLOOKUP($U$787,'TAR FIN'!$A$1:$O$103,15,0)),0,VLOOKUP($U$787,'TAR FIN'!$A$1:$O$103,15,0))</f>
        <v>254.23</v>
      </c>
      <c r="Y787" s="6"/>
      <c r="Z787" s="6">
        <f ca="1">('TUSD BE'!$AM$43+'TUSD BF'!$AM$43+'TUSD CVA'!$AM$43)*(1-CUSTOS!$M$38)</f>
        <v>340.73849544844359</v>
      </c>
      <c r="AA787" s="6">
        <f>('TE BE'!$AB$27+'TE BF'!$AB$27+'TE CVA'!$AB$27)*(1-CUSTOS!$M$38)</f>
        <v>255.71595640830878</v>
      </c>
      <c r="AB787" s="6">
        <f>$K$787*$V$787</f>
        <v>0</v>
      </c>
      <c r="AC787" s="6">
        <f>$M$787*$W$787</f>
        <v>119896.53320000001</v>
      </c>
      <c r="AD787" s="6">
        <f>$O$787*$X$787</f>
        <v>128331.49055</v>
      </c>
      <c r="AE787" s="6">
        <f>$K$787*$Y$787</f>
        <v>0</v>
      </c>
      <c r="AF787" s="6">
        <f ca="1">$M$787*$Z$787</f>
        <v>171999.6814249426</v>
      </c>
      <c r="AG787" s="6">
        <f>$O$787*$AA$787</f>
        <v>129081.57905556816</v>
      </c>
    </row>
    <row r="788" spans="1:33" ht="11.25" customHeight="1" x14ac:dyDescent="0.25">
      <c r="A788" s="4" t="s">
        <v>27</v>
      </c>
      <c r="B788" s="4" t="s">
        <v>44</v>
      </c>
      <c r="C788" s="4" t="s">
        <v>23</v>
      </c>
      <c r="D788" s="4" t="s">
        <v>45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44682</v>
      </c>
      <c r="J788" s="6">
        <v>0</v>
      </c>
      <c r="K788" s="6">
        <v>0</v>
      </c>
      <c r="L788" s="6">
        <v>0.27500000000000002</v>
      </c>
      <c r="M788" s="6">
        <v>0.27500000000000002</v>
      </c>
      <c r="N788" s="6">
        <v>0.27500000000000002</v>
      </c>
      <c r="O788" s="6">
        <v>0.27500000000000002</v>
      </c>
      <c r="P788" s="6">
        <v>0</v>
      </c>
      <c r="Q788" s="4" t="s">
        <v>26</v>
      </c>
      <c r="R788" s="4">
        <v>0</v>
      </c>
      <c r="S788" s="6">
        <v>0</v>
      </c>
      <c r="T788" s="6">
        <v>43</v>
      </c>
      <c r="U788" s="6">
        <v>84</v>
      </c>
      <c r="V788" s="6">
        <f>IF(ISERROR(VLOOKUP($S$788,'TAR FIN'!$A$1:$O$103,15,0)),0,VLOOKUP($S$788,'TAR FIN'!$A$1:$O$103,15,0))</f>
        <v>0</v>
      </c>
      <c r="W788" s="6">
        <f>IF(ISERROR(VLOOKUP($T$788,'TAR FIN'!$A$1:$O$103,15,0)),0,VLOOKUP($T$788,'TAR FIN'!$A$1:$O$103,15,0))</f>
        <v>237.52</v>
      </c>
      <c r="X788" s="6">
        <f>IF(ISERROR(VLOOKUP($U$788,'TAR FIN'!$A$1:$O$103,15,0)),0,VLOOKUP($U$788,'TAR FIN'!$A$1:$O$103,15,0))</f>
        <v>254.23</v>
      </c>
      <c r="Y788" s="6"/>
      <c r="Z788" s="6">
        <f ca="1">('TUSD BE'!$AM$43+'TUSD BF'!$AM$43+'TUSD CVA'!$AM$43)*(1-CUSTOS!$M$38)</f>
        <v>340.73849544844359</v>
      </c>
      <c r="AA788" s="6">
        <f>('TE BE'!$AB$27+'TE BF'!$AB$27+'TE CVA'!$AB$27)*(1-CUSTOS!$M$38)</f>
        <v>255.71595640830878</v>
      </c>
      <c r="AB788" s="6">
        <f>$K$788*$V$788</f>
        <v>0</v>
      </c>
      <c r="AC788" s="6">
        <f>$M$788*$W$788</f>
        <v>65.318000000000012</v>
      </c>
      <c r="AD788" s="6">
        <f>$O$788*$X$788</f>
        <v>69.913250000000005</v>
      </c>
      <c r="AE788" s="6">
        <f>$K$788*$Y$788</f>
        <v>0</v>
      </c>
      <c r="AF788" s="6">
        <f ca="1">$M$788*$Z$788</f>
        <v>93.703086248321995</v>
      </c>
      <c r="AG788" s="6">
        <f>$O$788*$AA$788</f>
        <v>70.321888012284916</v>
      </c>
    </row>
    <row r="789" spans="1:33" ht="11.25" customHeight="1" x14ac:dyDescent="0.25">
      <c r="A789" s="4" t="s">
        <v>28</v>
      </c>
      <c r="B789" s="4" t="s">
        <v>44</v>
      </c>
      <c r="C789" s="4" t="s">
        <v>23</v>
      </c>
      <c r="D789" s="4" t="s">
        <v>45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44682</v>
      </c>
      <c r="J789" s="6">
        <v>0</v>
      </c>
      <c r="K789" s="6">
        <v>0</v>
      </c>
      <c r="L789" s="6">
        <v>8.8949999999999996</v>
      </c>
      <c r="M789" s="6">
        <v>8.8949999999999996</v>
      </c>
      <c r="N789" s="6">
        <v>8.8949999999999996</v>
      </c>
      <c r="O789" s="6">
        <v>8.8949999999999996</v>
      </c>
      <c r="P789" s="6">
        <v>29</v>
      </c>
      <c r="Q789" s="4" t="s">
        <v>26</v>
      </c>
      <c r="R789" s="4">
        <v>0</v>
      </c>
      <c r="S789" s="6">
        <v>0</v>
      </c>
      <c r="T789" s="6">
        <v>43</v>
      </c>
      <c r="U789" s="6">
        <v>84</v>
      </c>
      <c r="V789" s="6">
        <f>IF(ISERROR(VLOOKUP($S$789,'TAR FIN'!$A$1:$O$103,15,0)),0,VLOOKUP($S$789,'TAR FIN'!$A$1:$O$103,15,0))</f>
        <v>0</v>
      </c>
      <c r="W789" s="6">
        <f>IF(ISERROR(VLOOKUP($T$789,'TAR FIN'!$A$1:$O$103,15,0)),0,VLOOKUP($T$789,'TAR FIN'!$A$1:$O$103,15,0))</f>
        <v>237.52</v>
      </c>
      <c r="X789" s="6">
        <f>IF(ISERROR(VLOOKUP($U$789,'TAR FIN'!$A$1:$O$103,15,0)),0,VLOOKUP($U$789,'TAR FIN'!$A$1:$O$103,15,0))</f>
        <v>254.23</v>
      </c>
      <c r="Y789" s="6"/>
      <c r="Z789" s="6">
        <f ca="1">('TUSD BE'!$AM$43+'TUSD BF'!$AM$43+'TUSD CVA'!$AM$43)*(1-CUSTOS!$M$38)</f>
        <v>340.73849544844359</v>
      </c>
      <c r="AA789" s="6">
        <f>('TE BE'!$AB$27+'TE BF'!$AB$27+'TE CVA'!$AB$27)*(1-CUSTOS!$M$38)</f>
        <v>255.71595640830878</v>
      </c>
      <c r="AB789" s="6">
        <f>$K$789*$V$789</f>
        <v>0</v>
      </c>
      <c r="AC789" s="6">
        <f>$M$789*$W$789</f>
        <v>2112.7404000000001</v>
      </c>
      <c r="AD789" s="6">
        <f>$O$789*$X$789</f>
        <v>2261.3758499999999</v>
      </c>
      <c r="AE789" s="6">
        <f>$K$789*$Y$789</f>
        <v>0</v>
      </c>
      <c r="AF789" s="6">
        <f ca="1">$M$789*$Z$789</f>
        <v>3030.8689170139055</v>
      </c>
      <c r="AG789" s="6">
        <f>$O$789*$AA$789</f>
        <v>2274.5934322519065</v>
      </c>
    </row>
    <row r="790" spans="1:33" ht="11.25" customHeight="1" x14ac:dyDescent="0.25">
      <c r="A790" s="4" t="s">
        <v>21</v>
      </c>
      <c r="B790" s="4" t="s">
        <v>39</v>
      </c>
      <c r="C790" s="4" t="s">
        <v>36</v>
      </c>
      <c r="D790" s="4" t="s">
        <v>43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44348</v>
      </c>
      <c r="J790" s="6">
        <v>0</v>
      </c>
      <c r="K790" s="6">
        <v>0</v>
      </c>
      <c r="L790" s="6">
        <v>30.501999999999999</v>
      </c>
      <c r="M790" s="6">
        <v>30.501999999999999</v>
      </c>
      <c r="N790" s="6">
        <v>30.501999999999999</v>
      </c>
      <c r="O790" s="6">
        <v>30.501999999999999</v>
      </c>
      <c r="P790" s="6">
        <v>0</v>
      </c>
      <c r="Q790" s="4" t="s">
        <v>26</v>
      </c>
      <c r="R790" s="4">
        <v>0</v>
      </c>
      <c r="S790" s="6">
        <v>0</v>
      </c>
      <c r="T790" s="6">
        <v>57</v>
      </c>
      <c r="U790" s="6">
        <v>98</v>
      </c>
      <c r="V790" s="6">
        <f>IF(ISERROR(VLOOKUP($S$790,'TAR FIN'!$A$1:$O$103,15,0)),0,VLOOKUP($S$790,'TAR FIN'!$A$1:$O$103,15,0))</f>
        <v>0</v>
      </c>
      <c r="W790" s="6">
        <f>IF(ISERROR(VLOOKUP($T$790,'TAR FIN'!$A$1:$O$103,15,0)),0,VLOOKUP($T$790,'TAR FIN'!$A$1:$O$103,15,0))</f>
        <v>214.77</v>
      </c>
      <c r="X790" s="6">
        <f>IF(ISERROR(VLOOKUP($U$790,'TAR FIN'!$A$1:$O$103,15,0)),0,VLOOKUP($U$790,'TAR FIN'!$A$1:$O$103,15,0))</f>
        <v>275.36</v>
      </c>
      <c r="Y790" s="6"/>
      <c r="Z790" s="6">
        <f ca="1">('TUSD BE'!$AM$57+'TUSD BF'!$AM$57+'TUSD CVA'!$AM$57)*1</f>
        <v>296.3770674346905</v>
      </c>
      <c r="AA790" s="6">
        <f>('TE BE'!$AB$41+'TE BF'!$AB$41+'TE CVA'!$AB$41)*1</f>
        <v>259.03677522481752</v>
      </c>
      <c r="AB790" s="6">
        <f>$K$790*$V$790</f>
        <v>0</v>
      </c>
      <c r="AC790" s="6">
        <f>$M$790*$W$790</f>
        <v>6550.9145399999998</v>
      </c>
      <c r="AD790" s="6">
        <f>$O$790*$X$790</f>
        <v>8399.0307200000007</v>
      </c>
      <c r="AE790" s="6">
        <f>$K$790*$Y$790</f>
        <v>0</v>
      </c>
      <c r="AF790" s="6">
        <f ca="1">$M$790*$Z$790</f>
        <v>9040.0933108929294</v>
      </c>
      <c r="AG790" s="6">
        <f>$O$790*$AA$790</f>
        <v>7901.1397179073838</v>
      </c>
    </row>
    <row r="791" spans="1:33" ht="11.25" customHeight="1" x14ac:dyDescent="0.25">
      <c r="A791" s="4" t="s">
        <v>21</v>
      </c>
      <c r="B791" s="4" t="s">
        <v>39</v>
      </c>
      <c r="C791" s="4" t="s">
        <v>36</v>
      </c>
      <c r="D791" s="4" t="s">
        <v>43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44378</v>
      </c>
      <c r="J791" s="6">
        <v>0</v>
      </c>
      <c r="K791" s="6">
        <v>0</v>
      </c>
      <c r="L791" s="6">
        <v>31.99</v>
      </c>
      <c r="M791" s="6">
        <v>31.99</v>
      </c>
      <c r="N791" s="6">
        <v>31.99</v>
      </c>
      <c r="O791" s="6">
        <v>31.99</v>
      </c>
      <c r="P791" s="6">
        <v>0</v>
      </c>
      <c r="Q791" s="4" t="s">
        <v>26</v>
      </c>
      <c r="R791" s="4">
        <v>0</v>
      </c>
      <c r="S791" s="6">
        <v>0</v>
      </c>
      <c r="T791" s="6">
        <v>57</v>
      </c>
      <c r="U791" s="6">
        <v>98</v>
      </c>
      <c r="V791" s="6">
        <f>IF(ISERROR(VLOOKUP($S$791,'TAR FIN'!$A$1:$O$103,15,0)),0,VLOOKUP($S$791,'TAR FIN'!$A$1:$O$103,15,0))</f>
        <v>0</v>
      </c>
      <c r="W791" s="6">
        <f>IF(ISERROR(VLOOKUP($T$791,'TAR FIN'!$A$1:$O$103,15,0)),0,VLOOKUP($T$791,'TAR FIN'!$A$1:$O$103,15,0))</f>
        <v>214.77</v>
      </c>
      <c r="X791" s="6">
        <f>IF(ISERROR(VLOOKUP($U$791,'TAR FIN'!$A$1:$O$103,15,0)),0,VLOOKUP($U$791,'TAR FIN'!$A$1:$O$103,15,0))</f>
        <v>275.36</v>
      </c>
      <c r="Y791" s="6"/>
      <c r="Z791" s="6">
        <f ca="1">('TUSD BE'!$AM$57+'TUSD BF'!$AM$57+'TUSD CVA'!$AM$57)*1</f>
        <v>296.3770674346905</v>
      </c>
      <c r="AA791" s="6">
        <f>('TE BE'!$AB$41+'TE BF'!$AB$41+'TE CVA'!$AB$41)*1</f>
        <v>259.03677522481752</v>
      </c>
      <c r="AB791" s="6">
        <f>$K$791*$V$791</f>
        <v>0</v>
      </c>
      <c r="AC791" s="6">
        <f>$M$791*$W$791</f>
        <v>6870.4922999999999</v>
      </c>
      <c r="AD791" s="6">
        <f>$O$791*$X$791</f>
        <v>8808.7664000000004</v>
      </c>
      <c r="AE791" s="6">
        <f>$K$791*$Y$791</f>
        <v>0</v>
      </c>
      <c r="AF791" s="6">
        <f ca="1">$M$791*$Z$791</f>
        <v>9481.1023872357491</v>
      </c>
      <c r="AG791" s="6">
        <f>$O$791*$AA$791</f>
        <v>8286.5864394419114</v>
      </c>
    </row>
    <row r="792" spans="1:33" ht="11.25" customHeight="1" x14ac:dyDescent="0.25">
      <c r="A792" s="4" t="s">
        <v>21</v>
      </c>
      <c r="B792" s="4" t="s">
        <v>39</v>
      </c>
      <c r="C792" s="4" t="s">
        <v>36</v>
      </c>
      <c r="D792" s="4" t="s">
        <v>43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44409</v>
      </c>
      <c r="J792" s="6">
        <v>0</v>
      </c>
      <c r="K792" s="6">
        <v>0</v>
      </c>
      <c r="L792" s="6">
        <v>32.703000000000003</v>
      </c>
      <c r="M792" s="6">
        <v>32.703000000000003</v>
      </c>
      <c r="N792" s="6">
        <v>32.703000000000003</v>
      </c>
      <c r="O792" s="6">
        <v>32.703000000000003</v>
      </c>
      <c r="P792" s="6">
        <v>0</v>
      </c>
      <c r="Q792" s="4" t="s">
        <v>26</v>
      </c>
      <c r="R792" s="4">
        <v>0</v>
      </c>
      <c r="S792" s="6">
        <v>0</v>
      </c>
      <c r="T792" s="6">
        <v>57</v>
      </c>
      <c r="U792" s="6">
        <v>98</v>
      </c>
      <c r="V792" s="6">
        <f>IF(ISERROR(VLOOKUP($S$792,'TAR FIN'!$A$1:$O$103,15,0)),0,VLOOKUP($S$792,'TAR FIN'!$A$1:$O$103,15,0))</f>
        <v>0</v>
      </c>
      <c r="W792" s="6">
        <f>IF(ISERROR(VLOOKUP($T$792,'TAR FIN'!$A$1:$O$103,15,0)),0,VLOOKUP($T$792,'TAR FIN'!$A$1:$O$103,15,0))</f>
        <v>214.77</v>
      </c>
      <c r="X792" s="6">
        <f>IF(ISERROR(VLOOKUP($U$792,'TAR FIN'!$A$1:$O$103,15,0)),0,VLOOKUP($U$792,'TAR FIN'!$A$1:$O$103,15,0))</f>
        <v>275.36</v>
      </c>
      <c r="Y792" s="6"/>
      <c r="Z792" s="6">
        <f ca="1">('TUSD BE'!$AM$57+'TUSD BF'!$AM$57+'TUSD CVA'!$AM$57)*1</f>
        <v>296.3770674346905</v>
      </c>
      <c r="AA792" s="6">
        <f>('TE BE'!$AB$41+'TE BF'!$AB$41+'TE CVA'!$AB$41)*1</f>
        <v>259.03677522481752</v>
      </c>
      <c r="AB792" s="6">
        <f>$K$792*$V$792</f>
        <v>0</v>
      </c>
      <c r="AC792" s="6">
        <f>$M$792*$W$792</f>
        <v>7023.6233100000009</v>
      </c>
      <c r="AD792" s="6">
        <f>$O$792*$X$792</f>
        <v>9005.0980800000016</v>
      </c>
      <c r="AE792" s="6">
        <f>$K$792*$Y$792</f>
        <v>0</v>
      </c>
      <c r="AF792" s="6">
        <f ca="1">$M$792*$Z$792</f>
        <v>9692.419236316684</v>
      </c>
      <c r="AG792" s="6">
        <f>$O$792*$AA$792</f>
        <v>8471.2796601772079</v>
      </c>
    </row>
    <row r="793" spans="1:33" ht="11.25" customHeight="1" x14ac:dyDescent="0.25">
      <c r="A793" s="4" t="s">
        <v>21</v>
      </c>
      <c r="B793" s="4" t="s">
        <v>39</v>
      </c>
      <c r="C793" s="4" t="s">
        <v>36</v>
      </c>
      <c r="D793" s="4" t="s">
        <v>43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44440</v>
      </c>
      <c r="J793" s="6">
        <v>0</v>
      </c>
      <c r="K793" s="6">
        <v>0</v>
      </c>
      <c r="L793" s="6">
        <v>34.878</v>
      </c>
      <c r="M793" s="6">
        <v>34.878</v>
      </c>
      <c r="N793" s="6">
        <v>34.878</v>
      </c>
      <c r="O793" s="6">
        <v>34.878</v>
      </c>
      <c r="P793" s="6">
        <v>0</v>
      </c>
      <c r="Q793" s="4" t="s">
        <v>26</v>
      </c>
      <c r="R793" s="4">
        <v>0</v>
      </c>
      <c r="S793" s="6">
        <v>0</v>
      </c>
      <c r="T793" s="6">
        <v>57</v>
      </c>
      <c r="U793" s="6">
        <v>98</v>
      </c>
      <c r="V793" s="6">
        <f>IF(ISERROR(VLOOKUP($S$793,'TAR FIN'!$A$1:$O$103,15,0)),0,VLOOKUP($S$793,'TAR FIN'!$A$1:$O$103,15,0))</f>
        <v>0</v>
      </c>
      <c r="W793" s="6">
        <f>IF(ISERROR(VLOOKUP($T$793,'TAR FIN'!$A$1:$O$103,15,0)),0,VLOOKUP($T$793,'TAR FIN'!$A$1:$O$103,15,0))</f>
        <v>214.77</v>
      </c>
      <c r="X793" s="6">
        <f>IF(ISERROR(VLOOKUP($U$793,'TAR FIN'!$A$1:$O$103,15,0)),0,VLOOKUP($U$793,'TAR FIN'!$A$1:$O$103,15,0))</f>
        <v>275.36</v>
      </c>
      <c r="Y793" s="6"/>
      <c r="Z793" s="6">
        <f ca="1">('TUSD BE'!$AM$57+'TUSD BF'!$AM$57+'TUSD CVA'!$AM$57)*1</f>
        <v>296.3770674346905</v>
      </c>
      <c r="AA793" s="6">
        <f>('TE BE'!$AB$41+'TE BF'!$AB$41+'TE CVA'!$AB$41)*1</f>
        <v>259.03677522481752</v>
      </c>
      <c r="AB793" s="6">
        <f>$K$793*$V$793</f>
        <v>0</v>
      </c>
      <c r="AC793" s="6">
        <f>$M$793*$W$793</f>
        <v>7490.7480600000008</v>
      </c>
      <c r="AD793" s="6">
        <f>$O$793*$X$793</f>
        <v>9604.006080000001</v>
      </c>
      <c r="AE793" s="6">
        <f>$K$793*$Y$793</f>
        <v>0</v>
      </c>
      <c r="AF793" s="6">
        <f ca="1">$M$793*$Z$793</f>
        <v>10337.039357987136</v>
      </c>
      <c r="AG793" s="6">
        <f>$O$793*$AA$793</f>
        <v>9034.6846462911853</v>
      </c>
    </row>
    <row r="794" spans="1:33" ht="11.25" customHeight="1" x14ac:dyDescent="0.25">
      <c r="A794" s="4" t="s">
        <v>21</v>
      </c>
      <c r="B794" s="4" t="s">
        <v>39</v>
      </c>
      <c r="C794" s="4" t="s">
        <v>36</v>
      </c>
      <c r="D794" s="4" t="s">
        <v>43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44470</v>
      </c>
      <c r="J794" s="6">
        <v>0</v>
      </c>
      <c r="K794" s="6">
        <v>0</v>
      </c>
      <c r="L794" s="6">
        <v>35.561</v>
      </c>
      <c r="M794" s="6">
        <v>35.561</v>
      </c>
      <c r="N794" s="6">
        <v>35.561</v>
      </c>
      <c r="O794" s="6">
        <v>35.561</v>
      </c>
      <c r="P794" s="6">
        <v>0</v>
      </c>
      <c r="Q794" s="4" t="s">
        <v>26</v>
      </c>
      <c r="R794" s="4">
        <v>0</v>
      </c>
      <c r="S794" s="6">
        <v>0</v>
      </c>
      <c r="T794" s="6">
        <v>57</v>
      </c>
      <c r="U794" s="6">
        <v>98</v>
      </c>
      <c r="V794" s="6">
        <f>IF(ISERROR(VLOOKUP($S$794,'TAR FIN'!$A$1:$O$103,15,0)),0,VLOOKUP($S$794,'TAR FIN'!$A$1:$O$103,15,0))</f>
        <v>0</v>
      </c>
      <c r="W794" s="6">
        <f>IF(ISERROR(VLOOKUP($T$794,'TAR FIN'!$A$1:$O$103,15,0)),0,VLOOKUP($T$794,'TAR FIN'!$A$1:$O$103,15,0))</f>
        <v>214.77</v>
      </c>
      <c r="X794" s="6">
        <f>IF(ISERROR(VLOOKUP($U$794,'TAR FIN'!$A$1:$O$103,15,0)),0,VLOOKUP($U$794,'TAR FIN'!$A$1:$O$103,15,0))</f>
        <v>275.36</v>
      </c>
      <c r="Y794" s="6"/>
      <c r="Z794" s="6">
        <f ca="1">('TUSD BE'!$AM$57+'TUSD BF'!$AM$57+'TUSD CVA'!$AM$57)*1</f>
        <v>296.3770674346905</v>
      </c>
      <c r="AA794" s="6">
        <f>('TE BE'!$AB$41+'TE BF'!$AB$41+'TE CVA'!$AB$41)*1</f>
        <v>259.03677522481752</v>
      </c>
      <c r="AB794" s="6">
        <f>$K$794*$V$794</f>
        <v>0</v>
      </c>
      <c r="AC794" s="6">
        <f>$M$794*$W$794</f>
        <v>7637.4359700000005</v>
      </c>
      <c r="AD794" s="6">
        <f>$O$794*$X$794</f>
        <v>9792.0769600000003</v>
      </c>
      <c r="AE794" s="6">
        <f>$K$794*$Y$794</f>
        <v>0</v>
      </c>
      <c r="AF794" s="6">
        <f ca="1">$M$794*$Z$794</f>
        <v>10539.464895045028</v>
      </c>
      <c r="AG794" s="6">
        <f>$O$794*$AA$794</f>
        <v>9211.6067637697361</v>
      </c>
    </row>
    <row r="795" spans="1:33" ht="11.25" customHeight="1" x14ac:dyDescent="0.25">
      <c r="A795" s="4" t="s">
        <v>21</v>
      </c>
      <c r="B795" s="4" t="s">
        <v>39</v>
      </c>
      <c r="C795" s="4" t="s">
        <v>36</v>
      </c>
      <c r="D795" s="4" t="s">
        <v>43</v>
      </c>
      <c r="E795" s="4" t="s">
        <v>25</v>
      </c>
      <c r="F795" s="4" t="s">
        <v>25</v>
      </c>
      <c r="G795" s="4" t="s">
        <v>25</v>
      </c>
      <c r="H795" s="4" t="s">
        <v>35</v>
      </c>
      <c r="I795" s="5">
        <v>44501</v>
      </c>
      <c r="J795" s="6">
        <v>0</v>
      </c>
      <c r="K795" s="6">
        <v>0</v>
      </c>
      <c r="L795" s="6">
        <v>34.975999999999999</v>
      </c>
      <c r="M795" s="6">
        <v>34.975999999999999</v>
      </c>
      <c r="N795" s="6">
        <v>34.975999999999999</v>
      </c>
      <c r="O795" s="6">
        <v>34.975999999999999</v>
      </c>
      <c r="P795" s="6">
        <v>0</v>
      </c>
      <c r="Q795" s="4" t="s">
        <v>26</v>
      </c>
      <c r="R795" s="4">
        <v>0</v>
      </c>
      <c r="S795" s="6">
        <v>0</v>
      </c>
      <c r="T795" s="6">
        <v>57</v>
      </c>
      <c r="U795" s="6">
        <v>98</v>
      </c>
      <c r="V795" s="6">
        <f>IF(ISERROR(VLOOKUP($S$795,'TAR FIN'!$A$1:$O$103,15,0)),0,VLOOKUP($S$795,'TAR FIN'!$A$1:$O$103,15,0))</f>
        <v>0</v>
      </c>
      <c r="W795" s="6">
        <f>IF(ISERROR(VLOOKUP($T$795,'TAR FIN'!$A$1:$O$103,15,0)),0,VLOOKUP($T$795,'TAR FIN'!$A$1:$O$103,15,0))</f>
        <v>214.77</v>
      </c>
      <c r="X795" s="6">
        <f>IF(ISERROR(VLOOKUP($U$795,'TAR FIN'!$A$1:$O$103,15,0)),0,VLOOKUP($U$795,'TAR FIN'!$A$1:$O$103,15,0))</f>
        <v>275.36</v>
      </c>
      <c r="Y795" s="6"/>
      <c r="Z795" s="6">
        <f ca="1">('TUSD BE'!$AM$57+'TUSD BF'!$AM$57+'TUSD CVA'!$AM$57)*1</f>
        <v>296.3770674346905</v>
      </c>
      <c r="AA795" s="6">
        <f>('TE BE'!$AB$41+'TE BF'!$AB$41+'TE CVA'!$AB$41)*1</f>
        <v>259.03677522481752</v>
      </c>
      <c r="AB795" s="6">
        <f>$K$795*$V$795</f>
        <v>0</v>
      </c>
      <c r="AC795" s="6">
        <f>$M$795*$W$795</f>
        <v>7511.7955200000006</v>
      </c>
      <c r="AD795" s="6">
        <f>$O$795*$X$795</f>
        <v>9630.99136</v>
      </c>
      <c r="AE795" s="6">
        <f>$K$795*$Y$795</f>
        <v>0</v>
      </c>
      <c r="AF795" s="6">
        <f ca="1">$M$795*$Z$795</f>
        <v>10366.084310595736</v>
      </c>
      <c r="AG795" s="6">
        <f>$O$795*$AA$795</f>
        <v>9060.0702502632175</v>
      </c>
    </row>
    <row r="796" spans="1:33" ht="11.25" customHeight="1" x14ac:dyDescent="0.25">
      <c r="A796" s="4" t="s">
        <v>21</v>
      </c>
      <c r="B796" s="4" t="s">
        <v>39</v>
      </c>
      <c r="C796" s="4" t="s">
        <v>36</v>
      </c>
      <c r="D796" s="4" t="s">
        <v>43</v>
      </c>
      <c r="E796" s="4" t="s">
        <v>25</v>
      </c>
      <c r="F796" s="4" t="s">
        <v>25</v>
      </c>
      <c r="G796" s="4" t="s">
        <v>25</v>
      </c>
      <c r="H796" s="4" t="s">
        <v>35</v>
      </c>
      <c r="I796" s="5">
        <v>44531</v>
      </c>
      <c r="J796" s="6">
        <v>0</v>
      </c>
      <c r="K796" s="6">
        <v>0</v>
      </c>
      <c r="L796" s="6">
        <v>39.262999999999998</v>
      </c>
      <c r="M796" s="6">
        <v>39.262999999999998</v>
      </c>
      <c r="N796" s="6">
        <v>39.262999999999998</v>
      </c>
      <c r="O796" s="6">
        <v>39.262999999999998</v>
      </c>
      <c r="P796" s="6">
        <v>0</v>
      </c>
      <c r="Q796" s="4" t="s">
        <v>26</v>
      </c>
      <c r="R796" s="4">
        <v>0</v>
      </c>
      <c r="S796" s="6">
        <v>0</v>
      </c>
      <c r="T796" s="6">
        <v>57</v>
      </c>
      <c r="U796" s="6">
        <v>98</v>
      </c>
      <c r="V796" s="6">
        <f>IF(ISERROR(VLOOKUP($S$796,'TAR FIN'!$A$1:$O$103,15,0)),0,VLOOKUP($S$796,'TAR FIN'!$A$1:$O$103,15,0))</f>
        <v>0</v>
      </c>
      <c r="W796" s="6">
        <f>IF(ISERROR(VLOOKUP($T$796,'TAR FIN'!$A$1:$O$103,15,0)),0,VLOOKUP($T$796,'TAR FIN'!$A$1:$O$103,15,0))</f>
        <v>214.77</v>
      </c>
      <c r="X796" s="6">
        <f>IF(ISERROR(VLOOKUP($U$796,'TAR FIN'!$A$1:$O$103,15,0)),0,VLOOKUP($U$796,'TAR FIN'!$A$1:$O$103,15,0))</f>
        <v>275.36</v>
      </c>
      <c r="Y796" s="6"/>
      <c r="Z796" s="6">
        <f ca="1">('TUSD BE'!$AM$57+'TUSD BF'!$AM$57+'TUSD CVA'!$AM$57)*1</f>
        <v>296.3770674346905</v>
      </c>
      <c r="AA796" s="6">
        <f>('TE BE'!$AB$41+'TE BF'!$AB$41+'TE CVA'!$AB$41)*1</f>
        <v>259.03677522481752</v>
      </c>
      <c r="AB796" s="6">
        <f>$K$796*$V$796</f>
        <v>0</v>
      </c>
      <c r="AC796" s="6">
        <f>$M$796*$W$796</f>
        <v>8432.5145100000009</v>
      </c>
      <c r="AD796" s="6">
        <f>$O$796*$X$796</f>
        <v>10811.45968</v>
      </c>
      <c r="AE796" s="6">
        <f>$K$796*$Y$796</f>
        <v>0</v>
      </c>
      <c r="AF796" s="6">
        <f ca="1">$M$796*$Z$796</f>
        <v>11636.652798688252</v>
      </c>
      <c r="AG796" s="6">
        <f>$O$796*$AA$796</f>
        <v>10170.56090565201</v>
      </c>
    </row>
    <row r="797" spans="1:33" ht="11.25" customHeight="1" x14ac:dyDescent="0.25">
      <c r="A797" s="4" t="s">
        <v>21</v>
      </c>
      <c r="B797" s="4" t="s">
        <v>39</v>
      </c>
      <c r="C797" s="4" t="s">
        <v>36</v>
      </c>
      <c r="D797" s="4" t="s">
        <v>43</v>
      </c>
      <c r="E797" s="4" t="s">
        <v>25</v>
      </c>
      <c r="F797" s="4" t="s">
        <v>25</v>
      </c>
      <c r="G797" s="4" t="s">
        <v>25</v>
      </c>
      <c r="H797" s="4" t="s">
        <v>35</v>
      </c>
      <c r="I797" s="5">
        <v>44562</v>
      </c>
      <c r="J797" s="6">
        <v>0</v>
      </c>
      <c r="K797" s="6">
        <v>0</v>
      </c>
      <c r="L797" s="6">
        <v>35.311999999999998</v>
      </c>
      <c r="M797" s="6">
        <v>35.311999999999998</v>
      </c>
      <c r="N797" s="6">
        <v>35.311999999999998</v>
      </c>
      <c r="O797" s="6">
        <v>35.311999999999998</v>
      </c>
      <c r="P797" s="6">
        <v>0</v>
      </c>
      <c r="Q797" s="4" t="s">
        <v>26</v>
      </c>
      <c r="R797" s="4">
        <v>0</v>
      </c>
      <c r="S797" s="6">
        <v>0</v>
      </c>
      <c r="T797" s="6">
        <v>57</v>
      </c>
      <c r="U797" s="6">
        <v>98</v>
      </c>
      <c r="V797" s="6">
        <f>IF(ISERROR(VLOOKUP($S$797,'TAR FIN'!$A$1:$O$103,15,0)),0,VLOOKUP($S$797,'TAR FIN'!$A$1:$O$103,15,0))</f>
        <v>0</v>
      </c>
      <c r="W797" s="6">
        <f>IF(ISERROR(VLOOKUP($T$797,'TAR FIN'!$A$1:$O$103,15,0)),0,VLOOKUP($T$797,'TAR FIN'!$A$1:$O$103,15,0))</f>
        <v>214.77</v>
      </c>
      <c r="X797" s="6">
        <f>IF(ISERROR(VLOOKUP($U$797,'TAR FIN'!$A$1:$O$103,15,0)),0,VLOOKUP($U$797,'TAR FIN'!$A$1:$O$103,15,0))</f>
        <v>275.36</v>
      </c>
      <c r="Y797" s="6"/>
      <c r="Z797" s="6">
        <f ca="1">('TUSD BE'!$AM$57+'TUSD BF'!$AM$57+'TUSD CVA'!$AM$57)*1</f>
        <v>296.3770674346905</v>
      </c>
      <c r="AA797" s="6">
        <f>('TE BE'!$AB$41+'TE BF'!$AB$41+'TE CVA'!$AB$41)*1</f>
        <v>259.03677522481752</v>
      </c>
      <c r="AB797" s="6">
        <f>$K$797*$V$797</f>
        <v>0</v>
      </c>
      <c r="AC797" s="6">
        <f>$M$797*$W$797</f>
        <v>7583.9582399999999</v>
      </c>
      <c r="AD797" s="6">
        <f>$O$797*$X$797</f>
        <v>9723.5123199999998</v>
      </c>
      <c r="AE797" s="6">
        <f>$K$797*$Y$797</f>
        <v>0</v>
      </c>
      <c r="AF797" s="6">
        <f ca="1">$M$797*$Z$797</f>
        <v>10465.66700525379</v>
      </c>
      <c r="AG797" s="6">
        <f>$O$797*$AA$797</f>
        <v>9147.1066067387565</v>
      </c>
    </row>
    <row r="798" spans="1:33" ht="11.25" customHeight="1" x14ac:dyDescent="0.25">
      <c r="A798" s="4" t="s">
        <v>21</v>
      </c>
      <c r="B798" s="4" t="s">
        <v>39</v>
      </c>
      <c r="C798" s="4" t="s">
        <v>36</v>
      </c>
      <c r="D798" s="4" t="s">
        <v>43</v>
      </c>
      <c r="E798" s="4" t="s">
        <v>25</v>
      </c>
      <c r="F798" s="4" t="s">
        <v>25</v>
      </c>
      <c r="G798" s="4" t="s">
        <v>25</v>
      </c>
      <c r="H798" s="4" t="s">
        <v>35</v>
      </c>
      <c r="I798" s="5">
        <v>44593</v>
      </c>
      <c r="J798" s="6">
        <v>0</v>
      </c>
      <c r="K798" s="6">
        <v>0</v>
      </c>
      <c r="L798" s="6">
        <v>40.908000000000001</v>
      </c>
      <c r="M798" s="6">
        <v>40.908000000000001</v>
      </c>
      <c r="N798" s="6">
        <v>40.908000000000001</v>
      </c>
      <c r="O798" s="6">
        <v>40.908000000000001</v>
      </c>
      <c r="P798" s="6">
        <v>0</v>
      </c>
      <c r="Q798" s="4" t="s">
        <v>26</v>
      </c>
      <c r="R798" s="4">
        <v>0</v>
      </c>
      <c r="S798" s="6">
        <v>0</v>
      </c>
      <c r="T798" s="6">
        <v>57</v>
      </c>
      <c r="U798" s="6">
        <v>98</v>
      </c>
      <c r="V798" s="6">
        <f>IF(ISERROR(VLOOKUP($S$798,'TAR FIN'!$A$1:$O$103,15,0)),0,VLOOKUP($S$798,'TAR FIN'!$A$1:$O$103,15,0))</f>
        <v>0</v>
      </c>
      <c r="W798" s="6">
        <f>IF(ISERROR(VLOOKUP($T$798,'TAR FIN'!$A$1:$O$103,15,0)),0,VLOOKUP($T$798,'TAR FIN'!$A$1:$O$103,15,0))</f>
        <v>214.77</v>
      </c>
      <c r="X798" s="6">
        <f>IF(ISERROR(VLOOKUP($U$798,'TAR FIN'!$A$1:$O$103,15,0)),0,VLOOKUP($U$798,'TAR FIN'!$A$1:$O$103,15,0))</f>
        <v>275.36</v>
      </c>
      <c r="Y798" s="6"/>
      <c r="Z798" s="6">
        <f ca="1">('TUSD BE'!$AM$57+'TUSD BF'!$AM$57+'TUSD CVA'!$AM$57)*1</f>
        <v>296.3770674346905</v>
      </c>
      <c r="AA798" s="6">
        <f>('TE BE'!$AB$41+'TE BF'!$AB$41+'TE CVA'!$AB$41)*1</f>
        <v>259.03677522481752</v>
      </c>
      <c r="AB798" s="6">
        <f>$K$798*$V$798</f>
        <v>0</v>
      </c>
      <c r="AC798" s="6">
        <f>$M$798*$W$798</f>
        <v>8785.8111600000011</v>
      </c>
      <c r="AD798" s="6">
        <f>$O$798*$X$798</f>
        <v>11264.426880000001</v>
      </c>
      <c r="AE798" s="6">
        <f>$K$798*$Y$798</f>
        <v>0</v>
      </c>
      <c r="AF798" s="6">
        <f ca="1">$M$798*$Z$798</f>
        <v>12124.193074618319</v>
      </c>
      <c r="AG798" s="6">
        <f>$O$798*$AA$798</f>
        <v>10596.676400896835</v>
      </c>
    </row>
    <row r="799" spans="1:33" ht="11.25" customHeight="1" x14ac:dyDescent="0.25">
      <c r="A799" s="4" t="s">
        <v>21</v>
      </c>
      <c r="B799" s="4" t="s">
        <v>39</v>
      </c>
      <c r="C799" s="4" t="s">
        <v>36</v>
      </c>
      <c r="D799" s="4" t="s">
        <v>43</v>
      </c>
      <c r="E799" s="4" t="s">
        <v>25</v>
      </c>
      <c r="F799" s="4" t="s">
        <v>25</v>
      </c>
      <c r="G799" s="4" t="s">
        <v>25</v>
      </c>
      <c r="H799" s="4" t="s">
        <v>35</v>
      </c>
      <c r="I799" s="5">
        <v>44621</v>
      </c>
      <c r="J799" s="6">
        <v>0</v>
      </c>
      <c r="K799" s="6">
        <v>0</v>
      </c>
      <c r="L799" s="6">
        <v>37.264000000000003</v>
      </c>
      <c r="M799" s="6">
        <v>37.264000000000003</v>
      </c>
      <c r="N799" s="6">
        <v>37.264000000000003</v>
      </c>
      <c r="O799" s="6">
        <v>37.264000000000003</v>
      </c>
      <c r="P799" s="6">
        <v>0</v>
      </c>
      <c r="Q799" s="4" t="s">
        <v>26</v>
      </c>
      <c r="R799" s="4">
        <v>0</v>
      </c>
      <c r="S799" s="6">
        <v>0</v>
      </c>
      <c r="T799" s="6">
        <v>57</v>
      </c>
      <c r="U799" s="6">
        <v>98</v>
      </c>
      <c r="V799" s="6">
        <f>IF(ISERROR(VLOOKUP($S$799,'TAR FIN'!$A$1:$O$103,15,0)),0,VLOOKUP($S$799,'TAR FIN'!$A$1:$O$103,15,0))</f>
        <v>0</v>
      </c>
      <c r="W799" s="6">
        <f>IF(ISERROR(VLOOKUP($T$799,'TAR FIN'!$A$1:$O$103,15,0)),0,VLOOKUP($T$799,'TAR FIN'!$A$1:$O$103,15,0))</f>
        <v>214.77</v>
      </c>
      <c r="X799" s="6">
        <f>IF(ISERROR(VLOOKUP($U$799,'TAR FIN'!$A$1:$O$103,15,0)),0,VLOOKUP($U$799,'TAR FIN'!$A$1:$O$103,15,0))</f>
        <v>275.36</v>
      </c>
      <c r="Y799" s="6"/>
      <c r="Z799" s="6">
        <f ca="1">('TUSD BE'!$AM$57+'TUSD BF'!$AM$57+'TUSD CVA'!$AM$57)*1</f>
        <v>296.3770674346905</v>
      </c>
      <c r="AA799" s="6">
        <f>('TE BE'!$AB$41+'TE BF'!$AB$41+'TE CVA'!$AB$41)*1</f>
        <v>259.03677522481752</v>
      </c>
      <c r="AB799" s="6">
        <f>$K$799*$V$799</f>
        <v>0</v>
      </c>
      <c r="AC799" s="6">
        <f>$M$799*$W$799</f>
        <v>8003.1892800000014</v>
      </c>
      <c r="AD799" s="6">
        <f>$O$799*$X$799</f>
        <v>10261.015040000002</v>
      </c>
      <c r="AE799" s="6">
        <f>$K$799*$Y$799</f>
        <v>0</v>
      </c>
      <c r="AF799" s="6">
        <f ca="1">$M$799*$Z$799</f>
        <v>11044.195040886309</v>
      </c>
      <c r="AG799" s="6">
        <f>$O$799*$AA$799</f>
        <v>9652.7463919776001</v>
      </c>
    </row>
    <row r="800" spans="1:33" ht="11.25" customHeight="1" x14ac:dyDescent="0.25">
      <c r="A800" s="4" t="s">
        <v>21</v>
      </c>
      <c r="B800" s="4" t="s">
        <v>39</v>
      </c>
      <c r="C800" s="4" t="s">
        <v>36</v>
      </c>
      <c r="D800" s="4" t="s">
        <v>43</v>
      </c>
      <c r="E800" s="4" t="s">
        <v>25</v>
      </c>
      <c r="F800" s="4" t="s">
        <v>25</v>
      </c>
      <c r="G800" s="4" t="s">
        <v>25</v>
      </c>
      <c r="H800" s="4" t="s">
        <v>35</v>
      </c>
      <c r="I800" s="5">
        <v>44652</v>
      </c>
      <c r="J800" s="6">
        <v>0</v>
      </c>
      <c r="K800" s="6">
        <v>0</v>
      </c>
      <c r="L800" s="6">
        <v>30.814</v>
      </c>
      <c r="M800" s="6">
        <v>30.814</v>
      </c>
      <c r="N800" s="6">
        <v>30.814</v>
      </c>
      <c r="O800" s="6">
        <v>30.814</v>
      </c>
      <c r="P800" s="6">
        <v>0</v>
      </c>
      <c r="Q800" s="4" t="s">
        <v>26</v>
      </c>
      <c r="R800" s="4">
        <v>0</v>
      </c>
      <c r="S800" s="6">
        <v>0</v>
      </c>
      <c r="T800" s="6">
        <v>57</v>
      </c>
      <c r="U800" s="6">
        <v>98</v>
      </c>
      <c r="V800" s="6">
        <f>IF(ISERROR(VLOOKUP($S$800,'TAR FIN'!$A$1:$O$103,15,0)),0,VLOOKUP($S$800,'TAR FIN'!$A$1:$O$103,15,0))</f>
        <v>0</v>
      </c>
      <c r="W800" s="6">
        <f>IF(ISERROR(VLOOKUP($T$800,'TAR FIN'!$A$1:$O$103,15,0)),0,VLOOKUP($T$800,'TAR FIN'!$A$1:$O$103,15,0))</f>
        <v>214.77</v>
      </c>
      <c r="X800" s="6">
        <f>IF(ISERROR(VLOOKUP($U$800,'TAR FIN'!$A$1:$O$103,15,0)),0,VLOOKUP($U$800,'TAR FIN'!$A$1:$O$103,15,0))</f>
        <v>275.36</v>
      </c>
      <c r="Y800" s="6"/>
      <c r="Z800" s="6">
        <f ca="1">('TUSD BE'!$AM$57+'TUSD BF'!$AM$57+'TUSD CVA'!$AM$57)*1</f>
        <v>296.3770674346905</v>
      </c>
      <c r="AA800" s="6">
        <f>('TE BE'!$AB$41+'TE BF'!$AB$41+'TE CVA'!$AB$41)*1</f>
        <v>259.03677522481752</v>
      </c>
      <c r="AB800" s="6">
        <f>$K$800*$V$800</f>
        <v>0</v>
      </c>
      <c r="AC800" s="6">
        <f>$M$800*$W$800</f>
        <v>6617.9227799999999</v>
      </c>
      <c r="AD800" s="6">
        <f>$O$800*$X$800</f>
        <v>8484.9430400000001</v>
      </c>
      <c r="AE800" s="6">
        <f>$K$800*$Y$800</f>
        <v>0</v>
      </c>
      <c r="AF800" s="6">
        <f ca="1">$M$800*$Z$800</f>
        <v>9132.5629559325535</v>
      </c>
      <c r="AG800" s="6">
        <f>$O$800*$AA$800</f>
        <v>7981.9591917775269</v>
      </c>
    </row>
    <row r="801" spans="1:33" ht="11.25" customHeight="1" x14ac:dyDescent="0.25">
      <c r="A801" s="4" t="s">
        <v>28</v>
      </c>
      <c r="B801" s="4" t="s">
        <v>39</v>
      </c>
      <c r="C801" s="4" t="s">
        <v>36</v>
      </c>
      <c r="D801" s="4" t="s">
        <v>43</v>
      </c>
      <c r="E801" s="4" t="s">
        <v>25</v>
      </c>
      <c r="F801" s="4" t="s">
        <v>25</v>
      </c>
      <c r="G801" s="4" t="s">
        <v>25</v>
      </c>
      <c r="H801" s="4" t="s">
        <v>35</v>
      </c>
      <c r="I801" s="5">
        <v>44652</v>
      </c>
      <c r="J801" s="6">
        <v>0</v>
      </c>
      <c r="K801" s="6">
        <v>0</v>
      </c>
      <c r="L801" s="6">
        <v>0.23</v>
      </c>
      <c r="M801" s="6">
        <v>0.23</v>
      </c>
      <c r="N801" s="6">
        <v>0.23</v>
      </c>
      <c r="O801" s="6">
        <v>0.23</v>
      </c>
      <c r="P801" s="6">
        <v>0</v>
      </c>
      <c r="Q801" s="4" t="s">
        <v>26</v>
      </c>
      <c r="R801" s="4">
        <v>0</v>
      </c>
      <c r="S801" s="6">
        <v>0</v>
      </c>
      <c r="T801" s="6">
        <v>57</v>
      </c>
      <c r="U801" s="6">
        <v>98</v>
      </c>
      <c r="V801" s="6">
        <f>IF(ISERROR(VLOOKUP($S$801,'TAR FIN'!$A$1:$O$103,15,0)),0,VLOOKUP($S$801,'TAR FIN'!$A$1:$O$103,15,0))</f>
        <v>0</v>
      </c>
      <c r="W801" s="6">
        <f>IF(ISERROR(VLOOKUP($T$801,'TAR FIN'!$A$1:$O$103,15,0)),0,VLOOKUP($T$801,'TAR FIN'!$A$1:$O$103,15,0))</f>
        <v>214.77</v>
      </c>
      <c r="X801" s="6">
        <f>IF(ISERROR(VLOOKUP($U$801,'TAR FIN'!$A$1:$O$103,15,0)),0,VLOOKUP($U$801,'TAR FIN'!$A$1:$O$103,15,0))</f>
        <v>275.36</v>
      </c>
      <c r="Y801" s="6"/>
      <c r="Z801" s="6">
        <f ca="1">('TUSD BE'!$AM$57+'TUSD BF'!$AM$57+'TUSD CVA'!$AM$57)*1</f>
        <v>296.3770674346905</v>
      </c>
      <c r="AA801" s="6">
        <f>('TE BE'!$AB$41+'TE BF'!$AB$41+'TE CVA'!$AB$41)*1</f>
        <v>259.03677522481752</v>
      </c>
      <c r="AB801" s="6">
        <f>$K$801*$V$801</f>
        <v>0</v>
      </c>
      <c r="AC801" s="6">
        <f>$M$801*$W$801</f>
        <v>49.397100000000002</v>
      </c>
      <c r="AD801" s="6">
        <f>$O$801*$X$801</f>
        <v>63.332800000000006</v>
      </c>
      <c r="AE801" s="6">
        <f>$K$801*$Y$801</f>
        <v>0</v>
      </c>
      <c r="AF801" s="6">
        <f ca="1">$M$801*$Z$801</f>
        <v>68.166725509978818</v>
      </c>
      <c r="AG801" s="6">
        <f>$O$801*$AA$801</f>
        <v>59.578458301708032</v>
      </c>
    </row>
    <row r="802" spans="1:33" ht="11.25" customHeight="1" x14ac:dyDescent="0.25">
      <c r="A802" s="4" t="s">
        <v>21</v>
      </c>
      <c r="B802" s="4" t="s">
        <v>39</v>
      </c>
      <c r="C802" s="4" t="s">
        <v>36</v>
      </c>
      <c r="D802" s="4" t="s">
        <v>43</v>
      </c>
      <c r="E802" s="4" t="s">
        <v>25</v>
      </c>
      <c r="F802" s="4" t="s">
        <v>25</v>
      </c>
      <c r="G802" s="4" t="s">
        <v>25</v>
      </c>
      <c r="H802" s="4" t="s">
        <v>35</v>
      </c>
      <c r="I802" s="5">
        <v>44682</v>
      </c>
      <c r="J802" s="6">
        <v>0</v>
      </c>
      <c r="K802" s="6">
        <v>0</v>
      </c>
      <c r="L802" s="6">
        <v>32.301000000000002</v>
      </c>
      <c r="M802" s="6">
        <v>32.301000000000002</v>
      </c>
      <c r="N802" s="6">
        <v>32.301000000000002</v>
      </c>
      <c r="O802" s="6">
        <v>32.301000000000002</v>
      </c>
      <c r="P802" s="6">
        <v>0</v>
      </c>
      <c r="Q802" s="4" t="s">
        <v>26</v>
      </c>
      <c r="R802" s="4">
        <v>0</v>
      </c>
      <c r="S802" s="6">
        <v>0</v>
      </c>
      <c r="T802" s="6">
        <v>57</v>
      </c>
      <c r="U802" s="6">
        <v>98</v>
      </c>
      <c r="V802" s="6">
        <f>IF(ISERROR(VLOOKUP($S$802,'TAR FIN'!$A$1:$O$103,15,0)),0,VLOOKUP($S$802,'TAR FIN'!$A$1:$O$103,15,0))</f>
        <v>0</v>
      </c>
      <c r="W802" s="6">
        <f>IF(ISERROR(VLOOKUP($T$802,'TAR FIN'!$A$1:$O$103,15,0)),0,VLOOKUP($T$802,'TAR FIN'!$A$1:$O$103,15,0))</f>
        <v>214.77</v>
      </c>
      <c r="X802" s="6">
        <f>IF(ISERROR(VLOOKUP($U$802,'TAR FIN'!$A$1:$O$103,15,0)),0,VLOOKUP($U$802,'TAR FIN'!$A$1:$O$103,15,0))</f>
        <v>275.36</v>
      </c>
      <c r="Y802" s="6"/>
      <c r="Z802" s="6">
        <f ca="1">('TUSD BE'!$AM$57+'TUSD BF'!$AM$57+'TUSD CVA'!$AM$57)*1</f>
        <v>296.3770674346905</v>
      </c>
      <c r="AA802" s="6">
        <f>('TE BE'!$AB$41+'TE BF'!$AB$41+'TE CVA'!$AB$41)*1</f>
        <v>259.03677522481752</v>
      </c>
      <c r="AB802" s="6">
        <f>$K$802*$V$802</f>
        <v>0</v>
      </c>
      <c r="AC802" s="6">
        <f>$M$802*$W$802</f>
        <v>6937.2857700000004</v>
      </c>
      <c r="AD802" s="6">
        <f>$O$802*$X$802</f>
        <v>8894.4033600000002</v>
      </c>
      <c r="AE802" s="6">
        <f>$K$802*$Y$802</f>
        <v>0</v>
      </c>
      <c r="AF802" s="6">
        <f ca="1">$M$802*$Z$802</f>
        <v>9573.2756552079391</v>
      </c>
      <c r="AG802" s="6">
        <f>$O$802*$AA$802</f>
        <v>8367.1468765368318</v>
      </c>
    </row>
    <row r="803" spans="1:33" ht="11.25" customHeight="1" x14ac:dyDescent="0.25">
      <c r="A803" s="4" t="s">
        <v>21</v>
      </c>
      <c r="B803" s="4" t="s">
        <v>39</v>
      </c>
      <c r="C803" s="4" t="s">
        <v>36</v>
      </c>
      <c r="D803" s="4" t="s">
        <v>43</v>
      </c>
      <c r="E803" s="4" t="s">
        <v>25</v>
      </c>
      <c r="F803" s="4" t="s">
        <v>25</v>
      </c>
      <c r="G803" s="4" t="s">
        <v>25</v>
      </c>
      <c r="H803" s="4" t="s">
        <v>38</v>
      </c>
      <c r="I803" s="5">
        <v>44348</v>
      </c>
      <c r="J803" s="6">
        <v>0</v>
      </c>
      <c r="K803" s="6">
        <v>0</v>
      </c>
      <c r="L803" s="6">
        <v>2.0470000000000002</v>
      </c>
      <c r="M803" s="6">
        <v>2.0470000000000002</v>
      </c>
      <c r="N803" s="6">
        <v>2.0470000000000002</v>
      </c>
      <c r="O803" s="6">
        <v>2.0470000000000002</v>
      </c>
      <c r="P803" s="6">
        <v>0</v>
      </c>
      <c r="Q803" s="4" t="s">
        <v>26</v>
      </c>
      <c r="R803" s="4">
        <v>0</v>
      </c>
      <c r="S803" s="6">
        <v>0</v>
      </c>
      <c r="T803" s="6">
        <v>56</v>
      </c>
      <c r="U803" s="6">
        <v>97</v>
      </c>
      <c r="V803" s="6">
        <f>IF(ISERROR(VLOOKUP($S$803,'TAR FIN'!$A$1:$O$103,15,0)),0,VLOOKUP($S$803,'TAR FIN'!$A$1:$O$103,15,0))</f>
        <v>0</v>
      </c>
      <c r="W803" s="6">
        <f>IF(ISERROR(VLOOKUP($T$803,'TAR FIN'!$A$1:$O$103,15,0)),0,VLOOKUP($T$803,'TAR FIN'!$A$1:$O$103,15,0))</f>
        <v>428.83</v>
      </c>
      <c r="X803" s="6">
        <f>IF(ISERROR(VLOOKUP($U$803,'TAR FIN'!$A$1:$O$103,15,0)),0,VLOOKUP($U$803,'TAR FIN'!$A$1:$O$103,15,0))</f>
        <v>275.36</v>
      </c>
      <c r="Y803" s="6"/>
      <c r="Z803" s="6">
        <f ca="1">('TUSD BE'!$AM$56+'TUSD BF'!$AM$56+'TUSD CVA'!$AM$56)*1</f>
        <v>296.3770674346905</v>
      </c>
      <c r="AA803" s="6">
        <f>('TE BE'!$AB$40+'TE BF'!$AB$40+'TE CVA'!$AB$40)*1</f>
        <v>259.03677522481752</v>
      </c>
      <c r="AB803" s="6">
        <f>$K$803*$V$803</f>
        <v>0</v>
      </c>
      <c r="AC803" s="6">
        <f>$M$803*$W$803</f>
        <v>877.81501000000003</v>
      </c>
      <c r="AD803" s="6">
        <f>$O$803*$X$803</f>
        <v>563.66192000000012</v>
      </c>
      <c r="AE803" s="6">
        <f>$K$803*$Y$803</f>
        <v>0</v>
      </c>
      <c r="AF803" s="6">
        <f ca="1">$M$803*$Z$803</f>
        <v>606.68385703881154</v>
      </c>
      <c r="AG803" s="6">
        <f>$O$803*$AA$803</f>
        <v>530.24827888520144</v>
      </c>
    </row>
    <row r="804" spans="1:33" ht="11.25" customHeight="1" x14ac:dyDescent="0.25">
      <c r="A804" s="4" t="s">
        <v>21</v>
      </c>
      <c r="B804" s="4" t="s">
        <v>39</v>
      </c>
      <c r="C804" s="4" t="s">
        <v>36</v>
      </c>
      <c r="D804" s="4" t="s">
        <v>43</v>
      </c>
      <c r="E804" s="4" t="s">
        <v>25</v>
      </c>
      <c r="F804" s="4" t="s">
        <v>25</v>
      </c>
      <c r="G804" s="4" t="s">
        <v>25</v>
      </c>
      <c r="H804" s="4" t="s">
        <v>38</v>
      </c>
      <c r="I804" s="5">
        <v>44378</v>
      </c>
      <c r="J804" s="6">
        <v>0</v>
      </c>
      <c r="K804" s="6">
        <v>0</v>
      </c>
      <c r="L804" s="6">
        <v>2.145</v>
      </c>
      <c r="M804" s="6">
        <v>2.145</v>
      </c>
      <c r="N804" s="6">
        <v>2.145</v>
      </c>
      <c r="O804" s="6">
        <v>2.145</v>
      </c>
      <c r="P804" s="6">
        <v>0</v>
      </c>
      <c r="Q804" s="4" t="s">
        <v>26</v>
      </c>
      <c r="R804" s="4">
        <v>0</v>
      </c>
      <c r="S804" s="6">
        <v>0</v>
      </c>
      <c r="T804" s="6">
        <v>56</v>
      </c>
      <c r="U804" s="6">
        <v>97</v>
      </c>
      <c r="V804" s="6">
        <f>IF(ISERROR(VLOOKUP($S$804,'TAR FIN'!$A$1:$O$103,15,0)),0,VLOOKUP($S$804,'TAR FIN'!$A$1:$O$103,15,0))</f>
        <v>0</v>
      </c>
      <c r="W804" s="6">
        <f>IF(ISERROR(VLOOKUP($T$804,'TAR FIN'!$A$1:$O$103,15,0)),0,VLOOKUP($T$804,'TAR FIN'!$A$1:$O$103,15,0))</f>
        <v>428.83</v>
      </c>
      <c r="X804" s="6">
        <f>IF(ISERROR(VLOOKUP($U$804,'TAR FIN'!$A$1:$O$103,15,0)),0,VLOOKUP($U$804,'TAR FIN'!$A$1:$O$103,15,0))</f>
        <v>275.36</v>
      </c>
      <c r="Y804" s="6"/>
      <c r="Z804" s="6">
        <f ca="1">('TUSD BE'!$AM$56+'TUSD BF'!$AM$56+'TUSD CVA'!$AM$56)*1</f>
        <v>296.3770674346905</v>
      </c>
      <c r="AA804" s="6">
        <f>('TE BE'!$AB$40+'TE BF'!$AB$40+'TE CVA'!$AB$40)*1</f>
        <v>259.03677522481752</v>
      </c>
      <c r="AB804" s="6">
        <f>$K$804*$V$804</f>
        <v>0</v>
      </c>
      <c r="AC804" s="6">
        <f>$M$804*$W$804</f>
        <v>919.84034999999994</v>
      </c>
      <c r="AD804" s="6">
        <f>$O$804*$X$804</f>
        <v>590.6472</v>
      </c>
      <c r="AE804" s="6">
        <f>$K$804*$Y$804</f>
        <v>0</v>
      </c>
      <c r="AF804" s="6">
        <f ca="1">$M$804*$Z$804</f>
        <v>635.72880964741114</v>
      </c>
      <c r="AG804" s="6">
        <f>$O$804*$AA$804</f>
        <v>555.63388285723363</v>
      </c>
    </row>
    <row r="805" spans="1:33" ht="11.25" customHeight="1" x14ac:dyDescent="0.25">
      <c r="A805" s="4" t="s">
        <v>21</v>
      </c>
      <c r="B805" s="4" t="s">
        <v>39</v>
      </c>
      <c r="C805" s="4" t="s">
        <v>36</v>
      </c>
      <c r="D805" s="4" t="s">
        <v>43</v>
      </c>
      <c r="E805" s="4" t="s">
        <v>25</v>
      </c>
      <c r="F805" s="4" t="s">
        <v>25</v>
      </c>
      <c r="G805" s="4" t="s">
        <v>25</v>
      </c>
      <c r="H805" s="4" t="s">
        <v>38</v>
      </c>
      <c r="I805" s="5">
        <v>44409</v>
      </c>
      <c r="J805" s="6">
        <v>0</v>
      </c>
      <c r="K805" s="6">
        <v>0</v>
      </c>
      <c r="L805" s="6">
        <v>2.1560000000000001</v>
      </c>
      <c r="M805" s="6">
        <v>2.1560000000000001</v>
      </c>
      <c r="N805" s="6">
        <v>2.1560000000000001</v>
      </c>
      <c r="O805" s="6">
        <v>2.1560000000000001</v>
      </c>
      <c r="P805" s="6">
        <v>0</v>
      </c>
      <c r="Q805" s="4" t="s">
        <v>26</v>
      </c>
      <c r="R805" s="4">
        <v>0</v>
      </c>
      <c r="S805" s="6">
        <v>0</v>
      </c>
      <c r="T805" s="6">
        <v>56</v>
      </c>
      <c r="U805" s="6">
        <v>97</v>
      </c>
      <c r="V805" s="6">
        <f>IF(ISERROR(VLOOKUP($S$805,'TAR FIN'!$A$1:$O$103,15,0)),0,VLOOKUP($S$805,'TAR FIN'!$A$1:$O$103,15,0))</f>
        <v>0</v>
      </c>
      <c r="W805" s="6">
        <f>IF(ISERROR(VLOOKUP($T$805,'TAR FIN'!$A$1:$O$103,15,0)),0,VLOOKUP($T$805,'TAR FIN'!$A$1:$O$103,15,0))</f>
        <v>428.83</v>
      </c>
      <c r="X805" s="6">
        <f>IF(ISERROR(VLOOKUP($U$805,'TAR FIN'!$A$1:$O$103,15,0)),0,VLOOKUP($U$805,'TAR FIN'!$A$1:$O$103,15,0))</f>
        <v>275.36</v>
      </c>
      <c r="Y805" s="6"/>
      <c r="Z805" s="6">
        <f ca="1">('TUSD BE'!$AM$56+'TUSD BF'!$AM$56+'TUSD CVA'!$AM$56)*1</f>
        <v>296.3770674346905</v>
      </c>
      <c r="AA805" s="6">
        <f>('TE BE'!$AB$40+'TE BF'!$AB$40+'TE CVA'!$AB$40)*1</f>
        <v>259.03677522481752</v>
      </c>
      <c r="AB805" s="6">
        <f>$K$805*$V$805</f>
        <v>0</v>
      </c>
      <c r="AC805" s="6">
        <f>$M$805*$W$805</f>
        <v>924.55748000000006</v>
      </c>
      <c r="AD805" s="6">
        <f>$O$805*$X$805</f>
        <v>593.6761600000001</v>
      </c>
      <c r="AE805" s="6">
        <f>$K$805*$Y$805</f>
        <v>0</v>
      </c>
      <c r="AF805" s="6">
        <f ca="1">$M$805*$Z$805</f>
        <v>638.98895738919282</v>
      </c>
      <c r="AG805" s="6">
        <f>$O$805*$AA$805</f>
        <v>558.48328738470661</v>
      </c>
    </row>
    <row r="806" spans="1:33" ht="11.25" customHeight="1" x14ac:dyDescent="0.25">
      <c r="A806" s="4" t="s">
        <v>21</v>
      </c>
      <c r="B806" s="4" t="s">
        <v>39</v>
      </c>
      <c r="C806" s="4" t="s">
        <v>36</v>
      </c>
      <c r="D806" s="4" t="s">
        <v>43</v>
      </c>
      <c r="E806" s="4" t="s">
        <v>25</v>
      </c>
      <c r="F806" s="4" t="s">
        <v>25</v>
      </c>
      <c r="G806" s="4" t="s">
        <v>25</v>
      </c>
      <c r="H806" s="4" t="s">
        <v>38</v>
      </c>
      <c r="I806" s="5">
        <v>44440</v>
      </c>
      <c r="J806" s="6">
        <v>0</v>
      </c>
      <c r="K806" s="6">
        <v>0</v>
      </c>
      <c r="L806" s="6">
        <v>2.2599999999999998</v>
      </c>
      <c r="M806" s="6">
        <v>2.2599999999999998</v>
      </c>
      <c r="N806" s="6">
        <v>2.2599999999999998</v>
      </c>
      <c r="O806" s="6">
        <v>2.2599999999999998</v>
      </c>
      <c r="P806" s="6">
        <v>0</v>
      </c>
      <c r="Q806" s="4" t="s">
        <v>26</v>
      </c>
      <c r="R806" s="4">
        <v>0</v>
      </c>
      <c r="S806" s="6">
        <v>0</v>
      </c>
      <c r="T806" s="6">
        <v>56</v>
      </c>
      <c r="U806" s="6">
        <v>97</v>
      </c>
      <c r="V806" s="6">
        <f>IF(ISERROR(VLOOKUP($S$806,'TAR FIN'!$A$1:$O$103,15,0)),0,VLOOKUP($S$806,'TAR FIN'!$A$1:$O$103,15,0))</f>
        <v>0</v>
      </c>
      <c r="W806" s="6">
        <f>IF(ISERROR(VLOOKUP($T$806,'TAR FIN'!$A$1:$O$103,15,0)),0,VLOOKUP($T$806,'TAR FIN'!$A$1:$O$103,15,0))</f>
        <v>428.83</v>
      </c>
      <c r="X806" s="6">
        <f>IF(ISERROR(VLOOKUP($U$806,'TAR FIN'!$A$1:$O$103,15,0)),0,VLOOKUP($U$806,'TAR FIN'!$A$1:$O$103,15,0))</f>
        <v>275.36</v>
      </c>
      <c r="Y806" s="6"/>
      <c r="Z806" s="6">
        <f ca="1">('TUSD BE'!$AM$56+'TUSD BF'!$AM$56+'TUSD CVA'!$AM$56)*1</f>
        <v>296.3770674346905</v>
      </c>
      <c r="AA806" s="6">
        <f>('TE BE'!$AB$40+'TE BF'!$AB$40+'TE CVA'!$AB$40)*1</f>
        <v>259.03677522481752</v>
      </c>
      <c r="AB806" s="6">
        <f>$K$806*$V$806</f>
        <v>0</v>
      </c>
      <c r="AC806" s="6">
        <f>$M$806*$W$806</f>
        <v>969.15579999999989</v>
      </c>
      <c r="AD806" s="6">
        <f>$O$806*$X$806</f>
        <v>622.31359999999995</v>
      </c>
      <c r="AE806" s="6">
        <f>$K$806*$Y$806</f>
        <v>0</v>
      </c>
      <c r="AF806" s="6">
        <f ca="1">$M$806*$Z$806</f>
        <v>669.81217240240051</v>
      </c>
      <c r="AG806" s="6">
        <f>$O$806*$AA$806</f>
        <v>585.42311200808751</v>
      </c>
    </row>
    <row r="807" spans="1:33" ht="11.25" customHeight="1" x14ac:dyDescent="0.25">
      <c r="A807" s="4" t="s">
        <v>21</v>
      </c>
      <c r="B807" s="4" t="s">
        <v>39</v>
      </c>
      <c r="C807" s="4" t="s">
        <v>36</v>
      </c>
      <c r="D807" s="4" t="s">
        <v>43</v>
      </c>
      <c r="E807" s="4" t="s">
        <v>25</v>
      </c>
      <c r="F807" s="4" t="s">
        <v>25</v>
      </c>
      <c r="G807" s="4" t="s">
        <v>25</v>
      </c>
      <c r="H807" s="4" t="s">
        <v>38</v>
      </c>
      <c r="I807" s="5">
        <v>44470</v>
      </c>
      <c r="J807" s="6">
        <v>0</v>
      </c>
      <c r="K807" s="6">
        <v>0</v>
      </c>
      <c r="L807" s="6">
        <v>2.206</v>
      </c>
      <c r="M807" s="6">
        <v>2.206</v>
      </c>
      <c r="N807" s="6">
        <v>2.206</v>
      </c>
      <c r="O807" s="6">
        <v>2.206</v>
      </c>
      <c r="P807" s="6">
        <v>0</v>
      </c>
      <c r="Q807" s="4" t="s">
        <v>26</v>
      </c>
      <c r="R807" s="4">
        <v>0</v>
      </c>
      <c r="S807" s="6">
        <v>0</v>
      </c>
      <c r="T807" s="6">
        <v>56</v>
      </c>
      <c r="U807" s="6">
        <v>97</v>
      </c>
      <c r="V807" s="6">
        <f>IF(ISERROR(VLOOKUP($S$807,'TAR FIN'!$A$1:$O$103,15,0)),0,VLOOKUP($S$807,'TAR FIN'!$A$1:$O$103,15,0))</f>
        <v>0</v>
      </c>
      <c r="W807" s="6">
        <f>IF(ISERROR(VLOOKUP($T$807,'TAR FIN'!$A$1:$O$103,15,0)),0,VLOOKUP($T$807,'TAR FIN'!$A$1:$O$103,15,0))</f>
        <v>428.83</v>
      </c>
      <c r="X807" s="6">
        <f>IF(ISERROR(VLOOKUP($U$807,'TAR FIN'!$A$1:$O$103,15,0)),0,VLOOKUP($U$807,'TAR FIN'!$A$1:$O$103,15,0))</f>
        <v>275.36</v>
      </c>
      <c r="Y807" s="6"/>
      <c r="Z807" s="6">
        <f ca="1">('TUSD BE'!$AM$56+'TUSD BF'!$AM$56+'TUSD CVA'!$AM$56)*1</f>
        <v>296.3770674346905</v>
      </c>
      <c r="AA807" s="6">
        <f>('TE BE'!$AB$40+'TE BF'!$AB$40+'TE CVA'!$AB$40)*1</f>
        <v>259.03677522481752</v>
      </c>
      <c r="AB807" s="6">
        <f>$K$807*$V$807</f>
        <v>0</v>
      </c>
      <c r="AC807" s="6">
        <f>$M$807*$W$807</f>
        <v>945.99897999999996</v>
      </c>
      <c r="AD807" s="6">
        <f>$O$807*$X$807</f>
        <v>607.44416000000001</v>
      </c>
      <c r="AE807" s="6">
        <f>$K$807*$Y$807</f>
        <v>0</v>
      </c>
      <c r="AF807" s="6">
        <f ca="1">$M$807*$Z$807</f>
        <v>653.80781076092728</v>
      </c>
      <c r="AG807" s="6">
        <f>$O$807*$AA$807</f>
        <v>571.43512614594738</v>
      </c>
    </row>
    <row r="808" spans="1:33" ht="11.25" customHeight="1" x14ac:dyDescent="0.25">
      <c r="A808" s="4" t="s">
        <v>21</v>
      </c>
      <c r="B808" s="4" t="s">
        <v>39</v>
      </c>
      <c r="C808" s="4" t="s">
        <v>36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38</v>
      </c>
      <c r="I808" s="5">
        <v>44501</v>
      </c>
      <c r="J808" s="6">
        <v>0</v>
      </c>
      <c r="K808" s="6">
        <v>0</v>
      </c>
      <c r="L808" s="6">
        <v>2.1429999999999998</v>
      </c>
      <c r="M808" s="6">
        <v>2.1429999999999998</v>
      </c>
      <c r="N808" s="6">
        <v>2.1429999999999998</v>
      </c>
      <c r="O808" s="6">
        <v>2.1429999999999998</v>
      </c>
      <c r="P808" s="6">
        <v>0</v>
      </c>
      <c r="Q808" s="4" t="s">
        <v>26</v>
      </c>
      <c r="R808" s="4">
        <v>0</v>
      </c>
      <c r="S808" s="6">
        <v>0</v>
      </c>
      <c r="T808" s="6">
        <v>56</v>
      </c>
      <c r="U808" s="6">
        <v>97</v>
      </c>
      <c r="V808" s="6">
        <f>IF(ISERROR(VLOOKUP($S$808,'TAR FIN'!$A$1:$O$103,15,0)),0,VLOOKUP($S$808,'TAR FIN'!$A$1:$O$103,15,0))</f>
        <v>0</v>
      </c>
      <c r="W808" s="6">
        <f>IF(ISERROR(VLOOKUP($T$808,'TAR FIN'!$A$1:$O$103,15,0)),0,VLOOKUP($T$808,'TAR FIN'!$A$1:$O$103,15,0))</f>
        <v>428.83</v>
      </c>
      <c r="X808" s="6">
        <f>IF(ISERROR(VLOOKUP($U$808,'TAR FIN'!$A$1:$O$103,15,0)),0,VLOOKUP($U$808,'TAR FIN'!$A$1:$O$103,15,0))</f>
        <v>275.36</v>
      </c>
      <c r="Y808" s="6"/>
      <c r="Z808" s="6">
        <f ca="1">('TUSD BE'!$AM$56+'TUSD BF'!$AM$56+'TUSD CVA'!$AM$56)*1</f>
        <v>296.3770674346905</v>
      </c>
      <c r="AA808" s="6">
        <f>('TE BE'!$AB$40+'TE BF'!$AB$40+'TE CVA'!$AB$40)*1</f>
        <v>259.03677522481752</v>
      </c>
      <c r="AB808" s="6">
        <f>$K$808*$V$808</f>
        <v>0</v>
      </c>
      <c r="AC808" s="6">
        <f>$M$808*$W$808</f>
        <v>918.98268999999993</v>
      </c>
      <c r="AD808" s="6">
        <f>$O$808*$X$808</f>
        <v>590.09647999999993</v>
      </c>
      <c r="AE808" s="6">
        <f>$K$808*$Y$808</f>
        <v>0</v>
      </c>
      <c r="AF808" s="6">
        <f ca="1">$M$808*$Z$808</f>
        <v>635.1360555125417</v>
      </c>
      <c r="AG808" s="6">
        <f>$O$808*$AA$808</f>
        <v>555.11580930678383</v>
      </c>
    </row>
    <row r="809" spans="1:33" ht="11.25" customHeight="1" x14ac:dyDescent="0.25">
      <c r="A809" s="4" t="s">
        <v>21</v>
      </c>
      <c r="B809" s="4" t="s">
        <v>39</v>
      </c>
      <c r="C809" s="4" t="s">
        <v>36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38</v>
      </c>
      <c r="I809" s="5">
        <v>44531</v>
      </c>
      <c r="J809" s="6">
        <v>0</v>
      </c>
      <c r="K809" s="6">
        <v>0</v>
      </c>
      <c r="L809" s="6">
        <v>2.3980000000000001</v>
      </c>
      <c r="M809" s="6">
        <v>2.3980000000000001</v>
      </c>
      <c r="N809" s="6">
        <v>2.3980000000000001</v>
      </c>
      <c r="O809" s="6">
        <v>2.3980000000000001</v>
      </c>
      <c r="P809" s="6">
        <v>0</v>
      </c>
      <c r="Q809" s="4" t="s">
        <v>26</v>
      </c>
      <c r="R809" s="4">
        <v>0</v>
      </c>
      <c r="S809" s="6">
        <v>0</v>
      </c>
      <c r="T809" s="6">
        <v>56</v>
      </c>
      <c r="U809" s="6">
        <v>97</v>
      </c>
      <c r="V809" s="6">
        <f>IF(ISERROR(VLOOKUP($S$809,'TAR FIN'!$A$1:$O$103,15,0)),0,VLOOKUP($S$809,'TAR FIN'!$A$1:$O$103,15,0))</f>
        <v>0</v>
      </c>
      <c r="W809" s="6">
        <f>IF(ISERROR(VLOOKUP($T$809,'TAR FIN'!$A$1:$O$103,15,0)),0,VLOOKUP($T$809,'TAR FIN'!$A$1:$O$103,15,0))</f>
        <v>428.83</v>
      </c>
      <c r="X809" s="6">
        <f>IF(ISERROR(VLOOKUP($U$809,'TAR FIN'!$A$1:$O$103,15,0)),0,VLOOKUP($U$809,'TAR FIN'!$A$1:$O$103,15,0))</f>
        <v>275.36</v>
      </c>
      <c r="Y809" s="6"/>
      <c r="Z809" s="6">
        <f ca="1">('TUSD BE'!$AM$56+'TUSD BF'!$AM$56+'TUSD CVA'!$AM$56)*1</f>
        <v>296.3770674346905</v>
      </c>
      <c r="AA809" s="6">
        <f>('TE BE'!$AB$40+'TE BF'!$AB$40+'TE CVA'!$AB$40)*1</f>
        <v>259.03677522481752</v>
      </c>
      <c r="AB809" s="6">
        <f>$K$809*$V$809</f>
        <v>0</v>
      </c>
      <c r="AC809" s="6">
        <f>$M$809*$W$809</f>
        <v>1028.3343400000001</v>
      </c>
      <c r="AD809" s="6">
        <f>$O$809*$X$809</f>
        <v>660.31328000000008</v>
      </c>
      <c r="AE809" s="6">
        <f>$K$809*$Y$809</f>
        <v>0</v>
      </c>
      <c r="AF809" s="6">
        <f ca="1">$M$809*$Z$809</f>
        <v>710.71220770838784</v>
      </c>
      <c r="AG809" s="6">
        <f>$O$809*$AA$809</f>
        <v>621.17018698911249</v>
      </c>
    </row>
    <row r="810" spans="1:33" ht="11.25" customHeight="1" x14ac:dyDescent="0.25">
      <c r="A810" s="4" t="s">
        <v>21</v>
      </c>
      <c r="B810" s="4" t="s">
        <v>39</v>
      </c>
      <c r="C810" s="4" t="s">
        <v>36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38</v>
      </c>
      <c r="I810" s="5">
        <v>44562</v>
      </c>
      <c r="J810" s="6">
        <v>0</v>
      </c>
      <c r="K810" s="6">
        <v>0</v>
      </c>
      <c r="L810" s="6">
        <v>2.5150000000000001</v>
      </c>
      <c r="M810" s="6">
        <v>2.5150000000000001</v>
      </c>
      <c r="N810" s="6">
        <v>2.5150000000000001</v>
      </c>
      <c r="O810" s="6">
        <v>2.5150000000000001</v>
      </c>
      <c r="P810" s="6">
        <v>0</v>
      </c>
      <c r="Q810" s="4" t="s">
        <v>26</v>
      </c>
      <c r="R810" s="4">
        <v>0</v>
      </c>
      <c r="S810" s="6">
        <v>0</v>
      </c>
      <c r="T810" s="6">
        <v>56</v>
      </c>
      <c r="U810" s="6">
        <v>97</v>
      </c>
      <c r="V810" s="6">
        <f>IF(ISERROR(VLOOKUP($S$810,'TAR FIN'!$A$1:$O$103,15,0)),0,VLOOKUP($S$810,'TAR FIN'!$A$1:$O$103,15,0))</f>
        <v>0</v>
      </c>
      <c r="W810" s="6">
        <f>IF(ISERROR(VLOOKUP($T$810,'TAR FIN'!$A$1:$O$103,15,0)),0,VLOOKUP($T$810,'TAR FIN'!$A$1:$O$103,15,0))</f>
        <v>428.83</v>
      </c>
      <c r="X810" s="6">
        <f>IF(ISERROR(VLOOKUP($U$810,'TAR FIN'!$A$1:$O$103,15,0)),0,VLOOKUP($U$810,'TAR FIN'!$A$1:$O$103,15,0))</f>
        <v>275.36</v>
      </c>
      <c r="Y810" s="6"/>
      <c r="Z810" s="6">
        <f ca="1">('TUSD BE'!$AM$56+'TUSD BF'!$AM$56+'TUSD CVA'!$AM$56)*1</f>
        <v>296.3770674346905</v>
      </c>
      <c r="AA810" s="6">
        <f>('TE BE'!$AB$40+'TE BF'!$AB$40+'TE CVA'!$AB$40)*1</f>
        <v>259.03677522481752</v>
      </c>
      <c r="AB810" s="6">
        <f>$K$810*$V$810</f>
        <v>0</v>
      </c>
      <c r="AC810" s="6">
        <f>$M$810*$W$810</f>
        <v>1078.5074500000001</v>
      </c>
      <c r="AD810" s="6">
        <f>$O$810*$X$810</f>
        <v>692.5304000000001</v>
      </c>
      <c r="AE810" s="6">
        <f>$K$810*$Y$810</f>
        <v>0</v>
      </c>
      <c r="AF810" s="6">
        <f ca="1">$M$810*$Z$810</f>
        <v>745.38832459824664</v>
      </c>
      <c r="AG810" s="6">
        <f>$O$810*$AA$810</f>
        <v>651.47748969041606</v>
      </c>
    </row>
    <row r="811" spans="1:33" ht="11.25" customHeight="1" x14ac:dyDescent="0.25">
      <c r="A811" s="4" t="s">
        <v>21</v>
      </c>
      <c r="B811" s="4" t="s">
        <v>39</v>
      </c>
      <c r="C811" s="4" t="s">
        <v>36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38</v>
      </c>
      <c r="I811" s="5">
        <v>44593</v>
      </c>
      <c r="J811" s="6">
        <v>0</v>
      </c>
      <c r="K811" s="6">
        <v>0</v>
      </c>
      <c r="L811" s="6">
        <v>2.9889999999999999</v>
      </c>
      <c r="M811" s="6">
        <v>2.9889999999999999</v>
      </c>
      <c r="N811" s="6">
        <v>2.9889999999999999</v>
      </c>
      <c r="O811" s="6">
        <v>2.9889999999999999</v>
      </c>
      <c r="P811" s="6">
        <v>0</v>
      </c>
      <c r="Q811" s="4" t="s">
        <v>26</v>
      </c>
      <c r="R811" s="4">
        <v>0</v>
      </c>
      <c r="S811" s="6">
        <v>0</v>
      </c>
      <c r="T811" s="6">
        <v>56</v>
      </c>
      <c r="U811" s="6">
        <v>97</v>
      </c>
      <c r="V811" s="6">
        <f>IF(ISERROR(VLOOKUP($S$811,'TAR FIN'!$A$1:$O$103,15,0)),0,VLOOKUP($S$811,'TAR FIN'!$A$1:$O$103,15,0))</f>
        <v>0</v>
      </c>
      <c r="W811" s="6">
        <f>IF(ISERROR(VLOOKUP($T$811,'TAR FIN'!$A$1:$O$103,15,0)),0,VLOOKUP($T$811,'TAR FIN'!$A$1:$O$103,15,0))</f>
        <v>428.83</v>
      </c>
      <c r="X811" s="6">
        <f>IF(ISERROR(VLOOKUP($U$811,'TAR FIN'!$A$1:$O$103,15,0)),0,VLOOKUP($U$811,'TAR FIN'!$A$1:$O$103,15,0))</f>
        <v>275.36</v>
      </c>
      <c r="Y811" s="6"/>
      <c r="Z811" s="6">
        <f ca="1">('TUSD BE'!$AM$56+'TUSD BF'!$AM$56+'TUSD CVA'!$AM$56)*1</f>
        <v>296.3770674346905</v>
      </c>
      <c r="AA811" s="6">
        <f>('TE BE'!$AB$40+'TE BF'!$AB$40+'TE CVA'!$AB$40)*1</f>
        <v>259.03677522481752</v>
      </c>
      <c r="AB811" s="6">
        <f>$K$811*$V$811</f>
        <v>0</v>
      </c>
      <c r="AC811" s="6">
        <f>$M$811*$W$811</f>
        <v>1281.77287</v>
      </c>
      <c r="AD811" s="6">
        <f>$O$811*$X$811</f>
        <v>823.05104000000006</v>
      </c>
      <c r="AE811" s="6">
        <f>$K$811*$Y$811</f>
        <v>0</v>
      </c>
      <c r="AF811" s="6">
        <f ca="1">$M$811*$Z$811</f>
        <v>885.87105456228983</v>
      </c>
      <c r="AG811" s="6">
        <f>$O$811*$AA$811</f>
        <v>774.26092114697951</v>
      </c>
    </row>
    <row r="812" spans="1:33" ht="11.25" customHeight="1" x14ac:dyDescent="0.25">
      <c r="A812" s="4" t="s">
        <v>21</v>
      </c>
      <c r="B812" s="4" t="s">
        <v>39</v>
      </c>
      <c r="C812" s="4" t="s">
        <v>36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38</v>
      </c>
      <c r="I812" s="5">
        <v>44621</v>
      </c>
      <c r="J812" s="6">
        <v>0</v>
      </c>
      <c r="K812" s="6">
        <v>0</v>
      </c>
      <c r="L812" s="6">
        <v>2.52</v>
      </c>
      <c r="M812" s="6">
        <v>2.52</v>
      </c>
      <c r="N812" s="6">
        <v>2.52</v>
      </c>
      <c r="O812" s="6">
        <v>2.52</v>
      </c>
      <c r="P812" s="6">
        <v>0</v>
      </c>
      <c r="Q812" s="4" t="s">
        <v>26</v>
      </c>
      <c r="R812" s="4">
        <v>0</v>
      </c>
      <c r="S812" s="6">
        <v>0</v>
      </c>
      <c r="T812" s="6">
        <v>56</v>
      </c>
      <c r="U812" s="6">
        <v>97</v>
      </c>
      <c r="V812" s="6">
        <f>IF(ISERROR(VLOOKUP($S$812,'TAR FIN'!$A$1:$O$103,15,0)),0,VLOOKUP($S$812,'TAR FIN'!$A$1:$O$103,15,0))</f>
        <v>0</v>
      </c>
      <c r="W812" s="6">
        <f>IF(ISERROR(VLOOKUP($T$812,'TAR FIN'!$A$1:$O$103,15,0)),0,VLOOKUP($T$812,'TAR FIN'!$A$1:$O$103,15,0))</f>
        <v>428.83</v>
      </c>
      <c r="X812" s="6">
        <f>IF(ISERROR(VLOOKUP($U$812,'TAR FIN'!$A$1:$O$103,15,0)),0,VLOOKUP($U$812,'TAR FIN'!$A$1:$O$103,15,0))</f>
        <v>275.36</v>
      </c>
      <c r="Y812" s="6"/>
      <c r="Z812" s="6">
        <f ca="1">('TUSD BE'!$AM$56+'TUSD BF'!$AM$56+'TUSD CVA'!$AM$56)*1</f>
        <v>296.3770674346905</v>
      </c>
      <c r="AA812" s="6">
        <f>('TE BE'!$AB$40+'TE BF'!$AB$40+'TE CVA'!$AB$40)*1</f>
        <v>259.03677522481752</v>
      </c>
      <c r="AB812" s="6">
        <f>$K$812*$V$812</f>
        <v>0</v>
      </c>
      <c r="AC812" s="6">
        <f>$M$812*$W$812</f>
        <v>1080.6515999999999</v>
      </c>
      <c r="AD812" s="6">
        <f>$O$812*$X$812</f>
        <v>693.90719999999999</v>
      </c>
      <c r="AE812" s="6">
        <f>$K$812*$Y$812</f>
        <v>0</v>
      </c>
      <c r="AF812" s="6">
        <f ca="1">$M$812*$Z$812</f>
        <v>746.87020993542012</v>
      </c>
      <c r="AG812" s="6">
        <f>$O$812*$AA$812</f>
        <v>652.77267356654011</v>
      </c>
    </row>
    <row r="813" spans="1:33" ht="11.25" customHeight="1" x14ac:dyDescent="0.25">
      <c r="A813" s="4" t="s">
        <v>21</v>
      </c>
      <c r="B813" s="4" t="s">
        <v>39</v>
      </c>
      <c r="C813" s="4" t="s">
        <v>36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38</v>
      </c>
      <c r="I813" s="5">
        <v>44652</v>
      </c>
      <c r="J813" s="6">
        <v>0</v>
      </c>
      <c r="K813" s="6">
        <v>0</v>
      </c>
      <c r="L813" s="6">
        <v>2.093</v>
      </c>
      <c r="M813" s="6">
        <v>2.093</v>
      </c>
      <c r="N813" s="6">
        <v>2.093</v>
      </c>
      <c r="O813" s="6">
        <v>2.093</v>
      </c>
      <c r="P813" s="6">
        <v>0</v>
      </c>
      <c r="Q813" s="4" t="s">
        <v>26</v>
      </c>
      <c r="R813" s="4">
        <v>0</v>
      </c>
      <c r="S813" s="6">
        <v>0</v>
      </c>
      <c r="T813" s="6">
        <v>56</v>
      </c>
      <c r="U813" s="6">
        <v>97</v>
      </c>
      <c r="V813" s="6">
        <f>IF(ISERROR(VLOOKUP($S$813,'TAR FIN'!$A$1:$O$103,15,0)),0,VLOOKUP($S$813,'TAR FIN'!$A$1:$O$103,15,0))</f>
        <v>0</v>
      </c>
      <c r="W813" s="6">
        <f>IF(ISERROR(VLOOKUP($T$813,'TAR FIN'!$A$1:$O$103,15,0)),0,VLOOKUP($T$813,'TAR FIN'!$A$1:$O$103,15,0))</f>
        <v>428.83</v>
      </c>
      <c r="X813" s="6">
        <f>IF(ISERROR(VLOOKUP($U$813,'TAR FIN'!$A$1:$O$103,15,0)),0,VLOOKUP($U$813,'TAR FIN'!$A$1:$O$103,15,0))</f>
        <v>275.36</v>
      </c>
      <c r="Y813" s="6"/>
      <c r="Z813" s="6">
        <f ca="1">('TUSD BE'!$AM$56+'TUSD BF'!$AM$56+'TUSD CVA'!$AM$56)*1</f>
        <v>296.3770674346905</v>
      </c>
      <c r="AA813" s="6">
        <f>('TE BE'!$AB$40+'TE BF'!$AB$40+'TE CVA'!$AB$40)*1</f>
        <v>259.03677522481752</v>
      </c>
      <c r="AB813" s="6">
        <f>$K$813*$V$813</f>
        <v>0</v>
      </c>
      <c r="AC813" s="6">
        <f>$M$813*$W$813</f>
        <v>897.54118999999992</v>
      </c>
      <c r="AD813" s="6">
        <f>$O$813*$X$813</f>
        <v>576.32848000000001</v>
      </c>
      <c r="AE813" s="6">
        <f>$K$813*$Y$813</f>
        <v>0</v>
      </c>
      <c r="AF813" s="6">
        <f ca="1">$M$813*$Z$813</f>
        <v>620.31720214080724</v>
      </c>
      <c r="AG813" s="6">
        <f>$O$813*$AA$813</f>
        <v>542.16397054554307</v>
      </c>
    </row>
    <row r="814" spans="1:33" ht="11.25" customHeight="1" x14ac:dyDescent="0.25">
      <c r="A814" s="4" t="s">
        <v>28</v>
      </c>
      <c r="B814" s="4" t="s">
        <v>39</v>
      </c>
      <c r="C814" s="4" t="s">
        <v>36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38</v>
      </c>
      <c r="I814" s="5">
        <v>44652</v>
      </c>
      <c r="J814" s="6">
        <v>0</v>
      </c>
      <c r="K814" s="6">
        <v>0</v>
      </c>
      <c r="L814" s="6">
        <v>5.0999999999999997E-2</v>
      </c>
      <c r="M814" s="6">
        <v>5.0999999999999997E-2</v>
      </c>
      <c r="N814" s="6">
        <v>5.0999999999999997E-2</v>
      </c>
      <c r="O814" s="6">
        <v>5.0999999999999997E-2</v>
      </c>
      <c r="P814" s="6">
        <v>0</v>
      </c>
      <c r="Q814" s="4" t="s">
        <v>26</v>
      </c>
      <c r="R814" s="4">
        <v>0</v>
      </c>
      <c r="S814" s="6">
        <v>0</v>
      </c>
      <c r="T814" s="6">
        <v>56</v>
      </c>
      <c r="U814" s="6">
        <v>97</v>
      </c>
      <c r="V814" s="6">
        <f>IF(ISERROR(VLOOKUP($S$814,'TAR FIN'!$A$1:$O$103,15,0)),0,VLOOKUP($S$814,'TAR FIN'!$A$1:$O$103,15,0))</f>
        <v>0</v>
      </c>
      <c r="W814" s="6">
        <f>IF(ISERROR(VLOOKUP($T$814,'TAR FIN'!$A$1:$O$103,15,0)),0,VLOOKUP($T$814,'TAR FIN'!$A$1:$O$103,15,0))</f>
        <v>428.83</v>
      </c>
      <c r="X814" s="6">
        <f>IF(ISERROR(VLOOKUP($U$814,'TAR FIN'!$A$1:$O$103,15,0)),0,VLOOKUP($U$814,'TAR FIN'!$A$1:$O$103,15,0))</f>
        <v>275.36</v>
      </c>
      <c r="Y814" s="6"/>
      <c r="Z814" s="6">
        <f ca="1">('TUSD BE'!$AM$56+'TUSD BF'!$AM$56+'TUSD CVA'!$AM$56)*1</f>
        <v>296.3770674346905</v>
      </c>
      <c r="AA814" s="6">
        <f>('TE BE'!$AB$40+'TE BF'!$AB$40+'TE CVA'!$AB$40)*1</f>
        <v>259.03677522481752</v>
      </c>
      <c r="AB814" s="6">
        <f>$K$814*$V$814</f>
        <v>0</v>
      </c>
      <c r="AC814" s="6">
        <f>$M$814*$W$814</f>
        <v>21.870329999999999</v>
      </c>
      <c r="AD814" s="6">
        <f>$O$814*$X$814</f>
        <v>14.04336</v>
      </c>
      <c r="AE814" s="6">
        <f>$K$814*$Y$814</f>
        <v>0</v>
      </c>
      <c r="AF814" s="6">
        <f ca="1">$M$814*$Z$814</f>
        <v>15.115230439169215</v>
      </c>
      <c r="AG814" s="6">
        <f>$O$814*$AA$814</f>
        <v>13.210875536465693</v>
      </c>
    </row>
    <row r="815" spans="1:33" ht="11.25" customHeight="1" x14ac:dyDescent="0.25">
      <c r="A815" s="4" t="s">
        <v>21</v>
      </c>
      <c r="B815" s="4" t="s">
        <v>39</v>
      </c>
      <c r="C815" s="4" t="s">
        <v>36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38</v>
      </c>
      <c r="I815" s="5">
        <v>44682</v>
      </c>
      <c r="J815" s="6">
        <v>0</v>
      </c>
      <c r="K815" s="6">
        <v>0</v>
      </c>
      <c r="L815" s="6">
        <v>2.1539999999999999</v>
      </c>
      <c r="M815" s="6">
        <v>2.1539999999999999</v>
      </c>
      <c r="N815" s="6">
        <v>2.1539999999999999</v>
      </c>
      <c r="O815" s="6">
        <v>2.1539999999999999</v>
      </c>
      <c r="P815" s="6">
        <v>0</v>
      </c>
      <c r="Q815" s="4" t="s">
        <v>26</v>
      </c>
      <c r="R815" s="4">
        <v>0</v>
      </c>
      <c r="S815" s="6">
        <v>0</v>
      </c>
      <c r="T815" s="6">
        <v>56</v>
      </c>
      <c r="U815" s="6">
        <v>97</v>
      </c>
      <c r="V815" s="6">
        <f>IF(ISERROR(VLOOKUP($S$815,'TAR FIN'!$A$1:$O$103,15,0)),0,VLOOKUP($S$815,'TAR FIN'!$A$1:$O$103,15,0))</f>
        <v>0</v>
      </c>
      <c r="W815" s="6">
        <f>IF(ISERROR(VLOOKUP($T$815,'TAR FIN'!$A$1:$O$103,15,0)),0,VLOOKUP($T$815,'TAR FIN'!$A$1:$O$103,15,0))</f>
        <v>428.83</v>
      </c>
      <c r="X815" s="6">
        <f>IF(ISERROR(VLOOKUP($U$815,'TAR FIN'!$A$1:$O$103,15,0)),0,VLOOKUP($U$815,'TAR FIN'!$A$1:$O$103,15,0))</f>
        <v>275.36</v>
      </c>
      <c r="Y815" s="6"/>
      <c r="Z815" s="6">
        <f ca="1">('TUSD BE'!$AM$56+'TUSD BF'!$AM$56+'TUSD CVA'!$AM$56)*1</f>
        <v>296.3770674346905</v>
      </c>
      <c r="AA815" s="6">
        <f>('TE BE'!$AB$40+'TE BF'!$AB$40+'TE CVA'!$AB$40)*1</f>
        <v>259.03677522481752</v>
      </c>
      <c r="AB815" s="6">
        <f>$K$815*$V$815</f>
        <v>0</v>
      </c>
      <c r="AC815" s="6">
        <f>$M$815*$W$815</f>
        <v>923.69981999999993</v>
      </c>
      <c r="AD815" s="6">
        <f>$O$815*$X$815</f>
        <v>593.12544000000003</v>
      </c>
      <c r="AE815" s="6">
        <f>$K$815*$Y$815</f>
        <v>0</v>
      </c>
      <c r="AF815" s="6">
        <f ca="1">$M$815*$Z$815</f>
        <v>638.39620325432327</v>
      </c>
      <c r="AG815" s="6">
        <f>$O$815*$AA$815</f>
        <v>557.96521383425693</v>
      </c>
    </row>
    <row r="816" spans="1:33" ht="11.25" customHeight="1" x14ac:dyDescent="0.25">
      <c r="A816" s="4" t="s">
        <v>21</v>
      </c>
      <c r="B816" s="4" t="s">
        <v>39</v>
      </c>
      <c r="C816" s="4" t="s">
        <v>36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37</v>
      </c>
      <c r="I816" s="5">
        <v>44348</v>
      </c>
      <c r="J816" s="6">
        <v>0</v>
      </c>
      <c r="K816" s="6">
        <v>0</v>
      </c>
      <c r="L816" s="6">
        <v>2.8239999999999998</v>
      </c>
      <c r="M816" s="6">
        <v>2.8239999999999998</v>
      </c>
      <c r="N816" s="6">
        <v>2.8239999999999998</v>
      </c>
      <c r="O816" s="6">
        <v>2.8239999999999998</v>
      </c>
      <c r="P816" s="6">
        <v>0</v>
      </c>
      <c r="Q816" s="4" t="s">
        <v>26</v>
      </c>
      <c r="R816" s="4">
        <v>0</v>
      </c>
      <c r="S816" s="6">
        <v>0</v>
      </c>
      <c r="T816" s="6">
        <v>55</v>
      </c>
      <c r="U816" s="6">
        <v>96</v>
      </c>
      <c r="V816" s="6">
        <f>IF(ISERROR(VLOOKUP($S$816,'TAR FIN'!$A$1:$O$103,15,0)),0,VLOOKUP($S$816,'TAR FIN'!$A$1:$O$103,15,0))</f>
        <v>0</v>
      </c>
      <c r="W816" s="6">
        <f>IF(ISERROR(VLOOKUP($T$816,'TAR FIN'!$A$1:$O$103,15,0)),0,VLOOKUP($T$816,'TAR FIN'!$A$1:$O$103,15,0))</f>
        <v>642.88</v>
      </c>
      <c r="X816" s="6">
        <f>IF(ISERROR(VLOOKUP($U$816,'TAR FIN'!$A$1:$O$103,15,0)),0,VLOOKUP($U$816,'TAR FIN'!$A$1:$O$103,15,0))</f>
        <v>437.87</v>
      </c>
      <c r="Y816" s="6"/>
      <c r="Z816" s="6">
        <f ca="1">('TUSD BE'!$AM$55+'TUSD BF'!$AM$55+'TUSD CVA'!$AM$55)*1</f>
        <v>913.41046886542415</v>
      </c>
      <c r="AA816" s="6">
        <f>('TE BE'!$AB$39+'TE BF'!$AB$39+'TE CVA'!$AB$39)*1</f>
        <v>415.05449050541699</v>
      </c>
      <c r="AB816" s="6">
        <f>$K$816*$V$816</f>
        <v>0</v>
      </c>
      <c r="AC816" s="6">
        <f>$M$816*$W$816</f>
        <v>1815.4931199999999</v>
      </c>
      <c r="AD816" s="6">
        <f>$O$816*$X$816</f>
        <v>1236.5448799999999</v>
      </c>
      <c r="AE816" s="6">
        <f>$K$816*$Y$816</f>
        <v>0</v>
      </c>
      <c r="AF816" s="6">
        <f ca="1">$M$816*$Z$816</f>
        <v>2579.4711640759579</v>
      </c>
      <c r="AG816" s="6">
        <f>$O$816*$AA$816</f>
        <v>1172.1138811872975</v>
      </c>
    </row>
    <row r="817" spans="1:33" ht="11.25" customHeight="1" x14ac:dyDescent="0.25">
      <c r="A817" s="4" t="s">
        <v>21</v>
      </c>
      <c r="B817" s="4" t="s">
        <v>39</v>
      </c>
      <c r="C817" s="4" t="s">
        <v>36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37</v>
      </c>
      <c r="I817" s="5">
        <v>44378</v>
      </c>
      <c r="J817" s="6">
        <v>0</v>
      </c>
      <c r="K817" s="6">
        <v>0</v>
      </c>
      <c r="L817" s="6">
        <v>3.0110000000000001</v>
      </c>
      <c r="M817" s="6">
        <v>3.0110000000000001</v>
      </c>
      <c r="N817" s="6">
        <v>3.0110000000000001</v>
      </c>
      <c r="O817" s="6">
        <v>3.0110000000000001</v>
      </c>
      <c r="P817" s="6">
        <v>0</v>
      </c>
      <c r="Q817" s="4" t="s">
        <v>26</v>
      </c>
      <c r="R817" s="4">
        <v>0</v>
      </c>
      <c r="S817" s="6">
        <v>0</v>
      </c>
      <c r="T817" s="6">
        <v>55</v>
      </c>
      <c r="U817" s="6">
        <v>96</v>
      </c>
      <c r="V817" s="6">
        <f>IF(ISERROR(VLOOKUP($S$817,'TAR FIN'!$A$1:$O$103,15,0)),0,VLOOKUP($S$817,'TAR FIN'!$A$1:$O$103,15,0))</f>
        <v>0</v>
      </c>
      <c r="W817" s="6">
        <f>IF(ISERROR(VLOOKUP($T$817,'TAR FIN'!$A$1:$O$103,15,0)),0,VLOOKUP($T$817,'TAR FIN'!$A$1:$O$103,15,0))</f>
        <v>642.88</v>
      </c>
      <c r="X817" s="6">
        <f>IF(ISERROR(VLOOKUP($U$817,'TAR FIN'!$A$1:$O$103,15,0)),0,VLOOKUP($U$817,'TAR FIN'!$A$1:$O$103,15,0))</f>
        <v>437.87</v>
      </c>
      <c r="Y817" s="6"/>
      <c r="Z817" s="6">
        <f ca="1">('TUSD BE'!$AM$55+'TUSD BF'!$AM$55+'TUSD CVA'!$AM$55)*1</f>
        <v>913.41046886542415</v>
      </c>
      <c r="AA817" s="6">
        <f>('TE BE'!$AB$39+'TE BF'!$AB$39+'TE CVA'!$AB$39)*1</f>
        <v>415.05449050541699</v>
      </c>
      <c r="AB817" s="6">
        <f>$K$817*$V$817</f>
        <v>0</v>
      </c>
      <c r="AC817" s="6">
        <f>$M$817*$W$817</f>
        <v>1935.7116800000001</v>
      </c>
      <c r="AD817" s="6">
        <f>$O$817*$X$817</f>
        <v>1318.4265700000001</v>
      </c>
      <c r="AE817" s="6">
        <f>$K$817*$Y$817</f>
        <v>0</v>
      </c>
      <c r="AF817" s="6">
        <f ca="1">$M$817*$Z$817</f>
        <v>2750.278921753792</v>
      </c>
      <c r="AG817" s="6">
        <f>$O$817*$AA$817</f>
        <v>1249.7290709118106</v>
      </c>
    </row>
    <row r="818" spans="1:33" ht="11.25" customHeight="1" x14ac:dyDescent="0.25">
      <c r="A818" s="4" t="s">
        <v>21</v>
      </c>
      <c r="B818" s="4" t="s">
        <v>39</v>
      </c>
      <c r="C818" s="4" t="s">
        <v>36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37</v>
      </c>
      <c r="I818" s="5">
        <v>44409</v>
      </c>
      <c r="J818" s="6">
        <v>0</v>
      </c>
      <c r="K818" s="6">
        <v>0</v>
      </c>
      <c r="L818" s="6">
        <v>3.0510000000000002</v>
      </c>
      <c r="M818" s="6">
        <v>3.0510000000000002</v>
      </c>
      <c r="N818" s="6">
        <v>3.0510000000000002</v>
      </c>
      <c r="O818" s="6">
        <v>3.0510000000000002</v>
      </c>
      <c r="P818" s="6">
        <v>0</v>
      </c>
      <c r="Q818" s="4" t="s">
        <v>26</v>
      </c>
      <c r="R818" s="4">
        <v>0</v>
      </c>
      <c r="S818" s="6">
        <v>0</v>
      </c>
      <c r="T818" s="6">
        <v>55</v>
      </c>
      <c r="U818" s="6">
        <v>96</v>
      </c>
      <c r="V818" s="6">
        <f>IF(ISERROR(VLOOKUP($S$818,'TAR FIN'!$A$1:$O$103,15,0)),0,VLOOKUP($S$818,'TAR FIN'!$A$1:$O$103,15,0))</f>
        <v>0</v>
      </c>
      <c r="W818" s="6">
        <f>IF(ISERROR(VLOOKUP($T$818,'TAR FIN'!$A$1:$O$103,15,0)),0,VLOOKUP($T$818,'TAR FIN'!$A$1:$O$103,15,0))</f>
        <v>642.88</v>
      </c>
      <c r="X818" s="6">
        <f>IF(ISERROR(VLOOKUP($U$818,'TAR FIN'!$A$1:$O$103,15,0)),0,VLOOKUP($U$818,'TAR FIN'!$A$1:$O$103,15,0))</f>
        <v>437.87</v>
      </c>
      <c r="Y818" s="6"/>
      <c r="Z818" s="6">
        <f ca="1">('TUSD BE'!$AM$55+'TUSD BF'!$AM$55+'TUSD CVA'!$AM$55)*1</f>
        <v>913.41046886542415</v>
      </c>
      <c r="AA818" s="6">
        <f>('TE BE'!$AB$39+'TE BF'!$AB$39+'TE CVA'!$AB$39)*1</f>
        <v>415.05449050541699</v>
      </c>
      <c r="AB818" s="6">
        <f>$K$818*$V$818</f>
        <v>0</v>
      </c>
      <c r="AC818" s="6">
        <f>$M$818*$W$818</f>
        <v>1961.42688</v>
      </c>
      <c r="AD818" s="6">
        <f>$O$818*$X$818</f>
        <v>1335.94137</v>
      </c>
      <c r="AE818" s="6">
        <f>$K$818*$Y$818</f>
        <v>0</v>
      </c>
      <c r="AF818" s="6">
        <f ca="1">$M$818*$Z$818</f>
        <v>2786.815340508409</v>
      </c>
      <c r="AG818" s="6">
        <f>$O$818*$AA$818</f>
        <v>1266.3312505320273</v>
      </c>
    </row>
    <row r="819" spans="1:33" ht="11.25" customHeight="1" x14ac:dyDescent="0.25">
      <c r="A819" s="4" t="s">
        <v>21</v>
      </c>
      <c r="B819" s="4" t="s">
        <v>39</v>
      </c>
      <c r="C819" s="4" t="s">
        <v>36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37</v>
      </c>
      <c r="I819" s="5">
        <v>44440</v>
      </c>
      <c r="J819" s="6">
        <v>0</v>
      </c>
      <c r="K819" s="6">
        <v>0</v>
      </c>
      <c r="L819" s="6">
        <v>2.9340000000000002</v>
      </c>
      <c r="M819" s="6">
        <v>2.9340000000000002</v>
      </c>
      <c r="N819" s="6">
        <v>2.9340000000000002</v>
      </c>
      <c r="O819" s="6">
        <v>2.9340000000000002</v>
      </c>
      <c r="P819" s="6">
        <v>0</v>
      </c>
      <c r="Q819" s="4" t="s">
        <v>26</v>
      </c>
      <c r="R819" s="4">
        <v>0</v>
      </c>
      <c r="S819" s="6">
        <v>0</v>
      </c>
      <c r="T819" s="6">
        <v>55</v>
      </c>
      <c r="U819" s="6">
        <v>96</v>
      </c>
      <c r="V819" s="6">
        <f>IF(ISERROR(VLOOKUP($S$819,'TAR FIN'!$A$1:$O$103,15,0)),0,VLOOKUP($S$819,'TAR FIN'!$A$1:$O$103,15,0))</f>
        <v>0</v>
      </c>
      <c r="W819" s="6">
        <f>IF(ISERROR(VLOOKUP($T$819,'TAR FIN'!$A$1:$O$103,15,0)),0,VLOOKUP($T$819,'TAR FIN'!$A$1:$O$103,15,0))</f>
        <v>642.88</v>
      </c>
      <c r="X819" s="6">
        <f>IF(ISERROR(VLOOKUP($U$819,'TAR FIN'!$A$1:$O$103,15,0)),0,VLOOKUP($U$819,'TAR FIN'!$A$1:$O$103,15,0))</f>
        <v>437.87</v>
      </c>
      <c r="Y819" s="6"/>
      <c r="Z819" s="6">
        <f ca="1">('TUSD BE'!$AM$55+'TUSD BF'!$AM$55+'TUSD CVA'!$AM$55)*1</f>
        <v>913.41046886542415</v>
      </c>
      <c r="AA819" s="6">
        <f>('TE BE'!$AB$39+'TE BF'!$AB$39+'TE CVA'!$AB$39)*1</f>
        <v>415.05449050541699</v>
      </c>
      <c r="AB819" s="6">
        <f>$K$819*$V$819</f>
        <v>0</v>
      </c>
      <c r="AC819" s="6">
        <f>$M$819*$W$819</f>
        <v>1886.20992</v>
      </c>
      <c r="AD819" s="6">
        <f>$O$819*$X$819</f>
        <v>1284.7105800000002</v>
      </c>
      <c r="AE819" s="6">
        <f>$K$819*$Y$819</f>
        <v>0</v>
      </c>
      <c r="AF819" s="6">
        <f ca="1">$M$819*$Z$819</f>
        <v>2679.9463156511547</v>
      </c>
      <c r="AG819" s="6">
        <f>$O$819*$AA$819</f>
        <v>1217.7698751428936</v>
      </c>
    </row>
    <row r="820" spans="1:33" ht="11.25" customHeight="1" x14ac:dyDescent="0.25">
      <c r="A820" s="4" t="s">
        <v>21</v>
      </c>
      <c r="B820" s="4" t="s">
        <v>39</v>
      </c>
      <c r="C820" s="4" t="s">
        <v>36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37</v>
      </c>
      <c r="I820" s="5">
        <v>44470</v>
      </c>
      <c r="J820" s="6">
        <v>0</v>
      </c>
      <c r="K820" s="6">
        <v>0</v>
      </c>
      <c r="L820" s="6">
        <v>3.6360000000000001</v>
      </c>
      <c r="M820" s="6">
        <v>3.6360000000000001</v>
      </c>
      <c r="N820" s="6">
        <v>3.6360000000000001</v>
      </c>
      <c r="O820" s="6">
        <v>3.6360000000000001</v>
      </c>
      <c r="P820" s="6">
        <v>0</v>
      </c>
      <c r="Q820" s="4" t="s">
        <v>26</v>
      </c>
      <c r="R820" s="4">
        <v>0</v>
      </c>
      <c r="S820" s="6">
        <v>0</v>
      </c>
      <c r="T820" s="6">
        <v>55</v>
      </c>
      <c r="U820" s="6">
        <v>96</v>
      </c>
      <c r="V820" s="6">
        <f>IF(ISERROR(VLOOKUP($S$820,'TAR FIN'!$A$1:$O$103,15,0)),0,VLOOKUP($S$820,'TAR FIN'!$A$1:$O$103,15,0))</f>
        <v>0</v>
      </c>
      <c r="W820" s="6">
        <f>IF(ISERROR(VLOOKUP($T$820,'TAR FIN'!$A$1:$O$103,15,0)),0,VLOOKUP($T$820,'TAR FIN'!$A$1:$O$103,15,0))</f>
        <v>642.88</v>
      </c>
      <c r="X820" s="6">
        <f>IF(ISERROR(VLOOKUP($U$820,'TAR FIN'!$A$1:$O$103,15,0)),0,VLOOKUP($U$820,'TAR FIN'!$A$1:$O$103,15,0))</f>
        <v>437.87</v>
      </c>
      <c r="Y820" s="6"/>
      <c r="Z820" s="6">
        <f ca="1">('TUSD BE'!$AM$55+'TUSD BF'!$AM$55+'TUSD CVA'!$AM$55)*1</f>
        <v>913.41046886542415</v>
      </c>
      <c r="AA820" s="6">
        <f>('TE BE'!$AB$39+'TE BF'!$AB$39+'TE CVA'!$AB$39)*1</f>
        <v>415.05449050541699</v>
      </c>
      <c r="AB820" s="6">
        <f>$K$820*$V$820</f>
        <v>0</v>
      </c>
      <c r="AC820" s="6">
        <f>$M$820*$W$820</f>
        <v>2337.5116800000001</v>
      </c>
      <c r="AD820" s="6">
        <f>$O$820*$X$820</f>
        <v>1592.0953200000001</v>
      </c>
      <c r="AE820" s="6">
        <f>$K$820*$Y$820</f>
        <v>0</v>
      </c>
      <c r="AF820" s="6">
        <f ca="1">$M$820*$Z$820</f>
        <v>3321.1604647946824</v>
      </c>
      <c r="AG820" s="6">
        <f>$O$820*$AA$820</f>
        <v>1509.1381274776963</v>
      </c>
    </row>
    <row r="821" spans="1:33" ht="11.25" customHeight="1" x14ac:dyDescent="0.25">
      <c r="A821" s="4" t="s">
        <v>21</v>
      </c>
      <c r="B821" s="4" t="s">
        <v>39</v>
      </c>
      <c r="C821" s="4" t="s">
        <v>36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37</v>
      </c>
      <c r="I821" s="5">
        <v>44501</v>
      </c>
      <c r="J821" s="6">
        <v>0</v>
      </c>
      <c r="K821" s="6">
        <v>0</v>
      </c>
      <c r="L821" s="6">
        <v>4.3</v>
      </c>
      <c r="M821" s="6">
        <v>4.3</v>
      </c>
      <c r="N821" s="6">
        <v>4.3</v>
      </c>
      <c r="O821" s="6">
        <v>4.3</v>
      </c>
      <c r="P821" s="6">
        <v>0</v>
      </c>
      <c r="Q821" s="4" t="s">
        <v>26</v>
      </c>
      <c r="R821" s="4">
        <v>0</v>
      </c>
      <c r="S821" s="6">
        <v>0</v>
      </c>
      <c r="T821" s="6">
        <v>55</v>
      </c>
      <c r="U821" s="6">
        <v>96</v>
      </c>
      <c r="V821" s="6">
        <f>IF(ISERROR(VLOOKUP($S$821,'TAR FIN'!$A$1:$O$103,15,0)),0,VLOOKUP($S$821,'TAR FIN'!$A$1:$O$103,15,0))</f>
        <v>0</v>
      </c>
      <c r="W821" s="6">
        <f>IF(ISERROR(VLOOKUP($T$821,'TAR FIN'!$A$1:$O$103,15,0)),0,VLOOKUP($T$821,'TAR FIN'!$A$1:$O$103,15,0))</f>
        <v>642.88</v>
      </c>
      <c r="X821" s="6">
        <f>IF(ISERROR(VLOOKUP($U$821,'TAR FIN'!$A$1:$O$103,15,0)),0,VLOOKUP($U$821,'TAR FIN'!$A$1:$O$103,15,0))</f>
        <v>437.87</v>
      </c>
      <c r="Y821" s="6"/>
      <c r="Z821" s="6">
        <f ca="1">('TUSD BE'!$AM$55+'TUSD BF'!$AM$55+'TUSD CVA'!$AM$55)*1</f>
        <v>913.41046886542415</v>
      </c>
      <c r="AA821" s="6">
        <f>('TE BE'!$AB$39+'TE BF'!$AB$39+'TE CVA'!$AB$39)*1</f>
        <v>415.05449050541699</v>
      </c>
      <c r="AB821" s="6">
        <f>$K$821*$V$821</f>
        <v>0</v>
      </c>
      <c r="AC821" s="6">
        <f>$M$821*$W$821</f>
        <v>2764.384</v>
      </c>
      <c r="AD821" s="6">
        <f>$O$821*$X$821</f>
        <v>1882.8409999999999</v>
      </c>
      <c r="AE821" s="6">
        <f>$K$821*$Y$821</f>
        <v>0</v>
      </c>
      <c r="AF821" s="6">
        <f ca="1">$M$821*$Z$821</f>
        <v>3927.6650161213238</v>
      </c>
      <c r="AG821" s="6">
        <f>$O$821*$AA$821</f>
        <v>1784.734309173293</v>
      </c>
    </row>
    <row r="822" spans="1:33" ht="11.25" customHeight="1" x14ac:dyDescent="0.25">
      <c r="A822" s="4" t="s">
        <v>21</v>
      </c>
      <c r="B822" s="4" t="s">
        <v>39</v>
      </c>
      <c r="C822" s="4" t="s">
        <v>36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37</v>
      </c>
      <c r="I822" s="5">
        <v>44531</v>
      </c>
      <c r="J822" s="6">
        <v>0</v>
      </c>
      <c r="K822" s="6">
        <v>0</v>
      </c>
      <c r="L822" s="6">
        <v>5.367</v>
      </c>
      <c r="M822" s="6">
        <v>5.367</v>
      </c>
      <c r="N822" s="6">
        <v>5.367</v>
      </c>
      <c r="O822" s="6">
        <v>5.367</v>
      </c>
      <c r="P822" s="6">
        <v>0</v>
      </c>
      <c r="Q822" s="4" t="s">
        <v>26</v>
      </c>
      <c r="R822" s="4">
        <v>0</v>
      </c>
      <c r="S822" s="6">
        <v>0</v>
      </c>
      <c r="T822" s="6">
        <v>55</v>
      </c>
      <c r="U822" s="6">
        <v>96</v>
      </c>
      <c r="V822" s="6">
        <f>IF(ISERROR(VLOOKUP($S$822,'TAR FIN'!$A$1:$O$103,15,0)),0,VLOOKUP($S$822,'TAR FIN'!$A$1:$O$103,15,0))</f>
        <v>0</v>
      </c>
      <c r="W822" s="6">
        <f>IF(ISERROR(VLOOKUP($T$822,'TAR FIN'!$A$1:$O$103,15,0)),0,VLOOKUP($T$822,'TAR FIN'!$A$1:$O$103,15,0))</f>
        <v>642.88</v>
      </c>
      <c r="X822" s="6">
        <f>IF(ISERROR(VLOOKUP($U$822,'TAR FIN'!$A$1:$O$103,15,0)),0,VLOOKUP($U$822,'TAR FIN'!$A$1:$O$103,15,0))</f>
        <v>437.87</v>
      </c>
      <c r="Y822" s="6"/>
      <c r="Z822" s="6">
        <f ca="1">('TUSD BE'!$AM$55+'TUSD BF'!$AM$55+'TUSD CVA'!$AM$55)*1</f>
        <v>913.41046886542415</v>
      </c>
      <c r="AA822" s="6">
        <f>('TE BE'!$AB$39+'TE BF'!$AB$39+'TE CVA'!$AB$39)*1</f>
        <v>415.05449050541699</v>
      </c>
      <c r="AB822" s="6">
        <f>$K$822*$V$822</f>
        <v>0</v>
      </c>
      <c r="AC822" s="6">
        <f>$M$822*$W$822</f>
        <v>3450.3369600000001</v>
      </c>
      <c r="AD822" s="6">
        <f>$O$822*$X$822</f>
        <v>2350.0482900000002</v>
      </c>
      <c r="AE822" s="6">
        <f>$K$822*$Y$822</f>
        <v>0</v>
      </c>
      <c r="AF822" s="6">
        <f ca="1">$M$822*$Z$822</f>
        <v>4902.2739864007317</v>
      </c>
      <c r="AG822" s="6">
        <f>$O$822*$AA$822</f>
        <v>2227.5974505425729</v>
      </c>
    </row>
    <row r="823" spans="1:33" ht="11.25" customHeight="1" x14ac:dyDescent="0.25">
      <c r="A823" s="4" t="s">
        <v>21</v>
      </c>
      <c r="B823" s="4" t="s">
        <v>39</v>
      </c>
      <c r="C823" s="4" t="s">
        <v>36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37</v>
      </c>
      <c r="I823" s="5">
        <v>44562</v>
      </c>
      <c r="J823" s="6">
        <v>0</v>
      </c>
      <c r="K823" s="6">
        <v>0</v>
      </c>
      <c r="L823" s="6">
        <v>3.3740000000000001</v>
      </c>
      <c r="M823" s="6">
        <v>3.3740000000000001</v>
      </c>
      <c r="N823" s="6">
        <v>3.3740000000000001</v>
      </c>
      <c r="O823" s="6">
        <v>3.3740000000000001</v>
      </c>
      <c r="P823" s="6">
        <v>0</v>
      </c>
      <c r="Q823" s="4" t="s">
        <v>26</v>
      </c>
      <c r="R823" s="4">
        <v>0</v>
      </c>
      <c r="S823" s="6">
        <v>0</v>
      </c>
      <c r="T823" s="6">
        <v>55</v>
      </c>
      <c r="U823" s="6">
        <v>96</v>
      </c>
      <c r="V823" s="6">
        <f>IF(ISERROR(VLOOKUP($S$823,'TAR FIN'!$A$1:$O$103,15,0)),0,VLOOKUP($S$823,'TAR FIN'!$A$1:$O$103,15,0))</f>
        <v>0</v>
      </c>
      <c r="W823" s="6">
        <f>IF(ISERROR(VLOOKUP($T$823,'TAR FIN'!$A$1:$O$103,15,0)),0,VLOOKUP($T$823,'TAR FIN'!$A$1:$O$103,15,0))</f>
        <v>642.88</v>
      </c>
      <c r="X823" s="6">
        <f>IF(ISERROR(VLOOKUP($U$823,'TAR FIN'!$A$1:$O$103,15,0)),0,VLOOKUP($U$823,'TAR FIN'!$A$1:$O$103,15,0))</f>
        <v>437.87</v>
      </c>
      <c r="Y823" s="6"/>
      <c r="Z823" s="6">
        <f ca="1">('TUSD BE'!$AM$55+'TUSD BF'!$AM$55+'TUSD CVA'!$AM$55)*1</f>
        <v>913.41046886542415</v>
      </c>
      <c r="AA823" s="6">
        <f>('TE BE'!$AB$39+'TE BF'!$AB$39+'TE CVA'!$AB$39)*1</f>
        <v>415.05449050541699</v>
      </c>
      <c r="AB823" s="6">
        <f>$K$823*$V$823</f>
        <v>0</v>
      </c>
      <c r="AC823" s="6">
        <f>$M$823*$W$823</f>
        <v>2169.0771199999999</v>
      </c>
      <c r="AD823" s="6">
        <f>$O$823*$X$823</f>
        <v>1477.37338</v>
      </c>
      <c r="AE823" s="6">
        <f>$K$823*$Y$823</f>
        <v>0</v>
      </c>
      <c r="AF823" s="6">
        <f ca="1">$M$823*$Z$823</f>
        <v>3081.8469219519411</v>
      </c>
      <c r="AG823" s="6">
        <f>$O$823*$AA$823</f>
        <v>1400.3938509652769</v>
      </c>
    </row>
    <row r="824" spans="1:33" ht="11.25" customHeight="1" x14ac:dyDescent="0.25">
      <c r="A824" s="4" t="s">
        <v>21</v>
      </c>
      <c r="B824" s="4" t="s">
        <v>39</v>
      </c>
      <c r="C824" s="4" t="s">
        <v>36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37</v>
      </c>
      <c r="I824" s="5">
        <v>44593</v>
      </c>
      <c r="J824" s="6">
        <v>0</v>
      </c>
      <c r="K824" s="6">
        <v>0</v>
      </c>
      <c r="L824" s="6">
        <v>3.8740000000000001</v>
      </c>
      <c r="M824" s="6">
        <v>3.8740000000000001</v>
      </c>
      <c r="N824" s="6">
        <v>3.8740000000000001</v>
      </c>
      <c r="O824" s="6">
        <v>3.8740000000000001</v>
      </c>
      <c r="P824" s="6">
        <v>0</v>
      </c>
      <c r="Q824" s="4" t="s">
        <v>26</v>
      </c>
      <c r="R824" s="4">
        <v>0</v>
      </c>
      <c r="S824" s="6">
        <v>0</v>
      </c>
      <c r="T824" s="6">
        <v>55</v>
      </c>
      <c r="U824" s="6">
        <v>96</v>
      </c>
      <c r="V824" s="6">
        <f>IF(ISERROR(VLOOKUP($S$824,'TAR FIN'!$A$1:$O$103,15,0)),0,VLOOKUP($S$824,'TAR FIN'!$A$1:$O$103,15,0))</f>
        <v>0</v>
      </c>
      <c r="W824" s="6">
        <f>IF(ISERROR(VLOOKUP($T$824,'TAR FIN'!$A$1:$O$103,15,0)),0,VLOOKUP($T$824,'TAR FIN'!$A$1:$O$103,15,0))</f>
        <v>642.88</v>
      </c>
      <c r="X824" s="6">
        <f>IF(ISERROR(VLOOKUP($U$824,'TAR FIN'!$A$1:$O$103,15,0)),0,VLOOKUP($U$824,'TAR FIN'!$A$1:$O$103,15,0))</f>
        <v>437.87</v>
      </c>
      <c r="Y824" s="6"/>
      <c r="Z824" s="6">
        <f ca="1">('TUSD BE'!$AM$55+'TUSD BF'!$AM$55+'TUSD CVA'!$AM$55)*1</f>
        <v>913.41046886542415</v>
      </c>
      <c r="AA824" s="6">
        <f>('TE BE'!$AB$39+'TE BF'!$AB$39+'TE CVA'!$AB$39)*1</f>
        <v>415.05449050541699</v>
      </c>
      <c r="AB824" s="6">
        <f>$K$824*$V$824</f>
        <v>0</v>
      </c>
      <c r="AC824" s="6">
        <f>$M$824*$W$824</f>
        <v>2490.51712</v>
      </c>
      <c r="AD824" s="6">
        <f>$O$824*$X$824</f>
        <v>1696.3083800000002</v>
      </c>
      <c r="AE824" s="6">
        <f>$K$824*$Y$824</f>
        <v>0</v>
      </c>
      <c r="AF824" s="6">
        <f ca="1">$M$824*$Z$824</f>
        <v>3538.5521563846532</v>
      </c>
      <c r="AG824" s="6">
        <f>$O$824*$AA$824</f>
        <v>1607.9210962179855</v>
      </c>
    </row>
    <row r="825" spans="1:33" ht="11.25" customHeight="1" x14ac:dyDescent="0.25">
      <c r="A825" s="4" t="s">
        <v>21</v>
      </c>
      <c r="B825" s="4" t="s">
        <v>39</v>
      </c>
      <c r="C825" s="4" t="s">
        <v>36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37</v>
      </c>
      <c r="I825" s="5">
        <v>44621</v>
      </c>
      <c r="J825" s="6">
        <v>0</v>
      </c>
      <c r="K825" s="6">
        <v>0</v>
      </c>
      <c r="L825" s="6">
        <v>3.29</v>
      </c>
      <c r="M825" s="6">
        <v>3.29</v>
      </c>
      <c r="N825" s="6">
        <v>3.29</v>
      </c>
      <c r="O825" s="6">
        <v>3.29</v>
      </c>
      <c r="P825" s="6">
        <v>0</v>
      </c>
      <c r="Q825" s="4" t="s">
        <v>26</v>
      </c>
      <c r="R825" s="4">
        <v>0</v>
      </c>
      <c r="S825" s="6">
        <v>0</v>
      </c>
      <c r="T825" s="6">
        <v>55</v>
      </c>
      <c r="U825" s="6">
        <v>96</v>
      </c>
      <c r="V825" s="6">
        <f>IF(ISERROR(VLOOKUP($S$825,'TAR FIN'!$A$1:$O$103,15,0)),0,VLOOKUP($S$825,'TAR FIN'!$A$1:$O$103,15,0))</f>
        <v>0</v>
      </c>
      <c r="W825" s="6">
        <f>IF(ISERROR(VLOOKUP($T$825,'TAR FIN'!$A$1:$O$103,15,0)),0,VLOOKUP($T$825,'TAR FIN'!$A$1:$O$103,15,0))</f>
        <v>642.88</v>
      </c>
      <c r="X825" s="6">
        <f>IF(ISERROR(VLOOKUP($U$825,'TAR FIN'!$A$1:$O$103,15,0)),0,VLOOKUP($U$825,'TAR FIN'!$A$1:$O$103,15,0))</f>
        <v>437.87</v>
      </c>
      <c r="Y825" s="6"/>
      <c r="Z825" s="6">
        <f ca="1">('TUSD BE'!$AM$55+'TUSD BF'!$AM$55+'TUSD CVA'!$AM$55)*1</f>
        <v>913.41046886542415</v>
      </c>
      <c r="AA825" s="6">
        <f>('TE BE'!$AB$39+'TE BF'!$AB$39+'TE CVA'!$AB$39)*1</f>
        <v>415.05449050541699</v>
      </c>
      <c r="AB825" s="6">
        <f>$K$825*$V$825</f>
        <v>0</v>
      </c>
      <c r="AC825" s="6">
        <f>$M$825*$W$825</f>
        <v>2115.0752000000002</v>
      </c>
      <c r="AD825" s="6">
        <f>$O$825*$X$825</f>
        <v>1440.5923</v>
      </c>
      <c r="AE825" s="6">
        <f>$K$825*$Y$825</f>
        <v>0</v>
      </c>
      <c r="AF825" s="6">
        <f ca="1">$M$825*$Z$825</f>
        <v>3005.1204425672454</v>
      </c>
      <c r="AG825" s="6">
        <f>$O$825*$AA$825</f>
        <v>1365.529273762822</v>
      </c>
    </row>
    <row r="826" spans="1:33" ht="11.25" customHeight="1" x14ac:dyDescent="0.25">
      <c r="A826" s="4" t="s">
        <v>21</v>
      </c>
      <c r="B826" s="4" t="s">
        <v>39</v>
      </c>
      <c r="C826" s="4" t="s">
        <v>36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37</v>
      </c>
      <c r="I826" s="5">
        <v>44652</v>
      </c>
      <c r="J826" s="6">
        <v>0</v>
      </c>
      <c r="K826" s="6">
        <v>0</v>
      </c>
      <c r="L826" s="6">
        <v>2.508</v>
      </c>
      <c r="M826" s="6">
        <v>2.508</v>
      </c>
      <c r="N826" s="6">
        <v>2.508</v>
      </c>
      <c r="O826" s="6">
        <v>2.508</v>
      </c>
      <c r="P826" s="6">
        <v>0</v>
      </c>
      <c r="Q826" s="4" t="s">
        <v>26</v>
      </c>
      <c r="R826" s="4">
        <v>0</v>
      </c>
      <c r="S826" s="6">
        <v>0</v>
      </c>
      <c r="T826" s="6">
        <v>55</v>
      </c>
      <c r="U826" s="6">
        <v>96</v>
      </c>
      <c r="V826" s="6">
        <f>IF(ISERROR(VLOOKUP($S$826,'TAR FIN'!$A$1:$O$103,15,0)),0,VLOOKUP($S$826,'TAR FIN'!$A$1:$O$103,15,0))</f>
        <v>0</v>
      </c>
      <c r="W826" s="6">
        <f>IF(ISERROR(VLOOKUP($T$826,'TAR FIN'!$A$1:$O$103,15,0)),0,VLOOKUP($T$826,'TAR FIN'!$A$1:$O$103,15,0))</f>
        <v>642.88</v>
      </c>
      <c r="X826" s="6">
        <f>IF(ISERROR(VLOOKUP($U$826,'TAR FIN'!$A$1:$O$103,15,0)),0,VLOOKUP($U$826,'TAR FIN'!$A$1:$O$103,15,0))</f>
        <v>437.87</v>
      </c>
      <c r="Y826" s="6"/>
      <c r="Z826" s="6">
        <f ca="1">('TUSD BE'!$AM$55+'TUSD BF'!$AM$55+'TUSD CVA'!$AM$55)*1</f>
        <v>913.41046886542415</v>
      </c>
      <c r="AA826" s="6">
        <f>('TE BE'!$AB$39+'TE BF'!$AB$39+'TE CVA'!$AB$39)*1</f>
        <v>415.05449050541699</v>
      </c>
      <c r="AB826" s="6">
        <f>$K$826*$V$826</f>
        <v>0</v>
      </c>
      <c r="AC826" s="6">
        <f>$M$826*$W$826</f>
        <v>1612.34304</v>
      </c>
      <c r="AD826" s="6">
        <f>$O$826*$X$826</f>
        <v>1098.17796</v>
      </c>
      <c r="AE826" s="6">
        <f>$K$826*$Y$826</f>
        <v>0</v>
      </c>
      <c r="AF826" s="6">
        <f ca="1">$M$826*$Z$826</f>
        <v>2290.8334559144837</v>
      </c>
      <c r="AG826" s="6">
        <f>$O$826*$AA$826</f>
        <v>1040.9566621875858</v>
      </c>
    </row>
    <row r="827" spans="1:33" ht="11.25" customHeight="1" x14ac:dyDescent="0.25">
      <c r="A827" s="4" t="s">
        <v>28</v>
      </c>
      <c r="B827" s="4" t="s">
        <v>39</v>
      </c>
      <c r="C827" s="4" t="s">
        <v>36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37</v>
      </c>
      <c r="I827" s="5">
        <v>44652</v>
      </c>
      <c r="J827" s="6">
        <v>0</v>
      </c>
      <c r="K827" s="6">
        <v>0</v>
      </c>
      <c r="L827" s="6">
        <v>0.82499999999999996</v>
      </c>
      <c r="M827" s="6">
        <v>0.82499999999999996</v>
      </c>
      <c r="N827" s="6">
        <v>0.82499999999999996</v>
      </c>
      <c r="O827" s="6">
        <v>0.82499999999999996</v>
      </c>
      <c r="P827" s="6">
        <v>0</v>
      </c>
      <c r="Q827" s="4" t="s">
        <v>26</v>
      </c>
      <c r="R827" s="4">
        <v>0</v>
      </c>
      <c r="S827" s="6">
        <v>0</v>
      </c>
      <c r="T827" s="6">
        <v>55</v>
      </c>
      <c r="U827" s="6">
        <v>96</v>
      </c>
      <c r="V827" s="6">
        <f>IF(ISERROR(VLOOKUP($S$827,'TAR FIN'!$A$1:$O$103,15,0)),0,VLOOKUP($S$827,'TAR FIN'!$A$1:$O$103,15,0))</f>
        <v>0</v>
      </c>
      <c r="W827" s="6">
        <f>IF(ISERROR(VLOOKUP($T$827,'TAR FIN'!$A$1:$O$103,15,0)),0,VLOOKUP($T$827,'TAR FIN'!$A$1:$O$103,15,0))</f>
        <v>642.88</v>
      </c>
      <c r="X827" s="6">
        <f>IF(ISERROR(VLOOKUP($U$827,'TAR FIN'!$A$1:$O$103,15,0)),0,VLOOKUP($U$827,'TAR FIN'!$A$1:$O$103,15,0))</f>
        <v>437.87</v>
      </c>
      <c r="Y827" s="6"/>
      <c r="Z827" s="6">
        <f ca="1">('TUSD BE'!$AM$55+'TUSD BF'!$AM$55+'TUSD CVA'!$AM$55)*1</f>
        <v>913.41046886542415</v>
      </c>
      <c r="AA827" s="6">
        <f>('TE BE'!$AB$39+'TE BF'!$AB$39+'TE CVA'!$AB$39)*1</f>
        <v>415.05449050541699</v>
      </c>
      <c r="AB827" s="6">
        <f>$K$827*$V$827</f>
        <v>0</v>
      </c>
      <c r="AC827" s="6">
        <f>$M$827*$W$827</f>
        <v>530.37599999999998</v>
      </c>
      <c r="AD827" s="6">
        <f>$O$827*$X$827</f>
        <v>361.24275</v>
      </c>
      <c r="AE827" s="6">
        <f>$K$827*$Y$827</f>
        <v>0</v>
      </c>
      <c r="AF827" s="6">
        <f ca="1">$M$827*$Z$827</f>
        <v>753.56363681397488</v>
      </c>
      <c r="AG827" s="6">
        <f>$O$827*$AA$827</f>
        <v>342.41995466696898</v>
      </c>
    </row>
    <row r="828" spans="1:33" ht="11.25" customHeight="1" x14ac:dyDescent="0.25">
      <c r="A828" s="4" t="s">
        <v>21</v>
      </c>
      <c r="B828" s="4" t="s">
        <v>39</v>
      </c>
      <c r="C828" s="4" t="s">
        <v>36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37</v>
      </c>
      <c r="I828" s="5">
        <v>44682</v>
      </c>
      <c r="J828" s="6">
        <v>0</v>
      </c>
      <c r="K828" s="6">
        <v>0</v>
      </c>
      <c r="L828" s="6">
        <v>2.8730000000000002</v>
      </c>
      <c r="M828" s="6">
        <v>2.8730000000000002</v>
      </c>
      <c r="N828" s="6">
        <v>2.8730000000000002</v>
      </c>
      <c r="O828" s="6">
        <v>2.8730000000000002</v>
      </c>
      <c r="P828" s="6">
        <v>0</v>
      </c>
      <c r="Q828" s="4" t="s">
        <v>26</v>
      </c>
      <c r="R828" s="4">
        <v>0</v>
      </c>
      <c r="S828" s="6">
        <v>0</v>
      </c>
      <c r="T828" s="6">
        <v>55</v>
      </c>
      <c r="U828" s="6">
        <v>96</v>
      </c>
      <c r="V828" s="6">
        <f>IF(ISERROR(VLOOKUP($S$828,'TAR FIN'!$A$1:$O$103,15,0)),0,VLOOKUP($S$828,'TAR FIN'!$A$1:$O$103,15,0))</f>
        <v>0</v>
      </c>
      <c r="W828" s="6">
        <f>IF(ISERROR(VLOOKUP($T$828,'TAR FIN'!$A$1:$O$103,15,0)),0,VLOOKUP($T$828,'TAR FIN'!$A$1:$O$103,15,0))</f>
        <v>642.88</v>
      </c>
      <c r="X828" s="6">
        <f>IF(ISERROR(VLOOKUP($U$828,'TAR FIN'!$A$1:$O$103,15,0)),0,VLOOKUP($U$828,'TAR FIN'!$A$1:$O$103,15,0))</f>
        <v>437.87</v>
      </c>
      <c r="Y828" s="6"/>
      <c r="Z828" s="6">
        <f ca="1">('TUSD BE'!$AM$55+'TUSD BF'!$AM$55+'TUSD CVA'!$AM$55)*1</f>
        <v>913.41046886542415</v>
      </c>
      <c r="AA828" s="6">
        <f>('TE BE'!$AB$39+'TE BF'!$AB$39+'TE CVA'!$AB$39)*1</f>
        <v>415.05449050541699</v>
      </c>
      <c r="AB828" s="6">
        <f>$K$828*$V$828</f>
        <v>0</v>
      </c>
      <c r="AC828" s="6">
        <f>$M$828*$W$828</f>
        <v>1846.9942400000002</v>
      </c>
      <c r="AD828" s="6">
        <f>$O$828*$X$828</f>
        <v>1258.0005100000001</v>
      </c>
      <c r="AE828" s="6">
        <f>$K$828*$Y$828</f>
        <v>0</v>
      </c>
      <c r="AF828" s="6">
        <f ca="1">$M$828*$Z$828</f>
        <v>2624.2282770503639</v>
      </c>
      <c r="AG828" s="6">
        <f>$O$828*$AA$828</f>
        <v>1192.451551222063</v>
      </c>
    </row>
    <row r="829" spans="1:33" ht="11.25" customHeight="1" x14ac:dyDescent="0.25">
      <c r="A829" s="4" t="s">
        <v>21</v>
      </c>
      <c r="B829" s="4" t="s">
        <v>39</v>
      </c>
      <c r="C829" s="4" t="s">
        <v>36</v>
      </c>
      <c r="D829" s="4" t="s">
        <v>40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44348</v>
      </c>
      <c r="J829" s="6">
        <v>0</v>
      </c>
      <c r="K829" s="6">
        <v>0</v>
      </c>
      <c r="L829" s="6">
        <v>1.972</v>
      </c>
      <c r="M829" s="6">
        <v>1.972</v>
      </c>
      <c r="N829" s="6">
        <v>1.972</v>
      </c>
      <c r="O829" s="6">
        <v>1.972</v>
      </c>
      <c r="P829" s="6">
        <v>0</v>
      </c>
      <c r="Q829" s="4" t="s">
        <v>26</v>
      </c>
      <c r="R829" s="4">
        <v>0</v>
      </c>
      <c r="S829" s="6">
        <v>0</v>
      </c>
      <c r="T829" s="6">
        <v>57</v>
      </c>
      <c r="U829" s="6">
        <v>98</v>
      </c>
      <c r="V829" s="6">
        <f>IF(ISERROR(VLOOKUP($S$829,'TAR FIN'!$A$1:$O$103,15,0)),0,VLOOKUP($S$829,'TAR FIN'!$A$1:$O$103,15,0))</f>
        <v>0</v>
      </c>
      <c r="W829" s="6">
        <f>IF(ISERROR(VLOOKUP($T$829,'TAR FIN'!$A$1:$O$103,15,0)),0,VLOOKUP($T$829,'TAR FIN'!$A$1:$O$103,15,0))</f>
        <v>214.77</v>
      </c>
      <c r="X829" s="6">
        <f>IF(ISERROR(VLOOKUP($U$829,'TAR FIN'!$A$1:$O$103,15,0)),0,VLOOKUP($U$829,'TAR FIN'!$A$1:$O$103,15,0))</f>
        <v>275.36</v>
      </c>
      <c r="Y829" s="6"/>
      <c r="Z829" s="6">
        <f ca="1">('TUSD BE'!$AM$57+'TUSD BF'!$AM$57+'TUSD CVA'!$AM$57)*1</f>
        <v>296.3770674346905</v>
      </c>
      <c r="AA829" s="6">
        <f>('TE BE'!$AB$41+'TE BF'!$AB$41+'TE CVA'!$AB$41)*1</f>
        <v>259.03677522481752</v>
      </c>
      <c r="AB829" s="6">
        <f>$K$829*$V$829</f>
        <v>0</v>
      </c>
      <c r="AC829" s="6">
        <f>$M$829*$W$829</f>
        <v>423.52644000000004</v>
      </c>
      <c r="AD829" s="6">
        <f>$O$829*$X$829</f>
        <v>543.00991999999997</v>
      </c>
      <c r="AE829" s="6">
        <f>$K$829*$Y$829</f>
        <v>0</v>
      </c>
      <c r="AF829" s="6">
        <f ca="1">$M$829*$Z$829</f>
        <v>584.45557698120967</v>
      </c>
      <c r="AG829" s="6">
        <f>$O$829*$AA$829</f>
        <v>510.82052074334013</v>
      </c>
    </row>
    <row r="830" spans="1:33" ht="11.25" customHeight="1" x14ac:dyDescent="0.25">
      <c r="A830" s="4" t="s">
        <v>21</v>
      </c>
      <c r="B830" s="4" t="s">
        <v>39</v>
      </c>
      <c r="C830" s="4" t="s">
        <v>36</v>
      </c>
      <c r="D830" s="4" t="s">
        <v>40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44378</v>
      </c>
      <c r="J830" s="6">
        <v>0</v>
      </c>
      <c r="K830" s="6">
        <v>0</v>
      </c>
      <c r="L830" s="6">
        <v>2.1680000000000001</v>
      </c>
      <c r="M830" s="6">
        <v>2.1680000000000001</v>
      </c>
      <c r="N830" s="6">
        <v>2.1680000000000001</v>
      </c>
      <c r="O830" s="6">
        <v>2.1680000000000001</v>
      </c>
      <c r="P830" s="6">
        <v>0</v>
      </c>
      <c r="Q830" s="4" t="s">
        <v>26</v>
      </c>
      <c r="R830" s="4">
        <v>0</v>
      </c>
      <c r="S830" s="6">
        <v>0</v>
      </c>
      <c r="T830" s="6">
        <v>57</v>
      </c>
      <c r="U830" s="6">
        <v>98</v>
      </c>
      <c r="V830" s="6">
        <f>IF(ISERROR(VLOOKUP($S$830,'TAR FIN'!$A$1:$O$103,15,0)),0,VLOOKUP($S$830,'TAR FIN'!$A$1:$O$103,15,0))</f>
        <v>0</v>
      </c>
      <c r="W830" s="6">
        <f>IF(ISERROR(VLOOKUP($T$830,'TAR FIN'!$A$1:$O$103,15,0)),0,VLOOKUP($T$830,'TAR FIN'!$A$1:$O$103,15,0))</f>
        <v>214.77</v>
      </c>
      <c r="X830" s="6">
        <f>IF(ISERROR(VLOOKUP($U$830,'TAR FIN'!$A$1:$O$103,15,0)),0,VLOOKUP($U$830,'TAR FIN'!$A$1:$O$103,15,0))</f>
        <v>275.36</v>
      </c>
      <c r="Y830" s="6"/>
      <c r="Z830" s="6">
        <f ca="1">('TUSD BE'!$AM$57+'TUSD BF'!$AM$57+'TUSD CVA'!$AM$57)*1</f>
        <v>296.3770674346905</v>
      </c>
      <c r="AA830" s="6">
        <f>('TE BE'!$AB$41+'TE BF'!$AB$41+'TE CVA'!$AB$41)*1</f>
        <v>259.03677522481752</v>
      </c>
      <c r="AB830" s="6">
        <f>$K$830*$V$830</f>
        <v>0</v>
      </c>
      <c r="AC830" s="6">
        <f>$M$830*$W$830</f>
        <v>465.62136000000004</v>
      </c>
      <c r="AD830" s="6">
        <f>$O$830*$X$830</f>
        <v>596.98048000000006</v>
      </c>
      <c r="AE830" s="6">
        <f>$K$830*$Y$830</f>
        <v>0</v>
      </c>
      <c r="AF830" s="6">
        <f ca="1">$M$830*$Z$830</f>
        <v>642.5454821984091</v>
      </c>
      <c r="AG830" s="6">
        <f>$O$830*$AA$830</f>
        <v>561.59172868740438</v>
      </c>
    </row>
    <row r="831" spans="1:33" ht="11.25" customHeight="1" x14ac:dyDescent="0.25">
      <c r="A831" s="4" t="s">
        <v>21</v>
      </c>
      <c r="B831" s="4" t="s">
        <v>39</v>
      </c>
      <c r="C831" s="4" t="s">
        <v>36</v>
      </c>
      <c r="D831" s="4" t="s">
        <v>40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44409</v>
      </c>
      <c r="J831" s="6">
        <v>0</v>
      </c>
      <c r="K831" s="6">
        <v>0</v>
      </c>
      <c r="L831" s="6">
        <v>2.1709999999999998</v>
      </c>
      <c r="M831" s="6">
        <v>2.1709999999999998</v>
      </c>
      <c r="N831" s="6">
        <v>2.1709999999999998</v>
      </c>
      <c r="O831" s="6">
        <v>2.1709999999999998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57</v>
      </c>
      <c r="U831" s="6">
        <v>98</v>
      </c>
      <c r="V831" s="6">
        <f>IF(ISERROR(VLOOKUP($S$831,'TAR FIN'!$A$1:$O$103,15,0)),0,VLOOKUP($S$831,'TAR FIN'!$A$1:$O$103,15,0))</f>
        <v>0</v>
      </c>
      <c r="W831" s="6">
        <f>IF(ISERROR(VLOOKUP($T$831,'TAR FIN'!$A$1:$O$103,15,0)),0,VLOOKUP($T$831,'TAR FIN'!$A$1:$O$103,15,0))</f>
        <v>214.77</v>
      </c>
      <c r="X831" s="6">
        <f>IF(ISERROR(VLOOKUP($U$831,'TAR FIN'!$A$1:$O$103,15,0)),0,VLOOKUP($U$831,'TAR FIN'!$A$1:$O$103,15,0))</f>
        <v>275.36</v>
      </c>
      <c r="Y831" s="6"/>
      <c r="Z831" s="6">
        <f ca="1">('TUSD BE'!$AM$57+'TUSD BF'!$AM$57+'TUSD CVA'!$AM$57)*1</f>
        <v>296.3770674346905</v>
      </c>
      <c r="AA831" s="6">
        <f>('TE BE'!$AB$41+'TE BF'!$AB$41+'TE CVA'!$AB$41)*1</f>
        <v>259.03677522481752</v>
      </c>
      <c r="AB831" s="6">
        <f>$K$831*$V$831</f>
        <v>0</v>
      </c>
      <c r="AC831" s="6">
        <f>$M$831*$W$831</f>
        <v>466.26567</v>
      </c>
      <c r="AD831" s="6">
        <f>$O$831*$X$831</f>
        <v>597.80655999999999</v>
      </c>
      <c r="AE831" s="6">
        <f>$K$831*$Y$831</f>
        <v>0</v>
      </c>
      <c r="AF831" s="6">
        <f ca="1">$M$831*$Z$831</f>
        <v>643.43461340071303</v>
      </c>
      <c r="AG831" s="6">
        <f>$O$831*$AA$831</f>
        <v>562.36883901307874</v>
      </c>
    </row>
    <row r="832" spans="1:33" ht="11.25" customHeight="1" x14ac:dyDescent="0.25">
      <c r="A832" s="4" t="s">
        <v>21</v>
      </c>
      <c r="B832" s="4" t="s">
        <v>39</v>
      </c>
      <c r="C832" s="4" t="s">
        <v>36</v>
      </c>
      <c r="D832" s="4" t="s">
        <v>40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44440</v>
      </c>
      <c r="J832" s="6">
        <v>0</v>
      </c>
      <c r="K832" s="6">
        <v>0</v>
      </c>
      <c r="L832" s="6">
        <v>2.056</v>
      </c>
      <c r="M832" s="6">
        <v>2.056</v>
      </c>
      <c r="N832" s="6">
        <v>2.056</v>
      </c>
      <c r="O832" s="6">
        <v>2.056</v>
      </c>
      <c r="P832" s="6">
        <v>0</v>
      </c>
      <c r="Q832" s="4" t="s">
        <v>26</v>
      </c>
      <c r="R832" s="4">
        <v>0</v>
      </c>
      <c r="S832" s="6">
        <v>0</v>
      </c>
      <c r="T832" s="6">
        <v>57</v>
      </c>
      <c r="U832" s="6">
        <v>98</v>
      </c>
      <c r="V832" s="6">
        <f>IF(ISERROR(VLOOKUP($S$832,'TAR FIN'!$A$1:$O$103,15,0)),0,VLOOKUP($S$832,'TAR FIN'!$A$1:$O$103,15,0))</f>
        <v>0</v>
      </c>
      <c r="W832" s="6">
        <f>IF(ISERROR(VLOOKUP($T$832,'TAR FIN'!$A$1:$O$103,15,0)),0,VLOOKUP($T$832,'TAR FIN'!$A$1:$O$103,15,0))</f>
        <v>214.77</v>
      </c>
      <c r="X832" s="6">
        <f>IF(ISERROR(VLOOKUP($U$832,'TAR FIN'!$A$1:$O$103,15,0)),0,VLOOKUP($U$832,'TAR FIN'!$A$1:$O$103,15,0))</f>
        <v>275.36</v>
      </c>
      <c r="Y832" s="6"/>
      <c r="Z832" s="6">
        <f ca="1">('TUSD BE'!$AM$57+'TUSD BF'!$AM$57+'TUSD CVA'!$AM$57)*1</f>
        <v>296.3770674346905</v>
      </c>
      <c r="AA832" s="6">
        <f>('TE BE'!$AB$41+'TE BF'!$AB$41+'TE CVA'!$AB$41)*1</f>
        <v>259.03677522481752</v>
      </c>
      <c r="AB832" s="6">
        <f>$K$832*$V$832</f>
        <v>0</v>
      </c>
      <c r="AC832" s="6">
        <f>$M$832*$W$832</f>
        <v>441.56712000000005</v>
      </c>
      <c r="AD832" s="6">
        <f>$O$832*$X$832</f>
        <v>566.14016000000004</v>
      </c>
      <c r="AE832" s="6">
        <f>$K$832*$Y$832</f>
        <v>0</v>
      </c>
      <c r="AF832" s="6">
        <f ca="1">$M$832*$Z$832</f>
        <v>609.35125064572367</v>
      </c>
      <c r="AG832" s="6">
        <f>$O$832*$AA$832</f>
        <v>532.57960986222486</v>
      </c>
    </row>
    <row r="833" spans="1:33" ht="11.25" customHeight="1" x14ac:dyDescent="0.25">
      <c r="A833" s="4" t="s">
        <v>21</v>
      </c>
      <c r="B833" s="4" t="s">
        <v>39</v>
      </c>
      <c r="C833" s="4" t="s">
        <v>36</v>
      </c>
      <c r="D833" s="4" t="s">
        <v>40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44470</v>
      </c>
      <c r="J833" s="6">
        <v>0</v>
      </c>
      <c r="K833" s="6">
        <v>0</v>
      </c>
      <c r="L833" s="6">
        <v>2.024</v>
      </c>
      <c r="M833" s="6">
        <v>2.024</v>
      </c>
      <c r="N833" s="6">
        <v>2.024</v>
      </c>
      <c r="O833" s="6">
        <v>2.024</v>
      </c>
      <c r="P833" s="6">
        <v>0</v>
      </c>
      <c r="Q833" s="4" t="s">
        <v>26</v>
      </c>
      <c r="R833" s="4">
        <v>0</v>
      </c>
      <c r="S833" s="6">
        <v>0</v>
      </c>
      <c r="T833" s="6">
        <v>57</v>
      </c>
      <c r="U833" s="6">
        <v>98</v>
      </c>
      <c r="V833" s="6">
        <f>IF(ISERROR(VLOOKUP($S$833,'TAR FIN'!$A$1:$O$103,15,0)),0,VLOOKUP($S$833,'TAR FIN'!$A$1:$O$103,15,0))</f>
        <v>0</v>
      </c>
      <c r="W833" s="6">
        <f>IF(ISERROR(VLOOKUP($T$833,'TAR FIN'!$A$1:$O$103,15,0)),0,VLOOKUP($T$833,'TAR FIN'!$A$1:$O$103,15,0))</f>
        <v>214.77</v>
      </c>
      <c r="X833" s="6">
        <f>IF(ISERROR(VLOOKUP($U$833,'TAR FIN'!$A$1:$O$103,15,0)),0,VLOOKUP($U$833,'TAR FIN'!$A$1:$O$103,15,0))</f>
        <v>275.36</v>
      </c>
      <c r="Y833" s="6"/>
      <c r="Z833" s="6">
        <f ca="1">('TUSD BE'!$AM$57+'TUSD BF'!$AM$57+'TUSD CVA'!$AM$57)*1</f>
        <v>296.3770674346905</v>
      </c>
      <c r="AA833" s="6">
        <f>('TE BE'!$AB$41+'TE BF'!$AB$41+'TE CVA'!$AB$41)*1</f>
        <v>259.03677522481752</v>
      </c>
      <c r="AB833" s="6">
        <f>$K$833*$V$833</f>
        <v>0</v>
      </c>
      <c r="AC833" s="6">
        <f>$M$833*$W$833</f>
        <v>434.69448</v>
      </c>
      <c r="AD833" s="6">
        <f>$O$833*$X$833</f>
        <v>557.32864000000006</v>
      </c>
      <c r="AE833" s="6">
        <f>$K$833*$Y$833</f>
        <v>0</v>
      </c>
      <c r="AF833" s="6">
        <f ca="1">$M$833*$Z$833</f>
        <v>599.86718448781357</v>
      </c>
      <c r="AG833" s="6">
        <f>$O$833*$AA$833</f>
        <v>524.29043305503069</v>
      </c>
    </row>
    <row r="834" spans="1:33" ht="11.25" customHeight="1" x14ac:dyDescent="0.25">
      <c r="A834" s="4" t="s">
        <v>21</v>
      </c>
      <c r="B834" s="4" t="s">
        <v>39</v>
      </c>
      <c r="C834" s="4" t="s">
        <v>36</v>
      </c>
      <c r="D834" s="4" t="s">
        <v>40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44501</v>
      </c>
      <c r="J834" s="6">
        <v>0</v>
      </c>
      <c r="K834" s="6">
        <v>0</v>
      </c>
      <c r="L834" s="6">
        <v>2.0179999999999998</v>
      </c>
      <c r="M834" s="6">
        <v>2.0179999999999998</v>
      </c>
      <c r="N834" s="6">
        <v>2.0179999999999998</v>
      </c>
      <c r="O834" s="6">
        <v>2.0179999999999998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57</v>
      </c>
      <c r="U834" s="6">
        <v>98</v>
      </c>
      <c r="V834" s="6">
        <f>IF(ISERROR(VLOOKUP($S$834,'TAR FIN'!$A$1:$O$103,15,0)),0,VLOOKUP($S$834,'TAR FIN'!$A$1:$O$103,15,0))</f>
        <v>0</v>
      </c>
      <c r="W834" s="6">
        <f>IF(ISERROR(VLOOKUP($T$834,'TAR FIN'!$A$1:$O$103,15,0)),0,VLOOKUP($T$834,'TAR FIN'!$A$1:$O$103,15,0))</f>
        <v>214.77</v>
      </c>
      <c r="X834" s="6">
        <f>IF(ISERROR(VLOOKUP($U$834,'TAR FIN'!$A$1:$O$103,15,0)),0,VLOOKUP($U$834,'TAR FIN'!$A$1:$O$103,15,0))</f>
        <v>275.36</v>
      </c>
      <c r="Y834" s="6"/>
      <c r="Z834" s="6">
        <f ca="1">('TUSD BE'!$AM$57+'TUSD BF'!$AM$57+'TUSD CVA'!$AM$57)*1</f>
        <v>296.3770674346905</v>
      </c>
      <c r="AA834" s="6">
        <f>('TE BE'!$AB$41+'TE BF'!$AB$41+'TE CVA'!$AB$41)*1</f>
        <v>259.03677522481752</v>
      </c>
      <c r="AB834" s="6">
        <f>$K$834*$V$834</f>
        <v>0</v>
      </c>
      <c r="AC834" s="6">
        <f>$M$834*$W$834</f>
        <v>433.40585999999996</v>
      </c>
      <c r="AD834" s="6">
        <f>$O$834*$X$834</f>
        <v>555.67647999999997</v>
      </c>
      <c r="AE834" s="6">
        <f>$K$834*$Y$834</f>
        <v>0</v>
      </c>
      <c r="AF834" s="6">
        <f ca="1">$M$834*$Z$834</f>
        <v>598.08892208320538</v>
      </c>
      <c r="AG834" s="6">
        <f>$O$834*$AA$834</f>
        <v>522.73621240368175</v>
      </c>
    </row>
    <row r="835" spans="1:33" ht="11.25" customHeight="1" x14ac:dyDescent="0.25">
      <c r="A835" s="4" t="s">
        <v>21</v>
      </c>
      <c r="B835" s="4" t="s">
        <v>39</v>
      </c>
      <c r="C835" s="4" t="s">
        <v>36</v>
      </c>
      <c r="D835" s="4" t="s">
        <v>40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44531</v>
      </c>
      <c r="J835" s="6">
        <v>0</v>
      </c>
      <c r="K835" s="6">
        <v>0</v>
      </c>
      <c r="L835" s="6">
        <v>2.08</v>
      </c>
      <c r="M835" s="6">
        <v>2.08</v>
      </c>
      <c r="N835" s="6">
        <v>2.08</v>
      </c>
      <c r="O835" s="6">
        <v>2.08</v>
      </c>
      <c r="P835" s="6">
        <v>0</v>
      </c>
      <c r="Q835" s="4" t="s">
        <v>26</v>
      </c>
      <c r="R835" s="4">
        <v>0</v>
      </c>
      <c r="S835" s="6">
        <v>0</v>
      </c>
      <c r="T835" s="6">
        <v>57</v>
      </c>
      <c r="U835" s="6">
        <v>98</v>
      </c>
      <c r="V835" s="6">
        <f>IF(ISERROR(VLOOKUP($S$835,'TAR FIN'!$A$1:$O$103,15,0)),0,VLOOKUP($S$835,'TAR FIN'!$A$1:$O$103,15,0))</f>
        <v>0</v>
      </c>
      <c r="W835" s="6">
        <f>IF(ISERROR(VLOOKUP($T$835,'TAR FIN'!$A$1:$O$103,15,0)),0,VLOOKUP($T$835,'TAR FIN'!$A$1:$O$103,15,0))</f>
        <v>214.77</v>
      </c>
      <c r="X835" s="6">
        <f>IF(ISERROR(VLOOKUP($U$835,'TAR FIN'!$A$1:$O$103,15,0)),0,VLOOKUP($U$835,'TAR FIN'!$A$1:$O$103,15,0))</f>
        <v>275.36</v>
      </c>
      <c r="Y835" s="6"/>
      <c r="Z835" s="6">
        <f ca="1">('TUSD BE'!$AM$57+'TUSD BF'!$AM$57+'TUSD CVA'!$AM$57)*1</f>
        <v>296.3770674346905</v>
      </c>
      <c r="AA835" s="6">
        <f>('TE BE'!$AB$41+'TE BF'!$AB$41+'TE CVA'!$AB$41)*1</f>
        <v>259.03677522481752</v>
      </c>
      <c r="AB835" s="6">
        <f>$K$835*$V$835</f>
        <v>0</v>
      </c>
      <c r="AC835" s="6">
        <f>$M$835*$W$835</f>
        <v>446.72160000000002</v>
      </c>
      <c r="AD835" s="6">
        <f>$O$835*$X$835</f>
        <v>572.74880000000007</v>
      </c>
      <c r="AE835" s="6">
        <f>$K$835*$Y$835</f>
        <v>0</v>
      </c>
      <c r="AF835" s="6">
        <f ca="1">$M$835*$Z$835</f>
        <v>616.46430026415624</v>
      </c>
      <c r="AG835" s="6">
        <f>$O$835*$AA$835</f>
        <v>538.79649246762051</v>
      </c>
    </row>
    <row r="836" spans="1:33" ht="11.25" customHeight="1" x14ac:dyDescent="0.25">
      <c r="A836" s="4" t="s">
        <v>21</v>
      </c>
      <c r="B836" s="4" t="s">
        <v>39</v>
      </c>
      <c r="C836" s="4" t="s">
        <v>36</v>
      </c>
      <c r="D836" s="4" t="s">
        <v>40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44562</v>
      </c>
      <c r="J836" s="6">
        <v>0</v>
      </c>
      <c r="K836" s="6">
        <v>0</v>
      </c>
      <c r="L836" s="6">
        <v>1.895</v>
      </c>
      <c r="M836" s="6">
        <v>1.895</v>
      </c>
      <c r="N836" s="6">
        <v>1.895</v>
      </c>
      <c r="O836" s="6">
        <v>1.895</v>
      </c>
      <c r="P836" s="6">
        <v>0</v>
      </c>
      <c r="Q836" s="4" t="s">
        <v>26</v>
      </c>
      <c r="R836" s="4">
        <v>0</v>
      </c>
      <c r="S836" s="6">
        <v>0</v>
      </c>
      <c r="T836" s="6">
        <v>57</v>
      </c>
      <c r="U836" s="6">
        <v>98</v>
      </c>
      <c r="V836" s="6">
        <f>IF(ISERROR(VLOOKUP($S$836,'TAR FIN'!$A$1:$O$103,15,0)),0,VLOOKUP($S$836,'TAR FIN'!$A$1:$O$103,15,0))</f>
        <v>0</v>
      </c>
      <c r="W836" s="6">
        <f>IF(ISERROR(VLOOKUP($T$836,'TAR FIN'!$A$1:$O$103,15,0)),0,VLOOKUP($T$836,'TAR FIN'!$A$1:$O$103,15,0))</f>
        <v>214.77</v>
      </c>
      <c r="X836" s="6">
        <f>IF(ISERROR(VLOOKUP($U$836,'TAR FIN'!$A$1:$O$103,15,0)),0,VLOOKUP($U$836,'TAR FIN'!$A$1:$O$103,15,0))</f>
        <v>275.36</v>
      </c>
      <c r="Y836" s="6"/>
      <c r="Z836" s="6">
        <f ca="1">('TUSD BE'!$AM$57+'TUSD BF'!$AM$57+'TUSD CVA'!$AM$57)*1</f>
        <v>296.3770674346905</v>
      </c>
      <c r="AA836" s="6">
        <f>('TE BE'!$AB$41+'TE BF'!$AB$41+'TE CVA'!$AB$41)*1</f>
        <v>259.03677522481752</v>
      </c>
      <c r="AB836" s="6">
        <f>$K$836*$V$836</f>
        <v>0</v>
      </c>
      <c r="AC836" s="6">
        <f>$M$836*$W$836</f>
        <v>406.98915</v>
      </c>
      <c r="AD836" s="6">
        <f>$O$836*$X$836</f>
        <v>521.80720000000008</v>
      </c>
      <c r="AE836" s="6">
        <f>$K$836*$Y$836</f>
        <v>0</v>
      </c>
      <c r="AF836" s="6">
        <f ca="1">$M$836*$Z$836</f>
        <v>561.63454278873849</v>
      </c>
      <c r="AG836" s="6">
        <f>$O$836*$AA$836</f>
        <v>490.87468905102918</v>
      </c>
    </row>
    <row r="837" spans="1:33" ht="11.25" customHeight="1" x14ac:dyDescent="0.25">
      <c r="A837" s="4" t="s">
        <v>21</v>
      </c>
      <c r="B837" s="4" t="s">
        <v>39</v>
      </c>
      <c r="C837" s="4" t="s">
        <v>36</v>
      </c>
      <c r="D837" s="4" t="s">
        <v>40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44593</v>
      </c>
      <c r="J837" s="6">
        <v>0</v>
      </c>
      <c r="K837" s="6">
        <v>0</v>
      </c>
      <c r="L837" s="6">
        <v>2.2280000000000002</v>
      </c>
      <c r="M837" s="6">
        <v>2.2280000000000002</v>
      </c>
      <c r="N837" s="6">
        <v>2.2280000000000002</v>
      </c>
      <c r="O837" s="6">
        <v>2.2280000000000002</v>
      </c>
      <c r="P837" s="6">
        <v>0</v>
      </c>
      <c r="Q837" s="4" t="s">
        <v>26</v>
      </c>
      <c r="R837" s="4">
        <v>0</v>
      </c>
      <c r="S837" s="6">
        <v>0</v>
      </c>
      <c r="T837" s="6">
        <v>57</v>
      </c>
      <c r="U837" s="6">
        <v>98</v>
      </c>
      <c r="V837" s="6">
        <f>IF(ISERROR(VLOOKUP($S$837,'TAR FIN'!$A$1:$O$103,15,0)),0,VLOOKUP($S$837,'TAR FIN'!$A$1:$O$103,15,0))</f>
        <v>0</v>
      </c>
      <c r="W837" s="6">
        <f>IF(ISERROR(VLOOKUP($T$837,'TAR FIN'!$A$1:$O$103,15,0)),0,VLOOKUP($T$837,'TAR FIN'!$A$1:$O$103,15,0))</f>
        <v>214.77</v>
      </c>
      <c r="X837" s="6">
        <f>IF(ISERROR(VLOOKUP($U$837,'TAR FIN'!$A$1:$O$103,15,0)),0,VLOOKUP($U$837,'TAR FIN'!$A$1:$O$103,15,0))</f>
        <v>275.36</v>
      </c>
      <c r="Y837" s="6"/>
      <c r="Z837" s="6">
        <f ca="1">('TUSD BE'!$AM$57+'TUSD BF'!$AM$57+'TUSD CVA'!$AM$57)*1</f>
        <v>296.3770674346905</v>
      </c>
      <c r="AA837" s="6">
        <f>('TE BE'!$AB$41+'TE BF'!$AB$41+'TE CVA'!$AB$41)*1</f>
        <v>259.03677522481752</v>
      </c>
      <c r="AB837" s="6">
        <f>$K$837*$V$837</f>
        <v>0</v>
      </c>
      <c r="AC837" s="6">
        <f>$M$837*$W$837</f>
        <v>478.50756000000007</v>
      </c>
      <c r="AD837" s="6">
        <f>$O$837*$X$837</f>
        <v>613.50208000000009</v>
      </c>
      <c r="AE837" s="6">
        <f>$K$837*$Y$837</f>
        <v>0</v>
      </c>
      <c r="AF837" s="6">
        <f ca="1">$M$837*$Z$837</f>
        <v>660.32810624449053</v>
      </c>
      <c r="AG837" s="6">
        <f>$O$837*$AA$837</f>
        <v>577.13393520089346</v>
      </c>
    </row>
    <row r="838" spans="1:33" ht="11.25" customHeight="1" x14ac:dyDescent="0.25">
      <c r="A838" s="4" t="s">
        <v>21</v>
      </c>
      <c r="B838" s="4" t="s">
        <v>39</v>
      </c>
      <c r="C838" s="4" t="s">
        <v>36</v>
      </c>
      <c r="D838" s="4" t="s">
        <v>40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44621</v>
      </c>
      <c r="J838" s="6">
        <v>0</v>
      </c>
      <c r="K838" s="6">
        <v>0</v>
      </c>
      <c r="L838" s="6">
        <v>2.14</v>
      </c>
      <c r="M838" s="6">
        <v>2.14</v>
      </c>
      <c r="N838" s="6">
        <v>2.14</v>
      </c>
      <c r="O838" s="6">
        <v>2.14</v>
      </c>
      <c r="P838" s="6">
        <v>0</v>
      </c>
      <c r="Q838" s="4" t="s">
        <v>26</v>
      </c>
      <c r="R838" s="4">
        <v>0</v>
      </c>
      <c r="S838" s="6">
        <v>0</v>
      </c>
      <c r="T838" s="6">
        <v>57</v>
      </c>
      <c r="U838" s="6">
        <v>98</v>
      </c>
      <c r="V838" s="6">
        <f>IF(ISERROR(VLOOKUP($S$838,'TAR FIN'!$A$1:$O$103,15,0)),0,VLOOKUP($S$838,'TAR FIN'!$A$1:$O$103,15,0))</f>
        <v>0</v>
      </c>
      <c r="W838" s="6">
        <f>IF(ISERROR(VLOOKUP($T$838,'TAR FIN'!$A$1:$O$103,15,0)),0,VLOOKUP($T$838,'TAR FIN'!$A$1:$O$103,15,0))</f>
        <v>214.77</v>
      </c>
      <c r="X838" s="6">
        <f>IF(ISERROR(VLOOKUP($U$838,'TAR FIN'!$A$1:$O$103,15,0)),0,VLOOKUP($U$838,'TAR FIN'!$A$1:$O$103,15,0))</f>
        <v>275.36</v>
      </c>
      <c r="Y838" s="6"/>
      <c r="Z838" s="6">
        <f ca="1">('TUSD BE'!$AM$57+'TUSD BF'!$AM$57+'TUSD CVA'!$AM$57)*1</f>
        <v>296.3770674346905</v>
      </c>
      <c r="AA838" s="6">
        <f>('TE BE'!$AB$41+'TE BF'!$AB$41+'TE CVA'!$AB$41)*1</f>
        <v>259.03677522481752</v>
      </c>
      <c r="AB838" s="6">
        <f>$K$838*$V$838</f>
        <v>0</v>
      </c>
      <c r="AC838" s="6">
        <f>$M$838*$W$838</f>
        <v>459.60780000000005</v>
      </c>
      <c r="AD838" s="6">
        <f>$O$838*$X$838</f>
        <v>589.27040000000011</v>
      </c>
      <c r="AE838" s="6">
        <f>$K$838*$Y$838</f>
        <v>0</v>
      </c>
      <c r="AF838" s="6">
        <f ca="1">$M$838*$Z$838</f>
        <v>634.24692431023766</v>
      </c>
      <c r="AG838" s="6">
        <f>$O$838*$AA$838</f>
        <v>554.33869898110947</v>
      </c>
    </row>
    <row r="839" spans="1:33" ht="11.25" customHeight="1" x14ac:dyDescent="0.25">
      <c r="A839" s="4" t="s">
        <v>21</v>
      </c>
      <c r="B839" s="4" t="s">
        <v>39</v>
      </c>
      <c r="C839" s="4" t="s">
        <v>36</v>
      </c>
      <c r="D839" s="4" t="s">
        <v>40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44652</v>
      </c>
      <c r="J839" s="6">
        <v>0</v>
      </c>
      <c r="K839" s="6">
        <v>0</v>
      </c>
      <c r="L839" s="6">
        <v>2.0470000000000002</v>
      </c>
      <c r="M839" s="6">
        <v>2.0470000000000002</v>
      </c>
      <c r="N839" s="6">
        <v>2.0470000000000002</v>
      </c>
      <c r="O839" s="6">
        <v>2.0470000000000002</v>
      </c>
      <c r="P839" s="6">
        <v>0</v>
      </c>
      <c r="Q839" s="4" t="s">
        <v>26</v>
      </c>
      <c r="R839" s="4">
        <v>0</v>
      </c>
      <c r="S839" s="6">
        <v>0</v>
      </c>
      <c r="T839" s="6">
        <v>57</v>
      </c>
      <c r="U839" s="6">
        <v>98</v>
      </c>
      <c r="V839" s="6">
        <f>IF(ISERROR(VLOOKUP($S$839,'TAR FIN'!$A$1:$O$103,15,0)),0,VLOOKUP($S$839,'TAR FIN'!$A$1:$O$103,15,0))</f>
        <v>0</v>
      </c>
      <c r="W839" s="6">
        <f>IF(ISERROR(VLOOKUP($T$839,'TAR FIN'!$A$1:$O$103,15,0)),0,VLOOKUP($T$839,'TAR FIN'!$A$1:$O$103,15,0))</f>
        <v>214.77</v>
      </c>
      <c r="X839" s="6">
        <f>IF(ISERROR(VLOOKUP($U$839,'TAR FIN'!$A$1:$O$103,15,0)),0,VLOOKUP($U$839,'TAR FIN'!$A$1:$O$103,15,0))</f>
        <v>275.36</v>
      </c>
      <c r="Y839" s="6"/>
      <c r="Z839" s="6">
        <f ca="1">('TUSD BE'!$AM$57+'TUSD BF'!$AM$57+'TUSD CVA'!$AM$57)*1</f>
        <v>296.3770674346905</v>
      </c>
      <c r="AA839" s="6">
        <f>('TE BE'!$AB$41+'TE BF'!$AB$41+'TE CVA'!$AB$41)*1</f>
        <v>259.03677522481752</v>
      </c>
      <c r="AB839" s="6">
        <f>$K$839*$V$839</f>
        <v>0</v>
      </c>
      <c r="AC839" s="6">
        <f>$M$839*$W$839</f>
        <v>439.63419000000005</v>
      </c>
      <c r="AD839" s="6">
        <f>$O$839*$X$839</f>
        <v>563.66192000000012</v>
      </c>
      <c r="AE839" s="6">
        <f>$K$839*$Y$839</f>
        <v>0</v>
      </c>
      <c r="AF839" s="6">
        <f ca="1">$M$839*$Z$839</f>
        <v>606.68385703881154</v>
      </c>
      <c r="AG839" s="6">
        <f>$O$839*$AA$839</f>
        <v>530.24827888520144</v>
      </c>
    </row>
    <row r="840" spans="1:33" ht="11.25" customHeight="1" x14ac:dyDescent="0.25">
      <c r="A840" s="4" t="s">
        <v>21</v>
      </c>
      <c r="B840" s="4" t="s">
        <v>39</v>
      </c>
      <c r="C840" s="4" t="s">
        <v>36</v>
      </c>
      <c r="D840" s="4" t="s">
        <v>40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44682</v>
      </c>
      <c r="J840" s="6">
        <v>0</v>
      </c>
      <c r="K840" s="6">
        <v>0</v>
      </c>
      <c r="L840" s="6">
        <v>2.173</v>
      </c>
      <c r="M840" s="6">
        <v>2.173</v>
      </c>
      <c r="N840" s="6">
        <v>2.173</v>
      </c>
      <c r="O840" s="6">
        <v>2.173</v>
      </c>
      <c r="P840" s="6">
        <v>0</v>
      </c>
      <c r="Q840" s="4" t="s">
        <v>26</v>
      </c>
      <c r="R840" s="4">
        <v>0</v>
      </c>
      <c r="S840" s="6">
        <v>0</v>
      </c>
      <c r="T840" s="6">
        <v>57</v>
      </c>
      <c r="U840" s="6">
        <v>98</v>
      </c>
      <c r="V840" s="6">
        <f>IF(ISERROR(VLOOKUP($S$840,'TAR FIN'!$A$1:$O$103,15,0)),0,VLOOKUP($S$840,'TAR FIN'!$A$1:$O$103,15,0))</f>
        <v>0</v>
      </c>
      <c r="W840" s="6">
        <f>IF(ISERROR(VLOOKUP($T$840,'TAR FIN'!$A$1:$O$103,15,0)),0,VLOOKUP($T$840,'TAR FIN'!$A$1:$O$103,15,0))</f>
        <v>214.77</v>
      </c>
      <c r="X840" s="6">
        <f>IF(ISERROR(VLOOKUP($U$840,'TAR FIN'!$A$1:$O$103,15,0)),0,VLOOKUP($U$840,'TAR FIN'!$A$1:$O$103,15,0))</f>
        <v>275.36</v>
      </c>
      <c r="Y840" s="6"/>
      <c r="Z840" s="6">
        <f ca="1">('TUSD BE'!$AM$57+'TUSD BF'!$AM$57+'TUSD CVA'!$AM$57)*1</f>
        <v>296.3770674346905</v>
      </c>
      <c r="AA840" s="6">
        <f>('TE BE'!$AB$41+'TE BF'!$AB$41+'TE CVA'!$AB$41)*1</f>
        <v>259.03677522481752</v>
      </c>
      <c r="AB840" s="6">
        <f>$K$840*$V$840</f>
        <v>0</v>
      </c>
      <c r="AC840" s="6">
        <f>$M$840*$W$840</f>
        <v>466.69521000000003</v>
      </c>
      <c r="AD840" s="6">
        <f>$O$840*$X$840</f>
        <v>598.35728000000006</v>
      </c>
      <c r="AE840" s="6">
        <f>$K$840*$Y$840</f>
        <v>0</v>
      </c>
      <c r="AF840" s="6">
        <f ca="1">$M$840*$Z$840</f>
        <v>644.02736753558247</v>
      </c>
      <c r="AG840" s="6">
        <f>$O$840*$AA$840</f>
        <v>562.88691256352843</v>
      </c>
    </row>
    <row r="841" spans="1:33" ht="11.25" customHeight="1" x14ac:dyDescent="0.25">
      <c r="A841" s="4" t="s">
        <v>21</v>
      </c>
      <c r="B841" s="4" t="s">
        <v>39</v>
      </c>
      <c r="C841" s="4" t="s">
        <v>36</v>
      </c>
      <c r="D841" s="4" t="s">
        <v>40</v>
      </c>
      <c r="E841" s="4" t="s">
        <v>25</v>
      </c>
      <c r="F841" s="4" t="s">
        <v>25</v>
      </c>
      <c r="G841" s="4" t="s">
        <v>25</v>
      </c>
      <c r="H841" s="4" t="s">
        <v>38</v>
      </c>
      <c r="I841" s="5">
        <v>44348</v>
      </c>
      <c r="J841" s="6">
        <v>0</v>
      </c>
      <c r="K841" s="6">
        <v>0</v>
      </c>
      <c r="L841" s="6">
        <v>8.2000000000000003E-2</v>
      </c>
      <c r="M841" s="6">
        <v>8.2000000000000003E-2</v>
      </c>
      <c r="N841" s="6">
        <v>8.2000000000000003E-2</v>
      </c>
      <c r="O841" s="6">
        <v>8.2000000000000003E-2</v>
      </c>
      <c r="P841" s="6">
        <v>0</v>
      </c>
      <c r="Q841" s="4" t="s">
        <v>26</v>
      </c>
      <c r="R841" s="4">
        <v>0</v>
      </c>
      <c r="S841" s="6">
        <v>0</v>
      </c>
      <c r="T841" s="6">
        <v>56</v>
      </c>
      <c r="U841" s="6">
        <v>97</v>
      </c>
      <c r="V841" s="6">
        <f>IF(ISERROR(VLOOKUP($S$841,'TAR FIN'!$A$1:$O$103,15,0)),0,VLOOKUP($S$841,'TAR FIN'!$A$1:$O$103,15,0))</f>
        <v>0</v>
      </c>
      <c r="W841" s="6">
        <f>IF(ISERROR(VLOOKUP($T$841,'TAR FIN'!$A$1:$O$103,15,0)),0,VLOOKUP($T$841,'TAR FIN'!$A$1:$O$103,15,0))</f>
        <v>428.83</v>
      </c>
      <c r="X841" s="6">
        <f>IF(ISERROR(VLOOKUP($U$841,'TAR FIN'!$A$1:$O$103,15,0)),0,VLOOKUP($U$841,'TAR FIN'!$A$1:$O$103,15,0))</f>
        <v>275.36</v>
      </c>
      <c r="Y841" s="6"/>
      <c r="Z841" s="6">
        <f ca="1">('TUSD BE'!$AM$56+'TUSD BF'!$AM$56+'TUSD CVA'!$AM$56)*1</f>
        <v>296.3770674346905</v>
      </c>
      <c r="AA841" s="6">
        <f>('TE BE'!$AB$40+'TE BF'!$AB$40+'TE CVA'!$AB$40)*1</f>
        <v>259.03677522481752</v>
      </c>
      <c r="AB841" s="6">
        <f>$K$841*$V$841</f>
        <v>0</v>
      </c>
      <c r="AC841" s="6">
        <f>$M$841*$W$841</f>
        <v>35.164059999999999</v>
      </c>
      <c r="AD841" s="6">
        <f>$O$841*$X$841</f>
        <v>22.579520000000002</v>
      </c>
      <c r="AE841" s="6">
        <f>$K$841*$Y$841</f>
        <v>0</v>
      </c>
      <c r="AF841" s="6">
        <f ca="1">$M$841*$Z$841</f>
        <v>24.302919529644623</v>
      </c>
      <c r="AG841" s="6">
        <f>$O$841*$AA$841</f>
        <v>21.241015568435039</v>
      </c>
    </row>
    <row r="842" spans="1:33" ht="11.25" customHeight="1" x14ac:dyDescent="0.25">
      <c r="A842" s="4" t="s">
        <v>21</v>
      </c>
      <c r="B842" s="4" t="s">
        <v>39</v>
      </c>
      <c r="C842" s="4" t="s">
        <v>36</v>
      </c>
      <c r="D842" s="4" t="s">
        <v>40</v>
      </c>
      <c r="E842" s="4" t="s">
        <v>25</v>
      </c>
      <c r="F842" s="4" t="s">
        <v>25</v>
      </c>
      <c r="G842" s="4" t="s">
        <v>25</v>
      </c>
      <c r="H842" s="4" t="s">
        <v>38</v>
      </c>
      <c r="I842" s="5">
        <v>44378</v>
      </c>
      <c r="J842" s="6">
        <v>0</v>
      </c>
      <c r="K842" s="6">
        <v>0</v>
      </c>
      <c r="L842" s="6">
        <v>9.1999999999999998E-2</v>
      </c>
      <c r="M842" s="6">
        <v>9.1999999999999998E-2</v>
      </c>
      <c r="N842" s="6">
        <v>9.1999999999999998E-2</v>
      </c>
      <c r="O842" s="6">
        <v>9.1999999999999998E-2</v>
      </c>
      <c r="P842" s="6">
        <v>0</v>
      </c>
      <c r="Q842" s="4" t="s">
        <v>26</v>
      </c>
      <c r="R842" s="4">
        <v>0</v>
      </c>
      <c r="S842" s="6">
        <v>0</v>
      </c>
      <c r="T842" s="6">
        <v>56</v>
      </c>
      <c r="U842" s="6">
        <v>97</v>
      </c>
      <c r="V842" s="6">
        <f>IF(ISERROR(VLOOKUP($S$842,'TAR FIN'!$A$1:$O$103,15,0)),0,VLOOKUP($S$842,'TAR FIN'!$A$1:$O$103,15,0))</f>
        <v>0</v>
      </c>
      <c r="W842" s="6">
        <f>IF(ISERROR(VLOOKUP($T$842,'TAR FIN'!$A$1:$O$103,15,0)),0,VLOOKUP($T$842,'TAR FIN'!$A$1:$O$103,15,0))</f>
        <v>428.83</v>
      </c>
      <c r="X842" s="6">
        <f>IF(ISERROR(VLOOKUP($U$842,'TAR FIN'!$A$1:$O$103,15,0)),0,VLOOKUP($U$842,'TAR FIN'!$A$1:$O$103,15,0))</f>
        <v>275.36</v>
      </c>
      <c r="Y842" s="6"/>
      <c r="Z842" s="6">
        <f ca="1">('TUSD BE'!$AM$56+'TUSD BF'!$AM$56+'TUSD CVA'!$AM$56)*1</f>
        <v>296.3770674346905</v>
      </c>
      <c r="AA842" s="6">
        <f>('TE BE'!$AB$40+'TE BF'!$AB$40+'TE CVA'!$AB$40)*1</f>
        <v>259.03677522481752</v>
      </c>
      <c r="AB842" s="6">
        <f>$K$842*$V$842</f>
        <v>0</v>
      </c>
      <c r="AC842" s="6">
        <f>$M$842*$W$842</f>
        <v>39.452359999999999</v>
      </c>
      <c r="AD842" s="6">
        <f>$O$842*$X$842</f>
        <v>25.333120000000001</v>
      </c>
      <c r="AE842" s="6">
        <f>$K$842*$Y$842</f>
        <v>0</v>
      </c>
      <c r="AF842" s="6">
        <f ca="1">$M$842*$Z$842</f>
        <v>27.266690203991526</v>
      </c>
      <c r="AG842" s="6">
        <f>$O$842*$AA$842</f>
        <v>23.831383320683212</v>
      </c>
    </row>
    <row r="843" spans="1:33" ht="11.25" customHeight="1" x14ac:dyDescent="0.25">
      <c r="A843" s="4" t="s">
        <v>21</v>
      </c>
      <c r="B843" s="4" t="s">
        <v>39</v>
      </c>
      <c r="C843" s="4" t="s">
        <v>36</v>
      </c>
      <c r="D843" s="4" t="s">
        <v>40</v>
      </c>
      <c r="E843" s="4" t="s">
        <v>25</v>
      </c>
      <c r="F843" s="4" t="s">
        <v>25</v>
      </c>
      <c r="G843" s="4" t="s">
        <v>25</v>
      </c>
      <c r="H843" s="4" t="s">
        <v>38</v>
      </c>
      <c r="I843" s="5">
        <v>44409</v>
      </c>
      <c r="J843" s="6">
        <v>0</v>
      </c>
      <c r="K843" s="6">
        <v>0</v>
      </c>
      <c r="L843" s="6">
        <v>9.5000000000000001E-2</v>
      </c>
      <c r="M843" s="6">
        <v>9.5000000000000001E-2</v>
      </c>
      <c r="N843" s="6">
        <v>9.5000000000000001E-2</v>
      </c>
      <c r="O843" s="6">
        <v>9.5000000000000001E-2</v>
      </c>
      <c r="P843" s="6">
        <v>0</v>
      </c>
      <c r="Q843" s="4" t="s">
        <v>26</v>
      </c>
      <c r="R843" s="4">
        <v>0</v>
      </c>
      <c r="S843" s="6">
        <v>0</v>
      </c>
      <c r="T843" s="6">
        <v>56</v>
      </c>
      <c r="U843" s="6">
        <v>97</v>
      </c>
      <c r="V843" s="6">
        <f>IF(ISERROR(VLOOKUP($S$843,'TAR FIN'!$A$1:$O$103,15,0)),0,VLOOKUP($S$843,'TAR FIN'!$A$1:$O$103,15,0))</f>
        <v>0</v>
      </c>
      <c r="W843" s="6">
        <f>IF(ISERROR(VLOOKUP($T$843,'TAR FIN'!$A$1:$O$103,15,0)),0,VLOOKUP($T$843,'TAR FIN'!$A$1:$O$103,15,0))</f>
        <v>428.83</v>
      </c>
      <c r="X843" s="6">
        <f>IF(ISERROR(VLOOKUP($U$843,'TAR FIN'!$A$1:$O$103,15,0)),0,VLOOKUP($U$843,'TAR FIN'!$A$1:$O$103,15,0))</f>
        <v>275.36</v>
      </c>
      <c r="Y843" s="6"/>
      <c r="Z843" s="6">
        <f ca="1">('TUSD BE'!$AM$56+'TUSD BF'!$AM$56+'TUSD CVA'!$AM$56)*1</f>
        <v>296.3770674346905</v>
      </c>
      <c r="AA843" s="6">
        <f>('TE BE'!$AB$40+'TE BF'!$AB$40+'TE CVA'!$AB$40)*1</f>
        <v>259.03677522481752</v>
      </c>
      <c r="AB843" s="6">
        <f>$K$843*$V$843</f>
        <v>0</v>
      </c>
      <c r="AC843" s="6">
        <f>$M$843*$W$843</f>
        <v>40.738849999999999</v>
      </c>
      <c r="AD843" s="6">
        <f>$O$843*$X$843</f>
        <v>26.159200000000002</v>
      </c>
      <c r="AE843" s="6">
        <f>$K$843*$Y$843</f>
        <v>0</v>
      </c>
      <c r="AF843" s="6">
        <f ca="1">$M$843*$Z$843</f>
        <v>28.155821406295598</v>
      </c>
      <c r="AG843" s="6">
        <f>$O$843*$AA$843</f>
        <v>24.608493646357665</v>
      </c>
    </row>
    <row r="844" spans="1:33" ht="11.25" customHeight="1" x14ac:dyDescent="0.25">
      <c r="A844" s="4" t="s">
        <v>21</v>
      </c>
      <c r="B844" s="4" t="s">
        <v>39</v>
      </c>
      <c r="C844" s="4" t="s">
        <v>36</v>
      </c>
      <c r="D844" s="4" t="s">
        <v>40</v>
      </c>
      <c r="E844" s="4" t="s">
        <v>25</v>
      </c>
      <c r="F844" s="4" t="s">
        <v>25</v>
      </c>
      <c r="G844" s="4" t="s">
        <v>25</v>
      </c>
      <c r="H844" s="4" t="s">
        <v>38</v>
      </c>
      <c r="I844" s="5">
        <v>44440</v>
      </c>
      <c r="J844" s="6">
        <v>0</v>
      </c>
      <c r="K844" s="6">
        <v>0</v>
      </c>
      <c r="L844" s="6">
        <v>9.7000000000000003E-2</v>
      </c>
      <c r="M844" s="6">
        <v>9.7000000000000003E-2</v>
      </c>
      <c r="N844" s="6">
        <v>9.7000000000000003E-2</v>
      </c>
      <c r="O844" s="6">
        <v>9.7000000000000003E-2</v>
      </c>
      <c r="P844" s="6">
        <v>0</v>
      </c>
      <c r="Q844" s="4" t="s">
        <v>26</v>
      </c>
      <c r="R844" s="4">
        <v>0</v>
      </c>
      <c r="S844" s="6">
        <v>0</v>
      </c>
      <c r="T844" s="6">
        <v>56</v>
      </c>
      <c r="U844" s="6">
        <v>97</v>
      </c>
      <c r="V844" s="6">
        <f>IF(ISERROR(VLOOKUP($S$844,'TAR FIN'!$A$1:$O$103,15,0)),0,VLOOKUP($S$844,'TAR FIN'!$A$1:$O$103,15,0))</f>
        <v>0</v>
      </c>
      <c r="W844" s="6">
        <f>IF(ISERROR(VLOOKUP($T$844,'TAR FIN'!$A$1:$O$103,15,0)),0,VLOOKUP($T$844,'TAR FIN'!$A$1:$O$103,15,0))</f>
        <v>428.83</v>
      </c>
      <c r="X844" s="6">
        <f>IF(ISERROR(VLOOKUP($U$844,'TAR FIN'!$A$1:$O$103,15,0)),0,VLOOKUP($U$844,'TAR FIN'!$A$1:$O$103,15,0))</f>
        <v>275.36</v>
      </c>
      <c r="Y844" s="6"/>
      <c r="Z844" s="6">
        <f ca="1">('TUSD BE'!$AM$56+'TUSD BF'!$AM$56+'TUSD CVA'!$AM$56)*1</f>
        <v>296.3770674346905</v>
      </c>
      <c r="AA844" s="6">
        <f>('TE BE'!$AB$40+'TE BF'!$AB$40+'TE CVA'!$AB$40)*1</f>
        <v>259.03677522481752</v>
      </c>
      <c r="AB844" s="6">
        <f>$K$844*$V$844</f>
        <v>0</v>
      </c>
      <c r="AC844" s="6">
        <f>$M$844*$W$844</f>
        <v>41.596510000000002</v>
      </c>
      <c r="AD844" s="6">
        <f>$O$844*$X$844</f>
        <v>26.709920000000004</v>
      </c>
      <c r="AE844" s="6">
        <f>$K$844*$Y$844</f>
        <v>0</v>
      </c>
      <c r="AF844" s="6">
        <f ca="1">$M$844*$Z$844</f>
        <v>28.748575541164978</v>
      </c>
      <c r="AG844" s="6">
        <f>$O$844*$AA$844</f>
        <v>25.126567196807301</v>
      </c>
    </row>
    <row r="845" spans="1:33" ht="11.25" customHeight="1" x14ac:dyDescent="0.25">
      <c r="A845" s="4" t="s">
        <v>21</v>
      </c>
      <c r="B845" s="4" t="s">
        <v>39</v>
      </c>
      <c r="C845" s="4" t="s">
        <v>36</v>
      </c>
      <c r="D845" s="4" t="s">
        <v>40</v>
      </c>
      <c r="E845" s="4" t="s">
        <v>25</v>
      </c>
      <c r="F845" s="4" t="s">
        <v>25</v>
      </c>
      <c r="G845" s="4" t="s">
        <v>25</v>
      </c>
      <c r="H845" s="4" t="s">
        <v>38</v>
      </c>
      <c r="I845" s="5">
        <v>44470</v>
      </c>
      <c r="J845" s="6">
        <v>0</v>
      </c>
      <c r="K845" s="6">
        <v>0</v>
      </c>
      <c r="L845" s="6">
        <v>8.3000000000000004E-2</v>
      </c>
      <c r="M845" s="6">
        <v>8.3000000000000004E-2</v>
      </c>
      <c r="N845" s="6">
        <v>8.3000000000000004E-2</v>
      </c>
      <c r="O845" s="6">
        <v>8.3000000000000004E-2</v>
      </c>
      <c r="P845" s="6">
        <v>0</v>
      </c>
      <c r="Q845" s="4" t="s">
        <v>26</v>
      </c>
      <c r="R845" s="4">
        <v>0</v>
      </c>
      <c r="S845" s="6">
        <v>0</v>
      </c>
      <c r="T845" s="6">
        <v>56</v>
      </c>
      <c r="U845" s="6">
        <v>97</v>
      </c>
      <c r="V845" s="6">
        <f>IF(ISERROR(VLOOKUP($S$845,'TAR FIN'!$A$1:$O$103,15,0)),0,VLOOKUP($S$845,'TAR FIN'!$A$1:$O$103,15,0))</f>
        <v>0</v>
      </c>
      <c r="W845" s="6">
        <f>IF(ISERROR(VLOOKUP($T$845,'TAR FIN'!$A$1:$O$103,15,0)),0,VLOOKUP($T$845,'TAR FIN'!$A$1:$O$103,15,0))</f>
        <v>428.83</v>
      </c>
      <c r="X845" s="6">
        <f>IF(ISERROR(VLOOKUP($U$845,'TAR FIN'!$A$1:$O$103,15,0)),0,VLOOKUP($U$845,'TAR FIN'!$A$1:$O$103,15,0))</f>
        <v>275.36</v>
      </c>
      <c r="Y845" s="6"/>
      <c r="Z845" s="6">
        <f ca="1">('TUSD BE'!$AM$56+'TUSD BF'!$AM$56+'TUSD CVA'!$AM$56)*1</f>
        <v>296.3770674346905</v>
      </c>
      <c r="AA845" s="6">
        <f>('TE BE'!$AB$40+'TE BF'!$AB$40+'TE CVA'!$AB$40)*1</f>
        <v>259.03677522481752</v>
      </c>
      <c r="AB845" s="6">
        <f>$K$845*$V$845</f>
        <v>0</v>
      </c>
      <c r="AC845" s="6">
        <f>$M$845*$W$845</f>
        <v>35.592889999999997</v>
      </c>
      <c r="AD845" s="6">
        <f>$O$845*$X$845</f>
        <v>22.854880000000001</v>
      </c>
      <c r="AE845" s="6">
        <f>$K$845*$Y$845</f>
        <v>0</v>
      </c>
      <c r="AF845" s="6">
        <f ca="1">$M$845*$Z$845</f>
        <v>24.599296597079313</v>
      </c>
      <c r="AG845" s="6">
        <f>$O$845*$AA$845</f>
        <v>21.500052343659856</v>
      </c>
    </row>
    <row r="846" spans="1:33" ht="11.25" customHeight="1" x14ac:dyDescent="0.25">
      <c r="A846" s="4" t="s">
        <v>21</v>
      </c>
      <c r="B846" s="4" t="s">
        <v>39</v>
      </c>
      <c r="C846" s="4" t="s">
        <v>36</v>
      </c>
      <c r="D846" s="4" t="s">
        <v>40</v>
      </c>
      <c r="E846" s="4" t="s">
        <v>25</v>
      </c>
      <c r="F846" s="4" t="s">
        <v>25</v>
      </c>
      <c r="G846" s="4" t="s">
        <v>25</v>
      </c>
      <c r="H846" s="4" t="s">
        <v>38</v>
      </c>
      <c r="I846" s="5">
        <v>44501</v>
      </c>
      <c r="J846" s="6">
        <v>0</v>
      </c>
      <c r="K846" s="6">
        <v>0</v>
      </c>
      <c r="L846" s="6">
        <v>8.8999999999999996E-2</v>
      </c>
      <c r="M846" s="6">
        <v>8.8999999999999996E-2</v>
      </c>
      <c r="N846" s="6">
        <v>8.8999999999999996E-2</v>
      </c>
      <c r="O846" s="6">
        <v>8.8999999999999996E-2</v>
      </c>
      <c r="P846" s="6">
        <v>0</v>
      </c>
      <c r="Q846" s="4" t="s">
        <v>26</v>
      </c>
      <c r="R846" s="4">
        <v>0</v>
      </c>
      <c r="S846" s="6">
        <v>0</v>
      </c>
      <c r="T846" s="6">
        <v>56</v>
      </c>
      <c r="U846" s="6">
        <v>97</v>
      </c>
      <c r="V846" s="6">
        <f>IF(ISERROR(VLOOKUP($S$846,'TAR FIN'!$A$1:$O$103,15,0)),0,VLOOKUP($S$846,'TAR FIN'!$A$1:$O$103,15,0))</f>
        <v>0</v>
      </c>
      <c r="W846" s="6">
        <f>IF(ISERROR(VLOOKUP($T$846,'TAR FIN'!$A$1:$O$103,15,0)),0,VLOOKUP($T$846,'TAR FIN'!$A$1:$O$103,15,0))</f>
        <v>428.83</v>
      </c>
      <c r="X846" s="6">
        <f>IF(ISERROR(VLOOKUP($U$846,'TAR FIN'!$A$1:$O$103,15,0)),0,VLOOKUP($U$846,'TAR FIN'!$A$1:$O$103,15,0))</f>
        <v>275.36</v>
      </c>
      <c r="Y846" s="6"/>
      <c r="Z846" s="6">
        <f ca="1">('TUSD BE'!$AM$56+'TUSD BF'!$AM$56+'TUSD CVA'!$AM$56)*1</f>
        <v>296.3770674346905</v>
      </c>
      <c r="AA846" s="6">
        <f>('TE BE'!$AB$40+'TE BF'!$AB$40+'TE CVA'!$AB$40)*1</f>
        <v>259.03677522481752</v>
      </c>
      <c r="AB846" s="6">
        <f>$K$846*$V$846</f>
        <v>0</v>
      </c>
      <c r="AC846" s="6">
        <f>$M$846*$W$846</f>
        <v>38.165869999999998</v>
      </c>
      <c r="AD846" s="6">
        <f>$O$846*$X$846</f>
        <v>24.50704</v>
      </c>
      <c r="AE846" s="6">
        <f>$K$846*$Y$846</f>
        <v>0</v>
      </c>
      <c r="AF846" s="6">
        <f ca="1">$M$846*$Z$846</f>
        <v>26.377559001687452</v>
      </c>
      <c r="AG846" s="6">
        <f>$O$846*$AA$846</f>
        <v>23.054272995008759</v>
      </c>
    </row>
    <row r="847" spans="1:33" ht="11.25" customHeight="1" x14ac:dyDescent="0.25">
      <c r="A847" s="4" t="s">
        <v>21</v>
      </c>
      <c r="B847" s="4" t="s">
        <v>39</v>
      </c>
      <c r="C847" s="4" t="s">
        <v>36</v>
      </c>
      <c r="D847" s="4" t="s">
        <v>40</v>
      </c>
      <c r="E847" s="4" t="s">
        <v>25</v>
      </c>
      <c r="F847" s="4" t="s">
        <v>25</v>
      </c>
      <c r="G847" s="4" t="s">
        <v>25</v>
      </c>
      <c r="H847" s="4" t="s">
        <v>38</v>
      </c>
      <c r="I847" s="5">
        <v>44531</v>
      </c>
      <c r="J847" s="6">
        <v>0</v>
      </c>
      <c r="K847" s="6">
        <v>0</v>
      </c>
      <c r="L847" s="6">
        <v>0.11</v>
      </c>
      <c r="M847" s="6">
        <v>0.11</v>
      </c>
      <c r="N847" s="6">
        <v>0.11</v>
      </c>
      <c r="O847" s="6">
        <v>0.11</v>
      </c>
      <c r="P847" s="6">
        <v>0</v>
      </c>
      <c r="Q847" s="4" t="s">
        <v>26</v>
      </c>
      <c r="R847" s="4">
        <v>0</v>
      </c>
      <c r="S847" s="6">
        <v>0</v>
      </c>
      <c r="T847" s="6">
        <v>56</v>
      </c>
      <c r="U847" s="6">
        <v>97</v>
      </c>
      <c r="V847" s="6">
        <f>IF(ISERROR(VLOOKUP($S$847,'TAR FIN'!$A$1:$O$103,15,0)),0,VLOOKUP($S$847,'TAR FIN'!$A$1:$O$103,15,0))</f>
        <v>0</v>
      </c>
      <c r="W847" s="6">
        <f>IF(ISERROR(VLOOKUP($T$847,'TAR FIN'!$A$1:$O$103,15,0)),0,VLOOKUP($T$847,'TAR FIN'!$A$1:$O$103,15,0))</f>
        <v>428.83</v>
      </c>
      <c r="X847" s="6">
        <f>IF(ISERROR(VLOOKUP($U$847,'TAR FIN'!$A$1:$O$103,15,0)),0,VLOOKUP($U$847,'TAR FIN'!$A$1:$O$103,15,0))</f>
        <v>275.36</v>
      </c>
      <c r="Y847" s="6"/>
      <c r="Z847" s="6">
        <f ca="1">('TUSD BE'!$AM$56+'TUSD BF'!$AM$56+'TUSD CVA'!$AM$56)*1</f>
        <v>296.3770674346905</v>
      </c>
      <c r="AA847" s="6">
        <f>('TE BE'!$AB$40+'TE BF'!$AB$40+'TE CVA'!$AB$40)*1</f>
        <v>259.03677522481752</v>
      </c>
      <c r="AB847" s="6">
        <f>$K$847*$V$847</f>
        <v>0</v>
      </c>
      <c r="AC847" s="6">
        <f>$M$847*$W$847</f>
        <v>47.171299999999995</v>
      </c>
      <c r="AD847" s="6">
        <f>$O$847*$X$847</f>
        <v>30.2896</v>
      </c>
      <c r="AE847" s="6">
        <f>$K$847*$Y$847</f>
        <v>0</v>
      </c>
      <c r="AF847" s="6">
        <f ca="1">$M$847*$Z$847</f>
        <v>32.601477417815957</v>
      </c>
      <c r="AG847" s="6">
        <f>$O$847*$AA$847</f>
        <v>28.494045274729928</v>
      </c>
    </row>
    <row r="848" spans="1:33" ht="11.25" customHeight="1" x14ac:dyDescent="0.25">
      <c r="A848" s="4" t="s">
        <v>21</v>
      </c>
      <c r="B848" s="4" t="s">
        <v>39</v>
      </c>
      <c r="C848" s="4" t="s">
        <v>36</v>
      </c>
      <c r="D848" s="4" t="s">
        <v>40</v>
      </c>
      <c r="E848" s="4" t="s">
        <v>25</v>
      </c>
      <c r="F848" s="4" t="s">
        <v>25</v>
      </c>
      <c r="G848" s="4" t="s">
        <v>25</v>
      </c>
      <c r="H848" s="4" t="s">
        <v>38</v>
      </c>
      <c r="I848" s="5">
        <v>44562</v>
      </c>
      <c r="J848" s="6">
        <v>0</v>
      </c>
      <c r="K848" s="6">
        <v>0</v>
      </c>
      <c r="L848" s="6">
        <v>0.104</v>
      </c>
      <c r="M848" s="6">
        <v>0.104</v>
      </c>
      <c r="N848" s="6">
        <v>0.104</v>
      </c>
      <c r="O848" s="6">
        <v>0.104</v>
      </c>
      <c r="P848" s="6">
        <v>0</v>
      </c>
      <c r="Q848" s="4" t="s">
        <v>26</v>
      </c>
      <c r="R848" s="4">
        <v>0</v>
      </c>
      <c r="S848" s="6">
        <v>0</v>
      </c>
      <c r="T848" s="6">
        <v>56</v>
      </c>
      <c r="U848" s="6">
        <v>97</v>
      </c>
      <c r="V848" s="6">
        <f>IF(ISERROR(VLOOKUP($S$848,'TAR FIN'!$A$1:$O$103,15,0)),0,VLOOKUP($S$848,'TAR FIN'!$A$1:$O$103,15,0))</f>
        <v>0</v>
      </c>
      <c r="W848" s="6">
        <f>IF(ISERROR(VLOOKUP($T$848,'TAR FIN'!$A$1:$O$103,15,0)),0,VLOOKUP($T$848,'TAR FIN'!$A$1:$O$103,15,0))</f>
        <v>428.83</v>
      </c>
      <c r="X848" s="6">
        <f>IF(ISERROR(VLOOKUP($U$848,'TAR FIN'!$A$1:$O$103,15,0)),0,VLOOKUP($U$848,'TAR FIN'!$A$1:$O$103,15,0))</f>
        <v>275.36</v>
      </c>
      <c r="Y848" s="6"/>
      <c r="Z848" s="6">
        <f ca="1">('TUSD BE'!$AM$56+'TUSD BF'!$AM$56+'TUSD CVA'!$AM$56)*1</f>
        <v>296.3770674346905</v>
      </c>
      <c r="AA848" s="6">
        <f>('TE BE'!$AB$40+'TE BF'!$AB$40+'TE CVA'!$AB$40)*1</f>
        <v>259.03677522481752</v>
      </c>
      <c r="AB848" s="6">
        <f>$K$848*$V$848</f>
        <v>0</v>
      </c>
      <c r="AC848" s="6">
        <f>$M$848*$W$848</f>
        <v>44.598319999999994</v>
      </c>
      <c r="AD848" s="6">
        <f>$O$848*$X$848</f>
        <v>28.637440000000002</v>
      </c>
      <c r="AE848" s="6">
        <f>$K$848*$Y$848</f>
        <v>0</v>
      </c>
      <c r="AF848" s="6">
        <f ca="1">$M$848*$Z$848</f>
        <v>30.823215013207811</v>
      </c>
      <c r="AG848" s="6">
        <f>$O$848*$AA$848</f>
        <v>26.939824623381021</v>
      </c>
    </row>
    <row r="849" spans="1:33" ht="11.25" customHeight="1" x14ac:dyDescent="0.25">
      <c r="A849" s="4" t="s">
        <v>21</v>
      </c>
      <c r="B849" s="4" t="s">
        <v>39</v>
      </c>
      <c r="C849" s="4" t="s">
        <v>36</v>
      </c>
      <c r="D849" s="4" t="s">
        <v>40</v>
      </c>
      <c r="E849" s="4" t="s">
        <v>25</v>
      </c>
      <c r="F849" s="4" t="s">
        <v>25</v>
      </c>
      <c r="G849" s="4" t="s">
        <v>25</v>
      </c>
      <c r="H849" s="4" t="s">
        <v>38</v>
      </c>
      <c r="I849" s="5">
        <v>44593</v>
      </c>
      <c r="J849" s="6">
        <v>0</v>
      </c>
      <c r="K849" s="6">
        <v>0</v>
      </c>
      <c r="L849" s="6">
        <v>0.11799999999999999</v>
      </c>
      <c r="M849" s="6">
        <v>0.11799999999999999</v>
      </c>
      <c r="N849" s="6">
        <v>0.11799999999999999</v>
      </c>
      <c r="O849" s="6">
        <v>0.11799999999999999</v>
      </c>
      <c r="P849" s="6">
        <v>0</v>
      </c>
      <c r="Q849" s="4" t="s">
        <v>26</v>
      </c>
      <c r="R849" s="4">
        <v>0</v>
      </c>
      <c r="S849" s="6">
        <v>0</v>
      </c>
      <c r="T849" s="6">
        <v>56</v>
      </c>
      <c r="U849" s="6">
        <v>97</v>
      </c>
      <c r="V849" s="6">
        <f>IF(ISERROR(VLOOKUP($S$849,'TAR FIN'!$A$1:$O$103,15,0)),0,VLOOKUP($S$849,'TAR FIN'!$A$1:$O$103,15,0))</f>
        <v>0</v>
      </c>
      <c r="W849" s="6">
        <f>IF(ISERROR(VLOOKUP($T$849,'TAR FIN'!$A$1:$O$103,15,0)),0,VLOOKUP($T$849,'TAR FIN'!$A$1:$O$103,15,0))</f>
        <v>428.83</v>
      </c>
      <c r="X849" s="6">
        <f>IF(ISERROR(VLOOKUP($U$849,'TAR FIN'!$A$1:$O$103,15,0)),0,VLOOKUP($U$849,'TAR FIN'!$A$1:$O$103,15,0))</f>
        <v>275.36</v>
      </c>
      <c r="Y849" s="6"/>
      <c r="Z849" s="6">
        <f ca="1">('TUSD BE'!$AM$56+'TUSD BF'!$AM$56+'TUSD CVA'!$AM$56)*1</f>
        <v>296.3770674346905</v>
      </c>
      <c r="AA849" s="6">
        <f>('TE BE'!$AB$40+'TE BF'!$AB$40+'TE CVA'!$AB$40)*1</f>
        <v>259.03677522481752</v>
      </c>
      <c r="AB849" s="6">
        <f>$K$849*$V$849</f>
        <v>0</v>
      </c>
      <c r="AC849" s="6">
        <f>$M$849*$W$849</f>
        <v>50.601939999999992</v>
      </c>
      <c r="AD849" s="6">
        <f>$O$849*$X$849</f>
        <v>32.49248</v>
      </c>
      <c r="AE849" s="6">
        <f>$K$849*$Y$849</f>
        <v>0</v>
      </c>
      <c r="AF849" s="6">
        <f ca="1">$M$849*$Z$849</f>
        <v>34.97249395729348</v>
      </c>
      <c r="AG849" s="6">
        <f>$O$849*$AA$849</f>
        <v>30.566339476528466</v>
      </c>
    </row>
    <row r="850" spans="1:33" ht="11.25" customHeight="1" x14ac:dyDescent="0.25">
      <c r="A850" s="4" t="s">
        <v>21</v>
      </c>
      <c r="B850" s="4" t="s">
        <v>39</v>
      </c>
      <c r="C850" s="4" t="s">
        <v>36</v>
      </c>
      <c r="D850" s="4" t="s">
        <v>40</v>
      </c>
      <c r="E850" s="4" t="s">
        <v>25</v>
      </c>
      <c r="F850" s="4" t="s">
        <v>25</v>
      </c>
      <c r="G850" s="4" t="s">
        <v>25</v>
      </c>
      <c r="H850" s="4" t="s">
        <v>38</v>
      </c>
      <c r="I850" s="5">
        <v>44621</v>
      </c>
      <c r="J850" s="6">
        <v>0</v>
      </c>
      <c r="K850" s="6">
        <v>0</v>
      </c>
      <c r="L850" s="6">
        <v>9.0999999999999998E-2</v>
      </c>
      <c r="M850" s="6">
        <v>9.0999999999999998E-2</v>
      </c>
      <c r="N850" s="6">
        <v>9.0999999999999998E-2</v>
      </c>
      <c r="O850" s="6">
        <v>9.0999999999999998E-2</v>
      </c>
      <c r="P850" s="6">
        <v>0</v>
      </c>
      <c r="Q850" s="4" t="s">
        <v>26</v>
      </c>
      <c r="R850" s="4">
        <v>0</v>
      </c>
      <c r="S850" s="6">
        <v>0</v>
      </c>
      <c r="T850" s="6">
        <v>56</v>
      </c>
      <c r="U850" s="6">
        <v>97</v>
      </c>
      <c r="V850" s="6">
        <f>IF(ISERROR(VLOOKUP($S$850,'TAR FIN'!$A$1:$O$103,15,0)),0,VLOOKUP($S$850,'TAR FIN'!$A$1:$O$103,15,0))</f>
        <v>0</v>
      </c>
      <c r="W850" s="6">
        <f>IF(ISERROR(VLOOKUP($T$850,'TAR FIN'!$A$1:$O$103,15,0)),0,VLOOKUP($T$850,'TAR FIN'!$A$1:$O$103,15,0))</f>
        <v>428.83</v>
      </c>
      <c r="X850" s="6">
        <f>IF(ISERROR(VLOOKUP($U$850,'TAR FIN'!$A$1:$O$103,15,0)),0,VLOOKUP($U$850,'TAR FIN'!$A$1:$O$103,15,0))</f>
        <v>275.36</v>
      </c>
      <c r="Y850" s="6"/>
      <c r="Z850" s="6">
        <f ca="1">('TUSD BE'!$AM$56+'TUSD BF'!$AM$56+'TUSD CVA'!$AM$56)*1</f>
        <v>296.3770674346905</v>
      </c>
      <c r="AA850" s="6">
        <f>('TE BE'!$AB$40+'TE BF'!$AB$40+'TE CVA'!$AB$40)*1</f>
        <v>259.03677522481752</v>
      </c>
      <c r="AB850" s="6">
        <f>$K$850*$V$850</f>
        <v>0</v>
      </c>
      <c r="AC850" s="6">
        <f>$M$850*$W$850</f>
        <v>39.023530000000001</v>
      </c>
      <c r="AD850" s="6">
        <f>$O$850*$X$850</f>
        <v>25.057760000000002</v>
      </c>
      <c r="AE850" s="6">
        <f>$K$850*$Y$850</f>
        <v>0</v>
      </c>
      <c r="AF850" s="6">
        <f ca="1">$M$850*$Z$850</f>
        <v>26.970313136556836</v>
      </c>
      <c r="AG850" s="6">
        <f>$O$850*$AA$850</f>
        <v>23.572346545458394</v>
      </c>
    </row>
    <row r="851" spans="1:33" ht="11.25" customHeight="1" x14ac:dyDescent="0.25">
      <c r="A851" s="4" t="s">
        <v>21</v>
      </c>
      <c r="B851" s="4" t="s">
        <v>39</v>
      </c>
      <c r="C851" s="4" t="s">
        <v>36</v>
      </c>
      <c r="D851" s="4" t="s">
        <v>40</v>
      </c>
      <c r="E851" s="4" t="s">
        <v>25</v>
      </c>
      <c r="F851" s="4" t="s">
        <v>25</v>
      </c>
      <c r="G851" s="4" t="s">
        <v>25</v>
      </c>
      <c r="H851" s="4" t="s">
        <v>38</v>
      </c>
      <c r="I851" s="5">
        <v>44652</v>
      </c>
      <c r="J851" s="6">
        <v>0</v>
      </c>
      <c r="K851" s="6">
        <v>0</v>
      </c>
      <c r="L851" s="6">
        <v>0.09</v>
      </c>
      <c r="M851" s="6">
        <v>0.09</v>
      </c>
      <c r="N851" s="6">
        <v>0.09</v>
      </c>
      <c r="O851" s="6">
        <v>0.09</v>
      </c>
      <c r="P851" s="6">
        <v>0</v>
      </c>
      <c r="Q851" s="4" t="s">
        <v>26</v>
      </c>
      <c r="R851" s="4">
        <v>0</v>
      </c>
      <c r="S851" s="6">
        <v>0</v>
      </c>
      <c r="T851" s="6">
        <v>56</v>
      </c>
      <c r="U851" s="6">
        <v>97</v>
      </c>
      <c r="V851" s="6">
        <f>IF(ISERROR(VLOOKUP($S$851,'TAR FIN'!$A$1:$O$103,15,0)),0,VLOOKUP($S$851,'TAR FIN'!$A$1:$O$103,15,0))</f>
        <v>0</v>
      </c>
      <c r="W851" s="6">
        <f>IF(ISERROR(VLOOKUP($T$851,'TAR FIN'!$A$1:$O$103,15,0)),0,VLOOKUP($T$851,'TAR FIN'!$A$1:$O$103,15,0))</f>
        <v>428.83</v>
      </c>
      <c r="X851" s="6">
        <f>IF(ISERROR(VLOOKUP($U$851,'TAR FIN'!$A$1:$O$103,15,0)),0,VLOOKUP($U$851,'TAR FIN'!$A$1:$O$103,15,0))</f>
        <v>275.36</v>
      </c>
      <c r="Y851" s="6"/>
      <c r="Z851" s="6">
        <f ca="1">('TUSD BE'!$AM$56+'TUSD BF'!$AM$56+'TUSD CVA'!$AM$56)*1</f>
        <v>296.3770674346905</v>
      </c>
      <c r="AA851" s="6">
        <f>('TE BE'!$AB$40+'TE BF'!$AB$40+'TE CVA'!$AB$40)*1</f>
        <v>259.03677522481752</v>
      </c>
      <c r="AB851" s="6">
        <f>$K$851*$V$851</f>
        <v>0</v>
      </c>
      <c r="AC851" s="6">
        <f>$M$851*$W$851</f>
        <v>38.594699999999996</v>
      </c>
      <c r="AD851" s="6">
        <f>$O$851*$X$851</f>
        <v>24.782399999999999</v>
      </c>
      <c r="AE851" s="6">
        <f>$K$851*$Y$851</f>
        <v>0</v>
      </c>
      <c r="AF851" s="6">
        <f ca="1">$M$851*$Z$851</f>
        <v>26.673936069122146</v>
      </c>
      <c r="AG851" s="6">
        <f>$O$851*$AA$851</f>
        <v>23.313309770233577</v>
      </c>
    </row>
    <row r="852" spans="1:33" ht="11.25" customHeight="1" x14ac:dyDescent="0.25">
      <c r="A852" s="4" t="s">
        <v>21</v>
      </c>
      <c r="B852" s="4" t="s">
        <v>39</v>
      </c>
      <c r="C852" s="4" t="s">
        <v>36</v>
      </c>
      <c r="D852" s="4" t="s">
        <v>40</v>
      </c>
      <c r="E852" s="4" t="s">
        <v>25</v>
      </c>
      <c r="F852" s="4" t="s">
        <v>25</v>
      </c>
      <c r="G852" s="4" t="s">
        <v>25</v>
      </c>
      <c r="H852" s="4" t="s">
        <v>38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0</v>
      </c>
      <c r="Q852" s="4" t="s">
        <v>26</v>
      </c>
      <c r="R852" s="4">
        <v>0</v>
      </c>
      <c r="S852" s="6">
        <v>0</v>
      </c>
      <c r="T852" s="6">
        <v>56</v>
      </c>
      <c r="U852" s="6">
        <v>97</v>
      </c>
      <c r="V852" s="6">
        <f>IF(ISERROR(VLOOKUP($S$852,'TAR FIN'!$A$1:$O$103,15,0)),0,VLOOKUP($S$852,'TAR FIN'!$A$1:$O$103,15,0))</f>
        <v>0</v>
      </c>
      <c r="W852" s="6">
        <f>IF(ISERROR(VLOOKUP($T$852,'TAR FIN'!$A$1:$O$103,15,0)),0,VLOOKUP($T$852,'TAR FIN'!$A$1:$O$103,15,0))</f>
        <v>428.83</v>
      </c>
      <c r="X852" s="6">
        <f>IF(ISERROR(VLOOKUP($U$852,'TAR FIN'!$A$1:$O$103,15,0)),0,VLOOKUP($U$852,'TAR FIN'!$A$1:$O$103,15,0))</f>
        <v>275.36</v>
      </c>
      <c r="Y852" s="6"/>
      <c r="Z852" s="6">
        <f ca="1">('TUSD BE'!$AM$56+'TUSD BF'!$AM$56+'TUSD CVA'!$AM$56)*1</f>
        <v>296.3770674346905</v>
      </c>
      <c r="AA852" s="6">
        <f>('TE BE'!$AB$40+'TE BF'!$AB$40+'TE CVA'!$AB$40)*1</f>
        <v>259.03677522481752</v>
      </c>
      <c r="AB852" s="6">
        <f>$K$852*$V$852</f>
        <v>0</v>
      </c>
      <c r="AC852" s="6">
        <f>$M$852*$W$852</f>
        <v>45.884809999999995</v>
      </c>
      <c r="AD852" s="6">
        <f>$O$852*$X$852</f>
        <v>29.463520000000003</v>
      </c>
      <c r="AE852" s="6">
        <f>$K$852*$Y$852</f>
        <v>0</v>
      </c>
      <c r="AF852" s="6">
        <f ca="1">$M$852*$Z$852</f>
        <v>31.712346215511882</v>
      </c>
      <c r="AG852" s="6">
        <f>$O$852*$AA$852</f>
        <v>27.716934949055474</v>
      </c>
    </row>
    <row r="853" spans="1:33" ht="11.25" customHeight="1" x14ac:dyDescent="0.25">
      <c r="A853" s="4" t="s">
        <v>21</v>
      </c>
      <c r="B853" s="4" t="s">
        <v>39</v>
      </c>
      <c r="C853" s="4" t="s">
        <v>36</v>
      </c>
      <c r="D853" s="4" t="s">
        <v>40</v>
      </c>
      <c r="E853" s="4" t="s">
        <v>25</v>
      </c>
      <c r="F853" s="4" t="s">
        <v>25</v>
      </c>
      <c r="G853" s="4" t="s">
        <v>25</v>
      </c>
      <c r="H853" s="4" t="s">
        <v>37</v>
      </c>
      <c r="I853" s="5">
        <v>44348</v>
      </c>
      <c r="J853" s="6">
        <v>0</v>
      </c>
      <c r="K853" s="6">
        <v>0</v>
      </c>
      <c r="L853" s="6">
        <v>0.11</v>
      </c>
      <c r="M853" s="6">
        <v>0.11</v>
      </c>
      <c r="N853" s="6">
        <v>0.11</v>
      </c>
      <c r="O853" s="6">
        <v>0.11</v>
      </c>
      <c r="P853" s="6">
        <v>0</v>
      </c>
      <c r="Q853" s="4" t="s">
        <v>26</v>
      </c>
      <c r="R853" s="4">
        <v>0</v>
      </c>
      <c r="S853" s="6">
        <v>0</v>
      </c>
      <c r="T853" s="6">
        <v>55</v>
      </c>
      <c r="U853" s="6">
        <v>96</v>
      </c>
      <c r="V853" s="6">
        <f>IF(ISERROR(VLOOKUP($S$853,'TAR FIN'!$A$1:$O$103,15,0)),0,VLOOKUP($S$853,'TAR FIN'!$A$1:$O$103,15,0))</f>
        <v>0</v>
      </c>
      <c r="W853" s="6">
        <f>IF(ISERROR(VLOOKUP($T$853,'TAR FIN'!$A$1:$O$103,15,0)),0,VLOOKUP($T$853,'TAR FIN'!$A$1:$O$103,15,0))</f>
        <v>642.88</v>
      </c>
      <c r="X853" s="6">
        <f>IF(ISERROR(VLOOKUP($U$853,'TAR FIN'!$A$1:$O$103,15,0)),0,VLOOKUP($U$853,'TAR FIN'!$A$1:$O$103,15,0))</f>
        <v>437.87</v>
      </c>
      <c r="Y853" s="6"/>
      <c r="Z853" s="6">
        <f ca="1">('TUSD BE'!$AM$55+'TUSD BF'!$AM$55+'TUSD CVA'!$AM$55)*1</f>
        <v>913.41046886542415</v>
      </c>
      <c r="AA853" s="6">
        <f>('TE BE'!$AB$39+'TE BF'!$AB$39+'TE CVA'!$AB$39)*1</f>
        <v>415.05449050541699</v>
      </c>
      <c r="AB853" s="6">
        <f>$K$853*$V$853</f>
        <v>0</v>
      </c>
      <c r="AC853" s="6">
        <f>$M$853*$W$853</f>
        <v>70.716800000000006</v>
      </c>
      <c r="AD853" s="6">
        <f>$O$853*$X$853</f>
        <v>48.165700000000001</v>
      </c>
      <c r="AE853" s="6">
        <f>$K$853*$Y$853</f>
        <v>0</v>
      </c>
      <c r="AF853" s="6">
        <f ca="1">$M$853*$Z$853</f>
        <v>100.47515157519666</v>
      </c>
      <c r="AG853" s="6">
        <f>$O$853*$AA$853</f>
        <v>45.655993955595868</v>
      </c>
    </row>
    <row r="854" spans="1:33" ht="11.25" customHeight="1" x14ac:dyDescent="0.25">
      <c r="A854" s="4" t="s">
        <v>21</v>
      </c>
      <c r="B854" s="4" t="s">
        <v>39</v>
      </c>
      <c r="C854" s="4" t="s">
        <v>36</v>
      </c>
      <c r="D854" s="4" t="s">
        <v>40</v>
      </c>
      <c r="E854" s="4" t="s">
        <v>25</v>
      </c>
      <c r="F854" s="4" t="s">
        <v>25</v>
      </c>
      <c r="G854" s="4" t="s">
        <v>25</v>
      </c>
      <c r="H854" s="4" t="s">
        <v>37</v>
      </c>
      <c r="I854" s="5">
        <v>44378</v>
      </c>
      <c r="J854" s="6">
        <v>0</v>
      </c>
      <c r="K854" s="6">
        <v>0</v>
      </c>
      <c r="L854" s="6">
        <v>0.113</v>
      </c>
      <c r="M854" s="6">
        <v>0.113</v>
      </c>
      <c r="N854" s="6">
        <v>0.113</v>
      </c>
      <c r="O854" s="6">
        <v>0.113</v>
      </c>
      <c r="P854" s="6">
        <v>0</v>
      </c>
      <c r="Q854" s="4" t="s">
        <v>26</v>
      </c>
      <c r="R854" s="4">
        <v>0</v>
      </c>
      <c r="S854" s="6">
        <v>0</v>
      </c>
      <c r="T854" s="6">
        <v>55</v>
      </c>
      <c r="U854" s="6">
        <v>96</v>
      </c>
      <c r="V854" s="6">
        <f>IF(ISERROR(VLOOKUP($S$854,'TAR FIN'!$A$1:$O$103,15,0)),0,VLOOKUP($S$854,'TAR FIN'!$A$1:$O$103,15,0))</f>
        <v>0</v>
      </c>
      <c r="W854" s="6">
        <f>IF(ISERROR(VLOOKUP($T$854,'TAR FIN'!$A$1:$O$103,15,0)),0,VLOOKUP($T$854,'TAR FIN'!$A$1:$O$103,15,0))</f>
        <v>642.88</v>
      </c>
      <c r="X854" s="6">
        <f>IF(ISERROR(VLOOKUP($U$854,'TAR FIN'!$A$1:$O$103,15,0)),0,VLOOKUP($U$854,'TAR FIN'!$A$1:$O$103,15,0))</f>
        <v>437.87</v>
      </c>
      <c r="Y854" s="6"/>
      <c r="Z854" s="6">
        <f ca="1">('TUSD BE'!$AM$55+'TUSD BF'!$AM$55+'TUSD CVA'!$AM$55)*1</f>
        <v>913.41046886542415</v>
      </c>
      <c r="AA854" s="6">
        <f>('TE BE'!$AB$39+'TE BF'!$AB$39+'TE CVA'!$AB$39)*1</f>
        <v>415.05449050541699</v>
      </c>
      <c r="AB854" s="6">
        <f>$K$854*$V$854</f>
        <v>0</v>
      </c>
      <c r="AC854" s="6">
        <f>$M$854*$W$854</f>
        <v>72.645440000000008</v>
      </c>
      <c r="AD854" s="6">
        <f>$O$854*$X$854</f>
        <v>49.479310000000005</v>
      </c>
      <c r="AE854" s="6">
        <f>$K$854*$Y$854</f>
        <v>0</v>
      </c>
      <c r="AF854" s="6">
        <f ca="1">$M$854*$Z$854</f>
        <v>103.21538298179293</v>
      </c>
      <c r="AG854" s="6">
        <f>$O$854*$AA$854</f>
        <v>46.901157427112125</v>
      </c>
    </row>
    <row r="855" spans="1:33" ht="11.25" customHeight="1" x14ac:dyDescent="0.25">
      <c r="A855" s="4" t="s">
        <v>21</v>
      </c>
      <c r="B855" s="4" t="s">
        <v>39</v>
      </c>
      <c r="C855" s="4" t="s">
        <v>36</v>
      </c>
      <c r="D855" s="4" t="s">
        <v>40</v>
      </c>
      <c r="E855" s="4" t="s">
        <v>25</v>
      </c>
      <c r="F855" s="4" t="s">
        <v>25</v>
      </c>
      <c r="G855" s="4" t="s">
        <v>25</v>
      </c>
      <c r="H855" s="4" t="s">
        <v>37</v>
      </c>
      <c r="I855" s="5">
        <v>44409</v>
      </c>
      <c r="J855" s="6">
        <v>0</v>
      </c>
      <c r="K855" s="6">
        <v>0</v>
      </c>
      <c r="L855" s="6">
        <v>0.104</v>
      </c>
      <c r="M855" s="6">
        <v>0.104</v>
      </c>
      <c r="N855" s="6">
        <v>0.104</v>
      </c>
      <c r="O855" s="6">
        <v>0.104</v>
      </c>
      <c r="P855" s="6">
        <v>0</v>
      </c>
      <c r="Q855" s="4" t="s">
        <v>26</v>
      </c>
      <c r="R855" s="4">
        <v>0</v>
      </c>
      <c r="S855" s="6">
        <v>0</v>
      </c>
      <c r="T855" s="6">
        <v>55</v>
      </c>
      <c r="U855" s="6">
        <v>96</v>
      </c>
      <c r="V855" s="6">
        <f>IF(ISERROR(VLOOKUP($S$855,'TAR FIN'!$A$1:$O$103,15,0)),0,VLOOKUP($S$855,'TAR FIN'!$A$1:$O$103,15,0))</f>
        <v>0</v>
      </c>
      <c r="W855" s="6">
        <f>IF(ISERROR(VLOOKUP($T$855,'TAR FIN'!$A$1:$O$103,15,0)),0,VLOOKUP($T$855,'TAR FIN'!$A$1:$O$103,15,0))</f>
        <v>642.88</v>
      </c>
      <c r="X855" s="6">
        <f>IF(ISERROR(VLOOKUP($U$855,'TAR FIN'!$A$1:$O$103,15,0)),0,VLOOKUP($U$855,'TAR FIN'!$A$1:$O$103,15,0))</f>
        <v>437.87</v>
      </c>
      <c r="Y855" s="6"/>
      <c r="Z855" s="6">
        <f ca="1">('TUSD BE'!$AM$55+'TUSD BF'!$AM$55+'TUSD CVA'!$AM$55)*1</f>
        <v>913.41046886542415</v>
      </c>
      <c r="AA855" s="6">
        <f>('TE BE'!$AB$39+'TE BF'!$AB$39+'TE CVA'!$AB$39)*1</f>
        <v>415.05449050541699</v>
      </c>
      <c r="AB855" s="6">
        <f>$K$855*$V$855</f>
        <v>0</v>
      </c>
      <c r="AC855" s="6">
        <f>$M$855*$W$855</f>
        <v>66.859520000000003</v>
      </c>
      <c r="AD855" s="6">
        <f>$O$855*$X$855</f>
        <v>45.53848</v>
      </c>
      <c r="AE855" s="6">
        <f>$K$855*$Y$855</f>
        <v>0</v>
      </c>
      <c r="AF855" s="6">
        <f ca="1">$M$855*$Z$855</f>
        <v>94.994688762004103</v>
      </c>
      <c r="AG855" s="6">
        <f>$O$855*$AA$855</f>
        <v>43.165667012563368</v>
      </c>
    </row>
    <row r="856" spans="1:33" ht="11.25" customHeight="1" x14ac:dyDescent="0.25">
      <c r="A856" s="4" t="s">
        <v>21</v>
      </c>
      <c r="B856" s="4" t="s">
        <v>39</v>
      </c>
      <c r="C856" s="4" t="s">
        <v>36</v>
      </c>
      <c r="D856" s="4" t="s">
        <v>40</v>
      </c>
      <c r="E856" s="4" t="s">
        <v>25</v>
      </c>
      <c r="F856" s="4" t="s">
        <v>25</v>
      </c>
      <c r="G856" s="4" t="s">
        <v>25</v>
      </c>
      <c r="H856" s="4" t="s">
        <v>37</v>
      </c>
      <c r="I856" s="5">
        <v>44440</v>
      </c>
      <c r="J856" s="6">
        <v>0</v>
      </c>
      <c r="K856" s="6">
        <v>0</v>
      </c>
      <c r="L856" s="6">
        <v>0.108</v>
      </c>
      <c r="M856" s="6">
        <v>0.108</v>
      </c>
      <c r="N856" s="6">
        <v>0.108</v>
      </c>
      <c r="O856" s="6">
        <v>0.108</v>
      </c>
      <c r="P856" s="6">
        <v>0</v>
      </c>
      <c r="Q856" s="4" t="s">
        <v>26</v>
      </c>
      <c r="R856" s="4">
        <v>0</v>
      </c>
      <c r="S856" s="6">
        <v>0</v>
      </c>
      <c r="T856" s="6">
        <v>55</v>
      </c>
      <c r="U856" s="6">
        <v>96</v>
      </c>
      <c r="V856" s="6">
        <f>IF(ISERROR(VLOOKUP($S$856,'TAR FIN'!$A$1:$O$103,15,0)),0,VLOOKUP($S$856,'TAR FIN'!$A$1:$O$103,15,0))</f>
        <v>0</v>
      </c>
      <c r="W856" s="6">
        <f>IF(ISERROR(VLOOKUP($T$856,'TAR FIN'!$A$1:$O$103,15,0)),0,VLOOKUP($T$856,'TAR FIN'!$A$1:$O$103,15,0))</f>
        <v>642.88</v>
      </c>
      <c r="X856" s="6">
        <f>IF(ISERROR(VLOOKUP($U$856,'TAR FIN'!$A$1:$O$103,15,0)),0,VLOOKUP($U$856,'TAR FIN'!$A$1:$O$103,15,0))</f>
        <v>437.87</v>
      </c>
      <c r="Y856" s="6"/>
      <c r="Z856" s="6">
        <f ca="1">('TUSD BE'!$AM$55+'TUSD BF'!$AM$55+'TUSD CVA'!$AM$55)*1</f>
        <v>913.41046886542415</v>
      </c>
      <c r="AA856" s="6">
        <f>('TE BE'!$AB$39+'TE BF'!$AB$39+'TE CVA'!$AB$39)*1</f>
        <v>415.05449050541699</v>
      </c>
      <c r="AB856" s="6">
        <f>$K$856*$V$856</f>
        <v>0</v>
      </c>
      <c r="AC856" s="6">
        <f>$M$856*$W$856</f>
        <v>69.431039999999996</v>
      </c>
      <c r="AD856" s="6">
        <f>$O$856*$X$856</f>
        <v>47.289960000000001</v>
      </c>
      <c r="AE856" s="6">
        <f>$K$856*$Y$856</f>
        <v>0</v>
      </c>
      <c r="AF856" s="6">
        <f ca="1">$M$856*$Z$856</f>
        <v>98.648330637465804</v>
      </c>
      <c r="AG856" s="6">
        <f>$O$856*$AA$856</f>
        <v>44.825884974585037</v>
      </c>
    </row>
    <row r="857" spans="1:33" ht="11.25" customHeight="1" x14ac:dyDescent="0.25">
      <c r="A857" s="4" t="s">
        <v>21</v>
      </c>
      <c r="B857" s="4" t="s">
        <v>39</v>
      </c>
      <c r="C857" s="4" t="s">
        <v>36</v>
      </c>
      <c r="D857" s="4" t="s">
        <v>40</v>
      </c>
      <c r="E857" s="4" t="s">
        <v>25</v>
      </c>
      <c r="F857" s="4" t="s">
        <v>25</v>
      </c>
      <c r="G857" s="4" t="s">
        <v>25</v>
      </c>
      <c r="H857" s="4" t="s">
        <v>37</v>
      </c>
      <c r="I857" s="5">
        <v>44470</v>
      </c>
      <c r="J857" s="6">
        <v>0</v>
      </c>
      <c r="K857" s="6">
        <v>0</v>
      </c>
      <c r="L857" s="6">
        <v>0.112</v>
      </c>
      <c r="M857" s="6">
        <v>0.112</v>
      </c>
      <c r="N857" s="6">
        <v>0.112</v>
      </c>
      <c r="O857" s="6">
        <v>0.112</v>
      </c>
      <c r="P857" s="6">
        <v>0</v>
      </c>
      <c r="Q857" s="4" t="s">
        <v>26</v>
      </c>
      <c r="R857" s="4">
        <v>0</v>
      </c>
      <c r="S857" s="6">
        <v>0</v>
      </c>
      <c r="T857" s="6">
        <v>55</v>
      </c>
      <c r="U857" s="6">
        <v>96</v>
      </c>
      <c r="V857" s="6">
        <f>IF(ISERROR(VLOOKUP($S$857,'TAR FIN'!$A$1:$O$103,15,0)),0,VLOOKUP($S$857,'TAR FIN'!$A$1:$O$103,15,0))</f>
        <v>0</v>
      </c>
      <c r="W857" s="6">
        <f>IF(ISERROR(VLOOKUP($T$857,'TAR FIN'!$A$1:$O$103,15,0)),0,VLOOKUP($T$857,'TAR FIN'!$A$1:$O$103,15,0))</f>
        <v>642.88</v>
      </c>
      <c r="X857" s="6">
        <f>IF(ISERROR(VLOOKUP($U$857,'TAR FIN'!$A$1:$O$103,15,0)),0,VLOOKUP($U$857,'TAR FIN'!$A$1:$O$103,15,0))</f>
        <v>437.87</v>
      </c>
      <c r="Y857" s="6"/>
      <c r="Z857" s="6">
        <f ca="1">('TUSD BE'!$AM$55+'TUSD BF'!$AM$55+'TUSD CVA'!$AM$55)*1</f>
        <v>913.41046886542415</v>
      </c>
      <c r="AA857" s="6">
        <f>('TE BE'!$AB$39+'TE BF'!$AB$39+'TE CVA'!$AB$39)*1</f>
        <v>415.05449050541699</v>
      </c>
      <c r="AB857" s="6">
        <f>$K$857*$V$857</f>
        <v>0</v>
      </c>
      <c r="AC857" s="6">
        <f>$M$857*$W$857</f>
        <v>72.002560000000003</v>
      </c>
      <c r="AD857" s="6">
        <f>$O$857*$X$857</f>
        <v>49.041440000000001</v>
      </c>
      <c r="AE857" s="6">
        <f>$K$857*$Y$857</f>
        <v>0</v>
      </c>
      <c r="AF857" s="6">
        <f ca="1">$M$857*$Z$857</f>
        <v>102.30197251292751</v>
      </c>
      <c r="AG857" s="6">
        <f>$O$857*$AA$857</f>
        <v>46.486102936606706</v>
      </c>
    </row>
    <row r="858" spans="1:33" ht="11.25" customHeight="1" x14ac:dyDescent="0.25">
      <c r="A858" s="4" t="s">
        <v>21</v>
      </c>
      <c r="B858" s="4" t="s">
        <v>39</v>
      </c>
      <c r="C858" s="4" t="s">
        <v>36</v>
      </c>
      <c r="D858" s="4" t="s">
        <v>40</v>
      </c>
      <c r="E858" s="4" t="s">
        <v>25</v>
      </c>
      <c r="F858" s="4" t="s">
        <v>25</v>
      </c>
      <c r="G858" s="4" t="s">
        <v>25</v>
      </c>
      <c r="H858" s="4" t="s">
        <v>37</v>
      </c>
      <c r="I858" s="5">
        <v>44501</v>
      </c>
      <c r="J858" s="6">
        <v>0</v>
      </c>
      <c r="K858" s="6">
        <v>0</v>
      </c>
      <c r="L858" s="6">
        <v>0.10199999999999999</v>
      </c>
      <c r="M858" s="6">
        <v>0.10199999999999999</v>
      </c>
      <c r="N858" s="6">
        <v>0.10199999999999999</v>
      </c>
      <c r="O858" s="6">
        <v>0.10199999999999999</v>
      </c>
      <c r="P858" s="6">
        <v>0</v>
      </c>
      <c r="Q858" s="4" t="s">
        <v>26</v>
      </c>
      <c r="R858" s="4">
        <v>0</v>
      </c>
      <c r="S858" s="6">
        <v>0</v>
      </c>
      <c r="T858" s="6">
        <v>55</v>
      </c>
      <c r="U858" s="6">
        <v>96</v>
      </c>
      <c r="V858" s="6">
        <f>IF(ISERROR(VLOOKUP($S$858,'TAR FIN'!$A$1:$O$103,15,0)),0,VLOOKUP($S$858,'TAR FIN'!$A$1:$O$103,15,0))</f>
        <v>0</v>
      </c>
      <c r="W858" s="6">
        <f>IF(ISERROR(VLOOKUP($T$858,'TAR FIN'!$A$1:$O$103,15,0)),0,VLOOKUP($T$858,'TAR FIN'!$A$1:$O$103,15,0))</f>
        <v>642.88</v>
      </c>
      <c r="X858" s="6">
        <f>IF(ISERROR(VLOOKUP($U$858,'TAR FIN'!$A$1:$O$103,15,0)),0,VLOOKUP($U$858,'TAR FIN'!$A$1:$O$103,15,0))</f>
        <v>437.87</v>
      </c>
      <c r="Y858" s="6"/>
      <c r="Z858" s="6">
        <f ca="1">('TUSD BE'!$AM$55+'TUSD BF'!$AM$55+'TUSD CVA'!$AM$55)*1</f>
        <v>913.41046886542415</v>
      </c>
      <c r="AA858" s="6">
        <f>('TE BE'!$AB$39+'TE BF'!$AB$39+'TE CVA'!$AB$39)*1</f>
        <v>415.05449050541699</v>
      </c>
      <c r="AB858" s="6">
        <f>$K$858*$V$858</f>
        <v>0</v>
      </c>
      <c r="AC858" s="6">
        <f>$M$858*$W$858</f>
        <v>65.573759999999993</v>
      </c>
      <c r="AD858" s="6">
        <f>$O$858*$X$858</f>
        <v>44.662739999999999</v>
      </c>
      <c r="AE858" s="6">
        <f>$K$858*$Y$858</f>
        <v>0</v>
      </c>
      <c r="AF858" s="6">
        <f ca="1">$M$858*$Z$858</f>
        <v>93.167867824273259</v>
      </c>
      <c r="AG858" s="6">
        <f>$O$858*$AA$858</f>
        <v>42.33555803155253</v>
      </c>
    </row>
    <row r="859" spans="1:33" ht="11.25" customHeight="1" x14ac:dyDescent="0.25">
      <c r="A859" s="4" t="s">
        <v>21</v>
      </c>
      <c r="B859" s="4" t="s">
        <v>39</v>
      </c>
      <c r="C859" s="4" t="s">
        <v>36</v>
      </c>
      <c r="D859" s="4" t="s">
        <v>40</v>
      </c>
      <c r="E859" s="4" t="s">
        <v>25</v>
      </c>
      <c r="F859" s="4" t="s">
        <v>25</v>
      </c>
      <c r="G859" s="4" t="s">
        <v>25</v>
      </c>
      <c r="H859" s="4" t="s">
        <v>37</v>
      </c>
      <c r="I859" s="5">
        <v>44531</v>
      </c>
      <c r="J859" s="6">
        <v>0</v>
      </c>
      <c r="K859" s="6">
        <v>0</v>
      </c>
      <c r="L859" s="6">
        <v>0.125</v>
      </c>
      <c r="M859" s="6">
        <v>0.125</v>
      </c>
      <c r="N859" s="6">
        <v>0.125</v>
      </c>
      <c r="O859" s="6">
        <v>0.125</v>
      </c>
      <c r="P859" s="6">
        <v>0</v>
      </c>
      <c r="Q859" s="4" t="s">
        <v>26</v>
      </c>
      <c r="R859" s="4">
        <v>0</v>
      </c>
      <c r="S859" s="6">
        <v>0</v>
      </c>
      <c r="T859" s="6">
        <v>55</v>
      </c>
      <c r="U859" s="6">
        <v>96</v>
      </c>
      <c r="V859" s="6">
        <f>IF(ISERROR(VLOOKUP($S$859,'TAR FIN'!$A$1:$O$103,15,0)),0,VLOOKUP($S$859,'TAR FIN'!$A$1:$O$103,15,0))</f>
        <v>0</v>
      </c>
      <c r="W859" s="6">
        <f>IF(ISERROR(VLOOKUP($T$859,'TAR FIN'!$A$1:$O$103,15,0)),0,VLOOKUP($T$859,'TAR FIN'!$A$1:$O$103,15,0))</f>
        <v>642.88</v>
      </c>
      <c r="X859" s="6">
        <f>IF(ISERROR(VLOOKUP($U$859,'TAR FIN'!$A$1:$O$103,15,0)),0,VLOOKUP($U$859,'TAR FIN'!$A$1:$O$103,15,0))</f>
        <v>437.87</v>
      </c>
      <c r="Y859" s="6"/>
      <c r="Z859" s="6">
        <f ca="1">('TUSD BE'!$AM$55+'TUSD BF'!$AM$55+'TUSD CVA'!$AM$55)*1</f>
        <v>913.41046886542415</v>
      </c>
      <c r="AA859" s="6">
        <f>('TE BE'!$AB$39+'TE BF'!$AB$39+'TE CVA'!$AB$39)*1</f>
        <v>415.05449050541699</v>
      </c>
      <c r="AB859" s="6">
        <f>$K$859*$V$859</f>
        <v>0</v>
      </c>
      <c r="AC859" s="6">
        <f>$M$859*$W$859</f>
        <v>80.36</v>
      </c>
      <c r="AD859" s="6">
        <f>$O$859*$X$859</f>
        <v>54.733750000000001</v>
      </c>
      <c r="AE859" s="6">
        <f>$K$859*$Y$859</f>
        <v>0</v>
      </c>
      <c r="AF859" s="6">
        <f ca="1">$M$859*$Z$859</f>
        <v>114.17630860817802</v>
      </c>
      <c r="AG859" s="6">
        <f>$O$859*$AA$859</f>
        <v>51.881811313177124</v>
      </c>
    </row>
    <row r="860" spans="1:33" ht="11.25" customHeight="1" x14ac:dyDescent="0.25">
      <c r="A860" s="4" t="s">
        <v>21</v>
      </c>
      <c r="B860" s="4" t="s">
        <v>39</v>
      </c>
      <c r="C860" s="4" t="s">
        <v>36</v>
      </c>
      <c r="D860" s="4" t="s">
        <v>40</v>
      </c>
      <c r="E860" s="4" t="s">
        <v>25</v>
      </c>
      <c r="F860" s="4" t="s">
        <v>25</v>
      </c>
      <c r="G860" s="4" t="s">
        <v>25</v>
      </c>
      <c r="H860" s="4" t="s">
        <v>37</v>
      </c>
      <c r="I860" s="5">
        <v>44562</v>
      </c>
      <c r="J860" s="6">
        <v>0</v>
      </c>
      <c r="K860" s="6">
        <v>0</v>
      </c>
      <c r="L860" s="6">
        <v>0.125</v>
      </c>
      <c r="M860" s="6">
        <v>0.125</v>
      </c>
      <c r="N860" s="6">
        <v>0.125</v>
      </c>
      <c r="O860" s="6">
        <v>0.125</v>
      </c>
      <c r="P860" s="6">
        <v>0</v>
      </c>
      <c r="Q860" s="4" t="s">
        <v>26</v>
      </c>
      <c r="R860" s="4">
        <v>0</v>
      </c>
      <c r="S860" s="6">
        <v>0</v>
      </c>
      <c r="T860" s="6">
        <v>55</v>
      </c>
      <c r="U860" s="6">
        <v>96</v>
      </c>
      <c r="V860" s="6">
        <f>IF(ISERROR(VLOOKUP($S$860,'TAR FIN'!$A$1:$O$103,15,0)),0,VLOOKUP($S$860,'TAR FIN'!$A$1:$O$103,15,0))</f>
        <v>0</v>
      </c>
      <c r="W860" s="6">
        <f>IF(ISERROR(VLOOKUP($T$860,'TAR FIN'!$A$1:$O$103,15,0)),0,VLOOKUP($T$860,'TAR FIN'!$A$1:$O$103,15,0))</f>
        <v>642.88</v>
      </c>
      <c r="X860" s="6">
        <f>IF(ISERROR(VLOOKUP($U$860,'TAR FIN'!$A$1:$O$103,15,0)),0,VLOOKUP($U$860,'TAR FIN'!$A$1:$O$103,15,0))</f>
        <v>437.87</v>
      </c>
      <c r="Y860" s="6"/>
      <c r="Z860" s="6">
        <f ca="1">('TUSD BE'!$AM$55+'TUSD BF'!$AM$55+'TUSD CVA'!$AM$55)*1</f>
        <v>913.41046886542415</v>
      </c>
      <c r="AA860" s="6">
        <f>('TE BE'!$AB$39+'TE BF'!$AB$39+'TE CVA'!$AB$39)*1</f>
        <v>415.05449050541699</v>
      </c>
      <c r="AB860" s="6">
        <f>$K$860*$V$860</f>
        <v>0</v>
      </c>
      <c r="AC860" s="6">
        <f>$M$860*$W$860</f>
        <v>80.36</v>
      </c>
      <c r="AD860" s="6">
        <f>$O$860*$X$860</f>
        <v>54.733750000000001</v>
      </c>
      <c r="AE860" s="6">
        <f>$K$860*$Y$860</f>
        <v>0</v>
      </c>
      <c r="AF860" s="6">
        <f ca="1">$M$860*$Z$860</f>
        <v>114.17630860817802</v>
      </c>
      <c r="AG860" s="6">
        <f>$O$860*$AA$860</f>
        <v>51.881811313177124</v>
      </c>
    </row>
    <row r="861" spans="1:33" ht="11.25" customHeight="1" x14ac:dyDescent="0.25">
      <c r="A861" s="4" t="s">
        <v>21</v>
      </c>
      <c r="B861" s="4" t="s">
        <v>39</v>
      </c>
      <c r="C861" s="4" t="s">
        <v>36</v>
      </c>
      <c r="D861" s="4" t="s">
        <v>40</v>
      </c>
      <c r="E861" s="4" t="s">
        <v>25</v>
      </c>
      <c r="F861" s="4" t="s">
        <v>25</v>
      </c>
      <c r="G861" s="4" t="s">
        <v>25</v>
      </c>
      <c r="H861" s="4" t="s">
        <v>37</v>
      </c>
      <c r="I861" s="5">
        <v>44593</v>
      </c>
      <c r="J861" s="6">
        <v>0</v>
      </c>
      <c r="K861" s="6">
        <v>0</v>
      </c>
      <c r="L861" s="6">
        <v>0.124</v>
      </c>
      <c r="M861" s="6">
        <v>0.124</v>
      </c>
      <c r="N861" s="6">
        <v>0.124</v>
      </c>
      <c r="O861" s="6">
        <v>0.124</v>
      </c>
      <c r="P861" s="6">
        <v>0</v>
      </c>
      <c r="Q861" s="4" t="s">
        <v>26</v>
      </c>
      <c r="R861" s="4">
        <v>0</v>
      </c>
      <c r="S861" s="6">
        <v>0</v>
      </c>
      <c r="T861" s="6">
        <v>55</v>
      </c>
      <c r="U861" s="6">
        <v>96</v>
      </c>
      <c r="V861" s="6">
        <f>IF(ISERROR(VLOOKUP($S$861,'TAR FIN'!$A$1:$O$103,15,0)),0,VLOOKUP($S$861,'TAR FIN'!$A$1:$O$103,15,0))</f>
        <v>0</v>
      </c>
      <c r="W861" s="6">
        <f>IF(ISERROR(VLOOKUP($T$861,'TAR FIN'!$A$1:$O$103,15,0)),0,VLOOKUP($T$861,'TAR FIN'!$A$1:$O$103,15,0))</f>
        <v>642.88</v>
      </c>
      <c r="X861" s="6">
        <f>IF(ISERROR(VLOOKUP($U$861,'TAR FIN'!$A$1:$O$103,15,0)),0,VLOOKUP($U$861,'TAR FIN'!$A$1:$O$103,15,0))</f>
        <v>437.87</v>
      </c>
      <c r="Y861" s="6"/>
      <c r="Z861" s="6">
        <f ca="1">('TUSD BE'!$AM$55+'TUSD BF'!$AM$55+'TUSD CVA'!$AM$55)*1</f>
        <v>913.41046886542415</v>
      </c>
      <c r="AA861" s="6">
        <f>('TE BE'!$AB$39+'TE BF'!$AB$39+'TE CVA'!$AB$39)*1</f>
        <v>415.05449050541699</v>
      </c>
      <c r="AB861" s="6">
        <f>$K$861*$V$861</f>
        <v>0</v>
      </c>
      <c r="AC861" s="6">
        <f>$M$861*$W$861</f>
        <v>79.717119999999994</v>
      </c>
      <c r="AD861" s="6">
        <f>$O$861*$X$861</f>
        <v>54.295879999999997</v>
      </c>
      <c r="AE861" s="6">
        <f>$K$861*$Y$861</f>
        <v>0</v>
      </c>
      <c r="AF861" s="6">
        <f ca="1">$M$861*$Z$861</f>
        <v>113.2628981393126</v>
      </c>
      <c r="AG861" s="6">
        <f>$O$861*$AA$861</f>
        <v>51.466756822671705</v>
      </c>
    </row>
    <row r="862" spans="1:33" ht="11.25" customHeight="1" x14ac:dyDescent="0.25">
      <c r="A862" s="4" t="s">
        <v>21</v>
      </c>
      <c r="B862" s="4" t="s">
        <v>39</v>
      </c>
      <c r="C862" s="4" t="s">
        <v>36</v>
      </c>
      <c r="D862" s="4" t="s">
        <v>40</v>
      </c>
      <c r="E862" s="4" t="s">
        <v>25</v>
      </c>
      <c r="F862" s="4" t="s">
        <v>25</v>
      </c>
      <c r="G862" s="4" t="s">
        <v>25</v>
      </c>
      <c r="H862" s="4" t="s">
        <v>37</v>
      </c>
      <c r="I862" s="5">
        <v>44621</v>
      </c>
      <c r="J862" s="6">
        <v>0</v>
      </c>
      <c r="K862" s="6">
        <v>0</v>
      </c>
      <c r="L862" s="6">
        <v>0.114</v>
      </c>
      <c r="M862" s="6">
        <v>0.114</v>
      </c>
      <c r="N862" s="6">
        <v>0.114</v>
      </c>
      <c r="O862" s="6">
        <v>0.114</v>
      </c>
      <c r="P862" s="6">
        <v>0</v>
      </c>
      <c r="Q862" s="4" t="s">
        <v>26</v>
      </c>
      <c r="R862" s="4">
        <v>0</v>
      </c>
      <c r="S862" s="6">
        <v>0</v>
      </c>
      <c r="T862" s="6">
        <v>55</v>
      </c>
      <c r="U862" s="6">
        <v>96</v>
      </c>
      <c r="V862" s="6">
        <f>IF(ISERROR(VLOOKUP($S$862,'TAR FIN'!$A$1:$O$103,15,0)),0,VLOOKUP($S$862,'TAR FIN'!$A$1:$O$103,15,0))</f>
        <v>0</v>
      </c>
      <c r="W862" s="6">
        <f>IF(ISERROR(VLOOKUP($T$862,'TAR FIN'!$A$1:$O$103,15,0)),0,VLOOKUP($T$862,'TAR FIN'!$A$1:$O$103,15,0))</f>
        <v>642.88</v>
      </c>
      <c r="X862" s="6">
        <f>IF(ISERROR(VLOOKUP($U$862,'TAR FIN'!$A$1:$O$103,15,0)),0,VLOOKUP($U$862,'TAR FIN'!$A$1:$O$103,15,0))</f>
        <v>437.87</v>
      </c>
      <c r="Y862" s="6"/>
      <c r="Z862" s="6">
        <f ca="1">('TUSD BE'!$AM$55+'TUSD BF'!$AM$55+'TUSD CVA'!$AM$55)*1</f>
        <v>913.41046886542415</v>
      </c>
      <c r="AA862" s="6">
        <f>('TE BE'!$AB$39+'TE BF'!$AB$39+'TE CVA'!$AB$39)*1</f>
        <v>415.05449050541699</v>
      </c>
      <c r="AB862" s="6">
        <f>$K$862*$V$862</f>
        <v>0</v>
      </c>
      <c r="AC862" s="6">
        <f>$M$862*$W$862</f>
        <v>73.288319999999999</v>
      </c>
      <c r="AD862" s="6">
        <f>$O$862*$X$862</f>
        <v>49.917180000000002</v>
      </c>
      <c r="AE862" s="6">
        <f>$K$862*$Y$862</f>
        <v>0</v>
      </c>
      <c r="AF862" s="6">
        <f ca="1">$M$862*$Z$862</f>
        <v>104.12879345065836</v>
      </c>
      <c r="AG862" s="6">
        <f>$O$862*$AA$862</f>
        <v>47.316211917617537</v>
      </c>
    </row>
    <row r="863" spans="1:33" ht="11.25" customHeight="1" x14ac:dyDescent="0.25">
      <c r="A863" s="4" t="s">
        <v>21</v>
      </c>
      <c r="B863" s="4" t="s">
        <v>39</v>
      </c>
      <c r="C863" s="4" t="s">
        <v>36</v>
      </c>
      <c r="D863" s="4" t="s">
        <v>40</v>
      </c>
      <c r="E863" s="4" t="s">
        <v>25</v>
      </c>
      <c r="F863" s="4" t="s">
        <v>25</v>
      </c>
      <c r="G863" s="4" t="s">
        <v>25</v>
      </c>
      <c r="H863" s="4" t="s">
        <v>37</v>
      </c>
      <c r="I863" s="5">
        <v>44652</v>
      </c>
      <c r="J863" s="6">
        <v>0</v>
      </c>
      <c r="K863" s="6">
        <v>0</v>
      </c>
      <c r="L863" s="6">
        <v>0.11600000000000001</v>
      </c>
      <c r="M863" s="6">
        <v>0.11600000000000001</v>
      </c>
      <c r="N863" s="6">
        <v>0.11600000000000001</v>
      </c>
      <c r="O863" s="6">
        <v>0.11600000000000001</v>
      </c>
      <c r="P863" s="6">
        <v>0</v>
      </c>
      <c r="Q863" s="4" t="s">
        <v>26</v>
      </c>
      <c r="R863" s="4">
        <v>0</v>
      </c>
      <c r="S863" s="6">
        <v>0</v>
      </c>
      <c r="T863" s="6">
        <v>55</v>
      </c>
      <c r="U863" s="6">
        <v>96</v>
      </c>
      <c r="V863" s="6">
        <f>IF(ISERROR(VLOOKUP($S$863,'TAR FIN'!$A$1:$O$103,15,0)),0,VLOOKUP($S$863,'TAR FIN'!$A$1:$O$103,15,0))</f>
        <v>0</v>
      </c>
      <c r="W863" s="6">
        <f>IF(ISERROR(VLOOKUP($T$863,'TAR FIN'!$A$1:$O$103,15,0)),0,VLOOKUP($T$863,'TAR FIN'!$A$1:$O$103,15,0))</f>
        <v>642.88</v>
      </c>
      <c r="X863" s="6">
        <f>IF(ISERROR(VLOOKUP($U$863,'TAR FIN'!$A$1:$O$103,15,0)),0,VLOOKUP($U$863,'TAR FIN'!$A$1:$O$103,15,0))</f>
        <v>437.87</v>
      </c>
      <c r="Y863" s="6"/>
      <c r="Z863" s="6">
        <f ca="1">('TUSD BE'!$AM$55+'TUSD BF'!$AM$55+'TUSD CVA'!$AM$55)*1</f>
        <v>913.41046886542415</v>
      </c>
      <c r="AA863" s="6">
        <f>('TE BE'!$AB$39+'TE BF'!$AB$39+'TE CVA'!$AB$39)*1</f>
        <v>415.05449050541699</v>
      </c>
      <c r="AB863" s="6">
        <f>$K$863*$V$863</f>
        <v>0</v>
      </c>
      <c r="AC863" s="6">
        <f>$M$863*$W$863</f>
        <v>74.574080000000009</v>
      </c>
      <c r="AD863" s="6">
        <f>$O$863*$X$863</f>
        <v>50.792920000000002</v>
      </c>
      <c r="AE863" s="6">
        <f>$K$863*$Y$863</f>
        <v>0</v>
      </c>
      <c r="AF863" s="6">
        <f ca="1">$M$863*$Z$863</f>
        <v>105.95561438838921</v>
      </c>
      <c r="AG863" s="6">
        <f>$O$863*$AA$863</f>
        <v>48.146320898628375</v>
      </c>
    </row>
    <row r="864" spans="1:33" ht="11.25" customHeight="1" x14ac:dyDescent="0.25">
      <c r="A864" s="4" t="s">
        <v>21</v>
      </c>
      <c r="B864" s="4" t="s">
        <v>39</v>
      </c>
      <c r="C864" s="4" t="s">
        <v>36</v>
      </c>
      <c r="D864" s="4" t="s">
        <v>40</v>
      </c>
      <c r="E864" s="4" t="s">
        <v>25</v>
      </c>
      <c r="F864" s="4" t="s">
        <v>25</v>
      </c>
      <c r="G864" s="4" t="s">
        <v>25</v>
      </c>
      <c r="H864" s="4" t="s">
        <v>37</v>
      </c>
      <c r="I864" s="5">
        <v>44682</v>
      </c>
      <c r="J864" s="6">
        <v>0</v>
      </c>
      <c r="K864" s="6">
        <v>0</v>
      </c>
      <c r="L864" s="6">
        <v>0.114</v>
      </c>
      <c r="M864" s="6">
        <v>0.114</v>
      </c>
      <c r="N864" s="6">
        <v>0.114</v>
      </c>
      <c r="O864" s="6">
        <v>0.114</v>
      </c>
      <c r="P864" s="6">
        <v>0</v>
      </c>
      <c r="Q864" s="4" t="s">
        <v>26</v>
      </c>
      <c r="R864" s="4">
        <v>0</v>
      </c>
      <c r="S864" s="6">
        <v>0</v>
      </c>
      <c r="T864" s="6">
        <v>55</v>
      </c>
      <c r="U864" s="6">
        <v>96</v>
      </c>
      <c r="V864" s="6">
        <f>IF(ISERROR(VLOOKUP($S$864,'TAR FIN'!$A$1:$O$103,15,0)),0,VLOOKUP($S$864,'TAR FIN'!$A$1:$O$103,15,0))</f>
        <v>0</v>
      </c>
      <c r="W864" s="6">
        <f>IF(ISERROR(VLOOKUP($T$864,'TAR FIN'!$A$1:$O$103,15,0)),0,VLOOKUP($T$864,'TAR FIN'!$A$1:$O$103,15,0))</f>
        <v>642.88</v>
      </c>
      <c r="X864" s="6">
        <f>IF(ISERROR(VLOOKUP($U$864,'TAR FIN'!$A$1:$O$103,15,0)),0,VLOOKUP($U$864,'TAR FIN'!$A$1:$O$103,15,0))</f>
        <v>437.87</v>
      </c>
      <c r="Y864" s="6"/>
      <c r="Z864" s="6">
        <f ca="1">('TUSD BE'!$AM$55+'TUSD BF'!$AM$55+'TUSD CVA'!$AM$55)*1</f>
        <v>913.41046886542415</v>
      </c>
      <c r="AA864" s="6">
        <f>('TE BE'!$AB$39+'TE BF'!$AB$39+'TE CVA'!$AB$39)*1</f>
        <v>415.05449050541699</v>
      </c>
      <c r="AB864" s="6">
        <f>$K$864*$V$864</f>
        <v>0</v>
      </c>
      <c r="AC864" s="6">
        <f>$M$864*$W$864</f>
        <v>73.288319999999999</v>
      </c>
      <c r="AD864" s="6">
        <f>$O$864*$X$864</f>
        <v>49.917180000000002</v>
      </c>
      <c r="AE864" s="6">
        <f>$K$864*$Y$864</f>
        <v>0</v>
      </c>
      <c r="AF864" s="6">
        <f ca="1">$M$864*$Z$864</f>
        <v>104.12879345065836</v>
      </c>
      <c r="AG864" s="6">
        <f>$O$864*$AA$864</f>
        <v>47.316211917617537</v>
      </c>
    </row>
    <row r="865" spans="1:33" ht="11.25" customHeight="1" x14ac:dyDescent="0.25">
      <c r="A865" s="4" t="s">
        <v>21</v>
      </c>
      <c r="B865" s="4" t="s">
        <v>39</v>
      </c>
      <c r="C865" s="4" t="s">
        <v>23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44348</v>
      </c>
      <c r="J865" s="6">
        <v>0</v>
      </c>
      <c r="K865" s="6">
        <v>0</v>
      </c>
      <c r="L865" s="6">
        <v>1705.5170000000001</v>
      </c>
      <c r="M865" s="6">
        <v>1705.5170000000001</v>
      </c>
      <c r="N865" s="6">
        <v>1705.5170000000001</v>
      </c>
      <c r="O865" s="6">
        <v>1705.5170000000001</v>
      </c>
      <c r="P865" s="6">
        <v>3389</v>
      </c>
      <c r="Q865" s="4" t="s">
        <v>26</v>
      </c>
      <c r="R865" s="4">
        <v>0</v>
      </c>
      <c r="S865" s="6">
        <v>0</v>
      </c>
      <c r="T865" s="6">
        <v>58</v>
      </c>
      <c r="U865" s="6">
        <v>99</v>
      </c>
      <c r="V865" s="6">
        <f>IF(ISERROR(VLOOKUP($S$865,'TAR FIN'!$A$1:$O$103,15,0)),0,VLOOKUP($S$865,'TAR FIN'!$A$1:$O$103,15,0))</f>
        <v>0</v>
      </c>
      <c r="W865" s="6">
        <f>IF(ISERROR(VLOOKUP($T$865,'TAR FIN'!$A$1:$O$103,15,0)),0,VLOOKUP($T$865,'TAR FIN'!$A$1:$O$103,15,0))</f>
        <v>269.91000000000003</v>
      </c>
      <c r="X865" s="6">
        <f>IF(ISERROR(VLOOKUP($U$865,'TAR FIN'!$A$1:$O$103,15,0)),0,VLOOKUP($U$865,'TAR FIN'!$A$1:$O$103,15,0))</f>
        <v>288.89999999999998</v>
      </c>
      <c r="Y865" s="6"/>
      <c r="Z865" s="6">
        <f ca="1">('TUSD BE'!$AM$58+'TUSD BF'!$AM$58+'TUSD CVA'!$AM$58)*1</f>
        <v>362.48776111536552</v>
      </c>
      <c r="AA865" s="6">
        <f>('TE BE'!$AB$42+'TE BF'!$AB$42+'TE CVA'!$AB$42)*1</f>
        <v>272.03825149820085</v>
      </c>
      <c r="AB865" s="6">
        <f>$K$865*$V$865</f>
        <v>0</v>
      </c>
      <c r="AC865" s="6">
        <f>$M$865*$W$865</f>
        <v>460336.09347000008</v>
      </c>
      <c r="AD865" s="6">
        <f>$O$865*$X$865</f>
        <v>492723.86129999999</v>
      </c>
      <c r="AE865" s="6">
        <f>$K$865*$Y$865</f>
        <v>0</v>
      </c>
      <c r="AF865" s="6">
        <f ca="1">$M$865*$Z$865</f>
        <v>618229.03887419484</v>
      </c>
      <c r="AG865" s="6">
        <f>$O$865*$AA$865</f>
        <v>463965.86258045706</v>
      </c>
    </row>
    <row r="866" spans="1:33" ht="11.25" customHeight="1" x14ac:dyDescent="0.25">
      <c r="A866" s="4" t="s">
        <v>27</v>
      </c>
      <c r="B866" s="4" t="s">
        <v>39</v>
      </c>
      <c r="C866" s="4" t="s">
        <v>23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44348</v>
      </c>
      <c r="J866" s="6">
        <v>0</v>
      </c>
      <c r="K866" s="6">
        <v>0</v>
      </c>
      <c r="L866" s="6">
        <v>-0.81399999999999995</v>
      </c>
      <c r="M866" s="6">
        <v>-0.81399999999999995</v>
      </c>
      <c r="N866" s="6">
        <v>-0.81399999999999995</v>
      </c>
      <c r="O866" s="6">
        <v>-0.81399999999999995</v>
      </c>
      <c r="P866" s="6">
        <v>0</v>
      </c>
      <c r="Q866" s="4" t="s">
        <v>26</v>
      </c>
      <c r="R866" s="4">
        <v>0</v>
      </c>
      <c r="S866" s="6">
        <v>0</v>
      </c>
      <c r="T866" s="6">
        <v>58</v>
      </c>
      <c r="U866" s="6">
        <v>99</v>
      </c>
      <c r="V866" s="6">
        <f>IF(ISERROR(VLOOKUP($S$866,'TAR FIN'!$A$1:$O$103,15,0)),0,VLOOKUP($S$866,'TAR FIN'!$A$1:$O$103,15,0))</f>
        <v>0</v>
      </c>
      <c r="W866" s="6">
        <f>IF(ISERROR(VLOOKUP($T$866,'TAR FIN'!$A$1:$O$103,15,0)),0,VLOOKUP($T$866,'TAR FIN'!$A$1:$O$103,15,0))</f>
        <v>269.91000000000003</v>
      </c>
      <c r="X866" s="6">
        <f>IF(ISERROR(VLOOKUP($U$866,'TAR FIN'!$A$1:$O$103,15,0)),0,VLOOKUP($U$866,'TAR FIN'!$A$1:$O$103,15,0))</f>
        <v>288.89999999999998</v>
      </c>
      <c r="Y866" s="6"/>
      <c r="Z866" s="6">
        <f ca="1">('TUSD BE'!$AM$58+'TUSD BF'!$AM$58+'TUSD CVA'!$AM$58)*1</f>
        <v>362.48776111536552</v>
      </c>
      <c r="AA866" s="6">
        <f>('TE BE'!$AB$42+'TE BF'!$AB$42+'TE CVA'!$AB$42)*1</f>
        <v>272.03825149820085</v>
      </c>
      <c r="AB866" s="6">
        <f>$K$866*$V$866</f>
        <v>0</v>
      </c>
      <c r="AC866" s="6">
        <f>$M$866*$W$866</f>
        <v>-219.70674</v>
      </c>
      <c r="AD866" s="6">
        <f>$O$866*$X$866</f>
        <v>-235.16459999999998</v>
      </c>
      <c r="AE866" s="6">
        <f>$K$866*$Y$866</f>
        <v>0</v>
      </c>
      <c r="AF866" s="6">
        <f ca="1">$M$866*$Z$866</f>
        <v>-295.06503754790754</v>
      </c>
      <c r="AG866" s="6">
        <f>$O$866*$AA$866</f>
        <v>-221.43913671953547</v>
      </c>
    </row>
    <row r="867" spans="1:33" ht="11.25" customHeight="1" x14ac:dyDescent="0.25">
      <c r="A867" s="4" t="s">
        <v>28</v>
      </c>
      <c r="B867" s="4" t="s">
        <v>39</v>
      </c>
      <c r="C867" s="4" t="s">
        <v>23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44348</v>
      </c>
      <c r="J867" s="6">
        <v>0</v>
      </c>
      <c r="K867" s="6">
        <v>0</v>
      </c>
      <c r="L867" s="6">
        <v>42.02</v>
      </c>
      <c r="M867" s="6">
        <v>42.02</v>
      </c>
      <c r="N867" s="6">
        <v>42.02</v>
      </c>
      <c r="O867" s="6">
        <v>42.02</v>
      </c>
      <c r="P867" s="6">
        <v>29</v>
      </c>
      <c r="Q867" s="4" t="s">
        <v>26</v>
      </c>
      <c r="R867" s="4">
        <v>0</v>
      </c>
      <c r="S867" s="6">
        <v>0</v>
      </c>
      <c r="T867" s="6">
        <v>58</v>
      </c>
      <c r="U867" s="6">
        <v>99</v>
      </c>
      <c r="V867" s="6">
        <f>IF(ISERROR(VLOOKUP($S$867,'TAR FIN'!$A$1:$O$103,15,0)),0,VLOOKUP($S$867,'TAR FIN'!$A$1:$O$103,15,0))</f>
        <v>0</v>
      </c>
      <c r="W867" s="6">
        <f>IF(ISERROR(VLOOKUP($T$867,'TAR FIN'!$A$1:$O$103,15,0)),0,VLOOKUP($T$867,'TAR FIN'!$A$1:$O$103,15,0))</f>
        <v>269.91000000000003</v>
      </c>
      <c r="X867" s="6">
        <f>IF(ISERROR(VLOOKUP($U$867,'TAR FIN'!$A$1:$O$103,15,0)),0,VLOOKUP($U$867,'TAR FIN'!$A$1:$O$103,15,0))</f>
        <v>288.89999999999998</v>
      </c>
      <c r="Y867" s="6"/>
      <c r="Z867" s="6">
        <f ca="1">('TUSD BE'!$AM$58+'TUSD BF'!$AM$58+'TUSD CVA'!$AM$58)*1</f>
        <v>362.48776111536552</v>
      </c>
      <c r="AA867" s="6">
        <f>('TE BE'!$AB$42+'TE BF'!$AB$42+'TE CVA'!$AB$42)*1</f>
        <v>272.03825149820085</v>
      </c>
      <c r="AB867" s="6">
        <f>$K$867*$V$867</f>
        <v>0</v>
      </c>
      <c r="AC867" s="6">
        <f>$M$867*$W$867</f>
        <v>11341.618200000003</v>
      </c>
      <c r="AD867" s="6">
        <f>$O$867*$X$867</f>
        <v>12139.578</v>
      </c>
      <c r="AE867" s="6">
        <f>$K$867*$Y$867</f>
        <v>0</v>
      </c>
      <c r="AF867" s="6">
        <f ca="1">$M$867*$Z$867</f>
        <v>15231.73572206766</v>
      </c>
      <c r="AG867" s="6">
        <f>$O$867*$AA$867</f>
        <v>11431.0473279544</v>
      </c>
    </row>
    <row r="868" spans="1:33" ht="11.25" customHeight="1" x14ac:dyDescent="0.25">
      <c r="A868" s="4" t="s">
        <v>21</v>
      </c>
      <c r="B868" s="4" t="s">
        <v>39</v>
      </c>
      <c r="C868" s="4" t="s">
        <v>23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44378</v>
      </c>
      <c r="J868" s="6">
        <v>0</v>
      </c>
      <c r="K868" s="6">
        <v>0</v>
      </c>
      <c r="L868" s="6">
        <v>1761.8520000000001</v>
      </c>
      <c r="M868" s="6">
        <v>1761.8520000000001</v>
      </c>
      <c r="N868" s="6">
        <v>1761.8520000000001</v>
      </c>
      <c r="O868" s="6">
        <v>1761.8520000000001</v>
      </c>
      <c r="P868" s="6">
        <v>3395</v>
      </c>
      <c r="Q868" s="4" t="s">
        <v>26</v>
      </c>
      <c r="R868" s="4">
        <v>0</v>
      </c>
      <c r="S868" s="6">
        <v>0</v>
      </c>
      <c r="T868" s="6">
        <v>58</v>
      </c>
      <c r="U868" s="6">
        <v>99</v>
      </c>
      <c r="V868" s="6">
        <f>IF(ISERROR(VLOOKUP($S$868,'TAR FIN'!$A$1:$O$103,15,0)),0,VLOOKUP($S$868,'TAR FIN'!$A$1:$O$103,15,0))</f>
        <v>0</v>
      </c>
      <c r="W868" s="6">
        <f>IF(ISERROR(VLOOKUP($T$868,'TAR FIN'!$A$1:$O$103,15,0)),0,VLOOKUP($T$868,'TAR FIN'!$A$1:$O$103,15,0))</f>
        <v>269.91000000000003</v>
      </c>
      <c r="X868" s="6">
        <f>IF(ISERROR(VLOOKUP($U$868,'TAR FIN'!$A$1:$O$103,15,0)),0,VLOOKUP($U$868,'TAR FIN'!$A$1:$O$103,15,0))</f>
        <v>288.89999999999998</v>
      </c>
      <c r="Y868" s="6"/>
      <c r="Z868" s="6">
        <f ca="1">('TUSD BE'!$AM$58+'TUSD BF'!$AM$58+'TUSD CVA'!$AM$58)*1</f>
        <v>362.48776111536552</v>
      </c>
      <c r="AA868" s="6">
        <f>('TE BE'!$AB$42+'TE BF'!$AB$42+'TE CVA'!$AB$42)*1</f>
        <v>272.03825149820085</v>
      </c>
      <c r="AB868" s="6">
        <f>$K$868*$V$868</f>
        <v>0</v>
      </c>
      <c r="AC868" s="6">
        <f>$M$868*$W$868</f>
        <v>475541.47332000005</v>
      </c>
      <c r="AD868" s="6">
        <f>$O$868*$X$868</f>
        <v>508999.0428</v>
      </c>
      <c r="AE868" s="6">
        <f>$K$868*$Y$868</f>
        <v>0</v>
      </c>
      <c r="AF868" s="6">
        <f ca="1">$M$868*$Z$868</f>
        <v>638649.78689662903</v>
      </c>
      <c r="AG868" s="6">
        <f>$O$868*$AA$868</f>
        <v>479291.13747860817</v>
      </c>
    </row>
    <row r="869" spans="1:33" ht="11.25" customHeight="1" x14ac:dyDescent="0.25">
      <c r="A869" s="4" t="s">
        <v>27</v>
      </c>
      <c r="B869" s="4" t="s">
        <v>39</v>
      </c>
      <c r="C869" s="4" t="s">
        <v>23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44378</v>
      </c>
      <c r="J869" s="6">
        <v>0</v>
      </c>
      <c r="K869" s="6">
        <v>0</v>
      </c>
      <c r="L869" s="6">
        <v>-0.50800000000000001</v>
      </c>
      <c r="M869" s="6">
        <v>-0.50800000000000001</v>
      </c>
      <c r="N869" s="6">
        <v>-0.50800000000000001</v>
      </c>
      <c r="O869" s="6">
        <v>-0.50800000000000001</v>
      </c>
      <c r="P869" s="6">
        <v>0</v>
      </c>
      <c r="Q869" s="4" t="s">
        <v>26</v>
      </c>
      <c r="R869" s="4">
        <v>0</v>
      </c>
      <c r="S869" s="6">
        <v>0</v>
      </c>
      <c r="T869" s="6">
        <v>58</v>
      </c>
      <c r="U869" s="6">
        <v>99</v>
      </c>
      <c r="V869" s="6">
        <f>IF(ISERROR(VLOOKUP($S$869,'TAR FIN'!$A$1:$O$103,15,0)),0,VLOOKUP($S$869,'TAR FIN'!$A$1:$O$103,15,0))</f>
        <v>0</v>
      </c>
      <c r="W869" s="6">
        <f>IF(ISERROR(VLOOKUP($T$869,'TAR FIN'!$A$1:$O$103,15,0)),0,VLOOKUP($T$869,'TAR FIN'!$A$1:$O$103,15,0))</f>
        <v>269.91000000000003</v>
      </c>
      <c r="X869" s="6">
        <f>IF(ISERROR(VLOOKUP($U$869,'TAR FIN'!$A$1:$O$103,15,0)),0,VLOOKUP($U$869,'TAR FIN'!$A$1:$O$103,15,0))</f>
        <v>288.89999999999998</v>
      </c>
      <c r="Y869" s="6"/>
      <c r="Z869" s="6">
        <f ca="1">('TUSD BE'!$AM$58+'TUSD BF'!$AM$58+'TUSD CVA'!$AM$58)*1</f>
        <v>362.48776111536552</v>
      </c>
      <c r="AA869" s="6">
        <f>('TE BE'!$AB$42+'TE BF'!$AB$42+'TE CVA'!$AB$42)*1</f>
        <v>272.03825149820085</v>
      </c>
      <c r="AB869" s="6">
        <f>$K$869*$V$869</f>
        <v>0</v>
      </c>
      <c r="AC869" s="6">
        <f>$M$869*$W$869</f>
        <v>-137.11428000000001</v>
      </c>
      <c r="AD869" s="6">
        <f>$O$869*$X$869</f>
        <v>-146.7612</v>
      </c>
      <c r="AE869" s="6">
        <f>$K$869*$Y$869</f>
        <v>0</v>
      </c>
      <c r="AF869" s="6">
        <f ca="1">$M$869*$Z$869</f>
        <v>-184.14378264660567</v>
      </c>
      <c r="AG869" s="6">
        <f>$O$869*$AA$869</f>
        <v>-138.19543176108604</v>
      </c>
    </row>
    <row r="870" spans="1:33" ht="11.25" customHeight="1" x14ac:dyDescent="0.25">
      <c r="A870" s="4" t="s">
        <v>28</v>
      </c>
      <c r="B870" s="4" t="s">
        <v>39</v>
      </c>
      <c r="C870" s="4" t="s">
        <v>23</v>
      </c>
      <c r="D870" s="4" t="s">
        <v>43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44378</v>
      </c>
      <c r="J870" s="6">
        <v>0</v>
      </c>
      <c r="K870" s="6">
        <v>0</v>
      </c>
      <c r="L870" s="6">
        <v>44.585999999999999</v>
      </c>
      <c r="M870" s="6">
        <v>44.585999999999999</v>
      </c>
      <c r="N870" s="6">
        <v>44.585999999999999</v>
      </c>
      <c r="O870" s="6">
        <v>44.585999999999999</v>
      </c>
      <c r="P870" s="6">
        <v>30</v>
      </c>
      <c r="Q870" s="4" t="s">
        <v>26</v>
      </c>
      <c r="R870" s="4">
        <v>0</v>
      </c>
      <c r="S870" s="6">
        <v>0</v>
      </c>
      <c r="T870" s="6">
        <v>58</v>
      </c>
      <c r="U870" s="6">
        <v>99</v>
      </c>
      <c r="V870" s="6">
        <f>IF(ISERROR(VLOOKUP($S$870,'TAR FIN'!$A$1:$O$103,15,0)),0,VLOOKUP($S$870,'TAR FIN'!$A$1:$O$103,15,0))</f>
        <v>0</v>
      </c>
      <c r="W870" s="6">
        <f>IF(ISERROR(VLOOKUP($T$870,'TAR FIN'!$A$1:$O$103,15,0)),0,VLOOKUP($T$870,'TAR FIN'!$A$1:$O$103,15,0))</f>
        <v>269.91000000000003</v>
      </c>
      <c r="X870" s="6">
        <f>IF(ISERROR(VLOOKUP($U$870,'TAR FIN'!$A$1:$O$103,15,0)),0,VLOOKUP($U$870,'TAR FIN'!$A$1:$O$103,15,0))</f>
        <v>288.89999999999998</v>
      </c>
      <c r="Y870" s="6"/>
      <c r="Z870" s="6">
        <f ca="1">('TUSD BE'!$AM$58+'TUSD BF'!$AM$58+'TUSD CVA'!$AM$58)*1</f>
        <v>362.48776111536552</v>
      </c>
      <c r="AA870" s="6">
        <f>('TE BE'!$AB$42+'TE BF'!$AB$42+'TE CVA'!$AB$42)*1</f>
        <v>272.03825149820085</v>
      </c>
      <c r="AB870" s="6">
        <f>$K$870*$V$870</f>
        <v>0</v>
      </c>
      <c r="AC870" s="6">
        <f>$M$870*$W$870</f>
        <v>12034.207260000001</v>
      </c>
      <c r="AD870" s="6">
        <f>$O$870*$X$870</f>
        <v>12880.895399999999</v>
      </c>
      <c r="AE870" s="6">
        <f>$K$870*$Y$870</f>
        <v>0</v>
      </c>
      <c r="AF870" s="6">
        <f ca="1">$M$870*$Z$870</f>
        <v>16161.879317089686</v>
      </c>
      <c r="AG870" s="6">
        <f>$O$870*$AA$870</f>
        <v>12129.097481298782</v>
      </c>
    </row>
    <row r="871" spans="1:33" ht="11.25" customHeight="1" x14ac:dyDescent="0.25">
      <c r="A871" s="4" t="s">
        <v>21</v>
      </c>
      <c r="B871" s="4" t="s">
        <v>39</v>
      </c>
      <c r="C871" s="4" t="s">
        <v>23</v>
      </c>
      <c r="D871" s="4" t="s">
        <v>43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44409</v>
      </c>
      <c r="J871" s="6">
        <v>0</v>
      </c>
      <c r="K871" s="6">
        <v>0</v>
      </c>
      <c r="L871" s="6">
        <v>1803.2190000000001</v>
      </c>
      <c r="M871" s="6">
        <v>1803.2190000000001</v>
      </c>
      <c r="N871" s="6">
        <v>1803.2190000000001</v>
      </c>
      <c r="O871" s="6">
        <v>1803.2190000000001</v>
      </c>
      <c r="P871" s="6">
        <v>3401</v>
      </c>
      <c r="Q871" s="4" t="s">
        <v>26</v>
      </c>
      <c r="R871" s="4">
        <v>0</v>
      </c>
      <c r="S871" s="6">
        <v>0</v>
      </c>
      <c r="T871" s="6">
        <v>58</v>
      </c>
      <c r="U871" s="6">
        <v>99</v>
      </c>
      <c r="V871" s="6">
        <f>IF(ISERROR(VLOOKUP($S$871,'TAR FIN'!$A$1:$O$103,15,0)),0,VLOOKUP($S$871,'TAR FIN'!$A$1:$O$103,15,0))</f>
        <v>0</v>
      </c>
      <c r="W871" s="6">
        <f>IF(ISERROR(VLOOKUP($T$871,'TAR FIN'!$A$1:$O$103,15,0)),0,VLOOKUP($T$871,'TAR FIN'!$A$1:$O$103,15,0))</f>
        <v>269.91000000000003</v>
      </c>
      <c r="X871" s="6">
        <f>IF(ISERROR(VLOOKUP($U$871,'TAR FIN'!$A$1:$O$103,15,0)),0,VLOOKUP($U$871,'TAR FIN'!$A$1:$O$103,15,0))</f>
        <v>288.89999999999998</v>
      </c>
      <c r="Y871" s="6"/>
      <c r="Z871" s="6">
        <f ca="1">('TUSD BE'!$AM$58+'TUSD BF'!$AM$58+'TUSD CVA'!$AM$58)*1</f>
        <v>362.48776111536552</v>
      </c>
      <c r="AA871" s="6">
        <f>('TE BE'!$AB$42+'TE BF'!$AB$42+'TE CVA'!$AB$42)*1</f>
        <v>272.03825149820085</v>
      </c>
      <c r="AB871" s="6">
        <f>$K$871*$V$871</f>
        <v>0</v>
      </c>
      <c r="AC871" s="6">
        <f>$M$871*$W$871</f>
        <v>486706.84029000008</v>
      </c>
      <c r="AD871" s="6">
        <f>$O$871*$X$871</f>
        <v>520949.96909999999</v>
      </c>
      <c r="AE871" s="6">
        <f>$K$871*$Y$871</f>
        <v>0</v>
      </c>
      <c r="AF871" s="6">
        <f ca="1">$M$871*$Z$871</f>
        <v>653644.81811068836</v>
      </c>
      <c r="AG871" s="6">
        <f>$O$871*$AA$871</f>
        <v>490544.54382833425</v>
      </c>
    </row>
    <row r="872" spans="1:33" ht="11.25" customHeight="1" x14ac:dyDescent="0.25">
      <c r="A872" s="4" t="s">
        <v>27</v>
      </c>
      <c r="B872" s="4" t="s">
        <v>39</v>
      </c>
      <c r="C872" s="4" t="s">
        <v>23</v>
      </c>
      <c r="D872" s="4" t="s">
        <v>43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44409</v>
      </c>
      <c r="J872" s="6">
        <v>0</v>
      </c>
      <c r="K872" s="6">
        <v>0</v>
      </c>
      <c r="L872" s="6">
        <v>-0.48099999999999998</v>
      </c>
      <c r="M872" s="6">
        <v>-0.48099999999999998</v>
      </c>
      <c r="N872" s="6">
        <v>-0.48099999999999998</v>
      </c>
      <c r="O872" s="6">
        <v>-0.48099999999999998</v>
      </c>
      <c r="P872" s="6">
        <v>0</v>
      </c>
      <c r="Q872" s="4" t="s">
        <v>26</v>
      </c>
      <c r="R872" s="4">
        <v>0</v>
      </c>
      <c r="S872" s="6">
        <v>0</v>
      </c>
      <c r="T872" s="6">
        <v>58</v>
      </c>
      <c r="U872" s="6">
        <v>99</v>
      </c>
      <c r="V872" s="6">
        <f>IF(ISERROR(VLOOKUP($S$872,'TAR FIN'!$A$1:$O$103,15,0)),0,VLOOKUP($S$872,'TAR FIN'!$A$1:$O$103,15,0))</f>
        <v>0</v>
      </c>
      <c r="W872" s="6">
        <f>IF(ISERROR(VLOOKUP($T$872,'TAR FIN'!$A$1:$O$103,15,0)),0,VLOOKUP($T$872,'TAR FIN'!$A$1:$O$103,15,0))</f>
        <v>269.91000000000003</v>
      </c>
      <c r="X872" s="6">
        <f>IF(ISERROR(VLOOKUP($U$872,'TAR FIN'!$A$1:$O$103,15,0)),0,VLOOKUP($U$872,'TAR FIN'!$A$1:$O$103,15,0))</f>
        <v>288.89999999999998</v>
      </c>
      <c r="Y872" s="6"/>
      <c r="Z872" s="6">
        <f ca="1">('TUSD BE'!$AM$58+'TUSD BF'!$AM$58+'TUSD CVA'!$AM$58)*1</f>
        <v>362.48776111536552</v>
      </c>
      <c r="AA872" s="6">
        <f>('TE BE'!$AB$42+'TE BF'!$AB$42+'TE CVA'!$AB$42)*1</f>
        <v>272.03825149820085</v>
      </c>
      <c r="AB872" s="6">
        <f>$K$872*$V$872</f>
        <v>0</v>
      </c>
      <c r="AC872" s="6">
        <f>$M$872*$W$872</f>
        <v>-129.82671000000002</v>
      </c>
      <c r="AD872" s="6">
        <f>$O$872*$X$872</f>
        <v>-138.96089999999998</v>
      </c>
      <c r="AE872" s="6">
        <f>$K$872*$Y$872</f>
        <v>0</v>
      </c>
      <c r="AF872" s="6">
        <f ca="1">$M$872*$Z$872</f>
        <v>-174.3566130964908</v>
      </c>
      <c r="AG872" s="6">
        <f>$O$872*$AA$872</f>
        <v>-130.85039897063461</v>
      </c>
    </row>
    <row r="873" spans="1:33" ht="11.25" customHeight="1" x14ac:dyDescent="0.25">
      <c r="A873" s="4" t="s">
        <v>28</v>
      </c>
      <c r="B873" s="4" t="s">
        <v>39</v>
      </c>
      <c r="C873" s="4" t="s">
        <v>23</v>
      </c>
      <c r="D873" s="4" t="s">
        <v>43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44409</v>
      </c>
      <c r="J873" s="6">
        <v>0</v>
      </c>
      <c r="K873" s="6">
        <v>0</v>
      </c>
      <c r="L873" s="6">
        <v>49.484000000000002</v>
      </c>
      <c r="M873" s="6">
        <v>49.484000000000002</v>
      </c>
      <c r="N873" s="6">
        <v>49.484000000000002</v>
      </c>
      <c r="O873" s="6">
        <v>49.484000000000002</v>
      </c>
      <c r="P873" s="6">
        <v>34</v>
      </c>
      <c r="Q873" s="4" t="s">
        <v>26</v>
      </c>
      <c r="R873" s="4">
        <v>0</v>
      </c>
      <c r="S873" s="6">
        <v>0</v>
      </c>
      <c r="T873" s="6">
        <v>58</v>
      </c>
      <c r="U873" s="6">
        <v>99</v>
      </c>
      <c r="V873" s="6">
        <f>IF(ISERROR(VLOOKUP($S$873,'TAR FIN'!$A$1:$O$103,15,0)),0,VLOOKUP($S$873,'TAR FIN'!$A$1:$O$103,15,0))</f>
        <v>0</v>
      </c>
      <c r="W873" s="6">
        <f>IF(ISERROR(VLOOKUP($T$873,'TAR FIN'!$A$1:$O$103,15,0)),0,VLOOKUP($T$873,'TAR FIN'!$A$1:$O$103,15,0))</f>
        <v>269.91000000000003</v>
      </c>
      <c r="X873" s="6">
        <f>IF(ISERROR(VLOOKUP($U$873,'TAR FIN'!$A$1:$O$103,15,0)),0,VLOOKUP($U$873,'TAR FIN'!$A$1:$O$103,15,0))</f>
        <v>288.89999999999998</v>
      </c>
      <c r="Y873" s="6"/>
      <c r="Z873" s="6">
        <f ca="1">('TUSD BE'!$AM$58+'TUSD BF'!$AM$58+'TUSD CVA'!$AM$58)*1</f>
        <v>362.48776111536552</v>
      </c>
      <c r="AA873" s="6">
        <f>('TE BE'!$AB$42+'TE BF'!$AB$42+'TE CVA'!$AB$42)*1</f>
        <v>272.03825149820085</v>
      </c>
      <c r="AB873" s="6">
        <f>$K$873*$V$873</f>
        <v>0</v>
      </c>
      <c r="AC873" s="6">
        <f>$M$873*$W$873</f>
        <v>13356.226440000002</v>
      </c>
      <c r="AD873" s="6">
        <f>$O$873*$X$873</f>
        <v>14295.927599999999</v>
      </c>
      <c r="AE873" s="6">
        <f>$K$873*$Y$873</f>
        <v>0</v>
      </c>
      <c r="AF873" s="6">
        <f ca="1">$M$873*$Z$873</f>
        <v>17937.344371032748</v>
      </c>
      <c r="AG873" s="6">
        <f>$O$873*$AA$873</f>
        <v>13461.540837136972</v>
      </c>
    </row>
    <row r="874" spans="1:33" ht="11.25" customHeight="1" x14ac:dyDescent="0.25">
      <c r="A874" s="4" t="s">
        <v>21</v>
      </c>
      <c r="B874" s="4" t="s">
        <v>39</v>
      </c>
      <c r="C874" s="4" t="s">
        <v>23</v>
      </c>
      <c r="D874" s="4" t="s">
        <v>43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44440</v>
      </c>
      <c r="J874" s="6">
        <v>0</v>
      </c>
      <c r="K874" s="6">
        <v>0</v>
      </c>
      <c r="L874" s="6">
        <v>1785.528</v>
      </c>
      <c r="M874" s="6">
        <v>1785.528</v>
      </c>
      <c r="N874" s="6">
        <v>1785.528</v>
      </c>
      <c r="O874" s="6">
        <v>1785.528</v>
      </c>
      <c r="P874" s="6">
        <v>3403</v>
      </c>
      <c r="Q874" s="4" t="s">
        <v>26</v>
      </c>
      <c r="R874" s="4">
        <v>0</v>
      </c>
      <c r="S874" s="6">
        <v>0</v>
      </c>
      <c r="T874" s="6">
        <v>58</v>
      </c>
      <c r="U874" s="6">
        <v>99</v>
      </c>
      <c r="V874" s="6">
        <f>IF(ISERROR(VLOOKUP($S$874,'TAR FIN'!$A$1:$O$103,15,0)),0,VLOOKUP($S$874,'TAR FIN'!$A$1:$O$103,15,0))</f>
        <v>0</v>
      </c>
      <c r="W874" s="6">
        <f>IF(ISERROR(VLOOKUP($T$874,'TAR FIN'!$A$1:$O$103,15,0)),0,VLOOKUP($T$874,'TAR FIN'!$A$1:$O$103,15,0))</f>
        <v>269.91000000000003</v>
      </c>
      <c r="X874" s="6">
        <f>IF(ISERROR(VLOOKUP($U$874,'TAR FIN'!$A$1:$O$103,15,0)),0,VLOOKUP($U$874,'TAR FIN'!$A$1:$O$103,15,0))</f>
        <v>288.89999999999998</v>
      </c>
      <c r="Y874" s="6"/>
      <c r="Z874" s="6">
        <f ca="1">('TUSD BE'!$AM$58+'TUSD BF'!$AM$58+'TUSD CVA'!$AM$58)*1</f>
        <v>362.48776111536552</v>
      </c>
      <c r="AA874" s="6">
        <f>('TE BE'!$AB$42+'TE BF'!$AB$42+'TE CVA'!$AB$42)*1</f>
        <v>272.03825149820085</v>
      </c>
      <c r="AB874" s="6">
        <f>$K$874*$V$874</f>
        <v>0</v>
      </c>
      <c r="AC874" s="6">
        <f>$M$874*$W$874</f>
        <v>481931.86248000007</v>
      </c>
      <c r="AD874" s="6">
        <f>$O$874*$X$874</f>
        <v>515839.03919999994</v>
      </c>
      <c r="AE874" s="6">
        <f>$K$874*$Y$874</f>
        <v>0</v>
      </c>
      <c r="AF874" s="6">
        <f ca="1">$M$874*$Z$874</f>
        <v>647232.04712879634</v>
      </c>
      <c r="AG874" s="6">
        <f>$O$874*$AA$874</f>
        <v>485731.9151210796</v>
      </c>
    </row>
    <row r="875" spans="1:33" ht="11.25" customHeight="1" x14ac:dyDescent="0.25">
      <c r="A875" s="4" t="s">
        <v>27</v>
      </c>
      <c r="B875" s="4" t="s">
        <v>39</v>
      </c>
      <c r="C875" s="4" t="s">
        <v>23</v>
      </c>
      <c r="D875" s="4" t="s">
        <v>43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44440</v>
      </c>
      <c r="J875" s="6">
        <v>0</v>
      </c>
      <c r="K875" s="6">
        <v>0</v>
      </c>
      <c r="L875" s="6">
        <v>1.4630000000000001</v>
      </c>
      <c r="M875" s="6">
        <v>1.4630000000000001</v>
      </c>
      <c r="N875" s="6">
        <v>1.4630000000000001</v>
      </c>
      <c r="O875" s="6">
        <v>1.4630000000000001</v>
      </c>
      <c r="P875" s="6">
        <v>0</v>
      </c>
      <c r="Q875" s="4" t="s">
        <v>26</v>
      </c>
      <c r="R875" s="4">
        <v>0</v>
      </c>
      <c r="S875" s="6">
        <v>0</v>
      </c>
      <c r="T875" s="6">
        <v>58</v>
      </c>
      <c r="U875" s="6">
        <v>99</v>
      </c>
      <c r="V875" s="6">
        <f>IF(ISERROR(VLOOKUP($S$875,'TAR FIN'!$A$1:$O$103,15,0)),0,VLOOKUP($S$875,'TAR FIN'!$A$1:$O$103,15,0))</f>
        <v>0</v>
      </c>
      <c r="W875" s="6">
        <f>IF(ISERROR(VLOOKUP($T$875,'TAR FIN'!$A$1:$O$103,15,0)),0,VLOOKUP($T$875,'TAR FIN'!$A$1:$O$103,15,0))</f>
        <v>269.91000000000003</v>
      </c>
      <c r="X875" s="6">
        <f>IF(ISERROR(VLOOKUP($U$875,'TAR FIN'!$A$1:$O$103,15,0)),0,VLOOKUP($U$875,'TAR FIN'!$A$1:$O$103,15,0))</f>
        <v>288.89999999999998</v>
      </c>
      <c r="Y875" s="6"/>
      <c r="Z875" s="6">
        <f ca="1">('TUSD BE'!$AM$58+'TUSD BF'!$AM$58+'TUSD CVA'!$AM$58)*1</f>
        <v>362.48776111536552</v>
      </c>
      <c r="AA875" s="6">
        <f>('TE BE'!$AB$42+'TE BF'!$AB$42+'TE CVA'!$AB$42)*1</f>
        <v>272.03825149820085</v>
      </c>
      <c r="AB875" s="6">
        <f>$K$875*$V$875</f>
        <v>0</v>
      </c>
      <c r="AC875" s="6">
        <f>$M$875*$W$875</f>
        <v>394.87833000000006</v>
      </c>
      <c r="AD875" s="6">
        <f>$O$875*$X$875</f>
        <v>422.66069999999996</v>
      </c>
      <c r="AE875" s="6">
        <f>$K$875*$Y$875</f>
        <v>0</v>
      </c>
      <c r="AF875" s="6">
        <f ca="1">$M$875*$Z$875</f>
        <v>530.31959451177977</v>
      </c>
      <c r="AG875" s="6">
        <f>$O$875*$AA$875</f>
        <v>397.99196194186788</v>
      </c>
    </row>
    <row r="876" spans="1:33" ht="11.25" customHeight="1" x14ac:dyDescent="0.25">
      <c r="A876" s="4" t="s">
        <v>28</v>
      </c>
      <c r="B876" s="4" t="s">
        <v>39</v>
      </c>
      <c r="C876" s="4" t="s">
        <v>23</v>
      </c>
      <c r="D876" s="4" t="s">
        <v>43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44440</v>
      </c>
      <c r="J876" s="6">
        <v>0</v>
      </c>
      <c r="K876" s="6">
        <v>0</v>
      </c>
      <c r="L876" s="6">
        <v>36.250999999999998</v>
      </c>
      <c r="M876" s="6">
        <v>36.250999999999998</v>
      </c>
      <c r="N876" s="6">
        <v>36.250999999999998</v>
      </c>
      <c r="O876" s="6">
        <v>36.250999999999998</v>
      </c>
      <c r="P876" s="6">
        <v>39</v>
      </c>
      <c r="Q876" s="4" t="s">
        <v>26</v>
      </c>
      <c r="R876" s="4">
        <v>0</v>
      </c>
      <c r="S876" s="6">
        <v>0</v>
      </c>
      <c r="T876" s="6">
        <v>58</v>
      </c>
      <c r="U876" s="6">
        <v>99</v>
      </c>
      <c r="V876" s="6">
        <f>IF(ISERROR(VLOOKUP($S$876,'TAR FIN'!$A$1:$O$103,15,0)),0,VLOOKUP($S$876,'TAR FIN'!$A$1:$O$103,15,0))</f>
        <v>0</v>
      </c>
      <c r="W876" s="6">
        <f>IF(ISERROR(VLOOKUP($T$876,'TAR FIN'!$A$1:$O$103,15,0)),0,VLOOKUP($T$876,'TAR FIN'!$A$1:$O$103,15,0))</f>
        <v>269.91000000000003</v>
      </c>
      <c r="X876" s="6">
        <f>IF(ISERROR(VLOOKUP($U$876,'TAR FIN'!$A$1:$O$103,15,0)),0,VLOOKUP($U$876,'TAR FIN'!$A$1:$O$103,15,0))</f>
        <v>288.89999999999998</v>
      </c>
      <c r="Y876" s="6"/>
      <c r="Z876" s="6">
        <f ca="1">('TUSD BE'!$AM$58+'TUSD BF'!$AM$58+'TUSD CVA'!$AM$58)*1</f>
        <v>362.48776111536552</v>
      </c>
      <c r="AA876" s="6">
        <f>('TE BE'!$AB$42+'TE BF'!$AB$42+'TE CVA'!$AB$42)*1</f>
        <v>272.03825149820085</v>
      </c>
      <c r="AB876" s="6">
        <f>$K$876*$V$876</f>
        <v>0</v>
      </c>
      <c r="AC876" s="6">
        <f>$M$876*$W$876</f>
        <v>9784.5074100000002</v>
      </c>
      <c r="AD876" s="6">
        <f>$O$876*$X$876</f>
        <v>10472.913899999998</v>
      </c>
      <c r="AE876" s="6">
        <f>$K$876*$Y$876</f>
        <v>0</v>
      </c>
      <c r="AF876" s="6">
        <f ca="1">$M$876*$Z$876</f>
        <v>13140.543828193115</v>
      </c>
      <c r="AG876" s="6">
        <f>$O$876*$AA$876</f>
        <v>9861.6586550612792</v>
      </c>
    </row>
    <row r="877" spans="1:33" ht="11.25" customHeight="1" x14ac:dyDescent="0.25">
      <c r="A877" s="4" t="s">
        <v>21</v>
      </c>
      <c r="B877" s="4" t="s">
        <v>39</v>
      </c>
      <c r="C877" s="4" t="s">
        <v>23</v>
      </c>
      <c r="D877" s="4" t="s">
        <v>43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44470</v>
      </c>
      <c r="J877" s="6">
        <v>0</v>
      </c>
      <c r="K877" s="6">
        <v>0</v>
      </c>
      <c r="L877" s="6">
        <v>1825.8389999999999</v>
      </c>
      <c r="M877" s="6">
        <v>1825.8389999999999</v>
      </c>
      <c r="N877" s="6">
        <v>1825.8389999999999</v>
      </c>
      <c r="O877" s="6">
        <v>1825.8389999999999</v>
      </c>
      <c r="P877" s="6">
        <v>3466</v>
      </c>
      <c r="Q877" s="4" t="s">
        <v>26</v>
      </c>
      <c r="R877" s="4">
        <v>0</v>
      </c>
      <c r="S877" s="6">
        <v>0</v>
      </c>
      <c r="T877" s="6">
        <v>58</v>
      </c>
      <c r="U877" s="6">
        <v>99</v>
      </c>
      <c r="V877" s="6">
        <f>IF(ISERROR(VLOOKUP($S$877,'TAR FIN'!$A$1:$O$103,15,0)),0,VLOOKUP($S$877,'TAR FIN'!$A$1:$O$103,15,0))</f>
        <v>0</v>
      </c>
      <c r="W877" s="6">
        <f>IF(ISERROR(VLOOKUP($T$877,'TAR FIN'!$A$1:$O$103,15,0)),0,VLOOKUP($T$877,'TAR FIN'!$A$1:$O$103,15,0))</f>
        <v>269.91000000000003</v>
      </c>
      <c r="X877" s="6">
        <f>IF(ISERROR(VLOOKUP($U$877,'TAR FIN'!$A$1:$O$103,15,0)),0,VLOOKUP($U$877,'TAR FIN'!$A$1:$O$103,15,0))</f>
        <v>288.89999999999998</v>
      </c>
      <c r="Y877" s="6"/>
      <c r="Z877" s="6">
        <f ca="1">('TUSD BE'!$AM$58+'TUSD BF'!$AM$58+'TUSD CVA'!$AM$58)*1</f>
        <v>362.48776111536552</v>
      </c>
      <c r="AA877" s="6">
        <f>('TE BE'!$AB$42+'TE BF'!$AB$42+'TE CVA'!$AB$42)*1</f>
        <v>272.03825149820085</v>
      </c>
      <c r="AB877" s="6">
        <f>$K$877*$V$877</f>
        <v>0</v>
      </c>
      <c r="AC877" s="6">
        <f>$M$877*$W$877</f>
        <v>492812.20449000003</v>
      </c>
      <c r="AD877" s="6">
        <f>$O$877*$X$877</f>
        <v>527484.88709999993</v>
      </c>
      <c r="AE877" s="6">
        <f>$K$877*$Y$877</f>
        <v>0</v>
      </c>
      <c r="AF877" s="6">
        <f ca="1">$M$877*$Z$877</f>
        <v>661844.29126711783</v>
      </c>
      <c r="AG877" s="6">
        <f>$O$877*$AA$877</f>
        <v>496698.04907722352</v>
      </c>
    </row>
    <row r="878" spans="1:33" ht="11.25" customHeight="1" x14ac:dyDescent="0.25">
      <c r="A878" s="4" t="s">
        <v>27</v>
      </c>
      <c r="B878" s="4" t="s">
        <v>39</v>
      </c>
      <c r="C878" s="4" t="s">
        <v>23</v>
      </c>
      <c r="D878" s="4" t="s">
        <v>43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44470</v>
      </c>
      <c r="J878" s="6">
        <v>0</v>
      </c>
      <c r="K878" s="6">
        <v>0</v>
      </c>
      <c r="L878" s="6">
        <v>1.978</v>
      </c>
      <c r="M878" s="6">
        <v>1.978</v>
      </c>
      <c r="N878" s="6">
        <v>1.978</v>
      </c>
      <c r="O878" s="6">
        <v>1.978</v>
      </c>
      <c r="P878" s="6">
        <v>0</v>
      </c>
      <c r="Q878" s="4" t="s">
        <v>26</v>
      </c>
      <c r="R878" s="4">
        <v>0</v>
      </c>
      <c r="S878" s="6">
        <v>0</v>
      </c>
      <c r="T878" s="6">
        <v>58</v>
      </c>
      <c r="U878" s="6">
        <v>99</v>
      </c>
      <c r="V878" s="6">
        <f>IF(ISERROR(VLOOKUP($S$878,'TAR FIN'!$A$1:$O$103,15,0)),0,VLOOKUP($S$878,'TAR FIN'!$A$1:$O$103,15,0))</f>
        <v>0</v>
      </c>
      <c r="W878" s="6">
        <f>IF(ISERROR(VLOOKUP($T$878,'TAR FIN'!$A$1:$O$103,15,0)),0,VLOOKUP($T$878,'TAR FIN'!$A$1:$O$103,15,0))</f>
        <v>269.91000000000003</v>
      </c>
      <c r="X878" s="6">
        <f>IF(ISERROR(VLOOKUP($U$878,'TAR FIN'!$A$1:$O$103,15,0)),0,VLOOKUP($U$878,'TAR FIN'!$A$1:$O$103,15,0))</f>
        <v>288.89999999999998</v>
      </c>
      <c r="Y878" s="6"/>
      <c r="Z878" s="6">
        <f ca="1">('TUSD BE'!$AM$58+'TUSD BF'!$AM$58+'TUSD CVA'!$AM$58)*1</f>
        <v>362.48776111536552</v>
      </c>
      <c r="AA878" s="6">
        <f>('TE BE'!$AB$42+'TE BF'!$AB$42+'TE CVA'!$AB$42)*1</f>
        <v>272.03825149820085</v>
      </c>
      <c r="AB878" s="6">
        <f>$K$878*$V$878</f>
        <v>0</v>
      </c>
      <c r="AC878" s="6">
        <f>$M$878*$W$878</f>
        <v>533.88198</v>
      </c>
      <c r="AD878" s="6">
        <f>$O$878*$X$878</f>
        <v>571.44419999999991</v>
      </c>
      <c r="AE878" s="6">
        <f>$K$878*$Y$878</f>
        <v>0</v>
      </c>
      <c r="AF878" s="6">
        <f ca="1">$M$878*$Z$878</f>
        <v>717.00079148619295</v>
      </c>
      <c r="AG878" s="6">
        <f>$O$878*$AA$878</f>
        <v>538.09166146344126</v>
      </c>
    </row>
    <row r="879" spans="1:33" ht="11.25" customHeight="1" x14ac:dyDescent="0.25">
      <c r="A879" s="4" t="s">
        <v>28</v>
      </c>
      <c r="B879" s="4" t="s">
        <v>39</v>
      </c>
      <c r="C879" s="4" t="s">
        <v>23</v>
      </c>
      <c r="D879" s="4" t="s">
        <v>43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44470</v>
      </c>
      <c r="J879" s="6">
        <v>0</v>
      </c>
      <c r="K879" s="6">
        <v>0</v>
      </c>
      <c r="L879" s="6">
        <v>45.094000000000001</v>
      </c>
      <c r="M879" s="6">
        <v>45.094000000000001</v>
      </c>
      <c r="N879" s="6">
        <v>45.094000000000001</v>
      </c>
      <c r="O879" s="6">
        <v>45.094000000000001</v>
      </c>
      <c r="P879" s="6">
        <v>41</v>
      </c>
      <c r="Q879" s="4" t="s">
        <v>26</v>
      </c>
      <c r="R879" s="4">
        <v>0</v>
      </c>
      <c r="S879" s="6">
        <v>0</v>
      </c>
      <c r="T879" s="6">
        <v>58</v>
      </c>
      <c r="U879" s="6">
        <v>99</v>
      </c>
      <c r="V879" s="6">
        <f>IF(ISERROR(VLOOKUP($S$879,'TAR FIN'!$A$1:$O$103,15,0)),0,VLOOKUP($S$879,'TAR FIN'!$A$1:$O$103,15,0))</f>
        <v>0</v>
      </c>
      <c r="W879" s="6">
        <f>IF(ISERROR(VLOOKUP($T$879,'TAR FIN'!$A$1:$O$103,15,0)),0,VLOOKUP($T$879,'TAR FIN'!$A$1:$O$103,15,0))</f>
        <v>269.91000000000003</v>
      </c>
      <c r="X879" s="6">
        <f>IF(ISERROR(VLOOKUP($U$879,'TAR FIN'!$A$1:$O$103,15,0)),0,VLOOKUP($U$879,'TAR FIN'!$A$1:$O$103,15,0))</f>
        <v>288.89999999999998</v>
      </c>
      <c r="Y879" s="6"/>
      <c r="Z879" s="6">
        <f ca="1">('TUSD BE'!$AM$58+'TUSD BF'!$AM$58+'TUSD CVA'!$AM$58)*1</f>
        <v>362.48776111536552</v>
      </c>
      <c r="AA879" s="6">
        <f>('TE BE'!$AB$42+'TE BF'!$AB$42+'TE CVA'!$AB$42)*1</f>
        <v>272.03825149820085</v>
      </c>
      <c r="AB879" s="6">
        <f>$K$879*$V$879</f>
        <v>0</v>
      </c>
      <c r="AC879" s="6">
        <f>$M$879*$W$879</f>
        <v>12171.321540000001</v>
      </c>
      <c r="AD879" s="6">
        <f>$O$879*$X$879</f>
        <v>13027.656599999998</v>
      </c>
      <c r="AE879" s="6">
        <f>$K$879*$Y$879</f>
        <v>0</v>
      </c>
      <c r="AF879" s="6">
        <f ca="1">$M$879*$Z$879</f>
        <v>16346.023099736292</v>
      </c>
      <c r="AG879" s="6">
        <f>$O$879*$AA$879</f>
        <v>12267.29291305987</v>
      </c>
    </row>
    <row r="880" spans="1:33" ht="11.25" customHeight="1" x14ac:dyDescent="0.25">
      <c r="A880" s="4" t="s">
        <v>21</v>
      </c>
      <c r="B880" s="4" t="s">
        <v>39</v>
      </c>
      <c r="C880" s="4" t="s">
        <v>23</v>
      </c>
      <c r="D880" s="4" t="s">
        <v>43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44501</v>
      </c>
      <c r="J880" s="6">
        <v>0</v>
      </c>
      <c r="K880" s="6">
        <v>0</v>
      </c>
      <c r="L880" s="6">
        <v>1845.65</v>
      </c>
      <c r="M880" s="6">
        <v>1845.65</v>
      </c>
      <c r="N880" s="6">
        <v>1845.65</v>
      </c>
      <c r="O880" s="6">
        <v>1845.65</v>
      </c>
      <c r="P880" s="6">
        <v>3478</v>
      </c>
      <c r="Q880" s="4" t="s">
        <v>26</v>
      </c>
      <c r="R880" s="4">
        <v>0</v>
      </c>
      <c r="S880" s="6">
        <v>0</v>
      </c>
      <c r="T880" s="6">
        <v>58</v>
      </c>
      <c r="U880" s="6">
        <v>99</v>
      </c>
      <c r="V880" s="6">
        <f>IF(ISERROR(VLOOKUP($S$880,'TAR FIN'!$A$1:$O$103,15,0)),0,VLOOKUP($S$880,'TAR FIN'!$A$1:$O$103,15,0))</f>
        <v>0</v>
      </c>
      <c r="W880" s="6">
        <f>IF(ISERROR(VLOOKUP($T$880,'TAR FIN'!$A$1:$O$103,15,0)),0,VLOOKUP($T$880,'TAR FIN'!$A$1:$O$103,15,0))</f>
        <v>269.91000000000003</v>
      </c>
      <c r="X880" s="6">
        <f>IF(ISERROR(VLOOKUP($U$880,'TAR FIN'!$A$1:$O$103,15,0)),0,VLOOKUP($U$880,'TAR FIN'!$A$1:$O$103,15,0))</f>
        <v>288.89999999999998</v>
      </c>
      <c r="Y880" s="6"/>
      <c r="Z880" s="6">
        <f ca="1">('TUSD BE'!$AM$58+'TUSD BF'!$AM$58+'TUSD CVA'!$AM$58)*1</f>
        <v>362.48776111536552</v>
      </c>
      <c r="AA880" s="6">
        <f>('TE BE'!$AB$42+'TE BF'!$AB$42+'TE CVA'!$AB$42)*1</f>
        <v>272.03825149820085</v>
      </c>
      <c r="AB880" s="6">
        <f>$K$880*$V$880</f>
        <v>0</v>
      </c>
      <c r="AC880" s="6">
        <f>$M$880*$W$880</f>
        <v>498159.39150000009</v>
      </c>
      <c r="AD880" s="6">
        <f>$O$880*$X$880</f>
        <v>533208.28500000003</v>
      </c>
      <c r="AE880" s="6">
        <f>$K$880*$Y$880</f>
        <v>0</v>
      </c>
      <c r="AF880" s="6">
        <f ca="1">$M$880*$Z$880</f>
        <v>669025.53630257444</v>
      </c>
      <c r="AG880" s="6">
        <f>$O$880*$AA$880</f>
        <v>502087.3988776544</v>
      </c>
    </row>
    <row r="881" spans="1:33" ht="11.25" customHeight="1" x14ac:dyDescent="0.25">
      <c r="A881" s="4" t="s">
        <v>27</v>
      </c>
      <c r="B881" s="4" t="s">
        <v>39</v>
      </c>
      <c r="C881" s="4" t="s">
        <v>23</v>
      </c>
      <c r="D881" s="4" t="s">
        <v>43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44501</v>
      </c>
      <c r="J881" s="6">
        <v>0</v>
      </c>
      <c r="K881" s="6">
        <v>0</v>
      </c>
      <c r="L881" s="6">
        <v>-0.35499999999999998</v>
      </c>
      <c r="M881" s="6">
        <v>-0.35499999999999998</v>
      </c>
      <c r="N881" s="6">
        <v>-0.35499999999999998</v>
      </c>
      <c r="O881" s="6">
        <v>-0.35499999999999998</v>
      </c>
      <c r="P881" s="6">
        <v>0</v>
      </c>
      <c r="Q881" s="4" t="s">
        <v>26</v>
      </c>
      <c r="R881" s="4">
        <v>0</v>
      </c>
      <c r="S881" s="6">
        <v>0</v>
      </c>
      <c r="T881" s="6">
        <v>58</v>
      </c>
      <c r="U881" s="6">
        <v>99</v>
      </c>
      <c r="V881" s="6">
        <f>IF(ISERROR(VLOOKUP($S$881,'TAR FIN'!$A$1:$O$103,15,0)),0,VLOOKUP($S$881,'TAR FIN'!$A$1:$O$103,15,0))</f>
        <v>0</v>
      </c>
      <c r="W881" s="6">
        <f>IF(ISERROR(VLOOKUP($T$881,'TAR FIN'!$A$1:$O$103,15,0)),0,VLOOKUP($T$881,'TAR FIN'!$A$1:$O$103,15,0))</f>
        <v>269.91000000000003</v>
      </c>
      <c r="X881" s="6">
        <f>IF(ISERROR(VLOOKUP($U$881,'TAR FIN'!$A$1:$O$103,15,0)),0,VLOOKUP($U$881,'TAR FIN'!$A$1:$O$103,15,0))</f>
        <v>288.89999999999998</v>
      </c>
      <c r="Y881" s="6"/>
      <c r="Z881" s="6">
        <f ca="1">('TUSD BE'!$AM$58+'TUSD BF'!$AM$58+'TUSD CVA'!$AM$58)*1</f>
        <v>362.48776111536552</v>
      </c>
      <c r="AA881" s="6">
        <f>('TE BE'!$AB$42+'TE BF'!$AB$42+'TE CVA'!$AB$42)*1</f>
        <v>272.03825149820085</v>
      </c>
      <c r="AB881" s="6">
        <f>$K$881*$V$881</f>
        <v>0</v>
      </c>
      <c r="AC881" s="6">
        <f>$M$881*$W$881</f>
        <v>-95.818049999999999</v>
      </c>
      <c r="AD881" s="6">
        <f>$O$881*$X$881</f>
        <v>-102.55949999999999</v>
      </c>
      <c r="AE881" s="6">
        <f>$K$881*$Y$881</f>
        <v>0</v>
      </c>
      <c r="AF881" s="6">
        <f ca="1">$M$881*$Z$881</f>
        <v>-128.68315519595475</v>
      </c>
      <c r="AG881" s="6">
        <f>$O$881*$AA$881</f>
        <v>-96.573579281861299</v>
      </c>
    </row>
    <row r="882" spans="1:33" ht="11.25" customHeight="1" x14ac:dyDescent="0.25">
      <c r="A882" s="4" t="s">
        <v>28</v>
      </c>
      <c r="B882" s="4" t="s">
        <v>39</v>
      </c>
      <c r="C882" s="4" t="s">
        <v>23</v>
      </c>
      <c r="D882" s="4" t="s">
        <v>43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44501</v>
      </c>
      <c r="J882" s="6">
        <v>0</v>
      </c>
      <c r="K882" s="6">
        <v>0</v>
      </c>
      <c r="L882" s="6">
        <v>35.295999999999999</v>
      </c>
      <c r="M882" s="6">
        <v>35.295999999999999</v>
      </c>
      <c r="N882" s="6">
        <v>35.295999999999999</v>
      </c>
      <c r="O882" s="6">
        <v>35.295999999999999</v>
      </c>
      <c r="P882" s="6">
        <v>45</v>
      </c>
      <c r="Q882" s="4" t="s">
        <v>26</v>
      </c>
      <c r="R882" s="4">
        <v>0</v>
      </c>
      <c r="S882" s="6">
        <v>0</v>
      </c>
      <c r="T882" s="6">
        <v>58</v>
      </c>
      <c r="U882" s="6">
        <v>99</v>
      </c>
      <c r="V882" s="6">
        <f>IF(ISERROR(VLOOKUP($S$882,'TAR FIN'!$A$1:$O$103,15,0)),0,VLOOKUP($S$882,'TAR FIN'!$A$1:$O$103,15,0))</f>
        <v>0</v>
      </c>
      <c r="W882" s="6">
        <f>IF(ISERROR(VLOOKUP($T$882,'TAR FIN'!$A$1:$O$103,15,0)),0,VLOOKUP($T$882,'TAR FIN'!$A$1:$O$103,15,0))</f>
        <v>269.91000000000003</v>
      </c>
      <c r="X882" s="6">
        <f>IF(ISERROR(VLOOKUP($U$882,'TAR FIN'!$A$1:$O$103,15,0)),0,VLOOKUP($U$882,'TAR FIN'!$A$1:$O$103,15,0))</f>
        <v>288.89999999999998</v>
      </c>
      <c r="Y882" s="6"/>
      <c r="Z882" s="6">
        <f ca="1">('TUSD BE'!$AM$58+'TUSD BF'!$AM$58+'TUSD CVA'!$AM$58)*1</f>
        <v>362.48776111536552</v>
      </c>
      <c r="AA882" s="6">
        <f>('TE BE'!$AB$42+'TE BF'!$AB$42+'TE CVA'!$AB$42)*1</f>
        <v>272.03825149820085</v>
      </c>
      <c r="AB882" s="6">
        <f>$K$882*$V$882</f>
        <v>0</v>
      </c>
      <c r="AC882" s="6">
        <f>$M$882*$W$882</f>
        <v>9526.7433600000004</v>
      </c>
      <c r="AD882" s="6">
        <f>$O$882*$X$882</f>
        <v>10197.014399999998</v>
      </c>
      <c r="AE882" s="6">
        <f>$K$882*$Y$882</f>
        <v>0</v>
      </c>
      <c r="AF882" s="6">
        <f ca="1">$M$882*$Z$882</f>
        <v>12794.36801632794</v>
      </c>
      <c r="AG882" s="6">
        <f>$O$882*$AA$882</f>
        <v>9601.8621248804975</v>
      </c>
    </row>
    <row r="883" spans="1:33" ht="11.25" customHeight="1" x14ac:dyDescent="0.25">
      <c r="A883" s="4" t="s">
        <v>21</v>
      </c>
      <c r="B883" s="4" t="s">
        <v>39</v>
      </c>
      <c r="C883" s="4" t="s">
        <v>23</v>
      </c>
      <c r="D883" s="4" t="s">
        <v>43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44531</v>
      </c>
      <c r="J883" s="6">
        <v>0</v>
      </c>
      <c r="K883" s="6">
        <v>0</v>
      </c>
      <c r="L883" s="6">
        <v>1962.22</v>
      </c>
      <c r="M883" s="6">
        <v>1962.22</v>
      </c>
      <c r="N883" s="6">
        <v>1962.22</v>
      </c>
      <c r="O883" s="6">
        <v>1962.22</v>
      </c>
      <c r="P883" s="6">
        <v>3468</v>
      </c>
      <c r="Q883" s="4" t="s">
        <v>26</v>
      </c>
      <c r="R883" s="4">
        <v>0</v>
      </c>
      <c r="S883" s="6">
        <v>0</v>
      </c>
      <c r="T883" s="6">
        <v>58</v>
      </c>
      <c r="U883" s="6">
        <v>99</v>
      </c>
      <c r="V883" s="6">
        <f>IF(ISERROR(VLOOKUP($S$883,'TAR FIN'!$A$1:$O$103,15,0)),0,VLOOKUP($S$883,'TAR FIN'!$A$1:$O$103,15,0))</f>
        <v>0</v>
      </c>
      <c r="W883" s="6">
        <f>IF(ISERROR(VLOOKUP($T$883,'TAR FIN'!$A$1:$O$103,15,0)),0,VLOOKUP($T$883,'TAR FIN'!$A$1:$O$103,15,0))</f>
        <v>269.91000000000003</v>
      </c>
      <c r="X883" s="6">
        <f>IF(ISERROR(VLOOKUP($U$883,'TAR FIN'!$A$1:$O$103,15,0)),0,VLOOKUP($U$883,'TAR FIN'!$A$1:$O$103,15,0))</f>
        <v>288.89999999999998</v>
      </c>
      <c r="Y883" s="6"/>
      <c r="Z883" s="6">
        <f ca="1">('TUSD BE'!$AM$58+'TUSD BF'!$AM$58+'TUSD CVA'!$AM$58)*1</f>
        <v>362.48776111536552</v>
      </c>
      <c r="AA883" s="6">
        <f>('TE BE'!$AB$42+'TE BF'!$AB$42+'TE CVA'!$AB$42)*1</f>
        <v>272.03825149820085</v>
      </c>
      <c r="AB883" s="6">
        <f>$K$883*$V$883</f>
        <v>0</v>
      </c>
      <c r="AC883" s="6">
        <f>$M$883*$W$883</f>
        <v>529622.80020000006</v>
      </c>
      <c r="AD883" s="6">
        <f>$O$883*$X$883</f>
        <v>566885.35800000001</v>
      </c>
      <c r="AE883" s="6">
        <f>$K$883*$Y$883</f>
        <v>0</v>
      </c>
      <c r="AF883" s="6">
        <f ca="1">$M$883*$Z$883</f>
        <v>711280.73461579252</v>
      </c>
      <c r="AG883" s="6">
        <f>$O$883*$AA$883</f>
        <v>533798.89785479964</v>
      </c>
    </row>
    <row r="884" spans="1:33" ht="11.25" customHeight="1" x14ac:dyDescent="0.25">
      <c r="A884" s="4" t="s">
        <v>27</v>
      </c>
      <c r="B884" s="4" t="s">
        <v>39</v>
      </c>
      <c r="C884" s="4" t="s">
        <v>23</v>
      </c>
      <c r="D884" s="4" t="s">
        <v>43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44531</v>
      </c>
      <c r="J884" s="6">
        <v>0</v>
      </c>
      <c r="K884" s="6">
        <v>0</v>
      </c>
      <c r="L884" s="6">
        <v>-2.1150000000000002</v>
      </c>
      <c r="M884" s="6">
        <v>-2.1150000000000002</v>
      </c>
      <c r="N884" s="6">
        <v>-2.1150000000000002</v>
      </c>
      <c r="O884" s="6">
        <v>-2.1150000000000002</v>
      </c>
      <c r="P884" s="6">
        <v>0</v>
      </c>
      <c r="Q884" s="4" t="s">
        <v>26</v>
      </c>
      <c r="R884" s="4">
        <v>0</v>
      </c>
      <c r="S884" s="6">
        <v>0</v>
      </c>
      <c r="T884" s="6">
        <v>58</v>
      </c>
      <c r="U884" s="6">
        <v>99</v>
      </c>
      <c r="V884" s="6">
        <f>IF(ISERROR(VLOOKUP($S$884,'TAR FIN'!$A$1:$O$103,15,0)),0,VLOOKUP($S$884,'TAR FIN'!$A$1:$O$103,15,0))</f>
        <v>0</v>
      </c>
      <c r="W884" s="6">
        <f>IF(ISERROR(VLOOKUP($T$884,'TAR FIN'!$A$1:$O$103,15,0)),0,VLOOKUP($T$884,'TAR FIN'!$A$1:$O$103,15,0))</f>
        <v>269.91000000000003</v>
      </c>
      <c r="X884" s="6">
        <f>IF(ISERROR(VLOOKUP($U$884,'TAR FIN'!$A$1:$O$103,15,0)),0,VLOOKUP($U$884,'TAR FIN'!$A$1:$O$103,15,0))</f>
        <v>288.89999999999998</v>
      </c>
      <c r="Y884" s="6"/>
      <c r="Z884" s="6">
        <f ca="1">('TUSD BE'!$AM$58+'TUSD BF'!$AM$58+'TUSD CVA'!$AM$58)*1</f>
        <v>362.48776111536552</v>
      </c>
      <c r="AA884" s="6">
        <f>('TE BE'!$AB$42+'TE BF'!$AB$42+'TE CVA'!$AB$42)*1</f>
        <v>272.03825149820085</v>
      </c>
      <c r="AB884" s="6">
        <f>$K$884*$V$884</f>
        <v>0</v>
      </c>
      <c r="AC884" s="6">
        <f>$M$884*$W$884</f>
        <v>-570.8596500000001</v>
      </c>
      <c r="AD884" s="6">
        <f>$O$884*$X$884</f>
        <v>-611.02350000000001</v>
      </c>
      <c r="AE884" s="6">
        <f>$K$884*$Y$884</f>
        <v>0</v>
      </c>
      <c r="AF884" s="6">
        <f ca="1">$M$884*$Z$884</f>
        <v>-766.6616147589981</v>
      </c>
      <c r="AG884" s="6">
        <f>$O$884*$AA$884</f>
        <v>-575.36090191869482</v>
      </c>
    </row>
    <row r="885" spans="1:33" ht="11.25" customHeight="1" x14ac:dyDescent="0.25">
      <c r="A885" s="4" t="s">
        <v>28</v>
      </c>
      <c r="B885" s="4" t="s">
        <v>39</v>
      </c>
      <c r="C885" s="4" t="s">
        <v>23</v>
      </c>
      <c r="D885" s="4" t="s">
        <v>43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44531</v>
      </c>
      <c r="J885" s="6">
        <v>0</v>
      </c>
      <c r="K885" s="6">
        <v>0</v>
      </c>
      <c r="L885" s="6">
        <v>30.349</v>
      </c>
      <c r="M885" s="6">
        <v>30.349</v>
      </c>
      <c r="N885" s="6">
        <v>30.349</v>
      </c>
      <c r="O885" s="6">
        <v>30.349</v>
      </c>
      <c r="P885" s="6">
        <v>46</v>
      </c>
      <c r="Q885" s="4" t="s">
        <v>26</v>
      </c>
      <c r="R885" s="4">
        <v>0</v>
      </c>
      <c r="S885" s="6">
        <v>0</v>
      </c>
      <c r="T885" s="6">
        <v>58</v>
      </c>
      <c r="U885" s="6">
        <v>99</v>
      </c>
      <c r="V885" s="6">
        <f>IF(ISERROR(VLOOKUP($S$885,'TAR FIN'!$A$1:$O$103,15,0)),0,VLOOKUP($S$885,'TAR FIN'!$A$1:$O$103,15,0))</f>
        <v>0</v>
      </c>
      <c r="W885" s="6">
        <f>IF(ISERROR(VLOOKUP($T$885,'TAR FIN'!$A$1:$O$103,15,0)),0,VLOOKUP($T$885,'TAR FIN'!$A$1:$O$103,15,0))</f>
        <v>269.91000000000003</v>
      </c>
      <c r="X885" s="6">
        <f>IF(ISERROR(VLOOKUP($U$885,'TAR FIN'!$A$1:$O$103,15,0)),0,VLOOKUP($U$885,'TAR FIN'!$A$1:$O$103,15,0))</f>
        <v>288.89999999999998</v>
      </c>
      <c r="Y885" s="6"/>
      <c r="Z885" s="6">
        <f ca="1">('TUSD BE'!$AM$58+'TUSD BF'!$AM$58+'TUSD CVA'!$AM$58)*1</f>
        <v>362.48776111536552</v>
      </c>
      <c r="AA885" s="6">
        <f>('TE BE'!$AB$42+'TE BF'!$AB$42+'TE CVA'!$AB$42)*1</f>
        <v>272.03825149820085</v>
      </c>
      <c r="AB885" s="6">
        <f>$K$885*$V$885</f>
        <v>0</v>
      </c>
      <c r="AC885" s="6">
        <f>$M$885*$W$885</f>
        <v>8191.4985900000011</v>
      </c>
      <c r="AD885" s="6">
        <f>$O$885*$X$885</f>
        <v>8767.8261000000002</v>
      </c>
      <c r="AE885" s="6">
        <f>$K$885*$Y$885</f>
        <v>0</v>
      </c>
      <c r="AF885" s="6">
        <f ca="1">$M$885*$Z$885</f>
        <v>11001.141062090228</v>
      </c>
      <c r="AG885" s="6">
        <f>$O$885*$AA$885</f>
        <v>8256.0888947188978</v>
      </c>
    </row>
    <row r="886" spans="1:33" ht="11.25" customHeight="1" x14ac:dyDescent="0.25">
      <c r="A886" s="4" t="s">
        <v>21</v>
      </c>
      <c r="B886" s="4" t="s">
        <v>39</v>
      </c>
      <c r="C886" s="4" t="s">
        <v>23</v>
      </c>
      <c r="D886" s="4" t="s">
        <v>43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44562</v>
      </c>
      <c r="J886" s="6">
        <v>0</v>
      </c>
      <c r="K886" s="6">
        <v>0</v>
      </c>
      <c r="L886" s="6">
        <v>1891.8610000000001</v>
      </c>
      <c r="M886" s="6">
        <v>1891.8610000000001</v>
      </c>
      <c r="N886" s="6">
        <v>1891.8610000000001</v>
      </c>
      <c r="O886" s="6">
        <v>1891.8610000000001</v>
      </c>
      <c r="P886" s="6">
        <v>3456</v>
      </c>
      <c r="Q886" s="4" t="s">
        <v>26</v>
      </c>
      <c r="R886" s="4">
        <v>0</v>
      </c>
      <c r="S886" s="6">
        <v>0</v>
      </c>
      <c r="T886" s="6">
        <v>58</v>
      </c>
      <c r="U886" s="6">
        <v>99</v>
      </c>
      <c r="V886" s="6">
        <f>IF(ISERROR(VLOOKUP($S$886,'TAR FIN'!$A$1:$O$103,15,0)),0,VLOOKUP($S$886,'TAR FIN'!$A$1:$O$103,15,0))</f>
        <v>0</v>
      </c>
      <c r="W886" s="6">
        <f>IF(ISERROR(VLOOKUP($T$886,'TAR FIN'!$A$1:$O$103,15,0)),0,VLOOKUP($T$886,'TAR FIN'!$A$1:$O$103,15,0))</f>
        <v>269.91000000000003</v>
      </c>
      <c r="X886" s="6">
        <f>IF(ISERROR(VLOOKUP($U$886,'TAR FIN'!$A$1:$O$103,15,0)),0,VLOOKUP($U$886,'TAR FIN'!$A$1:$O$103,15,0))</f>
        <v>288.89999999999998</v>
      </c>
      <c r="Y886" s="6"/>
      <c r="Z886" s="6">
        <f ca="1">('TUSD BE'!$AM$58+'TUSD BF'!$AM$58+'TUSD CVA'!$AM$58)*1</f>
        <v>362.48776111536552</v>
      </c>
      <c r="AA886" s="6">
        <f>('TE BE'!$AB$42+'TE BF'!$AB$42+'TE CVA'!$AB$42)*1</f>
        <v>272.03825149820085</v>
      </c>
      <c r="AB886" s="6">
        <f>$K$886*$V$886</f>
        <v>0</v>
      </c>
      <c r="AC886" s="6">
        <f>$M$886*$W$886</f>
        <v>510632.20251000009</v>
      </c>
      <c r="AD886" s="6">
        <f>$O$886*$X$886</f>
        <v>546558.64289999998</v>
      </c>
      <c r="AE886" s="6">
        <f>$K$886*$Y$886</f>
        <v>0</v>
      </c>
      <c r="AF886" s="6">
        <f ca="1">$M$886*$Z$886</f>
        <v>685776.4582314766</v>
      </c>
      <c r="AG886" s="6">
        <f>$O$886*$AA$886</f>
        <v>514658.55851763778</v>
      </c>
    </row>
    <row r="887" spans="1:33" ht="11.25" customHeight="1" x14ac:dyDescent="0.25">
      <c r="A887" s="4" t="s">
        <v>27</v>
      </c>
      <c r="B887" s="4" t="s">
        <v>39</v>
      </c>
      <c r="C887" s="4" t="s">
        <v>23</v>
      </c>
      <c r="D887" s="4" t="s">
        <v>43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44562</v>
      </c>
      <c r="J887" s="6">
        <v>0</v>
      </c>
      <c r="K887" s="6">
        <v>0</v>
      </c>
      <c r="L887" s="6">
        <v>-3.53</v>
      </c>
      <c r="M887" s="6">
        <v>-3.53</v>
      </c>
      <c r="N887" s="6">
        <v>-3.53</v>
      </c>
      <c r="O887" s="6">
        <v>-3.53</v>
      </c>
      <c r="P887" s="6">
        <v>0</v>
      </c>
      <c r="Q887" s="4" t="s">
        <v>26</v>
      </c>
      <c r="R887" s="4">
        <v>0</v>
      </c>
      <c r="S887" s="6">
        <v>0</v>
      </c>
      <c r="T887" s="6">
        <v>58</v>
      </c>
      <c r="U887" s="6">
        <v>99</v>
      </c>
      <c r="V887" s="6">
        <f>IF(ISERROR(VLOOKUP($S$887,'TAR FIN'!$A$1:$O$103,15,0)),0,VLOOKUP($S$887,'TAR FIN'!$A$1:$O$103,15,0))</f>
        <v>0</v>
      </c>
      <c r="W887" s="6">
        <f>IF(ISERROR(VLOOKUP($T$887,'TAR FIN'!$A$1:$O$103,15,0)),0,VLOOKUP($T$887,'TAR FIN'!$A$1:$O$103,15,0))</f>
        <v>269.91000000000003</v>
      </c>
      <c r="X887" s="6">
        <f>IF(ISERROR(VLOOKUP($U$887,'TAR FIN'!$A$1:$O$103,15,0)),0,VLOOKUP($U$887,'TAR FIN'!$A$1:$O$103,15,0))</f>
        <v>288.89999999999998</v>
      </c>
      <c r="Y887" s="6"/>
      <c r="Z887" s="6">
        <f ca="1">('TUSD BE'!$AM$58+'TUSD BF'!$AM$58+'TUSD CVA'!$AM$58)*1</f>
        <v>362.48776111536552</v>
      </c>
      <c r="AA887" s="6">
        <f>('TE BE'!$AB$42+'TE BF'!$AB$42+'TE CVA'!$AB$42)*1</f>
        <v>272.03825149820085</v>
      </c>
      <c r="AB887" s="6">
        <f>$K$887*$V$887</f>
        <v>0</v>
      </c>
      <c r="AC887" s="6">
        <f>$M$887*$W$887</f>
        <v>-952.78230000000008</v>
      </c>
      <c r="AD887" s="6">
        <f>$O$887*$X$887</f>
        <v>-1019.8169999999999</v>
      </c>
      <c r="AE887" s="6">
        <f>$K$887*$Y$887</f>
        <v>0</v>
      </c>
      <c r="AF887" s="6">
        <f ca="1">$M$887*$Z$887</f>
        <v>-1279.5817967372402</v>
      </c>
      <c r="AG887" s="6">
        <f>$O$887*$AA$887</f>
        <v>-960.29502778864889</v>
      </c>
    </row>
    <row r="888" spans="1:33" ht="11.25" customHeight="1" x14ac:dyDescent="0.25">
      <c r="A888" s="4" t="s">
        <v>28</v>
      </c>
      <c r="B888" s="4" t="s">
        <v>39</v>
      </c>
      <c r="C888" s="4" t="s">
        <v>23</v>
      </c>
      <c r="D888" s="4" t="s">
        <v>43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43.569000000000003</v>
      </c>
      <c r="M888" s="6">
        <v>43.569000000000003</v>
      </c>
      <c r="N888" s="6">
        <v>43.569000000000003</v>
      </c>
      <c r="O888" s="6">
        <v>43.569000000000003</v>
      </c>
      <c r="P888" s="6">
        <v>60</v>
      </c>
      <c r="Q888" s="4" t="s">
        <v>26</v>
      </c>
      <c r="R888" s="4">
        <v>0</v>
      </c>
      <c r="S888" s="6">
        <v>0</v>
      </c>
      <c r="T888" s="6">
        <v>58</v>
      </c>
      <c r="U888" s="6">
        <v>99</v>
      </c>
      <c r="V888" s="6">
        <f>IF(ISERROR(VLOOKUP($S$888,'TAR FIN'!$A$1:$O$103,15,0)),0,VLOOKUP($S$888,'TAR FIN'!$A$1:$O$103,15,0))</f>
        <v>0</v>
      </c>
      <c r="W888" s="6">
        <f>IF(ISERROR(VLOOKUP($T$888,'TAR FIN'!$A$1:$O$103,15,0)),0,VLOOKUP($T$888,'TAR FIN'!$A$1:$O$103,15,0))</f>
        <v>269.91000000000003</v>
      </c>
      <c r="X888" s="6">
        <f>IF(ISERROR(VLOOKUP($U$888,'TAR FIN'!$A$1:$O$103,15,0)),0,VLOOKUP($U$888,'TAR FIN'!$A$1:$O$103,15,0))</f>
        <v>288.89999999999998</v>
      </c>
      <c r="Y888" s="6"/>
      <c r="Z888" s="6">
        <f ca="1">('TUSD BE'!$AM$58+'TUSD BF'!$AM$58+'TUSD CVA'!$AM$58)*1</f>
        <v>362.48776111536552</v>
      </c>
      <c r="AA888" s="6">
        <f>('TE BE'!$AB$42+'TE BF'!$AB$42+'TE CVA'!$AB$42)*1</f>
        <v>272.03825149820085</v>
      </c>
      <c r="AB888" s="6">
        <f>$K$888*$V$888</f>
        <v>0</v>
      </c>
      <c r="AC888" s="6">
        <f>$M$888*$W$888</f>
        <v>11759.708790000002</v>
      </c>
      <c r="AD888" s="6">
        <f>$O$888*$X$888</f>
        <v>12587.0841</v>
      </c>
      <c r="AE888" s="6">
        <f>$K$888*$Y$888</f>
        <v>0</v>
      </c>
      <c r="AF888" s="6">
        <f ca="1">$M$888*$Z$888</f>
        <v>15793.229264035361</v>
      </c>
      <c r="AG888" s="6">
        <f>$O$888*$AA$888</f>
        <v>11852.434579525114</v>
      </c>
    </row>
    <row r="889" spans="1:33" ht="11.25" customHeight="1" x14ac:dyDescent="0.25">
      <c r="A889" s="4" t="s">
        <v>21</v>
      </c>
      <c r="B889" s="4" t="s">
        <v>39</v>
      </c>
      <c r="C889" s="4" t="s">
        <v>23</v>
      </c>
      <c r="D889" s="4" t="s">
        <v>43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2009.923</v>
      </c>
      <c r="M889" s="6">
        <v>2009.923</v>
      </c>
      <c r="N889" s="6">
        <v>2009.923</v>
      </c>
      <c r="O889" s="6">
        <v>2009.923</v>
      </c>
      <c r="P889" s="6">
        <v>3440</v>
      </c>
      <c r="Q889" s="4" t="s">
        <v>26</v>
      </c>
      <c r="R889" s="4">
        <v>0</v>
      </c>
      <c r="S889" s="6">
        <v>0</v>
      </c>
      <c r="T889" s="6">
        <v>58</v>
      </c>
      <c r="U889" s="6">
        <v>99</v>
      </c>
      <c r="V889" s="6">
        <f>IF(ISERROR(VLOOKUP($S$889,'TAR FIN'!$A$1:$O$103,15,0)),0,VLOOKUP($S$889,'TAR FIN'!$A$1:$O$103,15,0))</f>
        <v>0</v>
      </c>
      <c r="W889" s="6">
        <f>IF(ISERROR(VLOOKUP($T$889,'TAR FIN'!$A$1:$O$103,15,0)),0,VLOOKUP($T$889,'TAR FIN'!$A$1:$O$103,15,0))</f>
        <v>269.91000000000003</v>
      </c>
      <c r="X889" s="6">
        <f>IF(ISERROR(VLOOKUP($U$889,'TAR FIN'!$A$1:$O$103,15,0)),0,VLOOKUP($U$889,'TAR FIN'!$A$1:$O$103,15,0))</f>
        <v>288.89999999999998</v>
      </c>
      <c r="Y889" s="6"/>
      <c r="Z889" s="6">
        <f ca="1">('TUSD BE'!$AM$58+'TUSD BF'!$AM$58+'TUSD CVA'!$AM$58)*1</f>
        <v>362.48776111536552</v>
      </c>
      <c r="AA889" s="6">
        <f>('TE BE'!$AB$42+'TE BF'!$AB$42+'TE CVA'!$AB$42)*1</f>
        <v>272.03825149820085</v>
      </c>
      <c r="AB889" s="6">
        <f>$K$889*$V$889</f>
        <v>0</v>
      </c>
      <c r="AC889" s="6">
        <f>$M$889*$W$889</f>
        <v>542498.31693000009</v>
      </c>
      <c r="AD889" s="6">
        <f>$O$889*$X$889</f>
        <v>580666.75469999993</v>
      </c>
      <c r="AE889" s="6">
        <f>$K$889*$Y$889</f>
        <v>0</v>
      </c>
      <c r="AF889" s="6">
        <f ca="1">$M$889*$Z$889</f>
        <v>728572.48828427878</v>
      </c>
      <c r="AG889" s="6">
        <f>$O$889*$AA$889</f>
        <v>546775.93856601836</v>
      </c>
    </row>
    <row r="890" spans="1:33" ht="11.25" customHeight="1" x14ac:dyDescent="0.25">
      <c r="A890" s="4" t="s">
        <v>28</v>
      </c>
      <c r="B890" s="4" t="s">
        <v>39</v>
      </c>
      <c r="C890" s="4" t="s">
        <v>23</v>
      </c>
      <c r="D890" s="4" t="s">
        <v>43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44593</v>
      </c>
      <c r="J890" s="6">
        <v>0</v>
      </c>
      <c r="K890" s="6">
        <v>0</v>
      </c>
      <c r="L890" s="6">
        <v>49.106000000000002</v>
      </c>
      <c r="M890" s="6">
        <v>49.106000000000002</v>
      </c>
      <c r="N890" s="6">
        <v>49.106000000000002</v>
      </c>
      <c r="O890" s="6">
        <v>49.106000000000002</v>
      </c>
      <c r="P890" s="6">
        <v>67</v>
      </c>
      <c r="Q890" s="4" t="s">
        <v>26</v>
      </c>
      <c r="R890" s="4">
        <v>0</v>
      </c>
      <c r="S890" s="6">
        <v>0</v>
      </c>
      <c r="T890" s="6">
        <v>58</v>
      </c>
      <c r="U890" s="6">
        <v>99</v>
      </c>
      <c r="V890" s="6">
        <f>IF(ISERROR(VLOOKUP($S$890,'TAR FIN'!$A$1:$O$103,15,0)),0,VLOOKUP($S$890,'TAR FIN'!$A$1:$O$103,15,0))</f>
        <v>0</v>
      </c>
      <c r="W890" s="6">
        <f>IF(ISERROR(VLOOKUP($T$890,'TAR FIN'!$A$1:$O$103,15,0)),0,VLOOKUP($T$890,'TAR FIN'!$A$1:$O$103,15,0))</f>
        <v>269.91000000000003</v>
      </c>
      <c r="X890" s="6">
        <f>IF(ISERROR(VLOOKUP($U$890,'TAR FIN'!$A$1:$O$103,15,0)),0,VLOOKUP($U$890,'TAR FIN'!$A$1:$O$103,15,0))</f>
        <v>288.89999999999998</v>
      </c>
      <c r="Y890" s="6"/>
      <c r="Z890" s="6">
        <f ca="1">('TUSD BE'!$AM$58+'TUSD BF'!$AM$58+'TUSD CVA'!$AM$58)*1</f>
        <v>362.48776111536552</v>
      </c>
      <c r="AA890" s="6">
        <f>('TE BE'!$AB$42+'TE BF'!$AB$42+'TE CVA'!$AB$42)*1</f>
        <v>272.03825149820085</v>
      </c>
      <c r="AB890" s="6">
        <f>$K$890*$V$890</f>
        <v>0</v>
      </c>
      <c r="AC890" s="6">
        <f>$M$890*$W$890</f>
        <v>13254.200460000002</v>
      </c>
      <c r="AD890" s="6">
        <f>$O$890*$X$890</f>
        <v>14186.723399999999</v>
      </c>
      <c r="AE890" s="6">
        <f>$K$890*$Y$890</f>
        <v>0</v>
      </c>
      <c r="AF890" s="6">
        <f ca="1">$M$890*$Z$890</f>
        <v>17800.323997331139</v>
      </c>
      <c r="AG890" s="6">
        <f>$O$890*$AA$890</f>
        <v>13358.710378070651</v>
      </c>
    </row>
    <row r="891" spans="1:33" ht="11.25" customHeight="1" x14ac:dyDescent="0.25">
      <c r="A891" s="4" t="s">
        <v>21</v>
      </c>
      <c r="B891" s="4" t="s">
        <v>39</v>
      </c>
      <c r="C891" s="4" t="s">
        <v>23</v>
      </c>
      <c r="D891" s="4" t="s">
        <v>43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2002.925</v>
      </c>
      <c r="M891" s="6">
        <v>2002.925</v>
      </c>
      <c r="N891" s="6">
        <v>2002.925</v>
      </c>
      <c r="O891" s="6">
        <v>2002.925</v>
      </c>
      <c r="P891" s="6">
        <v>3434</v>
      </c>
      <c r="Q891" s="4" t="s">
        <v>26</v>
      </c>
      <c r="R891" s="4">
        <v>0</v>
      </c>
      <c r="S891" s="6">
        <v>0</v>
      </c>
      <c r="T891" s="6">
        <v>58</v>
      </c>
      <c r="U891" s="6">
        <v>99</v>
      </c>
      <c r="V891" s="6">
        <f>IF(ISERROR(VLOOKUP($S$891,'TAR FIN'!$A$1:$O$103,15,0)),0,VLOOKUP($S$891,'TAR FIN'!$A$1:$O$103,15,0))</f>
        <v>0</v>
      </c>
      <c r="W891" s="6">
        <f>IF(ISERROR(VLOOKUP($T$891,'TAR FIN'!$A$1:$O$103,15,0)),0,VLOOKUP($T$891,'TAR FIN'!$A$1:$O$103,15,0))</f>
        <v>269.91000000000003</v>
      </c>
      <c r="X891" s="6">
        <f>IF(ISERROR(VLOOKUP($U$891,'TAR FIN'!$A$1:$O$103,15,0)),0,VLOOKUP($U$891,'TAR FIN'!$A$1:$O$103,15,0))</f>
        <v>288.89999999999998</v>
      </c>
      <c r="Y891" s="6"/>
      <c r="Z891" s="6">
        <f ca="1">('TUSD BE'!$AM$58+'TUSD BF'!$AM$58+'TUSD CVA'!$AM$58)*1</f>
        <v>362.48776111536552</v>
      </c>
      <c r="AA891" s="6">
        <f>('TE BE'!$AB$42+'TE BF'!$AB$42+'TE CVA'!$AB$42)*1</f>
        <v>272.03825149820085</v>
      </c>
      <c r="AB891" s="6">
        <f>$K$891*$V$891</f>
        <v>0</v>
      </c>
      <c r="AC891" s="6">
        <f>$M$891*$W$891</f>
        <v>540609.48675000004</v>
      </c>
      <c r="AD891" s="6">
        <f>$O$891*$X$891</f>
        <v>578645.03249999997</v>
      </c>
      <c r="AE891" s="6">
        <f>$K$891*$Y$891</f>
        <v>0</v>
      </c>
      <c r="AF891" s="6">
        <f ca="1">$M$891*$Z$891</f>
        <v>726035.79893199343</v>
      </c>
      <c r="AG891" s="6">
        <f>$O$891*$AA$891</f>
        <v>544872.21488203388</v>
      </c>
    </row>
    <row r="892" spans="1:33" ht="11.25" customHeight="1" x14ac:dyDescent="0.25">
      <c r="A892" s="4" t="s">
        <v>28</v>
      </c>
      <c r="B892" s="4" t="s">
        <v>39</v>
      </c>
      <c r="C892" s="4" t="s">
        <v>23</v>
      </c>
      <c r="D892" s="4" t="s">
        <v>43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44621</v>
      </c>
      <c r="J892" s="6">
        <v>0</v>
      </c>
      <c r="K892" s="6">
        <v>0</v>
      </c>
      <c r="L892" s="6">
        <v>55.305</v>
      </c>
      <c r="M892" s="6">
        <v>55.305</v>
      </c>
      <c r="N892" s="6">
        <v>55.305</v>
      </c>
      <c r="O892" s="6">
        <v>55.305</v>
      </c>
      <c r="P892" s="6">
        <v>67</v>
      </c>
      <c r="Q892" s="4" t="s">
        <v>26</v>
      </c>
      <c r="R892" s="4">
        <v>0</v>
      </c>
      <c r="S892" s="6">
        <v>0</v>
      </c>
      <c r="T892" s="6">
        <v>58</v>
      </c>
      <c r="U892" s="6">
        <v>99</v>
      </c>
      <c r="V892" s="6">
        <f>IF(ISERROR(VLOOKUP($S$892,'TAR FIN'!$A$1:$O$103,15,0)),0,VLOOKUP($S$892,'TAR FIN'!$A$1:$O$103,15,0))</f>
        <v>0</v>
      </c>
      <c r="W892" s="6">
        <f>IF(ISERROR(VLOOKUP($T$892,'TAR FIN'!$A$1:$O$103,15,0)),0,VLOOKUP($T$892,'TAR FIN'!$A$1:$O$103,15,0))</f>
        <v>269.91000000000003</v>
      </c>
      <c r="X892" s="6">
        <f>IF(ISERROR(VLOOKUP($U$892,'TAR FIN'!$A$1:$O$103,15,0)),0,VLOOKUP($U$892,'TAR FIN'!$A$1:$O$103,15,0))</f>
        <v>288.89999999999998</v>
      </c>
      <c r="Y892" s="6"/>
      <c r="Z892" s="6">
        <f ca="1">('TUSD BE'!$AM$58+'TUSD BF'!$AM$58+'TUSD CVA'!$AM$58)*1</f>
        <v>362.48776111536552</v>
      </c>
      <c r="AA892" s="6">
        <f>('TE BE'!$AB$42+'TE BF'!$AB$42+'TE CVA'!$AB$42)*1</f>
        <v>272.03825149820085</v>
      </c>
      <c r="AB892" s="6">
        <f>$K$892*$V$892</f>
        <v>0</v>
      </c>
      <c r="AC892" s="6">
        <f>$M$892*$W$892</f>
        <v>14927.372550000002</v>
      </c>
      <c r="AD892" s="6">
        <f>$O$892*$X$892</f>
        <v>15977.614499999998</v>
      </c>
      <c r="AE892" s="6">
        <f>$K$892*$Y$892</f>
        <v>0</v>
      </c>
      <c r="AF892" s="6">
        <f ca="1">$M$892*$Z$892</f>
        <v>20047.385628485288</v>
      </c>
      <c r="AG892" s="6">
        <f>$O$892*$AA$892</f>
        <v>15045.075499107998</v>
      </c>
    </row>
    <row r="893" spans="1:33" ht="11.25" customHeight="1" x14ac:dyDescent="0.25">
      <c r="A893" s="4" t="s">
        <v>21</v>
      </c>
      <c r="B893" s="4" t="s">
        <v>39</v>
      </c>
      <c r="C893" s="4" t="s">
        <v>23</v>
      </c>
      <c r="D893" s="4" t="s">
        <v>43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1803.5989999999999</v>
      </c>
      <c r="M893" s="6">
        <v>1803.5989999999999</v>
      </c>
      <c r="N893" s="6">
        <v>1803.5989999999999</v>
      </c>
      <c r="O893" s="6">
        <v>1803.5989999999999</v>
      </c>
      <c r="P893" s="6">
        <v>3430</v>
      </c>
      <c r="Q893" s="4" t="s">
        <v>26</v>
      </c>
      <c r="R893" s="4">
        <v>0</v>
      </c>
      <c r="S893" s="6">
        <v>0</v>
      </c>
      <c r="T893" s="6">
        <v>58</v>
      </c>
      <c r="U893" s="6">
        <v>99</v>
      </c>
      <c r="V893" s="6">
        <f>IF(ISERROR(VLOOKUP($S$893,'TAR FIN'!$A$1:$O$103,15,0)),0,VLOOKUP($S$893,'TAR FIN'!$A$1:$O$103,15,0))</f>
        <v>0</v>
      </c>
      <c r="W893" s="6">
        <f>IF(ISERROR(VLOOKUP($T$893,'TAR FIN'!$A$1:$O$103,15,0)),0,VLOOKUP($T$893,'TAR FIN'!$A$1:$O$103,15,0))</f>
        <v>269.91000000000003</v>
      </c>
      <c r="X893" s="6">
        <f>IF(ISERROR(VLOOKUP($U$893,'TAR FIN'!$A$1:$O$103,15,0)),0,VLOOKUP($U$893,'TAR FIN'!$A$1:$O$103,15,0))</f>
        <v>288.89999999999998</v>
      </c>
      <c r="Y893" s="6"/>
      <c r="Z893" s="6">
        <f ca="1">('TUSD BE'!$AM$58+'TUSD BF'!$AM$58+'TUSD CVA'!$AM$58)*1</f>
        <v>362.48776111536552</v>
      </c>
      <c r="AA893" s="6">
        <f>('TE BE'!$AB$42+'TE BF'!$AB$42+'TE CVA'!$AB$42)*1</f>
        <v>272.03825149820085</v>
      </c>
      <c r="AB893" s="6">
        <f>$K$893*$V$893</f>
        <v>0</v>
      </c>
      <c r="AC893" s="6">
        <f>$M$893*$W$893</f>
        <v>486809.40609</v>
      </c>
      <c r="AD893" s="6">
        <f>$O$893*$X$893</f>
        <v>521059.75109999994</v>
      </c>
      <c r="AE893" s="6">
        <f>$K$893*$Y$893</f>
        <v>0</v>
      </c>
      <c r="AF893" s="6">
        <f ca="1">$M$893*$Z$893</f>
        <v>653782.56345991208</v>
      </c>
      <c r="AG893" s="6">
        <f>$O$893*$AA$893</f>
        <v>490647.91836390353</v>
      </c>
    </row>
    <row r="894" spans="1:33" ht="11.25" customHeight="1" x14ac:dyDescent="0.25">
      <c r="A894" s="4" t="s">
        <v>27</v>
      </c>
      <c r="B894" s="4" t="s">
        <v>39</v>
      </c>
      <c r="C894" s="4" t="s">
        <v>23</v>
      </c>
      <c r="D894" s="4" t="s">
        <v>43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44652</v>
      </c>
      <c r="J894" s="6">
        <v>0</v>
      </c>
      <c r="K894" s="6">
        <v>0</v>
      </c>
      <c r="L894" s="6">
        <v>-5.1180000000000003</v>
      </c>
      <c r="M894" s="6">
        <v>-5.1180000000000003</v>
      </c>
      <c r="N894" s="6">
        <v>-5.1180000000000003</v>
      </c>
      <c r="O894" s="6">
        <v>-5.1180000000000003</v>
      </c>
      <c r="P894" s="6">
        <v>0</v>
      </c>
      <c r="Q894" s="4" t="s">
        <v>26</v>
      </c>
      <c r="R894" s="4">
        <v>0</v>
      </c>
      <c r="S894" s="6">
        <v>0</v>
      </c>
      <c r="T894" s="6">
        <v>58</v>
      </c>
      <c r="U894" s="6">
        <v>99</v>
      </c>
      <c r="V894" s="6">
        <f>IF(ISERROR(VLOOKUP($S$894,'TAR FIN'!$A$1:$O$103,15,0)),0,VLOOKUP($S$894,'TAR FIN'!$A$1:$O$103,15,0))</f>
        <v>0</v>
      </c>
      <c r="W894" s="6">
        <f>IF(ISERROR(VLOOKUP($T$894,'TAR FIN'!$A$1:$O$103,15,0)),0,VLOOKUP($T$894,'TAR FIN'!$A$1:$O$103,15,0))</f>
        <v>269.91000000000003</v>
      </c>
      <c r="X894" s="6">
        <f>IF(ISERROR(VLOOKUP($U$894,'TAR FIN'!$A$1:$O$103,15,0)),0,VLOOKUP($U$894,'TAR FIN'!$A$1:$O$103,15,0))</f>
        <v>288.89999999999998</v>
      </c>
      <c r="Y894" s="6"/>
      <c r="Z894" s="6">
        <f ca="1">('TUSD BE'!$AM$58+'TUSD BF'!$AM$58+'TUSD CVA'!$AM$58)*1</f>
        <v>362.48776111536552</v>
      </c>
      <c r="AA894" s="6">
        <f>('TE BE'!$AB$42+'TE BF'!$AB$42+'TE CVA'!$AB$42)*1</f>
        <v>272.03825149820085</v>
      </c>
      <c r="AB894" s="6">
        <f>$K$894*$V$894</f>
        <v>0</v>
      </c>
      <c r="AC894" s="6">
        <f>$M$894*$W$894</f>
        <v>-1381.3993800000003</v>
      </c>
      <c r="AD894" s="6">
        <f>$O$894*$X$894</f>
        <v>-1478.5901999999999</v>
      </c>
      <c r="AE894" s="6">
        <f>$K$894*$Y$894</f>
        <v>0</v>
      </c>
      <c r="AF894" s="6">
        <f ca="1">$M$894*$Z$894</f>
        <v>-1855.2123613884407</v>
      </c>
      <c r="AG894" s="6">
        <f>$O$894*$AA$894</f>
        <v>-1392.2917711677921</v>
      </c>
    </row>
    <row r="895" spans="1:33" ht="11.25" customHeight="1" x14ac:dyDescent="0.25">
      <c r="A895" s="4" t="s">
        <v>28</v>
      </c>
      <c r="B895" s="4" t="s">
        <v>39</v>
      </c>
      <c r="C895" s="4" t="s">
        <v>23</v>
      </c>
      <c r="D895" s="4" t="s">
        <v>43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44652</v>
      </c>
      <c r="J895" s="6">
        <v>0</v>
      </c>
      <c r="K895" s="6">
        <v>0</v>
      </c>
      <c r="L895" s="6">
        <v>67.347999999999999</v>
      </c>
      <c r="M895" s="6">
        <v>67.347999999999999</v>
      </c>
      <c r="N895" s="6">
        <v>67.347999999999999</v>
      </c>
      <c r="O895" s="6">
        <v>67.347999999999999</v>
      </c>
      <c r="P895" s="6">
        <v>72</v>
      </c>
      <c r="Q895" s="4" t="s">
        <v>26</v>
      </c>
      <c r="R895" s="4">
        <v>0</v>
      </c>
      <c r="S895" s="6">
        <v>0</v>
      </c>
      <c r="T895" s="6">
        <v>58</v>
      </c>
      <c r="U895" s="6">
        <v>99</v>
      </c>
      <c r="V895" s="6">
        <f>IF(ISERROR(VLOOKUP($S$895,'TAR FIN'!$A$1:$O$103,15,0)),0,VLOOKUP($S$895,'TAR FIN'!$A$1:$O$103,15,0))</f>
        <v>0</v>
      </c>
      <c r="W895" s="6">
        <f>IF(ISERROR(VLOOKUP($T$895,'TAR FIN'!$A$1:$O$103,15,0)),0,VLOOKUP($T$895,'TAR FIN'!$A$1:$O$103,15,0))</f>
        <v>269.91000000000003</v>
      </c>
      <c r="X895" s="6">
        <f>IF(ISERROR(VLOOKUP($U$895,'TAR FIN'!$A$1:$O$103,15,0)),0,VLOOKUP($U$895,'TAR FIN'!$A$1:$O$103,15,0))</f>
        <v>288.89999999999998</v>
      </c>
      <c r="Y895" s="6"/>
      <c r="Z895" s="6">
        <f ca="1">('TUSD BE'!$AM$58+'TUSD BF'!$AM$58+'TUSD CVA'!$AM$58)*1</f>
        <v>362.48776111536552</v>
      </c>
      <c r="AA895" s="6">
        <f>('TE BE'!$AB$42+'TE BF'!$AB$42+'TE CVA'!$AB$42)*1</f>
        <v>272.03825149820085</v>
      </c>
      <c r="AB895" s="6">
        <f>$K$895*$V$895</f>
        <v>0</v>
      </c>
      <c r="AC895" s="6">
        <f>$M$895*$W$895</f>
        <v>18177.898680000002</v>
      </c>
      <c r="AD895" s="6">
        <f>$O$895*$X$895</f>
        <v>19456.837199999998</v>
      </c>
      <c r="AE895" s="6">
        <f>$K$895*$Y$895</f>
        <v>0</v>
      </c>
      <c r="AF895" s="6">
        <f ca="1">$M$895*$Z$895</f>
        <v>24412.825735597635</v>
      </c>
      <c r="AG895" s="6">
        <f>$O$895*$AA$895</f>
        <v>18321.232161900829</v>
      </c>
    </row>
    <row r="896" spans="1:33" ht="11.25" customHeight="1" x14ac:dyDescent="0.25">
      <c r="A896" s="4" t="s">
        <v>21</v>
      </c>
      <c r="B896" s="4" t="s">
        <v>39</v>
      </c>
      <c r="C896" s="4" t="s">
        <v>23</v>
      </c>
      <c r="D896" s="4" t="s">
        <v>43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44682</v>
      </c>
      <c r="J896" s="6">
        <v>0</v>
      </c>
      <c r="K896" s="6">
        <v>0</v>
      </c>
      <c r="L896" s="6">
        <v>1746.1179999999999</v>
      </c>
      <c r="M896" s="6">
        <v>1746.1179999999999</v>
      </c>
      <c r="N896" s="6">
        <v>1746.1179999999999</v>
      </c>
      <c r="O896" s="6">
        <v>1746.1179999999999</v>
      </c>
      <c r="P896" s="6">
        <v>3431</v>
      </c>
      <c r="Q896" s="4" t="s">
        <v>26</v>
      </c>
      <c r="R896" s="4">
        <v>0</v>
      </c>
      <c r="S896" s="6">
        <v>0</v>
      </c>
      <c r="T896" s="6">
        <v>58</v>
      </c>
      <c r="U896" s="6">
        <v>99</v>
      </c>
      <c r="V896" s="6">
        <f>IF(ISERROR(VLOOKUP($S$896,'TAR FIN'!$A$1:$O$103,15,0)),0,VLOOKUP($S$896,'TAR FIN'!$A$1:$O$103,15,0))</f>
        <v>0</v>
      </c>
      <c r="W896" s="6">
        <f>IF(ISERROR(VLOOKUP($T$896,'TAR FIN'!$A$1:$O$103,15,0)),0,VLOOKUP($T$896,'TAR FIN'!$A$1:$O$103,15,0))</f>
        <v>269.91000000000003</v>
      </c>
      <c r="X896" s="6">
        <f>IF(ISERROR(VLOOKUP($U$896,'TAR FIN'!$A$1:$O$103,15,0)),0,VLOOKUP($U$896,'TAR FIN'!$A$1:$O$103,15,0))</f>
        <v>288.89999999999998</v>
      </c>
      <c r="Y896" s="6"/>
      <c r="Z896" s="6">
        <f ca="1">('TUSD BE'!$AM$58+'TUSD BF'!$AM$58+'TUSD CVA'!$AM$58)*1</f>
        <v>362.48776111536552</v>
      </c>
      <c r="AA896" s="6">
        <f>('TE BE'!$AB$42+'TE BF'!$AB$42+'TE CVA'!$AB$42)*1</f>
        <v>272.03825149820085</v>
      </c>
      <c r="AB896" s="6">
        <f>$K$896*$V$896</f>
        <v>0</v>
      </c>
      <c r="AC896" s="6">
        <f>$M$896*$W$896</f>
        <v>471294.70938000001</v>
      </c>
      <c r="AD896" s="6">
        <f>$O$896*$X$896</f>
        <v>504453.49019999994</v>
      </c>
      <c r="AE896" s="6">
        <f>$K$896*$Y$896</f>
        <v>0</v>
      </c>
      <c r="AF896" s="6">
        <f ca="1">$M$896*$Z$896</f>
        <v>632946.40446323983</v>
      </c>
      <c r="AG896" s="6">
        <f>$O$896*$AA$896</f>
        <v>475010.88762953546</v>
      </c>
    </row>
    <row r="897" spans="1:33" ht="11.25" customHeight="1" x14ac:dyDescent="0.25">
      <c r="A897" s="4" t="s">
        <v>27</v>
      </c>
      <c r="B897" s="4" t="s">
        <v>39</v>
      </c>
      <c r="C897" s="4" t="s">
        <v>23</v>
      </c>
      <c r="D897" s="4" t="s">
        <v>43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44682</v>
      </c>
      <c r="J897" s="6">
        <v>0</v>
      </c>
      <c r="K897" s="6">
        <v>0</v>
      </c>
      <c r="L897" s="6">
        <v>-3.5670000000000002</v>
      </c>
      <c r="M897" s="6">
        <v>-3.5670000000000002</v>
      </c>
      <c r="N897" s="6">
        <v>-3.5670000000000002</v>
      </c>
      <c r="O897" s="6">
        <v>-3.5670000000000002</v>
      </c>
      <c r="P897" s="6">
        <v>0</v>
      </c>
      <c r="Q897" s="4" t="s">
        <v>26</v>
      </c>
      <c r="R897" s="4">
        <v>0</v>
      </c>
      <c r="S897" s="6">
        <v>0</v>
      </c>
      <c r="T897" s="6">
        <v>58</v>
      </c>
      <c r="U897" s="6">
        <v>99</v>
      </c>
      <c r="V897" s="6">
        <f>IF(ISERROR(VLOOKUP($S$897,'TAR FIN'!$A$1:$O$103,15,0)),0,VLOOKUP($S$897,'TAR FIN'!$A$1:$O$103,15,0))</f>
        <v>0</v>
      </c>
      <c r="W897" s="6">
        <f>IF(ISERROR(VLOOKUP($T$897,'TAR FIN'!$A$1:$O$103,15,0)),0,VLOOKUP($T$897,'TAR FIN'!$A$1:$O$103,15,0))</f>
        <v>269.91000000000003</v>
      </c>
      <c r="X897" s="6">
        <f>IF(ISERROR(VLOOKUP($U$897,'TAR FIN'!$A$1:$O$103,15,0)),0,VLOOKUP($U$897,'TAR FIN'!$A$1:$O$103,15,0))</f>
        <v>288.89999999999998</v>
      </c>
      <c r="Y897" s="6"/>
      <c r="Z897" s="6">
        <f ca="1">('TUSD BE'!$AM$58+'TUSD BF'!$AM$58+'TUSD CVA'!$AM$58)*1</f>
        <v>362.48776111536552</v>
      </c>
      <c r="AA897" s="6">
        <f>('TE BE'!$AB$42+'TE BF'!$AB$42+'TE CVA'!$AB$42)*1</f>
        <v>272.03825149820085</v>
      </c>
      <c r="AB897" s="6">
        <f>$K$897*$V$897</f>
        <v>0</v>
      </c>
      <c r="AC897" s="6">
        <f>$M$897*$W$897</f>
        <v>-962.76897000000008</v>
      </c>
      <c r="AD897" s="6">
        <f>$O$897*$X$897</f>
        <v>-1030.5063</v>
      </c>
      <c r="AE897" s="6">
        <f>$K$897*$Y$897</f>
        <v>0</v>
      </c>
      <c r="AF897" s="6">
        <f ca="1">$M$897*$Z$897</f>
        <v>-1292.9938438985089</v>
      </c>
      <c r="AG897" s="6">
        <f>$O$897*$AA$897</f>
        <v>-970.36044309408248</v>
      </c>
    </row>
    <row r="898" spans="1:33" ht="11.25" customHeight="1" x14ac:dyDescent="0.25">
      <c r="A898" s="4" t="s">
        <v>28</v>
      </c>
      <c r="B898" s="4" t="s">
        <v>39</v>
      </c>
      <c r="C898" s="4" t="s">
        <v>23</v>
      </c>
      <c r="D898" s="4" t="s">
        <v>43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44682</v>
      </c>
      <c r="J898" s="6">
        <v>0</v>
      </c>
      <c r="K898" s="6">
        <v>0</v>
      </c>
      <c r="L898" s="6">
        <v>61.813000000000002</v>
      </c>
      <c r="M898" s="6">
        <v>61.813000000000002</v>
      </c>
      <c r="N898" s="6">
        <v>61.813000000000002</v>
      </c>
      <c r="O898" s="6">
        <v>61.813000000000002</v>
      </c>
      <c r="P898" s="6">
        <v>76</v>
      </c>
      <c r="Q898" s="4" t="s">
        <v>26</v>
      </c>
      <c r="R898" s="4">
        <v>0</v>
      </c>
      <c r="S898" s="6">
        <v>0</v>
      </c>
      <c r="T898" s="6">
        <v>58</v>
      </c>
      <c r="U898" s="6">
        <v>99</v>
      </c>
      <c r="V898" s="6">
        <f>IF(ISERROR(VLOOKUP($S$898,'TAR FIN'!$A$1:$O$103,15,0)),0,VLOOKUP($S$898,'TAR FIN'!$A$1:$O$103,15,0))</f>
        <v>0</v>
      </c>
      <c r="W898" s="6">
        <f>IF(ISERROR(VLOOKUP($T$898,'TAR FIN'!$A$1:$O$103,15,0)),0,VLOOKUP($T$898,'TAR FIN'!$A$1:$O$103,15,0))</f>
        <v>269.91000000000003</v>
      </c>
      <c r="X898" s="6">
        <f>IF(ISERROR(VLOOKUP($U$898,'TAR FIN'!$A$1:$O$103,15,0)),0,VLOOKUP($U$898,'TAR FIN'!$A$1:$O$103,15,0))</f>
        <v>288.89999999999998</v>
      </c>
      <c r="Y898" s="6"/>
      <c r="Z898" s="6">
        <f ca="1">('TUSD BE'!$AM$58+'TUSD BF'!$AM$58+'TUSD CVA'!$AM$58)*1</f>
        <v>362.48776111536552</v>
      </c>
      <c r="AA898" s="6">
        <f>('TE BE'!$AB$42+'TE BF'!$AB$42+'TE CVA'!$AB$42)*1</f>
        <v>272.03825149820085</v>
      </c>
      <c r="AB898" s="6">
        <f>$K$898*$V$898</f>
        <v>0</v>
      </c>
      <c r="AC898" s="6">
        <f>$M$898*$W$898</f>
        <v>16683.946830000001</v>
      </c>
      <c r="AD898" s="6">
        <f>$O$898*$X$898</f>
        <v>17857.775699999998</v>
      </c>
      <c r="AE898" s="6">
        <f>$K$898*$Y$898</f>
        <v>0</v>
      </c>
      <c r="AF898" s="6">
        <f ca="1">$M$898*$Z$898</f>
        <v>22406.455977824091</v>
      </c>
      <c r="AG898" s="6">
        <f>$O$898*$AA$898</f>
        <v>16815.50043985829</v>
      </c>
    </row>
    <row r="899" spans="1:33" ht="11.25" customHeight="1" x14ac:dyDescent="0.25">
      <c r="A899" s="4" t="s">
        <v>21</v>
      </c>
      <c r="B899" s="4" t="s">
        <v>39</v>
      </c>
      <c r="C899" s="4" t="s">
        <v>23</v>
      </c>
      <c r="D899" s="4" t="s">
        <v>52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44348</v>
      </c>
      <c r="J899" s="6">
        <v>0</v>
      </c>
      <c r="K899" s="6">
        <v>0</v>
      </c>
      <c r="L899" s="6">
        <v>10.805</v>
      </c>
      <c r="M899" s="6">
        <v>10.805</v>
      </c>
      <c r="N899" s="6">
        <v>10.805</v>
      </c>
      <c r="O899" s="6">
        <v>10.805</v>
      </c>
      <c r="P899" s="6">
        <v>3</v>
      </c>
      <c r="Q899" s="4" t="s">
        <v>26</v>
      </c>
      <c r="R899" s="4">
        <v>0</v>
      </c>
      <c r="S899" s="6">
        <v>0</v>
      </c>
      <c r="T899" s="6">
        <v>58</v>
      </c>
      <c r="U899" s="6">
        <v>99</v>
      </c>
      <c r="V899" s="6">
        <f>IF(ISERROR(VLOOKUP($S$899,'TAR FIN'!$A$1:$O$103,15,0)),0,VLOOKUP($S$899,'TAR FIN'!$A$1:$O$103,15,0))</f>
        <v>0</v>
      </c>
      <c r="W899" s="6">
        <f>IF(ISERROR(VLOOKUP($T$899,'TAR FIN'!$A$1:$O$103,15,0)),0,VLOOKUP($T$899,'TAR FIN'!$A$1:$O$103,15,0))</f>
        <v>269.91000000000003</v>
      </c>
      <c r="X899" s="6">
        <f>IF(ISERROR(VLOOKUP($U$899,'TAR FIN'!$A$1:$O$103,15,0)),0,VLOOKUP($U$899,'TAR FIN'!$A$1:$O$103,15,0))</f>
        <v>288.89999999999998</v>
      </c>
      <c r="Y899" s="6"/>
      <c r="Z899" s="6">
        <f ca="1">('TUSD BE'!$AM$58+'TUSD BF'!$AM$58+'TUSD CVA'!$AM$58)*1</f>
        <v>362.48776111536552</v>
      </c>
      <c r="AA899" s="6">
        <f>('TE BE'!$AB$42+'TE BF'!$AB$42+'TE CVA'!$AB$42)*1</f>
        <v>272.03825149820085</v>
      </c>
      <c r="AB899" s="6">
        <f>$K$899*$V$899</f>
        <v>0</v>
      </c>
      <c r="AC899" s="6">
        <f>$M$899*$W$899</f>
        <v>2916.3775500000002</v>
      </c>
      <c r="AD899" s="6">
        <f>$O$899*$X$899</f>
        <v>3121.5644999999995</v>
      </c>
      <c r="AE899" s="6">
        <f>$K$899*$Y$899</f>
        <v>0</v>
      </c>
      <c r="AF899" s="6">
        <f ca="1">$M$899*$Z$899</f>
        <v>3916.6802588515243</v>
      </c>
      <c r="AG899" s="6">
        <f>$O$899*$AA$899</f>
        <v>2939.3733074380602</v>
      </c>
    </row>
    <row r="900" spans="1:33" ht="11.25" customHeight="1" x14ac:dyDescent="0.25">
      <c r="A900" s="4" t="s">
        <v>21</v>
      </c>
      <c r="B900" s="4" t="s">
        <v>39</v>
      </c>
      <c r="C900" s="4" t="s">
        <v>23</v>
      </c>
      <c r="D900" s="4" t="s">
        <v>52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44378</v>
      </c>
      <c r="J900" s="6">
        <v>0</v>
      </c>
      <c r="K900" s="6">
        <v>0</v>
      </c>
      <c r="L900" s="6">
        <v>11.516999999999999</v>
      </c>
      <c r="M900" s="6">
        <v>11.516999999999999</v>
      </c>
      <c r="N900" s="6">
        <v>11.516999999999999</v>
      </c>
      <c r="O900" s="6">
        <v>11.516999999999999</v>
      </c>
      <c r="P900" s="6">
        <v>3</v>
      </c>
      <c r="Q900" s="4" t="s">
        <v>26</v>
      </c>
      <c r="R900" s="4">
        <v>0</v>
      </c>
      <c r="S900" s="6">
        <v>0</v>
      </c>
      <c r="T900" s="6">
        <v>58</v>
      </c>
      <c r="U900" s="6">
        <v>99</v>
      </c>
      <c r="V900" s="6">
        <f>IF(ISERROR(VLOOKUP($S$900,'TAR FIN'!$A$1:$O$103,15,0)),0,VLOOKUP($S$900,'TAR FIN'!$A$1:$O$103,15,0))</f>
        <v>0</v>
      </c>
      <c r="W900" s="6">
        <f>IF(ISERROR(VLOOKUP($T$900,'TAR FIN'!$A$1:$O$103,15,0)),0,VLOOKUP($T$900,'TAR FIN'!$A$1:$O$103,15,0))</f>
        <v>269.91000000000003</v>
      </c>
      <c r="X900" s="6">
        <f>IF(ISERROR(VLOOKUP($U$900,'TAR FIN'!$A$1:$O$103,15,0)),0,VLOOKUP($U$900,'TAR FIN'!$A$1:$O$103,15,0))</f>
        <v>288.89999999999998</v>
      </c>
      <c r="Y900" s="6"/>
      <c r="Z900" s="6">
        <f ca="1">('TUSD BE'!$AM$58+'TUSD BF'!$AM$58+'TUSD CVA'!$AM$58)*1</f>
        <v>362.48776111536552</v>
      </c>
      <c r="AA900" s="6">
        <f>('TE BE'!$AB$42+'TE BF'!$AB$42+'TE CVA'!$AB$42)*1</f>
        <v>272.03825149820085</v>
      </c>
      <c r="AB900" s="6">
        <f>$K$900*$V$900</f>
        <v>0</v>
      </c>
      <c r="AC900" s="6">
        <f>$M$900*$W$900</f>
        <v>3108.5534700000003</v>
      </c>
      <c r="AD900" s="6">
        <f>$O$900*$X$900</f>
        <v>3327.2612999999997</v>
      </c>
      <c r="AE900" s="6">
        <f>$K$900*$Y$900</f>
        <v>0</v>
      </c>
      <c r="AF900" s="6">
        <f ca="1">$M$900*$Z$900</f>
        <v>4174.7715447656647</v>
      </c>
      <c r="AG900" s="6">
        <f>$O$900*$AA$900</f>
        <v>3133.0645425047792</v>
      </c>
    </row>
    <row r="901" spans="1:33" ht="11.25" customHeight="1" x14ac:dyDescent="0.25">
      <c r="A901" s="4" t="s">
        <v>21</v>
      </c>
      <c r="B901" s="4" t="s">
        <v>39</v>
      </c>
      <c r="C901" s="4" t="s">
        <v>23</v>
      </c>
      <c r="D901" s="4" t="s">
        <v>52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12.363</v>
      </c>
      <c r="M901" s="6">
        <v>12.363</v>
      </c>
      <c r="N901" s="6">
        <v>12.363</v>
      </c>
      <c r="O901" s="6">
        <v>12.363</v>
      </c>
      <c r="P901" s="6">
        <v>3</v>
      </c>
      <c r="Q901" s="4" t="s">
        <v>26</v>
      </c>
      <c r="R901" s="4">
        <v>0</v>
      </c>
      <c r="S901" s="6">
        <v>0</v>
      </c>
      <c r="T901" s="6">
        <v>58</v>
      </c>
      <c r="U901" s="6">
        <v>99</v>
      </c>
      <c r="V901" s="6">
        <f>IF(ISERROR(VLOOKUP($S$901,'TAR FIN'!$A$1:$O$103,15,0)),0,VLOOKUP($S$901,'TAR FIN'!$A$1:$O$103,15,0))</f>
        <v>0</v>
      </c>
      <c r="W901" s="6">
        <f>IF(ISERROR(VLOOKUP($T$901,'TAR FIN'!$A$1:$O$103,15,0)),0,VLOOKUP($T$901,'TAR FIN'!$A$1:$O$103,15,0))</f>
        <v>269.91000000000003</v>
      </c>
      <c r="X901" s="6">
        <f>IF(ISERROR(VLOOKUP($U$901,'TAR FIN'!$A$1:$O$103,15,0)),0,VLOOKUP($U$901,'TAR FIN'!$A$1:$O$103,15,0))</f>
        <v>288.89999999999998</v>
      </c>
      <c r="Y901" s="6"/>
      <c r="Z901" s="6">
        <f ca="1">('TUSD BE'!$AM$58+'TUSD BF'!$AM$58+'TUSD CVA'!$AM$58)*1</f>
        <v>362.48776111536552</v>
      </c>
      <c r="AA901" s="6">
        <f>('TE BE'!$AB$42+'TE BF'!$AB$42+'TE CVA'!$AB$42)*1</f>
        <v>272.03825149820085</v>
      </c>
      <c r="AB901" s="6">
        <f>$K$901*$V$901</f>
        <v>0</v>
      </c>
      <c r="AC901" s="6">
        <f>$M$901*$W$901</f>
        <v>3336.8973300000002</v>
      </c>
      <c r="AD901" s="6">
        <f>$O$901*$X$901</f>
        <v>3571.6706999999997</v>
      </c>
      <c r="AE901" s="6">
        <f>$K$901*$Y$901</f>
        <v>0</v>
      </c>
      <c r="AF901" s="6">
        <f ca="1">$M$901*$Z$901</f>
        <v>4481.4361906692639</v>
      </c>
      <c r="AG901" s="6">
        <f>$O$901*$AA$901</f>
        <v>3363.208903272257</v>
      </c>
    </row>
    <row r="902" spans="1:33" ht="11.25" customHeight="1" x14ac:dyDescent="0.25">
      <c r="A902" s="4" t="s">
        <v>21</v>
      </c>
      <c r="B902" s="4" t="s">
        <v>39</v>
      </c>
      <c r="C902" s="4" t="s">
        <v>23</v>
      </c>
      <c r="D902" s="4" t="s">
        <v>52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44440</v>
      </c>
      <c r="J902" s="6">
        <v>0</v>
      </c>
      <c r="K902" s="6">
        <v>0</v>
      </c>
      <c r="L902" s="6">
        <v>11.031000000000001</v>
      </c>
      <c r="M902" s="6">
        <v>11.031000000000001</v>
      </c>
      <c r="N902" s="6">
        <v>11.031000000000001</v>
      </c>
      <c r="O902" s="6">
        <v>11.031000000000001</v>
      </c>
      <c r="P902" s="6">
        <v>3</v>
      </c>
      <c r="Q902" s="4" t="s">
        <v>26</v>
      </c>
      <c r="R902" s="4">
        <v>0</v>
      </c>
      <c r="S902" s="6">
        <v>0</v>
      </c>
      <c r="T902" s="6">
        <v>58</v>
      </c>
      <c r="U902" s="6">
        <v>99</v>
      </c>
      <c r="V902" s="6">
        <f>IF(ISERROR(VLOOKUP($S$902,'TAR FIN'!$A$1:$O$103,15,0)),0,VLOOKUP($S$902,'TAR FIN'!$A$1:$O$103,15,0))</f>
        <v>0</v>
      </c>
      <c r="W902" s="6">
        <f>IF(ISERROR(VLOOKUP($T$902,'TAR FIN'!$A$1:$O$103,15,0)),0,VLOOKUP($T$902,'TAR FIN'!$A$1:$O$103,15,0))</f>
        <v>269.91000000000003</v>
      </c>
      <c r="X902" s="6">
        <f>IF(ISERROR(VLOOKUP($U$902,'TAR FIN'!$A$1:$O$103,15,0)),0,VLOOKUP($U$902,'TAR FIN'!$A$1:$O$103,15,0))</f>
        <v>288.89999999999998</v>
      </c>
      <c r="Y902" s="6"/>
      <c r="Z902" s="6">
        <f ca="1">('TUSD BE'!$AM$58+'TUSD BF'!$AM$58+'TUSD CVA'!$AM$58)*1</f>
        <v>362.48776111536552</v>
      </c>
      <c r="AA902" s="6">
        <f>('TE BE'!$AB$42+'TE BF'!$AB$42+'TE CVA'!$AB$42)*1</f>
        <v>272.03825149820085</v>
      </c>
      <c r="AB902" s="6">
        <f>$K$902*$V$902</f>
        <v>0</v>
      </c>
      <c r="AC902" s="6">
        <f>$M$902*$W$902</f>
        <v>2977.3772100000006</v>
      </c>
      <c r="AD902" s="6">
        <f>$O$902*$X$902</f>
        <v>3186.8559</v>
      </c>
      <c r="AE902" s="6">
        <f>$K$902*$Y$902</f>
        <v>0</v>
      </c>
      <c r="AF902" s="6">
        <f ca="1">$M$902*$Z$902</f>
        <v>3998.602492863597</v>
      </c>
      <c r="AG902" s="6">
        <f>$O$902*$AA$902</f>
        <v>3000.8539522766537</v>
      </c>
    </row>
    <row r="903" spans="1:33" ht="11.25" customHeight="1" x14ac:dyDescent="0.25">
      <c r="A903" s="4" t="s">
        <v>21</v>
      </c>
      <c r="B903" s="4" t="s">
        <v>39</v>
      </c>
      <c r="C903" s="4" t="s">
        <v>23</v>
      </c>
      <c r="D903" s="4" t="s">
        <v>52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44470</v>
      </c>
      <c r="J903" s="6">
        <v>0</v>
      </c>
      <c r="K903" s="6">
        <v>0</v>
      </c>
      <c r="L903" s="6">
        <v>10.638999999999999</v>
      </c>
      <c r="M903" s="6">
        <v>10.638999999999999</v>
      </c>
      <c r="N903" s="6">
        <v>10.638999999999999</v>
      </c>
      <c r="O903" s="6">
        <v>10.638999999999999</v>
      </c>
      <c r="P903" s="6">
        <v>3</v>
      </c>
      <c r="Q903" s="4" t="s">
        <v>26</v>
      </c>
      <c r="R903" s="4">
        <v>0</v>
      </c>
      <c r="S903" s="6">
        <v>0</v>
      </c>
      <c r="T903" s="6">
        <v>58</v>
      </c>
      <c r="U903" s="6">
        <v>99</v>
      </c>
      <c r="V903" s="6">
        <f>IF(ISERROR(VLOOKUP($S$903,'TAR FIN'!$A$1:$O$103,15,0)),0,VLOOKUP($S$903,'TAR FIN'!$A$1:$O$103,15,0))</f>
        <v>0</v>
      </c>
      <c r="W903" s="6">
        <f>IF(ISERROR(VLOOKUP($T$903,'TAR FIN'!$A$1:$O$103,15,0)),0,VLOOKUP($T$903,'TAR FIN'!$A$1:$O$103,15,0))</f>
        <v>269.91000000000003</v>
      </c>
      <c r="X903" s="6">
        <f>IF(ISERROR(VLOOKUP($U$903,'TAR FIN'!$A$1:$O$103,15,0)),0,VLOOKUP($U$903,'TAR FIN'!$A$1:$O$103,15,0))</f>
        <v>288.89999999999998</v>
      </c>
      <c r="Y903" s="6"/>
      <c r="Z903" s="6">
        <f ca="1">('TUSD BE'!$AM$58+'TUSD BF'!$AM$58+'TUSD CVA'!$AM$58)*1</f>
        <v>362.48776111536552</v>
      </c>
      <c r="AA903" s="6">
        <f>('TE BE'!$AB$42+'TE BF'!$AB$42+'TE CVA'!$AB$42)*1</f>
        <v>272.03825149820085</v>
      </c>
      <c r="AB903" s="6">
        <f>$K$903*$V$903</f>
        <v>0</v>
      </c>
      <c r="AC903" s="6">
        <f>$M$903*$W$903</f>
        <v>2871.57249</v>
      </c>
      <c r="AD903" s="6">
        <f>$O$903*$X$903</f>
        <v>3073.6070999999997</v>
      </c>
      <c r="AE903" s="6">
        <f>$K$903*$Y$903</f>
        <v>0</v>
      </c>
      <c r="AF903" s="6">
        <f ca="1">$M$903*$Z$903</f>
        <v>3856.5072905063735</v>
      </c>
      <c r="AG903" s="6">
        <f>$O$903*$AA$903</f>
        <v>2894.2149576893585</v>
      </c>
    </row>
    <row r="904" spans="1:33" ht="11.25" customHeight="1" x14ac:dyDescent="0.25">
      <c r="A904" s="4" t="s">
        <v>21</v>
      </c>
      <c r="B904" s="4" t="s">
        <v>39</v>
      </c>
      <c r="C904" s="4" t="s">
        <v>23</v>
      </c>
      <c r="D904" s="4" t="s">
        <v>52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44501</v>
      </c>
      <c r="J904" s="6">
        <v>0</v>
      </c>
      <c r="K904" s="6">
        <v>0</v>
      </c>
      <c r="L904" s="6">
        <v>10.872</v>
      </c>
      <c r="M904" s="6">
        <v>10.872</v>
      </c>
      <c r="N904" s="6">
        <v>10.872</v>
      </c>
      <c r="O904" s="6">
        <v>10.872</v>
      </c>
      <c r="P904" s="6">
        <v>3</v>
      </c>
      <c r="Q904" s="4" t="s">
        <v>26</v>
      </c>
      <c r="R904" s="4">
        <v>0</v>
      </c>
      <c r="S904" s="6">
        <v>0</v>
      </c>
      <c r="T904" s="6">
        <v>58</v>
      </c>
      <c r="U904" s="6">
        <v>99</v>
      </c>
      <c r="V904" s="6">
        <f>IF(ISERROR(VLOOKUP($S$904,'TAR FIN'!$A$1:$O$103,15,0)),0,VLOOKUP($S$904,'TAR FIN'!$A$1:$O$103,15,0))</f>
        <v>0</v>
      </c>
      <c r="W904" s="6">
        <f>IF(ISERROR(VLOOKUP($T$904,'TAR FIN'!$A$1:$O$103,15,0)),0,VLOOKUP($T$904,'TAR FIN'!$A$1:$O$103,15,0))</f>
        <v>269.91000000000003</v>
      </c>
      <c r="X904" s="6">
        <f>IF(ISERROR(VLOOKUP($U$904,'TAR FIN'!$A$1:$O$103,15,0)),0,VLOOKUP($U$904,'TAR FIN'!$A$1:$O$103,15,0))</f>
        <v>288.89999999999998</v>
      </c>
      <c r="Y904" s="6"/>
      <c r="Z904" s="6">
        <f ca="1">('TUSD BE'!$AM$58+'TUSD BF'!$AM$58+'TUSD CVA'!$AM$58)*1</f>
        <v>362.48776111536552</v>
      </c>
      <c r="AA904" s="6">
        <f>('TE BE'!$AB$42+'TE BF'!$AB$42+'TE CVA'!$AB$42)*1</f>
        <v>272.03825149820085</v>
      </c>
      <c r="AB904" s="6">
        <f>$K$904*$V$904</f>
        <v>0</v>
      </c>
      <c r="AC904" s="6">
        <f>$M$904*$W$904</f>
        <v>2934.4615200000003</v>
      </c>
      <c r="AD904" s="6">
        <f>$O$904*$X$904</f>
        <v>3140.9207999999999</v>
      </c>
      <c r="AE904" s="6">
        <f>$K$904*$Y$904</f>
        <v>0</v>
      </c>
      <c r="AF904" s="6">
        <f ca="1">$M$904*$Z$904</f>
        <v>3940.9669388462539</v>
      </c>
      <c r="AG904" s="6">
        <f>$O$904*$AA$904</f>
        <v>2957.5998702884394</v>
      </c>
    </row>
    <row r="905" spans="1:33" ht="11.25" customHeight="1" x14ac:dyDescent="0.25">
      <c r="A905" s="4" t="s">
        <v>21</v>
      </c>
      <c r="B905" s="4" t="s">
        <v>39</v>
      </c>
      <c r="C905" s="4" t="s">
        <v>23</v>
      </c>
      <c r="D905" s="4" t="s">
        <v>52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44531</v>
      </c>
      <c r="J905" s="6">
        <v>0</v>
      </c>
      <c r="K905" s="6">
        <v>0</v>
      </c>
      <c r="L905" s="6">
        <v>11.117000000000001</v>
      </c>
      <c r="M905" s="6">
        <v>11.117000000000001</v>
      </c>
      <c r="N905" s="6">
        <v>11.117000000000001</v>
      </c>
      <c r="O905" s="6">
        <v>11.117000000000001</v>
      </c>
      <c r="P905" s="6">
        <v>3</v>
      </c>
      <c r="Q905" s="4" t="s">
        <v>26</v>
      </c>
      <c r="R905" s="4">
        <v>0</v>
      </c>
      <c r="S905" s="6">
        <v>0</v>
      </c>
      <c r="T905" s="6">
        <v>58</v>
      </c>
      <c r="U905" s="6">
        <v>99</v>
      </c>
      <c r="V905" s="6">
        <f>IF(ISERROR(VLOOKUP($S$905,'TAR FIN'!$A$1:$O$103,15,0)),0,VLOOKUP($S$905,'TAR FIN'!$A$1:$O$103,15,0))</f>
        <v>0</v>
      </c>
      <c r="W905" s="6">
        <f>IF(ISERROR(VLOOKUP($T$905,'TAR FIN'!$A$1:$O$103,15,0)),0,VLOOKUP($T$905,'TAR FIN'!$A$1:$O$103,15,0))</f>
        <v>269.91000000000003</v>
      </c>
      <c r="X905" s="6">
        <f>IF(ISERROR(VLOOKUP($U$905,'TAR FIN'!$A$1:$O$103,15,0)),0,VLOOKUP($U$905,'TAR FIN'!$A$1:$O$103,15,0))</f>
        <v>288.89999999999998</v>
      </c>
      <c r="Y905" s="6"/>
      <c r="Z905" s="6">
        <f ca="1">('TUSD BE'!$AM$58+'TUSD BF'!$AM$58+'TUSD CVA'!$AM$58)*1</f>
        <v>362.48776111536552</v>
      </c>
      <c r="AA905" s="6">
        <f>('TE BE'!$AB$42+'TE BF'!$AB$42+'TE CVA'!$AB$42)*1</f>
        <v>272.03825149820085</v>
      </c>
      <c r="AB905" s="6">
        <f>$K$905*$V$905</f>
        <v>0</v>
      </c>
      <c r="AC905" s="6">
        <f>$M$905*$W$905</f>
        <v>3000.5894700000003</v>
      </c>
      <c r="AD905" s="6">
        <f>$O$905*$X$905</f>
        <v>3211.7013000000002</v>
      </c>
      <c r="AE905" s="6">
        <f>$K$905*$Y$905</f>
        <v>0</v>
      </c>
      <c r="AF905" s="6">
        <f ca="1">$M$905*$Z$905</f>
        <v>4029.7764403195188</v>
      </c>
      <c r="AG905" s="6">
        <f>$O$905*$AA$905</f>
        <v>3024.2492419054993</v>
      </c>
    </row>
    <row r="906" spans="1:33" ht="11.25" customHeight="1" x14ac:dyDescent="0.25">
      <c r="A906" s="4" t="s">
        <v>21</v>
      </c>
      <c r="B906" s="4" t="s">
        <v>39</v>
      </c>
      <c r="C906" s="4" t="s">
        <v>23</v>
      </c>
      <c r="D906" s="4" t="s">
        <v>52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44562</v>
      </c>
      <c r="J906" s="6">
        <v>0</v>
      </c>
      <c r="K906" s="6">
        <v>0</v>
      </c>
      <c r="L906" s="6">
        <v>11.391</v>
      </c>
      <c r="M906" s="6">
        <v>11.391</v>
      </c>
      <c r="N906" s="6">
        <v>11.391</v>
      </c>
      <c r="O906" s="6">
        <v>11.391</v>
      </c>
      <c r="P906" s="6">
        <v>3</v>
      </c>
      <c r="Q906" s="4" t="s">
        <v>26</v>
      </c>
      <c r="R906" s="4">
        <v>0</v>
      </c>
      <c r="S906" s="6">
        <v>0</v>
      </c>
      <c r="T906" s="6">
        <v>58</v>
      </c>
      <c r="U906" s="6">
        <v>99</v>
      </c>
      <c r="V906" s="6">
        <f>IF(ISERROR(VLOOKUP($S$906,'TAR FIN'!$A$1:$O$103,15,0)),0,VLOOKUP($S$906,'TAR FIN'!$A$1:$O$103,15,0))</f>
        <v>0</v>
      </c>
      <c r="W906" s="6">
        <f>IF(ISERROR(VLOOKUP($T$906,'TAR FIN'!$A$1:$O$103,15,0)),0,VLOOKUP($T$906,'TAR FIN'!$A$1:$O$103,15,0))</f>
        <v>269.91000000000003</v>
      </c>
      <c r="X906" s="6">
        <f>IF(ISERROR(VLOOKUP($U$906,'TAR FIN'!$A$1:$O$103,15,0)),0,VLOOKUP($U$906,'TAR FIN'!$A$1:$O$103,15,0))</f>
        <v>288.89999999999998</v>
      </c>
      <c r="Y906" s="6"/>
      <c r="Z906" s="6">
        <f ca="1">('TUSD BE'!$AM$58+'TUSD BF'!$AM$58+'TUSD CVA'!$AM$58)*1</f>
        <v>362.48776111536552</v>
      </c>
      <c r="AA906" s="6">
        <f>('TE BE'!$AB$42+'TE BF'!$AB$42+'TE CVA'!$AB$42)*1</f>
        <v>272.03825149820085</v>
      </c>
      <c r="AB906" s="6">
        <f>$K$906*$V$906</f>
        <v>0</v>
      </c>
      <c r="AC906" s="6">
        <f>$M$906*$W$906</f>
        <v>3074.5448100000003</v>
      </c>
      <c r="AD906" s="6">
        <f>$O$906*$X$906</f>
        <v>3290.8598999999999</v>
      </c>
      <c r="AE906" s="6">
        <f>$K$906*$Y$906</f>
        <v>0</v>
      </c>
      <c r="AF906" s="6">
        <f ca="1">$M$906*$Z$906</f>
        <v>4129.0980868651286</v>
      </c>
      <c r="AG906" s="6">
        <f>$O$906*$AA$906</f>
        <v>3098.787722816006</v>
      </c>
    </row>
    <row r="907" spans="1:33" ht="11.25" customHeight="1" x14ac:dyDescent="0.25">
      <c r="A907" s="4" t="s">
        <v>21</v>
      </c>
      <c r="B907" s="4" t="s">
        <v>39</v>
      </c>
      <c r="C907" s="4" t="s">
        <v>23</v>
      </c>
      <c r="D907" s="4" t="s">
        <v>52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44593</v>
      </c>
      <c r="J907" s="6">
        <v>0</v>
      </c>
      <c r="K907" s="6">
        <v>0</v>
      </c>
      <c r="L907" s="6">
        <v>10.548</v>
      </c>
      <c r="M907" s="6">
        <v>10.548</v>
      </c>
      <c r="N907" s="6">
        <v>10.548</v>
      </c>
      <c r="O907" s="6">
        <v>10.548</v>
      </c>
      <c r="P907" s="6">
        <v>3</v>
      </c>
      <c r="Q907" s="4" t="s">
        <v>26</v>
      </c>
      <c r="R907" s="4">
        <v>0</v>
      </c>
      <c r="S907" s="6">
        <v>0</v>
      </c>
      <c r="T907" s="6">
        <v>58</v>
      </c>
      <c r="U907" s="6">
        <v>99</v>
      </c>
      <c r="V907" s="6">
        <f>IF(ISERROR(VLOOKUP($S$907,'TAR FIN'!$A$1:$O$103,15,0)),0,VLOOKUP($S$907,'TAR FIN'!$A$1:$O$103,15,0))</f>
        <v>0</v>
      </c>
      <c r="W907" s="6">
        <f>IF(ISERROR(VLOOKUP($T$907,'TAR FIN'!$A$1:$O$103,15,0)),0,VLOOKUP($T$907,'TAR FIN'!$A$1:$O$103,15,0))</f>
        <v>269.91000000000003</v>
      </c>
      <c r="X907" s="6">
        <f>IF(ISERROR(VLOOKUP($U$907,'TAR FIN'!$A$1:$O$103,15,0)),0,VLOOKUP($U$907,'TAR FIN'!$A$1:$O$103,15,0))</f>
        <v>288.89999999999998</v>
      </c>
      <c r="Y907" s="6"/>
      <c r="Z907" s="6">
        <f ca="1">('TUSD BE'!$AM$58+'TUSD BF'!$AM$58+'TUSD CVA'!$AM$58)*1</f>
        <v>362.48776111536552</v>
      </c>
      <c r="AA907" s="6">
        <f>('TE BE'!$AB$42+'TE BF'!$AB$42+'TE CVA'!$AB$42)*1</f>
        <v>272.03825149820085</v>
      </c>
      <c r="AB907" s="6">
        <f>$K$907*$V$907</f>
        <v>0</v>
      </c>
      <c r="AC907" s="6">
        <f>$M$907*$W$907</f>
        <v>2847.0106800000003</v>
      </c>
      <c r="AD907" s="6">
        <f>$O$907*$X$907</f>
        <v>3047.3172</v>
      </c>
      <c r="AE907" s="6">
        <f>$K$907*$Y$907</f>
        <v>0</v>
      </c>
      <c r="AF907" s="6">
        <f ca="1">$M$907*$Z$907</f>
        <v>3823.5209042448755</v>
      </c>
      <c r="AG907" s="6">
        <f>$O$907*$AA$907</f>
        <v>2869.4594768030224</v>
      </c>
    </row>
    <row r="908" spans="1:33" ht="11.25" customHeight="1" x14ac:dyDescent="0.25">
      <c r="A908" s="4" t="s">
        <v>21</v>
      </c>
      <c r="B908" s="4" t="s">
        <v>39</v>
      </c>
      <c r="C908" s="4" t="s">
        <v>23</v>
      </c>
      <c r="D908" s="4" t="s">
        <v>52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44621</v>
      </c>
      <c r="J908" s="6">
        <v>0</v>
      </c>
      <c r="K908" s="6">
        <v>0</v>
      </c>
      <c r="L908" s="6">
        <v>11.641</v>
      </c>
      <c r="M908" s="6">
        <v>11.641</v>
      </c>
      <c r="N908" s="6">
        <v>11.641</v>
      </c>
      <c r="O908" s="6">
        <v>11.641</v>
      </c>
      <c r="P908" s="6">
        <v>3</v>
      </c>
      <c r="Q908" s="4" t="s">
        <v>26</v>
      </c>
      <c r="R908" s="4">
        <v>0</v>
      </c>
      <c r="S908" s="6">
        <v>0</v>
      </c>
      <c r="T908" s="6">
        <v>58</v>
      </c>
      <c r="U908" s="6">
        <v>99</v>
      </c>
      <c r="V908" s="6">
        <f>IF(ISERROR(VLOOKUP($S$908,'TAR FIN'!$A$1:$O$103,15,0)),0,VLOOKUP($S$908,'TAR FIN'!$A$1:$O$103,15,0))</f>
        <v>0</v>
      </c>
      <c r="W908" s="6">
        <f>IF(ISERROR(VLOOKUP($T$908,'TAR FIN'!$A$1:$O$103,15,0)),0,VLOOKUP($T$908,'TAR FIN'!$A$1:$O$103,15,0))</f>
        <v>269.91000000000003</v>
      </c>
      <c r="X908" s="6">
        <f>IF(ISERROR(VLOOKUP($U$908,'TAR FIN'!$A$1:$O$103,15,0)),0,VLOOKUP($U$908,'TAR FIN'!$A$1:$O$103,15,0))</f>
        <v>288.89999999999998</v>
      </c>
      <c r="Y908" s="6"/>
      <c r="Z908" s="6">
        <f ca="1">('TUSD BE'!$AM$58+'TUSD BF'!$AM$58+'TUSD CVA'!$AM$58)*1</f>
        <v>362.48776111536552</v>
      </c>
      <c r="AA908" s="6">
        <f>('TE BE'!$AB$42+'TE BF'!$AB$42+'TE CVA'!$AB$42)*1</f>
        <v>272.03825149820085</v>
      </c>
      <c r="AB908" s="6">
        <f>$K$908*$V$908</f>
        <v>0</v>
      </c>
      <c r="AC908" s="6">
        <f>$M$908*$W$908</f>
        <v>3142.0223100000003</v>
      </c>
      <c r="AD908" s="6">
        <f>$O$908*$X$908</f>
        <v>3363.0848999999998</v>
      </c>
      <c r="AE908" s="6">
        <f>$K$908*$Y$908</f>
        <v>0</v>
      </c>
      <c r="AF908" s="6">
        <f ca="1">$M$908*$Z$908</f>
        <v>4219.7200271439697</v>
      </c>
      <c r="AG908" s="6">
        <f>$O$908*$AA$908</f>
        <v>3166.7972856905562</v>
      </c>
    </row>
    <row r="909" spans="1:33" ht="11.25" customHeight="1" x14ac:dyDescent="0.25">
      <c r="A909" s="4" t="s">
        <v>21</v>
      </c>
      <c r="B909" s="4" t="s">
        <v>39</v>
      </c>
      <c r="C909" s="4" t="s">
        <v>23</v>
      </c>
      <c r="D909" s="4" t="s">
        <v>52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44652</v>
      </c>
      <c r="J909" s="6">
        <v>0</v>
      </c>
      <c r="K909" s="6">
        <v>0</v>
      </c>
      <c r="L909" s="6">
        <v>10.666</v>
      </c>
      <c r="M909" s="6">
        <v>10.666</v>
      </c>
      <c r="N909" s="6">
        <v>10.666</v>
      </c>
      <c r="O909" s="6">
        <v>10.666</v>
      </c>
      <c r="P909" s="6">
        <v>3</v>
      </c>
      <c r="Q909" s="4" t="s">
        <v>26</v>
      </c>
      <c r="R909" s="4">
        <v>0</v>
      </c>
      <c r="S909" s="6">
        <v>0</v>
      </c>
      <c r="T909" s="6">
        <v>58</v>
      </c>
      <c r="U909" s="6">
        <v>99</v>
      </c>
      <c r="V909" s="6">
        <f>IF(ISERROR(VLOOKUP($S$909,'TAR FIN'!$A$1:$O$103,15,0)),0,VLOOKUP($S$909,'TAR FIN'!$A$1:$O$103,15,0))</f>
        <v>0</v>
      </c>
      <c r="W909" s="6">
        <f>IF(ISERROR(VLOOKUP($T$909,'TAR FIN'!$A$1:$O$103,15,0)),0,VLOOKUP($T$909,'TAR FIN'!$A$1:$O$103,15,0))</f>
        <v>269.91000000000003</v>
      </c>
      <c r="X909" s="6">
        <f>IF(ISERROR(VLOOKUP($U$909,'TAR FIN'!$A$1:$O$103,15,0)),0,VLOOKUP($U$909,'TAR FIN'!$A$1:$O$103,15,0))</f>
        <v>288.89999999999998</v>
      </c>
      <c r="Y909" s="6"/>
      <c r="Z909" s="6">
        <f ca="1">('TUSD BE'!$AM$58+'TUSD BF'!$AM$58+'TUSD CVA'!$AM$58)*1</f>
        <v>362.48776111536552</v>
      </c>
      <c r="AA909" s="6">
        <f>('TE BE'!$AB$42+'TE BF'!$AB$42+'TE CVA'!$AB$42)*1</f>
        <v>272.03825149820085</v>
      </c>
      <c r="AB909" s="6">
        <f>$K$909*$V$909</f>
        <v>0</v>
      </c>
      <c r="AC909" s="6">
        <f>$M$909*$W$909</f>
        <v>2878.8600600000004</v>
      </c>
      <c r="AD909" s="6">
        <f>$O$909*$X$909</f>
        <v>3081.4074000000001</v>
      </c>
      <c r="AE909" s="6">
        <f>$K$909*$Y$909</f>
        <v>0</v>
      </c>
      <c r="AF909" s="6">
        <f ca="1">$M$909*$Z$909</f>
        <v>3866.2944600564888</v>
      </c>
      <c r="AG909" s="6">
        <f>$O$909*$AA$909</f>
        <v>2901.5599904798105</v>
      </c>
    </row>
    <row r="910" spans="1:33" ht="11.25" customHeight="1" x14ac:dyDescent="0.25">
      <c r="A910" s="4" t="s">
        <v>21</v>
      </c>
      <c r="B910" s="4" t="s">
        <v>39</v>
      </c>
      <c r="C910" s="4" t="s">
        <v>23</v>
      </c>
      <c r="D910" s="4" t="s">
        <v>52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44682</v>
      </c>
      <c r="J910" s="6">
        <v>0</v>
      </c>
      <c r="K910" s="6">
        <v>0</v>
      </c>
      <c r="L910" s="6">
        <v>10.265000000000001</v>
      </c>
      <c r="M910" s="6">
        <v>10.265000000000001</v>
      </c>
      <c r="N910" s="6">
        <v>10.265000000000001</v>
      </c>
      <c r="O910" s="6">
        <v>10.265000000000001</v>
      </c>
      <c r="P910" s="6">
        <v>3</v>
      </c>
      <c r="Q910" s="4" t="s">
        <v>26</v>
      </c>
      <c r="R910" s="4">
        <v>0</v>
      </c>
      <c r="S910" s="6">
        <v>0</v>
      </c>
      <c r="T910" s="6">
        <v>58</v>
      </c>
      <c r="U910" s="6">
        <v>99</v>
      </c>
      <c r="V910" s="6">
        <f>IF(ISERROR(VLOOKUP($S$910,'TAR FIN'!$A$1:$O$103,15,0)),0,VLOOKUP($S$910,'TAR FIN'!$A$1:$O$103,15,0))</f>
        <v>0</v>
      </c>
      <c r="W910" s="6">
        <f>IF(ISERROR(VLOOKUP($T$910,'TAR FIN'!$A$1:$O$103,15,0)),0,VLOOKUP($T$910,'TAR FIN'!$A$1:$O$103,15,0))</f>
        <v>269.91000000000003</v>
      </c>
      <c r="X910" s="6">
        <f>IF(ISERROR(VLOOKUP($U$910,'TAR FIN'!$A$1:$O$103,15,0)),0,VLOOKUP($U$910,'TAR FIN'!$A$1:$O$103,15,0))</f>
        <v>288.89999999999998</v>
      </c>
      <c r="Y910" s="6"/>
      <c r="Z910" s="6">
        <f ca="1">('TUSD BE'!$AM$58+'TUSD BF'!$AM$58+'TUSD CVA'!$AM$58)*1</f>
        <v>362.48776111536552</v>
      </c>
      <c r="AA910" s="6">
        <f>('TE BE'!$AB$42+'TE BF'!$AB$42+'TE CVA'!$AB$42)*1</f>
        <v>272.03825149820085</v>
      </c>
      <c r="AB910" s="6">
        <f>$K$910*$V$910</f>
        <v>0</v>
      </c>
      <c r="AC910" s="6">
        <f>$M$910*$W$910</f>
        <v>2770.6261500000005</v>
      </c>
      <c r="AD910" s="6">
        <f>$O$910*$X$910</f>
        <v>2965.5585000000001</v>
      </c>
      <c r="AE910" s="6">
        <f>$K$910*$Y$910</f>
        <v>0</v>
      </c>
      <c r="AF910" s="6">
        <f ca="1">$M$910*$Z$910</f>
        <v>3720.9368678492274</v>
      </c>
      <c r="AG910" s="6">
        <f>$O$910*$AA$910</f>
        <v>2792.472651629032</v>
      </c>
    </row>
    <row r="911" spans="1:33" ht="11.25" customHeight="1" x14ac:dyDescent="0.25">
      <c r="A911" s="4" t="s">
        <v>21</v>
      </c>
      <c r="B911" s="4" t="s">
        <v>39</v>
      </c>
      <c r="C911" s="4" t="s">
        <v>23</v>
      </c>
      <c r="D911" s="4" t="s">
        <v>40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44348</v>
      </c>
      <c r="J911" s="6">
        <v>0</v>
      </c>
      <c r="K911" s="6">
        <v>0</v>
      </c>
      <c r="L911" s="6">
        <v>278.79899999999998</v>
      </c>
      <c r="M911" s="6">
        <v>278.79899999999998</v>
      </c>
      <c r="N911" s="6">
        <v>278.79899999999998</v>
      </c>
      <c r="O911" s="6">
        <v>278.79899999999998</v>
      </c>
      <c r="P911" s="6">
        <v>284</v>
      </c>
      <c r="Q911" s="4" t="s">
        <v>26</v>
      </c>
      <c r="R911" s="4">
        <v>0</v>
      </c>
      <c r="S911" s="6">
        <v>0</v>
      </c>
      <c r="T911" s="6">
        <v>58</v>
      </c>
      <c r="U911" s="6">
        <v>99</v>
      </c>
      <c r="V911" s="6">
        <f>IF(ISERROR(VLOOKUP($S$911,'TAR FIN'!$A$1:$O$103,15,0)),0,VLOOKUP($S$911,'TAR FIN'!$A$1:$O$103,15,0))</f>
        <v>0</v>
      </c>
      <c r="W911" s="6">
        <f>IF(ISERROR(VLOOKUP($T$911,'TAR FIN'!$A$1:$O$103,15,0)),0,VLOOKUP($T$911,'TAR FIN'!$A$1:$O$103,15,0))</f>
        <v>269.91000000000003</v>
      </c>
      <c r="X911" s="6">
        <f>IF(ISERROR(VLOOKUP($U$911,'TAR FIN'!$A$1:$O$103,15,0)),0,VLOOKUP($U$911,'TAR FIN'!$A$1:$O$103,15,0))</f>
        <v>288.89999999999998</v>
      </c>
      <c r="Y911" s="6"/>
      <c r="Z911" s="6">
        <f ca="1">('TUSD BE'!$AM$58+'TUSD BF'!$AM$58+'TUSD CVA'!$AM$58)*1</f>
        <v>362.48776111536552</v>
      </c>
      <c r="AA911" s="6">
        <f>('TE BE'!$AB$42+'TE BF'!$AB$42+'TE CVA'!$AB$42)*1</f>
        <v>272.03825149820085</v>
      </c>
      <c r="AB911" s="6">
        <f>$K$911*$V$911</f>
        <v>0</v>
      </c>
      <c r="AC911" s="6">
        <f>$M$911*$W$911</f>
        <v>75250.638090000008</v>
      </c>
      <c r="AD911" s="6">
        <f>$O$911*$X$911</f>
        <v>80545.031099999993</v>
      </c>
      <c r="AE911" s="6">
        <f>$K$911*$Y$911</f>
        <v>0</v>
      </c>
      <c r="AF911" s="6">
        <f ca="1">$M$911*$Z$911</f>
        <v>101061.22531120278</v>
      </c>
      <c r="AG911" s="6">
        <f>$O$911*$AA$911</f>
        <v>75843.992479446897</v>
      </c>
    </row>
    <row r="912" spans="1:33" ht="11.25" customHeight="1" x14ac:dyDescent="0.25">
      <c r="A912" s="4" t="s">
        <v>27</v>
      </c>
      <c r="B912" s="4" t="s">
        <v>39</v>
      </c>
      <c r="C912" s="4" t="s">
        <v>23</v>
      </c>
      <c r="D912" s="4" t="s">
        <v>40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44348</v>
      </c>
      <c r="J912" s="6">
        <v>0</v>
      </c>
      <c r="K912" s="6">
        <v>0</v>
      </c>
      <c r="L912" s="6">
        <v>-1.7999999999999999E-2</v>
      </c>
      <c r="M912" s="6">
        <v>-1.7999999999999999E-2</v>
      </c>
      <c r="N912" s="6">
        <v>-1.7999999999999999E-2</v>
      </c>
      <c r="O912" s="6">
        <v>-1.7999999999999999E-2</v>
      </c>
      <c r="P912" s="6">
        <v>0</v>
      </c>
      <c r="Q912" s="4" t="s">
        <v>26</v>
      </c>
      <c r="R912" s="4">
        <v>0</v>
      </c>
      <c r="S912" s="6">
        <v>0</v>
      </c>
      <c r="T912" s="6">
        <v>58</v>
      </c>
      <c r="U912" s="6">
        <v>99</v>
      </c>
      <c r="V912" s="6">
        <f>IF(ISERROR(VLOOKUP($S$912,'TAR FIN'!$A$1:$O$103,15,0)),0,VLOOKUP($S$912,'TAR FIN'!$A$1:$O$103,15,0))</f>
        <v>0</v>
      </c>
      <c r="W912" s="6">
        <f>IF(ISERROR(VLOOKUP($T$912,'TAR FIN'!$A$1:$O$103,15,0)),0,VLOOKUP($T$912,'TAR FIN'!$A$1:$O$103,15,0))</f>
        <v>269.91000000000003</v>
      </c>
      <c r="X912" s="6">
        <f>IF(ISERROR(VLOOKUP($U$912,'TAR FIN'!$A$1:$O$103,15,0)),0,VLOOKUP($U$912,'TAR FIN'!$A$1:$O$103,15,0))</f>
        <v>288.89999999999998</v>
      </c>
      <c r="Y912" s="6"/>
      <c r="Z912" s="6">
        <f ca="1">('TUSD BE'!$AM$58+'TUSD BF'!$AM$58+'TUSD CVA'!$AM$58)*1</f>
        <v>362.48776111536552</v>
      </c>
      <c r="AA912" s="6">
        <f>('TE BE'!$AB$42+'TE BF'!$AB$42+'TE CVA'!$AB$42)*1</f>
        <v>272.03825149820085</v>
      </c>
      <c r="AB912" s="6">
        <f>$K$912*$V$912</f>
        <v>0</v>
      </c>
      <c r="AC912" s="6">
        <f>$M$912*$W$912</f>
        <v>-4.8583800000000004</v>
      </c>
      <c r="AD912" s="6">
        <f>$O$912*$X$912</f>
        <v>-5.2001999999999988</v>
      </c>
      <c r="AE912" s="6">
        <f>$K$912*$Y$912</f>
        <v>0</v>
      </c>
      <c r="AF912" s="6">
        <f ca="1">$M$912*$Z$912</f>
        <v>-6.5247797000765786</v>
      </c>
      <c r="AG912" s="6">
        <f>$O$912*$AA$912</f>
        <v>-4.8966885269676146</v>
      </c>
    </row>
    <row r="913" spans="1:33" ht="11.25" customHeight="1" x14ac:dyDescent="0.25">
      <c r="A913" s="4" t="s">
        <v>28</v>
      </c>
      <c r="B913" s="4" t="s">
        <v>39</v>
      </c>
      <c r="C913" s="4" t="s">
        <v>23</v>
      </c>
      <c r="D913" s="4" t="s">
        <v>40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44348</v>
      </c>
      <c r="J913" s="6">
        <v>0</v>
      </c>
      <c r="K913" s="6">
        <v>0</v>
      </c>
      <c r="L913" s="6">
        <v>1.6619999999999999</v>
      </c>
      <c r="M913" s="6">
        <v>1.6619999999999999</v>
      </c>
      <c r="N913" s="6">
        <v>1.6619999999999999</v>
      </c>
      <c r="O913" s="6">
        <v>1.6619999999999999</v>
      </c>
      <c r="P913" s="6">
        <v>2</v>
      </c>
      <c r="Q913" s="4" t="s">
        <v>26</v>
      </c>
      <c r="R913" s="4">
        <v>0</v>
      </c>
      <c r="S913" s="6">
        <v>0</v>
      </c>
      <c r="T913" s="6">
        <v>58</v>
      </c>
      <c r="U913" s="6">
        <v>99</v>
      </c>
      <c r="V913" s="6">
        <f>IF(ISERROR(VLOOKUP($S$913,'TAR FIN'!$A$1:$O$103,15,0)),0,VLOOKUP($S$913,'TAR FIN'!$A$1:$O$103,15,0))</f>
        <v>0</v>
      </c>
      <c r="W913" s="6">
        <f>IF(ISERROR(VLOOKUP($T$913,'TAR FIN'!$A$1:$O$103,15,0)),0,VLOOKUP($T$913,'TAR FIN'!$A$1:$O$103,15,0))</f>
        <v>269.91000000000003</v>
      </c>
      <c r="X913" s="6">
        <f>IF(ISERROR(VLOOKUP($U$913,'TAR FIN'!$A$1:$O$103,15,0)),0,VLOOKUP($U$913,'TAR FIN'!$A$1:$O$103,15,0))</f>
        <v>288.89999999999998</v>
      </c>
      <c r="Y913" s="6"/>
      <c r="Z913" s="6">
        <f ca="1">('TUSD BE'!$AM$58+'TUSD BF'!$AM$58+'TUSD CVA'!$AM$58)*1</f>
        <v>362.48776111536552</v>
      </c>
      <c r="AA913" s="6">
        <f>('TE BE'!$AB$42+'TE BF'!$AB$42+'TE CVA'!$AB$42)*1</f>
        <v>272.03825149820085</v>
      </c>
      <c r="AB913" s="6">
        <f>$K$913*$V$913</f>
        <v>0</v>
      </c>
      <c r="AC913" s="6">
        <f>$M$913*$W$913</f>
        <v>448.59041999999999</v>
      </c>
      <c r="AD913" s="6">
        <f>$O$913*$X$913</f>
        <v>480.15179999999992</v>
      </c>
      <c r="AE913" s="6">
        <f>$K$913*$Y$913</f>
        <v>0</v>
      </c>
      <c r="AF913" s="6">
        <f ca="1">$M$913*$Z$913</f>
        <v>602.45465897373742</v>
      </c>
      <c r="AG913" s="6">
        <f>$O$913*$AA$913</f>
        <v>452.12757399000981</v>
      </c>
    </row>
    <row r="914" spans="1:33" ht="11.25" customHeight="1" x14ac:dyDescent="0.25">
      <c r="A914" s="4" t="s">
        <v>21</v>
      </c>
      <c r="B914" s="4" t="s">
        <v>39</v>
      </c>
      <c r="C914" s="4" t="s">
        <v>23</v>
      </c>
      <c r="D914" s="4" t="s">
        <v>40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44378</v>
      </c>
      <c r="J914" s="6">
        <v>0</v>
      </c>
      <c r="K914" s="6">
        <v>0</v>
      </c>
      <c r="L914" s="6">
        <v>291.45699999999999</v>
      </c>
      <c r="M914" s="6">
        <v>291.45699999999999</v>
      </c>
      <c r="N914" s="6">
        <v>291.45699999999999</v>
      </c>
      <c r="O914" s="6">
        <v>291.45699999999999</v>
      </c>
      <c r="P914" s="6">
        <v>283</v>
      </c>
      <c r="Q914" s="4" t="s">
        <v>26</v>
      </c>
      <c r="R914" s="4">
        <v>0</v>
      </c>
      <c r="S914" s="6">
        <v>0</v>
      </c>
      <c r="T914" s="6">
        <v>58</v>
      </c>
      <c r="U914" s="6">
        <v>99</v>
      </c>
      <c r="V914" s="6">
        <f>IF(ISERROR(VLOOKUP($S$914,'TAR FIN'!$A$1:$O$103,15,0)),0,VLOOKUP($S$914,'TAR FIN'!$A$1:$O$103,15,0))</f>
        <v>0</v>
      </c>
      <c r="W914" s="6">
        <f>IF(ISERROR(VLOOKUP($T$914,'TAR FIN'!$A$1:$O$103,15,0)),0,VLOOKUP($T$914,'TAR FIN'!$A$1:$O$103,15,0))</f>
        <v>269.91000000000003</v>
      </c>
      <c r="X914" s="6">
        <f>IF(ISERROR(VLOOKUP($U$914,'TAR FIN'!$A$1:$O$103,15,0)),0,VLOOKUP($U$914,'TAR FIN'!$A$1:$O$103,15,0))</f>
        <v>288.89999999999998</v>
      </c>
      <c r="Y914" s="6"/>
      <c r="Z914" s="6">
        <f ca="1">('TUSD BE'!$AM$58+'TUSD BF'!$AM$58+'TUSD CVA'!$AM$58)*1</f>
        <v>362.48776111536552</v>
      </c>
      <c r="AA914" s="6">
        <f>('TE BE'!$AB$42+'TE BF'!$AB$42+'TE CVA'!$AB$42)*1</f>
        <v>272.03825149820085</v>
      </c>
      <c r="AB914" s="6">
        <f>$K$914*$V$914</f>
        <v>0</v>
      </c>
      <c r="AC914" s="6">
        <f>$M$914*$W$914</f>
        <v>78667.158869999999</v>
      </c>
      <c r="AD914" s="6">
        <f>$O$914*$X$914</f>
        <v>84201.927299999996</v>
      </c>
      <c r="AE914" s="6">
        <f>$K$914*$Y$914</f>
        <v>0</v>
      </c>
      <c r="AF914" s="6">
        <f ca="1">$M$914*$Z$914</f>
        <v>105649.59539140109</v>
      </c>
      <c r="AG914" s="6">
        <f>$O$914*$AA$914</f>
        <v>79287.452666911122</v>
      </c>
    </row>
    <row r="915" spans="1:33" ht="11.25" customHeight="1" x14ac:dyDescent="0.25">
      <c r="A915" s="4" t="s">
        <v>27</v>
      </c>
      <c r="B915" s="4" t="s">
        <v>39</v>
      </c>
      <c r="C915" s="4" t="s">
        <v>23</v>
      </c>
      <c r="D915" s="4" t="s">
        <v>40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44378</v>
      </c>
      <c r="J915" s="6">
        <v>0</v>
      </c>
      <c r="K915" s="6">
        <v>0</v>
      </c>
      <c r="L915" s="6">
        <v>-0.51700000000000002</v>
      </c>
      <c r="M915" s="6">
        <v>-0.51700000000000002</v>
      </c>
      <c r="N915" s="6">
        <v>-0.51700000000000002</v>
      </c>
      <c r="O915" s="6">
        <v>-0.51700000000000002</v>
      </c>
      <c r="P915" s="6">
        <v>0</v>
      </c>
      <c r="Q915" s="4" t="s">
        <v>26</v>
      </c>
      <c r="R915" s="4">
        <v>0</v>
      </c>
      <c r="S915" s="6">
        <v>0</v>
      </c>
      <c r="T915" s="6">
        <v>58</v>
      </c>
      <c r="U915" s="6">
        <v>99</v>
      </c>
      <c r="V915" s="6">
        <f>IF(ISERROR(VLOOKUP($S$915,'TAR FIN'!$A$1:$O$103,15,0)),0,VLOOKUP($S$915,'TAR FIN'!$A$1:$O$103,15,0))</f>
        <v>0</v>
      </c>
      <c r="W915" s="6">
        <f>IF(ISERROR(VLOOKUP($T$915,'TAR FIN'!$A$1:$O$103,15,0)),0,VLOOKUP($T$915,'TAR FIN'!$A$1:$O$103,15,0))</f>
        <v>269.91000000000003</v>
      </c>
      <c r="X915" s="6">
        <f>IF(ISERROR(VLOOKUP($U$915,'TAR FIN'!$A$1:$O$103,15,0)),0,VLOOKUP($U$915,'TAR FIN'!$A$1:$O$103,15,0))</f>
        <v>288.89999999999998</v>
      </c>
      <c r="Y915" s="6"/>
      <c r="Z915" s="6">
        <f ca="1">('TUSD BE'!$AM$58+'TUSD BF'!$AM$58+'TUSD CVA'!$AM$58)*1</f>
        <v>362.48776111536552</v>
      </c>
      <c r="AA915" s="6">
        <f>('TE BE'!$AB$42+'TE BF'!$AB$42+'TE CVA'!$AB$42)*1</f>
        <v>272.03825149820085</v>
      </c>
      <c r="AB915" s="6">
        <f>$K$915*$V$915</f>
        <v>0</v>
      </c>
      <c r="AC915" s="6">
        <f>$M$915*$W$915</f>
        <v>-139.54347000000001</v>
      </c>
      <c r="AD915" s="6">
        <f>$O$915*$X$915</f>
        <v>-149.3613</v>
      </c>
      <c r="AE915" s="6">
        <f>$K$915*$Y$915</f>
        <v>0</v>
      </c>
      <c r="AF915" s="6">
        <f ca="1">$M$915*$Z$915</f>
        <v>-187.40617249664399</v>
      </c>
      <c r="AG915" s="6">
        <f>$O$915*$AA$915</f>
        <v>-140.64377602456983</v>
      </c>
    </row>
    <row r="916" spans="1:33" ht="11.25" customHeight="1" x14ac:dyDescent="0.25">
      <c r="A916" s="4" t="s">
        <v>28</v>
      </c>
      <c r="B916" s="4" t="s">
        <v>39</v>
      </c>
      <c r="C916" s="4" t="s">
        <v>23</v>
      </c>
      <c r="D916" s="4" t="s">
        <v>40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44378</v>
      </c>
      <c r="J916" s="6">
        <v>0</v>
      </c>
      <c r="K916" s="6">
        <v>0</v>
      </c>
      <c r="L916" s="6">
        <v>1.052</v>
      </c>
      <c r="M916" s="6">
        <v>1.052</v>
      </c>
      <c r="N916" s="6">
        <v>1.052</v>
      </c>
      <c r="O916" s="6">
        <v>1.052</v>
      </c>
      <c r="P916" s="6">
        <v>2</v>
      </c>
      <c r="Q916" s="4" t="s">
        <v>26</v>
      </c>
      <c r="R916" s="4">
        <v>0</v>
      </c>
      <c r="S916" s="6">
        <v>0</v>
      </c>
      <c r="T916" s="6">
        <v>58</v>
      </c>
      <c r="U916" s="6">
        <v>99</v>
      </c>
      <c r="V916" s="6">
        <f>IF(ISERROR(VLOOKUP($S$916,'TAR FIN'!$A$1:$O$103,15,0)),0,VLOOKUP($S$916,'TAR FIN'!$A$1:$O$103,15,0))</f>
        <v>0</v>
      </c>
      <c r="W916" s="6">
        <f>IF(ISERROR(VLOOKUP($T$916,'TAR FIN'!$A$1:$O$103,15,0)),0,VLOOKUP($T$916,'TAR FIN'!$A$1:$O$103,15,0))</f>
        <v>269.91000000000003</v>
      </c>
      <c r="X916" s="6">
        <f>IF(ISERROR(VLOOKUP($U$916,'TAR FIN'!$A$1:$O$103,15,0)),0,VLOOKUP($U$916,'TAR FIN'!$A$1:$O$103,15,0))</f>
        <v>288.89999999999998</v>
      </c>
      <c r="Y916" s="6"/>
      <c r="Z916" s="6">
        <f ca="1">('TUSD BE'!$AM$58+'TUSD BF'!$AM$58+'TUSD CVA'!$AM$58)*1</f>
        <v>362.48776111536552</v>
      </c>
      <c r="AA916" s="6">
        <f>('TE BE'!$AB$42+'TE BF'!$AB$42+'TE CVA'!$AB$42)*1</f>
        <v>272.03825149820085</v>
      </c>
      <c r="AB916" s="6">
        <f>$K$916*$V$916</f>
        <v>0</v>
      </c>
      <c r="AC916" s="6">
        <f>$M$916*$W$916</f>
        <v>283.94532000000004</v>
      </c>
      <c r="AD916" s="6">
        <f>$O$916*$X$916</f>
        <v>303.9228</v>
      </c>
      <c r="AE916" s="6">
        <f>$K$916*$Y$916</f>
        <v>0</v>
      </c>
      <c r="AF916" s="6">
        <f ca="1">$M$916*$Z$916</f>
        <v>381.33712469336456</v>
      </c>
      <c r="AG916" s="6">
        <f>$O$916*$AA$916</f>
        <v>286.1842405761073</v>
      </c>
    </row>
    <row r="917" spans="1:33" ht="11.25" customHeight="1" x14ac:dyDescent="0.25">
      <c r="A917" s="4" t="s">
        <v>21</v>
      </c>
      <c r="B917" s="4" t="s">
        <v>39</v>
      </c>
      <c r="C917" s="4" t="s">
        <v>23</v>
      </c>
      <c r="D917" s="4" t="s">
        <v>40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44409</v>
      </c>
      <c r="J917" s="6">
        <v>0</v>
      </c>
      <c r="K917" s="6">
        <v>0</v>
      </c>
      <c r="L917" s="6">
        <v>302.52699999999999</v>
      </c>
      <c r="M917" s="6">
        <v>302.52699999999999</v>
      </c>
      <c r="N917" s="6">
        <v>302.52699999999999</v>
      </c>
      <c r="O917" s="6">
        <v>302.52699999999999</v>
      </c>
      <c r="P917" s="6">
        <v>285</v>
      </c>
      <c r="Q917" s="4" t="s">
        <v>26</v>
      </c>
      <c r="R917" s="4">
        <v>0</v>
      </c>
      <c r="S917" s="6">
        <v>0</v>
      </c>
      <c r="T917" s="6">
        <v>58</v>
      </c>
      <c r="U917" s="6">
        <v>99</v>
      </c>
      <c r="V917" s="6">
        <f>IF(ISERROR(VLOOKUP($S$917,'TAR FIN'!$A$1:$O$103,15,0)),0,VLOOKUP($S$917,'TAR FIN'!$A$1:$O$103,15,0))</f>
        <v>0</v>
      </c>
      <c r="W917" s="6">
        <f>IF(ISERROR(VLOOKUP($T$917,'TAR FIN'!$A$1:$O$103,15,0)),0,VLOOKUP($T$917,'TAR FIN'!$A$1:$O$103,15,0))</f>
        <v>269.91000000000003</v>
      </c>
      <c r="X917" s="6">
        <f>IF(ISERROR(VLOOKUP($U$917,'TAR FIN'!$A$1:$O$103,15,0)),0,VLOOKUP($U$917,'TAR FIN'!$A$1:$O$103,15,0))</f>
        <v>288.89999999999998</v>
      </c>
      <c r="Y917" s="6"/>
      <c r="Z917" s="6">
        <f ca="1">('TUSD BE'!$AM$58+'TUSD BF'!$AM$58+'TUSD CVA'!$AM$58)*1</f>
        <v>362.48776111536552</v>
      </c>
      <c r="AA917" s="6">
        <f>('TE BE'!$AB$42+'TE BF'!$AB$42+'TE CVA'!$AB$42)*1</f>
        <v>272.03825149820085</v>
      </c>
      <c r="AB917" s="6">
        <f>$K$917*$V$917</f>
        <v>0</v>
      </c>
      <c r="AC917" s="6">
        <f>$M$917*$W$917</f>
        <v>81655.062570000009</v>
      </c>
      <c r="AD917" s="6">
        <f>$O$917*$X$917</f>
        <v>87400.050299999988</v>
      </c>
      <c r="AE917" s="6">
        <f>$K$917*$Y$917</f>
        <v>0</v>
      </c>
      <c r="AF917" s="6">
        <f ca="1">$M$917*$Z$917</f>
        <v>109662.33490694818</v>
      </c>
      <c r="AG917" s="6">
        <f>$O$917*$AA$917</f>
        <v>82298.916110996201</v>
      </c>
    </row>
    <row r="918" spans="1:33" ht="11.25" customHeight="1" x14ac:dyDescent="0.25">
      <c r="A918" s="4" t="s">
        <v>27</v>
      </c>
      <c r="B918" s="4" t="s">
        <v>39</v>
      </c>
      <c r="C918" s="4" t="s">
        <v>23</v>
      </c>
      <c r="D918" s="4" t="s">
        <v>40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44409</v>
      </c>
      <c r="J918" s="6">
        <v>0</v>
      </c>
      <c r="K918" s="6">
        <v>0</v>
      </c>
      <c r="L918" s="6">
        <v>-0.34</v>
      </c>
      <c r="M918" s="6">
        <v>-0.34</v>
      </c>
      <c r="N918" s="6">
        <v>-0.34</v>
      </c>
      <c r="O918" s="6">
        <v>-0.34</v>
      </c>
      <c r="P918" s="6">
        <v>0</v>
      </c>
      <c r="Q918" s="4" t="s">
        <v>26</v>
      </c>
      <c r="R918" s="4">
        <v>0</v>
      </c>
      <c r="S918" s="6">
        <v>0</v>
      </c>
      <c r="T918" s="6">
        <v>58</v>
      </c>
      <c r="U918" s="6">
        <v>99</v>
      </c>
      <c r="V918" s="6">
        <f>IF(ISERROR(VLOOKUP($S$918,'TAR FIN'!$A$1:$O$103,15,0)),0,VLOOKUP($S$918,'TAR FIN'!$A$1:$O$103,15,0))</f>
        <v>0</v>
      </c>
      <c r="W918" s="6">
        <f>IF(ISERROR(VLOOKUP($T$918,'TAR FIN'!$A$1:$O$103,15,0)),0,VLOOKUP($T$918,'TAR FIN'!$A$1:$O$103,15,0))</f>
        <v>269.91000000000003</v>
      </c>
      <c r="X918" s="6">
        <f>IF(ISERROR(VLOOKUP($U$918,'TAR FIN'!$A$1:$O$103,15,0)),0,VLOOKUP($U$918,'TAR FIN'!$A$1:$O$103,15,0))</f>
        <v>288.89999999999998</v>
      </c>
      <c r="Y918" s="6"/>
      <c r="Z918" s="6">
        <f ca="1">('TUSD BE'!$AM$58+'TUSD BF'!$AM$58+'TUSD CVA'!$AM$58)*1</f>
        <v>362.48776111536552</v>
      </c>
      <c r="AA918" s="6">
        <f>('TE BE'!$AB$42+'TE BF'!$AB$42+'TE CVA'!$AB$42)*1</f>
        <v>272.03825149820085</v>
      </c>
      <c r="AB918" s="6">
        <f>$K$918*$V$918</f>
        <v>0</v>
      </c>
      <c r="AC918" s="6">
        <f>$M$918*$W$918</f>
        <v>-91.769400000000019</v>
      </c>
      <c r="AD918" s="6">
        <f>$O$918*$X$918</f>
        <v>-98.225999999999999</v>
      </c>
      <c r="AE918" s="6">
        <f>$K$918*$Y$918</f>
        <v>0</v>
      </c>
      <c r="AF918" s="6">
        <f ca="1">$M$918*$Z$918</f>
        <v>-123.24583877922429</v>
      </c>
      <c r="AG918" s="6">
        <f>$O$918*$AA$918</f>
        <v>-92.493005509388297</v>
      </c>
    </row>
    <row r="919" spans="1:33" ht="11.25" customHeight="1" x14ac:dyDescent="0.25">
      <c r="A919" s="4" t="s">
        <v>28</v>
      </c>
      <c r="B919" s="4" t="s">
        <v>39</v>
      </c>
      <c r="C919" s="4" t="s">
        <v>23</v>
      </c>
      <c r="D919" s="4" t="s">
        <v>40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44409</v>
      </c>
      <c r="J919" s="6">
        <v>0</v>
      </c>
      <c r="K919" s="6">
        <v>0</v>
      </c>
      <c r="L919" s="6">
        <v>0.73699999999999999</v>
      </c>
      <c r="M919" s="6">
        <v>0.73699999999999999</v>
      </c>
      <c r="N919" s="6">
        <v>0.73699999999999999</v>
      </c>
      <c r="O919" s="6">
        <v>0.73699999999999999</v>
      </c>
      <c r="P919" s="6">
        <v>2</v>
      </c>
      <c r="Q919" s="4" t="s">
        <v>26</v>
      </c>
      <c r="R919" s="4">
        <v>0</v>
      </c>
      <c r="S919" s="6">
        <v>0</v>
      </c>
      <c r="T919" s="6">
        <v>58</v>
      </c>
      <c r="U919" s="6">
        <v>99</v>
      </c>
      <c r="V919" s="6">
        <f>IF(ISERROR(VLOOKUP($S$919,'TAR FIN'!$A$1:$O$103,15,0)),0,VLOOKUP($S$919,'TAR FIN'!$A$1:$O$103,15,0))</f>
        <v>0</v>
      </c>
      <c r="W919" s="6">
        <f>IF(ISERROR(VLOOKUP($T$919,'TAR FIN'!$A$1:$O$103,15,0)),0,VLOOKUP($T$919,'TAR FIN'!$A$1:$O$103,15,0))</f>
        <v>269.91000000000003</v>
      </c>
      <c r="X919" s="6">
        <f>IF(ISERROR(VLOOKUP($U$919,'TAR FIN'!$A$1:$O$103,15,0)),0,VLOOKUP($U$919,'TAR FIN'!$A$1:$O$103,15,0))</f>
        <v>288.89999999999998</v>
      </c>
      <c r="Y919" s="6"/>
      <c r="Z919" s="6">
        <f ca="1">('TUSD BE'!$AM$58+'TUSD BF'!$AM$58+'TUSD CVA'!$AM$58)*1</f>
        <v>362.48776111536552</v>
      </c>
      <c r="AA919" s="6">
        <f>('TE BE'!$AB$42+'TE BF'!$AB$42+'TE CVA'!$AB$42)*1</f>
        <v>272.03825149820085</v>
      </c>
      <c r="AB919" s="6">
        <f>$K$919*$V$919</f>
        <v>0</v>
      </c>
      <c r="AC919" s="6">
        <f>$M$919*$W$919</f>
        <v>198.92367000000002</v>
      </c>
      <c r="AD919" s="6">
        <f>$O$919*$X$919</f>
        <v>212.91929999999999</v>
      </c>
      <c r="AE919" s="6">
        <f>$K$919*$Y$919</f>
        <v>0</v>
      </c>
      <c r="AF919" s="6">
        <f ca="1">$M$919*$Z$919</f>
        <v>267.15347994202438</v>
      </c>
      <c r="AG919" s="6">
        <f>$O$919*$AA$919</f>
        <v>200.49219135417403</v>
      </c>
    </row>
    <row r="920" spans="1:33" ht="11.25" customHeight="1" x14ac:dyDescent="0.25">
      <c r="A920" s="4" t="s">
        <v>21</v>
      </c>
      <c r="B920" s="4" t="s">
        <v>39</v>
      </c>
      <c r="C920" s="4" t="s">
        <v>23</v>
      </c>
      <c r="D920" s="4" t="s">
        <v>40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44440</v>
      </c>
      <c r="J920" s="6">
        <v>0</v>
      </c>
      <c r="K920" s="6">
        <v>0</v>
      </c>
      <c r="L920" s="6">
        <v>295.16800000000001</v>
      </c>
      <c r="M920" s="6">
        <v>295.16800000000001</v>
      </c>
      <c r="N920" s="6">
        <v>295.16800000000001</v>
      </c>
      <c r="O920" s="6">
        <v>295.16800000000001</v>
      </c>
      <c r="P920" s="6">
        <v>284</v>
      </c>
      <c r="Q920" s="4" t="s">
        <v>26</v>
      </c>
      <c r="R920" s="4">
        <v>0</v>
      </c>
      <c r="S920" s="6">
        <v>0</v>
      </c>
      <c r="T920" s="6">
        <v>58</v>
      </c>
      <c r="U920" s="6">
        <v>99</v>
      </c>
      <c r="V920" s="6">
        <f>IF(ISERROR(VLOOKUP($S$920,'TAR FIN'!$A$1:$O$103,15,0)),0,VLOOKUP($S$920,'TAR FIN'!$A$1:$O$103,15,0))</f>
        <v>0</v>
      </c>
      <c r="W920" s="6">
        <f>IF(ISERROR(VLOOKUP($T$920,'TAR FIN'!$A$1:$O$103,15,0)),0,VLOOKUP($T$920,'TAR FIN'!$A$1:$O$103,15,0))</f>
        <v>269.91000000000003</v>
      </c>
      <c r="X920" s="6">
        <f>IF(ISERROR(VLOOKUP($U$920,'TAR FIN'!$A$1:$O$103,15,0)),0,VLOOKUP($U$920,'TAR FIN'!$A$1:$O$103,15,0))</f>
        <v>288.89999999999998</v>
      </c>
      <c r="Y920" s="6"/>
      <c r="Z920" s="6">
        <f ca="1">('TUSD BE'!$AM$58+'TUSD BF'!$AM$58+'TUSD CVA'!$AM$58)*1</f>
        <v>362.48776111536552</v>
      </c>
      <c r="AA920" s="6">
        <f>('TE BE'!$AB$42+'TE BF'!$AB$42+'TE CVA'!$AB$42)*1</f>
        <v>272.03825149820085</v>
      </c>
      <c r="AB920" s="6">
        <f>$K$920*$V$920</f>
        <v>0</v>
      </c>
      <c r="AC920" s="6">
        <f>$M$920*$W$920</f>
        <v>79668.794880000016</v>
      </c>
      <c r="AD920" s="6">
        <f>$O$920*$X$920</f>
        <v>85274.035199999998</v>
      </c>
      <c r="AE920" s="6">
        <f>$K$920*$Y$920</f>
        <v>0</v>
      </c>
      <c r="AF920" s="6">
        <f ca="1">$M$920*$Z$920</f>
        <v>106994.78747290021</v>
      </c>
      <c r="AG920" s="6">
        <f>$O$920*$AA$920</f>
        <v>80296.986618220952</v>
      </c>
    </row>
    <row r="921" spans="1:33" ht="11.25" customHeight="1" x14ac:dyDescent="0.25">
      <c r="A921" s="4" t="s">
        <v>28</v>
      </c>
      <c r="B921" s="4" t="s">
        <v>39</v>
      </c>
      <c r="C921" s="4" t="s">
        <v>23</v>
      </c>
      <c r="D921" s="4" t="s">
        <v>40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44440</v>
      </c>
      <c r="J921" s="6">
        <v>0</v>
      </c>
      <c r="K921" s="6">
        <v>0</v>
      </c>
      <c r="L921" s="6">
        <v>0.59</v>
      </c>
      <c r="M921" s="6">
        <v>0.59</v>
      </c>
      <c r="N921" s="6">
        <v>0.59</v>
      </c>
      <c r="O921" s="6">
        <v>0.59</v>
      </c>
      <c r="P921" s="6">
        <v>2</v>
      </c>
      <c r="Q921" s="4" t="s">
        <v>26</v>
      </c>
      <c r="R921" s="4">
        <v>0</v>
      </c>
      <c r="S921" s="6">
        <v>0</v>
      </c>
      <c r="T921" s="6">
        <v>58</v>
      </c>
      <c r="U921" s="6">
        <v>99</v>
      </c>
      <c r="V921" s="6">
        <f>IF(ISERROR(VLOOKUP($S$921,'TAR FIN'!$A$1:$O$103,15,0)),0,VLOOKUP($S$921,'TAR FIN'!$A$1:$O$103,15,0))</f>
        <v>0</v>
      </c>
      <c r="W921" s="6">
        <f>IF(ISERROR(VLOOKUP($T$921,'TAR FIN'!$A$1:$O$103,15,0)),0,VLOOKUP($T$921,'TAR FIN'!$A$1:$O$103,15,0))</f>
        <v>269.91000000000003</v>
      </c>
      <c r="X921" s="6">
        <f>IF(ISERROR(VLOOKUP($U$921,'TAR FIN'!$A$1:$O$103,15,0)),0,VLOOKUP($U$921,'TAR FIN'!$A$1:$O$103,15,0))</f>
        <v>288.89999999999998</v>
      </c>
      <c r="Y921" s="6"/>
      <c r="Z921" s="6">
        <f ca="1">('TUSD BE'!$AM$58+'TUSD BF'!$AM$58+'TUSD CVA'!$AM$58)*1</f>
        <v>362.48776111536552</v>
      </c>
      <c r="AA921" s="6">
        <f>('TE BE'!$AB$42+'TE BF'!$AB$42+'TE CVA'!$AB$42)*1</f>
        <v>272.03825149820085</v>
      </c>
      <c r="AB921" s="6">
        <f>$K$921*$V$921</f>
        <v>0</v>
      </c>
      <c r="AC921" s="6">
        <f>$M$921*$W$921</f>
        <v>159.24690000000001</v>
      </c>
      <c r="AD921" s="6">
        <f>$O$921*$X$921</f>
        <v>170.45099999999996</v>
      </c>
      <c r="AE921" s="6">
        <f>$K$921*$Y$921</f>
        <v>0</v>
      </c>
      <c r="AF921" s="6">
        <f ca="1">$M$921*$Z$921</f>
        <v>213.86777905806565</v>
      </c>
      <c r="AG921" s="6">
        <f>$O$921*$AA$921</f>
        <v>160.5025683839385</v>
      </c>
    </row>
    <row r="922" spans="1:33" ht="11.25" customHeight="1" x14ac:dyDescent="0.25">
      <c r="A922" s="4" t="s">
        <v>21</v>
      </c>
      <c r="B922" s="4" t="s">
        <v>39</v>
      </c>
      <c r="C922" s="4" t="s">
        <v>23</v>
      </c>
      <c r="D922" s="4" t="s">
        <v>40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44470</v>
      </c>
      <c r="J922" s="6">
        <v>0</v>
      </c>
      <c r="K922" s="6">
        <v>0</v>
      </c>
      <c r="L922" s="6">
        <v>298.017</v>
      </c>
      <c r="M922" s="6">
        <v>298.017</v>
      </c>
      <c r="N922" s="6">
        <v>298.017</v>
      </c>
      <c r="O922" s="6">
        <v>298.017</v>
      </c>
      <c r="P922" s="6">
        <v>287</v>
      </c>
      <c r="Q922" s="4" t="s">
        <v>26</v>
      </c>
      <c r="R922" s="4">
        <v>0</v>
      </c>
      <c r="S922" s="6">
        <v>0</v>
      </c>
      <c r="T922" s="6">
        <v>58</v>
      </c>
      <c r="U922" s="6">
        <v>99</v>
      </c>
      <c r="V922" s="6">
        <f>IF(ISERROR(VLOOKUP($S$922,'TAR FIN'!$A$1:$O$103,15,0)),0,VLOOKUP($S$922,'TAR FIN'!$A$1:$O$103,15,0))</f>
        <v>0</v>
      </c>
      <c r="W922" s="6">
        <f>IF(ISERROR(VLOOKUP($T$922,'TAR FIN'!$A$1:$O$103,15,0)),0,VLOOKUP($T$922,'TAR FIN'!$A$1:$O$103,15,0))</f>
        <v>269.91000000000003</v>
      </c>
      <c r="X922" s="6">
        <f>IF(ISERROR(VLOOKUP($U$922,'TAR FIN'!$A$1:$O$103,15,0)),0,VLOOKUP($U$922,'TAR FIN'!$A$1:$O$103,15,0))</f>
        <v>288.89999999999998</v>
      </c>
      <c r="Y922" s="6"/>
      <c r="Z922" s="6">
        <f ca="1">('TUSD BE'!$AM$58+'TUSD BF'!$AM$58+'TUSD CVA'!$AM$58)*1</f>
        <v>362.48776111536552</v>
      </c>
      <c r="AA922" s="6">
        <f>('TE BE'!$AB$42+'TE BF'!$AB$42+'TE CVA'!$AB$42)*1</f>
        <v>272.03825149820085</v>
      </c>
      <c r="AB922" s="6">
        <f>$K$922*$V$922</f>
        <v>0</v>
      </c>
      <c r="AC922" s="6">
        <f>$M$922*$W$922</f>
        <v>80437.76847000001</v>
      </c>
      <c r="AD922" s="6">
        <f>$O$922*$X$922</f>
        <v>86097.11129999999</v>
      </c>
      <c r="AE922" s="6">
        <f>$K$922*$Y$922</f>
        <v>0</v>
      </c>
      <c r="AF922" s="6">
        <f ca="1">$M$922*$Z$922</f>
        <v>108027.51510431788</v>
      </c>
      <c r="AG922" s="6">
        <f>$O$922*$AA$922</f>
        <v>81072.023596739324</v>
      </c>
    </row>
    <row r="923" spans="1:33" ht="11.25" customHeight="1" x14ac:dyDescent="0.25">
      <c r="A923" s="4" t="s">
        <v>28</v>
      </c>
      <c r="B923" s="4" t="s">
        <v>39</v>
      </c>
      <c r="C923" s="4" t="s">
        <v>23</v>
      </c>
      <c r="D923" s="4" t="s">
        <v>40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44470</v>
      </c>
      <c r="J923" s="6">
        <v>0</v>
      </c>
      <c r="K923" s="6">
        <v>0</v>
      </c>
      <c r="L923" s="6">
        <v>0.68600000000000005</v>
      </c>
      <c r="M923" s="6">
        <v>0.68600000000000005</v>
      </c>
      <c r="N923" s="6">
        <v>0.68600000000000005</v>
      </c>
      <c r="O923" s="6">
        <v>0.68600000000000005</v>
      </c>
      <c r="P923" s="6">
        <v>2</v>
      </c>
      <c r="Q923" s="4" t="s">
        <v>26</v>
      </c>
      <c r="R923" s="4">
        <v>0</v>
      </c>
      <c r="S923" s="6">
        <v>0</v>
      </c>
      <c r="T923" s="6">
        <v>58</v>
      </c>
      <c r="U923" s="6">
        <v>99</v>
      </c>
      <c r="V923" s="6">
        <f>IF(ISERROR(VLOOKUP($S$923,'TAR FIN'!$A$1:$O$103,15,0)),0,VLOOKUP($S$923,'TAR FIN'!$A$1:$O$103,15,0))</f>
        <v>0</v>
      </c>
      <c r="W923" s="6">
        <f>IF(ISERROR(VLOOKUP($T$923,'TAR FIN'!$A$1:$O$103,15,0)),0,VLOOKUP($T$923,'TAR FIN'!$A$1:$O$103,15,0))</f>
        <v>269.91000000000003</v>
      </c>
      <c r="X923" s="6">
        <f>IF(ISERROR(VLOOKUP($U$923,'TAR FIN'!$A$1:$O$103,15,0)),0,VLOOKUP($U$923,'TAR FIN'!$A$1:$O$103,15,0))</f>
        <v>288.89999999999998</v>
      </c>
      <c r="Y923" s="6"/>
      <c r="Z923" s="6">
        <f ca="1">('TUSD BE'!$AM$58+'TUSD BF'!$AM$58+'TUSD CVA'!$AM$58)*1</f>
        <v>362.48776111536552</v>
      </c>
      <c r="AA923" s="6">
        <f>('TE BE'!$AB$42+'TE BF'!$AB$42+'TE CVA'!$AB$42)*1</f>
        <v>272.03825149820085</v>
      </c>
      <c r="AB923" s="6">
        <f>$K$923*$V$923</f>
        <v>0</v>
      </c>
      <c r="AC923" s="6">
        <f>$M$923*$W$923</f>
        <v>185.15826000000004</v>
      </c>
      <c r="AD923" s="6">
        <f>$O$923*$X$923</f>
        <v>198.18539999999999</v>
      </c>
      <c r="AE923" s="6">
        <f>$K$923*$Y$923</f>
        <v>0</v>
      </c>
      <c r="AF923" s="6">
        <f ca="1">$M$923*$Z$923</f>
        <v>248.66660412514076</v>
      </c>
      <c r="AG923" s="6">
        <f>$O$923*$AA$923</f>
        <v>186.61824052776581</v>
      </c>
    </row>
    <row r="924" spans="1:33" ht="11.25" customHeight="1" x14ac:dyDescent="0.25">
      <c r="A924" s="4" t="s">
        <v>21</v>
      </c>
      <c r="B924" s="4" t="s">
        <v>39</v>
      </c>
      <c r="C924" s="4" t="s">
        <v>23</v>
      </c>
      <c r="D924" s="4" t="s">
        <v>40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44501</v>
      </c>
      <c r="J924" s="6">
        <v>0</v>
      </c>
      <c r="K924" s="6">
        <v>0</v>
      </c>
      <c r="L924" s="6">
        <v>295.75</v>
      </c>
      <c r="M924" s="6">
        <v>295.75</v>
      </c>
      <c r="N924" s="6">
        <v>295.75</v>
      </c>
      <c r="O924" s="6">
        <v>295.75</v>
      </c>
      <c r="P924" s="6">
        <v>284</v>
      </c>
      <c r="Q924" s="4" t="s">
        <v>26</v>
      </c>
      <c r="R924" s="4">
        <v>0</v>
      </c>
      <c r="S924" s="6">
        <v>0</v>
      </c>
      <c r="T924" s="6">
        <v>58</v>
      </c>
      <c r="U924" s="6">
        <v>99</v>
      </c>
      <c r="V924" s="6">
        <f>IF(ISERROR(VLOOKUP($S$924,'TAR FIN'!$A$1:$O$103,15,0)),0,VLOOKUP($S$924,'TAR FIN'!$A$1:$O$103,15,0))</f>
        <v>0</v>
      </c>
      <c r="W924" s="6">
        <f>IF(ISERROR(VLOOKUP($T$924,'TAR FIN'!$A$1:$O$103,15,0)),0,VLOOKUP($T$924,'TAR FIN'!$A$1:$O$103,15,0))</f>
        <v>269.91000000000003</v>
      </c>
      <c r="X924" s="6">
        <f>IF(ISERROR(VLOOKUP($U$924,'TAR FIN'!$A$1:$O$103,15,0)),0,VLOOKUP($U$924,'TAR FIN'!$A$1:$O$103,15,0))</f>
        <v>288.89999999999998</v>
      </c>
      <c r="Y924" s="6"/>
      <c r="Z924" s="6">
        <f ca="1">('TUSD BE'!$AM$58+'TUSD BF'!$AM$58+'TUSD CVA'!$AM$58)*1</f>
        <v>362.48776111536552</v>
      </c>
      <c r="AA924" s="6">
        <f>('TE BE'!$AB$42+'TE BF'!$AB$42+'TE CVA'!$AB$42)*1</f>
        <v>272.03825149820085</v>
      </c>
      <c r="AB924" s="6">
        <f>$K$924*$V$924</f>
        <v>0</v>
      </c>
      <c r="AC924" s="6">
        <f>$M$924*$W$924</f>
        <v>79825.882500000007</v>
      </c>
      <c r="AD924" s="6">
        <f>$O$924*$X$924</f>
        <v>85442.174999999988</v>
      </c>
      <c r="AE924" s="6">
        <f>$K$924*$Y$924</f>
        <v>0</v>
      </c>
      <c r="AF924" s="6">
        <f ca="1">$M$924*$Z$924</f>
        <v>107205.75534986935</v>
      </c>
      <c r="AG924" s="6">
        <f>$O$924*$AA$924</f>
        <v>80455.312880592901</v>
      </c>
    </row>
    <row r="925" spans="1:33" ht="11.25" customHeight="1" x14ac:dyDescent="0.25">
      <c r="A925" s="4" t="s">
        <v>28</v>
      </c>
      <c r="B925" s="4" t="s">
        <v>39</v>
      </c>
      <c r="C925" s="4" t="s">
        <v>23</v>
      </c>
      <c r="D925" s="4" t="s">
        <v>40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0.53600000000000003</v>
      </c>
      <c r="M925" s="6">
        <v>0.53600000000000003</v>
      </c>
      <c r="N925" s="6">
        <v>0.53600000000000003</v>
      </c>
      <c r="O925" s="6">
        <v>0.53600000000000003</v>
      </c>
      <c r="P925" s="6">
        <v>2</v>
      </c>
      <c r="Q925" s="4" t="s">
        <v>26</v>
      </c>
      <c r="R925" s="4">
        <v>0</v>
      </c>
      <c r="S925" s="6">
        <v>0</v>
      </c>
      <c r="T925" s="6">
        <v>58</v>
      </c>
      <c r="U925" s="6">
        <v>99</v>
      </c>
      <c r="V925" s="6">
        <f>IF(ISERROR(VLOOKUP($S$925,'TAR FIN'!$A$1:$O$103,15,0)),0,VLOOKUP($S$925,'TAR FIN'!$A$1:$O$103,15,0))</f>
        <v>0</v>
      </c>
      <c r="W925" s="6">
        <f>IF(ISERROR(VLOOKUP($T$925,'TAR FIN'!$A$1:$O$103,15,0)),0,VLOOKUP($T$925,'TAR FIN'!$A$1:$O$103,15,0))</f>
        <v>269.91000000000003</v>
      </c>
      <c r="X925" s="6">
        <f>IF(ISERROR(VLOOKUP($U$925,'TAR FIN'!$A$1:$O$103,15,0)),0,VLOOKUP($U$925,'TAR FIN'!$A$1:$O$103,15,0))</f>
        <v>288.89999999999998</v>
      </c>
      <c r="Y925" s="6"/>
      <c r="Z925" s="6">
        <f ca="1">('TUSD BE'!$AM$58+'TUSD BF'!$AM$58+'TUSD CVA'!$AM$58)*1</f>
        <v>362.48776111536552</v>
      </c>
      <c r="AA925" s="6">
        <f>('TE BE'!$AB$42+'TE BF'!$AB$42+'TE CVA'!$AB$42)*1</f>
        <v>272.03825149820085</v>
      </c>
      <c r="AB925" s="6">
        <f>$K$925*$V$925</f>
        <v>0</v>
      </c>
      <c r="AC925" s="6">
        <f>$M$925*$W$925</f>
        <v>144.67176000000003</v>
      </c>
      <c r="AD925" s="6">
        <f>$O$925*$X$925</f>
        <v>154.85040000000001</v>
      </c>
      <c r="AE925" s="6">
        <f>$K$925*$Y$925</f>
        <v>0</v>
      </c>
      <c r="AF925" s="6">
        <f ca="1">$M$925*$Z$925</f>
        <v>194.29343995783591</v>
      </c>
      <c r="AG925" s="6">
        <f>$O$925*$AA$925</f>
        <v>145.81250280303567</v>
      </c>
    </row>
    <row r="926" spans="1:33" ht="11.25" customHeight="1" x14ac:dyDescent="0.25">
      <c r="A926" s="4" t="s">
        <v>21</v>
      </c>
      <c r="B926" s="4" t="s">
        <v>39</v>
      </c>
      <c r="C926" s="4" t="s">
        <v>23</v>
      </c>
      <c r="D926" s="4" t="s">
        <v>40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302.40300000000002</v>
      </c>
      <c r="M926" s="6">
        <v>302.40300000000002</v>
      </c>
      <c r="N926" s="6">
        <v>302.40300000000002</v>
      </c>
      <c r="O926" s="6">
        <v>302.40300000000002</v>
      </c>
      <c r="P926" s="6">
        <v>279</v>
      </c>
      <c r="Q926" s="4" t="s">
        <v>26</v>
      </c>
      <c r="R926" s="4">
        <v>0</v>
      </c>
      <c r="S926" s="6">
        <v>0</v>
      </c>
      <c r="T926" s="6">
        <v>58</v>
      </c>
      <c r="U926" s="6">
        <v>99</v>
      </c>
      <c r="V926" s="6">
        <f>IF(ISERROR(VLOOKUP($S$926,'TAR FIN'!$A$1:$O$103,15,0)),0,VLOOKUP($S$926,'TAR FIN'!$A$1:$O$103,15,0))</f>
        <v>0</v>
      </c>
      <c r="W926" s="6">
        <f>IF(ISERROR(VLOOKUP($T$926,'TAR FIN'!$A$1:$O$103,15,0)),0,VLOOKUP($T$926,'TAR FIN'!$A$1:$O$103,15,0))</f>
        <v>269.91000000000003</v>
      </c>
      <c r="X926" s="6">
        <f>IF(ISERROR(VLOOKUP($U$926,'TAR FIN'!$A$1:$O$103,15,0)),0,VLOOKUP($U$926,'TAR FIN'!$A$1:$O$103,15,0))</f>
        <v>288.89999999999998</v>
      </c>
      <c r="Y926" s="6"/>
      <c r="Z926" s="6">
        <f ca="1">('TUSD BE'!$AM$58+'TUSD BF'!$AM$58+'TUSD CVA'!$AM$58)*1</f>
        <v>362.48776111536552</v>
      </c>
      <c r="AA926" s="6">
        <f>('TE BE'!$AB$42+'TE BF'!$AB$42+'TE CVA'!$AB$42)*1</f>
        <v>272.03825149820085</v>
      </c>
      <c r="AB926" s="6">
        <f>$K$926*$V$926</f>
        <v>0</v>
      </c>
      <c r="AC926" s="6">
        <f>$M$926*$W$926</f>
        <v>81621.593730000008</v>
      </c>
      <c r="AD926" s="6">
        <f>$O$926*$X$926</f>
        <v>87364.226699999999</v>
      </c>
      <c r="AE926" s="6">
        <f>$K$926*$Y$926</f>
        <v>0</v>
      </c>
      <c r="AF926" s="6">
        <f ca="1">$M$926*$Z$926</f>
        <v>109617.38642456988</v>
      </c>
      <c r="AG926" s="6">
        <f>$O$926*$AA$926</f>
        <v>82265.18336781043</v>
      </c>
    </row>
    <row r="927" spans="1:33" ht="11.25" customHeight="1" x14ac:dyDescent="0.25">
      <c r="A927" s="4" t="s">
        <v>27</v>
      </c>
      <c r="B927" s="4" t="s">
        <v>39</v>
      </c>
      <c r="C927" s="4" t="s">
        <v>23</v>
      </c>
      <c r="D927" s="4" t="s">
        <v>40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44531</v>
      </c>
      <c r="J927" s="6">
        <v>0</v>
      </c>
      <c r="K927" s="6">
        <v>0</v>
      </c>
      <c r="L927" s="6">
        <v>-9.9000000000000005E-2</v>
      </c>
      <c r="M927" s="6">
        <v>-9.9000000000000005E-2</v>
      </c>
      <c r="N927" s="6">
        <v>-9.9000000000000005E-2</v>
      </c>
      <c r="O927" s="6">
        <v>-9.9000000000000005E-2</v>
      </c>
      <c r="P927" s="6">
        <v>0</v>
      </c>
      <c r="Q927" s="4" t="s">
        <v>26</v>
      </c>
      <c r="R927" s="4">
        <v>0</v>
      </c>
      <c r="S927" s="6">
        <v>0</v>
      </c>
      <c r="T927" s="6">
        <v>58</v>
      </c>
      <c r="U927" s="6">
        <v>99</v>
      </c>
      <c r="V927" s="6">
        <f>IF(ISERROR(VLOOKUP($S$927,'TAR FIN'!$A$1:$O$103,15,0)),0,VLOOKUP($S$927,'TAR FIN'!$A$1:$O$103,15,0))</f>
        <v>0</v>
      </c>
      <c r="W927" s="6">
        <f>IF(ISERROR(VLOOKUP($T$927,'TAR FIN'!$A$1:$O$103,15,0)),0,VLOOKUP($T$927,'TAR FIN'!$A$1:$O$103,15,0))</f>
        <v>269.91000000000003</v>
      </c>
      <c r="X927" s="6">
        <f>IF(ISERROR(VLOOKUP($U$927,'TAR FIN'!$A$1:$O$103,15,0)),0,VLOOKUP($U$927,'TAR FIN'!$A$1:$O$103,15,0))</f>
        <v>288.89999999999998</v>
      </c>
      <c r="Y927" s="6"/>
      <c r="Z927" s="6">
        <f ca="1">('TUSD BE'!$AM$58+'TUSD BF'!$AM$58+'TUSD CVA'!$AM$58)*1</f>
        <v>362.48776111536552</v>
      </c>
      <c r="AA927" s="6">
        <f>('TE BE'!$AB$42+'TE BF'!$AB$42+'TE CVA'!$AB$42)*1</f>
        <v>272.03825149820085</v>
      </c>
      <c r="AB927" s="6">
        <f>$K$927*$V$927</f>
        <v>0</v>
      </c>
      <c r="AC927" s="6">
        <f>$M$927*$W$927</f>
        <v>-26.721090000000004</v>
      </c>
      <c r="AD927" s="6">
        <f>$O$927*$X$927</f>
        <v>-28.601099999999999</v>
      </c>
      <c r="AE927" s="6">
        <f>$K$927*$Y$927</f>
        <v>0</v>
      </c>
      <c r="AF927" s="6">
        <f ca="1">$M$927*$Z$927</f>
        <v>-35.886288350421189</v>
      </c>
      <c r="AG927" s="6">
        <f>$O$927*$AA$927</f>
        <v>-26.931786898321885</v>
      </c>
    </row>
    <row r="928" spans="1:33" ht="11.25" customHeight="1" x14ac:dyDescent="0.25">
      <c r="A928" s="4" t="s">
        <v>28</v>
      </c>
      <c r="B928" s="4" t="s">
        <v>39</v>
      </c>
      <c r="C928" s="4" t="s">
        <v>23</v>
      </c>
      <c r="D928" s="4" t="s">
        <v>40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44531</v>
      </c>
      <c r="J928" s="6">
        <v>0</v>
      </c>
      <c r="K928" s="6">
        <v>0</v>
      </c>
      <c r="L928" s="6">
        <v>0.372</v>
      </c>
      <c r="M928" s="6">
        <v>0.372</v>
      </c>
      <c r="N928" s="6">
        <v>0.372</v>
      </c>
      <c r="O928" s="6">
        <v>0.372</v>
      </c>
      <c r="P928" s="6">
        <v>2</v>
      </c>
      <c r="Q928" s="4" t="s">
        <v>26</v>
      </c>
      <c r="R928" s="4">
        <v>0</v>
      </c>
      <c r="S928" s="6">
        <v>0</v>
      </c>
      <c r="T928" s="6">
        <v>58</v>
      </c>
      <c r="U928" s="6">
        <v>99</v>
      </c>
      <c r="V928" s="6">
        <f>IF(ISERROR(VLOOKUP($S$928,'TAR FIN'!$A$1:$O$103,15,0)),0,VLOOKUP($S$928,'TAR FIN'!$A$1:$O$103,15,0))</f>
        <v>0</v>
      </c>
      <c r="W928" s="6">
        <f>IF(ISERROR(VLOOKUP($T$928,'TAR FIN'!$A$1:$O$103,15,0)),0,VLOOKUP($T$928,'TAR FIN'!$A$1:$O$103,15,0))</f>
        <v>269.91000000000003</v>
      </c>
      <c r="X928" s="6">
        <f>IF(ISERROR(VLOOKUP($U$928,'TAR FIN'!$A$1:$O$103,15,0)),0,VLOOKUP($U$928,'TAR FIN'!$A$1:$O$103,15,0))</f>
        <v>288.89999999999998</v>
      </c>
      <c r="Y928" s="6"/>
      <c r="Z928" s="6">
        <f ca="1">('TUSD BE'!$AM$58+'TUSD BF'!$AM$58+'TUSD CVA'!$AM$58)*1</f>
        <v>362.48776111536552</v>
      </c>
      <c r="AA928" s="6">
        <f>('TE BE'!$AB$42+'TE BF'!$AB$42+'TE CVA'!$AB$42)*1</f>
        <v>272.03825149820085</v>
      </c>
      <c r="AB928" s="6">
        <f>$K$928*$V$928</f>
        <v>0</v>
      </c>
      <c r="AC928" s="6">
        <f>$M$928*$W$928</f>
        <v>100.40652000000001</v>
      </c>
      <c r="AD928" s="6">
        <f>$O$928*$X$928</f>
        <v>107.4708</v>
      </c>
      <c r="AE928" s="6">
        <f>$K$928*$Y$928</f>
        <v>0</v>
      </c>
      <c r="AF928" s="6">
        <f ca="1">$M$928*$Z$928</f>
        <v>134.84544713491596</v>
      </c>
      <c r="AG928" s="6">
        <f>$O$928*$AA$928</f>
        <v>101.19822955733072</v>
      </c>
    </row>
    <row r="929" spans="1:33" ht="11.25" customHeight="1" x14ac:dyDescent="0.25">
      <c r="A929" s="4" t="s">
        <v>21</v>
      </c>
      <c r="B929" s="4" t="s">
        <v>39</v>
      </c>
      <c r="C929" s="4" t="s">
        <v>23</v>
      </c>
      <c r="D929" s="4" t="s">
        <v>40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44562</v>
      </c>
      <c r="J929" s="6">
        <v>0</v>
      </c>
      <c r="K929" s="6">
        <v>0</v>
      </c>
      <c r="L929" s="6">
        <v>240.11500000000001</v>
      </c>
      <c r="M929" s="6">
        <v>240.11500000000001</v>
      </c>
      <c r="N929" s="6">
        <v>240.11500000000001</v>
      </c>
      <c r="O929" s="6">
        <v>240.11500000000001</v>
      </c>
      <c r="P929" s="6">
        <v>279</v>
      </c>
      <c r="Q929" s="4" t="s">
        <v>26</v>
      </c>
      <c r="R929" s="4">
        <v>0</v>
      </c>
      <c r="S929" s="6">
        <v>0</v>
      </c>
      <c r="T929" s="6">
        <v>58</v>
      </c>
      <c r="U929" s="6">
        <v>99</v>
      </c>
      <c r="V929" s="6">
        <f>IF(ISERROR(VLOOKUP($S$929,'TAR FIN'!$A$1:$O$103,15,0)),0,VLOOKUP($S$929,'TAR FIN'!$A$1:$O$103,15,0))</f>
        <v>0</v>
      </c>
      <c r="W929" s="6">
        <f>IF(ISERROR(VLOOKUP($T$929,'TAR FIN'!$A$1:$O$103,15,0)),0,VLOOKUP($T$929,'TAR FIN'!$A$1:$O$103,15,0))</f>
        <v>269.91000000000003</v>
      </c>
      <c r="X929" s="6">
        <f>IF(ISERROR(VLOOKUP($U$929,'TAR FIN'!$A$1:$O$103,15,0)),0,VLOOKUP($U$929,'TAR FIN'!$A$1:$O$103,15,0))</f>
        <v>288.89999999999998</v>
      </c>
      <c r="Y929" s="6"/>
      <c r="Z929" s="6">
        <f ca="1">('TUSD BE'!$AM$58+'TUSD BF'!$AM$58+'TUSD CVA'!$AM$58)*1</f>
        <v>362.48776111536552</v>
      </c>
      <c r="AA929" s="6">
        <f>('TE BE'!$AB$42+'TE BF'!$AB$42+'TE CVA'!$AB$42)*1</f>
        <v>272.03825149820085</v>
      </c>
      <c r="AB929" s="6">
        <f>$K$929*$V$929</f>
        <v>0</v>
      </c>
      <c r="AC929" s="6">
        <f>$M$929*$W$929</f>
        <v>64809.439650000008</v>
      </c>
      <c r="AD929" s="6">
        <f>$O$929*$X$929</f>
        <v>69369.223499999993</v>
      </c>
      <c r="AE929" s="6">
        <f>$K$929*$Y$929</f>
        <v>0</v>
      </c>
      <c r="AF929" s="6">
        <f ca="1">$M$929*$Z$929</f>
        <v>87038.748760215996</v>
      </c>
      <c r="AG929" s="6">
        <f>$O$929*$AA$929</f>
        <v>65320.464758490496</v>
      </c>
    </row>
    <row r="930" spans="1:33" ht="11.25" customHeight="1" x14ac:dyDescent="0.25">
      <c r="A930" s="4" t="s">
        <v>27</v>
      </c>
      <c r="B930" s="4" t="s">
        <v>39</v>
      </c>
      <c r="C930" s="4" t="s">
        <v>23</v>
      </c>
      <c r="D930" s="4" t="s">
        <v>40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44562</v>
      </c>
      <c r="J930" s="6">
        <v>0</v>
      </c>
      <c r="K930" s="6">
        <v>0</v>
      </c>
      <c r="L930" s="6">
        <v>0.314</v>
      </c>
      <c r="M930" s="6">
        <v>0.314</v>
      </c>
      <c r="N930" s="6">
        <v>0.314</v>
      </c>
      <c r="O930" s="6">
        <v>0.314</v>
      </c>
      <c r="P930" s="6">
        <v>0</v>
      </c>
      <c r="Q930" s="4" t="s">
        <v>26</v>
      </c>
      <c r="R930" s="4">
        <v>0</v>
      </c>
      <c r="S930" s="6">
        <v>0</v>
      </c>
      <c r="T930" s="6">
        <v>58</v>
      </c>
      <c r="U930" s="6">
        <v>99</v>
      </c>
      <c r="V930" s="6">
        <f>IF(ISERROR(VLOOKUP($S$930,'TAR FIN'!$A$1:$O$103,15,0)),0,VLOOKUP($S$930,'TAR FIN'!$A$1:$O$103,15,0))</f>
        <v>0</v>
      </c>
      <c r="W930" s="6">
        <f>IF(ISERROR(VLOOKUP($T$930,'TAR FIN'!$A$1:$O$103,15,0)),0,VLOOKUP($T$930,'TAR FIN'!$A$1:$O$103,15,0))</f>
        <v>269.91000000000003</v>
      </c>
      <c r="X930" s="6">
        <f>IF(ISERROR(VLOOKUP($U$930,'TAR FIN'!$A$1:$O$103,15,0)),0,VLOOKUP($U$930,'TAR FIN'!$A$1:$O$103,15,0))</f>
        <v>288.89999999999998</v>
      </c>
      <c r="Y930" s="6"/>
      <c r="Z930" s="6">
        <f ca="1">('TUSD BE'!$AM$58+'TUSD BF'!$AM$58+'TUSD CVA'!$AM$58)*1</f>
        <v>362.48776111536552</v>
      </c>
      <c r="AA930" s="6">
        <f>('TE BE'!$AB$42+'TE BF'!$AB$42+'TE CVA'!$AB$42)*1</f>
        <v>272.03825149820085</v>
      </c>
      <c r="AB930" s="6">
        <f>$K$930*$V$930</f>
        <v>0</v>
      </c>
      <c r="AC930" s="6">
        <f>$M$930*$W$930</f>
        <v>84.751740000000012</v>
      </c>
      <c r="AD930" s="6">
        <f>$O$930*$X$930</f>
        <v>90.71459999999999</v>
      </c>
      <c r="AE930" s="6">
        <f>$K$930*$Y$930</f>
        <v>0</v>
      </c>
      <c r="AF930" s="6">
        <f ca="1">$M$930*$Z$930</f>
        <v>113.82115699022478</v>
      </c>
      <c r="AG930" s="6">
        <f>$O$930*$AA$930</f>
        <v>85.420010970435072</v>
      </c>
    </row>
    <row r="931" spans="1:33" ht="11.25" customHeight="1" x14ac:dyDescent="0.25">
      <c r="A931" s="4" t="s">
        <v>28</v>
      </c>
      <c r="B931" s="4" t="s">
        <v>39</v>
      </c>
      <c r="C931" s="4" t="s">
        <v>23</v>
      </c>
      <c r="D931" s="4" t="s">
        <v>40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44562</v>
      </c>
      <c r="J931" s="6">
        <v>0</v>
      </c>
      <c r="K931" s="6">
        <v>0</v>
      </c>
      <c r="L931" s="6">
        <v>0.36799999999999999</v>
      </c>
      <c r="M931" s="6">
        <v>0.36799999999999999</v>
      </c>
      <c r="N931" s="6">
        <v>0.36799999999999999</v>
      </c>
      <c r="O931" s="6">
        <v>0.36799999999999999</v>
      </c>
      <c r="P931" s="6">
        <v>2</v>
      </c>
      <c r="Q931" s="4" t="s">
        <v>26</v>
      </c>
      <c r="R931" s="4">
        <v>0</v>
      </c>
      <c r="S931" s="6">
        <v>0</v>
      </c>
      <c r="T931" s="6">
        <v>58</v>
      </c>
      <c r="U931" s="6">
        <v>99</v>
      </c>
      <c r="V931" s="6">
        <f>IF(ISERROR(VLOOKUP($S$931,'TAR FIN'!$A$1:$O$103,15,0)),0,VLOOKUP($S$931,'TAR FIN'!$A$1:$O$103,15,0))</f>
        <v>0</v>
      </c>
      <c r="W931" s="6">
        <f>IF(ISERROR(VLOOKUP($T$931,'TAR FIN'!$A$1:$O$103,15,0)),0,VLOOKUP($T$931,'TAR FIN'!$A$1:$O$103,15,0))</f>
        <v>269.91000000000003</v>
      </c>
      <c r="X931" s="6">
        <f>IF(ISERROR(VLOOKUP($U$931,'TAR FIN'!$A$1:$O$103,15,0)),0,VLOOKUP($U$931,'TAR FIN'!$A$1:$O$103,15,0))</f>
        <v>288.89999999999998</v>
      </c>
      <c r="Y931" s="6"/>
      <c r="Z931" s="6">
        <f ca="1">('TUSD BE'!$AM$58+'TUSD BF'!$AM$58+'TUSD CVA'!$AM$58)*1</f>
        <v>362.48776111536552</v>
      </c>
      <c r="AA931" s="6">
        <f>('TE BE'!$AB$42+'TE BF'!$AB$42+'TE CVA'!$AB$42)*1</f>
        <v>272.03825149820085</v>
      </c>
      <c r="AB931" s="6">
        <f>$K$931*$V$931</f>
        <v>0</v>
      </c>
      <c r="AC931" s="6">
        <f>$M$931*$W$931</f>
        <v>99.326880000000003</v>
      </c>
      <c r="AD931" s="6">
        <f>$O$931*$X$931</f>
        <v>106.31519999999999</v>
      </c>
      <c r="AE931" s="6">
        <f>$K$931*$Y$931</f>
        <v>0</v>
      </c>
      <c r="AF931" s="6">
        <f ca="1">$M$931*$Z$931</f>
        <v>133.39549609045451</v>
      </c>
      <c r="AG931" s="6">
        <f>$O$931*$AA$931</f>
        <v>100.11007655133791</v>
      </c>
    </row>
    <row r="932" spans="1:33" ht="11.25" customHeight="1" x14ac:dyDescent="0.25">
      <c r="A932" s="4" t="s">
        <v>21</v>
      </c>
      <c r="B932" s="4" t="s">
        <v>39</v>
      </c>
      <c r="C932" s="4" t="s">
        <v>23</v>
      </c>
      <c r="D932" s="4" t="s">
        <v>40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44593</v>
      </c>
      <c r="J932" s="6">
        <v>0</v>
      </c>
      <c r="K932" s="6">
        <v>0</v>
      </c>
      <c r="L932" s="6">
        <v>284.11599999999999</v>
      </c>
      <c r="M932" s="6">
        <v>284.11599999999999</v>
      </c>
      <c r="N932" s="6">
        <v>284.11599999999999</v>
      </c>
      <c r="O932" s="6">
        <v>284.11599999999999</v>
      </c>
      <c r="P932" s="6">
        <v>277</v>
      </c>
      <c r="Q932" s="4" t="s">
        <v>26</v>
      </c>
      <c r="R932" s="4">
        <v>0</v>
      </c>
      <c r="S932" s="6">
        <v>0</v>
      </c>
      <c r="T932" s="6">
        <v>58</v>
      </c>
      <c r="U932" s="6">
        <v>99</v>
      </c>
      <c r="V932" s="6">
        <f>IF(ISERROR(VLOOKUP($S$932,'TAR FIN'!$A$1:$O$103,15,0)),0,VLOOKUP($S$932,'TAR FIN'!$A$1:$O$103,15,0))</f>
        <v>0</v>
      </c>
      <c r="W932" s="6">
        <f>IF(ISERROR(VLOOKUP($T$932,'TAR FIN'!$A$1:$O$103,15,0)),0,VLOOKUP($T$932,'TAR FIN'!$A$1:$O$103,15,0))</f>
        <v>269.91000000000003</v>
      </c>
      <c r="X932" s="6">
        <f>IF(ISERROR(VLOOKUP($U$932,'TAR FIN'!$A$1:$O$103,15,0)),0,VLOOKUP($U$932,'TAR FIN'!$A$1:$O$103,15,0))</f>
        <v>288.89999999999998</v>
      </c>
      <c r="Y932" s="6"/>
      <c r="Z932" s="6">
        <f ca="1">('TUSD BE'!$AM$58+'TUSD BF'!$AM$58+'TUSD CVA'!$AM$58)*1</f>
        <v>362.48776111536552</v>
      </c>
      <c r="AA932" s="6">
        <f>('TE BE'!$AB$42+'TE BF'!$AB$42+'TE CVA'!$AB$42)*1</f>
        <v>272.03825149820085</v>
      </c>
      <c r="AB932" s="6">
        <f>$K$932*$V$932</f>
        <v>0</v>
      </c>
      <c r="AC932" s="6">
        <f>$M$932*$W$932</f>
        <v>76685.749559999997</v>
      </c>
      <c r="AD932" s="6">
        <f>$O$932*$X$932</f>
        <v>82081.112399999984</v>
      </c>
      <c r="AE932" s="6">
        <f>$K$932*$Y$932</f>
        <v>0</v>
      </c>
      <c r="AF932" s="6">
        <f ca="1">$M$932*$Z$932</f>
        <v>102988.57273705318</v>
      </c>
      <c r="AG932" s="6">
        <f>$O$932*$AA$932</f>
        <v>77290.419862662835</v>
      </c>
    </row>
    <row r="933" spans="1:33" ht="11.25" customHeight="1" x14ac:dyDescent="0.25">
      <c r="A933" s="4" t="s">
        <v>28</v>
      </c>
      <c r="B933" s="4" t="s">
        <v>39</v>
      </c>
      <c r="C933" s="4" t="s">
        <v>23</v>
      </c>
      <c r="D933" s="4" t="s">
        <v>40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44593</v>
      </c>
      <c r="J933" s="6">
        <v>0</v>
      </c>
      <c r="K933" s="6">
        <v>0</v>
      </c>
      <c r="L933" s="6">
        <v>0.51200000000000001</v>
      </c>
      <c r="M933" s="6">
        <v>0.51200000000000001</v>
      </c>
      <c r="N933" s="6">
        <v>0.51200000000000001</v>
      </c>
      <c r="O933" s="6">
        <v>0.51200000000000001</v>
      </c>
      <c r="P933" s="6">
        <v>2</v>
      </c>
      <c r="Q933" s="4" t="s">
        <v>26</v>
      </c>
      <c r="R933" s="4">
        <v>0</v>
      </c>
      <c r="S933" s="6">
        <v>0</v>
      </c>
      <c r="T933" s="6">
        <v>58</v>
      </c>
      <c r="U933" s="6">
        <v>99</v>
      </c>
      <c r="V933" s="6">
        <f>IF(ISERROR(VLOOKUP($S$933,'TAR FIN'!$A$1:$O$103,15,0)),0,VLOOKUP($S$933,'TAR FIN'!$A$1:$O$103,15,0))</f>
        <v>0</v>
      </c>
      <c r="W933" s="6">
        <f>IF(ISERROR(VLOOKUP($T$933,'TAR FIN'!$A$1:$O$103,15,0)),0,VLOOKUP($T$933,'TAR FIN'!$A$1:$O$103,15,0))</f>
        <v>269.91000000000003</v>
      </c>
      <c r="X933" s="6">
        <f>IF(ISERROR(VLOOKUP($U$933,'TAR FIN'!$A$1:$O$103,15,0)),0,VLOOKUP($U$933,'TAR FIN'!$A$1:$O$103,15,0))</f>
        <v>288.89999999999998</v>
      </c>
      <c r="Y933" s="6"/>
      <c r="Z933" s="6">
        <f ca="1">('TUSD BE'!$AM$58+'TUSD BF'!$AM$58+'TUSD CVA'!$AM$58)*1</f>
        <v>362.48776111536552</v>
      </c>
      <c r="AA933" s="6">
        <f>('TE BE'!$AB$42+'TE BF'!$AB$42+'TE CVA'!$AB$42)*1</f>
        <v>272.03825149820085</v>
      </c>
      <c r="AB933" s="6">
        <f>$K$933*$V$933</f>
        <v>0</v>
      </c>
      <c r="AC933" s="6">
        <f>$M$933*$W$933</f>
        <v>138.19392000000002</v>
      </c>
      <c r="AD933" s="6">
        <f>$O$933*$X$933</f>
        <v>147.91679999999999</v>
      </c>
      <c r="AE933" s="6">
        <f>$K$933*$Y$933</f>
        <v>0</v>
      </c>
      <c r="AF933" s="6">
        <f ca="1">$M$933*$Z$933</f>
        <v>185.59373369106714</v>
      </c>
      <c r="AG933" s="6">
        <f>$O$933*$AA$933</f>
        <v>139.28358476707885</v>
      </c>
    </row>
    <row r="934" spans="1:33" ht="11.25" customHeight="1" x14ac:dyDescent="0.25">
      <c r="A934" s="4" t="s">
        <v>21</v>
      </c>
      <c r="B934" s="4" t="s">
        <v>39</v>
      </c>
      <c r="C934" s="4" t="s">
        <v>23</v>
      </c>
      <c r="D934" s="4" t="s">
        <v>40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44621</v>
      </c>
      <c r="J934" s="6">
        <v>0</v>
      </c>
      <c r="K934" s="6">
        <v>0</v>
      </c>
      <c r="L934" s="6">
        <v>289.50700000000001</v>
      </c>
      <c r="M934" s="6">
        <v>289.50700000000001</v>
      </c>
      <c r="N934" s="6">
        <v>289.50700000000001</v>
      </c>
      <c r="O934" s="6">
        <v>289.50700000000001</v>
      </c>
      <c r="P934" s="6">
        <v>276</v>
      </c>
      <c r="Q934" s="4" t="s">
        <v>26</v>
      </c>
      <c r="R934" s="4">
        <v>0</v>
      </c>
      <c r="S934" s="6">
        <v>0</v>
      </c>
      <c r="T934" s="6">
        <v>58</v>
      </c>
      <c r="U934" s="6">
        <v>99</v>
      </c>
      <c r="V934" s="6">
        <f>IF(ISERROR(VLOOKUP($S$934,'TAR FIN'!$A$1:$O$103,15,0)),0,VLOOKUP($S$934,'TAR FIN'!$A$1:$O$103,15,0))</f>
        <v>0</v>
      </c>
      <c r="W934" s="6">
        <f>IF(ISERROR(VLOOKUP($T$934,'TAR FIN'!$A$1:$O$103,15,0)),0,VLOOKUP($T$934,'TAR FIN'!$A$1:$O$103,15,0))</f>
        <v>269.91000000000003</v>
      </c>
      <c r="X934" s="6">
        <f>IF(ISERROR(VLOOKUP($U$934,'TAR FIN'!$A$1:$O$103,15,0)),0,VLOOKUP($U$934,'TAR FIN'!$A$1:$O$103,15,0))</f>
        <v>288.89999999999998</v>
      </c>
      <c r="Y934" s="6"/>
      <c r="Z934" s="6">
        <f ca="1">('TUSD BE'!$AM$58+'TUSD BF'!$AM$58+'TUSD CVA'!$AM$58)*1</f>
        <v>362.48776111536552</v>
      </c>
      <c r="AA934" s="6">
        <f>('TE BE'!$AB$42+'TE BF'!$AB$42+'TE CVA'!$AB$42)*1</f>
        <v>272.03825149820085</v>
      </c>
      <c r="AB934" s="6">
        <f>$K$934*$V$934</f>
        <v>0</v>
      </c>
      <c r="AC934" s="6">
        <f>$M$934*$W$934</f>
        <v>78140.834370000011</v>
      </c>
      <c r="AD934" s="6">
        <f>$O$934*$X$934</f>
        <v>83638.5723</v>
      </c>
      <c r="AE934" s="6">
        <f>$K$934*$Y$934</f>
        <v>0</v>
      </c>
      <c r="AF934" s="6">
        <f ca="1">$M$934*$Z$934</f>
        <v>104942.74425722612</v>
      </c>
      <c r="AG934" s="6">
        <f>$O$934*$AA$934</f>
        <v>78756.978076489628</v>
      </c>
    </row>
    <row r="935" spans="1:33" ht="11.25" customHeight="1" x14ac:dyDescent="0.25">
      <c r="A935" s="4" t="s">
        <v>28</v>
      </c>
      <c r="B935" s="4" t="s">
        <v>39</v>
      </c>
      <c r="C935" s="4" t="s">
        <v>23</v>
      </c>
      <c r="D935" s="4" t="s">
        <v>40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44621</v>
      </c>
      <c r="J935" s="6">
        <v>0</v>
      </c>
      <c r="K935" s="6">
        <v>0</v>
      </c>
      <c r="L935" s="6">
        <v>0.504</v>
      </c>
      <c r="M935" s="6">
        <v>0.504</v>
      </c>
      <c r="N935" s="6">
        <v>0.504</v>
      </c>
      <c r="O935" s="6">
        <v>0.504</v>
      </c>
      <c r="P935" s="6">
        <v>2</v>
      </c>
      <c r="Q935" s="4" t="s">
        <v>26</v>
      </c>
      <c r="R935" s="4">
        <v>0</v>
      </c>
      <c r="S935" s="6">
        <v>0</v>
      </c>
      <c r="T935" s="6">
        <v>58</v>
      </c>
      <c r="U935" s="6">
        <v>99</v>
      </c>
      <c r="V935" s="6">
        <f>IF(ISERROR(VLOOKUP($S$935,'TAR FIN'!$A$1:$O$103,15,0)),0,VLOOKUP($S$935,'TAR FIN'!$A$1:$O$103,15,0))</f>
        <v>0</v>
      </c>
      <c r="W935" s="6">
        <f>IF(ISERROR(VLOOKUP($T$935,'TAR FIN'!$A$1:$O$103,15,0)),0,VLOOKUP($T$935,'TAR FIN'!$A$1:$O$103,15,0))</f>
        <v>269.91000000000003</v>
      </c>
      <c r="X935" s="6">
        <f>IF(ISERROR(VLOOKUP($U$935,'TAR FIN'!$A$1:$O$103,15,0)),0,VLOOKUP($U$935,'TAR FIN'!$A$1:$O$103,15,0))</f>
        <v>288.89999999999998</v>
      </c>
      <c r="Y935" s="6"/>
      <c r="Z935" s="6">
        <f ca="1">('TUSD BE'!$AM$58+'TUSD BF'!$AM$58+'TUSD CVA'!$AM$58)*1</f>
        <v>362.48776111536552</v>
      </c>
      <c r="AA935" s="6">
        <f>('TE BE'!$AB$42+'TE BF'!$AB$42+'TE CVA'!$AB$42)*1</f>
        <v>272.03825149820085</v>
      </c>
      <c r="AB935" s="6">
        <f>$K$935*$V$935</f>
        <v>0</v>
      </c>
      <c r="AC935" s="6">
        <f>$M$935*$W$935</f>
        <v>136.03464000000002</v>
      </c>
      <c r="AD935" s="6">
        <f>$O$935*$X$935</f>
        <v>145.60559999999998</v>
      </c>
      <c r="AE935" s="6">
        <f>$K$935*$Y$935</f>
        <v>0</v>
      </c>
      <c r="AF935" s="6">
        <f ca="1">$M$935*$Z$935</f>
        <v>182.69383160214423</v>
      </c>
      <c r="AG935" s="6">
        <f>$O$935*$AA$935</f>
        <v>137.10727875509323</v>
      </c>
    </row>
    <row r="936" spans="1:33" ht="11.25" customHeight="1" x14ac:dyDescent="0.25">
      <c r="A936" s="4" t="s">
        <v>21</v>
      </c>
      <c r="B936" s="4" t="s">
        <v>39</v>
      </c>
      <c r="C936" s="4" t="s">
        <v>23</v>
      </c>
      <c r="D936" s="4" t="s">
        <v>40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44652</v>
      </c>
      <c r="J936" s="6">
        <v>0</v>
      </c>
      <c r="K936" s="6">
        <v>0</v>
      </c>
      <c r="L936" s="6">
        <v>271.29899999999998</v>
      </c>
      <c r="M936" s="6">
        <v>271.29899999999998</v>
      </c>
      <c r="N936" s="6">
        <v>271.29899999999998</v>
      </c>
      <c r="O936" s="6">
        <v>271.29899999999998</v>
      </c>
      <c r="P936" s="6">
        <v>266</v>
      </c>
      <c r="Q936" s="4" t="s">
        <v>26</v>
      </c>
      <c r="R936" s="4">
        <v>0</v>
      </c>
      <c r="S936" s="6">
        <v>0</v>
      </c>
      <c r="T936" s="6">
        <v>58</v>
      </c>
      <c r="U936" s="6">
        <v>99</v>
      </c>
      <c r="V936" s="6">
        <f>IF(ISERROR(VLOOKUP($S$936,'TAR FIN'!$A$1:$O$103,15,0)),0,VLOOKUP($S$936,'TAR FIN'!$A$1:$O$103,15,0))</f>
        <v>0</v>
      </c>
      <c r="W936" s="6">
        <f>IF(ISERROR(VLOOKUP($T$936,'TAR FIN'!$A$1:$O$103,15,0)),0,VLOOKUP($T$936,'TAR FIN'!$A$1:$O$103,15,0))</f>
        <v>269.91000000000003</v>
      </c>
      <c r="X936" s="6">
        <f>IF(ISERROR(VLOOKUP($U$936,'TAR FIN'!$A$1:$O$103,15,0)),0,VLOOKUP($U$936,'TAR FIN'!$A$1:$O$103,15,0))</f>
        <v>288.89999999999998</v>
      </c>
      <c r="Y936" s="6"/>
      <c r="Z936" s="6">
        <f ca="1">('TUSD BE'!$AM$58+'TUSD BF'!$AM$58+'TUSD CVA'!$AM$58)*1</f>
        <v>362.48776111536552</v>
      </c>
      <c r="AA936" s="6">
        <f>('TE BE'!$AB$42+'TE BF'!$AB$42+'TE CVA'!$AB$42)*1</f>
        <v>272.03825149820085</v>
      </c>
      <c r="AB936" s="6">
        <f>$K$936*$V$936</f>
        <v>0</v>
      </c>
      <c r="AC936" s="6">
        <f>$M$936*$W$936</f>
        <v>73226.313089999996</v>
      </c>
      <c r="AD936" s="6">
        <f>$O$936*$X$936</f>
        <v>78378.281099999993</v>
      </c>
      <c r="AE936" s="6">
        <f>$K$936*$Y$936</f>
        <v>0</v>
      </c>
      <c r="AF936" s="6">
        <f ca="1">$M$936*$Z$936</f>
        <v>98342.567102837536</v>
      </c>
      <c r="AG936" s="6">
        <f>$O$936*$AA$936</f>
        <v>73803.705593210383</v>
      </c>
    </row>
    <row r="937" spans="1:33" ht="11.25" customHeight="1" x14ac:dyDescent="0.25">
      <c r="A937" s="4" t="s">
        <v>28</v>
      </c>
      <c r="B937" s="4" t="s">
        <v>39</v>
      </c>
      <c r="C937" s="4" t="s">
        <v>23</v>
      </c>
      <c r="D937" s="4" t="s">
        <v>40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44652</v>
      </c>
      <c r="J937" s="6">
        <v>0</v>
      </c>
      <c r="K937" s="6">
        <v>0</v>
      </c>
      <c r="L937" s="6">
        <v>0.58899999999999997</v>
      </c>
      <c r="M937" s="6">
        <v>0.58899999999999997</v>
      </c>
      <c r="N937" s="6">
        <v>0.58899999999999997</v>
      </c>
      <c r="O937" s="6">
        <v>0.58899999999999997</v>
      </c>
      <c r="P937" s="6">
        <v>2</v>
      </c>
      <c r="Q937" s="4" t="s">
        <v>26</v>
      </c>
      <c r="R937" s="4">
        <v>0</v>
      </c>
      <c r="S937" s="6">
        <v>0</v>
      </c>
      <c r="T937" s="6">
        <v>58</v>
      </c>
      <c r="U937" s="6">
        <v>99</v>
      </c>
      <c r="V937" s="6">
        <f>IF(ISERROR(VLOOKUP($S$937,'TAR FIN'!$A$1:$O$103,15,0)),0,VLOOKUP($S$937,'TAR FIN'!$A$1:$O$103,15,0))</f>
        <v>0</v>
      </c>
      <c r="W937" s="6">
        <f>IF(ISERROR(VLOOKUP($T$937,'TAR FIN'!$A$1:$O$103,15,0)),0,VLOOKUP($T$937,'TAR FIN'!$A$1:$O$103,15,0))</f>
        <v>269.91000000000003</v>
      </c>
      <c r="X937" s="6">
        <f>IF(ISERROR(VLOOKUP($U$937,'TAR FIN'!$A$1:$O$103,15,0)),0,VLOOKUP($U$937,'TAR FIN'!$A$1:$O$103,15,0))</f>
        <v>288.89999999999998</v>
      </c>
      <c r="Y937" s="6"/>
      <c r="Z937" s="6">
        <f ca="1">('TUSD BE'!$AM$58+'TUSD BF'!$AM$58+'TUSD CVA'!$AM$58)*1</f>
        <v>362.48776111536552</v>
      </c>
      <c r="AA937" s="6">
        <f>('TE BE'!$AB$42+'TE BF'!$AB$42+'TE CVA'!$AB$42)*1</f>
        <v>272.03825149820085</v>
      </c>
      <c r="AB937" s="6">
        <f>$K$937*$V$937</f>
        <v>0</v>
      </c>
      <c r="AC937" s="6">
        <f>$M$937*$W$937</f>
        <v>158.97699</v>
      </c>
      <c r="AD937" s="6">
        <f>$O$937*$X$937</f>
        <v>170.16209999999998</v>
      </c>
      <c r="AE937" s="6">
        <f>$K$937*$Y$937</f>
        <v>0</v>
      </c>
      <c r="AF937" s="6">
        <f ca="1">$M$937*$Z$937</f>
        <v>213.50529129695028</v>
      </c>
      <c r="AG937" s="6">
        <f>$O$937*$AA$937</f>
        <v>160.23053013244029</v>
      </c>
    </row>
    <row r="938" spans="1:33" ht="11.25" customHeight="1" x14ac:dyDescent="0.25">
      <c r="A938" s="4" t="s">
        <v>21</v>
      </c>
      <c r="B938" s="4" t="s">
        <v>39</v>
      </c>
      <c r="C938" s="4" t="s">
        <v>23</v>
      </c>
      <c r="D938" s="4" t="s">
        <v>40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44682</v>
      </c>
      <c r="J938" s="6">
        <v>0</v>
      </c>
      <c r="K938" s="6">
        <v>0</v>
      </c>
      <c r="L938" s="6">
        <v>266.976</v>
      </c>
      <c r="M938" s="6">
        <v>266.976</v>
      </c>
      <c r="N938" s="6">
        <v>266.976</v>
      </c>
      <c r="O938" s="6">
        <v>266.976</v>
      </c>
      <c r="P938" s="6">
        <v>262</v>
      </c>
      <c r="Q938" s="4" t="s">
        <v>26</v>
      </c>
      <c r="R938" s="4">
        <v>0</v>
      </c>
      <c r="S938" s="6">
        <v>0</v>
      </c>
      <c r="T938" s="6">
        <v>58</v>
      </c>
      <c r="U938" s="6">
        <v>99</v>
      </c>
      <c r="V938" s="6">
        <f>IF(ISERROR(VLOOKUP($S$938,'TAR FIN'!$A$1:$O$103,15,0)),0,VLOOKUP($S$938,'TAR FIN'!$A$1:$O$103,15,0))</f>
        <v>0</v>
      </c>
      <c r="W938" s="6">
        <f>IF(ISERROR(VLOOKUP($T$938,'TAR FIN'!$A$1:$O$103,15,0)),0,VLOOKUP($T$938,'TAR FIN'!$A$1:$O$103,15,0))</f>
        <v>269.91000000000003</v>
      </c>
      <c r="X938" s="6">
        <f>IF(ISERROR(VLOOKUP($U$938,'TAR FIN'!$A$1:$O$103,15,0)),0,VLOOKUP($U$938,'TAR FIN'!$A$1:$O$103,15,0))</f>
        <v>288.89999999999998</v>
      </c>
      <c r="Y938" s="6"/>
      <c r="Z938" s="6">
        <f ca="1">('TUSD BE'!$AM$58+'TUSD BF'!$AM$58+'TUSD CVA'!$AM$58)*1</f>
        <v>362.48776111536552</v>
      </c>
      <c r="AA938" s="6">
        <f>('TE BE'!$AB$42+'TE BF'!$AB$42+'TE CVA'!$AB$42)*1</f>
        <v>272.03825149820085</v>
      </c>
      <c r="AB938" s="6">
        <f>$K$938*$V$938</f>
        <v>0</v>
      </c>
      <c r="AC938" s="6">
        <f>$M$938*$W$938</f>
        <v>72059.492160000009</v>
      </c>
      <c r="AD938" s="6">
        <f>$O$938*$X$938</f>
        <v>77129.366399999999</v>
      </c>
      <c r="AE938" s="6">
        <f>$K$938*$Y$938</f>
        <v>0</v>
      </c>
      <c r="AF938" s="6">
        <f ca="1">$M$938*$Z$938</f>
        <v>96775.532511535828</v>
      </c>
      <c r="AG938" s="6">
        <f>$O$938*$AA$938</f>
        <v>72627.684231983672</v>
      </c>
    </row>
    <row r="939" spans="1:33" ht="11.25" customHeight="1" x14ac:dyDescent="0.25">
      <c r="A939" s="4" t="s">
        <v>28</v>
      </c>
      <c r="B939" s="4" t="s">
        <v>39</v>
      </c>
      <c r="C939" s="4" t="s">
        <v>23</v>
      </c>
      <c r="D939" s="4" t="s">
        <v>40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44682</v>
      </c>
      <c r="J939" s="6">
        <v>0</v>
      </c>
      <c r="K939" s="6">
        <v>0</v>
      </c>
      <c r="L939" s="6">
        <v>0.57799999999999996</v>
      </c>
      <c r="M939" s="6">
        <v>0.57799999999999996</v>
      </c>
      <c r="N939" s="6">
        <v>0.57799999999999996</v>
      </c>
      <c r="O939" s="6">
        <v>0.57799999999999996</v>
      </c>
      <c r="P939" s="6">
        <v>2</v>
      </c>
      <c r="Q939" s="4" t="s">
        <v>26</v>
      </c>
      <c r="R939" s="4">
        <v>0</v>
      </c>
      <c r="S939" s="6">
        <v>0</v>
      </c>
      <c r="T939" s="6">
        <v>58</v>
      </c>
      <c r="U939" s="6">
        <v>99</v>
      </c>
      <c r="V939" s="6">
        <f>IF(ISERROR(VLOOKUP($S$939,'TAR FIN'!$A$1:$O$103,15,0)),0,VLOOKUP($S$939,'TAR FIN'!$A$1:$O$103,15,0))</f>
        <v>0</v>
      </c>
      <c r="W939" s="6">
        <f>IF(ISERROR(VLOOKUP($T$939,'TAR FIN'!$A$1:$O$103,15,0)),0,VLOOKUP($T$939,'TAR FIN'!$A$1:$O$103,15,0))</f>
        <v>269.91000000000003</v>
      </c>
      <c r="X939" s="6">
        <f>IF(ISERROR(VLOOKUP($U$939,'TAR FIN'!$A$1:$O$103,15,0)),0,VLOOKUP($U$939,'TAR FIN'!$A$1:$O$103,15,0))</f>
        <v>288.89999999999998</v>
      </c>
      <c r="Y939" s="6"/>
      <c r="Z939" s="6">
        <f ca="1">('TUSD BE'!$AM$58+'TUSD BF'!$AM$58+'TUSD CVA'!$AM$58)*1</f>
        <v>362.48776111536552</v>
      </c>
      <c r="AA939" s="6">
        <f>('TE BE'!$AB$42+'TE BF'!$AB$42+'TE CVA'!$AB$42)*1</f>
        <v>272.03825149820085</v>
      </c>
      <c r="AB939" s="6">
        <f>$K$939*$V$939</f>
        <v>0</v>
      </c>
      <c r="AC939" s="6">
        <f>$M$939*$W$939</f>
        <v>156.00798</v>
      </c>
      <c r="AD939" s="6">
        <f>$O$939*$X$939</f>
        <v>166.98419999999999</v>
      </c>
      <c r="AE939" s="6">
        <f>$K$939*$Y$939</f>
        <v>0</v>
      </c>
      <c r="AF939" s="6">
        <f ca="1">$M$939*$Z$939</f>
        <v>209.51792592468126</v>
      </c>
      <c r="AG939" s="6">
        <f>$O$939*$AA$939</f>
        <v>157.23810936596007</v>
      </c>
    </row>
    <row r="940" spans="1:33" ht="11.25" customHeight="1" x14ac:dyDescent="0.25">
      <c r="A940" s="4" t="s">
        <v>21</v>
      </c>
      <c r="B940" s="4" t="s">
        <v>39</v>
      </c>
      <c r="C940" s="4" t="s">
        <v>23</v>
      </c>
      <c r="D940" s="4" t="s">
        <v>46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44348</v>
      </c>
      <c r="J940" s="6">
        <v>0</v>
      </c>
      <c r="K940" s="6">
        <v>0</v>
      </c>
      <c r="L940" s="6">
        <v>116.09</v>
      </c>
      <c r="M940" s="6">
        <v>116.09</v>
      </c>
      <c r="N940" s="6">
        <v>116.09</v>
      </c>
      <c r="O940" s="6">
        <v>116.09</v>
      </c>
      <c r="P940" s="6">
        <v>305</v>
      </c>
      <c r="Q940" s="4" t="s">
        <v>26</v>
      </c>
      <c r="R940" s="4">
        <v>0</v>
      </c>
      <c r="S940" s="6">
        <v>0</v>
      </c>
      <c r="T940" s="6">
        <v>58</v>
      </c>
      <c r="U940" s="6">
        <v>99</v>
      </c>
      <c r="V940" s="6">
        <f>IF(ISERROR(VLOOKUP($S$940,'TAR FIN'!$A$1:$O$103,15,0)),0,VLOOKUP($S$940,'TAR FIN'!$A$1:$O$103,15,0))</f>
        <v>0</v>
      </c>
      <c r="W940" s="6">
        <f>IF(ISERROR(VLOOKUP($T$940,'TAR FIN'!$A$1:$O$103,15,0)),0,VLOOKUP($T$940,'TAR FIN'!$A$1:$O$103,15,0))</f>
        <v>269.91000000000003</v>
      </c>
      <c r="X940" s="6">
        <f>IF(ISERROR(VLOOKUP($U$940,'TAR FIN'!$A$1:$O$103,15,0)),0,VLOOKUP($U$940,'TAR FIN'!$A$1:$O$103,15,0))</f>
        <v>288.89999999999998</v>
      </c>
      <c r="Y940" s="6"/>
      <c r="Z940" s="6">
        <f ca="1">('TUSD BE'!$AM$58+'TUSD BF'!$AM$58+'TUSD CVA'!$AM$58)*1</f>
        <v>362.48776111536552</v>
      </c>
      <c r="AA940" s="6">
        <f>('TE BE'!$AB$42+'TE BF'!$AB$42+'TE CVA'!$AB$42)*1</f>
        <v>272.03825149820085</v>
      </c>
      <c r="AB940" s="6">
        <f>$K$940*$V$940</f>
        <v>0</v>
      </c>
      <c r="AC940" s="6">
        <f>$M$940*$W$940</f>
        <v>31333.851900000005</v>
      </c>
      <c r="AD940" s="6">
        <f>$O$940*$X$940</f>
        <v>33538.400999999998</v>
      </c>
      <c r="AE940" s="6">
        <f>$K$940*$Y$940</f>
        <v>0</v>
      </c>
      <c r="AF940" s="6">
        <f ca="1">$M$940*$Z$940</f>
        <v>42081.20418788278</v>
      </c>
      <c r="AG940" s="6">
        <f>$O$940*$AA$940</f>
        <v>31580.920616426138</v>
      </c>
    </row>
    <row r="941" spans="1:33" ht="11.25" customHeight="1" x14ac:dyDescent="0.25">
      <c r="A941" s="4" t="s">
        <v>28</v>
      </c>
      <c r="B941" s="4" t="s">
        <v>39</v>
      </c>
      <c r="C941" s="4" t="s">
        <v>23</v>
      </c>
      <c r="D941" s="4" t="s">
        <v>46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44348</v>
      </c>
      <c r="J941" s="6">
        <v>0</v>
      </c>
      <c r="K941" s="6">
        <v>0</v>
      </c>
      <c r="L941" s="6">
        <v>0.56699999999999995</v>
      </c>
      <c r="M941" s="6">
        <v>0.56699999999999995</v>
      </c>
      <c r="N941" s="6">
        <v>0.56699999999999995</v>
      </c>
      <c r="O941" s="6">
        <v>0.56699999999999995</v>
      </c>
      <c r="P941" s="6">
        <v>2</v>
      </c>
      <c r="Q941" s="4" t="s">
        <v>26</v>
      </c>
      <c r="R941" s="4">
        <v>0</v>
      </c>
      <c r="S941" s="6">
        <v>0</v>
      </c>
      <c r="T941" s="6">
        <v>58</v>
      </c>
      <c r="U941" s="6">
        <v>99</v>
      </c>
      <c r="V941" s="6">
        <f>IF(ISERROR(VLOOKUP($S$941,'TAR FIN'!$A$1:$O$103,15,0)),0,VLOOKUP($S$941,'TAR FIN'!$A$1:$O$103,15,0))</f>
        <v>0</v>
      </c>
      <c r="W941" s="6">
        <f>IF(ISERROR(VLOOKUP($T$941,'TAR FIN'!$A$1:$O$103,15,0)),0,VLOOKUP($T$941,'TAR FIN'!$A$1:$O$103,15,0))</f>
        <v>269.91000000000003</v>
      </c>
      <c r="X941" s="6">
        <f>IF(ISERROR(VLOOKUP($U$941,'TAR FIN'!$A$1:$O$103,15,0)),0,VLOOKUP($U$941,'TAR FIN'!$A$1:$O$103,15,0))</f>
        <v>288.89999999999998</v>
      </c>
      <c r="Y941" s="6"/>
      <c r="Z941" s="6">
        <f ca="1">('TUSD BE'!$AM$58+'TUSD BF'!$AM$58+'TUSD CVA'!$AM$58)*1</f>
        <v>362.48776111536552</v>
      </c>
      <c r="AA941" s="6">
        <f>('TE BE'!$AB$42+'TE BF'!$AB$42+'TE CVA'!$AB$42)*1</f>
        <v>272.03825149820085</v>
      </c>
      <c r="AB941" s="6">
        <f>$K$941*$V$941</f>
        <v>0</v>
      </c>
      <c r="AC941" s="6">
        <f>$M$941*$W$941</f>
        <v>153.03897000000001</v>
      </c>
      <c r="AD941" s="6">
        <f>$O$941*$X$941</f>
        <v>163.80629999999996</v>
      </c>
      <c r="AE941" s="6">
        <f>$K$941*$Y$941</f>
        <v>0</v>
      </c>
      <c r="AF941" s="6">
        <f ca="1">$M$941*$Z$941</f>
        <v>205.53056055241223</v>
      </c>
      <c r="AG941" s="6">
        <f>$O$941*$AA$941</f>
        <v>154.24568859947988</v>
      </c>
    </row>
    <row r="942" spans="1:33" ht="11.25" customHeight="1" x14ac:dyDescent="0.25">
      <c r="A942" s="4" t="s">
        <v>21</v>
      </c>
      <c r="B942" s="4" t="s">
        <v>39</v>
      </c>
      <c r="C942" s="4" t="s">
        <v>23</v>
      </c>
      <c r="D942" s="4" t="s">
        <v>46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44378</v>
      </c>
      <c r="J942" s="6">
        <v>0</v>
      </c>
      <c r="K942" s="6">
        <v>0</v>
      </c>
      <c r="L942" s="6">
        <v>120.57599999999999</v>
      </c>
      <c r="M942" s="6">
        <v>120.57599999999999</v>
      </c>
      <c r="N942" s="6">
        <v>120.57599999999999</v>
      </c>
      <c r="O942" s="6">
        <v>120.57599999999999</v>
      </c>
      <c r="P942" s="6">
        <v>301</v>
      </c>
      <c r="Q942" s="4" t="s">
        <v>26</v>
      </c>
      <c r="R942" s="4">
        <v>0</v>
      </c>
      <c r="S942" s="6">
        <v>0</v>
      </c>
      <c r="T942" s="6">
        <v>58</v>
      </c>
      <c r="U942" s="6">
        <v>99</v>
      </c>
      <c r="V942" s="6">
        <f>IF(ISERROR(VLOOKUP($S$942,'TAR FIN'!$A$1:$O$103,15,0)),0,VLOOKUP($S$942,'TAR FIN'!$A$1:$O$103,15,0))</f>
        <v>0</v>
      </c>
      <c r="W942" s="6">
        <f>IF(ISERROR(VLOOKUP($T$942,'TAR FIN'!$A$1:$O$103,15,0)),0,VLOOKUP($T$942,'TAR FIN'!$A$1:$O$103,15,0))</f>
        <v>269.91000000000003</v>
      </c>
      <c r="X942" s="6">
        <f>IF(ISERROR(VLOOKUP($U$942,'TAR FIN'!$A$1:$O$103,15,0)),0,VLOOKUP($U$942,'TAR FIN'!$A$1:$O$103,15,0))</f>
        <v>288.89999999999998</v>
      </c>
      <c r="Y942" s="6"/>
      <c r="Z942" s="6">
        <f ca="1">('TUSD BE'!$AM$58+'TUSD BF'!$AM$58+'TUSD CVA'!$AM$58)*1</f>
        <v>362.48776111536552</v>
      </c>
      <c r="AA942" s="6">
        <f>('TE BE'!$AB$42+'TE BF'!$AB$42+'TE CVA'!$AB$42)*1</f>
        <v>272.03825149820085</v>
      </c>
      <c r="AB942" s="6">
        <f>$K$942*$V$942</f>
        <v>0</v>
      </c>
      <c r="AC942" s="6">
        <f>$M$942*$W$942</f>
        <v>32544.668160000001</v>
      </c>
      <c r="AD942" s="6">
        <f>$O$942*$X$942</f>
        <v>34834.406399999993</v>
      </c>
      <c r="AE942" s="6">
        <f>$K$942*$Y$942</f>
        <v>0</v>
      </c>
      <c r="AF942" s="6">
        <f ca="1">$M$942*$Z$942</f>
        <v>43707.324284246308</v>
      </c>
      <c r="AG942" s="6">
        <f>$O$942*$AA$942</f>
        <v>32801.284212647064</v>
      </c>
    </row>
    <row r="943" spans="1:33" ht="11.25" customHeight="1" x14ac:dyDescent="0.25">
      <c r="A943" s="4" t="s">
        <v>27</v>
      </c>
      <c r="B943" s="4" t="s">
        <v>39</v>
      </c>
      <c r="C943" s="4" t="s">
        <v>23</v>
      </c>
      <c r="D943" s="4" t="s">
        <v>46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44378</v>
      </c>
      <c r="J943" s="6">
        <v>0</v>
      </c>
      <c r="K943" s="6">
        <v>0</v>
      </c>
      <c r="L943" s="6">
        <v>-0.72299999999999998</v>
      </c>
      <c r="M943" s="6">
        <v>-0.72299999999999998</v>
      </c>
      <c r="N943" s="6">
        <v>-0.72299999999999998</v>
      </c>
      <c r="O943" s="6">
        <v>-0.72299999999999998</v>
      </c>
      <c r="P943" s="6">
        <v>0</v>
      </c>
      <c r="Q943" s="4" t="s">
        <v>26</v>
      </c>
      <c r="R943" s="4">
        <v>0</v>
      </c>
      <c r="S943" s="6">
        <v>0</v>
      </c>
      <c r="T943" s="6">
        <v>58</v>
      </c>
      <c r="U943" s="6">
        <v>99</v>
      </c>
      <c r="V943" s="6">
        <f>IF(ISERROR(VLOOKUP($S$943,'TAR FIN'!$A$1:$O$103,15,0)),0,VLOOKUP($S$943,'TAR FIN'!$A$1:$O$103,15,0))</f>
        <v>0</v>
      </c>
      <c r="W943" s="6">
        <f>IF(ISERROR(VLOOKUP($T$943,'TAR FIN'!$A$1:$O$103,15,0)),0,VLOOKUP($T$943,'TAR FIN'!$A$1:$O$103,15,0))</f>
        <v>269.91000000000003</v>
      </c>
      <c r="X943" s="6">
        <f>IF(ISERROR(VLOOKUP($U$943,'TAR FIN'!$A$1:$O$103,15,0)),0,VLOOKUP($U$943,'TAR FIN'!$A$1:$O$103,15,0))</f>
        <v>288.89999999999998</v>
      </c>
      <c r="Y943" s="6"/>
      <c r="Z943" s="6">
        <f ca="1">('TUSD BE'!$AM$58+'TUSD BF'!$AM$58+'TUSD CVA'!$AM$58)*1</f>
        <v>362.48776111536552</v>
      </c>
      <c r="AA943" s="6">
        <f>('TE BE'!$AB$42+'TE BF'!$AB$42+'TE CVA'!$AB$42)*1</f>
        <v>272.03825149820085</v>
      </c>
      <c r="AB943" s="6">
        <f>$K$943*$V$943</f>
        <v>0</v>
      </c>
      <c r="AC943" s="6">
        <f>$M$943*$W$943</f>
        <v>-195.14493000000002</v>
      </c>
      <c r="AD943" s="6">
        <f>$O$943*$X$943</f>
        <v>-208.87469999999999</v>
      </c>
      <c r="AE943" s="6">
        <f>$K$943*$Y$943</f>
        <v>0</v>
      </c>
      <c r="AF943" s="6">
        <f ca="1">$M$943*$Z$943</f>
        <v>-262.07865128640924</v>
      </c>
      <c r="AG943" s="6">
        <f>$O$943*$AA$943</f>
        <v>-196.6836558331992</v>
      </c>
    </row>
    <row r="944" spans="1:33" ht="11.25" customHeight="1" x14ac:dyDescent="0.25">
      <c r="A944" s="4" t="s">
        <v>28</v>
      </c>
      <c r="B944" s="4" t="s">
        <v>39</v>
      </c>
      <c r="C944" s="4" t="s">
        <v>23</v>
      </c>
      <c r="D944" s="4" t="s">
        <v>46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44378</v>
      </c>
      <c r="J944" s="6">
        <v>0</v>
      </c>
      <c r="K944" s="6">
        <v>0</v>
      </c>
      <c r="L944" s="6">
        <v>4.7930000000000001</v>
      </c>
      <c r="M944" s="6">
        <v>4.7930000000000001</v>
      </c>
      <c r="N944" s="6">
        <v>4.7930000000000001</v>
      </c>
      <c r="O944" s="6">
        <v>4.7930000000000001</v>
      </c>
      <c r="P944" s="6">
        <v>5</v>
      </c>
      <c r="Q944" s="4" t="s">
        <v>26</v>
      </c>
      <c r="R944" s="4">
        <v>0</v>
      </c>
      <c r="S944" s="6">
        <v>0</v>
      </c>
      <c r="T944" s="6">
        <v>58</v>
      </c>
      <c r="U944" s="6">
        <v>99</v>
      </c>
      <c r="V944" s="6">
        <f>IF(ISERROR(VLOOKUP($S$944,'TAR FIN'!$A$1:$O$103,15,0)),0,VLOOKUP($S$944,'TAR FIN'!$A$1:$O$103,15,0))</f>
        <v>0</v>
      </c>
      <c r="W944" s="6">
        <f>IF(ISERROR(VLOOKUP($T$944,'TAR FIN'!$A$1:$O$103,15,0)),0,VLOOKUP($T$944,'TAR FIN'!$A$1:$O$103,15,0))</f>
        <v>269.91000000000003</v>
      </c>
      <c r="X944" s="6">
        <f>IF(ISERROR(VLOOKUP($U$944,'TAR FIN'!$A$1:$O$103,15,0)),0,VLOOKUP($U$944,'TAR FIN'!$A$1:$O$103,15,0))</f>
        <v>288.89999999999998</v>
      </c>
      <c r="Y944" s="6"/>
      <c r="Z944" s="6">
        <f ca="1">('TUSD BE'!$AM$58+'TUSD BF'!$AM$58+'TUSD CVA'!$AM$58)*1</f>
        <v>362.48776111536552</v>
      </c>
      <c r="AA944" s="6">
        <f>('TE BE'!$AB$42+'TE BF'!$AB$42+'TE CVA'!$AB$42)*1</f>
        <v>272.03825149820085</v>
      </c>
      <c r="AB944" s="6">
        <f>$K$944*$V$944</f>
        <v>0</v>
      </c>
      <c r="AC944" s="6">
        <f>$M$944*$W$944</f>
        <v>1293.6786300000001</v>
      </c>
      <c r="AD944" s="6">
        <f>$O$944*$X$944</f>
        <v>1384.6976999999999</v>
      </c>
      <c r="AE944" s="6">
        <f>$K$944*$Y$944</f>
        <v>0</v>
      </c>
      <c r="AF944" s="6">
        <f ca="1">$M$944*$Z$944</f>
        <v>1737.403839025947</v>
      </c>
      <c r="AG944" s="6">
        <f>$O$944*$AA$944</f>
        <v>1303.8793394308768</v>
      </c>
    </row>
    <row r="945" spans="1:33" ht="11.25" customHeight="1" x14ac:dyDescent="0.25">
      <c r="A945" s="4" t="s">
        <v>21</v>
      </c>
      <c r="B945" s="4" t="s">
        <v>39</v>
      </c>
      <c r="C945" s="4" t="s">
        <v>23</v>
      </c>
      <c r="D945" s="4" t="s">
        <v>46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44409</v>
      </c>
      <c r="J945" s="6">
        <v>0</v>
      </c>
      <c r="K945" s="6">
        <v>0</v>
      </c>
      <c r="L945" s="6">
        <v>143.05600000000001</v>
      </c>
      <c r="M945" s="6">
        <v>143.05600000000001</v>
      </c>
      <c r="N945" s="6">
        <v>143.05600000000001</v>
      </c>
      <c r="O945" s="6">
        <v>143.05600000000001</v>
      </c>
      <c r="P945" s="6">
        <v>299</v>
      </c>
      <c r="Q945" s="4" t="s">
        <v>26</v>
      </c>
      <c r="R945" s="4">
        <v>0</v>
      </c>
      <c r="S945" s="6">
        <v>0</v>
      </c>
      <c r="T945" s="6">
        <v>58</v>
      </c>
      <c r="U945" s="6">
        <v>99</v>
      </c>
      <c r="V945" s="6">
        <f>IF(ISERROR(VLOOKUP($S$945,'TAR FIN'!$A$1:$O$103,15,0)),0,VLOOKUP($S$945,'TAR FIN'!$A$1:$O$103,15,0))</f>
        <v>0</v>
      </c>
      <c r="W945" s="6">
        <f>IF(ISERROR(VLOOKUP($T$945,'TAR FIN'!$A$1:$O$103,15,0)),0,VLOOKUP($T$945,'TAR FIN'!$A$1:$O$103,15,0))</f>
        <v>269.91000000000003</v>
      </c>
      <c r="X945" s="6">
        <f>IF(ISERROR(VLOOKUP($U$945,'TAR FIN'!$A$1:$O$103,15,0)),0,VLOOKUP($U$945,'TAR FIN'!$A$1:$O$103,15,0))</f>
        <v>288.89999999999998</v>
      </c>
      <c r="Y945" s="6"/>
      <c r="Z945" s="6">
        <f ca="1">('TUSD BE'!$AM$58+'TUSD BF'!$AM$58+'TUSD CVA'!$AM$58)*1</f>
        <v>362.48776111536552</v>
      </c>
      <c r="AA945" s="6">
        <f>('TE BE'!$AB$42+'TE BF'!$AB$42+'TE CVA'!$AB$42)*1</f>
        <v>272.03825149820085</v>
      </c>
      <c r="AB945" s="6">
        <f>$K$945*$V$945</f>
        <v>0</v>
      </c>
      <c r="AC945" s="6">
        <f>$M$945*$W$945</f>
        <v>38612.244960000004</v>
      </c>
      <c r="AD945" s="6">
        <f>$O$945*$X$945</f>
        <v>41328.878400000001</v>
      </c>
      <c r="AE945" s="6">
        <f>$K$945*$Y$945</f>
        <v>0</v>
      </c>
      <c r="AF945" s="6">
        <f ca="1">$M$945*$Z$945</f>
        <v>51856.049154119733</v>
      </c>
      <c r="AG945" s="6">
        <f>$O$945*$AA$945</f>
        <v>38916.704106326622</v>
      </c>
    </row>
    <row r="946" spans="1:33" ht="11.25" customHeight="1" x14ac:dyDescent="0.25">
      <c r="A946" s="4" t="s">
        <v>28</v>
      </c>
      <c r="B946" s="4" t="s">
        <v>39</v>
      </c>
      <c r="C946" s="4" t="s">
        <v>23</v>
      </c>
      <c r="D946" s="4" t="s">
        <v>46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44409</v>
      </c>
      <c r="J946" s="6">
        <v>0</v>
      </c>
      <c r="K946" s="6">
        <v>0</v>
      </c>
      <c r="L946" s="6">
        <v>3.0139999999999998</v>
      </c>
      <c r="M946" s="6">
        <v>3.0139999999999998</v>
      </c>
      <c r="N946" s="6">
        <v>3.0139999999999998</v>
      </c>
      <c r="O946" s="6">
        <v>3.0139999999999998</v>
      </c>
      <c r="P946" s="6">
        <v>6</v>
      </c>
      <c r="Q946" s="4" t="s">
        <v>26</v>
      </c>
      <c r="R946" s="4">
        <v>0</v>
      </c>
      <c r="S946" s="6">
        <v>0</v>
      </c>
      <c r="T946" s="6">
        <v>58</v>
      </c>
      <c r="U946" s="6">
        <v>99</v>
      </c>
      <c r="V946" s="6">
        <f>IF(ISERROR(VLOOKUP($S$946,'TAR FIN'!$A$1:$O$103,15,0)),0,VLOOKUP($S$946,'TAR FIN'!$A$1:$O$103,15,0))</f>
        <v>0</v>
      </c>
      <c r="W946" s="6">
        <f>IF(ISERROR(VLOOKUP($T$946,'TAR FIN'!$A$1:$O$103,15,0)),0,VLOOKUP($T$946,'TAR FIN'!$A$1:$O$103,15,0))</f>
        <v>269.91000000000003</v>
      </c>
      <c r="X946" s="6">
        <f>IF(ISERROR(VLOOKUP($U$946,'TAR FIN'!$A$1:$O$103,15,0)),0,VLOOKUP($U$946,'TAR FIN'!$A$1:$O$103,15,0))</f>
        <v>288.89999999999998</v>
      </c>
      <c r="Y946" s="6"/>
      <c r="Z946" s="6">
        <f ca="1">('TUSD BE'!$AM$58+'TUSD BF'!$AM$58+'TUSD CVA'!$AM$58)*1</f>
        <v>362.48776111536552</v>
      </c>
      <c r="AA946" s="6">
        <f>('TE BE'!$AB$42+'TE BF'!$AB$42+'TE CVA'!$AB$42)*1</f>
        <v>272.03825149820085</v>
      </c>
      <c r="AB946" s="6">
        <f>$K$946*$V$946</f>
        <v>0</v>
      </c>
      <c r="AC946" s="6">
        <f>$M$946*$W$946</f>
        <v>813.50873999999999</v>
      </c>
      <c r="AD946" s="6">
        <f>$O$946*$X$946</f>
        <v>870.74459999999988</v>
      </c>
      <c r="AE946" s="6">
        <f>$K$946*$Y$946</f>
        <v>0</v>
      </c>
      <c r="AF946" s="6">
        <f ca="1">$M$946*$Z$946</f>
        <v>1092.5381120017116</v>
      </c>
      <c r="AG946" s="6">
        <f>$O$946*$AA$946</f>
        <v>819.92329001557732</v>
      </c>
    </row>
    <row r="947" spans="1:33" ht="11.25" customHeight="1" x14ac:dyDescent="0.25">
      <c r="A947" s="4" t="s">
        <v>21</v>
      </c>
      <c r="B947" s="4" t="s">
        <v>39</v>
      </c>
      <c r="C947" s="4" t="s">
        <v>23</v>
      </c>
      <c r="D947" s="4" t="s">
        <v>46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44440</v>
      </c>
      <c r="J947" s="6">
        <v>0</v>
      </c>
      <c r="K947" s="6">
        <v>0</v>
      </c>
      <c r="L947" s="6">
        <v>142.28200000000001</v>
      </c>
      <c r="M947" s="6">
        <v>142.28200000000001</v>
      </c>
      <c r="N947" s="6">
        <v>142.28200000000001</v>
      </c>
      <c r="O947" s="6">
        <v>142.28200000000001</v>
      </c>
      <c r="P947" s="6">
        <v>299</v>
      </c>
      <c r="Q947" s="4" t="s">
        <v>26</v>
      </c>
      <c r="R947" s="4">
        <v>0</v>
      </c>
      <c r="S947" s="6">
        <v>0</v>
      </c>
      <c r="T947" s="6">
        <v>58</v>
      </c>
      <c r="U947" s="6">
        <v>99</v>
      </c>
      <c r="V947" s="6">
        <f>IF(ISERROR(VLOOKUP($S$947,'TAR FIN'!$A$1:$O$103,15,0)),0,VLOOKUP($S$947,'TAR FIN'!$A$1:$O$103,15,0))</f>
        <v>0</v>
      </c>
      <c r="W947" s="6">
        <f>IF(ISERROR(VLOOKUP($T$947,'TAR FIN'!$A$1:$O$103,15,0)),0,VLOOKUP($T$947,'TAR FIN'!$A$1:$O$103,15,0))</f>
        <v>269.91000000000003</v>
      </c>
      <c r="X947" s="6">
        <f>IF(ISERROR(VLOOKUP($U$947,'TAR FIN'!$A$1:$O$103,15,0)),0,VLOOKUP($U$947,'TAR FIN'!$A$1:$O$103,15,0))</f>
        <v>288.89999999999998</v>
      </c>
      <c r="Y947" s="6"/>
      <c r="Z947" s="6">
        <f ca="1">('TUSD BE'!$AM$58+'TUSD BF'!$AM$58+'TUSD CVA'!$AM$58)*1</f>
        <v>362.48776111536552</v>
      </c>
      <c r="AA947" s="6">
        <f>('TE BE'!$AB$42+'TE BF'!$AB$42+'TE CVA'!$AB$42)*1</f>
        <v>272.03825149820085</v>
      </c>
      <c r="AB947" s="6">
        <f>$K$947*$V$947</f>
        <v>0</v>
      </c>
      <c r="AC947" s="6">
        <f>$M$947*$W$947</f>
        <v>38403.334620000009</v>
      </c>
      <c r="AD947" s="6">
        <f>$O$947*$X$947</f>
        <v>41105.269800000002</v>
      </c>
      <c r="AE947" s="6">
        <f>$K$947*$Y$947</f>
        <v>0</v>
      </c>
      <c r="AF947" s="6">
        <f ca="1">$M$947*$Z$947</f>
        <v>51575.483627016438</v>
      </c>
      <c r="AG947" s="6">
        <f>$O$947*$AA$947</f>
        <v>38706.146499667018</v>
      </c>
    </row>
    <row r="948" spans="1:33" ht="11.25" customHeight="1" x14ac:dyDescent="0.25">
      <c r="A948" s="4" t="s">
        <v>28</v>
      </c>
      <c r="B948" s="4" t="s">
        <v>39</v>
      </c>
      <c r="C948" s="4" t="s">
        <v>23</v>
      </c>
      <c r="D948" s="4" t="s">
        <v>46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44440</v>
      </c>
      <c r="J948" s="6">
        <v>0</v>
      </c>
      <c r="K948" s="6">
        <v>0</v>
      </c>
      <c r="L948" s="6">
        <v>5.1660000000000004</v>
      </c>
      <c r="M948" s="6">
        <v>5.1660000000000004</v>
      </c>
      <c r="N948" s="6">
        <v>5.1660000000000004</v>
      </c>
      <c r="O948" s="6">
        <v>5.1660000000000004</v>
      </c>
      <c r="P948" s="6">
        <v>6</v>
      </c>
      <c r="Q948" s="4" t="s">
        <v>26</v>
      </c>
      <c r="R948" s="4">
        <v>0</v>
      </c>
      <c r="S948" s="6">
        <v>0</v>
      </c>
      <c r="T948" s="6">
        <v>58</v>
      </c>
      <c r="U948" s="6">
        <v>99</v>
      </c>
      <c r="V948" s="6">
        <f>IF(ISERROR(VLOOKUP($S$948,'TAR FIN'!$A$1:$O$103,15,0)),0,VLOOKUP($S$948,'TAR FIN'!$A$1:$O$103,15,0))</f>
        <v>0</v>
      </c>
      <c r="W948" s="6">
        <f>IF(ISERROR(VLOOKUP($T$948,'TAR FIN'!$A$1:$O$103,15,0)),0,VLOOKUP($T$948,'TAR FIN'!$A$1:$O$103,15,0))</f>
        <v>269.91000000000003</v>
      </c>
      <c r="X948" s="6">
        <f>IF(ISERROR(VLOOKUP($U$948,'TAR FIN'!$A$1:$O$103,15,0)),0,VLOOKUP($U$948,'TAR FIN'!$A$1:$O$103,15,0))</f>
        <v>288.89999999999998</v>
      </c>
      <c r="Y948" s="6"/>
      <c r="Z948" s="6">
        <f ca="1">('TUSD BE'!$AM$58+'TUSD BF'!$AM$58+'TUSD CVA'!$AM$58)*1</f>
        <v>362.48776111536552</v>
      </c>
      <c r="AA948" s="6">
        <f>('TE BE'!$AB$42+'TE BF'!$AB$42+'TE CVA'!$AB$42)*1</f>
        <v>272.03825149820085</v>
      </c>
      <c r="AB948" s="6">
        <f>$K$948*$V$948</f>
        <v>0</v>
      </c>
      <c r="AC948" s="6">
        <f>$M$948*$W$948</f>
        <v>1394.3550600000003</v>
      </c>
      <c r="AD948" s="6">
        <f>$O$948*$X$948</f>
        <v>1492.4574</v>
      </c>
      <c r="AE948" s="6">
        <f>$K$948*$Y$948</f>
        <v>0</v>
      </c>
      <c r="AF948" s="6">
        <f ca="1">$M$948*$Z$948</f>
        <v>1872.6117739219783</v>
      </c>
      <c r="AG948" s="6">
        <f>$O$948*$AA$948</f>
        <v>1405.3496072397056</v>
      </c>
    </row>
    <row r="949" spans="1:33" ht="11.25" customHeight="1" x14ac:dyDescent="0.25">
      <c r="A949" s="4" t="s">
        <v>21</v>
      </c>
      <c r="B949" s="4" t="s">
        <v>39</v>
      </c>
      <c r="C949" s="4" t="s">
        <v>23</v>
      </c>
      <c r="D949" s="4" t="s">
        <v>46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44470</v>
      </c>
      <c r="J949" s="6">
        <v>0</v>
      </c>
      <c r="K949" s="6">
        <v>0</v>
      </c>
      <c r="L949" s="6">
        <v>142.167</v>
      </c>
      <c r="M949" s="6">
        <v>142.167</v>
      </c>
      <c r="N949" s="6">
        <v>142.167</v>
      </c>
      <c r="O949" s="6">
        <v>142.167</v>
      </c>
      <c r="P949" s="6">
        <v>299</v>
      </c>
      <c r="Q949" s="4" t="s">
        <v>26</v>
      </c>
      <c r="R949" s="4">
        <v>0</v>
      </c>
      <c r="S949" s="6">
        <v>0</v>
      </c>
      <c r="T949" s="6">
        <v>58</v>
      </c>
      <c r="U949" s="6">
        <v>99</v>
      </c>
      <c r="V949" s="6">
        <f>IF(ISERROR(VLOOKUP($S$949,'TAR FIN'!$A$1:$O$103,15,0)),0,VLOOKUP($S$949,'TAR FIN'!$A$1:$O$103,15,0))</f>
        <v>0</v>
      </c>
      <c r="W949" s="6">
        <f>IF(ISERROR(VLOOKUP($T$949,'TAR FIN'!$A$1:$O$103,15,0)),0,VLOOKUP($T$949,'TAR FIN'!$A$1:$O$103,15,0))</f>
        <v>269.91000000000003</v>
      </c>
      <c r="X949" s="6">
        <f>IF(ISERROR(VLOOKUP($U$949,'TAR FIN'!$A$1:$O$103,15,0)),0,VLOOKUP($U$949,'TAR FIN'!$A$1:$O$103,15,0))</f>
        <v>288.89999999999998</v>
      </c>
      <c r="Y949" s="6"/>
      <c r="Z949" s="6">
        <f ca="1">('TUSD BE'!$AM$58+'TUSD BF'!$AM$58+'TUSD CVA'!$AM$58)*1</f>
        <v>362.48776111536552</v>
      </c>
      <c r="AA949" s="6">
        <f>('TE BE'!$AB$42+'TE BF'!$AB$42+'TE CVA'!$AB$42)*1</f>
        <v>272.03825149820085</v>
      </c>
      <c r="AB949" s="6">
        <f>$K$949*$V$949</f>
        <v>0</v>
      </c>
      <c r="AC949" s="6">
        <f>$M$949*$W$949</f>
        <v>38372.294970000003</v>
      </c>
      <c r="AD949" s="6">
        <f>$O$949*$X$949</f>
        <v>41072.046299999995</v>
      </c>
      <c r="AE949" s="6">
        <f>$K$949*$Y$949</f>
        <v>0</v>
      </c>
      <c r="AF949" s="6">
        <f ca="1">$M$949*$Z$949</f>
        <v>51533.797534488171</v>
      </c>
      <c r="AG949" s="6">
        <f>$O$949*$AA$949</f>
        <v>38674.862100744722</v>
      </c>
    </row>
    <row r="950" spans="1:33" ht="11.25" customHeight="1" x14ac:dyDescent="0.25">
      <c r="A950" s="4" t="s">
        <v>28</v>
      </c>
      <c r="B950" s="4" t="s">
        <v>39</v>
      </c>
      <c r="C950" s="4" t="s">
        <v>23</v>
      </c>
      <c r="D950" s="4" t="s">
        <v>46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44470</v>
      </c>
      <c r="J950" s="6">
        <v>0</v>
      </c>
      <c r="K950" s="6">
        <v>0</v>
      </c>
      <c r="L950" s="6">
        <v>6.24</v>
      </c>
      <c r="M950" s="6">
        <v>6.24</v>
      </c>
      <c r="N950" s="6">
        <v>6.24</v>
      </c>
      <c r="O950" s="6">
        <v>6.24</v>
      </c>
      <c r="P950" s="6">
        <v>6</v>
      </c>
      <c r="Q950" s="4" t="s">
        <v>26</v>
      </c>
      <c r="R950" s="4">
        <v>0</v>
      </c>
      <c r="S950" s="6">
        <v>0</v>
      </c>
      <c r="T950" s="6">
        <v>58</v>
      </c>
      <c r="U950" s="6">
        <v>99</v>
      </c>
      <c r="V950" s="6">
        <f>IF(ISERROR(VLOOKUP($S$950,'TAR FIN'!$A$1:$O$103,15,0)),0,VLOOKUP($S$950,'TAR FIN'!$A$1:$O$103,15,0))</f>
        <v>0</v>
      </c>
      <c r="W950" s="6">
        <f>IF(ISERROR(VLOOKUP($T$950,'TAR FIN'!$A$1:$O$103,15,0)),0,VLOOKUP($T$950,'TAR FIN'!$A$1:$O$103,15,0))</f>
        <v>269.91000000000003</v>
      </c>
      <c r="X950" s="6">
        <f>IF(ISERROR(VLOOKUP($U$950,'TAR FIN'!$A$1:$O$103,15,0)),0,VLOOKUP($U$950,'TAR FIN'!$A$1:$O$103,15,0))</f>
        <v>288.89999999999998</v>
      </c>
      <c r="Y950" s="6"/>
      <c r="Z950" s="6">
        <f ca="1">('TUSD BE'!$AM$58+'TUSD BF'!$AM$58+'TUSD CVA'!$AM$58)*1</f>
        <v>362.48776111536552</v>
      </c>
      <c r="AA950" s="6">
        <f>('TE BE'!$AB$42+'TE BF'!$AB$42+'TE CVA'!$AB$42)*1</f>
        <v>272.03825149820085</v>
      </c>
      <c r="AB950" s="6">
        <f>$K$950*$V$950</f>
        <v>0</v>
      </c>
      <c r="AC950" s="6">
        <f>$M$950*$W$950</f>
        <v>1684.2384000000002</v>
      </c>
      <c r="AD950" s="6">
        <f>$O$950*$X$950</f>
        <v>1802.7359999999999</v>
      </c>
      <c r="AE950" s="6">
        <f>$K$950*$Y$950</f>
        <v>0</v>
      </c>
      <c r="AF950" s="6">
        <f ca="1">$M$950*$Z$950</f>
        <v>2261.923629359881</v>
      </c>
      <c r="AG950" s="6">
        <f>$O$950*$AA$950</f>
        <v>1697.5186893487733</v>
      </c>
    </row>
    <row r="951" spans="1:33" ht="11.25" customHeight="1" x14ac:dyDescent="0.25">
      <c r="A951" s="4" t="s">
        <v>21</v>
      </c>
      <c r="B951" s="4" t="s">
        <v>39</v>
      </c>
      <c r="C951" s="4" t="s">
        <v>23</v>
      </c>
      <c r="D951" s="4" t="s">
        <v>46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44501</v>
      </c>
      <c r="J951" s="6">
        <v>0</v>
      </c>
      <c r="K951" s="6">
        <v>0</v>
      </c>
      <c r="L951" s="6">
        <v>136.66200000000001</v>
      </c>
      <c r="M951" s="6">
        <v>136.66200000000001</v>
      </c>
      <c r="N951" s="6">
        <v>136.66200000000001</v>
      </c>
      <c r="O951" s="6">
        <v>136.66200000000001</v>
      </c>
      <c r="P951" s="6">
        <v>299</v>
      </c>
      <c r="Q951" s="4" t="s">
        <v>26</v>
      </c>
      <c r="R951" s="4">
        <v>0</v>
      </c>
      <c r="S951" s="6">
        <v>0</v>
      </c>
      <c r="T951" s="6">
        <v>58</v>
      </c>
      <c r="U951" s="6">
        <v>99</v>
      </c>
      <c r="V951" s="6">
        <f>IF(ISERROR(VLOOKUP($S$951,'TAR FIN'!$A$1:$O$103,15,0)),0,VLOOKUP($S$951,'TAR FIN'!$A$1:$O$103,15,0))</f>
        <v>0</v>
      </c>
      <c r="W951" s="6">
        <f>IF(ISERROR(VLOOKUP($T$951,'TAR FIN'!$A$1:$O$103,15,0)),0,VLOOKUP($T$951,'TAR FIN'!$A$1:$O$103,15,0))</f>
        <v>269.91000000000003</v>
      </c>
      <c r="X951" s="6">
        <f>IF(ISERROR(VLOOKUP($U$951,'TAR FIN'!$A$1:$O$103,15,0)),0,VLOOKUP($U$951,'TAR FIN'!$A$1:$O$103,15,0))</f>
        <v>288.89999999999998</v>
      </c>
      <c r="Y951" s="6"/>
      <c r="Z951" s="6">
        <f ca="1">('TUSD BE'!$AM$58+'TUSD BF'!$AM$58+'TUSD CVA'!$AM$58)*1</f>
        <v>362.48776111536552</v>
      </c>
      <c r="AA951" s="6">
        <f>('TE BE'!$AB$42+'TE BF'!$AB$42+'TE CVA'!$AB$42)*1</f>
        <v>272.03825149820085</v>
      </c>
      <c r="AB951" s="6">
        <f>$K$951*$V$951</f>
        <v>0</v>
      </c>
      <c r="AC951" s="6">
        <f>$M$951*$W$951</f>
        <v>36886.440420000006</v>
      </c>
      <c r="AD951" s="6">
        <f>$O$951*$X$951</f>
        <v>39481.6518</v>
      </c>
      <c r="AE951" s="6">
        <f>$K$951*$Y$951</f>
        <v>0</v>
      </c>
      <c r="AF951" s="6">
        <f ca="1">$M$951*$Z$951</f>
        <v>49538.302409548087</v>
      </c>
      <c r="AG951" s="6">
        <f>$O$951*$AA$951</f>
        <v>37177.291526247129</v>
      </c>
    </row>
    <row r="952" spans="1:33" ht="11.25" customHeight="1" x14ac:dyDescent="0.25">
      <c r="A952" s="4" t="s">
        <v>28</v>
      </c>
      <c r="B952" s="4" t="s">
        <v>39</v>
      </c>
      <c r="C952" s="4" t="s">
        <v>23</v>
      </c>
      <c r="D952" s="4" t="s">
        <v>46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44501</v>
      </c>
      <c r="J952" s="6">
        <v>0</v>
      </c>
      <c r="K952" s="6">
        <v>0</v>
      </c>
      <c r="L952" s="6">
        <v>6.6740000000000004</v>
      </c>
      <c r="M952" s="6">
        <v>6.6740000000000004</v>
      </c>
      <c r="N952" s="6">
        <v>6.6740000000000004</v>
      </c>
      <c r="O952" s="6">
        <v>6.6740000000000004</v>
      </c>
      <c r="P952" s="6">
        <v>6</v>
      </c>
      <c r="Q952" s="4" t="s">
        <v>26</v>
      </c>
      <c r="R952" s="4">
        <v>0</v>
      </c>
      <c r="S952" s="6">
        <v>0</v>
      </c>
      <c r="T952" s="6">
        <v>58</v>
      </c>
      <c r="U952" s="6">
        <v>99</v>
      </c>
      <c r="V952" s="6">
        <f>IF(ISERROR(VLOOKUP($S$952,'TAR FIN'!$A$1:$O$103,15,0)),0,VLOOKUP($S$952,'TAR FIN'!$A$1:$O$103,15,0))</f>
        <v>0</v>
      </c>
      <c r="W952" s="6">
        <f>IF(ISERROR(VLOOKUP($T$952,'TAR FIN'!$A$1:$O$103,15,0)),0,VLOOKUP($T$952,'TAR FIN'!$A$1:$O$103,15,0))</f>
        <v>269.91000000000003</v>
      </c>
      <c r="X952" s="6">
        <f>IF(ISERROR(VLOOKUP($U$952,'TAR FIN'!$A$1:$O$103,15,0)),0,VLOOKUP($U$952,'TAR FIN'!$A$1:$O$103,15,0))</f>
        <v>288.89999999999998</v>
      </c>
      <c r="Y952" s="6"/>
      <c r="Z952" s="6">
        <f ca="1">('TUSD BE'!$AM$58+'TUSD BF'!$AM$58+'TUSD CVA'!$AM$58)*1</f>
        <v>362.48776111536552</v>
      </c>
      <c r="AA952" s="6">
        <f>('TE BE'!$AB$42+'TE BF'!$AB$42+'TE CVA'!$AB$42)*1</f>
        <v>272.03825149820085</v>
      </c>
      <c r="AB952" s="6">
        <f>$K$952*$V$952</f>
        <v>0</v>
      </c>
      <c r="AC952" s="6">
        <f>$M$952*$W$952</f>
        <v>1801.3793400000002</v>
      </c>
      <c r="AD952" s="6">
        <f>$O$952*$X$952</f>
        <v>1928.1186</v>
      </c>
      <c r="AE952" s="6">
        <f>$K$952*$Y$952</f>
        <v>0</v>
      </c>
      <c r="AF952" s="6">
        <f ca="1">$M$952*$Z$952</f>
        <v>2419.2433176839495</v>
      </c>
      <c r="AG952" s="6">
        <f>$O$952*$AA$952</f>
        <v>1815.5832904989925</v>
      </c>
    </row>
    <row r="953" spans="1:33" ht="11.25" customHeight="1" x14ac:dyDescent="0.25">
      <c r="A953" s="4" t="s">
        <v>21</v>
      </c>
      <c r="B953" s="4" t="s">
        <v>39</v>
      </c>
      <c r="C953" s="4" t="s">
        <v>23</v>
      </c>
      <c r="D953" s="4" t="s">
        <v>46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44531</v>
      </c>
      <c r="J953" s="6">
        <v>0</v>
      </c>
      <c r="K953" s="6">
        <v>0</v>
      </c>
      <c r="L953" s="6">
        <v>145.38200000000001</v>
      </c>
      <c r="M953" s="6">
        <v>145.38200000000001</v>
      </c>
      <c r="N953" s="6">
        <v>145.38200000000001</v>
      </c>
      <c r="O953" s="6">
        <v>145.38200000000001</v>
      </c>
      <c r="P953" s="6">
        <v>302</v>
      </c>
      <c r="Q953" s="4" t="s">
        <v>26</v>
      </c>
      <c r="R953" s="4">
        <v>0</v>
      </c>
      <c r="S953" s="6">
        <v>0</v>
      </c>
      <c r="T953" s="6">
        <v>58</v>
      </c>
      <c r="U953" s="6">
        <v>99</v>
      </c>
      <c r="V953" s="6">
        <f>IF(ISERROR(VLOOKUP($S$953,'TAR FIN'!$A$1:$O$103,15,0)),0,VLOOKUP($S$953,'TAR FIN'!$A$1:$O$103,15,0))</f>
        <v>0</v>
      </c>
      <c r="W953" s="6">
        <f>IF(ISERROR(VLOOKUP($T$953,'TAR FIN'!$A$1:$O$103,15,0)),0,VLOOKUP($T$953,'TAR FIN'!$A$1:$O$103,15,0))</f>
        <v>269.91000000000003</v>
      </c>
      <c r="X953" s="6">
        <f>IF(ISERROR(VLOOKUP($U$953,'TAR FIN'!$A$1:$O$103,15,0)),0,VLOOKUP($U$953,'TAR FIN'!$A$1:$O$103,15,0))</f>
        <v>288.89999999999998</v>
      </c>
      <c r="Y953" s="6"/>
      <c r="Z953" s="6">
        <f ca="1">('TUSD BE'!$AM$58+'TUSD BF'!$AM$58+'TUSD CVA'!$AM$58)*1</f>
        <v>362.48776111536552</v>
      </c>
      <c r="AA953" s="6">
        <f>('TE BE'!$AB$42+'TE BF'!$AB$42+'TE CVA'!$AB$42)*1</f>
        <v>272.03825149820085</v>
      </c>
      <c r="AB953" s="6">
        <f>$K$953*$V$953</f>
        <v>0</v>
      </c>
      <c r="AC953" s="6">
        <f>$M$953*$W$953</f>
        <v>39240.055620000006</v>
      </c>
      <c r="AD953" s="6">
        <f>$O$953*$X$953</f>
        <v>42000.859799999998</v>
      </c>
      <c r="AE953" s="6">
        <f>$K$953*$Y$953</f>
        <v>0</v>
      </c>
      <c r="AF953" s="6">
        <f ca="1">$M$953*$Z$953</f>
        <v>52699.195686474071</v>
      </c>
      <c r="AG953" s="6">
        <f>$O$953*$AA$953</f>
        <v>39549.465079311434</v>
      </c>
    </row>
    <row r="954" spans="1:33" ht="11.25" customHeight="1" x14ac:dyDescent="0.25">
      <c r="A954" s="4" t="s">
        <v>28</v>
      </c>
      <c r="B954" s="4" t="s">
        <v>39</v>
      </c>
      <c r="C954" s="4" t="s">
        <v>23</v>
      </c>
      <c r="D954" s="4" t="s">
        <v>46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44531</v>
      </c>
      <c r="J954" s="6">
        <v>0</v>
      </c>
      <c r="K954" s="6">
        <v>0</v>
      </c>
      <c r="L954" s="6">
        <v>6.18</v>
      </c>
      <c r="M954" s="6">
        <v>6.18</v>
      </c>
      <c r="N954" s="6">
        <v>6.18</v>
      </c>
      <c r="O954" s="6">
        <v>6.18</v>
      </c>
      <c r="P954" s="6">
        <v>6</v>
      </c>
      <c r="Q954" s="4" t="s">
        <v>26</v>
      </c>
      <c r="R954" s="4">
        <v>0</v>
      </c>
      <c r="S954" s="6">
        <v>0</v>
      </c>
      <c r="T954" s="6">
        <v>58</v>
      </c>
      <c r="U954" s="6">
        <v>99</v>
      </c>
      <c r="V954" s="6">
        <f>IF(ISERROR(VLOOKUP($S$954,'TAR FIN'!$A$1:$O$103,15,0)),0,VLOOKUP($S$954,'TAR FIN'!$A$1:$O$103,15,0))</f>
        <v>0</v>
      </c>
      <c r="W954" s="6">
        <f>IF(ISERROR(VLOOKUP($T$954,'TAR FIN'!$A$1:$O$103,15,0)),0,VLOOKUP($T$954,'TAR FIN'!$A$1:$O$103,15,0))</f>
        <v>269.91000000000003</v>
      </c>
      <c r="X954" s="6">
        <f>IF(ISERROR(VLOOKUP($U$954,'TAR FIN'!$A$1:$O$103,15,0)),0,VLOOKUP($U$954,'TAR FIN'!$A$1:$O$103,15,0))</f>
        <v>288.89999999999998</v>
      </c>
      <c r="Y954" s="6"/>
      <c r="Z954" s="6">
        <f ca="1">('TUSD BE'!$AM$58+'TUSD BF'!$AM$58+'TUSD CVA'!$AM$58)*1</f>
        <v>362.48776111536552</v>
      </c>
      <c r="AA954" s="6">
        <f>('TE BE'!$AB$42+'TE BF'!$AB$42+'TE CVA'!$AB$42)*1</f>
        <v>272.03825149820085</v>
      </c>
      <c r="AB954" s="6">
        <f>$K$954*$V$954</f>
        <v>0</v>
      </c>
      <c r="AC954" s="6">
        <f>$M$954*$W$954</f>
        <v>1668.0438000000001</v>
      </c>
      <c r="AD954" s="6">
        <f>$O$954*$X$954</f>
        <v>1785.4019999999998</v>
      </c>
      <c r="AE954" s="6">
        <f>$K$954*$Y$954</f>
        <v>0</v>
      </c>
      <c r="AF954" s="6">
        <f ca="1">$M$954*$Z$954</f>
        <v>2240.1743636929587</v>
      </c>
      <c r="AG954" s="6">
        <f>$O$954*$AA$954</f>
        <v>1681.1963942588811</v>
      </c>
    </row>
    <row r="955" spans="1:33" ht="11.25" customHeight="1" x14ac:dyDescent="0.25">
      <c r="A955" s="4" t="s">
        <v>21</v>
      </c>
      <c r="B955" s="4" t="s">
        <v>39</v>
      </c>
      <c r="C955" s="4" t="s">
        <v>23</v>
      </c>
      <c r="D955" s="4" t="s">
        <v>46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44562</v>
      </c>
      <c r="J955" s="6">
        <v>0</v>
      </c>
      <c r="K955" s="6">
        <v>0</v>
      </c>
      <c r="L955" s="6">
        <v>109.54900000000001</v>
      </c>
      <c r="M955" s="6">
        <v>109.54900000000001</v>
      </c>
      <c r="N955" s="6">
        <v>109.54900000000001</v>
      </c>
      <c r="O955" s="6">
        <v>109.54900000000001</v>
      </c>
      <c r="P955" s="6">
        <v>302</v>
      </c>
      <c r="Q955" s="4" t="s">
        <v>26</v>
      </c>
      <c r="R955" s="4">
        <v>0</v>
      </c>
      <c r="S955" s="6">
        <v>0</v>
      </c>
      <c r="T955" s="6">
        <v>58</v>
      </c>
      <c r="U955" s="6">
        <v>99</v>
      </c>
      <c r="V955" s="6">
        <f>IF(ISERROR(VLOOKUP($S$955,'TAR FIN'!$A$1:$O$103,15,0)),0,VLOOKUP($S$955,'TAR FIN'!$A$1:$O$103,15,0))</f>
        <v>0</v>
      </c>
      <c r="W955" s="6">
        <f>IF(ISERROR(VLOOKUP($T$955,'TAR FIN'!$A$1:$O$103,15,0)),0,VLOOKUP($T$955,'TAR FIN'!$A$1:$O$103,15,0))</f>
        <v>269.91000000000003</v>
      </c>
      <c r="X955" s="6">
        <f>IF(ISERROR(VLOOKUP($U$955,'TAR FIN'!$A$1:$O$103,15,0)),0,VLOOKUP($U$955,'TAR FIN'!$A$1:$O$103,15,0))</f>
        <v>288.89999999999998</v>
      </c>
      <c r="Y955" s="6"/>
      <c r="Z955" s="6">
        <f ca="1">('TUSD BE'!$AM$58+'TUSD BF'!$AM$58+'TUSD CVA'!$AM$58)*1</f>
        <v>362.48776111536552</v>
      </c>
      <c r="AA955" s="6">
        <f>('TE BE'!$AB$42+'TE BF'!$AB$42+'TE CVA'!$AB$42)*1</f>
        <v>272.03825149820085</v>
      </c>
      <c r="AB955" s="6">
        <f>$K$955*$V$955</f>
        <v>0</v>
      </c>
      <c r="AC955" s="6">
        <f>$M$955*$W$955</f>
        <v>29568.370590000006</v>
      </c>
      <c r="AD955" s="6">
        <f>$O$955*$X$955</f>
        <v>31648.706099999999</v>
      </c>
      <c r="AE955" s="6">
        <f>$K$955*$Y$955</f>
        <v>0</v>
      </c>
      <c r="AF955" s="6">
        <f ca="1">$M$955*$Z$955</f>
        <v>39710.171742427177</v>
      </c>
      <c r="AG955" s="6">
        <f>$O$955*$AA$955</f>
        <v>29801.518413376405</v>
      </c>
    </row>
    <row r="956" spans="1:33" ht="11.25" customHeight="1" x14ac:dyDescent="0.25">
      <c r="A956" s="4" t="s">
        <v>28</v>
      </c>
      <c r="B956" s="4" t="s">
        <v>39</v>
      </c>
      <c r="C956" s="4" t="s">
        <v>23</v>
      </c>
      <c r="D956" s="4" t="s">
        <v>46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44562</v>
      </c>
      <c r="J956" s="6">
        <v>0</v>
      </c>
      <c r="K956" s="6">
        <v>0</v>
      </c>
      <c r="L956" s="6">
        <v>7.5069999999999997</v>
      </c>
      <c r="M956" s="6">
        <v>7.5069999999999997</v>
      </c>
      <c r="N956" s="6">
        <v>7.5069999999999997</v>
      </c>
      <c r="O956" s="6">
        <v>7.5069999999999997</v>
      </c>
      <c r="P956" s="6">
        <v>6</v>
      </c>
      <c r="Q956" s="4" t="s">
        <v>26</v>
      </c>
      <c r="R956" s="4">
        <v>0</v>
      </c>
      <c r="S956" s="6">
        <v>0</v>
      </c>
      <c r="T956" s="6">
        <v>58</v>
      </c>
      <c r="U956" s="6">
        <v>99</v>
      </c>
      <c r="V956" s="6">
        <f>IF(ISERROR(VLOOKUP($S$956,'TAR FIN'!$A$1:$O$103,15,0)),0,VLOOKUP($S$956,'TAR FIN'!$A$1:$O$103,15,0))</f>
        <v>0</v>
      </c>
      <c r="W956" s="6">
        <f>IF(ISERROR(VLOOKUP($T$956,'TAR FIN'!$A$1:$O$103,15,0)),0,VLOOKUP($T$956,'TAR FIN'!$A$1:$O$103,15,0))</f>
        <v>269.91000000000003</v>
      </c>
      <c r="X956" s="6">
        <f>IF(ISERROR(VLOOKUP($U$956,'TAR FIN'!$A$1:$O$103,15,0)),0,VLOOKUP($U$956,'TAR FIN'!$A$1:$O$103,15,0))</f>
        <v>288.89999999999998</v>
      </c>
      <c r="Y956" s="6"/>
      <c r="Z956" s="6">
        <f ca="1">('TUSD BE'!$AM$58+'TUSD BF'!$AM$58+'TUSD CVA'!$AM$58)*1</f>
        <v>362.48776111536552</v>
      </c>
      <c r="AA956" s="6">
        <f>('TE BE'!$AB$42+'TE BF'!$AB$42+'TE CVA'!$AB$42)*1</f>
        <v>272.03825149820085</v>
      </c>
      <c r="AB956" s="6">
        <f>$K$956*$V$956</f>
        <v>0</v>
      </c>
      <c r="AC956" s="6">
        <f>$M$956*$W$956</f>
        <v>2026.2143700000001</v>
      </c>
      <c r="AD956" s="6">
        <f>$O$956*$X$956</f>
        <v>2168.7722999999996</v>
      </c>
      <c r="AE956" s="6">
        <f>$K$956*$Y$956</f>
        <v>0</v>
      </c>
      <c r="AF956" s="6">
        <f ca="1">$M$956*$Z$956</f>
        <v>2721.1956226930488</v>
      </c>
      <c r="AG956" s="6">
        <f>$O$956*$AA$956</f>
        <v>2042.1911539969938</v>
      </c>
    </row>
    <row r="957" spans="1:33" ht="11.25" customHeight="1" x14ac:dyDescent="0.25">
      <c r="A957" s="4" t="s">
        <v>21</v>
      </c>
      <c r="B957" s="4" t="s">
        <v>39</v>
      </c>
      <c r="C957" s="4" t="s">
        <v>23</v>
      </c>
      <c r="D957" s="4" t="s">
        <v>46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44593</v>
      </c>
      <c r="J957" s="6">
        <v>0</v>
      </c>
      <c r="K957" s="6">
        <v>0</v>
      </c>
      <c r="L957" s="6">
        <v>135.85599999999999</v>
      </c>
      <c r="M957" s="6">
        <v>135.85599999999999</v>
      </c>
      <c r="N957" s="6">
        <v>135.85599999999999</v>
      </c>
      <c r="O957" s="6">
        <v>135.85599999999999</v>
      </c>
      <c r="P957" s="6">
        <v>303</v>
      </c>
      <c r="Q957" s="4" t="s">
        <v>26</v>
      </c>
      <c r="R957" s="4">
        <v>0</v>
      </c>
      <c r="S957" s="6">
        <v>0</v>
      </c>
      <c r="T957" s="6">
        <v>58</v>
      </c>
      <c r="U957" s="6">
        <v>99</v>
      </c>
      <c r="V957" s="6">
        <f>IF(ISERROR(VLOOKUP($S$957,'TAR FIN'!$A$1:$O$103,15,0)),0,VLOOKUP($S$957,'TAR FIN'!$A$1:$O$103,15,0))</f>
        <v>0</v>
      </c>
      <c r="W957" s="6">
        <f>IF(ISERROR(VLOOKUP($T$957,'TAR FIN'!$A$1:$O$103,15,0)),0,VLOOKUP($T$957,'TAR FIN'!$A$1:$O$103,15,0))</f>
        <v>269.91000000000003</v>
      </c>
      <c r="X957" s="6">
        <f>IF(ISERROR(VLOOKUP($U$957,'TAR FIN'!$A$1:$O$103,15,0)),0,VLOOKUP($U$957,'TAR FIN'!$A$1:$O$103,15,0))</f>
        <v>288.89999999999998</v>
      </c>
      <c r="Y957" s="6"/>
      <c r="Z957" s="6">
        <f ca="1">('TUSD BE'!$AM$58+'TUSD BF'!$AM$58+'TUSD CVA'!$AM$58)*1</f>
        <v>362.48776111536552</v>
      </c>
      <c r="AA957" s="6">
        <f>('TE BE'!$AB$42+'TE BF'!$AB$42+'TE CVA'!$AB$42)*1</f>
        <v>272.03825149820085</v>
      </c>
      <c r="AB957" s="6">
        <f>$K$957*$V$957</f>
        <v>0</v>
      </c>
      <c r="AC957" s="6">
        <f>$M$957*$W$957</f>
        <v>36668.892960000005</v>
      </c>
      <c r="AD957" s="6">
        <f>$O$957*$X$957</f>
        <v>39248.798399999992</v>
      </c>
      <c r="AE957" s="6">
        <f>$K$957*$Y$957</f>
        <v>0</v>
      </c>
      <c r="AF957" s="6">
        <f ca="1">$M$957*$Z$957</f>
        <v>49246.137274089095</v>
      </c>
      <c r="AG957" s="6">
        <f>$O$957*$AA$957</f>
        <v>36958.028695539571</v>
      </c>
    </row>
    <row r="958" spans="1:33" ht="11.25" customHeight="1" x14ac:dyDescent="0.25">
      <c r="A958" s="4" t="s">
        <v>21</v>
      </c>
      <c r="B958" s="4" t="s">
        <v>39</v>
      </c>
      <c r="C958" s="4" t="s">
        <v>23</v>
      </c>
      <c r="D958" s="4" t="s">
        <v>46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44621</v>
      </c>
      <c r="J958" s="6">
        <v>0</v>
      </c>
      <c r="K958" s="6">
        <v>0</v>
      </c>
      <c r="L958" s="6">
        <v>161.43600000000001</v>
      </c>
      <c r="M958" s="6">
        <v>161.43600000000001</v>
      </c>
      <c r="N958" s="6">
        <v>161.43600000000001</v>
      </c>
      <c r="O958" s="6">
        <v>161.43600000000001</v>
      </c>
      <c r="P958" s="6">
        <v>304</v>
      </c>
      <c r="Q958" s="4" t="s">
        <v>26</v>
      </c>
      <c r="R958" s="4">
        <v>0</v>
      </c>
      <c r="S958" s="6">
        <v>0</v>
      </c>
      <c r="T958" s="6">
        <v>58</v>
      </c>
      <c r="U958" s="6">
        <v>99</v>
      </c>
      <c r="V958" s="6">
        <f>IF(ISERROR(VLOOKUP($S$958,'TAR FIN'!$A$1:$O$103,15,0)),0,VLOOKUP($S$958,'TAR FIN'!$A$1:$O$103,15,0))</f>
        <v>0</v>
      </c>
      <c r="W958" s="6">
        <f>IF(ISERROR(VLOOKUP($T$958,'TAR FIN'!$A$1:$O$103,15,0)),0,VLOOKUP($T$958,'TAR FIN'!$A$1:$O$103,15,0))</f>
        <v>269.91000000000003</v>
      </c>
      <c r="X958" s="6">
        <f>IF(ISERROR(VLOOKUP($U$958,'TAR FIN'!$A$1:$O$103,15,0)),0,VLOOKUP($U$958,'TAR FIN'!$A$1:$O$103,15,0))</f>
        <v>288.89999999999998</v>
      </c>
      <c r="Y958" s="6"/>
      <c r="Z958" s="6">
        <f ca="1">('TUSD BE'!$AM$58+'TUSD BF'!$AM$58+'TUSD CVA'!$AM$58)*1</f>
        <v>362.48776111536552</v>
      </c>
      <c r="AA958" s="6">
        <f>('TE BE'!$AB$42+'TE BF'!$AB$42+'TE CVA'!$AB$42)*1</f>
        <v>272.03825149820085</v>
      </c>
      <c r="AB958" s="6">
        <f>$K$958*$V$958</f>
        <v>0</v>
      </c>
      <c r="AC958" s="6">
        <f>$M$958*$W$958</f>
        <v>43573.190760000005</v>
      </c>
      <c r="AD958" s="6">
        <f>$O$958*$X$958</f>
        <v>46638.860399999998</v>
      </c>
      <c r="AE958" s="6">
        <f>$K$958*$Y$958</f>
        <v>0</v>
      </c>
      <c r="AF958" s="6">
        <f ca="1">$M$958*$Z$958</f>
        <v>58518.574203420147</v>
      </c>
      <c r="AG958" s="6">
        <f>$O$958*$AA$958</f>
        <v>43916.767168863553</v>
      </c>
    </row>
    <row r="959" spans="1:33" ht="11.25" customHeight="1" x14ac:dyDescent="0.25">
      <c r="A959" s="4" t="s">
        <v>28</v>
      </c>
      <c r="B959" s="4" t="s">
        <v>39</v>
      </c>
      <c r="C959" s="4" t="s">
        <v>23</v>
      </c>
      <c r="D959" s="4" t="s">
        <v>46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44621</v>
      </c>
      <c r="J959" s="6">
        <v>0</v>
      </c>
      <c r="K959" s="6">
        <v>0</v>
      </c>
      <c r="L959" s="6">
        <v>3.7759999999999998</v>
      </c>
      <c r="M959" s="6">
        <v>3.7759999999999998</v>
      </c>
      <c r="N959" s="6">
        <v>3.7759999999999998</v>
      </c>
      <c r="O959" s="6">
        <v>3.7759999999999998</v>
      </c>
      <c r="P959" s="6">
        <v>6</v>
      </c>
      <c r="Q959" s="4" t="s">
        <v>26</v>
      </c>
      <c r="R959" s="4">
        <v>0</v>
      </c>
      <c r="S959" s="6">
        <v>0</v>
      </c>
      <c r="T959" s="6">
        <v>58</v>
      </c>
      <c r="U959" s="6">
        <v>99</v>
      </c>
      <c r="V959" s="6">
        <f>IF(ISERROR(VLOOKUP($S$959,'TAR FIN'!$A$1:$O$103,15,0)),0,VLOOKUP($S$959,'TAR FIN'!$A$1:$O$103,15,0))</f>
        <v>0</v>
      </c>
      <c r="W959" s="6">
        <f>IF(ISERROR(VLOOKUP($T$959,'TAR FIN'!$A$1:$O$103,15,0)),0,VLOOKUP($T$959,'TAR FIN'!$A$1:$O$103,15,0))</f>
        <v>269.91000000000003</v>
      </c>
      <c r="X959" s="6">
        <f>IF(ISERROR(VLOOKUP($U$959,'TAR FIN'!$A$1:$O$103,15,0)),0,VLOOKUP($U$959,'TAR FIN'!$A$1:$O$103,15,0))</f>
        <v>288.89999999999998</v>
      </c>
      <c r="Y959" s="6"/>
      <c r="Z959" s="6">
        <f ca="1">('TUSD BE'!$AM$58+'TUSD BF'!$AM$58+'TUSD CVA'!$AM$58)*1</f>
        <v>362.48776111536552</v>
      </c>
      <c r="AA959" s="6">
        <f>('TE BE'!$AB$42+'TE BF'!$AB$42+'TE CVA'!$AB$42)*1</f>
        <v>272.03825149820085</v>
      </c>
      <c r="AB959" s="6">
        <f>$K$959*$V$959</f>
        <v>0</v>
      </c>
      <c r="AC959" s="6">
        <f>$M$959*$W$959</f>
        <v>1019.18016</v>
      </c>
      <c r="AD959" s="6">
        <f>$O$959*$X$959</f>
        <v>1090.8863999999999</v>
      </c>
      <c r="AE959" s="6">
        <f>$K$959*$Y$959</f>
        <v>0</v>
      </c>
      <c r="AF959" s="6">
        <f ca="1">$M$959*$Z$959</f>
        <v>1368.7537859716201</v>
      </c>
      <c r="AG959" s="6">
        <f>$O$959*$AA$959</f>
        <v>1027.2164376572064</v>
      </c>
    </row>
    <row r="960" spans="1:33" ht="11.25" customHeight="1" x14ac:dyDescent="0.25">
      <c r="A960" s="4" t="s">
        <v>21</v>
      </c>
      <c r="B960" s="4" t="s">
        <v>39</v>
      </c>
      <c r="C960" s="4" t="s">
        <v>23</v>
      </c>
      <c r="D960" s="4" t="s">
        <v>46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44652</v>
      </c>
      <c r="J960" s="6">
        <v>0</v>
      </c>
      <c r="K960" s="6">
        <v>0</v>
      </c>
      <c r="L960" s="6">
        <v>151.37100000000001</v>
      </c>
      <c r="M960" s="6">
        <v>151.37100000000001</v>
      </c>
      <c r="N960" s="6">
        <v>151.37100000000001</v>
      </c>
      <c r="O960" s="6">
        <v>151.37100000000001</v>
      </c>
      <c r="P960" s="6">
        <v>301</v>
      </c>
      <c r="Q960" s="4" t="s">
        <v>26</v>
      </c>
      <c r="R960" s="4">
        <v>0</v>
      </c>
      <c r="S960" s="6">
        <v>0</v>
      </c>
      <c r="T960" s="6">
        <v>58</v>
      </c>
      <c r="U960" s="6">
        <v>99</v>
      </c>
      <c r="V960" s="6">
        <f>IF(ISERROR(VLOOKUP($S$960,'TAR FIN'!$A$1:$O$103,15,0)),0,VLOOKUP($S$960,'TAR FIN'!$A$1:$O$103,15,0))</f>
        <v>0</v>
      </c>
      <c r="W960" s="6">
        <f>IF(ISERROR(VLOOKUP($T$960,'TAR FIN'!$A$1:$O$103,15,0)),0,VLOOKUP($T$960,'TAR FIN'!$A$1:$O$103,15,0))</f>
        <v>269.91000000000003</v>
      </c>
      <c r="X960" s="6">
        <f>IF(ISERROR(VLOOKUP($U$960,'TAR FIN'!$A$1:$O$103,15,0)),0,VLOOKUP($U$960,'TAR FIN'!$A$1:$O$103,15,0))</f>
        <v>288.89999999999998</v>
      </c>
      <c r="Y960" s="6"/>
      <c r="Z960" s="6">
        <f ca="1">('TUSD BE'!$AM$58+'TUSD BF'!$AM$58+'TUSD CVA'!$AM$58)*1</f>
        <v>362.48776111536552</v>
      </c>
      <c r="AA960" s="6">
        <f>('TE BE'!$AB$42+'TE BF'!$AB$42+'TE CVA'!$AB$42)*1</f>
        <v>272.03825149820085</v>
      </c>
      <c r="AB960" s="6">
        <f>$K$960*$V$960</f>
        <v>0</v>
      </c>
      <c r="AC960" s="6">
        <f>$M$960*$W$960</f>
        <v>40856.546610000005</v>
      </c>
      <c r="AD960" s="6">
        <f>$O$960*$X$960</f>
        <v>43731.081899999997</v>
      </c>
      <c r="AE960" s="6">
        <f>$K$960*$Y$960</f>
        <v>0</v>
      </c>
      <c r="AF960" s="6">
        <f ca="1">$M$960*$Z$960</f>
        <v>54870.134887793996</v>
      </c>
      <c r="AG960" s="6">
        <f>$O$960*$AA$960</f>
        <v>41178.70216753416</v>
      </c>
    </row>
    <row r="961" spans="1:33" ht="11.25" customHeight="1" x14ac:dyDescent="0.25">
      <c r="A961" s="4" t="s">
        <v>28</v>
      </c>
      <c r="B961" s="4" t="s">
        <v>39</v>
      </c>
      <c r="C961" s="4" t="s">
        <v>23</v>
      </c>
      <c r="D961" s="4" t="s">
        <v>46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44652</v>
      </c>
      <c r="J961" s="6">
        <v>0</v>
      </c>
      <c r="K961" s="6">
        <v>0</v>
      </c>
      <c r="L961" s="6">
        <v>5.266</v>
      </c>
      <c r="M961" s="6">
        <v>5.266</v>
      </c>
      <c r="N961" s="6">
        <v>5.266</v>
      </c>
      <c r="O961" s="6">
        <v>5.266</v>
      </c>
      <c r="P961" s="6">
        <v>6</v>
      </c>
      <c r="Q961" s="4" t="s">
        <v>26</v>
      </c>
      <c r="R961" s="4">
        <v>0</v>
      </c>
      <c r="S961" s="6">
        <v>0</v>
      </c>
      <c r="T961" s="6">
        <v>58</v>
      </c>
      <c r="U961" s="6">
        <v>99</v>
      </c>
      <c r="V961" s="6">
        <f>IF(ISERROR(VLOOKUP($S$961,'TAR FIN'!$A$1:$O$103,15,0)),0,VLOOKUP($S$961,'TAR FIN'!$A$1:$O$103,15,0))</f>
        <v>0</v>
      </c>
      <c r="W961" s="6">
        <f>IF(ISERROR(VLOOKUP($T$961,'TAR FIN'!$A$1:$O$103,15,0)),0,VLOOKUP($T$961,'TAR FIN'!$A$1:$O$103,15,0))</f>
        <v>269.91000000000003</v>
      </c>
      <c r="X961" s="6">
        <f>IF(ISERROR(VLOOKUP($U$961,'TAR FIN'!$A$1:$O$103,15,0)),0,VLOOKUP($U$961,'TAR FIN'!$A$1:$O$103,15,0))</f>
        <v>288.89999999999998</v>
      </c>
      <c r="Y961" s="6"/>
      <c r="Z961" s="6">
        <f ca="1">('TUSD BE'!$AM$58+'TUSD BF'!$AM$58+'TUSD CVA'!$AM$58)*1</f>
        <v>362.48776111536552</v>
      </c>
      <c r="AA961" s="6">
        <f>('TE BE'!$AB$42+'TE BF'!$AB$42+'TE CVA'!$AB$42)*1</f>
        <v>272.03825149820085</v>
      </c>
      <c r="AB961" s="6">
        <f>$K$961*$V$961</f>
        <v>0</v>
      </c>
      <c r="AC961" s="6">
        <f>$M$961*$W$961</f>
        <v>1421.3460600000001</v>
      </c>
      <c r="AD961" s="6">
        <f>$O$961*$X$961</f>
        <v>1521.3473999999999</v>
      </c>
      <c r="AE961" s="6">
        <f>$K$961*$Y$961</f>
        <v>0</v>
      </c>
      <c r="AF961" s="6">
        <f ca="1">$M$961*$Z$961</f>
        <v>1908.8605500335148</v>
      </c>
      <c r="AG961" s="6">
        <f>$O$961*$AA$961</f>
        <v>1432.5534323895256</v>
      </c>
    </row>
    <row r="962" spans="1:33" ht="11.25" customHeight="1" x14ac:dyDescent="0.25">
      <c r="A962" s="4" t="s">
        <v>21</v>
      </c>
      <c r="B962" s="4" t="s">
        <v>39</v>
      </c>
      <c r="C962" s="4" t="s">
        <v>23</v>
      </c>
      <c r="D962" s="4" t="s">
        <v>46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44682</v>
      </c>
      <c r="J962" s="6">
        <v>0</v>
      </c>
      <c r="K962" s="6">
        <v>0</v>
      </c>
      <c r="L962" s="6">
        <v>152.90199999999999</v>
      </c>
      <c r="M962" s="6">
        <v>152.90199999999999</v>
      </c>
      <c r="N962" s="6">
        <v>152.90199999999999</v>
      </c>
      <c r="O962" s="6">
        <v>152.90199999999999</v>
      </c>
      <c r="P962" s="6">
        <v>304</v>
      </c>
      <c r="Q962" s="4" t="s">
        <v>26</v>
      </c>
      <c r="R962" s="4">
        <v>0</v>
      </c>
      <c r="S962" s="6">
        <v>0</v>
      </c>
      <c r="T962" s="6">
        <v>58</v>
      </c>
      <c r="U962" s="6">
        <v>99</v>
      </c>
      <c r="V962" s="6">
        <f>IF(ISERROR(VLOOKUP($S$962,'TAR FIN'!$A$1:$O$103,15,0)),0,VLOOKUP($S$962,'TAR FIN'!$A$1:$O$103,15,0))</f>
        <v>0</v>
      </c>
      <c r="W962" s="6">
        <f>IF(ISERROR(VLOOKUP($T$962,'TAR FIN'!$A$1:$O$103,15,0)),0,VLOOKUP($T$962,'TAR FIN'!$A$1:$O$103,15,0))</f>
        <v>269.91000000000003</v>
      </c>
      <c r="X962" s="6">
        <f>IF(ISERROR(VLOOKUP($U$962,'TAR FIN'!$A$1:$O$103,15,0)),0,VLOOKUP($U$962,'TAR FIN'!$A$1:$O$103,15,0))</f>
        <v>288.89999999999998</v>
      </c>
      <c r="Y962" s="6"/>
      <c r="Z962" s="6">
        <f ca="1">('TUSD BE'!$AM$58+'TUSD BF'!$AM$58+'TUSD CVA'!$AM$58)*1</f>
        <v>362.48776111536552</v>
      </c>
      <c r="AA962" s="6">
        <f>('TE BE'!$AB$42+'TE BF'!$AB$42+'TE CVA'!$AB$42)*1</f>
        <v>272.03825149820085</v>
      </c>
      <c r="AB962" s="6">
        <f>$K$962*$V$962</f>
        <v>0</v>
      </c>
      <c r="AC962" s="6">
        <f>$M$962*$W$962</f>
        <v>41269.77882</v>
      </c>
      <c r="AD962" s="6">
        <f>$O$962*$X$962</f>
        <v>44173.38779999999</v>
      </c>
      <c r="AE962" s="6">
        <f>$K$962*$Y$962</f>
        <v>0</v>
      </c>
      <c r="AF962" s="6">
        <f ca="1">$M$962*$Z$962</f>
        <v>55425.10365006161</v>
      </c>
      <c r="AG962" s="6">
        <f>$O$962*$AA$962</f>
        <v>41595.192730577903</v>
      </c>
    </row>
    <row r="963" spans="1:33" ht="11.25" customHeight="1" x14ac:dyDescent="0.25">
      <c r="A963" s="4" t="s">
        <v>28</v>
      </c>
      <c r="B963" s="4" t="s">
        <v>39</v>
      </c>
      <c r="C963" s="4" t="s">
        <v>23</v>
      </c>
      <c r="D963" s="4" t="s">
        <v>46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44682</v>
      </c>
      <c r="J963" s="6">
        <v>0</v>
      </c>
      <c r="K963" s="6">
        <v>0</v>
      </c>
      <c r="L963" s="6">
        <v>6.1769999999999996</v>
      </c>
      <c r="M963" s="6">
        <v>6.1769999999999996</v>
      </c>
      <c r="N963" s="6">
        <v>6.1769999999999996</v>
      </c>
      <c r="O963" s="6">
        <v>6.1769999999999996</v>
      </c>
      <c r="P963" s="6">
        <v>6</v>
      </c>
      <c r="Q963" s="4" t="s">
        <v>26</v>
      </c>
      <c r="R963" s="4">
        <v>0</v>
      </c>
      <c r="S963" s="6">
        <v>0</v>
      </c>
      <c r="T963" s="6">
        <v>58</v>
      </c>
      <c r="U963" s="6">
        <v>99</v>
      </c>
      <c r="V963" s="6">
        <f>IF(ISERROR(VLOOKUP($S$963,'TAR FIN'!$A$1:$O$103,15,0)),0,VLOOKUP($S$963,'TAR FIN'!$A$1:$O$103,15,0))</f>
        <v>0</v>
      </c>
      <c r="W963" s="6">
        <f>IF(ISERROR(VLOOKUP($T$963,'TAR FIN'!$A$1:$O$103,15,0)),0,VLOOKUP($T$963,'TAR FIN'!$A$1:$O$103,15,0))</f>
        <v>269.91000000000003</v>
      </c>
      <c r="X963" s="6">
        <f>IF(ISERROR(VLOOKUP($U$963,'TAR FIN'!$A$1:$O$103,15,0)),0,VLOOKUP($U$963,'TAR FIN'!$A$1:$O$103,15,0))</f>
        <v>288.89999999999998</v>
      </c>
      <c r="Y963" s="6"/>
      <c r="Z963" s="6">
        <f ca="1">('TUSD BE'!$AM$58+'TUSD BF'!$AM$58+'TUSD CVA'!$AM$58)*1</f>
        <v>362.48776111536552</v>
      </c>
      <c r="AA963" s="6">
        <f>('TE BE'!$AB$42+'TE BF'!$AB$42+'TE CVA'!$AB$42)*1</f>
        <v>272.03825149820085</v>
      </c>
      <c r="AB963" s="6">
        <f>$K$963*$V$963</f>
        <v>0</v>
      </c>
      <c r="AC963" s="6">
        <f>$M$963*$W$963</f>
        <v>1667.23407</v>
      </c>
      <c r="AD963" s="6">
        <f>$O$963*$X$963</f>
        <v>1784.5352999999998</v>
      </c>
      <c r="AE963" s="6">
        <f>$K$963*$Y$963</f>
        <v>0</v>
      </c>
      <c r="AF963" s="6">
        <f ca="1">$M$963*$Z$963</f>
        <v>2239.0869004096126</v>
      </c>
      <c r="AG963" s="6">
        <f>$O$963*$AA$963</f>
        <v>1680.3802795043866</v>
      </c>
    </row>
    <row r="964" spans="1:33" ht="11.25" customHeight="1" x14ac:dyDescent="0.25">
      <c r="A964" s="4" t="s">
        <v>21</v>
      </c>
      <c r="B964" s="4" t="s">
        <v>39</v>
      </c>
      <c r="C964" s="4" t="s">
        <v>23</v>
      </c>
      <c r="D964" s="4" t="s">
        <v>50</v>
      </c>
      <c r="E964" s="4" t="s">
        <v>51</v>
      </c>
      <c r="F964" s="4" t="s">
        <v>25</v>
      </c>
      <c r="G964" s="4" t="s">
        <v>25</v>
      </c>
      <c r="H964" s="4" t="s">
        <v>25</v>
      </c>
      <c r="I964" s="5">
        <v>44348</v>
      </c>
      <c r="J964" s="6">
        <v>0</v>
      </c>
      <c r="K964" s="53">
        <v>0</v>
      </c>
      <c r="L964" s="6">
        <v>42.679000000000002</v>
      </c>
      <c r="M964" s="53">
        <v>42.679000000000002</v>
      </c>
      <c r="N964" s="6">
        <v>42.679000000000002</v>
      </c>
      <c r="O964" s="53">
        <v>42.679000000000002</v>
      </c>
      <c r="P964" s="6">
        <v>49</v>
      </c>
      <c r="Q964" s="4" t="s">
        <v>26</v>
      </c>
      <c r="R964" s="4">
        <v>0</v>
      </c>
      <c r="S964" s="6">
        <v>0</v>
      </c>
      <c r="T964" s="6">
        <v>58</v>
      </c>
      <c r="U964" s="6">
        <v>99</v>
      </c>
      <c r="V964" s="53">
        <f>IF(ISERROR(VLOOKUP($S$964,'TAR FIN'!$A$1:$O$103,15,0)),0,VLOOKUP($S$964,'TAR FIN'!$A$1:$O$103,15,0))</f>
        <v>0</v>
      </c>
      <c r="W964" s="53">
        <f>IF(ISERROR(VLOOKUP($T$964,'TAR FIN'!$A$1:$O$103,15,0)),0,VLOOKUP($T$964,'TAR FIN'!$A$1:$O$103,15,0))*(1-0.06)</f>
        <v>253.71540000000002</v>
      </c>
      <c r="X964" s="53">
        <f>IF(ISERROR(VLOOKUP($U$964,'TAR FIN'!$A$1:$O$103,15,0)),0,VLOOKUP($U$964,'TAR FIN'!$A$1:$O$103,15,0))*(1-0.06)</f>
        <v>271.56599999999997</v>
      </c>
      <c r="Y964" s="53"/>
      <c r="Z964" s="53">
        <f ca="1">('TUSD BE'!$AM$58+'TUSD BF'!$AM$58+'TUSD CVA'!$AM$58)*1*(1-0.03)</f>
        <v>351.61312828190455</v>
      </c>
      <c r="AA964" s="53">
        <f>('TE BE'!$AB$42+'TE BF'!$AB$42+'TE CVA'!$AB$42)*1*(1-0.03)</f>
        <v>263.87710395325485</v>
      </c>
      <c r="AB964" s="6">
        <f>$K$964*$V$964</f>
        <v>0</v>
      </c>
      <c r="AC964" s="6">
        <f>$M$964*$W$964</f>
        <v>10828.319556600001</v>
      </c>
      <c r="AD964" s="6">
        <f>$O$964*$X$964</f>
        <v>11590.165314</v>
      </c>
      <c r="AE964" s="6">
        <f>$K$964*$Y$964</f>
        <v>0</v>
      </c>
      <c r="AF964" s="6">
        <f ca="1">$M$964*$Z$964</f>
        <v>15006.496701943404</v>
      </c>
      <c r="AG964" s="6">
        <f>$O$964*$AA$964</f>
        <v>11262.010919620963</v>
      </c>
    </row>
    <row r="965" spans="1:33" ht="11.25" customHeight="1" x14ac:dyDescent="0.25">
      <c r="A965" s="4" t="s">
        <v>21</v>
      </c>
      <c r="B965" s="4" t="s">
        <v>39</v>
      </c>
      <c r="C965" s="4" t="s">
        <v>23</v>
      </c>
      <c r="D965" s="4" t="s">
        <v>50</v>
      </c>
      <c r="E965" s="4" t="s">
        <v>51</v>
      </c>
      <c r="F965" s="4" t="s">
        <v>25</v>
      </c>
      <c r="G965" s="4" t="s">
        <v>25</v>
      </c>
      <c r="H965" s="4" t="s">
        <v>25</v>
      </c>
      <c r="I965" s="5">
        <v>44378</v>
      </c>
      <c r="J965" s="6">
        <v>0</v>
      </c>
      <c r="K965" s="53">
        <v>0</v>
      </c>
      <c r="L965" s="6">
        <v>50.063000000000002</v>
      </c>
      <c r="M965" s="53">
        <v>50.063000000000002</v>
      </c>
      <c r="N965" s="6">
        <v>50.063000000000002</v>
      </c>
      <c r="O965" s="53">
        <v>50.063000000000002</v>
      </c>
      <c r="P965" s="6">
        <v>49</v>
      </c>
      <c r="Q965" s="4" t="s">
        <v>26</v>
      </c>
      <c r="R965" s="4">
        <v>0</v>
      </c>
      <c r="S965" s="6">
        <v>0</v>
      </c>
      <c r="T965" s="6">
        <v>58</v>
      </c>
      <c r="U965" s="6">
        <v>99</v>
      </c>
      <c r="V965" s="53">
        <f>IF(ISERROR(VLOOKUP($S$965,'TAR FIN'!$A$1:$O$103,15,0)),0,VLOOKUP($S$965,'TAR FIN'!$A$1:$O$103,15,0))</f>
        <v>0</v>
      </c>
      <c r="W965" s="53">
        <f>IF(ISERROR(VLOOKUP($T$965,'TAR FIN'!$A$1:$O$103,15,0)),0,VLOOKUP($T$965,'TAR FIN'!$A$1:$O$103,15,0))*(1-0.06)</f>
        <v>253.71540000000002</v>
      </c>
      <c r="X965" s="53">
        <f>IF(ISERROR(VLOOKUP($U$965,'TAR FIN'!$A$1:$O$103,15,0)),0,VLOOKUP($U$965,'TAR FIN'!$A$1:$O$103,15,0))*(1-0.06)</f>
        <v>271.56599999999997</v>
      </c>
      <c r="Y965" s="53"/>
      <c r="Z965" s="53">
        <f ca="1">('TUSD BE'!$AM$58+'TUSD BF'!$AM$58+'TUSD CVA'!$AM$58)*1*(1-0.03)</f>
        <v>351.61312828190455</v>
      </c>
      <c r="AA965" s="53">
        <f>('TE BE'!$AB$42+'TE BF'!$AB$42+'TE CVA'!$AB$42)*1*(1-0.03)</f>
        <v>263.87710395325485</v>
      </c>
      <c r="AB965" s="6">
        <f>$K$965*$V$965</f>
        <v>0</v>
      </c>
      <c r="AC965" s="6">
        <f>$M$965*$W$965</f>
        <v>12701.754070200001</v>
      </c>
      <c r="AD965" s="6">
        <f>$O$965*$X$965</f>
        <v>13595.408657999998</v>
      </c>
      <c r="AE965" s="6">
        <f>$K$965*$Y$965</f>
        <v>0</v>
      </c>
      <c r="AF965" s="6">
        <f ca="1">$M$965*$Z$965</f>
        <v>17602.808041176988</v>
      </c>
      <c r="AG965" s="6">
        <f>$O$965*$AA$965</f>
        <v>13210.479455211798</v>
      </c>
    </row>
    <row r="966" spans="1:33" ht="11.25" customHeight="1" x14ac:dyDescent="0.25">
      <c r="A966" s="4" t="s">
        <v>21</v>
      </c>
      <c r="B966" s="4" t="s">
        <v>39</v>
      </c>
      <c r="C966" s="4" t="s">
        <v>23</v>
      </c>
      <c r="D966" s="4" t="s">
        <v>50</v>
      </c>
      <c r="E966" s="4" t="s">
        <v>51</v>
      </c>
      <c r="F966" s="4" t="s">
        <v>25</v>
      </c>
      <c r="G966" s="4" t="s">
        <v>25</v>
      </c>
      <c r="H966" s="4" t="s">
        <v>25</v>
      </c>
      <c r="I966" s="5">
        <v>44409</v>
      </c>
      <c r="J966" s="6">
        <v>0</v>
      </c>
      <c r="K966" s="53">
        <v>0</v>
      </c>
      <c r="L966" s="6">
        <v>49.665999999999997</v>
      </c>
      <c r="M966" s="53">
        <v>49.665999999999997</v>
      </c>
      <c r="N966" s="6">
        <v>49.665999999999997</v>
      </c>
      <c r="O966" s="53">
        <v>49.665999999999997</v>
      </c>
      <c r="P966" s="6">
        <v>49</v>
      </c>
      <c r="Q966" s="4" t="s">
        <v>26</v>
      </c>
      <c r="R966" s="4">
        <v>0</v>
      </c>
      <c r="S966" s="6">
        <v>0</v>
      </c>
      <c r="T966" s="6">
        <v>58</v>
      </c>
      <c r="U966" s="6">
        <v>99</v>
      </c>
      <c r="V966" s="53">
        <f>IF(ISERROR(VLOOKUP($S$966,'TAR FIN'!$A$1:$O$103,15,0)),0,VLOOKUP($S$966,'TAR FIN'!$A$1:$O$103,15,0))</f>
        <v>0</v>
      </c>
      <c r="W966" s="53">
        <f>IF(ISERROR(VLOOKUP($T$966,'TAR FIN'!$A$1:$O$103,15,0)),0,VLOOKUP($T$966,'TAR FIN'!$A$1:$O$103,15,0))*(1-0.06)</f>
        <v>253.71540000000002</v>
      </c>
      <c r="X966" s="53">
        <f>IF(ISERROR(VLOOKUP($U$966,'TAR FIN'!$A$1:$O$103,15,0)),0,VLOOKUP($U$966,'TAR FIN'!$A$1:$O$103,15,0))*(1-0.06)</f>
        <v>271.56599999999997</v>
      </c>
      <c r="Y966" s="53"/>
      <c r="Z966" s="53">
        <f ca="1">('TUSD BE'!$AM$58+'TUSD BF'!$AM$58+'TUSD CVA'!$AM$58)*1*(1-0.03)</f>
        <v>351.61312828190455</v>
      </c>
      <c r="AA966" s="53">
        <f>('TE BE'!$AB$42+'TE BF'!$AB$42+'TE CVA'!$AB$42)*1*(1-0.03)</f>
        <v>263.87710395325485</v>
      </c>
      <c r="AB966" s="6">
        <f>$K$966*$V$966</f>
        <v>0</v>
      </c>
      <c r="AC966" s="6">
        <f>$M$966*$W$966</f>
        <v>12601.029056400001</v>
      </c>
      <c r="AD966" s="6">
        <f>$O$966*$X$966</f>
        <v>13487.596955999998</v>
      </c>
      <c r="AE966" s="6">
        <f>$K$966*$Y$966</f>
        <v>0</v>
      </c>
      <c r="AF966" s="6">
        <f ca="1">$M$966*$Z$966</f>
        <v>17463.217629249069</v>
      </c>
      <c r="AG966" s="6">
        <f>$O$966*$AA$966</f>
        <v>13105.720244942355</v>
      </c>
    </row>
    <row r="967" spans="1:33" ht="11.25" customHeight="1" x14ac:dyDescent="0.25">
      <c r="A967" s="4" t="s">
        <v>21</v>
      </c>
      <c r="B967" s="4" t="s">
        <v>39</v>
      </c>
      <c r="C967" s="4" t="s">
        <v>23</v>
      </c>
      <c r="D967" s="4" t="s">
        <v>50</v>
      </c>
      <c r="E967" s="4" t="s">
        <v>51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53">
        <v>0</v>
      </c>
      <c r="L967" s="6">
        <v>46.872</v>
      </c>
      <c r="M967" s="53">
        <v>46.872</v>
      </c>
      <c r="N967" s="6">
        <v>46.872</v>
      </c>
      <c r="O967" s="53">
        <v>46.872</v>
      </c>
      <c r="P967" s="6">
        <v>49</v>
      </c>
      <c r="Q967" s="4" t="s">
        <v>26</v>
      </c>
      <c r="R967" s="4">
        <v>0</v>
      </c>
      <c r="S967" s="6">
        <v>0</v>
      </c>
      <c r="T967" s="6">
        <v>58</v>
      </c>
      <c r="U967" s="6">
        <v>99</v>
      </c>
      <c r="V967" s="53">
        <f>IF(ISERROR(VLOOKUP($S$967,'TAR FIN'!$A$1:$O$103,15,0)),0,VLOOKUP($S$967,'TAR FIN'!$A$1:$O$103,15,0))</f>
        <v>0</v>
      </c>
      <c r="W967" s="53">
        <f>IF(ISERROR(VLOOKUP($T$967,'TAR FIN'!$A$1:$O$103,15,0)),0,VLOOKUP($T$967,'TAR FIN'!$A$1:$O$103,15,0))*(1-0.06)</f>
        <v>253.71540000000002</v>
      </c>
      <c r="X967" s="53">
        <f>IF(ISERROR(VLOOKUP($U$967,'TAR FIN'!$A$1:$O$103,15,0)),0,VLOOKUP($U$967,'TAR FIN'!$A$1:$O$103,15,0))*(1-0.06)</f>
        <v>271.56599999999997</v>
      </c>
      <c r="Y967" s="53"/>
      <c r="Z967" s="53">
        <f ca="1">('TUSD BE'!$AM$58+'TUSD BF'!$AM$58+'TUSD CVA'!$AM$58)*1*(1-0.03)</f>
        <v>351.61312828190455</v>
      </c>
      <c r="AA967" s="53">
        <f>('TE BE'!$AB$42+'TE BF'!$AB$42+'TE CVA'!$AB$42)*1*(1-0.03)</f>
        <v>263.87710395325485</v>
      </c>
      <c r="AB967" s="6">
        <f>$K$967*$V$967</f>
        <v>0</v>
      </c>
      <c r="AC967" s="6">
        <f>$M$967*$W$967</f>
        <v>11892.148228800001</v>
      </c>
      <c r="AD967" s="6">
        <f>$O$967*$X$967</f>
        <v>12728.841551999998</v>
      </c>
      <c r="AE967" s="6">
        <f>$K$967*$Y$967</f>
        <v>0</v>
      </c>
      <c r="AF967" s="6">
        <f ca="1">$M$967*$Z$967</f>
        <v>16480.810548829431</v>
      </c>
      <c r="AG967" s="6">
        <f>$O$967*$AA$967</f>
        <v>12368.447616496962</v>
      </c>
    </row>
    <row r="968" spans="1:33" ht="11.25" customHeight="1" x14ac:dyDescent="0.25">
      <c r="A968" s="4" t="s">
        <v>21</v>
      </c>
      <c r="B968" s="4" t="s">
        <v>39</v>
      </c>
      <c r="C968" s="4" t="s">
        <v>23</v>
      </c>
      <c r="D968" s="4" t="s">
        <v>50</v>
      </c>
      <c r="E968" s="4" t="s">
        <v>51</v>
      </c>
      <c r="F968" s="4" t="s">
        <v>25</v>
      </c>
      <c r="G968" s="4" t="s">
        <v>25</v>
      </c>
      <c r="H968" s="4" t="s">
        <v>25</v>
      </c>
      <c r="I968" s="5">
        <v>44470</v>
      </c>
      <c r="J968" s="6">
        <v>0</v>
      </c>
      <c r="K968" s="53">
        <v>0</v>
      </c>
      <c r="L968" s="6">
        <v>44.296999999999997</v>
      </c>
      <c r="M968" s="53">
        <v>44.296999999999997</v>
      </c>
      <c r="N968" s="6">
        <v>44.296999999999997</v>
      </c>
      <c r="O968" s="53">
        <v>44.296999999999997</v>
      </c>
      <c r="P968" s="6">
        <v>49</v>
      </c>
      <c r="Q968" s="4" t="s">
        <v>26</v>
      </c>
      <c r="R968" s="4">
        <v>0</v>
      </c>
      <c r="S968" s="6">
        <v>0</v>
      </c>
      <c r="T968" s="6">
        <v>58</v>
      </c>
      <c r="U968" s="6">
        <v>99</v>
      </c>
      <c r="V968" s="53">
        <f>IF(ISERROR(VLOOKUP($S$968,'TAR FIN'!$A$1:$O$103,15,0)),0,VLOOKUP($S$968,'TAR FIN'!$A$1:$O$103,15,0))</f>
        <v>0</v>
      </c>
      <c r="W968" s="53">
        <f>IF(ISERROR(VLOOKUP($T$968,'TAR FIN'!$A$1:$O$103,15,0)),0,VLOOKUP($T$968,'TAR FIN'!$A$1:$O$103,15,0))*(1-0.06)</f>
        <v>253.71540000000002</v>
      </c>
      <c r="X968" s="53">
        <f>IF(ISERROR(VLOOKUP($U$968,'TAR FIN'!$A$1:$O$103,15,0)),0,VLOOKUP($U$968,'TAR FIN'!$A$1:$O$103,15,0))*(1-0.06)</f>
        <v>271.56599999999997</v>
      </c>
      <c r="Y968" s="53"/>
      <c r="Z968" s="53">
        <f ca="1">('TUSD BE'!$AM$58+'TUSD BF'!$AM$58+'TUSD CVA'!$AM$58)*1*(1-0.03)</f>
        <v>351.61312828190455</v>
      </c>
      <c r="AA968" s="53">
        <f>('TE BE'!$AB$42+'TE BF'!$AB$42+'TE CVA'!$AB$42)*1*(1-0.03)</f>
        <v>263.87710395325485</v>
      </c>
      <c r="AB968" s="6">
        <f>$K$968*$V$968</f>
        <v>0</v>
      </c>
      <c r="AC968" s="6">
        <f>$M$968*$W$968</f>
        <v>11238.8310738</v>
      </c>
      <c r="AD968" s="6">
        <f>$O$968*$X$968</f>
        <v>12029.559101999997</v>
      </c>
      <c r="AE968" s="6">
        <f>$K$968*$Y$968</f>
        <v>0</v>
      </c>
      <c r="AF968" s="6">
        <f ca="1">$M$968*$Z$968</f>
        <v>15575.406743503525</v>
      </c>
      <c r="AG968" s="6">
        <f>$O$968*$AA$968</f>
        <v>11688.964073817329</v>
      </c>
    </row>
    <row r="969" spans="1:33" ht="11.25" customHeight="1" x14ac:dyDescent="0.25">
      <c r="A969" s="4" t="s">
        <v>21</v>
      </c>
      <c r="B969" s="4" t="s">
        <v>39</v>
      </c>
      <c r="C969" s="4" t="s">
        <v>23</v>
      </c>
      <c r="D969" s="4" t="s">
        <v>50</v>
      </c>
      <c r="E969" s="4" t="s">
        <v>51</v>
      </c>
      <c r="F969" s="4" t="s">
        <v>25</v>
      </c>
      <c r="G969" s="4" t="s">
        <v>25</v>
      </c>
      <c r="H969" s="4" t="s">
        <v>25</v>
      </c>
      <c r="I969" s="5">
        <v>44501</v>
      </c>
      <c r="J969" s="6">
        <v>0</v>
      </c>
      <c r="K969" s="53">
        <v>0</v>
      </c>
      <c r="L969" s="6">
        <v>44.539000000000001</v>
      </c>
      <c r="M969" s="53">
        <v>44.539000000000001</v>
      </c>
      <c r="N969" s="6">
        <v>44.539000000000001</v>
      </c>
      <c r="O969" s="53">
        <v>44.539000000000001</v>
      </c>
      <c r="P969" s="6">
        <v>49</v>
      </c>
      <c r="Q969" s="4" t="s">
        <v>26</v>
      </c>
      <c r="R969" s="4">
        <v>0</v>
      </c>
      <c r="S969" s="6">
        <v>0</v>
      </c>
      <c r="T969" s="6">
        <v>58</v>
      </c>
      <c r="U969" s="6">
        <v>99</v>
      </c>
      <c r="V969" s="53">
        <f>IF(ISERROR(VLOOKUP($S$969,'TAR FIN'!$A$1:$O$103,15,0)),0,VLOOKUP($S$969,'TAR FIN'!$A$1:$O$103,15,0))</f>
        <v>0</v>
      </c>
      <c r="W969" s="53">
        <f>IF(ISERROR(VLOOKUP($T$969,'TAR FIN'!$A$1:$O$103,15,0)),0,VLOOKUP($T$969,'TAR FIN'!$A$1:$O$103,15,0))*(1-0.06)</f>
        <v>253.71540000000002</v>
      </c>
      <c r="X969" s="53">
        <f>IF(ISERROR(VLOOKUP($U$969,'TAR FIN'!$A$1:$O$103,15,0)),0,VLOOKUP($U$969,'TAR FIN'!$A$1:$O$103,15,0))*(1-0.06)</f>
        <v>271.56599999999997</v>
      </c>
      <c r="Y969" s="53"/>
      <c r="Z969" s="53">
        <f ca="1">('TUSD BE'!$AM$58+'TUSD BF'!$AM$58+'TUSD CVA'!$AM$58)*1*(1-0.03)</f>
        <v>351.61312828190455</v>
      </c>
      <c r="AA969" s="53">
        <f>('TE BE'!$AB$42+'TE BF'!$AB$42+'TE CVA'!$AB$42)*1*(1-0.03)</f>
        <v>263.87710395325485</v>
      </c>
      <c r="AB969" s="6">
        <f>$K$969*$V$969</f>
        <v>0</v>
      </c>
      <c r="AC969" s="6">
        <f>$M$969*$W$969</f>
        <v>11300.230200600001</v>
      </c>
      <c r="AD969" s="6">
        <f>$O$969*$X$969</f>
        <v>12095.278074</v>
      </c>
      <c r="AE969" s="6">
        <f>$K$969*$Y$969</f>
        <v>0</v>
      </c>
      <c r="AF969" s="6">
        <f ca="1">$M$969*$Z$969</f>
        <v>15660.497120547747</v>
      </c>
      <c r="AG969" s="6">
        <f>$O$969*$AA$969</f>
        <v>11752.822332974018</v>
      </c>
    </row>
    <row r="970" spans="1:33" ht="11.25" customHeight="1" x14ac:dyDescent="0.25">
      <c r="A970" s="4" t="s">
        <v>21</v>
      </c>
      <c r="B970" s="4" t="s">
        <v>39</v>
      </c>
      <c r="C970" s="4" t="s">
        <v>23</v>
      </c>
      <c r="D970" s="4" t="s">
        <v>50</v>
      </c>
      <c r="E970" s="4" t="s">
        <v>51</v>
      </c>
      <c r="F970" s="4" t="s">
        <v>25</v>
      </c>
      <c r="G970" s="4" t="s">
        <v>25</v>
      </c>
      <c r="H970" s="4" t="s">
        <v>25</v>
      </c>
      <c r="I970" s="5">
        <v>44531</v>
      </c>
      <c r="J970" s="6">
        <v>0</v>
      </c>
      <c r="K970" s="53">
        <v>0</v>
      </c>
      <c r="L970" s="6">
        <v>57.579000000000001</v>
      </c>
      <c r="M970" s="53">
        <v>57.579000000000001</v>
      </c>
      <c r="N970" s="6">
        <v>57.579000000000001</v>
      </c>
      <c r="O970" s="53">
        <v>57.579000000000001</v>
      </c>
      <c r="P970" s="6">
        <v>51</v>
      </c>
      <c r="Q970" s="4" t="s">
        <v>26</v>
      </c>
      <c r="R970" s="4">
        <v>0</v>
      </c>
      <c r="S970" s="6">
        <v>0</v>
      </c>
      <c r="T970" s="6">
        <v>58</v>
      </c>
      <c r="U970" s="6">
        <v>99</v>
      </c>
      <c r="V970" s="53">
        <f>IF(ISERROR(VLOOKUP($S$970,'TAR FIN'!$A$1:$O$103,15,0)),0,VLOOKUP($S$970,'TAR FIN'!$A$1:$O$103,15,0))</f>
        <v>0</v>
      </c>
      <c r="W970" s="53">
        <f>IF(ISERROR(VLOOKUP($T$970,'TAR FIN'!$A$1:$O$103,15,0)),0,VLOOKUP($T$970,'TAR FIN'!$A$1:$O$103,15,0))*(1-0.06)</f>
        <v>253.71540000000002</v>
      </c>
      <c r="X970" s="53">
        <f>IF(ISERROR(VLOOKUP($U$970,'TAR FIN'!$A$1:$O$103,15,0)),0,VLOOKUP($U$970,'TAR FIN'!$A$1:$O$103,15,0))*(1-0.06)</f>
        <v>271.56599999999997</v>
      </c>
      <c r="Y970" s="53"/>
      <c r="Z970" s="53">
        <f ca="1">('TUSD BE'!$AM$58+'TUSD BF'!$AM$58+'TUSD CVA'!$AM$58)*1*(1-0.03)</f>
        <v>351.61312828190455</v>
      </c>
      <c r="AA970" s="53">
        <f>('TE BE'!$AB$42+'TE BF'!$AB$42+'TE CVA'!$AB$42)*1*(1-0.03)</f>
        <v>263.87710395325485</v>
      </c>
      <c r="AB970" s="6">
        <f>$K$970*$V$970</f>
        <v>0</v>
      </c>
      <c r="AC970" s="6">
        <f>$M$970*$W$970</f>
        <v>14608.679016600001</v>
      </c>
      <c r="AD970" s="6">
        <f>$O$970*$X$970</f>
        <v>15636.498713999999</v>
      </c>
      <c r="AE970" s="6">
        <f>$K$970*$Y$970</f>
        <v>0</v>
      </c>
      <c r="AF970" s="6">
        <f ca="1">$M$970*$Z$970</f>
        <v>20245.532313343781</v>
      </c>
      <c r="AG970" s="6">
        <f>$O$970*$AA$970</f>
        <v>15193.77976852446</v>
      </c>
    </row>
    <row r="971" spans="1:33" ht="11.25" customHeight="1" x14ac:dyDescent="0.25">
      <c r="A971" s="4" t="s">
        <v>21</v>
      </c>
      <c r="B971" s="4" t="s">
        <v>39</v>
      </c>
      <c r="C971" s="4" t="s">
        <v>23</v>
      </c>
      <c r="D971" s="4" t="s">
        <v>50</v>
      </c>
      <c r="E971" s="4" t="s">
        <v>51</v>
      </c>
      <c r="F971" s="4" t="s">
        <v>25</v>
      </c>
      <c r="G971" s="4" t="s">
        <v>25</v>
      </c>
      <c r="H971" s="4" t="s">
        <v>25</v>
      </c>
      <c r="I971" s="5">
        <v>44562</v>
      </c>
      <c r="J971" s="6">
        <v>0</v>
      </c>
      <c r="K971" s="53">
        <v>0</v>
      </c>
      <c r="L971" s="6">
        <v>61.433999999999997</v>
      </c>
      <c r="M971" s="53">
        <v>61.433999999999997</v>
      </c>
      <c r="N971" s="6">
        <v>61.433999999999997</v>
      </c>
      <c r="O971" s="53">
        <v>61.433999999999997</v>
      </c>
      <c r="P971" s="6">
        <v>51</v>
      </c>
      <c r="Q971" s="4" t="s">
        <v>26</v>
      </c>
      <c r="R971" s="4">
        <v>0</v>
      </c>
      <c r="S971" s="6">
        <v>0</v>
      </c>
      <c r="T971" s="6">
        <v>58</v>
      </c>
      <c r="U971" s="6">
        <v>99</v>
      </c>
      <c r="V971" s="53">
        <f>IF(ISERROR(VLOOKUP($S$971,'TAR FIN'!$A$1:$O$103,15,0)),0,VLOOKUP($S$971,'TAR FIN'!$A$1:$O$103,15,0))</f>
        <v>0</v>
      </c>
      <c r="W971" s="53">
        <f>IF(ISERROR(VLOOKUP($T$971,'TAR FIN'!$A$1:$O$103,15,0)),0,VLOOKUP($T$971,'TAR FIN'!$A$1:$O$103,15,0))*(1-0.06)</f>
        <v>253.71540000000002</v>
      </c>
      <c r="X971" s="53">
        <f>IF(ISERROR(VLOOKUP($U$971,'TAR FIN'!$A$1:$O$103,15,0)),0,VLOOKUP($U$971,'TAR FIN'!$A$1:$O$103,15,0))*(1-0.06)</f>
        <v>271.56599999999997</v>
      </c>
      <c r="Y971" s="53"/>
      <c r="Z971" s="53">
        <f ca="1">('TUSD BE'!$AM$58+'TUSD BF'!$AM$58+'TUSD CVA'!$AM$58)*1*(1-0.03)</f>
        <v>351.61312828190455</v>
      </c>
      <c r="AA971" s="53">
        <f>('TE BE'!$AB$42+'TE BF'!$AB$42+'TE CVA'!$AB$42)*1*(1-0.03)</f>
        <v>263.87710395325485</v>
      </c>
      <c r="AB971" s="6">
        <f>$K$971*$V$971</f>
        <v>0</v>
      </c>
      <c r="AC971" s="6">
        <f>$M$971*$W$971</f>
        <v>15586.7518836</v>
      </c>
      <c r="AD971" s="6">
        <f>$O$971*$X$971</f>
        <v>16683.385643999998</v>
      </c>
      <c r="AE971" s="6">
        <f>$K$971*$Y$971</f>
        <v>0</v>
      </c>
      <c r="AF971" s="6">
        <f ca="1">$M$971*$Z$971</f>
        <v>21601.000922870524</v>
      </c>
      <c r="AG971" s="6">
        <f>$O$971*$AA$971</f>
        <v>16211.026004264257</v>
      </c>
    </row>
    <row r="972" spans="1:33" ht="11.25" customHeight="1" x14ac:dyDescent="0.25">
      <c r="A972" s="4" t="s">
        <v>21</v>
      </c>
      <c r="B972" s="4" t="s">
        <v>39</v>
      </c>
      <c r="C972" s="4" t="s">
        <v>23</v>
      </c>
      <c r="D972" s="4" t="s">
        <v>50</v>
      </c>
      <c r="E972" s="4" t="s">
        <v>51</v>
      </c>
      <c r="F972" s="4" t="s">
        <v>25</v>
      </c>
      <c r="G972" s="4" t="s">
        <v>25</v>
      </c>
      <c r="H972" s="4" t="s">
        <v>25</v>
      </c>
      <c r="I972" s="5">
        <v>44593</v>
      </c>
      <c r="J972" s="6">
        <v>0</v>
      </c>
      <c r="K972" s="53">
        <v>0</v>
      </c>
      <c r="L972" s="6">
        <v>66.64</v>
      </c>
      <c r="M972" s="53">
        <v>66.64</v>
      </c>
      <c r="N972" s="6">
        <v>66.64</v>
      </c>
      <c r="O972" s="53">
        <v>66.64</v>
      </c>
      <c r="P972" s="6">
        <v>51</v>
      </c>
      <c r="Q972" s="4" t="s">
        <v>26</v>
      </c>
      <c r="R972" s="4">
        <v>0</v>
      </c>
      <c r="S972" s="6">
        <v>0</v>
      </c>
      <c r="T972" s="6">
        <v>58</v>
      </c>
      <c r="U972" s="6">
        <v>99</v>
      </c>
      <c r="V972" s="53">
        <f>IF(ISERROR(VLOOKUP($S$972,'TAR FIN'!$A$1:$O$103,15,0)),0,VLOOKUP($S$972,'TAR FIN'!$A$1:$O$103,15,0))</f>
        <v>0</v>
      </c>
      <c r="W972" s="53">
        <f>IF(ISERROR(VLOOKUP($T$972,'TAR FIN'!$A$1:$O$103,15,0)),0,VLOOKUP($T$972,'TAR FIN'!$A$1:$O$103,15,0))*(1-0.06)</f>
        <v>253.71540000000002</v>
      </c>
      <c r="X972" s="53">
        <f>IF(ISERROR(VLOOKUP($U$972,'TAR FIN'!$A$1:$O$103,15,0)),0,VLOOKUP($U$972,'TAR FIN'!$A$1:$O$103,15,0))*(1-0.06)</f>
        <v>271.56599999999997</v>
      </c>
      <c r="Y972" s="53"/>
      <c r="Z972" s="53">
        <f ca="1">('TUSD BE'!$AM$58+'TUSD BF'!$AM$58+'TUSD CVA'!$AM$58)*1*(1-0.03)</f>
        <v>351.61312828190455</v>
      </c>
      <c r="AA972" s="53">
        <f>('TE BE'!$AB$42+'TE BF'!$AB$42+'TE CVA'!$AB$42)*1*(1-0.03)</f>
        <v>263.87710395325485</v>
      </c>
      <c r="AB972" s="6">
        <f>$K$972*$V$972</f>
        <v>0</v>
      </c>
      <c r="AC972" s="6">
        <f>$M$972*$W$972</f>
        <v>16907.594256</v>
      </c>
      <c r="AD972" s="6">
        <f>$O$972*$X$972</f>
        <v>18097.158239999997</v>
      </c>
      <c r="AE972" s="6">
        <f>$K$972*$Y$972</f>
        <v>0</v>
      </c>
      <c r="AF972" s="6">
        <f ca="1">$M$972*$Z$972</f>
        <v>23431.49886870612</v>
      </c>
      <c r="AG972" s="6">
        <f>$O$972*$AA$972</f>
        <v>17584.770207444904</v>
      </c>
    </row>
    <row r="973" spans="1:33" ht="11.25" customHeight="1" x14ac:dyDescent="0.25">
      <c r="A973" s="4" t="s">
        <v>21</v>
      </c>
      <c r="B973" s="4" t="s">
        <v>39</v>
      </c>
      <c r="C973" s="4" t="s">
        <v>23</v>
      </c>
      <c r="D973" s="4" t="s">
        <v>50</v>
      </c>
      <c r="E973" s="4" t="s">
        <v>51</v>
      </c>
      <c r="F973" s="4" t="s">
        <v>25</v>
      </c>
      <c r="G973" s="4" t="s">
        <v>25</v>
      </c>
      <c r="H973" s="4" t="s">
        <v>25</v>
      </c>
      <c r="I973" s="5">
        <v>44621</v>
      </c>
      <c r="J973" s="6">
        <v>0</v>
      </c>
      <c r="K973" s="53">
        <v>0</v>
      </c>
      <c r="L973" s="6">
        <v>65.355000000000004</v>
      </c>
      <c r="M973" s="53">
        <v>65.355000000000004</v>
      </c>
      <c r="N973" s="6">
        <v>65.355000000000004</v>
      </c>
      <c r="O973" s="53">
        <v>65.355000000000004</v>
      </c>
      <c r="P973" s="6">
        <v>51</v>
      </c>
      <c r="Q973" s="4" t="s">
        <v>26</v>
      </c>
      <c r="R973" s="4">
        <v>0</v>
      </c>
      <c r="S973" s="6">
        <v>0</v>
      </c>
      <c r="T973" s="6">
        <v>58</v>
      </c>
      <c r="U973" s="6">
        <v>99</v>
      </c>
      <c r="V973" s="53">
        <f>IF(ISERROR(VLOOKUP($S$973,'TAR FIN'!$A$1:$O$103,15,0)),0,VLOOKUP($S$973,'TAR FIN'!$A$1:$O$103,15,0))</f>
        <v>0</v>
      </c>
      <c r="W973" s="53">
        <f>IF(ISERROR(VLOOKUP($T$973,'TAR FIN'!$A$1:$O$103,15,0)),0,VLOOKUP($T$973,'TAR FIN'!$A$1:$O$103,15,0))*(1-0.06)</f>
        <v>253.71540000000002</v>
      </c>
      <c r="X973" s="53">
        <f>IF(ISERROR(VLOOKUP($U$973,'TAR FIN'!$A$1:$O$103,15,0)),0,VLOOKUP($U$973,'TAR FIN'!$A$1:$O$103,15,0))*(1-0.06)</f>
        <v>271.56599999999997</v>
      </c>
      <c r="Y973" s="53"/>
      <c r="Z973" s="53">
        <f ca="1">('TUSD BE'!$AM$58+'TUSD BF'!$AM$58+'TUSD CVA'!$AM$58)*1*(1-0.03)</f>
        <v>351.61312828190455</v>
      </c>
      <c r="AA973" s="53">
        <f>('TE BE'!$AB$42+'TE BF'!$AB$42+'TE CVA'!$AB$42)*1*(1-0.03)</f>
        <v>263.87710395325485</v>
      </c>
      <c r="AB973" s="6">
        <f>$K$973*$V$973</f>
        <v>0</v>
      </c>
      <c r="AC973" s="6">
        <f>$M$973*$W$973</f>
        <v>16581.569967000003</v>
      </c>
      <c r="AD973" s="6">
        <f>$O$973*$X$973</f>
        <v>17748.195929999998</v>
      </c>
      <c r="AE973" s="6">
        <f>$K$973*$Y$973</f>
        <v>0</v>
      </c>
      <c r="AF973" s="6">
        <f ca="1">$M$973*$Z$973</f>
        <v>22979.675998863873</v>
      </c>
      <c r="AG973" s="6">
        <f>$O$973*$AA$973</f>
        <v>17245.688128864971</v>
      </c>
    </row>
    <row r="974" spans="1:33" ht="11.25" customHeight="1" x14ac:dyDescent="0.25">
      <c r="A974" s="4" t="s">
        <v>21</v>
      </c>
      <c r="B974" s="4" t="s">
        <v>39</v>
      </c>
      <c r="C974" s="4" t="s">
        <v>23</v>
      </c>
      <c r="D974" s="4" t="s">
        <v>50</v>
      </c>
      <c r="E974" s="4" t="s">
        <v>51</v>
      </c>
      <c r="F974" s="4" t="s">
        <v>25</v>
      </c>
      <c r="G974" s="4" t="s">
        <v>25</v>
      </c>
      <c r="H974" s="4" t="s">
        <v>25</v>
      </c>
      <c r="I974" s="5">
        <v>44652</v>
      </c>
      <c r="J974" s="6">
        <v>0</v>
      </c>
      <c r="K974" s="53">
        <v>0</v>
      </c>
      <c r="L974" s="6">
        <v>63.993000000000002</v>
      </c>
      <c r="M974" s="53">
        <v>63.993000000000002</v>
      </c>
      <c r="N974" s="6">
        <v>63.993000000000002</v>
      </c>
      <c r="O974" s="53">
        <v>63.993000000000002</v>
      </c>
      <c r="P974" s="6">
        <v>50</v>
      </c>
      <c r="Q974" s="4" t="s">
        <v>26</v>
      </c>
      <c r="R974" s="4">
        <v>0</v>
      </c>
      <c r="S974" s="6">
        <v>0</v>
      </c>
      <c r="T974" s="6">
        <v>58</v>
      </c>
      <c r="U974" s="6">
        <v>99</v>
      </c>
      <c r="V974" s="53">
        <f>IF(ISERROR(VLOOKUP($S$974,'TAR FIN'!$A$1:$O$103,15,0)),0,VLOOKUP($S$974,'TAR FIN'!$A$1:$O$103,15,0))</f>
        <v>0</v>
      </c>
      <c r="W974" s="53">
        <f>IF(ISERROR(VLOOKUP($T$974,'TAR FIN'!$A$1:$O$103,15,0)),0,VLOOKUP($T$974,'TAR FIN'!$A$1:$O$103,15,0))*(1-0.06)</f>
        <v>253.71540000000002</v>
      </c>
      <c r="X974" s="53">
        <f>IF(ISERROR(VLOOKUP($U$974,'TAR FIN'!$A$1:$O$103,15,0)),0,VLOOKUP($U$974,'TAR FIN'!$A$1:$O$103,15,0))*(1-0.06)</f>
        <v>271.56599999999997</v>
      </c>
      <c r="Y974" s="53"/>
      <c r="Z974" s="53">
        <f ca="1">('TUSD BE'!$AM$58+'TUSD BF'!$AM$58+'TUSD CVA'!$AM$58)*1*(1-0.03)</f>
        <v>351.61312828190455</v>
      </c>
      <c r="AA974" s="53">
        <f>('TE BE'!$AB$42+'TE BF'!$AB$42+'TE CVA'!$AB$42)*1*(1-0.03)</f>
        <v>263.87710395325485</v>
      </c>
      <c r="AB974" s="6">
        <f>$K$974*$V$974</f>
        <v>0</v>
      </c>
      <c r="AC974" s="6">
        <f>$M$974*$W$974</f>
        <v>16236.009592200002</v>
      </c>
      <c r="AD974" s="6">
        <f>$O$974*$X$974</f>
        <v>17378.323037999999</v>
      </c>
      <c r="AE974" s="6">
        <f>$K$974*$Y$974</f>
        <v>0</v>
      </c>
      <c r="AF974" s="6">
        <f ca="1">$M$974*$Z$974</f>
        <v>22500.778918143918</v>
      </c>
      <c r="AG974" s="6">
        <f>$O$974*$AA$974</f>
        <v>16886.287513280637</v>
      </c>
    </row>
    <row r="975" spans="1:33" ht="11.25" customHeight="1" x14ac:dyDescent="0.25">
      <c r="A975" s="4" t="s">
        <v>21</v>
      </c>
      <c r="B975" s="4" t="s">
        <v>39</v>
      </c>
      <c r="C975" s="4" t="s">
        <v>23</v>
      </c>
      <c r="D975" s="4" t="s">
        <v>50</v>
      </c>
      <c r="E975" s="4" t="s">
        <v>51</v>
      </c>
      <c r="F975" s="4" t="s">
        <v>25</v>
      </c>
      <c r="G975" s="4" t="s">
        <v>25</v>
      </c>
      <c r="H975" s="4" t="s">
        <v>25</v>
      </c>
      <c r="I975" s="5">
        <v>44682</v>
      </c>
      <c r="J975" s="6">
        <v>0</v>
      </c>
      <c r="K975" s="53">
        <v>0</v>
      </c>
      <c r="L975" s="6">
        <v>65.480999999999995</v>
      </c>
      <c r="M975" s="53">
        <v>65.480999999999995</v>
      </c>
      <c r="N975" s="6">
        <v>65.480999999999995</v>
      </c>
      <c r="O975" s="53">
        <v>65.480999999999995</v>
      </c>
      <c r="P975" s="6">
        <v>50</v>
      </c>
      <c r="Q975" s="4" t="s">
        <v>26</v>
      </c>
      <c r="R975" s="4">
        <v>0</v>
      </c>
      <c r="S975" s="6">
        <v>0</v>
      </c>
      <c r="T975" s="6">
        <v>58</v>
      </c>
      <c r="U975" s="6">
        <v>99</v>
      </c>
      <c r="V975" s="53">
        <f>IF(ISERROR(VLOOKUP($S$975,'TAR FIN'!$A$1:$O$103,15,0)),0,VLOOKUP($S$975,'TAR FIN'!$A$1:$O$103,15,0))</f>
        <v>0</v>
      </c>
      <c r="W975" s="53">
        <f>IF(ISERROR(VLOOKUP($T$975,'TAR FIN'!$A$1:$O$103,15,0)),0,VLOOKUP($T$975,'TAR FIN'!$A$1:$O$103,15,0))*(1-0.06)</f>
        <v>253.71540000000002</v>
      </c>
      <c r="X975" s="53">
        <f>IF(ISERROR(VLOOKUP($U$975,'TAR FIN'!$A$1:$O$103,15,0)),0,VLOOKUP($U$975,'TAR FIN'!$A$1:$O$103,15,0))*(1-0.06)</f>
        <v>271.56599999999997</v>
      </c>
      <c r="Y975" s="53"/>
      <c r="Z975" s="53">
        <f ca="1">('TUSD BE'!$AM$58+'TUSD BF'!$AM$58+'TUSD CVA'!$AM$58)*1*(1-0.03)</f>
        <v>351.61312828190455</v>
      </c>
      <c r="AA975" s="53">
        <f>('TE BE'!$AB$42+'TE BF'!$AB$42+'TE CVA'!$AB$42)*1*(1-0.03)</f>
        <v>263.87710395325485</v>
      </c>
      <c r="AB975" s="6">
        <f>$K$975*$V$975</f>
        <v>0</v>
      </c>
      <c r="AC975" s="6">
        <f>$M$975*$W$975</f>
        <v>16613.5381074</v>
      </c>
      <c r="AD975" s="6">
        <f>$O$975*$X$975</f>
        <v>17782.413245999996</v>
      </c>
      <c r="AE975" s="6">
        <f>$K$975*$Y$975</f>
        <v>0</v>
      </c>
      <c r="AF975" s="6">
        <f ca="1">$M$975*$Z$975</f>
        <v>23023.979253027392</v>
      </c>
      <c r="AG975" s="6">
        <f>$O$975*$AA$975</f>
        <v>17278.936643963079</v>
      </c>
    </row>
    <row r="976" spans="1:33" ht="11.25" customHeight="1" x14ac:dyDescent="0.25">
      <c r="A976" s="4" t="s">
        <v>21</v>
      </c>
      <c r="B976" s="4" t="s">
        <v>47</v>
      </c>
      <c r="C976" s="4" t="s">
        <v>23</v>
      </c>
      <c r="D976" s="4" t="s">
        <v>48</v>
      </c>
      <c r="E976" s="4" t="s">
        <v>49</v>
      </c>
      <c r="F976" s="4" t="s">
        <v>25</v>
      </c>
      <c r="G976" s="4" t="s">
        <v>25</v>
      </c>
      <c r="H976" s="4" t="s">
        <v>25</v>
      </c>
      <c r="I976" s="5">
        <v>44348</v>
      </c>
      <c r="J976" s="6">
        <v>0</v>
      </c>
      <c r="K976" s="6">
        <v>0</v>
      </c>
      <c r="L976" s="6">
        <v>993.76</v>
      </c>
      <c r="M976" s="6">
        <v>993.76</v>
      </c>
      <c r="N976" s="6">
        <v>993.76</v>
      </c>
      <c r="O976" s="6">
        <v>993.76</v>
      </c>
      <c r="P976" s="6">
        <v>1</v>
      </c>
      <c r="Q976" s="4" t="s">
        <v>26</v>
      </c>
      <c r="R976" s="4">
        <v>0</v>
      </c>
      <c r="S976" s="6">
        <v>0</v>
      </c>
      <c r="T976" s="6">
        <v>60</v>
      </c>
      <c r="U976" s="6">
        <v>101</v>
      </c>
      <c r="V976" s="6">
        <f>IF(ISERROR(VLOOKUP($S$976,'TAR FIN'!$A$1:$O$103,15,0)),0,VLOOKUP($S$976,'TAR FIN'!$A$1:$O$103,15,0))</f>
        <v>0</v>
      </c>
      <c r="W976" s="6">
        <f>IF(ISERROR(VLOOKUP($T$976,'TAR FIN'!$A$1:$O$103,15,0)),0,VLOOKUP($T$976,'TAR FIN'!$A$1:$O$103,15,0))</f>
        <v>148.44999999999999</v>
      </c>
      <c r="X976" s="6">
        <f>IF(ISERROR(VLOOKUP($U$976,'TAR FIN'!$A$1:$O$103,15,0)),0,VLOOKUP($U$976,'TAR FIN'!$A$1:$O$103,15,0))</f>
        <v>158.9</v>
      </c>
      <c r="Y976" s="6"/>
      <c r="Z976" s="6">
        <f ca="1">('TUSD BE'!$AM$60+'TUSD BF'!$AM$60+'TUSD CVA'!$AM$60)*1</f>
        <v>199.36826861345105</v>
      </c>
      <c r="AA976" s="6">
        <f>('TE BE'!$AB$44+'TE BF'!$AB$44+'TE CVA'!$AB$44)*1</f>
        <v>149.62103832401044</v>
      </c>
      <c r="AB976" s="6">
        <f>$K$976*$V$976</f>
        <v>0</v>
      </c>
      <c r="AC976" s="6">
        <f>$M$976*$W$976</f>
        <v>147523.67199999999</v>
      </c>
      <c r="AD976" s="6">
        <f>$O$976*$X$976</f>
        <v>157908.46400000001</v>
      </c>
      <c r="AE976" s="6">
        <f>$K$976*$Y$976</f>
        <v>0</v>
      </c>
      <c r="AF976" s="6">
        <f ca="1">$M$976*$Z$976</f>
        <v>198124.21061730312</v>
      </c>
      <c r="AG976" s="6">
        <f>$O$976*$AA$976</f>
        <v>148687.40304486861</v>
      </c>
    </row>
    <row r="977" spans="1:33" ht="11.25" customHeight="1" x14ac:dyDescent="0.25">
      <c r="A977" s="4" t="s">
        <v>21</v>
      </c>
      <c r="B977" s="4" t="s">
        <v>47</v>
      </c>
      <c r="C977" s="4" t="s">
        <v>23</v>
      </c>
      <c r="D977" s="4" t="s">
        <v>48</v>
      </c>
      <c r="E977" s="4" t="s">
        <v>49</v>
      </c>
      <c r="F977" s="4" t="s">
        <v>25</v>
      </c>
      <c r="G977" s="4" t="s">
        <v>25</v>
      </c>
      <c r="H977" s="4" t="s">
        <v>25</v>
      </c>
      <c r="I977" s="5">
        <v>44378</v>
      </c>
      <c r="J977" s="6">
        <v>0</v>
      </c>
      <c r="K977" s="6">
        <v>0</v>
      </c>
      <c r="L977" s="6">
        <v>1093.136</v>
      </c>
      <c r="M977" s="6">
        <v>1093.136</v>
      </c>
      <c r="N977" s="6">
        <v>1093.136</v>
      </c>
      <c r="O977" s="6">
        <v>1093.136</v>
      </c>
      <c r="P977" s="6">
        <v>1</v>
      </c>
      <c r="Q977" s="4" t="s">
        <v>26</v>
      </c>
      <c r="R977" s="4">
        <v>0</v>
      </c>
      <c r="S977" s="6">
        <v>0</v>
      </c>
      <c r="T977" s="6">
        <v>60</v>
      </c>
      <c r="U977" s="6">
        <v>101</v>
      </c>
      <c r="V977" s="6">
        <f>IF(ISERROR(VLOOKUP($S$977,'TAR FIN'!$A$1:$O$103,15,0)),0,VLOOKUP($S$977,'TAR FIN'!$A$1:$O$103,15,0))</f>
        <v>0</v>
      </c>
      <c r="W977" s="6">
        <f>IF(ISERROR(VLOOKUP($T$977,'TAR FIN'!$A$1:$O$103,15,0)),0,VLOOKUP($T$977,'TAR FIN'!$A$1:$O$103,15,0))</f>
        <v>148.44999999999999</v>
      </c>
      <c r="X977" s="6">
        <f>IF(ISERROR(VLOOKUP($U$977,'TAR FIN'!$A$1:$O$103,15,0)),0,VLOOKUP($U$977,'TAR FIN'!$A$1:$O$103,15,0))</f>
        <v>158.9</v>
      </c>
      <c r="Y977" s="6"/>
      <c r="Z977" s="6">
        <f ca="1">('TUSD BE'!$AM$60+'TUSD BF'!$AM$60+'TUSD CVA'!$AM$60)*1</f>
        <v>199.36826861345105</v>
      </c>
      <c r="AA977" s="6">
        <f>('TE BE'!$AB$44+'TE BF'!$AB$44+'TE CVA'!$AB$44)*1</f>
        <v>149.62103832401044</v>
      </c>
      <c r="AB977" s="6">
        <f>$K$977*$V$977</f>
        <v>0</v>
      </c>
      <c r="AC977" s="6">
        <f>$M$977*$W$977</f>
        <v>162276.03919999997</v>
      </c>
      <c r="AD977" s="6">
        <f>$O$977*$X$977</f>
        <v>173699.31039999999</v>
      </c>
      <c r="AE977" s="6">
        <f>$K$977*$Y$977</f>
        <v>0</v>
      </c>
      <c r="AF977" s="6">
        <f ca="1">$M$977*$Z$977</f>
        <v>217936.63167903342</v>
      </c>
      <c r="AG977" s="6">
        <f>$O$977*$AA$977</f>
        <v>163556.14334935547</v>
      </c>
    </row>
    <row r="978" spans="1:33" ht="11.25" customHeight="1" x14ac:dyDescent="0.25">
      <c r="A978" s="4" t="s">
        <v>21</v>
      </c>
      <c r="B978" s="4" t="s">
        <v>47</v>
      </c>
      <c r="C978" s="4" t="s">
        <v>23</v>
      </c>
      <c r="D978" s="4" t="s">
        <v>48</v>
      </c>
      <c r="E978" s="4" t="s">
        <v>49</v>
      </c>
      <c r="F978" s="4" t="s">
        <v>25</v>
      </c>
      <c r="G978" s="4" t="s">
        <v>25</v>
      </c>
      <c r="H978" s="4" t="s">
        <v>25</v>
      </c>
      <c r="I978" s="5">
        <v>44409</v>
      </c>
      <c r="J978" s="6">
        <v>0</v>
      </c>
      <c r="K978" s="6">
        <v>0</v>
      </c>
      <c r="L978" s="6">
        <v>1093.135</v>
      </c>
      <c r="M978" s="6">
        <v>1093.135</v>
      </c>
      <c r="N978" s="6">
        <v>1093.135</v>
      </c>
      <c r="O978" s="6">
        <v>1093.135</v>
      </c>
      <c r="P978" s="6">
        <v>1</v>
      </c>
      <c r="Q978" s="4" t="s">
        <v>26</v>
      </c>
      <c r="R978" s="4">
        <v>0</v>
      </c>
      <c r="S978" s="6">
        <v>0</v>
      </c>
      <c r="T978" s="6">
        <v>60</v>
      </c>
      <c r="U978" s="6">
        <v>101</v>
      </c>
      <c r="V978" s="6">
        <f>IF(ISERROR(VLOOKUP($S$978,'TAR FIN'!$A$1:$O$103,15,0)),0,VLOOKUP($S$978,'TAR FIN'!$A$1:$O$103,15,0))</f>
        <v>0</v>
      </c>
      <c r="W978" s="6">
        <f>IF(ISERROR(VLOOKUP($T$978,'TAR FIN'!$A$1:$O$103,15,0)),0,VLOOKUP($T$978,'TAR FIN'!$A$1:$O$103,15,0))</f>
        <v>148.44999999999999</v>
      </c>
      <c r="X978" s="6">
        <f>IF(ISERROR(VLOOKUP($U$978,'TAR FIN'!$A$1:$O$103,15,0)),0,VLOOKUP($U$978,'TAR FIN'!$A$1:$O$103,15,0))</f>
        <v>158.9</v>
      </c>
      <c r="Y978" s="6"/>
      <c r="Z978" s="6">
        <f ca="1">('TUSD BE'!$AM$60+'TUSD BF'!$AM$60+'TUSD CVA'!$AM$60)*1</f>
        <v>199.36826861345105</v>
      </c>
      <c r="AA978" s="6">
        <f>('TE BE'!$AB$44+'TE BF'!$AB$44+'TE CVA'!$AB$44)*1</f>
        <v>149.62103832401044</v>
      </c>
      <c r="AB978" s="6">
        <f>$K$978*$V$978</f>
        <v>0</v>
      </c>
      <c r="AC978" s="6">
        <f>$M$978*$W$978</f>
        <v>162275.89074999999</v>
      </c>
      <c r="AD978" s="6">
        <f>$O$978*$X$978</f>
        <v>173699.15150000001</v>
      </c>
      <c r="AE978" s="6">
        <f>$K$978*$Y$978</f>
        <v>0</v>
      </c>
      <c r="AF978" s="6">
        <f ca="1">$M$978*$Z$978</f>
        <v>217936.43231076482</v>
      </c>
      <c r="AG978" s="6">
        <f>$O$978*$AA$978</f>
        <v>163555.99372831715</v>
      </c>
    </row>
    <row r="979" spans="1:33" ht="11.25" customHeight="1" x14ac:dyDescent="0.25">
      <c r="A979" s="4" t="s">
        <v>21</v>
      </c>
      <c r="B979" s="4" t="s">
        <v>47</v>
      </c>
      <c r="C979" s="4" t="s">
        <v>23</v>
      </c>
      <c r="D979" s="4" t="s">
        <v>48</v>
      </c>
      <c r="E979" s="4" t="s">
        <v>49</v>
      </c>
      <c r="F979" s="4" t="s">
        <v>25</v>
      </c>
      <c r="G979" s="4" t="s">
        <v>25</v>
      </c>
      <c r="H979" s="4" t="s">
        <v>25</v>
      </c>
      <c r="I979" s="5">
        <v>44440</v>
      </c>
      <c r="J979" s="6">
        <v>0</v>
      </c>
      <c r="K979" s="6">
        <v>0</v>
      </c>
      <c r="L979" s="6">
        <v>1026.885</v>
      </c>
      <c r="M979" s="6">
        <v>1026.885</v>
      </c>
      <c r="N979" s="6">
        <v>1026.885</v>
      </c>
      <c r="O979" s="6">
        <v>1026.885</v>
      </c>
      <c r="P979" s="6">
        <v>1</v>
      </c>
      <c r="Q979" s="4" t="s">
        <v>26</v>
      </c>
      <c r="R979" s="4">
        <v>0</v>
      </c>
      <c r="S979" s="6">
        <v>0</v>
      </c>
      <c r="T979" s="6">
        <v>60</v>
      </c>
      <c r="U979" s="6">
        <v>101</v>
      </c>
      <c r="V979" s="6">
        <f>IF(ISERROR(VLOOKUP($S$979,'TAR FIN'!$A$1:$O$103,15,0)),0,VLOOKUP($S$979,'TAR FIN'!$A$1:$O$103,15,0))</f>
        <v>0</v>
      </c>
      <c r="W979" s="6">
        <f>IF(ISERROR(VLOOKUP($T$979,'TAR FIN'!$A$1:$O$103,15,0)),0,VLOOKUP($T$979,'TAR FIN'!$A$1:$O$103,15,0))</f>
        <v>148.44999999999999</v>
      </c>
      <c r="X979" s="6">
        <f>IF(ISERROR(VLOOKUP($U$979,'TAR FIN'!$A$1:$O$103,15,0)),0,VLOOKUP($U$979,'TAR FIN'!$A$1:$O$103,15,0))</f>
        <v>158.9</v>
      </c>
      <c r="Y979" s="6"/>
      <c r="Z979" s="6">
        <f ca="1">('TUSD BE'!$AM$60+'TUSD BF'!$AM$60+'TUSD CVA'!$AM$60)*1</f>
        <v>199.36826861345105</v>
      </c>
      <c r="AA979" s="6">
        <f>('TE BE'!$AB$44+'TE BF'!$AB$44+'TE CVA'!$AB$44)*1</f>
        <v>149.62103832401044</v>
      </c>
      <c r="AB979" s="6">
        <f>$K$979*$V$979</f>
        <v>0</v>
      </c>
      <c r="AC979" s="6">
        <f>$M$979*$W$979</f>
        <v>152441.07824999999</v>
      </c>
      <c r="AD979" s="6">
        <f>$O$979*$X$979</f>
        <v>163172.02650000001</v>
      </c>
      <c r="AE979" s="6">
        <f>$K$979*$Y$979</f>
        <v>0</v>
      </c>
      <c r="AF979" s="6">
        <f ca="1">$M$979*$Z$979</f>
        <v>204728.28451512367</v>
      </c>
      <c r="AG979" s="6">
        <f>$O$979*$AA$979</f>
        <v>153643.59993935146</v>
      </c>
    </row>
    <row r="980" spans="1:33" ht="11.25" customHeight="1" x14ac:dyDescent="0.25">
      <c r="A980" s="4" t="s">
        <v>21</v>
      </c>
      <c r="B980" s="4" t="s">
        <v>47</v>
      </c>
      <c r="C980" s="4" t="s">
        <v>23</v>
      </c>
      <c r="D980" s="4" t="s">
        <v>48</v>
      </c>
      <c r="E980" s="4" t="s">
        <v>49</v>
      </c>
      <c r="F980" s="4" t="s">
        <v>25</v>
      </c>
      <c r="G980" s="4" t="s">
        <v>25</v>
      </c>
      <c r="H980" s="4" t="s">
        <v>25</v>
      </c>
      <c r="I980" s="5">
        <v>44470</v>
      </c>
      <c r="J980" s="6">
        <v>0</v>
      </c>
      <c r="K980" s="6">
        <v>0</v>
      </c>
      <c r="L980" s="6">
        <v>1026.885</v>
      </c>
      <c r="M980" s="6">
        <v>1026.885</v>
      </c>
      <c r="N980" s="6">
        <v>1026.885</v>
      </c>
      <c r="O980" s="6">
        <v>1026.885</v>
      </c>
      <c r="P980" s="6">
        <v>1</v>
      </c>
      <c r="Q980" s="4" t="s">
        <v>26</v>
      </c>
      <c r="R980" s="4">
        <v>0</v>
      </c>
      <c r="S980" s="6">
        <v>0</v>
      </c>
      <c r="T980" s="6">
        <v>60</v>
      </c>
      <c r="U980" s="6">
        <v>101</v>
      </c>
      <c r="V980" s="6">
        <f>IF(ISERROR(VLOOKUP($S$980,'TAR FIN'!$A$1:$O$103,15,0)),0,VLOOKUP($S$980,'TAR FIN'!$A$1:$O$103,15,0))</f>
        <v>0</v>
      </c>
      <c r="W980" s="6">
        <f>IF(ISERROR(VLOOKUP($T$980,'TAR FIN'!$A$1:$O$103,15,0)),0,VLOOKUP($T$980,'TAR FIN'!$A$1:$O$103,15,0))</f>
        <v>148.44999999999999</v>
      </c>
      <c r="X980" s="6">
        <f>IF(ISERROR(VLOOKUP($U$980,'TAR FIN'!$A$1:$O$103,15,0)),0,VLOOKUP($U$980,'TAR FIN'!$A$1:$O$103,15,0))</f>
        <v>158.9</v>
      </c>
      <c r="Y980" s="6"/>
      <c r="Z980" s="6">
        <f ca="1">('TUSD BE'!$AM$60+'TUSD BF'!$AM$60+'TUSD CVA'!$AM$60)*1</f>
        <v>199.36826861345105</v>
      </c>
      <c r="AA980" s="6">
        <f>('TE BE'!$AB$44+'TE BF'!$AB$44+'TE CVA'!$AB$44)*1</f>
        <v>149.62103832401044</v>
      </c>
      <c r="AB980" s="6">
        <f>$K$980*$V$980</f>
        <v>0</v>
      </c>
      <c r="AC980" s="6">
        <f>$M$980*$W$980</f>
        <v>152441.07824999999</v>
      </c>
      <c r="AD980" s="6">
        <f>$O$980*$X$980</f>
        <v>163172.02650000001</v>
      </c>
      <c r="AE980" s="6">
        <f>$K$980*$Y$980</f>
        <v>0</v>
      </c>
      <c r="AF980" s="6">
        <f ca="1">$M$980*$Z$980</f>
        <v>204728.28451512367</v>
      </c>
      <c r="AG980" s="6">
        <f>$O$980*$AA$980</f>
        <v>153643.59993935146</v>
      </c>
    </row>
    <row r="981" spans="1:33" ht="11.25" customHeight="1" x14ac:dyDescent="0.25">
      <c r="A981" s="4" t="s">
        <v>21</v>
      </c>
      <c r="B981" s="4" t="s">
        <v>47</v>
      </c>
      <c r="C981" s="4" t="s">
        <v>23</v>
      </c>
      <c r="D981" s="4" t="s">
        <v>48</v>
      </c>
      <c r="E981" s="4" t="s">
        <v>49</v>
      </c>
      <c r="F981" s="4" t="s">
        <v>25</v>
      </c>
      <c r="G981" s="4" t="s">
        <v>25</v>
      </c>
      <c r="H981" s="4" t="s">
        <v>25</v>
      </c>
      <c r="I981" s="5">
        <v>44501</v>
      </c>
      <c r="J981" s="6">
        <v>0</v>
      </c>
      <c r="K981" s="6">
        <v>0</v>
      </c>
      <c r="L981" s="6">
        <v>993.76</v>
      </c>
      <c r="M981" s="6">
        <v>993.76</v>
      </c>
      <c r="N981" s="6">
        <v>993.76</v>
      </c>
      <c r="O981" s="6">
        <v>993.76</v>
      </c>
      <c r="P981" s="6">
        <v>1</v>
      </c>
      <c r="Q981" s="4" t="s">
        <v>26</v>
      </c>
      <c r="R981" s="4">
        <v>0</v>
      </c>
      <c r="S981" s="6">
        <v>0</v>
      </c>
      <c r="T981" s="6">
        <v>60</v>
      </c>
      <c r="U981" s="6">
        <v>101</v>
      </c>
      <c r="V981" s="6">
        <f>IF(ISERROR(VLOOKUP($S$981,'TAR FIN'!$A$1:$O$103,15,0)),0,VLOOKUP($S$981,'TAR FIN'!$A$1:$O$103,15,0))</f>
        <v>0</v>
      </c>
      <c r="W981" s="6">
        <f>IF(ISERROR(VLOOKUP($T$981,'TAR FIN'!$A$1:$O$103,15,0)),0,VLOOKUP($T$981,'TAR FIN'!$A$1:$O$103,15,0))</f>
        <v>148.44999999999999</v>
      </c>
      <c r="X981" s="6">
        <f>IF(ISERROR(VLOOKUP($U$981,'TAR FIN'!$A$1:$O$103,15,0)),0,VLOOKUP($U$981,'TAR FIN'!$A$1:$O$103,15,0))</f>
        <v>158.9</v>
      </c>
      <c r="Y981" s="6"/>
      <c r="Z981" s="6">
        <f ca="1">('TUSD BE'!$AM$60+'TUSD BF'!$AM$60+'TUSD CVA'!$AM$60)*1</f>
        <v>199.36826861345105</v>
      </c>
      <c r="AA981" s="6">
        <f>('TE BE'!$AB$44+'TE BF'!$AB$44+'TE CVA'!$AB$44)*1</f>
        <v>149.62103832401044</v>
      </c>
      <c r="AB981" s="6">
        <f>$K$981*$V$981</f>
        <v>0</v>
      </c>
      <c r="AC981" s="6">
        <f>$M$981*$W$981</f>
        <v>147523.67199999999</v>
      </c>
      <c r="AD981" s="6">
        <f>$O$981*$X$981</f>
        <v>157908.46400000001</v>
      </c>
      <c r="AE981" s="6">
        <f>$K$981*$Y$981</f>
        <v>0</v>
      </c>
      <c r="AF981" s="6">
        <f ca="1">$M$981*$Z$981</f>
        <v>198124.21061730312</v>
      </c>
      <c r="AG981" s="6">
        <f>$O$981*$AA$981</f>
        <v>148687.40304486861</v>
      </c>
    </row>
    <row r="982" spans="1:33" ht="11.25" customHeight="1" x14ac:dyDescent="0.25">
      <c r="A982" s="4" t="s">
        <v>21</v>
      </c>
      <c r="B982" s="4" t="s">
        <v>47</v>
      </c>
      <c r="C982" s="4" t="s">
        <v>23</v>
      </c>
      <c r="D982" s="4" t="s">
        <v>48</v>
      </c>
      <c r="E982" s="4" t="s">
        <v>49</v>
      </c>
      <c r="F982" s="4" t="s">
        <v>25</v>
      </c>
      <c r="G982" s="4" t="s">
        <v>25</v>
      </c>
      <c r="H982" s="4" t="s">
        <v>25</v>
      </c>
      <c r="I982" s="5">
        <v>44531</v>
      </c>
      <c r="J982" s="6">
        <v>0</v>
      </c>
      <c r="K982" s="6">
        <v>0</v>
      </c>
      <c r="L982" s="6">
        <v>1026.885</v>
      </c>
      <c r="M982" s="6">
        <v>1026.885</v>
      </c>
      <c r="N982" s="6">
        <v>1026.885</v>
      </c>
      <c r="O982" s="6">
        <v>1026.885</v>
      </c>
      <c r="P982" s="6">
        <v>1</v>
      </c>
      <c r="Q982" s="4" t="s">
        <v>26</v>
      </c>
      <c r="R982" s="4">
        <v>0</v>
      </c>
      <c r="S982" s="6">
        <v>0</v>
      </c>
      <c r="T982" s="6">
        <v>60</v>
      </c>
      <c r="U982" s="6">
        <v>101</v>
      </c>
      <c r="V982" s="6">
        <f>IF(ISERROR(VLOOKUP($S$982,'TAR FIN'!$A$1:$O$103,15,0)),0,VLOOKUP($S$982,'TAR FIN'!$A$1:$O$103,15,0))</f>
        <v>0</v>
      </c>
      <c r="W982" s="6">
        <f>IF(ISERROR(VLOOKUP($T$982,'TAR FIN'!$A$1:$O$103,15,0)),0,VLOOKUP($T$982,'TAR FIN'!$A$1:$O$103,15,0))</f>
        <v>148.44999999999999</v>
      </c>
      <c r="X982" s="6">
        <f>IF(ISERROR(VLOOKUP($U$982,'TAR FIN'!$A$1:$O$103,15,0)),0,VLOOKUP($U$982,'TAR FIN'!$A$1:$O$103,15,0))</f>
        <v>158.9</v>
      </c>
      <c r="Y982" s="6"/>
      <c r="Z982" s="6">
        <f ca="1">('TUSD BE'!$AM$60+'TUSD BF'!$AM$60+'TUSD CVA'!$AM$60)*1</f>
        <v>199.36826861345105</v>
      </c>
      <c r="AA982" s="6">
        <f>('TE BE'!$AB$44+'TE BF'!$AB$44+'TE CVA'!$AB$44)*1</f>
        <v>149.62103832401044</v>
      </c>
      <c r="AB982" s="6">
        <f>$K$982*$V$982</f>
        <v>0</v>
      </c>
      <c r="AC982" s="6">
        <f>$M$982*$W$982</f>
        <v>152441.07824999999</v>
      </c>
      <c r="AD982" s="6">
        <f>$O$982*$X$982</f>
        <v>163172.02650000001</v>
      </c>
      <c r="AE982" s="6">
        <f>$K$982*$Y$982</f>
        <v>0</v>
      </c>
      <c r="AF982" s="6">
        <f ca="1">$M$982*$Z$982</f>
        <v>204728.28451512367</v>
      </c>
      <c r="AG982" s="6">
        <f>$O$982*$AA$982</f>
        <v>153643.59993935146</v>
      </c>
    </row>
    <row r="983" spans="1:33" ht="11.25" customHeight="1" x14ac:dyDescent="0.25">
      <c r="A983" s="4" t="s">
        <v>21</v>
      </c>
      <c r="B983" s="4" t="s">
        <v>47</v>
      </c>
      <c r="C983" s="4" t="s">
        <v>23</v>
      </c>
      <c r="D983" s="4" t="s">
        <v>48</v>
      </c>
      <c r="E983" s="4" t="s">
        <v>49</v>
      </c>
      <c r="F983" s="4" t="s">
        <v>25</v>
      </c>
      <c r="G983" s="4" t="s">
        <v>25</v>
      </c>
      <c r="H983" s="4" t="s">
        <v>25</v>
      </c>
      <c r="I983" s="5">
        <v>44562</v>
      </c>
      <c r="J983" s="6">
        <v>0</v>
      </c>
      <c r="K983" s="6">
        <v>0</v>
      </c>
      <c r="L983" s="6">
        <v>899.43499999999995</v>
      </c>
      <c r="M983" s="6">
        <v>899.43499999999995</v>
      </c>
      <c r="N983" s="6">
        <v>899.43499999999995</v>
      </c>
      <c r="O983" s="6">
        <v>899.43499999999995</v>
      </c>
      <c r="P983" s="6">
        <v>1</v>
      </c>
      <c r="Q983" s="4" t="s">
        <v>26</v>
      </c>
      <c r="R983" s="4">
        <v>0</v>
      </c>
      <c r="S983" s="6">
        <v>0</v>
      </c>
      <c r="T983" s="6">
        <v>60</v>
      </c>
      <c r="U983" s="6">
        <v>101</v>
      </c>
      <c r="V983" s="6">
        <f>IF(ISERROR(VLOOKUP($S$983,'TAR FIN'!$A$1:$O$103,15,0)),0,VLOOKUP($S$983,'TAR FIN'!$A$1:$O$103,15,0))</f>
        <v>0</v>
      </c>
      <c r="W983" s="6">
        <f>IF(ISERROR(VLOOKUP($T$983,'TAR FIN'!$A$1:$O$103,15,0)),0,VLOOKUP($T$983,'TAR FIN'!$A$1:$O$103,15,0))</f>
        <v>148.44999999999999</v>
      </c>
      <c r="X983" s="6">
        <f>IF(ISERROR(VLOOKUP($U$983,'TAR FIN'!$A$1:$O$103,15,0)),0,VLOOKUP($U$983,'TAR FIN'!$A$1:$O$103,15,0))</f>
        <v>158.9</v>
      </c>
      <c r="Y983" s="6"/>
      <c r="Z983" s="6">
        <f ca="1">('TUSD BE'!$AM$60+'TUSD BF'!$AM$60+'TUSD CVA'!$AM$60)*1</f>
        <v>199.36826861345105</v>
      </c>
      <c r="AA983" s="6">
        <f>('TE BE'!$AB$44+'TE BF'!$AB$44+'TE CVA'!$AB$44)*1</f>
        <v>149.62103832401044</v>
      </c>
      <c r="AB983" s="6">
        <f>$K$983*$V$983</f>
        <v>0</v>
      </c>
      <c r="AC983" s="6">
        <f>$M$983*$W$983</f>
        <v>133521.12574999998</v>
      </c>
      <c r="AD983" s="6">
        <f>$O$983*$X$983</f>
        <v>142920.22149999999</v>
      </c>
      <c r="AE983" s="6">
        <f>$K$983*$Y$983</f>
        <v>0</v>
      </c>
      <c r="AF983" s="6">
        <f ca="1">$M$983*$Z$983</f>
        <v>179318.79868033933</v>
      </c>
      <c r="AG983" s="6">
        <f>$O$983*$AA$983</f>
        <v>134574.39860495631</v>
      </c>
    </row>
    <row r="984" spans="1:33" ht="11.25" customHeight="1" x14ac:dyDescent="0.25">
      <c r="A984" s="4" t="s">
        <v>21</v>
      </c>
      <c r="B984" s="4" t="s">
        <v>47</v>
      </c>
      <c r="C984" s="4" t="s">
        <v>23</v>
      </c>
      <c r="D984" s="4" t="s">
        <v>48</v>
      </c>
      <c r="E984" s="4" t="s">
        <v>49</v>
      </c>
      <c r="F984" s="4" t="s">
        <v>25</v>
      </c>
      <c r="G984" s="4" t="s">
        <v>25</v>
      </c>
      <c r="H984" s="4" t="s">
        <v>25</v>
      </c>
      <c r="I984" s="5">
        <v>44593</v>
      </c>
      <c r="J984" s="6">
        <v>0</v>
      </c>
      <c r="K984" s="6">
        <v>0</v>
      </c>
      <c r="L984" s="6">
        <v>858.42399999999998</v>
      </c>
      <c r="M984" s="6">
        <v>858.42399999999998</v>
      </c>
      <c r="N984" s="6">
        <v>858.42399999999998</v>
      </c>
      <c r="O984" s="6">
        <v>858.42399999999998</v>
      </c>
      <c r="P984" s="6">
        <v>1</v>
      </c>
      <c r="Q984" s="4" t="s">
        <v>26</v>
      </c>
      <c r="R984" s="4">
        <v>0</v>
      </c>
      <c r="S984" s="6">
        <v>0</v>
      </c>
      <c r="T984" s="6">
        <v>60</v>
      </c>
      <c r="U984" s="6">
        <v>101</v>
      </c>
      <c r="V984" s="6">
        <f>IF(ISERROR(VLOOKUP($S$984,'TAR FIN'!$A$1:$O$103,15,0)),0,VLOOKUP($S$984,'TAR FIN'!$A$1:$O$103,15,0))</f>
        <v>0</v>
      </c>
      <c r="W984" s="6">
        <f>IF(ISERROR(VLOOKUP($T$984,'TAR FIN'!$A$1:$O$103,15,0)),0,VLOOKUP($T$984,'TAR FIN'!$A$1:$O$103,15,0))</f>
        <v>148.44999999999999</v>
      </c>
      <c r="X984" s="6">
        <f>IF(ISERROR(VLOOKUP($U$984,'TAR FIN'!$A$1:$O$103,15,0)),0,VLOOKUP($U$984,'TAR FIN'!$A$1:$O$103,15,0))</f>
        <v>158.9</v>
      </c>
      <c r="Y984" s="6"/>
      <c r="Z984" s="6">
        <f ca="1">('TUSD BE'!$AM$60+'TUSD BF'!$AM$60+'TUSD CVA'!$AM$60)*1</f>
        <v>199.36826861345105</v>
      </c>
      <c r="AA984" s="6">
        <f>('TE BE'!$AB$44+'TE BF'!$AB$44+'TE CVA'!$AB$44)*1</f>
        <v>149.62103832401044</v>
      </c>
      <c r="AB984" s="6">
        <f>$K$984*$V$984</f>
        <v>0</v>
      </c>
      <c r="AC984" s="6">
        <f>$M$984*$W$984</f>
        <v>127433.04279999998</v>
      </c>
      <c r="AD984" s="6">
        <f>$O$984*$X$984</f>
        <v>136403.5736</v>
      </c>
      <c r="AE984" s="6">
        <f>$K$984*$Y$984</f>
        <v>0</v>
      </c>
      <c r="AF984" s="6">
        <f ca="1">$M$984*$Z$984</f>
        <v>171142.50661623309</v>
      </c>
      <c r="AG984" s="6">
        <f>$O$984*$AA$984</f>
        <v>128438.29020225034</v>
      </c>
    </row>
    <row r="985" spans="1:33" ht="11.25" customHeight="1" x14ac:dyDescent="0.25">
      <c r="A985" s="4" t="s">
        <v>21</v>
      </c>
      <c r="B985" s="4" t="s">
        <v>47</v>
      </c>
      <c r="C985" s="4" t="s">
        <v>23</v>
      </c>
      <c r="D985" s="4" t="s">
        <v>48</v>
      </c>
      <c r="E985" s="4" t="s">
        <v>49</v>
      </c>
      <c r="F985" s="4" t="s">
        <v>25</v>
      </c>
      <c r="G985" s="4" t="s">
        <v>25</v>
      </c>
      <c r="H985" s="4" t="s">
        <v>25</v>
      </c>
      <c r="I985" s="5">
        <v>44621</v>
      </c>
      <c r="J985" s="6">
        <v>0</v>
      </c>
      <c r="K985" s="6">
        <v>0</v>
      </c>
      <c r="L985" s="6">
        <v>1004.369</v>
      </c>
      <c r="M985" s="6">
        <v>1004.369</v>
      </c>
      <c r="N985" s="6">
        <v>1004.369</v>
      </c>
      <c r="O985" s="6">
        <v>1004.369</v>
      </c>
      <c r="P985" s="6">
        <v>1</v>
      </c>
      <c r="Q985" s="4" t="s">
        <v>26</v>
      </c>
      <c r="R985" s="4">
        <v>0</v>
      </c>
      <c r="S985" s="6">
        <v>0</v>
      </c>
      <c r="T985" s="6">
        <v>60</v>
      </c>
      <c r="U985" s="6">
        <v>101</v>
      </c>
      <c r="V985" s="6">
        <f>IF(ISERROR(VLOOKUP($S$985,'TAR FIN'!$A$1:$O$103,15,0)),0,VLOOKUP($S$985,'TAR FIN'!$A$1:$O$103,15,0))</f>
        <v>0</v>
      </c>
      <c r="W985" s="6">
        <f>IF(ISERROR(VLOOKUP($T$985,'TAR FIN'!$A$1:$O$103,15,0)),0,VLOOKUP($T$985,'TAR FIN'!$A$1:$O$103,15,0))</f>
        <v>148.44999999999999</v>
      </c>
      <c r="X985" s="6">
        <f>IF(ISERROR(VLOOKUP($U$985,'TAR FIN'!$A$1:$O$103,15,0)),0,VLOOKUP($U$985,'TAR FIN'!$A$1:$O$103,15,0))</f>
        <v>158.9</v>
      </c>
      <c r="Y985" s="6"/>
      <c r="Z985" s="6">
        <f ca="1">('TUSD BE'!$AM$60+'TUSD BF'!$AM$60+'TUSD CVA'!$AM$60)*1</f>
        <v>199.36826861345105</v>
      </c>
      <c r="AA985" s="6">
        <f>('TE BE'!$AB$44+'TE BF'!$AB$44+'TE CVA'!$AB$44)*1</f>
        <v>149.62103832401044</v>
      </c>
      <c r="AB985" s="6">
        <f>$K$985*$V$985</f>
        <v>0</v>
      </c>
      <c r="AC985" s="6">
        <f>$M$985*$W$985</f>
        <v>149098.57804999998</v>
      </c>
      <c r="AD985" s="6">
        <f>$O$985*$X$985</f>
        <v>159594.2341</v>
      </c>
      <c r="AE985" s="6">
        <f>$K$985*$Y$985</f>
        <v>0</v>
      </c>
      <c r="AF985" s="6">
        <f ca="1">$M$985*$Z$985</f>
        <v>200239.30857902323</v>
      </c>
      <c r="AG985" s="6">
        <f>$O$985*$AA$985</f>
        <v>150274.73264044806</v>
      </c>
    </row>
    <row r="986" spans="1:33" ht="11.25" customHeight="1" x14ac:dyDescent="0.25">
      <c r="A986" s="4" t="s">
        <v>21</v>
      </c>
      <c r="B986" s="4" t="s">
        <v>47</v>
      </c>
      <c r="C986" s="4" t="s">
        <v>23</v>
      </c>
      <c r="D986" s="4" t="s">
        <v>48</v>
      </c>
      <c r="E986" s="4" t="s">
        <v>49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1044.548</v>
      </c>
      <c r="M986" s="6">
        <v>1044.548</v>
      </c>
      <c r="N986" s="6">
        <v>1044.548</v>
      </c>
      <c r="O986" s="6">
        <v>1044.548</v>
      </c>
      <c r="P986" s="6">
        <v>1</v>
      </c>
      <c r="Q986" s="4" t="s">
        <v>26</v>
      </c>
      <c r="R986" s="4">
        <v>0</v>
      </c>
      <c r="S986" s="6">
        <v>0</v>
      </c>
      <c r="T986" s="6">
        <v>60</v>
      </c>
      <c r="U986" s="6">
        <v>101</v>
      </c>
      <c r="V986" s="6">
        <f>IF(ISERROR(VLOOKUP($S$986,'TAR FIN'!$A$1:$O$103,15,0)),0,VLOOKUP($S$986,'TAR FIN'!$A$1:$O$103,15,0))</f>
        <v>0</v>
      </c>
      <c r="W986" s="6">
        <f>IF(ISERROR(VLOOKUP($T$986,'TAR FIN'!$A$1:$O$103,15,0)),0,VLOOKUP($T$986,'TAR FIN'!$A$1:$O$103,15,0))</f>
        <v>148.44999999999999</v>
      </c>
      <c r="X986" s="6">
        <f>IF(ISERROR(VLOOKUP($U$986,'TAR FIN'!$A$1:$O$103,15,0)),0,VLOOKUP($U$986,'TAR FIN'!$A$1:$O$103,15,0))</f>
        <v>158.9</v>
      </c>
      <c r="Y986" s="6"/>
      <c r="Z986" s="6">
        <f ca="1">('TUSD BE'!$AM$60+'TUSD BF'!$AM$60+'TUSD CVA'!$AM$60)*1</f>
        <v>199.36826861345105</v>
      </c>
      <c r="AA986" s="6">
        <f>('TE BE'!$AB$44+'TE BF'!$AB$44+'TE CVA'!$AB$44)*1</f>
        <v>149.62103832401044</v>
      </c>
      <c r="AB986" s="6">
        <f>$K$986*$V$986</f>
        <v>0</v>
      </c>
      <c r="AC986" s="6">
        <f>$M$986*$W$986</f>
        <v>155063.15059999999</v>
      </c>
      <c r="AD986" s="6">
        <f>$O$986*$X$986</f>
        <v>165978.67720000001</v>
      </c>
      <c r="AE986" s="6">
        <f>$K$986*$Y$986</f>
        <v>0</v>
      </c>
      <c r="AF986" s="6">
        <f ca="1">$M$986*$Z$986</f>
        <v>208249.72624364306</v>
      </c>
      <c r="AG986" s="6">
        <f>$O$986*$AA$986</f>
        <v>156286.35633926847</v>
      </c>
    </row>
    <row r="987" spans="1:33" ht="11.25" customHeight="1" x14ac:dyDescent="0.25">
      <c r="A987" s="4" t="s">
        <v>21</v>
      </c>
      <c r="B987" s="4" t="s">
        <v>47</v>
      </c>
      <c r="C987" s="4" t="s">
        <v>23</v>
      </c>
      <c r="D987" s="4" t="s">
        <v>48</v>
      </c>
      <c r="E987" s="4" t="s">
        <v>49</v>
      </c>
      <c r="F987" s="4" t="s">
        <v>25</v>
      </c>
      <c r="G987" s="4" t="s">
        <v>25</v>
      </c>
      <c r="H987" s="4" t="s">
        <v>25</v>
      </c>
      <c r="I987" s="5">
        <v>44682</v>
      </c>
      <c r="J987" s="6">
        <v>0</v>
      </c>
      <c r="K987" s="6">
        <v>0</v>
      </c>
      <c r="L987" s="6">
        <v>1139.2840000000001</v>
      </c>
      <c r="M987" s="6">
        <v>1139.2840000000001</v>
      </c>
      <c r="N987" s="6">
        <v>1139.2840000000001</v>
      </c>
      <c r="O987" s="6">
        <v>1139.2840000000001</v>
      </c>
      <c r="P987" s="6">
        <v>1</v>
      </c>
      <c r="Q987" s="4" t="s">
        <v>26</v>
      </c>
      <c r="R987" s="4">
        <v>0</v>
      </c>
      <c r="S987" s="6">
        <v>0</v>
      </c>
      <c r="T987" s="6">
        <v>60</v>
      </c>
      <c r="U987" s="6">
        <v>101</v>
      </c>
      <c r="V987" s="6">
        <f>IF(ISERROR(VLOOKUP($S$987,'TAR FIN'!$A$1:$O$103,15,0)),0,VLOOKUP($S$987,'TAR FIN'!$A$1:$O$103,15,0))</f>
        <v>0</v>
      </c>
      <c r="W987" s="6">
        <f>IF(ISERROR(VLOOKUP($T$987,'TAR FIN'!$A$1:$O$103,15,0)),0,VLOOKUP($T$987,'TAR FIN'!$A$1:$O$103,15,0))</f>
        <v>148.44999999999999</v>
      </c>
      <c r="X987" s="6">
        <f>IF(ISERROR(VLOOKUP($U$987,'TAR FIN'!$A$1:$O$103,15,0)),0,VLOOKUP($U$987,'TAR FIN'!$A$1:$O$103,15,0))</f>
        <v>158.9</v>
      </c>
      <c r="Y987" s="6"/>
      <c r="Z987" s="6">
        <f ca="1">('TUSD BE'!$AM$60+'TUSD BF'!$AM$60+'TUSD CVA'!$AM$60)*1</f>
        <v>199.36826861345105</v>
      </c>
      <c r="AA987" s="6">
        <f>('TE BE'!$AB$44+'TE BF'!$AB$44+'TE CVA'!$AB$44)*1</f>
        <v>149.62103832401044</v>
      </c>
      <c r="AB987" s="6">
        <f>$K$987*$V$987</f>
        <v>0</v>
      </c>
      <c r="AC987" s="6">
        <f>$M$987*$W$987</f>
        <v>169126.70980000001</v>
      </c>
      <c r="AD987" s="6">
        <f>$O$987*$X$987</f>
        <v>181032.22760000001</v>
      </c>
      <c r="AE987" s="6">
        <f>$K$987*$Y$987</f>
        <v>0</v>
      </c>
      <c r="AF987" s="6">
        <f ca="1">$M$987*$Z$987</f>
        <v>227137.07853900699</v>
      </c>
      <c r="AG987" s="6">
        <f>$O$987*$AA$987</f>
        <v>170460.85502593193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3812-27A1-456D-98A2-9883D85AFE85}">
  <sheetPr>
    <tabColor theme="4" tint="-0.249977111117893"/>
  </sheetPr>
  <dimension ref="A1:BA987"/>
  <sheetViews>
    <sheetView showGridLines="0" tabSelected="1" topLeftCell="AK1" workbookViewId="0">
      <selection activeCell="BD9" sqref="BD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15.42578125" style="4" customWidth="1"/>
    <col min="40" max="40" width="9.28515625" style="4" bestFit="1" customWidth="1"/>
    <col min="41" max="41" width="13.140625" style="4" bestFit="1" customWidth="1"/>
    <col min="42" max="42" width="13.28515625" style="4" bestFit="1" customWidth="1"/>
    <col min="43" max="43" width="9.28515625" style="4" bestFit="1" customWidth="1"/>
    <col min="44" max="44" width="20" style="4" bestFit="1" customWidth="1"/>
    <col min="45" max="45" width="9.28515625" style="4" bestFit="1" customWidth="1"/>
    <col min="46" max="46" width="14" style="4" bestFit="1" customWidth="1"/>
    <col min="47" max="47" width="15.7109375" style="4" bestFit="1" customWidth="1"/>
    <col min="48" max="48" width="9.28515625" style="4" bestFit="1" customWidth="1"/>
    <col min="49" max="49" width="0.28515625" style="4" customWidth="1"/>
    <col min="50" max="51" width="9.140625" style="4" hidden="1" customWidth="1"/>
    <col min="52" max="52" width="9.140625" style="4"/>
    <col min="53" max="53" width="9.140625" style="4" hidden="1" customWidth="1"/>
    <col min="54" max="16384" width="9.140625" style="4"/>
  </cols>
  <sheetData>
    <row r="1" spans="1:5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729</v>
      </c>
      <c r="W1" s="1" t="s">
        <v>730</v>
      </c>
      <c r="X1" s="1" t="s">
        <v>731</v>
      </c>
      <c r="Y1" s="1" t="s">
        <v>732</v>
      </c>
      <c r="Z1" s="1" t="s">
        <v>733</v>
      </c>
      <c r="AA1" s="1" t="s">
        <v>734</v>
      </c>
      <c r="AB1" s="1" t="s">
        <v>747</v>
      </c>
      <c r="AC1" s="1" t="s">
        <v>748</v>
      </c>
      <c r="AD1" s="1" t="s">
        <v>749</v>
      </c>
      <c r="AE1" s="1" t="s">
        <v>750</v>
      </c>
      <c r="AF1" s="1" t="s">
        <v>751</v>
      </c>
      <c r="AG1" s="1" t="s">
        <v>752</v>
      </c>
      <c r="AI1" s="34" t="s">
        <v>61</v>
      </c>
      <c r="AJ1" s="34" t="s">
        <v>753</v>
      </c>
      <c r="AK1" s="34" t="s">
        <v>754</v>
      </c>
      <c r="AL1" s="34" t="s">
        <v>755</v>
      </c>
      <c r="AN1" s="34" t="s">
        <v>61</v>
      </c>
      <c r="AO1" s="34" t="s">
        <v>756</v>
      </c>
      <c r="AP1" s="34" t="s">
        <v>757</v>
      </c>
      <c r="AQ1" s="34" t="s">
        <v>755</v>
      </c>
      <c r="AS1" s="34" t="s">
        <v>61</v>
      </c>
      <c r="AT1" s="34" t="s">
        <v>758</v>
      </c>
      <c r="AU1" s="34" t="s">
        <v>759</v>
      </c>
      <c r="AV1" s="34" t="s">
        <v>755</v>
      </c>
    </row>
    <row r="2" spans="1:53" ht="11.25" customHeight="1" x14ac:dyDescent="0.25">
      <c r="A2" s="4" t="s">
        <v>28</v>
      </c>
      <c r="B2" s="4" t="s">
        <v>42</v>
      </c>
      <c r="C2" s="4" t="s">
        <v>34</v>
      </c>
      <c r="D2" s="4" t="s">
        <v>43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0</v>
      </c>
      <c r="K2" s="6">
        <v>0</v>
      </c>
      <c r="L2" s="6">
        <v>2E-3</v>
      </c>
      <c r="M2" s="6">
        <v>2E-3</v>
      </c>
      <c r="N2" s="6">
        <v>2E-3</v>
      </c>
      <c r="O2" s="6">
        <v>2E-3</v>
      </c>
      <c r="P2" s="6">
        <v>0</v>
      </c>
      <c r="Q2" s="4" t="s">
        <v>26</v>
      </c>
      <c r="R2" s="4">
        <v>0</v>
      </c>
      <c r="S2" s="6">
        <v>0</v>
      </c>
      <c r="T2" s="6">
        <v>8</v>
      </c>
      <c r="U2" s="6">
        <v>63</v>
      </c>
      <c r="V2" s="6">
        <f>IF(ISERROR(VLOOKUP($S$2,'TAR FIN'!$A$1:$O$103,15,0)),0,VLOOKUP($S$2,'TAR FIN'!$A$1:$O$103,15,0))</f>
        <v>0</v>
      </c>
      <c r="W2" s="6">
        <f>IF(ISERROR(VLOOKUP($T$2,'TAR FIN'!$A$1:$O$103,15,0)),0,VLOOKUP($T$2,'TAR FIN'!$A$1:$O$103,15,0))</f>
        <v>69.37</v>
      </c>
      <c r="X2" s="6">
        <f>IF(ISERROR(VLOOKUP($U$2,'TAR FIN'!$A$1:$O$103,15,0)),0,VLOOKUP($U$2,'TAR FIN'!$A$1:$O$103,15,0))</f>
        <v>284.36</v>
      </c>
      <c r="Y2" s="6"/>
      <c r="Z2" s="6">
        <f ca="1">('TUSD BE'!$AM$12+'TUSD BF_350'!$AM$12+'TUSD CVA'!$AM$12)*1</f>
        <v>110.85</v>
      </c>
      <c r="AA2" s="6">
        <f ca="1">('TE BE'!$AB$6+'TE BF_350'!$AB$6+'TE CVA'!$AB$6)*1</f>
        <v>247.20000000000002</v>
      </c>
      <c r="AB2" s="6">
        <f>$K$2*$V$2</f>
        <v>0</v>
      </c>
      <c r="AC2" s="6">
        <f>$M$2*$W$2</f>
        <v>0.13874</v>
      </c>
      <c r="AD2" s="6">
        <f>$O$2*$X$2</f>
        <v>0.56872</v>
      </c>
      <c r="AE2" s="6">
        <f>$K$2*$Y$2</f>
        <v>0</v>
      </c>
      <c r="AF2" s="6">
        <f ca="1">$M$2*$Z$2</f>
        <v>0.22169999999999998</v>
      </c>
      <c r="AG2" s="6">
        <f ca="1">$O$2*$AA$2</f>
        <v>0.49440000000000006</v>
      </c>
      <c r="AI2" s="35" t="s">
        <v>42</v>
      </c>
      <c r="AJ2" s="36">
        <f t="shared" ref="AJ2:AJ7" si="0">SUMIF($B$2:$B$987,AI2,$AB$2:$AB$987)+SUMIF($B$2:$B$987,AI2,$AC$2:$AC$987)</f>
        <v>1414342.493485</v>
      </c>
      <c r="AK2" s="36">
        <f t="shared" ref="AK2:AK7" ca="1" si="1">SUMIF($B$2:$B$987,AI2,$AE$2:$AE$987)+SUMIF($B$2:$B$987,AI2,$AF$2:$AF$987)</f>
        <v>2034484.5612699999</v>
      </c>
      <c r="AL2" s="37">
        <f t="shared" ref="AL2:AL10" ca="1" si="2">IF(AJ2&lt;&gt;0,AK2/AJ2-1,0)</f>
        <v>0.43846668727101856</v>
      </c>
      <c r="AN2" s="35" t="s">
        <v>42</v>
      </c>
      <c r="AO2" s="36">
        <f t="shared" ref="AO2:AO7" si="3">SUMIF($B$2:$B$987,AN2,$AD$2:$AD$987)</f>
        <v>1211383.4273399997</v>
      </c>
      <c r="AP2" s="36">
        <f t="shared" ref="AP2:AP7" ca="1" si="4">SUMIF($B$2:$B$987,AN2,$AG$2:$AG$987)</f>
        <v>1051341.2464800002</v>
      </c>
      <c r="AQ2" s="37">
        <f t="shared" ref="AQ2:AQ10" ca="1" si="5">IF(AO2&lt;&gt;0,AP2/AO2-1,0)</f>
        <v>-0.13211521409982141</v>
      </c>
      <c r="AS2" s="35" t="s">
        <v>42</v>
      </c>
      <c r="AT2" s="36">
        <f t="shared" ref="AT2:AT7" si="6">SUMIF($B$2:$B$987,AS2,$AB$2:$AB$987)+SUMIF($B$2:$B$987,AS2,$AC$2:$AC$987)+SUMIF($B$2:$B$987,AS2,$AD$2:$AD$987)</f>
        <v>2625725.9208249999</v>
      </c>
      <c r="AU2" s="36">
        <f t="shared" ref="AU2:AU7" ca="1" si="7">SUMIF($B$2:$B$987,AS2,$AE$2:$AE$987)+SUMIF($B$2:$B$987,AS2,$AF$2:$AF$987)+SUMIF($B$2:$B$987,AS2,$AG$2:$AG$987)</f>
        <v>3085825.8077500002</v>
      </c>
      <c r="AV2" s="37">
        <f t="shared" ref="AV2:AV10" ca="1" si="8">IF(AT2&lt;&gt;0,AU2/AT2-1,0)</f>
        <v>0.17522768971273184</v>
      </c>
    </row>
    <row r="3" spans="1:53" ht="11.25" customHeight="1" x14ac:dyDescent="0.25">
      <c r="A3" s="4" t="s">
        <v>28</v>
      </c>
      <c r="B3" s="4" t="s">
        <v>42</v>
      </c>
      <c r="C3" s="4" t="s">
        <v>34</v>
      </c>
      <c r="D3" s="4" t="s">
        <v>43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44621</v>
      </c>
      <c r="J3" s="6">
        <v>0</v>
      </c>
      <c r="K3" s="6">
        <v>0</v>
      </c>
      <c r="L3" s="6">
        <v>1E-3</v>
      </c>
      <c r="M3" s="6">
        <v>1E-3</v>
      </c>
      <c r="N3" s="6">
        <v>1E-3</v>
      </c>
      <c r="O3" s="6">
        <v>1E-3</v>
      </c>
      <c r="P3" s="6">
        <v>0</v>
      </c>
      <c r="Q3" s="4" t="s">
        <v>26</v>
      </c>
      <c r="R3" s="4">
        <v>0</v>
      </c>
      <c r="S3" s="6">
        <v>0</v>
      </c>
      <c r="T3" s="6">
        <v>8</v>
      </c>
      <c r="U3" s="6">
        <v>63</v>
      </c>
      <c r="V3" s="6">
        <f>IF(ISERROR(VLOOKUP($S$3,'TAR FIN'!$A$1:$O$103,15,0)),0,VLOOKUP($S$3,'TAR FIN'!$A$1:$O$103,15,0))</f>
        <v>0</v>
      </c>
      <c r="W3" s="6">
        <f>IF(ISERROR(VLOOKUP($T$3,'TAR FIN'!$A$1:$O$103,15,0)),0,VLOOKUP($T$3,'TAR FIN'!$A$1:$O$103,15,0))</f>
        <v>69.37</v>
      </c>
      <c r="X3" s="6">
        <f>IF(ISERROR(VLOOKUP($U$3,'TAR FIN'!$A$1:$O$103,15,0)),0,VLOOKUP($U$3,'TAR FIN'!$A$1:$O$103,15,0))</f>
        <v>284.36</v>
      </c>
      <c r="Y3" s="6"/>
      <c r="Z3" s="6">
        <f ca="1">('TUSD BE'!$AM$12+'TUSD BF_350'!$AM$12+'TUSD CVA'!$AM$12)*1</f>
        <v>110.85</v>
      </c>
      <c r="AA3" s="6">
        <f ca="1">('TE BE'!$AB$6+'TE BF_350'!$AB$6+'TE CVA'!$AB$6)*1</f>
        <v>247.20000000000002</v>
      </c>
      <c r="AB3" s="6">
        <f>$K$3*$V$3</f>
        <v>0</v>
      </c>
      <c r="AC3" s="6">
        <f>$M$3*$W$3</f>
        <v>6.9370000000000001E-2</v>
      </c>
      <c r="AD3" s="6">
        <f>$O$3*$X$3</f>
        <v>0.28436</v>
      </c>
      <c r="AE3" s="6">
        <f>$K$3*$Y$3</f>
        <v>0</v>
      </c>
      <c r="AF3" s="6">
        <f ca="1">$M$3*$Z$3</f>
        <v>0.11084999999999999</v>
      </c>
      <c r="AG3" s="6">
        <f ca="1">$O$3*$AA$3</f>
        <v>0.24720000000000003</v>
      </c>
      <c r="AI3" s="35" t="s">
        <v>33</v>
      </c>
      <c r="AJ3" s="36">
        <f t="shared" si="0"/>
        <v>30770081.458675206</v>
      </c>
      <c r="AK3" s="36">
        <f t="shared" ca="1" si="1"/>
        <v>43834462.159775354</v>
      </c>
      <c r="AL3" s="37">
        <f t="shared" ca="1" si="2"/>
        <v>0.42458063423217962</v>
      </c>
      <c r="AN3" s="35" t="s">
        <v>33</v>
      </c>
      <c r="AO3" s="36">
        <f t="shared" si="3"/>
        <v>16051245.387650797</v>
      </c>
      <c r="AP3" s="36">
        <f t="shared" ca="1" si="4"/>
        <v>13974322.181152802</v>
      </c>
      <c r="AQ3" s="37">
        <f t="shared" ca="1" si="5"/>
        <v>-0.12939327487298269</v>
      </c>
      <c r="AS3" s="35" t="s">
        <v>33</v>
      </c>
      <c r="AT3" s="36">
        <f t="shared" si="6"/>
        <v>46821326.846326001</v>
      </c>
      <c r="AU3" s="36">
        <f t="shared" ca="1" si="7"/>
        <v>57808784.340928152</v>
      </c>
      <c r="AV3" s="37">
        <f t="shared" ca="1" si="8"/>
        <v>0.23466779424394546</v>
      </c>
    </row>
    <row r="4" spans="1:53" ht="11.25" customHeight="1" x14ac:dyDescent="0.25">
      <c r="A4" s="4" t="s">
        <v>28</v>
      </c>
      <c r="B4" s="4" t="s">
        <v>42</v>
      </c>
      <c r="C4" s="4" t="s">
        <v>34</v>
      </c>
      <c r="D4" s="4" t="s">
        <v>43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44652</v>
      </c>
      <c r="J4" s="6">
        <v>0</v>
      </c>
      <c r="K4" s="6">
        <v>0</v>
      </c>
      <c r="L4" s="6">
        <v>2E-3</v>
      </c>
      <c r="M4" s="6">
        <v>2E-3</v>
      </c>
      <c r="N4" s="6">
        <v>2E-3</v>
      </c>
      <c r="O4" s="6">
        <v>2E-3</v>
      </c>
      <c r="P4" s="6">
        <v>0</v>
      </c>
      <c r="Q4" s="4" t="s">
        <v>26</v>
      </c>
      <c r="R4" s="4">
        <v>0</v>
      </c>
      <c r="S4" s="6">
        <v>0</v>
      </c>
      <c r="T4" s="6">
        <v>8</v>
      </c>
      <c r="U4" s="6">
        <v>63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69.37</v>
      </c>
      <c r="X4" s="6">
        <f>IF(ISERROR(VLOOKUP($U$4,'TAR FIN'!$A$1:$O$103,15,0)),0,VLOOKUP($U$4,'TAR FIN'!$A$1:$O$103,15,0))</f>
        <v>284.36</v>
      </c>
      <c r="Y4" s="6"/>
      <c r="Z4" s="6">
        <f ca="1">('TUSD BE'!$AM$12+'TUSD BF_350'!$AM$12+'TUSD CVA'!$AM$12)*1</f>
        <v>110.85</v>
      </c>
      <c r="AA4" s="6">
        <f ca="1">('TE BE'!$AB$6+'TE BF_350'!$AB$6+'TE CVA'!$AB$6)*1</f>
        <v>247.20000000000002</v>
      </c>
      <c r="AB4" s="6">
        <f>$K$4*$V$4</f>
        <v>0</v>
      </c>
      <c r="AC4" s="6">
        <f>$M$4*$W$4</f>
        <v>0.13874</v>
      </c>
      <c r="AD4" s="6">
        <f>$O$4*$X$4</f>
        <v>0.56872</v>
      </c>
      <c r="AE4" s="6">
        <f>$K$4*$Y$4</f>
        <v>0</v>
      </c>
      <c r="AF4" s="6">
        <f ca="1">$M$4*$Z$4</f>
        <v>0.22169999999999998</v>
      </c>
      <c r="AG4" s="6">
        <f ca="1">$O$4*$AA$4</f>
        <v>0.49440000000000006</v>
      </c>
      <c r="AI4" s="35" t="s">
        <v>22</v>
      </c>
      <c r="AJ4" s="36">
        <f t="shared" si="0"/>
        <v>23708467.420930002</v>
      </c>
      <c r="AK4" s="36">
        <f t="shared" ca="1" si="1"/>
        <v>27179077.845929988</v>
      </c>
      <c r="AL4" s="37">
        <f t="shared" ca="1" si="2"/>
        <v>0.14638695801720636</v>
      </c>
      <c r="AN4" s="35" t="s">
        <v>22</v>
      </c>
      <c r="AO4" s="36">
        <f t="shared" si="3"/>
        <v>25764418.66601998</v>
      </c>
      <c r="AP4" s="36">
        <f t="shared" ca="1" si="4"/>
        <v>23092546.086579978</v>
      </c>
      <c r="AQ4" s="37">
        <f t="shared" ca="1" si="5"/>
        <v>-0.1037039730674717</v>
      </c>
      <c r="AS4" s="35" t="s">
        <v>22</v>
      </c>
      <c r="AT4" s="36">
        <f t="shared" si="6"/>
        <v>49472886.086949982</v>
      </c>
      <c r="AU4" s="36">
        <f t="shared" ca="1" si="7"/>
        <v>50271623.932509966</v>
      </c>
      <c r="AV4" s="37">
        <f t="shared" ca="1" si="8"/>
        <v>1.614496158878187E-2</v>
      </c>
    </row>
    <row r="5" spans="1:53" ht="11.25" customHeight="1" x14ac:dyDescent="0.25">
      <c r="A5" s="4" t="s">
        <v>28</v>
      </c>
      <c r="B5" s="4" t="s">
        <v>42</v>
      </c>
      <c r="C5" s="4" t="s">
        <v>34</v>
      </c>
      <c r="D5" s="4" t="s">
        <v>43</v>
      </c>
      <c r="E5" s="4" t="s">
        <v>25</v>
      </c>
      <c r="F5" s="4" t="s">
        <v>25</v>
      </c>
      <c r="G5" s="4" t="s">
        <v>25</v>
      </c>
      <c r="H5" s="4" t="s">
        <v>25</v>
      </c>
      <c r="I5" s="5">
        <v>44531</v>
      </c>
      <c r="J5" s="6">
        <v>636</v>
      </c>
      <c r="K5" s="6">
        <v>636</v>
      </c>
      <c r="L5" s="6">
        <v>0</v>
      </c>
      <c r="M5" s="6">
        <v>0</v>
      </c>
      <c r="N5" s="6">
        <v>0</v>
      </c>
      <c r="O5" s="6">
        <v>0</v>
      </c>
      <c r="P5" s="6">
        <v>6</v>
      </c>
      <c r="Q5" s="4" t="s">
        <v>26</v>
      </c>
      <c r="R5" s="4">
        <v>0</v>
      </c>
      <c r="S5" s="6">
        <v>6</v>
      </c>
      <c r="T5" s="6">
        <v>0</v>
      </c>
      <c r="U5" s="6">
        <v>0</v>
      </c>
      <c r="V5" s="6">
        <f>IF(ISERROR(VLOOKUP($S$5,'TAR FIN'!$A$1:$O$103,15,0)),0,VLOOKUP($S$5,'TAR FIN'!$A$1:$O$103,15,0))</f>
        <v>12.42</v>
      </c>
      <c r="W5" s="6">
        <f>IF(ISERROR(VLOOKUP($T$5,'TAR FIN'!$A$1:$O$103,15,0)),0,VLOOKUP($T$5,'TAR FIN'!$A$1:$O$103,15,0))</f>
        <v>0</v>
      </c>
      <c r="X5" s="6">
        <f>IF(ISERROR(VLOOKUP($U$5,'TAR FIN'!$A$1:$O$103,15,0)),0,VLOOKUP($U$5,'TAR FIN'!$A$1:$O$103,15,0))</f>
        <v>0</v>
      </c>
      <c r="Y5" s="6">
        <f ca="1">('TUSD BE'!$AM$10+'TUSD BF_350'!$AM$10+'TUSD CVA'!$AM$10)*1</f>
        <v>17.579999999999998</v>
      </c>
      <c r="Z5" s="6"/>
      <c r="AA5" s="6"/>
      <c r="AB5" s="6">
        <f>$K$5*$V$5</f>
        <v>7899.12</v>
      </c>
      <c r="AC5" s="6">
        <f>$M$5*$W$5</f>
        <v>0</v>
      </c>
      <c r="AD5" s="6">
        <f>$O$5*$X$5</f>
        <v>0</v>
      </c>
      <c r="AE5" s="6">
        <f ca="1">$K$5*$Y$5</f>
        <v>11180.88</v>
      </c>
      <c r="AF5" s="6">
        <f>$M$5*$Z$5</f>
        <v>0</v>
      </c>
      <c r="AG5" s="6">
        <f>$O$5*$AA$5</f>
        <v>0</v>
      </c>
      <c r="AI5" s="35" t="s">
        <v>44</v>
      </c>
      <c r="AJ5" s="36">
        <f t="shared" si="0"/>
        <v>1506915.95</v>
      </c>
      <c r="AK5" s="36">
        <f t="shared" ca="1" si="1"/>
        <v>1853521.845</v>
      </c>
      <c r="AL5" s="37">
        <f t="shared" ca="1" si="2"/>
        <v>0.23001010441226</v>
      </c>
      <c r="AN5" s="35" t="s">
        <v>44</v>
      </c>
      <c r="AO5" s="36">
        <f t="shared" si="3"/>
        <v>1612930.4562499998</v>
      </c>
      <c r="AP5" s="36">
        <f t="shared" ca="1" si="4"/>
        <v>1544243.7147499998</v>
      </c>
      <c r="AQ5" s="37">
        <f t="shared" ca="1" si="5"/>
        <v>-4.2585060771742178E-2</v>
      </c>
      <c r="AS5" s="35" t="s">
        <v>44</v>
      </c>
      <c r="AT5" s="36">
        <f t="shared" si="6"/>
        <v>3119846.40625</v>
      </c>
      <c r="AU5" s="36">
        <f t="shared" ca="1" si="7"/>
        <v>3397765.55975</v>
      </c>
      <c r="AV5" s="37">
        <f t="shared" ca="1" si="8"/>
        <v>8.9081037112353822E-2</v>
      </c>
    </row>
    <row r="6" spans="1:53" ht="11.25" customHeight="1" x14ac:dyDescent="0.25">
      <c r="A6" s="4" t="s">
        <v>28</v>
      </c>
      <c r="B6" s="4" t="s">
        <v>42</v>
      </c>
      <c r="C6" s="4" t="s">
        <v>34</v>
      </c>
      <c r="D6" s="4" t="s">
        <v>43</v>
      </c>
      <c r="E6" s="4" t="s">
        <v>25</v>
      </c>
      <c r="F6" s="4" t="s">
        <v>25</v>
      </c>
      <c r="G6" s="4" t="s">
        <v>25</v>
      </c>
      <c r="H6" s="4" t="s">
        <v>25</v>
      </c>
      <c r="I6" s="5">
        <v>44562</v>
      </c>
      <c r="J6" s="6">
        <v>639</v>
      </c>
      <c r="K6" s="6">
        <v>639</v>
      </c>
      <c r="L6" s="6">
        <v>0</v>
      </c>
      <c r="M6" s="6">
        <v>0</v>
      </c>
      <c r="N6" s="6">
        <v>0</v>
      </c>
      <c r="O6" s="6">
        <v>0</v>
      </c>
      <c r="P6" s="6">
        <v>6</v>
      </c>
      <c r="Q6" s="4" t="s">
        <v>26</v>
      </c>
      <c r="R6" s="4">
        <v>0</v>
      </c>
      <c r="S6" s="6">
        <v>6</v>
      </c>
      <c r="T6" s="6">
        <v>0</v>
      </c>
      <c r="U6" s="6">
        <v>0</v>
      </c>
      <c r="V6" s="6">
        <f>IF(ISERROR(VLOOKUP($S$6,'TAR FIN'!$A$1:$O$103,15,0)),0,VLOOKUP($S$6,'TAR FIN'!$A$1:$O$103,15,0))</f>
        <v>12.42</v>
      </c>
      <c r="W6" s="6">
        <f>IF(ISERROR(VLOOKUP($T$6,'TAR FIN'!$A$1:$O$103,15,0)),0,VLOOKUP($T$6,'TAR FIN'!$A$1:$O$103,15,0))</f>
        <v>0</v>
      </c>
      <c r="X6" s="6">
        <f>IF(ISERROR(VLOOKUP($U$6,'TAR FIN'!$A$1:$O$103,15,0)),0,VLOOKUP($U$6,'TAR FIN'!$A$1:$O$103,15,0))</f>
        <v>0</v>
      </c>
      <c r="Y6" s="6">
        <f ca="1">('TUSD BE'!$AM$10+'TUSD BF_350'!$AM$10+'TUSD CVA'!$AM$10)*1</f>
        <v>17.579999999999998</v>
      </c>
      <c r="Z6" s="6"/>
      <c r="AA6" s="6"/>
      <c r="AB6" s="6">
        <f>$K$6*$V$6</f>
        <v>7936.38</v>
      </c>
      <c r="AC6" s="6">
        <f>$M$6*$W$6</f>
        <v>0</v>
      </c>
      <c r="AD6" s="6">
        <f>$O$6*$X$6</f>
        <v>0</v>
      </c>
      <c r="AE6" s="6">
        <f ca="1">$K$6*$Y$6</f>
        <v>11233.619999999999</v>
      </c>
      <c r="AF6" s="6">
        <f>$M$6*$Z$6</f>
        <v>0</v>
      </c>
      <c r="AG6" s="6">
        <f>$O$6*$AA$6</f>
        <v>0</v>
      </c>
      <c r="AI6" s="35" t="s">
        <v>39</v>
      </c>
      <c r="AJ6" s="36">
        <f t="shared" si="0"/>
        <v>7848772.5954192039</v>
      </c>
      <c r="AK6" s="36">
        <f t="shared" ca="1" si="1"/>
        <v>9044344.9342580102</v>
      </c>
      <c r="AL6" s="37">
        <f t="shared" ca="1" si="2"/>
        <v>0.15232602605107726</v>
      </c>
      <c r="AN6" s="35" t="s">
        <v>39</v>
      </c>
      <c r="AO6" s="36">
        <f t="shared" si="3"/>
        <v>8404959.8976879958</v>
      </c>
      <c r="AP6" s="36">
        <f t="shared" ca="1" si="4"/>
        <v>7538447.3802964017</v>
      </c>
      <c r="AQ6" s="37">
        <f t="shared" ca="1" si="5"/>
        <v>-0.10309537796009605</v>
      </c>
      <c r="AS6" s="35" t="s">
        <v>39</v>
      </c>
      <c r="AT6" s="36">
        <f t="shared" si="6"/>
        <v>16253732.4931072</v>
      </c>
      <c r="AU6" s="36">
        <f t="shared" ca="1" si="7"/>
        <v>16582792.314554412</v>
      </c>
      <c r="AV6" s="37">
        <f t="shared" ca="1" si="8"/>
        <v>2.0245185011304789E-2</v>
      </c>
    </row>
    <row r="7" spans="1:53" ht="11.25" customHeight="1" x14ac:dyDescent="0.25">
      <c r="A7" s="4" t="s">
        <v>28</v>
      </c>
      <c r="B7" s="4" t="s">
        <v>42</v>
      </c>
      <c r="C7" s="4" t="s">
        <v>34</v>
      </c>
      <c r="D7" s="4" t="s">
        <v>43</v>
      </c>
      <c r="E7" s="4" t="s">
        <v>25</v>
      </c>
      <c r="F7" s="4" t="s">
        <v>25</v>
      </c>
      <c r="G7" s="4" t="s">
        <v>25</v>
      </c>
      <c r="H7" s="4" t="s">
        <v>25</v>
      </c>
      <c r="I7" s="5">
        <v>44593</v>
      </c>
      <c r="J7" s="6">
        <v>632</v>
      </c>
      <c r="K7" s="6">
        <v>632</v>
      </c>
      <c r="L7" s="6">
        <v>0</v>
      </c>
      <c r="M7" s="6">
        <v>0</v>
      </c>
      <c r="N7" s="6">
        <v>0</v>
      </c>
      <c r="O7" s="6">
        <v>0</v>
      </c>
      <c r="P7" s="6">
        <v>6</v>
      </c>
      <c r="Q7" s="4" t="s">
        <v>26</v>
      </c>
      <c r="R7" s="4">
        <v>0</v>
      </c>
      <c r="S7" s="6">
        <v>6</v>
      </c>
      <c r="T7" s="6">
        <v>0</v>
      </c>
      <c r="U7" s="6">
        <v>0</v>
      </c>
      <c r="V7" s="6">
        <f>IF(ISERROR(VLOOKUP($S$7,'TAR FIN'!$A$1:$O$103,15,0)),0,VLOOKUP($S$7,'TAR FIN'!$A$1:$O$103,15,0))</f>
        <v>12.42</v>
      </c>
      <c r="W7" s="6">
        <f>IF(ISERROR(VLOOKUP($T$7,'TAR FIN'!$A$1:$O$103,15,0)),0,VLOOKUP($T$7,'TAR FIN'!$A$1:$O$103,15,0))</f>
        <v>0</v>
      </c>
      <c r="X7" s="6">
        <f>IF(ISERROR(VLOOKUP($U$7,'TAR FIN'!$A$1:$O$103,15,0)),0,VLOOKUP($U$7,'TAR FIN'!$A$1:$O$103,15,0))</f>
        <v>0</v>
      </c>
      <c r="Y7" s="6">
        <f ca="1">('TUSD BE'!$AM$10+'TUSD BF_350'!$AM$10+'TUSD CVA'!$AM$10)*1</f>
        <v>17.579999999999998</v>
      </c>
      <c r="Z7" s="6"/>
      <c r="AA7" s="6"/>
      <c r="AB7" s="6">
        <f>$K$7*$V$7</f>
        <v>7849.44</v>
      </c>
      <c r="AC7" s="6">
        <f>$M$7*$W$7</f>
        <v>0</v>
      </c>
      <c r="AD7" s="6">
        <f>$O$7*$X$7</f>
        <v>0</v>
      </c>
      <c r="AE7" s="6">
        <f ca="1">$K$7*$Y$7</f>
        <v>11110.56</v>
      </c>
      <c r="AF7" s="6">
        <f>$M$7*$Z$7</f>
        <v>0</v>
      </c>
      <c r="AG7" s="6">
        <f>$O$7*$AA$7</f>
        <v>0</v>
      </c>
      <c r="AI7" s="35" t="s">
        <v>47</v>
      </c>
      <c r="AJ7" s="36">
        <f t="shared" si="0"/>
        <v>1811165.1156999997</v>
      </c>
      <c r="AK7" s="36">
        <f t="shared" ca="1" si="1"/>
        <v>2085554.4956399999</v>
      </c>
      <c r="AL7" s="37">
        <f t="shared" ca="1" si="2"/>
        <v>0.15149882115190305</v>
      </c>
      <c r="AN7" s="35" t="s">
        <v>47</v>
      </c>
      <c r="AO7" s="36">
        <f t="shared" si="3"/>
        <v>1938660.4034000002</v>
      </c>
      <c r="AP7" s="36">
        <f t="shared" ca="1" si="4"/>
        <v>1737596.06452</v>
      </c>
      <c r="AQ7" s="37">
        <f t="shared" ca="1" si="5"/>
        <v>-0.10371302706104479</v>
      </c>
      <c r="AS7" s="35" t="s">
        <v>47</v>
      </c>
      <c r="AT7" s="36">
        <f t="shared" si="6"/>
        <v>3749825.5191000002</v>
      </c>
      <c r="AU7" s="36">
        <f t="shared" ca="1" si="7"/>
        <v>3823150.5601599999</v>
      </c>
      <c r="AV7" s="37">
        <f t="shared" ca="1" si="8"/>
        <v>1.9554254107694735E-2</v>
      </c>
    </row>
    <row r="8" spans="1:53" ht="11.25" customHeight="1" x14ac:dyDescent="0.25">
      <c r="A8" s="4" t="s">
        <v>28</v>
      </c>
      <c r="B8" s="4" t="s">
        <v>42</v>
      </c>
      <c r="C8" s="4" t="s">
        <v>34</v>
      </c>
      <c r="D8" s="4" t="s">
        <v>43</v>
      </c>
      <c r="E8" s="4" t="s">
        <v>25</v>
      </c>
      <c r="F8" s="4" t="s">
        <v>25</v>
      </c>
      <c r="G8" s="4" t="s">
        <v>25</v>
      </c>
      <c r="H8" s="4" t="s">
        <v>25</v>
      </c>
      <c r="I8" s="5">
        <v>44621</v>
      </c>
      <c r="J8" s="6">
        <v>633</v>
      </c>
      <c r="K8" s="6">
        <v>633</v>
      </c>
      <c r="L8" s="6">
        <v>0</v>
      </c>
      <c r="M8" s="6">
        <v>0</v>
      </c>
      <c r="N8" s="6">
        <v>0</v>
      </c>
      <c r="O8" s="6">
        <v>0</v>
      </c>
      <c r="P8" s="6">
        <v>6</v>
      </c>
      <c r="Q8" s="4" t="s">
        <v>26</v>
      </c>
      <c r="R8" s="4">
        <v>0</v>
      </c>
      <c r="S8" s="6">
        <v>6</v>
      </c>
      <c r="T8" s="6">
        <v>0</v>
      </c>
      <c r="U8" s="6">
        <v>0</v>
      </c>
      <c r="V8" s="6">
        <f>IF(ISERROR(VLOOKUP($S$8,'TAR FIN'!$A$1:$O$103,15,0)),0,VLOOKUP($S$8,'TAR FIN'!$A$1:$O$103,15,0))</f>
        <v>12.42</v>
      </c>
      <c r="W8" s="6">
        <f>IF(ISERROR(VLOOKUP($T$8,'TAR FIN'!$A$1:$O$103,15,0)),0,VLOOKUP($T$8,'TAR FIN'!$A$1:$O$103,15,0))</f>
        <v>0</v>
      </c>
      <c r="X8" s="6">
        <f>IF(ISERROR(VLOOKUP($U$8,'TAR FIN'!$A$1:$O$103,15,0)),0,VLOOKUP($U$8,'TAR FIN'!$A$1:$O$103,15,0))</f>
        <v>0</v>
      </c>
      <c r="Y8" s="6">
        <f ca="1">('TUSD BE'!$AM$10+'TUSD BF_350'!$AM$10+'TUSD CVA'!$AM$10)*1</f>
        <v>17.579999999999998</v>
      </c>
      <c r="Z8" s="6"/>
      <c r="AA8" s="6"/>
      <c r="AB8" s="6">
        <f>$K$8*$V$8</f>
        <v>7861.86</v>
      </c>
      <c r="AC8" s="6">
        <f>$M$8*$W$8</f>
        <v>0</v>
      </c>
      <c r="AD8" s="6">
        <f>$O$8*$X$8</f>
        <v>0</v>
      </c>
      <c r="AE8" s="6">
        <f ca="1">$K$8*$Y$8</f>
        <v>11128.14</v>
      </c>
      <c r="AF8" s="6">
        <f>$M$8*$Z$8</f>
        <v>0</v>
      </c>
      <c r="AG8" s="6">
        <f>$O$8*$AA$8</f>
        <v>0</v>
      </c>
      <c r="AI8" s="35" t="s">
        <v>760</v>
      </c>
      <c r="AJ8" s="36">
        <f>+$AJ$2+$AJ$3</f>
        <v>32184423.952160206</v>
      </c>
      <c r="AK8" s="36">
        <f ca="1">+$AK$2+$AK$3</f>
        <v>45868946.721045353</v>
      </c>
      <c r="AL8" s="37">
        <f t="shared" ca="1" si="2"/>
        <v>0.42519085596269135</v>
      </c>
      <c r="AN8" s="35" t="s">
        <v>760</v>
      </c>
      <c r="AO8" s="36">
        <f>+$AO$2+$AO$3</f>
        <v>17262628.814990796</v>
      </c>
      <c r="AP8" s="36">
        <f ca="1">+$AP$2+$AP$3</f>
        <v>15025663.427632801</v>
      </c>
      <c r="AQ8" s="37">
        <f t="shared" ca="1" si="5"/>
        <v>-0.12958428356030127</v>
      </c>
      <c r="AS8" s="35" t="s">
        <v>760</v>
      </c>
      <c r="AT8" s="36">
        <f>+$AT$2+$AT$3</f>
        <v>49447052.767150998</v>
      </c>
      <c r="AU8" s="36">
        <f ca="1">+$AU$2+$AU$3</f>
        <v>60894610.148678154</v>
      </c>
      <c r="AV8" s="37">
        <f t="shared" ca="1" si="8"/>
        <v>0.23151141960744059</v>
      </c>
      <c r="AX8" s="4" t="str">
        <f>AS8</f>
        <v>A</v>
      </c>
      <c r="AY8" s="113">
        <f ca="1">AV8</f>
        <v>0.23151141960744059</v>
      </c>
      <c r="BA8" s="127">
        <v>0.2455271534137895</v>
      </c>
    </row>
    <row r="9" spans="1:53" ht="11.25" customHeight="1" x14ac:dyDescent="0.25">
      <c r="A9" s="4" t="s">
        <v>28</v>
      </c>
      <c r="B9" s="4" t="s">
        <v>42</v>
      </c>
      <c r="C9" s="4" t="s">
        <v>34</v>
      </c>
      <c r="D9" s="4" t="s">
        <v>43</v>
      </c>
      <c r="E9" s="4" t="s">
        <v>25</v>
      </c>
      <c r="F9" s="4" t="s">
        <v>25</v>
      </c>
      <c r="G9" s="4" t="s">
        <v>25</v>
      </c>
      <c r="H9" s="4" t="s">
        <v>25</v>
      </c>
      <c r="I9" s="5">
        <v>44652</v>
      </c>
      <c r="J9" s="6">
        <v>631</v>
      </c>
      <c r="K9" s="6">
        <v>631</v>
      </c>
      <c r="L9" s="6">
        <v>0</v>
      </c>
      <c r="M9" s="6">
        <v>0</v>
      </c>
      <c r="N9" s="6">
        <v>0</v>
      </c>
      <c r="O9" s="6">
        <v>0</v>
      </c>
      <c r="P9" s="6">
        <v>6</v>
      </c>
      <c r="Q9" s="4" t="s">
        <v>26</v>
      </c>
      <c r="R9" s="4">
        <v>0</v>
      </c>
      <c r="S9" s="6">
        <v>6</v>
      </c>
      <c r="T9" s="6">
        <v>0</v>
      </c>
      <c r="U9" s="6">
        <v>0</v>
      </c>
      <c r="V9" s="6">
        <f>IF(ISERROR(VLOOKUP($S$9,'TAR FIN'!$A$1:$O$103,15,0)),0,VLOOKUP($S$9,'TAR FIN'!$A$1:$O$103,15,0))</f>
        <v>12.42</v>
      </c>
      <c r="W9" s="6">
        <f>IF(ISERROR(VLOOKUP($T$9,'TAR FIN'!$A$1:$O$103,15,0)),0,VLOOKUP($T$9,'TAR FIN'!$A$1:$O$103,15,0))</f>
        <v>0</v>
      </c>
      <c r="X9" s="6">
        <f>IF(ISERROR(VLOOKUP($U$9,'TAR FIN'!$A$1:$O$103,15,0)),0,VLOOKUP($U$9,'TAR FIN'!$A$1:$O$103,15,0))</f>
        <v>0</v>
      </c>
      <c r="Y9" s="6">
        <f ca="1">('TUSD BE'!$AM$10+'TUSD BF_350'!$AM$10+'TUSD CVA'!$AM$10)*1</f>
        <v>17.579999999999998</v>
      </c>
      <c r="Z9" s="6"/>
      <c r="AA9" s="6"/>
      <c r="AB9" s="6">
        <f>$K$9*$V$9</f>
        <v>7837.0199999999995</v>
      </c>
      <c r="AC9" s="6">
        <f>$M$9*$W$9</f>
        <v>0</v>
      </c>
      <c r="AD9" s="6">
        <f>$O$9*$X$9</f>
        <v>0</v>
      </c>
      <c r="AE9" s="6">
        <f ca="1">$K$9*$Y$9</f>
        <v>11092.98</v>
      </c>
      <c r="AF9" s="6">
        <f>$M$9*$Z$9</f>
        <v>0</v>
      </c>
      <c r="AG9" s="6">
        <f>$O$9*$AA$9</f>
        <v>0</v>
      </c>
      <c r="AI9" s="35" t="s">
        <v>81</v>
      </c>
      <c r="AJ9" s="36">
        <f>+$AJ$4+$AJ$5+$AJ$6+$AJ$7</f>
        <v>34875321.082049206</v>
      </c>
      <c r="AK9" s="36">
        <f ca="1">+$AK$4+$AK$5+$AK$6+$AK$7</f>
        <v>40162499.120827995</v>
      </c>
      <c r="AL9" s="37">
        <f t="shared" ca="1" si="2"/>
        <v>0.15160227561317474</v>
      </c>
      <c r="AN9" s="35" t="s">
        <v>81</v>
      </c>
      <c r="AO9" s="36">
        <f>+$AO$4+$AO$5+$AO$6+$AO$7</f>
        <v>37720969.423357978</v>
      </c>
      <c r="AP9" s="36">
        <f ca="1">+$AP$4+$AP$5+$AP$6+$AP$7</f>
        <v>33912833.246146381</v>
      </c>
      <c r="AQ9" s="37">
        <f t="shared" ca="1" si="5"/>
        <v>-0.10095541645473949</v>
      </c>
      <c r="AS9" s="35" t="s">
        <v>81</v>
      </c>
      <c r="AT9" s="36">
        <f>+$AT$4+$AT$5+$AT$6+$AT$7</f>
        <v>72596290.505407169</v>
      </c>
      <c r="AU9" s="36">
        <f ca="1">+$AU$4+$AU$5+$AU$6+$AU$7</f>
        <v>74075332.366974369</v>
      </c>
      <c r="AV9" s="37">
        <f t="shared" ca="1" si="8"/>
        <v>2.0373518416302971E-2</v>
      </c>
      <c r="AX9" s="4" t="str">
        <f t="shared" ref="AX9:AX10" si="9">AS9</f>
        <v>B</v>
      </c>
      <c r="AY9" s="113">
        <f t="shared" ref="AY9:AY10" ca="1" si="10">AV9</f>
        <v>2.0373518416302971E-2</v>
      </c>
      <c r="BA9" s="127">
        <v>2.0373518416302971E-2</v>
      </c>
    </row>
    <row r="10" spans="1:53" ht="11.25" customHeight="1" x14ac:dyDescent="0.25">
      <c r="A10" s="4" t="s">
        <v>28</v>
      </c>
      <c r="B10" s="4" t="s">
        <v>42</v>
      </c>
      <c r="C10" s="4" t="s">
        <v>34</v>
      </c>
      <c r="D10" s="4" t="s">
        <v>43</v>
      </c>
      <c r="E10" s="4" t="s">
        <v>25</v>
      </c>
      <c r="F10" s="4" t="s">
        <v>25</v>
      </c>
      <c r="G10" s="4" t="s">
        <v>25</v>
      </c>
      <c r="H10" s="4" t="s">
        <v>25</v>
      </c>
      <c r="I10" s="5">
        <v>44682</v>
      </c>
      <c r="J10" s="6">
        <v>648</v>
      </c>
      <c r="K10" s="6">
        <v>648</v>
      </c>
      <c r="L10" s="6">
        <v>0</v>
      </c>
      <c r="M10" s="6">
        <v>0</v>
      </c>
      <c r="N10" s="6">
        <v>0</v>
      </c>
      <c r="O10" s="6">
        <v>0</v>
      </c>
      <c r="P10" s="6">
        <v>6</v>
      </c>
      <c r="Q10" s="4" t="s">
        <v>26</v>
      </c>
      <c r="R10" s="4">
        <v>0</v>
      </c>
      <c r="S10" s="6">
        <v>6</v>
      </c>
      <c r="T10" s="6">
        <v>0</v>
      </c>
      <c r="U10" s="6">
        <v>0</v>
      </c>
      <c r="V10" s="6">
        <f>IF(ISERROR(VLOOKUP($S$10,'TAR FIN'!$A$1:$O$103,15,0)),0,VLOOKUP($S$10,'TAR FIN'!$A$1:$O$103,15,0))</f>
        <v>12.42</v>
      </c>
      <c r="W10" s="6">
        <f>IF(ISERROR(VLOOKUP($T$10,'TAR FIN'!$A$1:$O$103,15,0)),0,VLOOKUP($T$10,'TAR FIN'!$A$1:$O$103,15,0))</f>
        <v>0</v>
      </c>
      <c r="X10" s="6">
        <f>IF(ISERROR(VLOOKUP($U$10,'TAR FIN'!$A$1:$O$103,15,0)),0,VLOOKUP($U$10,'TAR FIN'!$A$1:$O$103,15,0))</f>
        <v>0</v>
      </c>
      <c r="Y10" s="6">
        <f ca="1">('TUSD BE'!$AM$10+'TUSD BF_350'!$AM$10+'TUSD CVA'!$AM$10)*1</f>
        <v>17.579999999999998</v>
      </c>
      <c r="Z10" s="6"/>
      <c r="AA10" s="6"/>
      <c r="AB10" s="6">
        <f>$K$10*$V$10</f>
        <v>8048.16</v>
      </c>
      <c r="AC10" s="6">
        <f>$M$10*$W$10</f>
        <v>0</v>
      </c>
      <c r="AD10" s="6">
        <f>$O$10*$X$10</f>
        <v>0</v>
      </c>
      <c r="AE10" s="6">
        <f ca="1">$K$10*$Y$10</f>
        <v>11391.839999999998</v>
      </c>
      <c r="AF10" s="6">
        <f>$M$10*$Z$10</f>
        <v>0</v>
      </c>
      <c r="AG10" s="6">
        <f>$O$10*$AA$10</f>
        <v>0</v>
      </c>
      <c r="AI10" s="35" t="s">
        <v>761</v>
      </c>
      <c r="AJ10" s="36">
        <f>AJ9+AJ8</f>
        <v>67059745.034209415</v>
      </c>
      <c r="AK10" s="36">
        <f ca="1">AK9+AK8</f>
        <v>86031445.841873348</v>
      </c>
      <c r="AL10" s="37">
        <f t="shared" ca="1" si="2"/>
        <v>0.28290744019360403</v>
      </c>
      <c r="AN10" s="35" t="s">
        <v>761</v>
      </c>
      <c r="AO10" s="36">
        <f>AO9+AO8</f>
        <v>54983598.238348775</v>
      </c>
      <c r="AP10" s="36">
        <f ca="1">AP9+AP8</f>
        <v>48938496.673779182</v>
      </c>
      <c r="AQ10" s="37">
        <f t="shared" ca="1" si="5"/>
        <v>-0.109943724278732</v>
      </c>
      <c r="AS10" s="35" t="s">
        <v>761</v>
      </c>
      <c r="AT10" s="36">
        <f>AT9+AT8</f>
        <v>122043343.27255817</v>
      </c>
      <c r="AU10" s="36">
        <f ca="1">AU9+AU8</f>
        <v>134969942.51565254</v>
      </c>
      <c r="AV10" s="37">
        <f t="shared" ca="1" si="8"/>
        <v>0.10591810168806615</v>
      </c>
      <c r="AX10" s="4" t="str">
        <f t="shared" si="9"/>
        <v>A+B</v>
      </c>
      <c r="AY10" s="113">
        <f t="shared" ca="1" si="10"/>
        <v>0.10591810168806615</v>
      </c>
      <c r="BA10" s="127">
        <v>0.1109833003845373</v>
      </c>
    </row>
    <row r="11" spans="1:53" ht="11.25" customHeight="1" x14ac:dyDescent="0.25">
      <c r="A11" s="4" t="s">
        <v>28</v>
      </c>
      <c r="B11" s="4" t="s">
        <v>42</v>
      </c>
      <c r="C11" s="4" t="s">
        <v>34</v>
      </c>
      <c r="D11" s="4" t="s">
        <v>43</v>
      </c>
      <c r="E11" s="4" t="s">
        <v>25</v>
      </c>
      <c r="F11" s="4" t="s">
        <v>25</v>
      </c>
      <c r="G11" s="4" t="s">
        <v>25</v>
      </c>
      <c r="H11" s="4" t="s">
        <v>37</v>
      </c>
      <c r="I11" s="5">
        <v>44562</v>
      </c>
      <c r="J11" s="6">
        <v>0</v>
      </c>
      <c r="K11" s="6">
        <v>0</v>
      </c>
      <c r="L11" s="6">
        <v>3.0000000000000001E-3</v>
      </c>
      <c r="M11" s="6">
        <v>3.0000000000000001E-3</v>
      </c>
      <c r="N11" s="6">
        <v>3.0000000000000001E-3</v>
      </c>
      <c r="O11" s="6">
        <v>3.0000000000000001E-3</v>
      </c>
      <c r="P11" s="6">
        <v>0</v>
      </c>
      <c r="Q11" s="4" t="s">
        <v>26</v>
      </c>
      <c r="R11" s="4">
        <v>0</v>
      </c>
      <c r="S11" s="6">
        <v>0</v>
      </c>
      <c r="T11" s="6">
        <v>7</v>
      </c>
      <c r="U11" s="6">
        <v>62</v>
      </c>
      <c r="V11" s="6">
        <f>IF(ISERROR(VLOOKUP($S$11,'TAR FIN'!$A$1:$O$103,15,0)),0,VLOOKUP($S$11,'TAR FIN'!$A$1:$O$103,15,0))</f>
        <v>0</v>
      </c>
      <c r="W11" s="6">
        <f>IF(ISERROR(VLOOKUP($T$11,'TAR FIN'!$A$1:$O$103,15,0)),0,VLOOKUP($T$11,'TAR FIN'!$A$1:$O$103,15,0))</f>
        <v>842.31</v>
      </c>
      <c r="X11" s="6">
        <f>IF(ISERROR(VLOOKUP($U$11,'TAR FIN'!$A$1:$O$103,15,0)),0,VLOOKUP($U$11,'TAR FIN'!$A$1:$O$103,15,0))</f>
        <v>454.9</v>
      </c>
      <c r="Y11" s="6"/>
      <c r="Z11" s="6">
        <f ca="1">('TUSD BE'!$AM$11+'TUSD BF_350'!$AM$11+'TUSD CVA'!$AM$11)*1</f>
        <v>1027.46</v>
      </c>
      <c r="AA11" s="6">
        <f ca="1">('TE BE'!$AB$5+'TE BF_350'!$AB$5+'TE CVA'!$AB$5)*1</f>
        <v>388.08000000000004</v>
      </c>
      <c r="AB11" s="6">
        <f>$K$11*$V$11</f>
        <v>0</v>
      </c>
      <c r="AC11" s="6">
        <f>$M$11*$W$11</f>
        <v>2.5269299999999997</v>
      </c>
      <c r="AD11" s="6">
        <f>$O$11*$X$11</f>
        <v>1.3647</v>
      </c>
      <c r="AE11" s="6">
        <f>$K$11*$Y$11</f>
        <v>0</v>
      </c>
      <c r="AF11" s="6">
        <f ca="1">$M$11*$Z$11</f>
        <v>3.0823800000000001</v>
      </c>
      <c r="AG11" s="6">
        <f ca="1">$O$11*$AA$11</f>
        <v>1.1642400000000002</v>
      </c>
      <c r="AU11" s="65"/>
    </row>
    <row r="12" spans="1:53" ht="11.25" customHeight="1" x14ac:dyDescent="0.25">
      <c r="A12" s="4" t="s">
        <v>28</v>
      </c>
      <c r="B12" s="4" t="s">
        <v>42</v>
      </c>
      <c r="C12" s="4" t="s">
        <v>34</v>
      </c>
      <c r="D12" s="4" t="s">
        <v>43</v>
      </c>
      <c r="E12" s="4" t="s">
        <v>25</v>
      </c>
      <c r="F12" s="4" t="s">
        <v>25</v>
      </c>
      <c r="G12" s="4" t="s">
        <v>25</v>
      </c>
      <c r="H12" s="4" t="s">
        <v>37</v>
      </c>
      <c r="I12" s="5">
        <v>44593</v>
      </c>
      <c r="J12" s="6">
        <v>0</v>
      </c>
      <c r="K12" s="6">
        <v>0</v>
      </c>
      <c r="L12" s="6">
        <v>2E-3</v>
      </c>
      <c r="M12" s="6">
        <v>2E-3</v>
      </c>
      <c r="N12" s="6">
        <v>2E-3</v>
      </c>
      <c r="O12" s="6">
        <v>2E-3</v>
      </c>
      <c r="P12" s="6">
        <v>0</v>
      </c>
      <c r="Q12" s="4" t="s">
        <v>26</v>
      </c>
      <c r="R12" s="4">
        <v>0</v>
      </c>
      <c r="S12" s="6">
        <v>0</v>
      </c>
      <c r="T12" s="6">
        <v>7</v>
      </c>
      <c r="U12" s="6">
        <v>62</v>
      </c>
      <c r="V12" s="6">
        <f>IF(ISERROR(VLOOKUP($S$12,'TAR FIN'!$A$1:$O$103,15,0)),0,VLOOKUP($S$12,'TAR FIN'!$A$1:$O$103,15,0))</f>
        <v>0</v>
      </c>
      <c r="W12" s="6">
        <f>IF(ISERROR(VLOOKUP($T$12,'TAR FIN'!$A$1:$O$103,15,0)),0,VLOOKUP($T$12,'TAR FIN'!$A$1:$O$103,15,0))</f>
        <v>842.31</v>
      </c>
      <c r="X12" s="6">
        <f>IF(ISERROR(VLOOKUP($U$12,'TAR FIN'!$A$1:$O$103,15,0)),0,VLOOKUP($U$12,'TAR FIN'!$A$1:$O$103,15,0))</f>
        <v>454.9</v>
      </c>
      <c r="Y12" s="6"/>
      <c r="Z12" s="6">
        <f ca="1">('TUSD BE'!$AM$11+'TUSD BF_350'!$AM$11+'TUSD CVA'!$AM$11)*1</f>
        <v>1027.46</v>
      </c>
      <c r="AA12" s="6">
        <f ca="1">('TE BE'!$AB$5+'TE BF_350'!$AB$5+'TE CVA'!$AB$5)*1</f>
        <v>388.08000000000004</v>
      </c>
      <c r="AB12" s="6">
        <f>$K$12*$V$12</f>
        <v>0</v>
      </c>
      <c r="AC12" s="6">
        <f>$M$12*$W$12</f>
        <v>1.68462</v>
      </c>
      <c r="AD12" s="6">
        <f>$O$12*$X$12</f>
        <v>0.90979999999999994</v>
      </c>
      <c r="AE12" s="6">
        <f>$K$12*$Y$12</f>
        <v>0</v>
      </c>
      <c r="AF12" s="6">
        <f ca="1">$M$12*$Z$12</f>
        <v>2.0549200000000001</v>
      </c>
      <c r="AG12" s="6">
        <f ca="1">$O$12*$AA$12</f>
        <v>0.77616000000000007</v>
      </c>
      <c r="AU12" s="65"/>
    </row>
    <row r="13" spans="1:53" ht="11.25" customHeight="1" x14ac:dyDescent="0.25">
      <c r="A13" s="4" t="s">
        <v>28</v>
      </c>
      <c r="B13" s="4" t="s">
        <v>42</v>
      </c>
      <c r="C13" s="4" t="s">
        <v>34</v>
      </c>
      <c r="D13" s="4" t="s">
        <v>43</v>
      </c>
      <c r="E13" s="4" t="s">
        <v>25</v>
      </c>
      <c r="F13" s="4" t="s">
        <v>25</v>
      </c>
      <c r="G13" s="4" t="s">
        <v>25</v>
      </c>
      <c r="H13" s="4" t="s">
        <v>37</v>
      </c>
      <c r="I13" s="5">
        <v>44621</v>
      </c>
      <c r="J13" s="6">
        <v>0</v>
      </c>
      <c r="K13" s="6">
        <v>0</v>
      </c>
      <c r="L13" s="6">
        <v>1E-3</v>
      </c>
      <c r="M13" s="6">
        <v>1E-3</v>
      </c>
      <c r="N13" s="6">
        <v>1E-3</v>
      </c>
      <c r="O13" s="6">
        <v>1E-3</v>
      </c>
      <c r="P13" s="6">
        <v>0</v>
      </c>
      <c r="Q13" s="4" t="s">
        <v>26</v>
      </c>
      <c r="R13" s="4">
        <v>0</v>
      </c>
      <c r="S13" s="6">
        <v>0</v>
      </c>
      <c r="T13" s="6">
        <v>7</v>
      </c>
      <c r="U13" s="6">
        <v>62</v>
      </c>
      <c r="V13" s="6">
        <f>IF(ISERROR(VLOOKUP($S$13,'TAR FIN'!$A$1:$O$103,15,0)),0,VLOOKUP($S$13,'TAR FIN'!$A$1:$O$103,15,0))</f>
        <v>0</v>
      </c>
      <c r="W13" s="6">
        <f>IF(ISERROR(VLOOKUP($T$13,'TAR FIN'!$A$1:$O$103,15,0)),0,VLOOKUP($T$13,'TAR FIN'!$A$1:$O$103,15,0))</f>
        <v>842.31</v>
      </c>
      <c r="X13" s="6">
        <f>IF(ISERROR(VLOOKUP($U$13,'TAR FIN'!$A$1:$O$103,15,0)),0,VLOOKUP($U$13,'TAR FIN'!$A$1:$O$103,15,0))</f>
        <v>454.9</v>
      </c>
      <c r="Y13" s="6"/>
      <c r="Z13" s="6">
        <f ca="1">('TUSD BE'!$AM$11+'TUSD BF_350'!$AM$11+'TUSD CVA'!$AM$11)*1</f>
        <v>1027.46</v>
      </c>
      <c r="AA13" s="6">
        <f ca="1">('TE BE'!$AB$5+'TE BF_350'!$AB$5+'TE CVA'!$AB$5)*1</f>
        <v>388.08000000000004</v>
      </c>
      <c r="AB13" s="6">
        <f>$K$13*$V$13</f>
        <v>0</v>
      </c>
      <c r="AC13" s="6">
        <f>$M$13*$W$13</f>
        <v>0.84231</v>
      </c>
      <c r="AD13" s="6">
        <f>$O$13*$X$13</f>
        <v>0.45489999999999997</v>
      </c>
      <c r="AE13" s="6">
        <f>$K$13*$Y$13</f>
        <v>0</v>
      </c>
      <c r="AF13" s="6">
        <f ca="1">$M$13*$Z$13</f>
        <v>1.02746</v>
      </c>
      <c r="AG13" s="6">
        <f ca="1">$O$13*$AA$13</f>
        <v>0.38808000000000004</v>
      </c>
      <c r="AI13" s="4" t="s">
        <v>1347</v>
      </c>
    </row>
    <row r="14" spans="1:53" ht="11.25" customHeight="1" x14ac:dyDescent="0.25">
      <c r="A14" s="4" t="s">
        <v>28</v>
      </c>
      <c r="B14" s="4" t="s">
        <v>42</v>
      </c>
      <c r="C14" s="4" t="s">
        <v>34</v>
      </c>
      <c r="D14" s="4" t="s">
        <v>43</v>
      </c>
      <c r="E14" s="4" t="s">
        <v>25</v>
      </c>
      <c r="F14" s="4" t="s">
        <v>25</v>
      </c>
      <c r="G14" s="4" t="s">
        <v>25</v>
      </c>
      <c r="H14" s="4" t="s">
        <v>37</v>
      </c>
      <c r="I14" s="5">
        <v>44652</v>
      </c>
      <c r="J14" s="6">
        <v>0</v>
      </c>
      <c r="K14" s="6">
        <v>0</v>
      </c>
      <c r="L14" s="6">
        <v>1E-3</v>
      </c>
      <c r="M14" s="6">
        <v>1E-3</v>
      </c>
      <c r="N14" s="6">
        <v>1E-3</v>
      </c>
      <c r="O14" s="6">
        <v>1E-3</v>
      </c>
      <c r="P14" s="6">
        <v>0</v>
      </c>
      <c r="Q14" s="4" t="s">
        <v>26</v>
      </c>
      <c r="R14" s="4">
        <v>0</v>
      </c>
      <c r="S14" s="6">
        <v>0</v>
      </c>
      <c r="T14" s="6">
        <v>7</v>
      </c>
      <c r="U14" s="6">
        <v>62</v>
      </c>
      <c r="V14" s="6">
        <f>IF(ISERROR(VLOOKUP($S$14,'TAR FIN'!$A$1:$O$103,15,0)),0,VLOOKUP($S$14,'TAR FIN'!$A$1:$O$103,15,0))</f>
        <v>0</v>
      </c>
      <c r="W14" s="6">
        <f>IF(ISERROR(VLOOKUP($T$14,'TAR FIN'!$A$1:$O$103,15,0)),0,VLOOKUP($T$14,'TAR FIN'!$A$1:$O$103,15,0))</f>
        <v>842.31</v>
      </c>
      <c r="X14" s="6">
        <f>IF(ISERROR(VLOOKUP($U$14,'TAR FIN'!$A$1:$O$103,15,0)),0,VLOOKUP($U$14,'TAR FIN'!$A$1:$O$103,15,0))</f>
        <v>454.9</v>
      </c>
      <c r="Y14" s="6"/>
      <c r="Z14" s="6">
        <f ca="1">('TUSD BE'!$AM$11+'TUSD BF_350'!$AM$11+'TUSD CVA'!$AM$11)*1</f>
        <v>1027.46</v>
      </c>
      <c r="AA14" s="6">
        <f ca="1">('TE BE'!$AB$5+'TE BF_350'!$AB$5+'TE CVA'!$AB$5)*1</f>
        <v>388.08000000000004</v>
      </c>
      <c r="AB14" s="6">
        <f>$K$14*$V$14</f>
        <v>0</v>
      </c>
      <c r="AC14" s="6">
        <f>$M$14*$W$14</f>
        <v>0.84231</v>
      </c>
      <c r="AD14" s="6">
        <f>$O$14*$X$14</f>
        <v>0.45489999999999997</v>
      </c>
      <c r="AE14" s="6">
        <f>$K$14*$Y$14</f>
        <v>0</v>
      </c>
      <c r="AF14" s="6">
        <f ca="1">$M$14*$Z$14</f>
        <v>1.02746</v>
      </c>
      <c r="AG14" s="6">
        <f ca="1">$O$14*$AA$14</f>
        <v>0.38808000000000004</v>
      </c>
      <c r="AI14" s="35" t="s">
        <v>22</v>
      </c>
      <c r="AJ14" s="36">
        <v>2046006816.5373404</v>
      </c>
      <c r="AK14" s="36">
        <v>2344289139.114296</v>
      </c>
      <c r="AL14" s="111">
        <v>0.14578755073835392</v>
      </c>
      <c r="AM14" s="113">
        <f ca="1">AL4-AL14</f>
        <v>5.9940727885243739E-4</v>
      </c>
      <c r="AN14" s="112" t="s">
        <v>22</v>
      </c>
      <c r="AO14" s="36">
        <v>2227239630.8908963</v>
      </c>
      <c r="AP14" s="36">
        <v>1996271934.7635901</v>
      </c>
      <c r="AQ14" s="37">
        <v>-0.1037013228948872</v>
      </c>
      <c r="AR14" s="113">
        <f ca="1">AQ4-AQ14</f>
        <v>-2.6501725844951807E-6</v>
      </c>
      <c r="AS14" s="35" t="s">
        <v>22</v>
      </c>
      <c r="AT14" s="36">
        <v>4273246447.428237</v>
      </c>
      <c r="AU14" s="36">
        <v>4340561073.8778858</v>
      </c>
      <c r="AV14" s="37">
        <v>1.575257296245125E-2</v>
      </c>
      <c r="AW14" s="113">
        <f ca="1">AV4-AV14</f>
        <v>3.9238862633061977E-4</v>
      </c>
    </row>
    <row r="15" spans="1:53" ht="11.25" customHeight="1" x14ac:dyDescent="0.25">
      <c r="A15" s="4" t="s">
        <v>21</v>
      </c>
      <c r="B15" s="4" t="s">
        <v>42</v>
      </c>
      <c r="C15" s="4" t="s">
        <v>34</v>
      </c>
      <c r="D15" s="4" t="s">
        <v>40</v>
      </c>
      <c r="E15" s="4" t="s">
        <v>25</v>
      </c>
      <c r="F15" s="4" t="s">
        <v>54</v>
      </c>
      <c r="G15" s="4" t="s">
        <v>25</v>
      </c>
      <c r="H15" s="4" t="s">
        <v>35</v>
      </c>
      <c r="I15" s="5">
        <v>44348</v>
      </c>
      <c r="J15" s="6">
        <v>0</v>
      </c>
      <c r="K15" s="6">
        <v>0</v>
      </c>
      <c r="L15" s="6">
        <v>376.49400000000003</v>
      </c>
      <c r="M15" s="6">
        <v>376.49400000000003</v>
      </c>
      <c r="N15" s="6">
        <v>0</v>
      </c>
      <c r="O15" s="6">
        <v>0</v>
      </c>
      <c r="P15" s="6">
        <v>0</v>
      </c>
      <c r="Q15" s="4" t="s">
        <v>53</v>
      </c>
      <c r="R15" s="4">
        <v>0</v>
      </c>
      <c r="S15" s="6">
        <v>0</v>
      </c>
      <c r="T15" s="6">
        <v>8</v>
      </c>
      <c r="U15" s="6">
        <v>0</v>
      </c>
      <c r="V15" s="6">
        <f>IF(ISERROR(VLOOKUP($S$15,'TAR FIN'!$A$1:$O$103,15,0)),0,VLOOKUP($S$15,'TAR FIN'!$A$1:$O$103,15,0))</f>
        <v>0</v>
      </c>
      <c r="W15" s="6">
        <f>IF(ISERROR(VLOOKUP($T$15,'TAR FIN'!$A$1:$O$103,15,0)),0,VLOOKUP($T$15,'TAR FIN'!$A$1:$O$103,15,0))</f>
        <v>69.37</v>
      </c>
      <c r="X15" s="6">
        <f>IF(ISERROR(VLOOKUP($U$15,'TAR FIN'!$A$1:$O$103,15,0)),0,VLOOKUP($U$15,'TAR FIN'!$A$1:$O$103,15,0))</f>
        <v>0</v>
      </c>
      <c r="Y15" s="6"/>
      <c r="Z15" s="6">
        <f ca="1">('TUSD BE'!$AM$12+'TUSD BF_350'!$AM$12+'TUSD CVA'!$AM$12)*1</f>
        <v>110.85</v>
      </c>
      <c r="AA15" s="6"/>
      <c r="AB15" s="6">
        <f>$K$15*$V$15</f>
        <v>0</v>
      </c>
      <c r="AC15" s="6">
        <f>$M$15*$W$15</f>
        <v>26117.388780000005</v>
      </c>
      <c r="AD15" s="6">
        <f>$O$15*$X$15</f>
        <v>0</v>
      </c>
      <c r="AE15" s="6">
        <f>$K$15*$Y$15</f>
        <v>0</v>
      </c>
      <c r="AF15" s="6">
        <f ca="1">$M$15*$Z$15</f>
        <v>41734.359900000003</v>
      </c>
      <c r="AG15" s="6">
        <f>$O$15*$AA$15</f>
        <v>0</v>
      </c>
      <c r="AI15" s="35" t="s">
        <v>44</v>
      </c>
      <c r="AJ15" s="36">
        <v>480305599.90539205</v>
      </c>
      <c r="AK15" s="36">
        <v>591108828.60627353</v>
      </c>
      <c r="AL15" s="111">
        <v>0.23069318517774295</v>
      </c>
      <c r="AM15" s="113">
        <f t="shared" ref="AM15:AM20" ca="1" si="11">AL5-AL15</f>
        <v>-6.8308076548295737E-4</v>
      </c>
      <c r="AN15" s="112" t="s">
        <v>44</v>
      </c>
      <c r="AO15" s="36">
        <v>514096192.55059791</v>
      </c>
      <c r="AP15" s="36">
        <v>492480202.73993886</v>
      </c>
      <c r="AQ15" s="37">
        <v>-4.2046586074514836E-2</v>
      </c>
      <c r="AR15" s="113">
        <f t="shared" ref="AR15:AR20" ca="1" si="12">AQ5-AQ15</f>
        <v>-5.3847469722734242E-4</v>
      </c>
      <c r="AS15" s="35" t="s">
        <v>44</v>
      </c>
      <c r="AT15" s="36">
        <v>994401792.45598996</v>
      </c>
      <c r="AU15" s="36">
        <v>1083589031.3462124</v>
      </c>
      <c r="AV15" s="37">
        <v>8.9689338421189202E-2</v>
      </c>
      <c r="AW15" s="113">
        <f t="shared" ref="AW15:AW20" ca="1" si="13">AV5-AV15</f>
        <v>-6.0830130883537947E-4</v>
      </c>
    </row>
    <row r="16" spans="1:53" ht="11.25" customHeight="1" x14ac:dyDescent="0.25">
      <c r="A16" s="4" t="s">
        <v>21</v>
      </c>
      <c r="B16" s="4" t="s">
        <v>42</v>
      </c>
      <c r="C16" s="4" t="s">
        <v>34</v>
      </c>
      <c r="D16" s="4" t="s">
        <v>40</v>
      </c>
      <c r="E16" s="4" t="s">
        <v>25</v>
      </c>
      <c r="F16" s="4" t="s">
        <v>54</v>
      </c>
      <c r="G16" s="4" t="s">
        <v>25</v>
      </c>
      <c r="H16" s="4" t="s">
        <v>35</v>
      </c>
      <c r="I16" s="5">
        <v>44378</v>
      </c>
      <c r="J16" s="6">
        <v>0</v>
      </c>
      <c r="K16" s="6">
        <v>0</v>
      </c>
      <c r="L16" s="6">
        <v>381.70499999999998</v>
      </c>
      <c r="M16" s="6">
        <v>381.70499999999998</v>
      </c>
      <c r="N16" s="6">
        <v>0</v>
      </c>
      <c r="O16" s="6">
        <v>0</v>
      </c>
      <c r="P16" s="6">
        <v>0</v>
      </c>
      <c r="Q16" s="4" t="s">
        <v>53</v>
      </c>
      <c r="R16" s="4">
        <v>0</v>
      </c>
      <c r="S16" s="6">
        <v>0</v>
      </c>
      <c r="T16" s="6">
        <v>8</v>
      </c>
      <c r="U16" s="6">
        <v>0</v>
      </c>
      <c r="V16" s="6">
        <f>IF(ISERROR(VLOOKUP($S$16,'TAR FIN'!$A$1:$O$103,15,0)),0,VLOOKUP($S$16,'TAR FIN'!$A$1:$O$103,15,0))</f>
        <v>0</v>
      </c>
      <c r="W16" s="6">
        <f>IF(ISERROR(VLOOKUP($T$16,'TAR FIN'!$A$1:$O$103,15,0)),0,VLOOKUP($T$16,'TAR FIN'!$A$1:$O$103,15,0))</f>
        <v>69.37</v>
      </c>
      <c r="X16" s="6">
        <f>IF(ISERROR(VLOOKUP($U$16,'TAR FIN'!$A$1:$O$103,15,0)),0,VLOOKUP($U$16,'TAR FIN'!$A$1:$O$103,15,0))</f>
        <v>0</v>
      </c>
      <c r="Y16" s="6"/>
      <c r="Z16" s="6">
        <f ca="1">('TUSD BE'!$AM$12+'TUSD BF_350'!$AM$12+'TUSD CVA'!$AM$12)*1</f>
        <v>110.85</v>
      </c>
      <c r="AA16" s="6"/>
      <c r="AB16" s="6">
        <f>$K$16*$V$16</f>
        <v>0</v>
      </c>
      <c r="AC16" s="6">
        <f>$M$16*$W$16</f>
        <v>26478.87585</v>
      </c>
      <c r="AD16" s="6">
        <f>$O$16*$X$16</f>
        <v>0</v>
      </c>
      <c r="AE16" s="6">
        <f>$K$16*$Y$16</f>
        <v>0</v>
      </c>
      <c r="AF16" s="6">
        <f ca="1">$M$16*$Z$16</f>
        <v>42311.999249999993</v>
      </c>
      <c r="AG16" s="6">
        <f>$O$16*$AA$16</f>
        <v>0</v>
      </c>
      <c r="AI16" s="35" t="s">
        <v>39</v>
      </c>
      <c r="AJ16" s="36">
        <v>991904155.53583479</v>
      </c>
      <c r="AK16" s="36">
        <v>1143452718.2337</v>
      </c>
      <c r="AL16" s="111">
        <v>0.15278549026341914</v>
      </c>
      <c r="AM16" s="113">
        <f t="shared" ca="1" si="11"/>
        <v>-4.5946421234188684E-4</v>
      </c>
      <c r="AN16" s="112" t="s">
        <v>39</v>
      </c>
      <c r="AO16" s="36">
        <v>1061746448.6295456</v>
      </c>
      <c r="AP16" s="36">
        <v>952707708.55200136</v>
      </c>
      <c r="AQ16" s="37">
        <v>-0.10269753218227051</v>
      </c>
      <c r="AR16" s="113">
        <f t="shared" ca="1" si="12"/>
        <v>-3.9784577782553399E-4</v>
      </c>
      <c r="AS16" s="35" t="s">
        <v>39</v>
      </c>
      <c r="AT16" s="36">
        <v>2053650604.1653805</v>
      </c>
      <c r="AU16" s="36">
        <v>2096160426.7857013</v>
      </c>
      <c r="AV16" s="37">
        <v>2.0699637286936134E-2</v>
      </c>
      <c r="AW16" s="113">
        <f t="shared" ca="1" si="13"/>
        <v>-4.5445227563134516E-4</v>
      </c>
    </row>
    <row r="17" spans="1:51" ht="11.25" customHeight="1" x14ac:dyDescent="0.25">
      <c r="A17" s="4" t="s">
        <v>21</v>
      </c>
      <c r="B17" s="4" t="s">
        <v>42</v>
      </c>
      <c r="C17" s="4" t="s">
        <v>34</v>
      </c>
      <c r="D17" s="4" t="s">
        <v>40</v>
      </c>
      <c r="E17" s="4" t="s">
        <v>25</v>
      </c>
      <c r="F17" s="4" t="s">
        <v>54</v>
      </c>
      <c r="G17" s="4" t="s">
        <v>25</v>
      </c>
      <c r="H17" s="4" t="s">
        <v>35</v>
      </c>
      <c r="I17" s="5">
        <v>44409</v>
      </c>
      <c r="J17" s="6">
        <v>0</v>
      </c>
      <c r="K17" s="6">
        <v>0</v>
      </c>
      <c r="L17" s="6">
        <v>336.59899999999999</v>
      </c>
      <c r="M17" s="6">
        <v>336.59899999999999</v>
      </c>
      <c r="N17" s="6">
        <v>0</v>
      </c>
      <c r="O17" s="6">
        <v>0</v>
      </c>
      <c r="P17" s="6">
        <v>0</v>
      </c>
      <c r="Q17" s="4" t="s">
        <v>53</v>
      </c>
      <c r="R17" s="4">
        <v>0</v>
      </c>
      <c r="S17" s="6">
        <v>0</v>
      </c>
      <c r="T17" s="6">
        <v>8</v>
      </c>
      <c r="U17" s="6">
        <v>0</v>
      </c>
      <c r="V17" s="6">
        <f>IF(ISERROR(VLOOKUP($S$17,'TAR FIN'!$A$1:$O$103,15,0)),0,VLOOKUP($S$17,'TAR FIN'!$A$1:$O$103,15,0))</f>
        <v>0</v>
      </c>
      <c r="W17" s="6">
        <f>IF(ISERROR(VLOOKUP($T$17,'TAR FIN'!$A$1:$O$103,15,0)),0,VLOOKUP($T$17,'TAR FIN'!$A$1:$O$103,15,0))</f>
        <v>69.37</v>
      </c>
      <c r="X17" s="6">
        <f>IF(ISERROR(VLOOKUP($U$17,'TAR FIN'!$A$1:$O$103,15,0)),0,VLOOKUP($U$17,'TAR FIN'!$A$1:$O$103,15,0))</f>
        <v>0</v>
      </c>
      <c r="Y17" s="6"/>
      <c r="Z17" s="6">
        <f ca="1">('TUSD BE'!$AM$12+'TUSD BF_350'!$AM$12+'TUSD CVA'!$AM$12)*1</f>
        <v>110.85</v>
      </c>
      <c r="AA17" s="6"/>
      <c r="AB17" s="6">
        <f>$K$17*$V$17</f>
        <v>0</v>
      </c>
      <c r="AC17" s="6">
        <f>$M$17*$W$17</f>
        <v>23349.872630000002</v>
      </c>
      <c r="AD17" s="6">
        <f>$O$17*$X$17</f>
        <v>0</v>
      </c>
      <c r="AE17" s="6">
        <f>$K$17*$Y$17</f>
        <v>0</v>
      </c>
      <c r="AF17" s="6">
        <f ca="1">$M$17*$Z$17</f>
        <v>37311.999149999996</v>
      </c>
      <c r="AG17" s="6">
        <f>$O$17*$AA$17</f>
        <v>0</v>
      </c>
      <c r="AI17" s="35" t="s">
        <v>47</v>
      </c>
      <c r="AJ17" s="36">
        <v>143070038.14905</v>
      </c>
      <c r="AK17" s="36">
        <v>164744262.26243246</v>
      </c>
      <c r="AL17" s="111">
        <v>0.15149380257243172</v>
      </c>
      <c r="AM17" s="113">
        <f t="shared" ca="1" si="11"/>
        <v>5.0185794713275556E-6</v>
      </c>
      <c r="AN17" s="112" t="s">
        <v>47</v>
      </c>
      <c r="AO17" s="36">
        <v>153141320.73361993</v>
      </c>
      <c r="AP17" s="36">
        <v>137256094.18050084</v>
      </c>
      <c r="AQ17" s="37">
        <v>-0.10372919912810785</v>
      </c>
      <c r="AR17" s="113">
        <f t="shared" ca="1" si="12"/>
        <v>1.6172067063058293E-5</v>
      </c>
      <c r="AS17" s="35" t="s">
        <v>47</v>
      </c>
      <c r="AT17" s="36">
        <v>296211358.88266993</v>
      </c>
      <c r="AU17" s="36">
        <v>302000356.44293332</v>
      </c>
      <c r="AV17" s="37">
        <v>1.954346917045946E-2</v>
      </c>
      <c r="AW17" s="113">
        <f t="shared" ca="1" si="13"/>
        <v>1.0784937235275294E-5</v>
      </c>
    </row>
    <row r="18" spans="1:51" ht="11.25" customHeight="1" x14ac:dyDescent="0.25">
      <c r="A18" s="4" t="s">
        <v>21</v>
      </c>
      <c r="B18" s="4" t="s">
        <v>42</v>
      </c>
      <c r="C18" s="4" t="s">
        <v>34</v>
      </c>
      <c r="D18" s="4" t="s">
        <v>40</v>
      </c>
      <c r="E18" s="4" t="s">
        <v>25</v>
      </c>
      <c r="F18" s="4" t="s">
        <v>54</v>
      </c>
      <c r="G18" s="4" t="s">
        <v>25</v>
      </c>
      <c r="H18" s="4" t="s">
        <v>35</v>
      </c>
      <c r="I18" s="5">
        <v>44440</v>
      </c>
      <c r="J18" s="6">
        <v>0</v>
      </c>
      <c r="K18" s="6">
        <v>0</v>
      </c>
      <c r="L18" s="6">
        <v>346.28800000000001</v>
      </c>
      <c r="M18" s="6">
        <v>346.28800000000001</v>
      </c>
      <c r="N18" s="6">
        <v>0</v>
      </c>
      <c r="O18" s="6">
        <v>0</v>
      </c>
      <c r="P18" s="6">
        <v>0</v>
      </c>
      <c r="Q18" s="4" t="s">
        <v>53</v>
      </c>
      <c r="R18" s="4">
        <v>0</v>
      </c>
      <c r="S18" s="6">
        <v>0</v>
      </c>
      <c r="T18" s="6">
        <v>8</v>
      </c>
      <c r="U18" s="6">
        <v>0</v>
      </c>
      <c r="V18" s="6">
        <f>IF(ISERROR(VLOOKUP($S$18,'TAR FIN'!$A$1:$O$103,15,0)),0,VLOOKUP($S$18,'TAR FIN'!$A$1:$O$103,15,0))</f>
        <v>0</v>
      </c>
      <c r="W18" s="6">
        <f>IF(ISERROR(VLOOKUP($T$18,'TAR FIN'!$A$1:$O$103,15,0)),0,VLOOKUP($T$18,'TAR FIN'!$A$1:$O$103,15,0))</f>
        <v>69.37</v>
      </c>
      <c r="X18" s="6">
        <f>IF(ISERROR(VLOOKUP($U$18,'TAR FIN'!$A$1:$O$103,15,0)),0,VLOOKUP($U$18,'TAR FIN'!$A$1:$O$103,15,0))</f>
        <v>0</v>
      </c>
      <c r="Y18" s="6"/>
      <c r="Z18" s="6">
        <f ca="1">('TUSD BE'!$AM$12+'TUSD BF_350'!$AM$12+'TUSD CVA'!$AM$12)*1</f>
        <v>110.85</v>
      </c>
      <c r="AA18" s="6"/>
      <c r="AB18" s="6">
        <f>$K$18*$V$18</f>
        <v>0</v>
      </c>
      <c r="AC18" s="6">
        <f>$M$18*$W$18</f>
        <v>24021.998560000004</v>
      </c>
      <c r="AD18" s="6">
        <f>$O$18*$X$18</f>
        <v>0</v>
      </c>
      <c r="AE18" s="6">
        <f>$K$18*$Y$18</f>
        <v>0</v>
      </c>
      <c r="AF18" s="6">
        <f ca="1">$M$18*$Z$18</f>
        <v>38386.024799999999</v>
      </c>
      <c r="AG18" s="6">
        <f>$O$18*$AA$18</f>
        <v>0</v>
      </c>
      <c r="AI18" s="35" t="s">
        <v>760</v>
      </c>
      <c r="AJ18" s="36">
        <v>2671814665.9684076</v>
      </c>
      <c r="AK18" s="36">
        <v>3137587763.4763741</v>
      </c>
      <c r="AL18" s="111">
        <v>0.17432837069151486</v>
      </c>
      <c r="AM18" s="113">
        <f t="shared" ca="1" si="11"/>
        <v>0.25086248527117649</v>
      </c>
      <c r="AN18" s="112" t="s">
        <v>760</v>
      </c>
      <c r="AO18" s="36">
        <v>1140980748.7788947</v>
      </c>
      <c r="AP18" s="36">
        <v>1030441022.6029755</v>
      </c>
      <c r="AQ18" s="37">
        <v>-9.6881324504573318E-2</v>
      </c>
      <c r="AR18" s="113">
        <f t="shared" ca="1" si="12"/>
        <v>-3.2702959055727954E-2</v>
      </c>
      <c r="AS18" s="35" t="s">
        <v>760</v>
      </c>
      <c r="AT18" s="36">
        <v>3812795414.7473021</v>
      </c>
      <c r="AU18" s="36">
        <v>4168028786.079349</v>
      </c>
      <c r="AV18" s="37">
        <v>9.3168746992838836E-2</v>
      </c>
      <c r="AW18" s="113">
        <f t="shared" ca="1" si="13"/>
        <v>0.13834267261460176</v>
      </c>
      <c r="AX18" s="4" t="str">
        <f>AS18</f>
        <v>A</v>
      </c>
      <c r="AY18" s="113">
        <f>AV18</f>
        <v>9.3168746992838836E-2</v>
      </c>
    </row>
    <row r="19" spans="1:51" ht="11.25" customHeight="1" x14ac:dyDescent="0.25">
      <c r="A19" s="4" t="s">
        <v>21</v>
      </c>
      <c r="B19" s="4" t="s">
        <v>42</v>
      </c>
      <c r="C19" s="4" t="s">
        <v>34</v>
      </c>
      <c r="D19" s="4" t="s">
        <v>40</v>
      </c>
      <c r="E19" s="4" t="s">
        <v>25</v>
      </c>
      <c r="F19" s="4" t="s">
        <v>54</v>
      </c>
      <c r="G19" s="4" t="s">
        <v>25</v>
      </c>
      <c r="H19" s="4" t="s">
        <v>35</v>
      </c>
      <c r="I19" s="5">
        <v>44470</v>
      </c>
      <c r="J19" s="6">
        <v>0</v>
      </c>
      <c r="K19" s="6">
        <v>0</v>
      </c>
      <c r="L19" s="6">
        <v>373.08699999999999</v>
      </c>
      <c r="M19" s="6">
        <v>373.08699999999999</v>
      </c>
      <c r="N19" s="6">
        <v>0</v>
      </c>
      <c r="O19" s="6">
        <v>0</v>
      </c>
      <c r="P19" s="6">
        <v>0</v>
      </c>
      <c r="Q19" s="4" t="s">
        <v>53</v>
      </c>
      <c r="R19" s="4">
        <v>0</v>
      </c>
      <c r="S19" s="6">
        <v>0</v>
      </c>
      <c r="T19" s="6">
        <v>8</v>
      </c>
      <c r="U19" s="6">
        <v>0</v>
      </c>
      <c r="V19" s="6">
        <f>IF(ISERROR(VLOOKUP($S$19,'TAR FIN'!$A$1:$O$103,15,0)),0,VLOOKUP($S$19,'TAR FIN'!$A$1:$O$103,15,0))</f>
        <v>0</v>
      </c>
      <c r="W19" s="6">
        <f>IF(ISERROR(VLOOKUP($T$19,'TAR FIN'!$A$1:$O$103,15,0)),0,VLOOKUP($T$19,'TAR FIN'!$A$1:$O$103,15,0))</f>
        <v>69.37</v>
      </c>
      <c r="X19" s="6">
        <f>IF(ISERROR(VLOOKUP($U$19,'TAR FIN'!$A$1:$O$103,15,0)),0,VLOOKUP($U$19,'TAR FIN'!$A$1:$O$103,15,0))</f>
        <v>0</v>
      </c>
      <c r="Y19" s="6"/>
      <c r="Z19" s="6">
        <f ca="1">('TUSD BE'!$AM$12+'TUSD BF_350'!$AM$12+'TUSD CVA'!$AM$12)*1</f>
        <v>110.85</v>
      </c>
      <c r="AA19" s="6"/>
      <c r="AB19" s="6">
        <f>$K$19*$V$19</f>
        <v>0</v>
      </c>
      <c r="AC19" s="6">
        <f>$M$19*$W$19</f>
        <v>25881.045190000001</v>
      </c>
      <c r="AD19" s="6">
        <f>$O$19*$X$19</f>
        <v>0</v>
      </c>
      <c r="AE19" s="6">
        <f>$K$19*$Y$19</f>
        <v>0</v>
      </c>
      <c r="AF19" s="6">
        <f ca="1">$M$19*$Z$19</f>
        <v>41356.693949999993</v>
      </c>
      <c r="AG19" s="6">
        <f>$O$19*$AA$19</f>
        <v>0</v>
      </c>
      <c r="AI19" s="35" t="s">
        <v>81</v>
      </c>
      <c r="AJ19" s="36">
        <v>3661286610.1276169</v>
      </c>
      <c r="AK19" s="36">
        <v>4243594948.216702</v>
      </c>
      <c r="AL19" s="111">
        <v>0.15904472937965064</v>
      </c>
      <c r="AM19" s="113">
        <f t="shared" ca="1" si="11"/>
        <v>-7.4424537664758983E-3</v>
      </c>
      <c r="AN19" s="112" t="s">
        <v>81</v>
      </c>
      <c r="AO19" s="36">
        <v>3956223592.8046598</v>
      </c>
      <c r="AP19" s="36">
        <v>3578715940.2360315</v>
      </c>
      <c r="AQ19" s="37">
        <v>-9.5421212606693007E-2</v>
      </c>
      <c r="AR19" s="113">
        <f t="shared" ca="1" si="12"/>
        <v>-5.5342038480464817E-3</v>
      </c>
      <c r="AS19" s="35" t="s">
        <v>81</v>
      </c>
      <c r="AT19" s="36">
        <v>7617510202.9322777</v>
      </c>
      <c r="AU19" s="36">
        <v>7822310888.452733</v>
      </c>
      <c r="AV19" s="37">
        <v>2.6885515091482182E-2</v>
      </c>
      <c r="AW19" s="113">
        <f t="shared" ca="1" si="13"/>
        <v>-6.5119966751792102E-3</v>
      </c>
      <c r="AX19" s="4" t="str">
        <f t="shared" ref="AX19:AX20" si="14">AS19</f>
        <v>B</v>
      </c>
      <c r="AY19" s="113">
        <f t="shared" ref="AY19:AY20" si="15">AV19</f>
        <v>2.6885515091482182E-2</v>
      </c>
    </row>
    <row r="20" spans="1:51" ht="11.25" customHeight="1" x14ac:dyDescent="0.25">
      <c r="A20" s="4" t="s">
        <v>21</v>
      </c>
      <c r="B20" s="4" t="s">
        <v>42</v>
      </c>
      <c r="C20" s="4" t="s">
        <v>34</v>
      </c>
      <c r="D20" s="4" t="s">
        <v>40</v>
      </c>
      <c r="E20" s="4" t="s">
        <v>25</v>
      </c>
      <c r="F20" s="4" t="s">
        <v>54</v>
      </c>
      <c r="G20" s="4" t="s">
        <v>25</v>
      </c>
      <c r="H20" s="4" t="s">
        <v>35</v>
      </c>
      <c r="I20" s="5">
        <v>44501</v>
      </c>
      <c r="J20" s="6">
        <v>0</v>
      </c>
      <c r="K20" s="6">
        <v>0</v>
      </c>
      <c r="L20" s="6">
        <v>314.17099999999999</v>
      </c>
      <c r="M20" s="6">
        <v>314.17099999999999</v>
      </c>
      <c r="N20" s="6">
        <v>0</v>
      </c>
      <c r="O20" s="6">
        <v>0</v>
      </c>
      <c r="P20" s="6">
        <v>0</v>
      </c>
      <c r="Q20" s="4" t="s">
        <v>53</v>
      </c>
      <c r="R20" s="4">
        <v>0</v>
      </c>
      <c r="S20" s="6">
        <v>0</v>
      </c>
      <c r="T20" s="6">
        <v>8</v>
      </c>
      <c r="U20" s="6">
        <v>0</v>
      </c>
      <c r="V20" s="6">
        <f>IF(ISERROR(VLOOKUP($S$20,'TAR FIN'!$A$1:$O$103,15,0)),0,VLOOKUP($S$20,'TAR FIN'!$A$1:$O$103,15,0))</f>
        <v>0</v>
      </c>
      <c r="W20" s="6">
        <f>IF(ISERROR(VLOOKUP($T$20,'TAR FIN'!$A$1:$O$103,15,0)),0,VLOOKUP($T$20,'TAR FIN'!$A$1:$O$103,15,0))</f>
        <v>69.37</v>
      </c>
      <c r="X20" s="6">
        <f>IF(ISERROR(VLOOKUP($U$20,'TAR FIN'!$A$1:$O$103,15,0)),0,VLOOKUP($U$20,'TAR FIN'!$A$1:$O$103,15,0))</f>
        <v>0</v>
      </c>
      <c r="Y20" s="6"/>
      <c r="Z20" s="6">
        <f ca="1">('TUSD BE'!$AM$12+'TUSD BF_350'!$AM$12+'TUSD CVA'!$AM$12)*1</f>
        <v>110.85</v>
      </c>
      <c r="AA20" s="6"/>
      <c r="AB20" s="6">
        <f>$K$20*$V$20</f>
        <v>0</v>
      </c>
      <c r="AC20" s="6">
        <f>$M$20*$W$20</f>
        <v>21794.042270000002</v>
      </c>
      <c r="AD20" s="6">
        <f>$O$20*$X$20</f>
        <v>0</v>
      </c>
      <c r="AE20" s="6">
        <f>$K$20*$Y$20</f>
        <v>0</v>
      </c>
      <c r="AF20" s="6">
        <f ca="1">$M$20*$Z$20</f>
        <v>34825.855349999998</v>
      </c>
      <c r="AG20" s="6">
        <f>$O$20*$AA$20</f>
        <v>0</v>
      </c>
      <c r="AI20" s="35" t="s">
        <v>761</v>
      </c>
      <c r="AJ20" s="36">
        <v>6333101276.0960245</v>
      </c>
      <c r="AK20" s="36">
        <v>7381182711.6930761</v>
      </c>
      <c r="AL20" s="111">
        <v>0.16549260621379647</v>
      </c>
      <c r="AM20" s="113">
        <f t="shared" ca="1" si="11"/>
        <v>0.11741483397980756</v>
      </c>
      <c r="AN20" s="112" t="s">
        <v>761</v>
      </c>
      <c r="AO20" s="36">
        <v>5097204341.5835543</v>
      </c>
      <c r="AP20" s="36">
        <v>4609156962.8390074</v>
      </c>
      <c r="AQ20" s="37">
        <v>-9.5748050507412974E-2</v>
      </c>
      <c r="AR20" s="113">
        <f t="shared" ca="1" si="12"/>
        <v>-1.4195673771319028E-2</v>
      </c>
      <c r="AS20" s="35" t="s">
        <v>761</v>
      </c>
      <c r="AT20" s="36">
        <v>11430305617.679581</v>
      </c>
      <c r="AU20" s="36">
        <v>11990339674.532082</v>
      </c>
      <c r="AV20" s="37">
        <v>4.8995545314753475E-2</v>
      </c>
      <c r="AW20" s="113">
        <f t="shared" ca="1" si="13"/>
        <v>5.6922556373312672E-2</v>
      </c>
      <c r="AX20" s="4" t="str">
        <f t="shared" si="14"/>
        <v>A+B</v>
      </c>
      <c r="AY20" s="113">
        <f t="shared" si="15"/>
        <v>4.8995545314753475E-2</v>
      </c>
    </row>
    <row r="21" spans="1:51" ht="11.25" customHeight="1" x14ac:dyDescent="0.25">
      <c r="A21" s="4" t="s">
        <v>21</v>
      </c>
      <c r="B21" s="4" t="s">
        <v>42</v>
      </c>
      <c r="C21" s="4" t="s">
        <v>34</v>
      </c>
      <c r="D21" s="4" t="s">
        <v>40</v>
      </c>
      <c r="E21" s="4" t="s">
        <v>25</v>
      </c>
      <c r="F21" s="4" t="s">
        <v>54</v>
      </c>
      <c r="G21" s="4" t="s">
        <v>25</v>
      </c>
      <c r="H21" s="4" t="s">
        <v>35</v>
      </c>
      <c r="I21" s="5">
        <v>44531</v>
      </c>
      <c r="J21" s="6">
        <v>0</v>
      </c>
      <c r="K21" s="6">
        <v>0</v>
      </c>
      <c r="L21" s="6">
        <v>296.71800000000002</v>
      </c>
      <c r="M21" s="6">
        <v>296.71800000000002</v>
      </c>
      <c r="N21" s="6">
        <v>0</v>
      </c>
      <c r="O21" s="6">
        <v>0</v>
      </c>
      <c r="P21" s="6">
        <v>0</v>
      </c>
      <c r="Q21" s="4" t="s">
        <v>53</v>
      </c>
      <c r="R21" s="4">
        <v>0</v>
      </c>
      <c r="S21" s="6">
        <v>0</v>
      </c>
      <c r="T21" s="6">
        <v>8</v>
      </c>
      <c r="U21" s="6">
        <v>0</v>
      </c>
      <c r="V21" s="6">
        <f>IF(ISERROR(VLOOKUP($S$21,'TAR FIN'!$A$1:$O$103,15,0)),0,VLOOKUP($S$21,'TAR FIN'!$A$1:$O$103,15,0))</f>
        <v>0</v>
      </c>
      <c r="W21" s="6">
        <f>IF(ISERROR(VLOOKUP($T$21,'TAR FIN'!$A$1:$O$103,15,0)),0,VLOOKUP($T$21,'TAR FIN'!$A$1:$O$103,15,0))</f>
        <v>69.37</v>
      </c>
      <c r="X21" s="6">
        <f>IF(ISERROR(VLOOKUP($U$21,'TAR FIN'!$A$1:$O$103,15,0)),0,VLOOKUP($U$21,'TAR FIN'!$A$1:$O$103,15,0))</f>
        <v>0</v>
      </c>
      <c r="Y21" s="6"/>
      <c r="Z21" s="6">
        <f ca="1">('TUSD BE'!$AM$12+'TUSD BF_350'!$AM$12+'TUSD CVA'!$AM$12)*1</f>
        <v>110.85</v>
      </c>
      <c r="AA21" s="6"/>
      <c r="AB21" s="6">
        <f>$K$21*$V$21</f>
        <v>0</v>
      </c>
      <c r="AC21" s="6">
        <f>$M$21*$W$21</f>
        <v>20583.327660000003</v>
      </c>
      <c r="AD21" s="6">
        <f>$O$21*$X$21</f>
        <v>0</v>
      </c>
      <c r="AE21" s="6">
        <f>$K$21*$Y$21</f>
        <v>0</v>
      </c>
      <c r="AF21" s="6">
        <f ca="1">$M$21*$Z$21</f>
        <v>32891.190300000002</v>
      </c>
      <c r="AG21" s="6">
        <f>$O$21*$AA$21</f>
        <v>0</v>
      </c>
    </row>
    <row r="22" spans="1:51" ht="11.25" customHeight="1" x14ac:dyDescent="0.25">
      <c r="A22" s="4" t="s">
        <v>21</v>
      </c>
      <c r="B22" s="4" t="s">
        <v>42</v>
      </c>
      <c r="C22" s="4" t="s">
        <v>34</v>
      </c>
      <c r="D22" s="4" t="s">
        <v>40</v>
      </c>
      <c r="E22" s="4" t="s">
        <v>25</v>
      </c>
      <c r="F22" s="4" t="s">
        <v>54</v>
      </c>
      <c r="G22" s="4" t="s">
        <v>25</v>
      </c>
      <c r="H22" s="4" t="s">
        <v>35</v>
      </c>
      <c r="I22" s="5">
        <v>44562</v>
      </c>
      <c r="J22" s="6">
        <v>0</v>
      </c>
      <c r="K22" s="6">
        <v>0</v>
      </c>
      <c r="L22" s="6">
        <v>302.404</v>
      </c>
      <c r="M22" s="6">
        <v>302.404</v>
      </c>
      <c r="N22" s="6">
        <v>0</v>
      </c>
      <c r="O22" s="6">
        <v>0</v>
      </c>
      <c r="P22" s="6">
        <v>0</v>
      </c>
      <c r="Q22" s="4" t="s">
        <v>53</v>
      </c>
      <c r="R22" s="4">
        <v>0</v>
      </c>
      <c r="S22" s="6">
        <v>0</v>
      </c>
      <c r="T22" s="6">
        <v>8</v>
      </c>
      <c r="U22" s="6">
        <v>0</v>
      </c>
      <c r="V22" s="6">
        <f>IF(ISERROR(VLOOKUP($S$22,'TAR FIN'!$A$1:$O$103,15,0)),0,VLOOKUP($S$22,'TAR FIN'!$A$1:$O$103,15,0))</f>
        <v>0</v>
      </c>
      <c r="W22" s="6">
        <f>IF(ISERROR(VLOOKUP($T$22,'TAR FIN'!$A$1:$O$103,15,0)),0,VLOOKUP($T$22,'TAR FIN'!$A$1:$O$103,15,0))</f>
        <v>69.37</v>
      </c>
      <c r="X22" s="6">
        <f>IF(ISERROR(VLOOKUP($U$22,'TAR FIN'!$A$1:$O$103,15,0)),0,VLOOKUP($U$22,'TAR FIN'!$A$1:$O$103,15,0))</f>
        <v>0</v>
      </c>
      <c r="Y22" s="6"/>
      <c r="Z22" s="6">
        <f ca="1">('TUSD BE'!$AM$12+'TUSD BF_350'!$AM$12+'TUSD CVA'!$AM$12)*1</f>
        <v>110.85</v>
      </c>
      <c r="AA22" s="6"/>
      <c r="AB22" s="6">
        <f>$K$22*$V$22</f>
        <v>0</v>
      </c>
      <c r="AC22" s="6">
        <f>$M$22*$W$22</f>
        <v>20977.765480000002</v>
      </c>
      <c r="AD22" s="6">
        <f>$O$22*$X$22</f>
        <v>0</v>
      </c>
      <c r="AE22" s="6">
        <f>$K$22*$Y$22</f>
        <v>0</v>
      </c>
      <c r="AF22" s="6">
        <f ca="1">$M$22*$Z$22</f>
        <v>33521.483399999997</v>
      </c>
      <c r="AG22" s="6">
        <f>$O$22*$AA$22</f>
        <v>0</v>
      </c>
      <c r="AU22" s="114">
        <f ca="1">EFEITO!AU10</f>
        <v>145170306.21567458</v>
      </c>
    </row>
    <row r="23" spans="1:51" ht="11.25" customHeight="1" x14ac:dyDescent="0.25">
      <c r="A23" s="4" t="s">
        <v>21</v>
      </c>
      <c r="B23" s="4" t="s">
        <v>42</v>
      </c>
      <c r="C23" s="4" t="s">
        <v>34</v>
      </c>
      <c r="D23" s="4" t="s">
        <v>40</v>
      </c>
      <c r="E23" s="4" t="s">
        <v>25</v>
      </c>
      <c r="F23" s="4" t="s">
        <v>54</v>
      </c>
      <c r="G23" s="4" t="s">
        <v>25</v>
      </c>
      <c r="H23" s="4" t="s">
        <v>35</v>
      </c>
      <c r="I23" s="5">
        <v>44593</v>
      </c>
      <c r="J23" s="6">
        <v>0</v>
      </c>
      <c r="K23" s="6">
        <v>0</v>
      </c>
      <c r="L23" s="6">
        <v>309.673</v>
      </c>
      <c r="M23" s="6">
        <v>309.673</v>
      </c>
      <c r="N23" s="6">
        <v>0</v>
      </c>
      <c r="O23" s="6">
        <v>0</v>
      </c>
      <c r="P23" s="6">
        <v>0</v>
      </c>
      <c r="Q23" s="4" t="s">
        <v>53</v>
      </c>
      <c r="R23" s="4">
        <v>0</v>
      </c>
      <c r="S23" s="6">
        <v>0</v>
      </c>
      <c r="T23" s="6">
        <v>8</v>
      </c>
      <c r="U23" s="6">
        <v>0</v>
      </c>
      <c r="V23" s="6">
        <f>IF(ISERROR(VLOOKUP($S$23,'TAR FIN'!$A$1:$O$103,15,0)),0,VLOOKUP($S$23,'TAR FIN'!$A$1:$O$103,15,0))</f>
        <v>0</v>
      </c>
      <c r="W23" s="6">
        <f>IF(ISERROR(VLOOKUP($T$23,'TAR FIN'!$A$1:$O$103,15,0)),0,VLOOKUP($T$23,'TAR FIN'!$A$1:$O$103,15,0))</f>
        <v>69.37</v>
      </c>
      <c r="X23" s="6">
        <f>IF(ISERROR(VLOOKUP($U$23,'TAR FIN'!$A$1:$O$103,15,0)),0,VLOOKUP($U$23,'TAR FIN'!$A$1:$O$103,15,0))</f>
        <v>0</v>
      </c>
      <c r="Y23" s="6"/>
      <c r="Z23" s="6">
        <f ca="1">('TUSD BE'!$AM$12+'TUSD BF_350'!$AM$12+'TUSD CVA'!$AM$12)*1</f>
        <v>110.85</v>
      </c>
      <c r="AA23" s="6"/>
      <c r="AB23" s="6">
        <f>$K$23*$V$23</f>
        <v>0</v>
      </c>
      <c r="AC23" s="6">
        <f>$M$23*$W$23</f>
        <v>21482.016010000003</v>
      </c>
      <c r="AD23" s="6">
        <f>$O$23*$X$23</f>
        <v>0</v>
      </c>
      <c r="AE23" s="6">
        <f>$K$23*$Y$23</f>
        <v>0</v>
      </c>
      <c r="AF23" s="6">
        <f ca="1">$M$23*$Z$23</f>
        <v>34327.252049999996</v>
      </c>
      <c r="AG23" s="6">
        <f>$O$23*$AA$23</f>
        <v>0</v>
      </c>
      <c r="AU23" s="114">
        <f ca="1">AU10</f>
        <v>134969942.51565254</v>
      </c>
    </row>
    <row r="24" spans="1:51" ht="11.25" customHeight="1" x14ac:dyDescent="0.25">
      <c r="A24" s="4" t="s">
        <v>21</v>
      </c>
      <c r="B24" s="4" t="s">
        <v>42</v>
      </c>
      <c r="C24" s="4" t="s">
        <v>34</v>
      </c>
      <c r="D24" s="4" t="s">
        <v>40</v>
      </c>
      <c r="E24" s="4" t="s">
        <v>25</v>
      </c>
      <c r="F24" s="4" t="s">
        <v>54</v>
      </c>
      <c r="G24" s="4" t="s">
        <v>25</v>
      </c>
      <c r="H24" s="4" t="s">
        <v>35</v>
      </c>
      <c r="I24" s="5">
        <v>44621</v>
      </c>
      <c r="J24" s="6">
        <v>0</v>
      </c>
      <c r="K24" s="6">
        <v>0</v>
      </c>
      <c r="L24" s="6">
        <v>315.755</v>
      </c>
      <c r="M24" s="6">
        <v>315.755</v>
      </c>
      <c r="N24" s="6">
        <v>0</v>
      </c>
      <c r="O24" s="6">
        <v>0</v>
      </c>
      <c r="P24" s="6">
        <v>0</v>
      </c>
      <c r="Q24" s="4" t="s">
        <v>53</v>
      </c>
      <c r="R24" s="4">
        <v>0</v>
      </c>
      <c r="S24" s="6">
        <v>0</v>
      </c>
      <c r="T24" s="6">
        <v>8</v>
      </c>
      <c r="U24" s="6">
        <v>0</v>
      </c>
      <c r="V24" s="6">
        <f>IF(ISERROR(VLOOKUP($S$24,'TAR FIN'!$A$1:$O$103,15,0)),0,VLOOKUP($S$24,'TAR FIN'!$A$1:$O$103,15,0))</f>
        <v>0</v>
      </c>
      <c r="W24" s="6">
        <f>IF(ISERROR(VLOOKUP($T$24,'TAR FIN'!$A$1:$O$103,15,0)),0,VLOOKUP($T$24,'TAR FIN'!$A$1:$O$103,15,0))</f>
        <v>69.37</v>
      </c>
      <c r="X24" s="6">
        <f>IF(ISERROR(VLOOKUP($U$24,'TAR FIN'!$A$1:$O$103,15,0)),0,VLOOKUP($U$24,'TAR FIN'!$A$1:$O$103,15,0))</f>
        <v>0</v>
      </c>
      <c r="Y24" s="6"/>
      <c r="Z24" s="6">
        <f ca="1">('TUSD BE'!$AM$12+'TUSD BF_350'!$AM$12+'TUSD CVA'!$AM$12)*1</f>
        <v>110.85</v>
      </c>
      <c r="AA24" s="6"/>
      <c r="AB24" s="6">
        <f>$K$24*$V$24</f>
        <v>0</v>
      </c>
      <c r="AC24" s="6">
        <f>$M$24*$W$24</f>
        <v>21903.924350000001</v>
      </c>
      <c r="AD24" s="6">
        <f>$O$24*$X$24</f>
        <v>0</v>
      </c>
      <c r="AE24" s="6">
        <f>$K$24*$Y$24</f>
        <v>0</v>
      </c>
      <c r="AF24" s="6">
        <f ca="1">$M$24*$Z$24</f>
        <v>35001.441749999998</v>
      </c>
      <c r="AG24" s="6">
        <f>$O$24*$AA$24</f>
        <v>0</v>
      </c>
      <c r="AU24" s="114">
        <f ca="1">AU22-AU23</f>
        <v>10200363.700022042</v>
      </c>
    </row>
    <row r="25" spans="1:51" ht="11.25" customHeight="1" x14ac:dyDescent="0.25">
      <c r="A25" s="4" t="s">
        <v>21</v>
      </c>
      <c r="B25" s="4" t="s">
        <v>42</v>
      </c>
      <c r="C25" s="4" t="s">
        <v>34</v>
      </c>
      <c r="D25" s="4" t="s">
        <v>40</v>
      </c>
      <c r="E25" s="4" t="s">
        <v>25</v>
      </c>
      <c r="F25" s="4" t="s">
        <v>54</v>
      </c>
      <c r="G25" s="4" t="s">
        <v>25</v>
      </c>
      <c r="H25" s="4" t="s">
        <v>35</v>
      </c>
      <c r="I25" s="5">
        <v>44652</v>
      </c>
      <c r="J25" s="6">
        <v>0</v>
      </c>
      <c r="K25" s="6">
        <v>0</v>
      </c>
      <c r="L25" s="6">
        <v>367.464</v>
      </c>
      <c r="M25" s="6">
        <v>367.464</v>
      </c>
      <c r="N25" s="6">
        <v>0</v>
      </c>
      <c r="O25" s="6">
        <v>0</v>
      </c>
      <c r="P25" s="6">
        <v>0</v>
      </c>
      <c r="Q25" s="4" t="s">
        <v>53</v>
      </c>
      <c r="R25" s="4">
        <v>0</v>
      </c>
      <c r="S25" s="6">
        <v>0</v>
      </c>
      <c r="T25" s="6">
        <v>8</v>
      </c>
      <c r="U25" s="6">
        <v>0</v>
      </c>
      <c r="V25" s="6">
        <f>IF(ISERROR(VLOOKUP($S$25,'TAR FIN'!$A$1:$O$103,15,0)),0,VLOOKUP($S$25,'TAR FIN'!$A$1:$O$103,15,0))</f>
        <v>0</v>
      </c>
      <c r="W25" s="6">
        <f>IF(ISERROR(VLOOKUP($T$25,'TAR FIN'!$A$1:$O$103,15,0)),0,VLOOKUP($T$25,'TAR FIN'!$A$1:$O$103,15,0))</f>
        <v>69.37</v>
      </c>
      <c r="X25" s="6">
        <f>IF(ISERROR(VLOOKUP($U$25,'TAR FIN'!$A$1:$O$103,15,0)),0,VLOOKUP($U$25,'TAR FIN'!$A$1:$O$103,15,0))</f>
        <v>0</v>
      </c>
      <c r="Y25" s="6"/>
      <c r="Z25" s="6">
        <f ca="1">('TUSD BE'!$AM$12+'TUSD BF_350'!$AM$12+'TUSD CVA'!$AM$12)*1</f>
        <v>110.85</v>
      </c>
      <c r="AA25" s="6"/>
      <c r="AB25" s="6">
        <f>$K$25*$V$25</f>
        <v>0</v>
      </c>
      <c r="AC25" s="6">
        <f>$M$25*$W$25</f>
        <v>25490.97768</v>
      </c>
      <c r="AD25" s="6">
        <f>$O$25*$X$25</f>
        <v>0</v>
      </c>
      <c r="AE25" s="6">
        <f>$K$25*$Y$25</f>
        <v>0</v>
      </c>
      <c r="AF25" s="6">
        <f ca="1">$M$25*$Z$25</f>
        <v>40733.384399999995</v>
      </c>
      <c r="AG25" s="6">
        <f>$O$25*$AA$25</f>
        <v>0</v>
      </c>
    </row>
    <row r="26" spans="1:51" ht="11.25" customHeight="1" x14ac:dyDescent="0.25">
      <c r="A26" s="4" t="s">
        <v>21</v>
      </c>
      <c r="B26" s="4" t="s">
        <v>42</v>
      </c>
      <c r="C26" s="4" t="s">
        <v>34</v>
      </c>
      <c r="D26" s="4" t="s">
        <v>40</v>
      </c>
      <c r="E26" s="4" t="s">
        <v>25</v>
      </c>
      <c r="F26" s="4" t="s">
        <v>54</v>
      </c>
      <c r="G26" s="4" t="s">
        <v>25</v>
      </c>
      <c r="H26" s="4" t="s">
        <v>35</v>
      </c>
      <c r="I26" s="5">
        <v>44682</v>
      </c>
      <c r="J26" s="6">
        <v>0</v>
      </c>
      <c r="K26" s="6">
        <v>0</v>
      </c>
      <c r="L26" s="6">
        <v>918.67</v>
      </c>
      <c r="M26" s="6">
        <v>918.67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6">
        <v>0</v>
      </c>
      <c r="T26" s="6">
        <v>8</v>
      </c>
      <c r="U26" s="6">
        <v>0</v>
      </c>
      <c r="V26" s="6">
        <f>IF(ISERROR(VLOOKUP($S$26,'TAR FIN'!$A$1:$O$103,15,0)),0,VLOOKUP($S$26,'TAR FIN'!$A$1:$O$103,15,0))</f>
        <v>0</v>
      </c>
      <c r="W26" s="6">
        <f>IF(ISERROR(VLOOKUP($T$26,'TAR FIN'!$A$1:$O$103,15,0)),0,VLOOKUP($T$26,'TAR FIN'!$A$1:$O$103,15,0))</f>
        <v>69.37</v>
      </c>
      <c r="X26" s="6">
        <f>IF(ISERROR(VLOOKUP($U$26,'TAR FIN'!$A$1:$O$103,15,0)),0,VLOOKUP($U$26,'TAR FIN'!$A$1:$O$103,15,0))</f>
        <v>0</v>
      </c>
      <c r="Y26" s="6"/>
      <c r="Z26" s="6">
        <f ca="1">('TUSD BE'!$AM$12+'TUSD BF_350'!$AM$12+'TUSD CVA'!$AM$12)*1</f>
        <v>110.85</v>
      </c>
      <c r="AA26" s="6"/>
      <c r="AB26" s="6">
        <f>$K$26*$V$26</f>
        <v>0</v>
      </c>
      <c r="AC26" s="6">
        <f>$M$26*$W$26</f>
        <v>63728.137900000002</v>
      </c>
      <c r="AD26" s="6">
        <f>$O$26*$X$26</f>
        <v>0</v>
      </c>
      <c r="AE26" s="6">
        <f>$K$26*$Y$26</f>
        <v>0</v>
      </c>
      <c r="AF26" s="6">
        <f ca="1">$M$26*$Z$26</f>
        <v>101834.56949999998</v>
      </c>
      <c r="AG26" s="6">
        <f>$O$26*$AA$26</f>
        <v>0</v>
      </c>
    </row>
    <row r="27" spans="1:51" ht="11.25" customHeight="1" x14ac:dyDescent="0.25">
      <c r="A27" s="4" t="s">
        <v>21</v>
      </c>
      <c r="B27" s="4" t="s">
        <v>42</v>
      </c>
      <c r="C27" s="4" t="s">
        <v>34</v>
      </c>
      <c r="D27" s="4" t="s">
        <v>40</v>
      </c>
      <c r="E27" s="4" t="s">
        <v>25</v>
      </c>
      <c r="F27" s="4" t="s">
        <v>54</v>
      </c>
      <c r="G27" s="4" t="s">
        <v>25</v>
      </c>
      <c r="H27" s="4" t="s">
        <v>25</v>
      </c>
      <c r="I27" s="5">
        <v>44348</v>
      </c>
      <c r="J27" s="6">
        <v>2450</v>
      </c>
      <c r="K27" s="6">
        <v>1225</v>
      </c>
      <c r="L27" s="6">
        <v>0</v>
      </c>
      <c r="M27" s="6">
        <v>0</v>
      </c>
      <c r="N27" s="6">
        <v>0</v>
      </c>
      <c r="O27" s="6">
        <v>0</v>
      </c>
      <c r="P27" s="6">
        <v>2</v>
      </c>
      <c r="Q27" s="4" t="s">
        <v>53</v>
      </c>
      <c r="R27" s="4">
        <v>0</v>
      </c>
      <c r="S27" s="6">
        <v>6</v>
      </c>
      <c r="T27" s="6">
        <v>0</v>
      </c>
      <c r="U27" s="6">
        <v>0</v>
      </c>
      <c r="V27" s="6">
        <f>IF(ISERROR(VLOOKUP($S$27,'TAR FIN'!$A$1:$O$103,15,0)),0,VLOOKUP($S$27,'TAR FIN'!$A$1:$O$103,15,0))</f>
        <v>12.42</v>
      </c>
      <c r="W27" s="6">
        <f>IF(ISERROR(VLOOKUP($T$27,'TAR FIN'!$A$1:$O$103,15,0)),0,VLOOKUP($T$27,'TAR FIN'!$A$1:$O$103,15,0))</f>
        <v>0</v>
      </c>
      <c r="X27" s="6">
        <f>IF(ISERROR(VLOOKUP($U$27,'TAR FIN'!$A$1:$O$103,15,0)),0,VLOOKUP($U$27,'TAR FIN'!$A$1:$O$103,15,0))</f>
        <v>0</v>
      </c>
      <c r="Y27" s="6">
        <f ca="1">('TUSD BE'!$AM$10+'TUSD BF_350'!$AM$10+'TUSD CVA'!$AM$10)*1</f>
        <v>17.579999999999998</v>
      </c>
      <c r="Z27" s="6"/>
      <c r="AA27" s="6"/>
      <c r="AB27" s="6">
        <f>$K$27*$V$27</f>
        <v>15214.5</v>
      </c>
      <c r="AC27" s="6">
        <f>$M$27*$W$27</f>
        <v>0</v>
      </c>
      <c r="AD27" s="6">
        <f>$O$27*$X$27</f>
        <v>0</v>
      </c>
      <c r="AE27" s="6">
        <f ca="1">$K$27*$Y$27</f>
        <v>21535.499999999996</v>
      </c>
      <c r="AF27" s="6">
        <f>$M$27*$Z$27</f>
        <v>0</v>
      </c>
      <c r="AG27" s="6">
        <f>$O$27*$AA$27</f>
        <v>0</v>
      </c>
    </row>
    <row r="28" spans="1:51" ht="11.25" customHeight="1" x14ac:dyDescent="0.25">
      <c r="A28" s="4" t="s">
        <v>21</v>
      </c>
      <c r="B28" s="4" t="s">
        <v>42</v>
      </c>
      <c r="C28" s="4" t="s">
        <v>34</v>
      </c>
      <c r="D28" s="4" t="s">
        <v>40</v>
      </c>
      <c r="E28" s="4" t="s">
        <v>25</v>
      </c>
      <c r="F28" s="4" t="s">
        <v>54</v>
      </c>
      <c r="G28" s="4" t="s">
        <v>25</v>
      </c>
      <c r="H28" s="4" t="s">
        <v>25</v>
      </c>
      <c r="I28" s="5">
        <v>44378</v>
      </c>
      <c r="J28" s="6">
        <v>2450</v>
      </c>
      <c r="K28" s="6">
        <v>1225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53</v>
      </c>
      <c r="R28" s="4">
        <v>0</v>
      </c>
      <c r="S28" s="6">
        <v>6</v>
      </c>
      <c r="T28" s="6">
        <v>0</v>
      </c>
      <c r="U28" s="6">
        <v>0</v>
      </c>
      <c r="V28" s="6">
        <f>IF(ISERROR(VLOOKUP($S$28,'TAR FIN'!$A$1:$O$103,15,0)),0,VLOOKUP($S$28,'TAR FIN'!$A$1:$O$103,15,0))</f>
        <v>12.42</v>
      </c>
      <c r="W28" s="6">
        <f>IF(ISERROR(VLOOKUP($T$28,'TAR FIN'!$A$1:$O$103,15,0)),0,VLOOKUP($T$28,'TAR FIN'!$A$1:$O$103,15,0))</f>
        <v>0</v>
      </c>
      <c r="X28" s="6">
        <f>IF(ISERROR(VLOOKUP($U$28,'TAR FIN'!$A$1:$O$103,15,0)),0,VLOOKUP($U$28,'TAR FIN'!$A$1:$O$103,15,0))</f>
        <v>0</v>
      </c>
      <c r="Y28" s="6">
        <f ca="1">('TUSD BE'!$AM$10+'TUSD BF_350'!$AM$10+'TUSD CVA'!$AM$10)*1</f>
        <v>17.579999999999998</v>
      </c>
      <c r="Z28" s="6"/>
      <c r="AA28" s="6"/>
      <c r="AB28" s="6">
        <f>$K$28*$V$28</f>
        <v>15214.5</v>
      </c>
      <c r="AC28" s="6">
        <f>$M$28*$W$28</f>
        <v>0</v>
      </c>
      <c r="AD28" s="6">
        <f>$O$28*$X$28</f>
        <v>0</v>
      </c>
      <c r="AE28" s="6">
        <f ca="1">$K$28*$Y$28</f>
        <v>21535.499999999996</v>
      </c>
      <c r="AF28" s="6">
        <f>$M$28*$Z$28</f>
        <v>0</v>
      </c>
      <c r="AG28" s="6">
        <f>$O$28*$AA$28</f>
        <v>0</v>
      </c>
    </row>
    <row r="29" spans="1:51" ht="11.25" customHeight="1" x14ac:dyDescent="0.25">
      <c r="A29" s="4" t="s">
        <v>21</v>
      </c>
      <c r="B29" s="4" t="s">
        <v>42</v>
      </c>
      <c r="C29" s="4" t="s">
        <v>34</v>
      </c>
      <c r="D29" s="4" t="s">
        <v>40</v>
      </c>
      <c r="E29" s="4" t="s">
        <v>25</v>
      </c>
      <c r="F29" s="4" t="s">
        <v>54</v>
      </c>
      <c r="G29" s="4" t="s">
        <v>25</v>
      </c>
      <c r="H29" s="4" t="s">
        <v>25</v>
      </c>
      <c r="I29" s="5">
        <v>44409</v>
      </c>
      <c r="J29" s="6">
        <v>2450</v>
      </c>
      <c r="K29" s="6">
        <v>1225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4" t="s">
        <v>53</v>
      </c>
      <c r="R29" s="4">
        <v>0</v>
      </c>
      <c r="S29" s="6">
        <v>6</v>
      </c>
      <c r="T29" s="6">
        <v>0</v>
      </c>
      <c r="U29" s="6">
        <v>0</v>
      </c>
      <c r="V29" s="6">
        <f>IF(ISERROR(VLOOKUP($S$29,'TAR FIN'!$A$1:$O$103,15,0)),0,VLOOKUP($S$29,'TAR FIN'!$A$1:$O$103,15,0))</f>
        <v>12.42</v>
      </c>
      <c r="W29" s="6">
        <f>IF(ISERROR(VLOOKUP($T$29,'TAR FIN'!$A$1:$O$103,15,0)),0,VLOOKUP($T$29,'TAR FIN'!$A$1:$O$103,15,0))</f>
        <v>0</v>
      </c>
      <c r="X29" s="6">
        <f>IF(ISERROR(VLOOKUP($U$29,'TAR FIN'!$A$1:$O$103,15,0)),0,VLOOKUP($U$29,'TAR FIN'!$A$1:$O$103,15,0))</f>
        <v>0</v>
      </c>
      <c r="Y29" s="6">
        <f ca="1">('TUSD BE'!$AM$10+'TUSD BF_350'!$AM$10+'TUSD CVA'!$AM$10)*1</f>
        <v>17.579999999999998</v>
      </c>
      <c r="Z29" s="6"/>
      <c r="AA29" s="6"/>
      <c r="AB29" s="6">
        <f>$K$29*$V$29</f>
        <v>15214.5</v>
      </c>
      <c r="AC29" s="6">
        <f>$M$29*$W$29</f>
        <v>0</v>
      </c>
      <c r="AD29" s="6">
        <f>$O$29*$X$29</f>
        <v>0</v>
      </c>
      <c r="AE29" s="6">
        <f ca="1">$K$29*$Y$29</f>
        <v>21535.499999999996</v>
      </c>
      <c r="AF29" s="6">
        <f>$M$29*$Z$29</f>
        <v>0</v>
      </c>
      <c r="AG29" s="6">
        <f>$O$29*$AA$29</f>
        <v>0</v>
      </c>
    </row>
    <row r="30" spans="1:51" ht="11.25" customHeight="1" x14ac:dyDescent="0.25">
      <c r="A30" s="4" t="s">
        <v>21</v>
      </c>
      <c r="B30" s="4" t="s">
        <v>42</v>
      </c>
      <c r="C30" s="4" t="s">
        <v>34</v>
      </c>
      <c r="D30" s="4" t="s">
        <v>40</v>
      </c>
      <c r="E30" s="4" t="s">
        <v>25</v>
      </c>
      <c r="F30" s="4" t="s">
        <v>54</v>
      </c>
      <c r="G30" s="4" t="s">
        <v>25</v>
      </c>
      <c r="H30" s="4" t="s">
        <v>25</v>
      </c>
      <c r="I30" s="5">
        <v>44440</v>
      </c>
      <c r="J30" s="6">
        <v>2462</v>
      </c>
      <c r="K30" s="6">
        <v>1231</v>
      </c>
      <c r="L30" s="6">
        <v>0</v>
      </c>
      <c r="M30" s="6">
        <v>0</v>
      </c>
      <c r="N30" s="6">
        <v>0</v>
      </c>
      <c r="O30" s="6">
        <v>0</v>
      </c>
      <c r="P30" s="6">
        <v>2</v>
      </c>
      <c r="Q30" s="4" t="s">
        <v>53</v>
      </c>
      <c r="R30" s="4">
        <v>0</v>
      </c>
      <c r="S30" s="6">
        <v>6</v>
      </c>
      <c r="T30" s="6">
        <v>0</v>
      </c>
      <c r="U30" s="6">
        <v>0</v>
      </c>
      <c r="V30" s="6">
        <f>IF(ISERROR(VLOOKUP($S$30,'TAR FIN'!$A$1:$O$103,15,0)),0,VLOOKUP($S$30,'TAR FIN'!$A$1:$O$103,15,0))</f>
        <v>12.42</v>
      </c>
      <c r="W30" s="6">
        <f>IF(ISERROR(VLOOKUP($T$30,'TAR FIN'!$A$1:$O$103,15,0)),0,VLOOKUP($T$30,'TAR FIN'!$A$1:$O$103,15,0))</f>
        <v>0</v>
      </c>
      <c r="X30" s="6">
        <f>IF(ISERROR(VLOOKUP($U$30,'TAR FIN'!$A$1:$O$103,15,0)),0,VLOOKUP($U$30,'TAR FIN'!$A$1:$O$103,15,0))</f>
        <v>0</v>
      </c>
      <c r="Y30" s="6">
        <f ca="1">('TUSD BE'!$AM$10+'TUSD BF_350'!$AM$10+'TUSD CVA'!$AM$10)*1</f>
        <v>17.579999999999998</v>
      </c>
      <c r="Z30" s="6"/>
      <c r="AA30" s="6"/>
      <c r="AB30" s="6">
        <f>$K$30*$V$30</f>
        <v>15289.02</v>
      </c>
      <c r="AC30" s="6">
        <f>$M$30*$W$30</f>
        <v>0</v>
      </c>
      <c r="AD30" s="6">
        <f>$O$30*$X$30</f>
        <v>0</v>
      </c>
      <c r="AE30" s="6">
        <f ca="1">$K$30*$Y$30</f>
        <v>21640.98</v>
      </c>
      <c r="AF30" s="6">
        <f>$M$30*$Z$30</f>
        <v>0</v>
      </c>
      <c r="AG30" s="6">
        <f>$O$30*$AA$30</f>
        <v>0</v>
      </c>
    </row>
    <row r="31" spans="1:51" ht="11.25" customHeight="1" x14ac:dyDescent="0.25">
      <c r="A31" s="4" t="s">
        <v>21</v>
      </c>
      <c r="B31" s="4" t="s">
        <v>42</v>
      </c>
      <c r="C31" s="4" t="s">
        <v>34</v>
      </c>
      <c r="D31" s="4" t="s">
        <v>40</v>
      </c>
      <c r="E31" s="4" t="s">
        <v>25</v>
      </c>
      <c r="F31" s="4" t="s">
        <v>54</v>
      </c>
      <c r="G31" s="4" t="s">
        <v>25</v>
      </c>
      <c r="H31" s="4" t="s">
        <v>25</v>
      </c>
      <c r="I31" s="5">
        <v>44470</v>
      </c>
      <c r="J31" s="6">
        <v>2450</v>
      </c>
      <c r="K31" s="6">
        <v>1225</v>
      </c>
      <c r="L31" s="6">
        <v>0</v>
      </c>
      <c r="M31" s="6">
        <v>0</v>
      </c>
      <c r="N31" s="6">
        <v>0</v>
      </c>
      <c r="O31" s="6">
        <v>0</v>
      </c>
      <c r="P31" s="6">
        <v>2</v>
      </c>
      <c r="Q31" s="4" t="s">
        <v>53</v>
      </c>
      <c r="R31" s="4">
        <v>0</v>
      </c>
      <c r="S31" s="6">
        <v>6</v>
      </c>
      <c r="T31" s="6">
        <v>0</v>
      </c>
      <c r="U31" s="6">
        <v>0</v>
      </c>
      <c r="V31" s="6">
        <f>IF(ISERROR(VLOOKUP($S$31,'TAR FIN'!$A$1:$O$103,15,0)),0,VLOOKUP($S$31,'TAR FIN'!$A$1:$O$103,15,0))</f>
        <v>12.42</v>
      </c>
      <c r="W31" s="6">
        <f>IF(ISERROR(VLOOKUP($T$31,'TAR FIN'!$A$1:$O$103,15,0)),0,VLOOKUP($T$31,'TAR FIN'!$A$1:$O$103,15,0))</f>
        <v>0</v>
      </c>
      <c r="X31" s="6">
        <f>IF(ISERROR(VLOOKUP($U$31,'TAR FIN'!$A$1:$O$103,15,0)),0,VLOOKUP($U$31,'TAR FIN'!$A$1:$O$103,15,0))</f>
        <v>0</v>
      </c>
      <c r="Y31" s="6">
        <f ca="1">('TUSD BE'!$AM$10+'TUSD BF_350'!$AM$10+'TUSD CVA'!$AM$10)*1</f>
        <v>17.579999999999998</v>
      </c>
      <c r="Z31" s="6"/>
      <c r="AA31" s="6"/>
      <c r="AB31" s="6">
        <f>$K$31*$V$31</f>
        <v>15214.5</v>
      </c>
      <c r="AC31" s="6">
        <f>$M$31*$W$31</f>
        <v>0</v>
      </c>
      <c r="AD31" s="6">
        <f>$O$31*$X$31</f>
        <v>0</v>
      </c>
      <c r="AE31" s="6">
        <f ca="1">$K$31*$Y$31</f>
        <v>21535.499999999996</v>
      </c>
      <c r="AF31" s="6">
        <f>$M$31*$Z$31</f>
        <v>0</v>
      </c>
      <c r="AG31" s="6">
        <f>$O$31*$AA$31</f>
        <v>0</v>
      </c>
    </row>
    <row r="32" spans="1:51" ht="11.25" customHeight="1" x14ac:dyDescent="0.25">
      <c r="A32" s="4" t="s">
        <v>21</v>
      </c>
      <c r="B32" s="4" t="s">
        <v>42</v>
      </c>
      <c r="C32" s="4" t="s">
        <v>34</v>
      </c>
      <c r="D32" s="4" t="s">
        <v>40</v>
      </c>
      <c r="E32" s="4" t="s">
        <v>25</v>
      </c>
      <c r="F32" s="4" t="s">
        <v>54</v>
      </c>
      <c r="G32" s="4" t="s">
        <v>25</v>
      </c>
      <c r="H32" s="4" t="s">
        <v>25</v>
      </c>
      <c r="I32" s="5">
        <v>44501</v>
      </c>
      <c r="J32" s="6">
        <v>2450</v>
      </c>
      <c r="K32" s="6">
        <v>1225</v>
      </c>
      <c r="L32" s="6">
        <v>0</v>
      </c>
      <c r="M32" s="6">
        <v>0</v>
      </c>
      <c r="N32" s="6">
        <v>0</v>
      </c>
      <c r="O32" s="6">
        <v>0</v>
      </c>
      <c r="P32" s="6">
        <v>2</v>
      </c>
      <c r="Q32" s="4" t="s">
        <v>53</v>
      </c>
      <c r="R32" s="4">
        <v>0</v>
      </c>
      <c r="S32" s="6">
        <v>6</v>
      </c>
      <c r="T32" s="6">
        <v>0</v>
      </c>
      <c r="U32" s="6">
        <v>0</v>
      </c>
      <c r="V32" s="6">
        <f>IF(ISERROR(VLOOKUP($S$32,'TAR FIN'!$A$1:$O$103,15,0)),0,VLOOKUP($S$32,'TAR FIN'!$A$1:$O$103,15,0))</f>
        <v>12.42</v>
      </c>
      <c r="W32" s="6">
        <f>IF(ISERROR(VLOOKUP($T$32,'TAR FIN'!$A$1:$O$103,15,0)),0,VLOOKUP($T$32,'TAR FIN'!$A$1:$O$103,15,0))</f>
        <v>0</v>
      </c>
      <c r="X32" s="6">
        <f>IF(ISERROR(VLOOKUP($U$32,'TAR FIN'!$A$1:$O$103,15,0)),0,VLOOKUP($U$32,'TAR FIN'!$A$1:$O$103,15,0))</f>
        <v>0</v>
      </c>
      <c r="Y32" s="6">
        <f ca="1">('TUSD BE'!$AM$10+'TUSD BF_350'!$AM$10+'TUSD CVA'!$AM$10)*1</f>
        <v>17.579999999999998</v>
      </c>
      <c r="Z32" s="6"/>
      <c r="AA32" s="6"/>
      <c r="AB32" s="6">
        <f>$K$32*$V$32</f>
        <v>15214.5</v>
      </c>
      <c r="AC32" s="6">
        <f>$M$32*$W$32</f>
        <v>0</v>
      </c>
      <c r="AD32" s="6">
        <f>$O$32*$X$32</f>
        <v>0</v>
      </c>
      <c r="AE32" s="6">
        <f ca="1">$K$32*$Y$32</f>
        <v>21535.499999999996</v>
      </c>
      <c r="AF32" s="6">
        <f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42</v>
      </c>
      <c r="C33" s="4" t="s">
        <v>34</v>
      </c>
      <c r="D33" s="4" t="s">
        <v>40</v>
      </c>
      <c r="E33" s="4" t="s">
        <v>25</v>
      </c>
      <c r="F33" s="4" t="s">
        <v>54</v>
      </c>
      <c r="G33" s="4" t="s">
        <v>25</v>
      </c>
      <c r="H33" s="4" t="s">
        <v>25</v>
      </c>
      <c r="I33" s="5">
        <v>44531</v>
      </c>
      <c r="J33" s="6">
        <v>2450</v>
      </c>
      <c r="K33" s="6">
        <v>1225</v>
      </c>
      <c r="L33" s="6">
        <v>0</v>
      </c>
      <c r="M33" s="6">
        <v>0</v>
      </c>
      <c r="N33" s="6">
        <v>0</v>
      </c>
      <c r="O33" s="6">
        <v>0</v>
      </c>
      <c r="P33" s="6">
        <v>2</v>
      </c>
      <c r="Q33" s="4" t="s">
        <v>53</v>
      </c>
      <c r="R33" s="4">
        <v>0</v>
      </c>
      <c r="S33" s="6">
        <v>6</v>
      </c>
      <c r="T33" s="6">
        <v>0</v>
      </c>
      <c r="U33" s="6">
        <v>0</v>
      </c>
      <c r="V33" s="6">
        <f>IF(ISERROR(VLOOKUP($S$33,'TAR FIN'!$A$1:$O$103,15,0)),0,VLOOKUP($S$33,'TAR FIN'!$A$1:$O$103,15,0))</f>
        <v>12.42</v>
      </c>
      <c r="W33" s="6">
        <f>IF(ISERROR(VLOOKUP($T$33,'TAR FIN'!$A$1:$O$103,15,0)),0,VLOOKUP($T$33,'TAR FIN'!$A$1:$O$103,15,0))</f>
        <v>0</v>
      </c>
      <c r="X33" s="6">
        <f>IF(ISERROR(VLOOKUP($U$33,'TAR FIN'!$A$1:$O$103,15,0)),0,VLOOKUP($U$33,'TAR FIN'!$A$1:$O$103,15,0))</f>
        <v>0</v>
      </c>
      <c r="Y33" s="6">
        <f ca="1">('TUSD BE'!$AM$10+'TUSD BF_350'!$AM$10+'TUSD CVA'!$AM$10)*1</f>
        <v>17.579999999999998</v>
      </c>
      <c r="Z33" s="6"/>
      <c r="AA33" s="6"/>
      <c r="AB33" s="6">
        <f>$K$33*$V$33</f>
        <v>15214.5</v>
      </c>
      <c r="AC33" s="6">
        <f>$M$33*$W$33</f>
        <v>0</v>
      </c>
      <c r="AD33" s="6">
        <f>$O$33*$X$33</f>
        <v>0</v>
      </c>
      <c r="AE33" s="6">
        <f ca="1">$K$33*$Y$33</f>
        <v>21535.499999999996</v>
      </c>
      <c r="AF33" s="6">
        <f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42</v>
      </c>
      <c r="C34" s="4" t="s">
        <v>34</v>
      </c>
      <c r="D34" s="4" t="s">
        <v>40</v>
      </c>
      <c r="E34" s="4" t="s">
        <v>25</v>
      </c>
      <c r="F34" s="4" t="s">
        <v>54</v>
      </c>
      <c r="G34" s="4" t="s">
        <v>25</v>
      </c>
      <c r="H34" s="4" t="s">
        <v>25</v>
      </c>
      <c r="I34" s="5">
        <v>44562</v>
      </c>
      <c r="J34" s="6">
        <v>2450</v>
      </c>
      <c r="K34" s="6">
        <v>1225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4" t="s">
        <v>53</v>
      </c>
      <c r="R34" s="4">
        <v>0</v>
      </c>
      <c r="S34" s="6">
        <v>6</v>
      </c>
      <c r="T34" s="6">
        <v>0</v>
      </c>
      <c r="U34" s="6">
        <v>0</v>
      </c>
      <c r="V34" s="6">
        <f>IF(ISERROR(VLOOKUP($S$34,'TAR FIN'!$A$1:$O$103,15,0)),0,VLOOKUP($S$34,'TAR FIN'!$A$1:$O$103,15,0))</f>
        <v>12.42</v>
      </c>
      <c r="W34" s="6">
        <f>IF(ISERROR(VLOOKUP($T$34,'TAR FIN'!$A$1:$O$103,15,0)),0,VLOOKUP($T$34,'TAR FIN'!$A$1:$O$103,15,0))</f>
        <v>0</v>
      </c>
      <c r="X34" s="6">
        <f>IF(ISERROR(VLOOKUP($U$34,'TAR FIN'!$A$1:$O$103,15,0)),0,VLOOKUP($U$34,'TAR FIN'!$A$1:$O$103,15,0))</f>
        <v>0</v>
      </c>
      <c r="Y34" s="6">
        <f ca="1">('TUSD BE'!$AM$10+'TUSD BF_350'!$AM$10+'TUSD CVA'!$AM$10)*1</f>
        <v>17.579999999999998</v>
      </c>
      <c r="Z34" s="6"/>
      <c r="AA34" s="6"/>
      <c r="AB34" s="6">
        <f>$K$34*$V$34</f>
        <v>15214.5</v>
      </c>
      <c r="AC34" s="6">
        <f>$M$34*$W$34</f>
        <v>0</v>
      </c>
      <c r="AD34" s="6">
        <f>$O$34*$X$34</f>
        <v>0</v>
      </c>
      <c r="AE34" s="6">
        <f ca="1">$K$34*$Y$34</f>
        <v>21535.499999999996</v>
      </c>
      <c r="AF34" s="6">
        <f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42</v>
      </c>
      <c r="C35" s="4" t="s">
        <v>34</v>
      </c>
      <c r="D35" s="4" t="s">
        <v>40</v>
      </c>
      <c r="E35" s="4" t="s">
        <v>25</v>
      </c>
      <c r="F35" s="4" t="s">
        <v>54</v>
      </c>
      <c r="G35" s="4" t="s">
        <v>25</v>
      </c>
      <c r="H35" s="4" t="s">
        <v>25</v>
      </c>
      <c r="I35" s="5">
        <v>44593</v>
      </c>
      <c r="J35" s="6">
        <v>2450</v>
      </c>
      <c r="K35" s="6">
        <v>1225</v>
      </c>
      <c r="L35" s="6">
        <v>0</v>
      </c>
      <c r="M35" s="6">
        <v>0</v>
      </c>
      <c r="N35" s="6">
        <v>0</v>
      </c>
      <c r="O35" s="6">
        <v>0</v>
      </c>
      <c r="P35" s="6">
        <v>2</v>
      </c>
      <c r="Q35" s="4" t="s">
        <v>53</v>
      </c>
      <c r="R35" s="4">
        <v>0</v>
      </c>
      <c r="S35" s="6">
        <v>6</v>
      </c>
      <c r="T35" s="6">
        <v>0</v>
      </c>
      <c r="U35" s="6">
        <v>0</v>
      </c>
      <c r="V35" s="6">
        <f>IF(ISERROR(VLOOKUP($S$35,'TAR FIN'!$A$1:$O$103,15,0)),0,VLOOKUP($S$35,'TAR FIN'!$A$1:$O$103,15,0))</f>
        <v>12.42</v>
      </c>
      <c r="W35" s="6">
        <f>IF(ISERROR(VLOOKUP($T$35,'TAR FIN'!$A$1:$O$103,15,0)),0,VLOOKUP($T$35,'TAR FIN'!$A$1:$O$103,15,0))</f>
        <v>0</v>
      </c>
      <c r="X35" s="6">
        <f>IF(ISERROR(VLOOKUP($U$35,'TAR FIN'!$A$1:$O$103,15,0)),0,VLOOKUP($U$35,'TAR FIN'!$A$1:$O$103,15,0))</f>
        <v>0</v>
      </c>
      <c r="Y35" s="6">
        <f ca="1">('TUSD BE'!$AM$10+'TUSD BF_350'!$AM$10+'TUSD CVA'!$AM$10)*1</f>
        <v>17.579999999999998</v>
      </c>
      <c r="Z35" s="6"/>
      <c r="AA35" s="6"/>
      <c r="AB35" s="6">
        <f>$K$35*$V$35</f>
        <v>15214.5</v>
      </c>
      <c r="AC35" s="6">
        <f>$M$35*$W$35</f>
        <v>0</v>
      </c>
      <c r="AD35" s="6">
        <f>$O$35*$X$35</f>
        <v>0</v>
      </c>
      <c r="AE35" s="6">
        <f ca="1">$K$35*$Y$35</f>
        <v>21535.499999999996</v>
      </c>
      <c r="AF35" s="6">
        <f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42</v>
      </c>
      <c r="C36" s="4" t="s">
        <v>34</v>
      </c>
      <c r="D36" s="4" t="s">
        <v>40</v>
      </c>
      <c r="E36" s="4" t="s">
        <v>25</v>
      </c>
      <c r="F36" s="4" t="s">
        <v>54</v>
      </c>
      <c r="G36" s="4" t="s">
        <v>25</v>
      </c>
      <c r="H36" s="4" t="s">
        <v>25</v>
      </c>
      <c r="I36" s="5">
        <v>44621</v>
      </c>
      <c r="J36" s="6">
        <v>2450</v>
      </c>
      <c r="K36" s="6">
        <v>1225</v>
      </c>
      <c r="L36" s="6">
        <v>0</v>
      </c>
      <c r="M36" s="6">
        <v>0</v>
      </c>
      <c r="N36" s="6">
        <v>0</v>
      </c>
      <c r="O36" s="6">
        <v>0</v>
      </c>
      <c r="P36" s="6">
        <v>2</v>
      </c>
      <c r="Q36" s="4" t="s">
        <v>53</v>
      </c>
      <c r="R36" s="4">
        <v>0</v>
      </c>
      <c r="S36" s="6">
        <v>6</v>
      </c>
      <c r="T36" s="6">
        <v>0</v>
      </c>
      <c r="U36" s="6">
        <v>0</v>
      </c>
      <c r="V36" s="6">
        <f>IF(ISERROR(VLOOKUP($S$36,'TAR FIN'!$A$1:$O$103,15,0)),0,VLOOKUP($S$36,'TAR FIN'!$A$1:$O$103,15,0))</f>
        <v>12.42</v>
      </c>
      <c r="W36" s="6">
        <f>IF(ISERROR(VLOOKUP($T$36,'TAR FIN'!$A$1:$O$103,15,0)),0,VLOOKUP($T$36,'TAR FIN'!$A$1:$O$103,15,0))</f>
        <v>0</v>
      </c>
      <c r="X36" s="6">
        <f>IF(ISERROR(VLOOKUP($U$36,'TAR FIN'!$A$1:$O$103,15,0)),0,VLOOKUP($U$36,'TAR FIN'!$A$1:$O$103,15,0))</f>
        <v>0</v>
      </c>
      <c r="Y36" s="6">
        <f ca="1">('TUSD BE'!$AM$10+'TUSD BF_350'!$AM$10+'TUSD CVA'!$AM$10)*1</f>
        <v>17.579999999999998</v>
      </c>
      <c r="Z36" s="6"/>
      <c r="AA36" s="6"/>
      <c r="AB36" s="6">
        <f>$K$36*$V$36</f>
        <v>15214.5</v>
      </c>
      <c r="AC36" s="6">
        <f>$M$36*$W$36</f>
        <v>0</v>
      </c>
      <c r="AD36" s="6">
        <f>$O$36*$X$36</f>
        <v>0</v>
      </c>
      <c r="AE36" s="6">
        <f ca="1">$K$36*$Y$36</f>
        <v>21535.499999999996</v>
      </c>
      <c r="AF36" s="6">
        <f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42</v>
      </c>
      <c r="C37" s="4" t="s">
        <v>34</v>
      </c>
      <c r="D37" s="4" t="s">
        <v>40</v>
      </c>
      <c r="E37" s="4" t="s">
        <v>25</v>
      </c>
      <c r="F37" s="4" t="s">
        <v>54</v>
      </c>
      <c r="G37" s="4" t="s">
        <v>25</v>
      </c>
      <c r="H37" s="4" t="s">
        <v>25</v>
      </c>
      <c r="I37" s="5">
        <v>44652</v>
      </c>
      <c r="J37" s="6">
        <v>2486</v>
      </c>
      <c r="K37" s="6">
        <v>1243</v>
      </c>
      <c r="L37" s="6">
        <v>0</v>
      </c>
      <c r="M37" s="6">
        <v>0</v>
      </c>
      <c r="N37" s="6">
        <v>0</v>
      </c>
      <c r="O37" s="6">
        <v>0</v>
      </c>
      <c r="P37" s="6">
        <v>2</v>
      </c>
      <c r="Q37" s="4" t="s">
        <v>53</v>
      </c>
      <c r="R37" s="4">
        <v>0</v>
      </c>
      <c r="S37" s="6">
        <v>6</v>
      </c>
      <c r="T37" s="6">
        <v>0</v>
      </c>
      <c r="U37" s="6">
        <v>0</v>
      </c>
      <c r="V37" s="6">
        <f>IF(ISERROR(VLOOKUP($S$37,'TAR FIN'!$A$1:$O$103,15,0)),0,VLOOKUP($S$37,'TAR FIN'!$A$1:$O$103,15,0))</f>
        <v>12.42</v>
      </c>
      <c r="W37" s="6">
        <f>IF(ISERROR(VLOOKUP($T$37,'TAR FIN'!$A$1:$O$103,15,0)),0,VLOOKUP($T$37,'TAR FIN'!$A$1:$O$103,15,0))</f>
        <v>0</v>
      </c>
      <c r="X37" s="6">
        <f>IF(ISERROR(VLOOKUP($U$37,'TAR FIN'!$A$1:$O$103,15,0)),0,VLOOKUP($U$37,'TAR FIN'!$A$1:$O$103,15,0))</f>
        <v>0</v>
      </c>
      <c r="Y37" s="6">
        <f ca="1">('TUSD BE'!$AM$10+'TUSD BF_350'!$AM$10+'TUSD CVA'!$AM$10)*1</f>
        <v>17.579999999999998</v>
      </c>
      <c r="Z37" s="6"/>
      <c r="AA37" s="6"/>
      <c r="AB37" s="6">
        <f>$K$37*$V$37</f>
        <v>15438.06</v>
      </c>
      <c r="AC37" s="6">
        <f>$M$37*$W$37</f>
        <v>0</v>
      </c>
      <c r="AD37" s="6">
        <f>$O$37*$X$37</f>
        <v>0</v>
      </c>
      <c r="AE37" s="6">
        <f ca="1">$K$37*$Y$37</f>
        <v>21851.94</v>
      </c>
      <c r="AF37" s="6">
        <f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42</v>
      </c>
      <c r="C38" s="4" t="s">
        <v>34</v>
      </c>
      <c r="D38" s="4" t="s">
        <v>40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44682</v>
      </c>
      <c r="J38" s="6">
        <v>4014</v>
      </c>
      <c r="K38" s="6">
        <v>2007</v>
      </c>
      <c r="L38" s="6">
        <v>0</v>
      </c>
      <c r="M38" s="6">
        <v>0</v>
      </c>
      <c r="N38" s="6">
        <v>0</v>
      </c>
      <c r="O38" s="6">
        <v>0</v>
      </c>
      <c r="P38" s="6">
        <v>3</v>
      </c>
      <c r="Q38" s="4" t="s">
        <v>53</v>
      </c>
      <c r="R38" s="4">
        <v>0</v>
      </c>
      <c r="S38" s="6">
        <v>6</v>
      </c>
      <c r="T38" s="6">
        <v>0</v>
      </c>
      <c r="U38" s="6">
        <v>0</v>
      </c>
      <c r="V38" s="6">
        <f>IF(ISERROR(VLOOKUP($S$38,'TAR FIN'!$A$1:$O$103,15,0)),0,VLOOKUP($S$38,'TAR FIN'!$A$1:$O$103,15,0))</f>
        <v>12.42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BE'!$AM$10+'TUSD BF_350'!$AM$10+'TUSD CVA'!$AM$10)*1</f>
        <v>17.579999999999998</v>
      </c>
      <c r="Z38" s="6"/>
      <c r="AA38" s="6"/>
      <c r="AB38" s="6">
        <f>$K$38*$V$38</f>
        <v>24926.94</v>
      </c>
      <c r="AC38" s="6">
        <f>$M$38*$W$38</f>
        <v>0</v>
      </c>
      <c r="AD38" s="6">
        <f>$O$38*$X$38</f>
        <v>0</v>
      </c>
      <c r="AE38" s="6">
        <f ca="1">$K$38*$Y$38</f>
        <v>35283.06</v>
      </c>
      <c r="AF38" s="6">
        <f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42</v>
      </c>
      <c r="C39" s="4" t="s">
        <v>34</v>
      </c>
      <c r="D39" s="4" t="s">
        <v>40</v>
      </c>
      <c r="E39" s="4" t="s">
        <v>25</v>
      </c>
      <c r="F39" s="4" t="s">
        <v>54</v>
      </c>
      <c r="G39" s="4" t="s">
        <v>25</v>
      </c>
      <c r="H39" s="4" t="s">
        <v>37</v>
      </c>
      <c r="I39" s="5">
        <v>44348</v>
      </c>
      <c r="J39" s="6">
        <v>0</v>
      </c>
      <c r="K39" s="6">
        <v>0</v>
      </c>
      <c r="L39" s="6">
        <v>42.637999999999998</v>
      </c>
      <c r="M39" s="6">
        <v>21.318999999999999</v>
      </c>
      <c r="N39" s="6">
        <v>0</v>
      </c>
      <c r="O39" s="6">
        <v>0</v>
      </c>
      <c r="P39" s="6">
        <v>0</v>
      </c>
      <c r="Q39" s="4" t="s">
        <v>53</v>
      </c>
      <c r="R39" s="4">
        <v>0</v>
      </c>
      <c r="S39" s="6">
        <v>0</v>
      </c>
      <c r="T39" s="6">
        <v>7</v>
      </c>
      <c r="U39" s="6">
        <v>0</v>
      </c>
      <c r="V39" s="6">
        <f>IF(ISERROR(VLOOKUP($S$39,'TAR FIN'!$A$1:$O$103,15,0)),0,VLOOKUP($S$39,'TAR FIN'!$A$1:$O$103,15,0))</f>
        <v>0</v>
      </c>
      <c r="W39" s="6">
        <f>IF(ISERROR(VLOOKUP($T$39,'TAR FIN'!$A$1:$O$103,15,0)),0,VLOOKUP($T$39,'TAR FIN'!$A$1:$O$103,15,0))</f>
        <v>842.31</v>
      </c>
      <c r="X39" s="6">
        <f>IF(ISERROR(VLOOKUP($U$39,'TAR FIN'!$A$1:$O$103,15,0)),0,VLOOKUP($U$39,'TAR FIN'!$A$1:$O$103,15,0))</f>
        <v>0</v>
      </c>
      <c r="Y39" s="6"/>
      <c r="Z39" s="6">
        <f ca="1">('TUSD BE'!$AM$11+'TUSD BF_350'!$AM$11+'TUSD CVA'!$AM$11)*1</f>
        <v>1027.46</v>
      </c>
      <c r="AA39" s="6"/>
      <c r="AB39" s="6">
        <f>$K$39*$V$39</f>
        <v>0</v>
      </c>
      <c r="AC39" s="6">
        <f>$M$39*$W$39</f>
        <v>17957.206889999998</v>
      </c>
      <c r="AD39" s="6">
        <f>$O$39*$X$39</f>
        <v>0</v>
      </c>
      <c r="AE39" s="6">
        <f>$K$39*$Y$39</f>
        <v>0</v>
      </c>
      <c r="AF39" s="6">
        <f ca="1">$M$39*$Z$39</f>
        <v>21904.419740000001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42</v>
      </c>
      <c r="C40" s="4" t="s">
        <v>34</v>
      </c>
      <c r="D40" s="4" t="s">
        <v>40</v>
      </c>
      <c r="E40" s="4" t="s">
        <v>25</v>
      </c>
      <c r="F40" s="4" t="s">
        <v>54</v>
      </c>
      <c r="G40" s="4" t="s">
        <v>25</v>
      </c>
      <c r="H40" s="4" t="s">
        <v>37</v>
      </c>
      <c r="I40" s="5">
        <v>44378</v>
      </c>
      <c r="J40" s="6">
        <v>0</v>
      </c>
      <c r="K40" s="6">
        <v>0</v>
      </c>
      <c r="L40" s="6">
        <v>37.92</v>
      </c>
      <c r="M40" s="6">
        <v>18.96</v>
      </c>
      <c r="N40" s="6">
        <v>0</v>
      </c>
      <c r="O40" s="6">
        <v>0</v>
      </c>
      <c r="P40" s="6">
        <v>0</v>
      </c>
      <c r="Q40" s="4" t="s">
        <v>53</v>
      </c>
      <c r="R40" s="4">
        <v>0</v>
      </c>
      <c r="S40" s="6">
        <v>0</v>
      </c>
      <c r="T40" s="6">
        <v>7</v>
      </c>
      <c r="U40" s="6">
        <v>0</v>
      </c>
      <c r="V40" s="6">
        <f>IF(ISERROR(VLOOKUP($S$40,'TAR FIN'!$A$1:$O$103,15,0)),0,VLOOKUP($S$40,'TAR FIN'!$A$1:$O$103,15,0))</f>
        <v>0</v>
      </c>
      <c r="W40" s="6">
        <f>IF(ISERROR(VLOOKUP($T$40,'TAR FIN'!$A$1:$O$103,15,0)),0,VLOOKUP($T$40,'TAR FIN'!$A$1:$O$103,15,0))</f>
        <v>842.31</v>
      </c>
      <c r="X40" s="6">
        <f>IF(ISERROR(VLOOKUP($U$40,'TAR FIN'!$A$1:$O$103,15,0)),0,VLOOKUP($U$40,'TAR FIN'!$A$1:$O$103,15,0))</f>
        <v>0</v>
      </c>
      <c r="Y40" s="6"/>
      <c r="Z40" s="6">
        <f ca="1">('TUSD BE'!$AM$11+'TUSD BF_350'!$AM$11+'TUSD CVA'!$AM$11)*1</f>
        <v>1027.46</v>
      </c>
      <c r="AA40" s="6"/>
      <c r="AB40" s="6">
        <f>$K$40*$V$40</f>
        <v>0</v>
      </c>
      <c r="AC40" s="6">
        <f>$M$40*$W$40</f>
        <v>15970.1976</v>
      </c>
      <c r="AD40" s="6">
        <f>$O$40*$X$40</f>
        <v>0</v>
      </c>
      <c r="AE40" s="6">
        <f>$K$40*$Y$40</f>
        <v>0</v>
      </c>
      <c r="AF40" s="6">
        <f ca="1">$M$40*$Z$40</f>
        <v>19480.641600000003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42</v>
      </c>
      <c r="C41" s="4" t="s">
        <v>34</v>
      </c>
      <c r="D41" s="4" t="s">
        <v>40</v>
      </c>
      <c r="E41" s="4" t="s">
        <v>25</v>
      </c>
      <c r="F41" s="4" t="s">
        <v>54</v>
      </c>
      <c r="G41" s="4" t="s">
        <v>25</v>
      </c>
      <c r="H41" s="4" t="s">
        <v>37</v>
      </c>
      <c r="I41" s="5">
        <v>44409</v>
      </c>
      <c r="J41" s="6">
        <v>0</v>
      </c>
      <c r="K41" s="6">
        <v>0</v>
      </c>
      <c r="L41" s="6">
        <v>9.3849999999999998</v>
      </c>
      <c r="M41" s="6">
        <v>4.6924999999999999</v>
      </c>
      <c r="N41" s="6">
        <v>0</v>
      </c>
      <c r="O41" s="6">
        <v>0</v>
      </c>
      <c r="P41" s="6">
        <v>0</v>
      </c>
      <c r="Q41" s="4" t="s">
        <v>53</v>
      </c>
      <c r="R41" s="4">
        <v>0</v>
      </c>
      <c r="S41" s="6">
        <v>0</v>
      </c>
      <c r="T41" s="6">
        <v>7</v>
      </c>
      <c r="U41" s="6">
        <v>0</v>
      </c>
      <c r="V41" s="6">
        <f>IF(ISERROR(VLOOKUP($S$41,'TAR FIN'!$A$1:$O$103,15,0)),0,VLOOKUP($S$41,'TAR FIN'!$A$1:$O$103,15,0))</f>
        <v>0</v>
      </c>
      <c r="W41" s="6">
        <f>IF(ISERROR(VLOOKUP($T$41,'TAR FIN'!$A$1:$O$103,15,0)),0,VLOOKUP($T$41,'TAR FIN'!$A$1:$O$103,15,0))</f>
        <v>842.31</v>
      </c>
      <c r="X41" s="6">
        <f>IF(ISERROR(VLOOKUP($U$41,'TAR FIN'!$A$1:$O$103,15,0)),0,VLOOKUP($U$41,'TAR FIN'!$A$1:$O$103,15,0))</f>
        <v>0</v>
      </c>
      <c r="Y41" s="6"/>
      <c r="Z41" s="6">
        <f ca="1">('TUSD BE'!$AM$11+'TUSD BF_350'!$AM$11+'TUSD CVA'!$AM$11)*1</f>
        <v>1027.46</v>
      </c>
      <c r="AA41" s="6"/>
      <c r="AB41" s="6">
        <f>$K$41*$V$41</f>
        <v>0</v>
      </c>
      <c r="AC41" s="6">
        <f>$M$41*$W$41</f>
        <v>3952.5396749999995</v>
      </c>
      <c r="AD41" s="6">
        <f>$O$41*$X$41</f>
        <v>0</v>
      </c>
      <c r="AE41" s="6">
        <f>$K$41*$Y$41</f>
        <v>0</v>
      </c>
      <c r="AF41" s="6">
        <f ca="1">$M$41*$Z$41</f>
        <v>4821.3560500000003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42</v>
      </c>
      <c r="C42" s="4" t="s">
        <v>34</v>
      </c>
      <c r="D42" s="4" t="s">
        <v>40</v>
      </c>
      <c r="E42" s="4" t="s">
        <v>25</v>
      </c>
      <c r="F42" s="4" t="s">
        <v>54</v>
      </c>
      <c r="G42" s="4" t="s">
        <v>25</v>
      </c>
      <c r="H42" s="4" t="s">
        <v>37</v>
      </c>
      <c r="I42" s="5">
        <v>44440</v>
      </c>
      <c r="J42" s="6">
        <v>0</v>
      </c>
      <c r="K42" s="6">
        <v>0</v>
      </c>
      <c r="L42" s="6">
        <v>8.7360000000000007</v>
      </c>
      <c r="M42" s="6">
        <v>4.3680000000000003</v>
      </c>
      <c r="N42" s="6">
        <v>0</v>
      </c>
      <c r="O42" s="6">
        <v>0</v>
      </c>
      <c r="P42" s="6">
        <v>0</v>
      </c>
      <c r="Q42" s="4" t="s">
        <v>53</v>
      </c>
      <c r="R42" s="4">
        <v>0</v>
      </c>
      <c r="S42" s="6">
        <v>0</v>
      </c>
      <c r="T42" s="6">
        <v>7</v>
      </c>
      <c r="U42" s="6">
        <v>0</v>
      </c>
      <c r="V42" s="6">
        <f>IF(ISERROR(VLOOKUP($S$42,'TAR FIN'!$A$1:$O$103,15,0)),0,VLOOKUP($S$42,'TAR FIN'!$A$1:$O$103,15,0))</f>
        <v>0</v>
      </c>
      <c r="W42" s="6">
        <f>IF(ISERROR(VLOOKUP($T$42,'TAR FIN'!$A$1:$O$103,15,0)),0,VLOOKUP($T$42,'TAR FIN'!$A$1:$O$103,15,0))</f>
        <v>842.31</v>
      </c>
      <c r="X42" s="6">
        <f>IF(ISERROR(VLOOKUP($U$42,'TAR FIN'!$A$1:$O$103,15,0)),0,VLOOKUP($U$42,'TAR FIN'!$A$1:$O$103,15,0))</f>
        <v>0</v>
      </c>
      <c r="Y42" s="6"/>
      <c r="Z42" s="6">
        <f ca="1">('TUSD BE'!$AM$11+'TUSD BF_350'!$AM$11+'TUSD CVA'!$AM$11)*1</f>
        <v>1027.46</v>
      </c>
      <c r="AA42" s="6"/>
      <c r="AB42" s="6">
        <f>$K$42*$V$42</f>
        <v>0</v>
      </c>
      <c r="AC42" s="6">
        <f>$M$42*$W$42</f>
        <v>3679.2100799999998</v>
      </c>
      <c r="AD42" s="6">
        <f>$O$42*$X$42</f>
        <v>0</v>
      </c>
      <c r="AE42" s="6">
        <f>$K$42*$Y$42</f>
        <v>0</v>
      </c>
      <c r="AF42" s="6">
        <f ca="1">$M$42*$Z$42</f>
        <v>4487.9452800000008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42</v>
      </c>
      <c r="C43" s="4" t="s">
        <v>34</v>
      </c>
      <c r="D43" s="4" t="s">
        <v>40</v>
      </c>
      <c r="E43" s="4" t="s">
        <v>25</v>
      </c>
      <c r="F43" s="4" t="s">
        <v>54</v>
      </c>
      <c r="G43" s="4" t="s">
        <v>25</v>
      </c>
      <c r="H43" s="4" t="s">
        <v>37</v>
      </c>
      <c r="I43" s="5">
        <v>44470</v>
      </c>
      <c r="J43" s="6">
        <v>0</v>
      </c>
      <c r="K43" s="6">
        <v>0</v>
      </c>
      <c r="L43" s="6">
        <v>38.771000000000001</v>
      </c>
      <c r="M43" s="6">
        <v>19.3855</v>
      </c>
      <c r="N43" s="6">
        <v>0</v>
      </c>
      <c r="O43" s="6">
        <v>0</v>
      </c>
      <c r="P43" s="6">
        <v>0</v>
      </c>
      <c r="Q43" s="4" t="s">
        <v>53</v>
      </c>
      <c r="R43" s="4">
        <v>0</v>
      </c>
      <c r="S43" s="6">
        <v>0</v>
      </c>
      <c r="T43" s="6">
        <v>7</v>
      </c>
      <c r="U43" s="6">
        <v>0</v>
      </c>
      <c r="V43" s="6">
        <f>IF(ISERROR(VLOOKUP($S$43,'TAR FIN'!$A$1:$O$103,15,0)),0,VLOOKUP($S$43,'TAR FIN'!$A$1:$O$103,15,0))</f>
        <v>0</v>
      </c>
      <c r="W43" s="6">
        <f>IF(ISERROR(VLOOKUP($T$43,'TAR FIN'!$A$1:$O$103,15,0)),0,VLOOKUP($T$43,'TAR FIN'!$A$1:$O$103,15,0))</f>
        <v>842.31</v>
      </c>
      <c r="X43" s="6">
        <f>IF(ISERROR(VLOOKUP($U$43,'TAR FIN'!$A$1:$O$103,15,0)),0,VLOOKUP($U$43,'TAR FIN'!$A$1:$O$103,15,0))</f>
        <v>0</v>
      </c>
      <c r="Y43" s="6"/>
      <c r="Z43" s="6">
        <f ca="1">('TUSD BE'!$AM$11+'TUSD BF_350'!$AM$11+'TUSD CVA'!$AM$11)*1</f>
        <v>1027.46</v>
      </c>
      <c r="AA43" s="6"/>
      <c r="AB43" s="6">
        <f>$K$43*$V$43</f>
        <v>0</v>
      </c>
      <c r="AC43" s="6">
        <f>$M$43*$W$43</f>
        <v>16328.600504999999</v>
      </c>
      <c r="AD43" s="6">
        <f>$O$43*$X$43</f>
        <v>0</v>
      </c>
      <c r="AE43" s="6">
        <f>$K$43*$Y$43</f>
        <v>0</v>
      </c>
      <c r="AF43" s="6">
        <f ca="1">$M$43*$Z$43</f>
        <v>19917.825830000002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42</v>
      </c>
      <c r="C44" s="4" t="s">
        <v>34</v>
      </c>
      <c r="D44" s="4" t="s">
        <v>40</v>
      </c>
      <c r="E44" s="4" t="s">
        <v>25</v>
      </c>
      <c r="F44" s="4" t="s">
        <v>54</v>
      </c>
      <c r="G44" s="4" t="s">
        <v>25</v>
      </c>
      <c r="H44" s="4" t="s">
        <v>37</v>
      </c>
      <c r="I44" s="5">
        <v>44501</v>
      </c>
      <c r="J44" s="6">
        <v>0</v>
      </c>
      <c r="K44" s="6">
        <v>0</v>
      </c>
      <c r="L44" s="6">
        <v>35.023000000000003</v>
      </c>
      <c r="M44" s="6">
        <v>17.511500000000002</v>
      </c>
      <c r="N44" s="6">
        <v>0</v>
      </c>
      <c r="O44" s="6">
        <v>0</v>
      </c>
      <c r="P44" s="6">
        <v>0</v>
      </c>
      <c r="Q44" s="4" t="s">
        <v>53</v>
      </c>
      <c r="R44" s="4">
        <v>0</v>
      </c>
      <c r="S44" s="6">
        <v>0</v>
      </c>
      <c r="T44" s="6">
        <v>7</v>
      </c>
      <c r="U44" s="6">
        <v>0</v>
      </c>
      <c r="V44" s="6">
        <f>IF(ISERROR(VLOOKUP($S$44,'TAR FIN'!$A$1:$O$103,15,0)),0,VLOOKUP($S$44,'TAR FIN'!$A$1:$O$103,15,0))</f>
        <v>0</v>
      </c>
      <c r="W44" s="6">
        <f>IF(ISERROR(VLOOKUP($T$44,'TAR FIN'!$A$1:$O$103,15,0)),0,VLOOKUP($T$44,'TAR FIN'!$A$1:$O$103,15,0))</f>
        <v>842.31</v>
      </c>
      <c r="X44" s="6">
        <f>IF(ISERROR(VLOOKUP($U$44,'TAR FIN'!$A$1:$O$103,15,0)),0,VLOOKUP($U$44,'TAR FIN'!$A$1:$O$103,15,0))</f>
        <v>0</v>
      </c>
      <c r="Y44" s="6"/>
      <c r="Z44" s="6">
        <f ca="1">('TUSD BE'!$AM$11+'TUSD BF_350'!$AM$11+'TUSD CVA'!$AM$11)*1</f>
        <v>1027.46</v>
      </c>
      <c r="AA44" s="6"/>
      <c r="AB44" s="6">
        <f>$K$44*$V$44</f>
        <v>0</v>
      </c>
      <c r="AC44" s="6">
        <f>$M$44*$W$44</f>
        <v>14750.111565000001</v>
      </c>
      <c r="AD44" s="6">
        <f>$O$44*$X$44</f>
        <v>0</v>
      </c>
      <c r="AE44" s="6">
        <f>$K$44*$Y$44</f>
        <v>0</v>
      </c>
      <c r="AF44" s="6">
        <f ca="1">$M$44*$Z$44</f>
        <v>17992.365790000003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42</v>
      </c>
      <c r="C45" s="4" t="s">
        <v>34</v>
      </c>
      <c r="D45" s="4" t="s">
        <v>40</v>
      </c>
      <c r="E45" s="4" t="s">
        <v>25</v>
      </c>
      <c r="F45" s="4" t="s">
        <v>54</v>
      </c>
      <c r="G45" s="4" t="s">
        <v>25</v>
      </c>
      <c r="H45" s="4" t="s">
        <v>37</v>
      </c>
      <c r="I45" s="5">
        <v>44531</v>
      </c>
      <c r="J45" s="6">
        <v>0</v>
      </c>
      <c r="K45" s="6">
        <v>0</v>
      </c>
      <c r="L45" s="6">
        <v>33.156999999999996</v>
      </c>
      <c r="M45" s="6">
        <v>16.578499999999998</v>
      </c>
      <c r="N45" s="6">
        <v>0</v>
      </c>
      <c r="O45" s="6">
        <v>0</v>
      </c>
      <c r="P45" s="6">
        <v>0</v>
      </c>
      <c r="Q45" s="4" t="s">
        <v>53</v>
      </c>
      <c r="R45" s="4">
        <v>0</v>
      </c>
      <c r="S45" s="6">
        <v>0</v>
      </c>
      <c r="T45" s="6">
        <v>7</v>
      </c>
      <c r="U45" s="6">
        <v>0</v>
      </c>
      <c r="V45" s="6">
        <f>IF(ISERROR(VLOOKUP($S$45,'TAR FIN'!$A$1:$O$103,15,0)),0,VLOOKUP($S$45,'TAR FIN'!$A$1:$O$103,15,0))</f>
        <v>0</v>
      </c>
      <c r="W45" s="6">
        <f>IF(ISERROR(VLOOKUP($T$45,'TAR FIN'!$A$1:$O$103,15,0)),0,VLOOKUP($T$45,'TAR FIN'!$A$1:$O$103,15,0))</f>
        <v>842.31</v>
      </c>
      <c r="X45" s="6">
        <f>IF(ISERROR(VLOOKUP($U$45,'TAR FIN'!$A$1:$O$103,15,0)),0,VLOOKUP($U$45,'TAR FIN'!$A$1:$O$103,15,0))</f>
        <v>0</v>
      </c>
      <c r="Y45" s="6"/>
      <c r="Z45" s="6">
        <f ca="1">('TUSD BE'!$AM$11+'TUSD BF_350'!$AM$11+'TUSD CVA'!$AM$11)*1</f>
        <v>1027.46</v>
      </c>
      <c r="AA45" s="6"/>
      <c r="AB45" s="6">
        <f>$K$45*$V$45</f>
        <v>0</v>
      </c>
      <c r="AC45" s="6">
        <f>$M$45*$W$45</f>
        <v>13964.236334999998</v>
      </c>
      <c r="AD45" s="6">
        <f>$O$45*$X$45</f>
        <v>0</v>
      </c>
      <c r="AE45" s="6">
        <f>$K$45*$Y$45</f>
        <v>0</v>
      </c>
      <c r="AF45" s="6">
        <f ca="1">$M$45*$Z$45</f>
        <v>17033.745609999998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42</v>
      </c>
      <c r="C46" s="4" t="s">
        <v>34</v>
      </c>
      <c r="D46" s="4" t="s">
        <v>40</v>
      </c>
      <c r="E46" s="4" t="s">
        <v>25</v>
      </c>
      <c r="F46" s="4" t="s">
        <v>54</v>
      </c>
      <c r="G46" s="4" t="s">
        <v>25</v>
      </c>
      <c r="H46" s="4" t="s">
        <v>37</v>
      </c>
      <c r="I46" s="5">
        <v>44562</v>
      </c>
      <c r="J46" s="6">
        <v>0</v>
      </c>
      <c r="K46" s="6">
        <v>0</v>
      </c>
      <c r="L46" s="6">
        <v>34.494</v>
      </c>
      <c r="M46" s="6">
        <v>17.247</v>
      </c>
      <c r="N46" s="6">
        <v>0</v>
      </c>
      <c r="O46" s="6">
        <v>0</v>
      </c>
      <c r="P46" s="6">
        <v>0</v>
      </c>
      <c r="Q46" s="4" t="s">
        <v>53</v>
      </c>
      <c r="R46" s="4">
        <v>0</v>
      </c>
      <c r="S46" s="6">
        <v>0</v>
      </c>
      <c r="T46" s="6">
        <v>7</v>
      </c>
      <c r="U46" s="6">
        <v>0</v>
      </c>
      <c r="V46" s="6">
        <f>IF(ISERROR(VLOOKUP($S$46,'TAR FIN'!$A$1:$O$103,15,0)),0,VLOOKUP($S$46,'TAR FIN'!$A$1:$O$103,15,0))</f>
        <v>0</v>
      </c>
      <c r="W46" s="6">
        <f>IF(ISERROR(VLOOKUP($T$46,'TAR FIN'!$A$1:$O$103,15,0)),0,VLOOKUP($T$46,'TAR FIN'!$A$1:$O$103,15,0))</f>
        <v>842.31</v>
      </c>
      <c r="X46" s="6">
        <f>IF(ISERROR(VLOOKUP($U$46,'TAR FIN'!$A$1:$O$103,15,0)),0,VLOOKUP($U$46,'TAR FIN'!$A$1:$O$103,15,0))</f>
        <v>0</v>
      </c>
      <c r="Y46" s="6"/>
      <c r="Z46" s="6">
        <f ca="1">('TUSD BE'!$AM$11+'TUSD BF_350'!$AM$11+'TUSD CVA'!$AM$11)*1</f>
        <v>1027.46</v>
      </c>
      <c r="AA46" s="6"/>
      <c r="AB46" s="6">
        <f>$K$46*$V$46</f>
        <v>0</v>
      </c>
      <c r="AC46" s="6">
        <f>$M$46*$W$46</f>
        <v>14527.32057</v>
      </c>
      <c r="AD46" s="6">
        <f>$O$46*$X$46</f>
        <v>0</v>
      </c>
      <c r="AE46" s="6">
        <f>$K$46*$Y$46</f>
        <v>0</v>
      </c>
      <c r="AF46" s="6">
        <f ca="1">$M$46*$Z$46</f>
        <v>17720.602620000001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42</v>
      </c>
      <c r="C47" s="4" t="s">
        <v>34</v>
      </c>
      <c r="D47" s="4" t="s">
        <v>40</v>
      </c>
      <c r="E47" s="4" t="s">
        <v>25</v>
      </c>
      <c r="F47" s="4" t="s">
        <v>54</v>
      </c>
      <c r="G47" s="4" t="s">
        <v>25</v>
      </c>
      <c r="H47" s="4" t="s">
        <v>37</v>
      </c>
      <c r="I47" s="5">
        <v>44593</v>
      </c>
      <c r="J47" s="6">
        <v>0</v>
      </c>
      <c r="K47" s="6">
        <v>0</v>
      </c>
      <c r="L47" s="6">
        <v>30.69</v>
      </c>
      <c r="M47" s="6">
        <v>15.345000000000001</v>
      </c>
      <c r="N47" s="6">
        <v>0</v>
      </c>
      <c r="O47" s="6">
        <v>0</v>
      </c>
      <c r="P47" s="6">
        <v>0</v>
      </c>
      <c r="Q47" s="4" t="s">
        <v>53</v>
      </c>
      <c r="R47" s="4">
        <v>0</v>
      </c>
      <c r="S47" s="6">
        <v>0</v>
      </c>
      <c r="T47" s="6">
        <v>7</v>
      </c>
      <c r="U47" s="6">
        <v>0</v>
      </c>
      <c r="V47" s="6">
        <f>IF(ISERROR(VLOOKUP($S$47,'TAR FIN'!$A$1:$O$103,15,0)),0,VLOOKUP($S$47,'TAR FIN'!$A$1:$O$103,15,0))</f>
        <v>0</v>
      </c>
      <c r="W47" s="6">
        <f>IF(ISERROR(VLOOKUP($T$47,'TAR FIN'!$A$1:$O$103,15,0)),0,VLOOKUP($T$47,'TAR FIN'!$A$1:$O$103,15,0))</f>
        <v>842.31</v>
      </c>
      <c r="X47" s="6">
        <f>IF(ISERROR(VLOOKUP($U$47,'TAR FIN'!$A$1:$O$103,15,0)),0,VLOOKUP($U$47,'TAR FIN'!$A$1:$O$103,15,0))</f>
        <v>0</v>
      </c>
      <c r="Y47" s="6"/>
      <c r="Z47" s="6">
        <f ca="1">('TUSD BE'!$AM$11+'TUSD BF_350'!$AM$11+'TUSD CVA'!$AM$11)*1</f>
        <v>1027.46</v>
      </c>
      <c r="AA47" s="6"/>
      <c r="AB47" s="6">
        <f>$K$47*$V$47</f>
        <v>0</v>
      </c>
      <c r="AC47" s="6">
        <f>$M$47*$W$47</f>
        <v>12925.246949999999</v>
      </c>
      <c r="AD47" s="6">
        <f>$O$47*$X$47</f>
        <v>0</v>
      </c>
      <c r="AE47" s="6">
        <f>$K$47*$Y$47</f>
        <v>0</v>
      </c>
      <c r="AF47" s="6">
        <f ca="1">$M$47*$Z$47</f>
        <v>15766.373700000002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42</v>
      </c>
      <c r="C48" s="4" t="s">
        <v>34</v>
      </c>
      <c r="D48" s="4" t="s">
        <v>40</v>
      </c>
      <c r="E48" s="4" t="s">
        <v>25</v>
      </c>
      <c r="F48" s="4" t="s">
        <v>54</v>
      </c>
      <c r="G48" s="4" t="s">
        <v>25</v>
      </c>
      <c r="H48" s="4" t="s">
        <v>37</v>
      </c>
      <c r="I48" s="5">
        <v>44621</v>
      </c>
      <c r="J48" s="6">
        <v>0</v>
      </c>
      <c r="K48" s="6">
        <v>0</v>
      </c>
      <c r="L48" s="6">
        <v>37.658999999999999</v>
      </c>
      <c r="M48" s="6">
        <v>18.829499999999999</v>
      </c>
      <c r="N48" s="6">
        <v>0</v>
      </c>
      <c r="O48" s="6">
        <v>0</v>
      </c>
      <c r="P48" s="6">
        <v>0</v>
      </c>
      <c r="Q48" s="4" t="s">
        <v>53</v>
      </c>
      <c r="R48" s="4">
        <v>0</v>
      </c>
      <c r="S48" s="6">
        <v>0</v>
      </c>
      <c r="T48" s="6">
        <v>7</v>
      </c>
      <c r="U48" s="6">
        <v>0</v>
      </c>
      <c r="V48" s="6">
        <f>IF(ISERROR(VLOOKUP($S$48,'TAR FIN'!$A$1:$O$103,15,0)),0,VLOOKUP($S$48,'TAR FIN'!$A$1:$O$103,15,0))</f>
        <v>0</v>
      </c>
      <c r="W48" s="6">
        <f>IF(ISERROR(VLOOKUP($T$48,'TAR FIN'!$A$1:$O$103,15,0)),0,VLOOKUP($T$48,'TAR FIN'!$A$1:$O$103,15,0))</f>
        <v>842.31</v>
      </c>
      <c r="X48" s="6">
        <f>IF(ISERROR(VLOOKUP($U$48,'TAR FIN'!$A$1:$O$103,15,0)),0,VLOOKUP($U$48,'TAR FIN'!$A$1:$O$103,15,0))</f>
        <v>0</v>
      </c>
      <c r="Y48" s="6"/>
      <c r="Z48" s="6">
        <f ca="1">('TUSD BE'!$AM$11+'TUSD BF_350'!$AM$11+'TUSD CVA'!$AM$11)*1</f>
        <v>1027.46</v>
      </c>
      <c r="AA48" s="6"/>
      <c r="AB48" s="6">
        <f>$K$48*$V$48</f>
        <v>0</v>
      </c>
      <c r="AC48" s="6">
        <f>$M$48*$W$48</f>
        <v>15860.276144999998</v>
      </c>
      <c r="AD48" s="6">
        <f>$O$48*$X$48</f>
        <v>0</v>
      </c>
      <c r="AE48" s="6">
        <f>$K$48*$Y$48</f>
        <v>0</v>
      </c>
      <c r="AF48" s="6">
        <f ca="1">$M$48*$Z$48</f>
        <v>19346.558069999999</v>
      </c>
      <c r="AG48" s="6">
        <f>$O$48*$AA$48</f>
        <v>0</v>
      </c>
    </row>
    <row r="49" spans="1:33" ht="11.25" customHeight="1" x14ac:dyDescent="0.25">
      <c r="A49" s="4" t="s">
        <v>21</v>
      </c>
      <c r="B49" s="4" t="s">
        <v>42</v>
      </c>
      <c r="C49" s="4" t="s">
        <v>34</v>
      </c>
      <c r="D49" s="4" t="s">
        <v>40</v>
      </c>
      <c r="E49" s="4" t="s">
        <v>25</v>
      </c>
      <c r="F49" s="4" t="s">
        <v>54</v>
      </c>
      <c r="G49" s="4" t="s">
        <v>25</v>
      </c>
      <c r="H49" s="4" t="s">
        <v>37</v>
      </c>
      <c r="I49" s="5">
        <v>44652</v>
      </c>
      <c r="J49" s="6">
        <v>0</v>
      </c>
      <c r="K49" s="6">
        <v>0</v>
      </c>
      <c r="L49" s="6">
        <v>44.530999999999999</v>
      </c>
      <c r="M49" s="6">
        <v>22.265499999999999</v>
      </c>
      <c r="N49" s="6">
        <v>0</v>
      </c>
      <c r="O49" s="6">
        <v>0</v>
      </c>
      <c r="P49" s="6">
        <v>0</v>
      </c>
      <c r="Q49" s="4" t="s">
        <v>53</v>
      </c>
      <c r="R49" s="4">
        <v>0</v>
      </c>
      <c r="S49" s="6">
        <v>0</v>
      </c>
      <c r="T49" s="6">
        <v>7</v>
      </c>
      <c r="U49" s="6">
        <v>0</v>
      </c>
      <c r="V49" s="6">
        <f>IF(ISERROR(VLOOKUP($S$49,'TAR FIN'!$A$1:$O$103,15,0)),0,VLOOKUP($S$49,'TAR FIN'!$A$1:$O$103,15,0))</f>
        <v>0</v>
      </c>
      <c r="W49" s="6">
        <f>IF(ISERROR(VLOOKUP($T$49,'TAR FIN'!$A$1:$O$103,15,0)),0,VLOOKUP($T$49,'TAR FIN'!$A$1:$O$103,15,0))</f>
        <v>842.31</v>
      </c>
      <c r="X49" s="6">
        <f>IF(ISERROR(VLOOKUP($U$49,'TAR FIN'!$A$1:$O$103,15,0)),0,VLOOKUP($U$49,'TAR FIN'!$A$1:$O$103,15,0))</f>
        <v>0</v>
      </c>
      <c r="Y49" s="6"/>
      <c r="Z49" s="6">
        <f ca="1">('TUSD BE'!$AM$11+'TUSD BF_350'!$AM$11+'TUSD CVA'!$AM$11)*1</f>
        <v>1027.46</v>
      </c>
      <c r="AA49" s="6"/>
      <c r="AB49" s="6">
        <f>$K$49*$V$49</f>
        <v>0</v>
      </c>
      <c r="AC49" s="6">
        <f>$M$49*$W$49</f>
        <v>18754.453304999999</v>
      </c>
      <c r="AD49" s="6">
        <f>$O$49*$X$49</f>
        <v>0</v>
      </c>
      <c r="AE49" s="6">
        <f>$K$49*$Y$49</f>
        <v>0</v>
      </c>
      <c r="AF49" s="6">
        <f ca="1">$M$49*$Z$49</f>
        <v>22876.910629999998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42</v>
      </c>
      <c r="C50" s="4" t="s">
        <v>34</v>
      </c>
      <c r="D50" s="4" t="s">
        <v>40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44682</v>
      </c>
      <c r="J50" s="6">
        <v>0</v>
      </c>
      <c r="K50" s="6">
        <v>0</v>
      </c>
      <c r="L50" s="6">
        <v>89.613</v>
      </c>
      <c r="M50" s="6">
        <v>44.8065</v>
      </c>
      <c r="N50" s="6">
        <v>0</v>
      </c>
      <c r="O50" s="6">
        <v>0</v>
      </c>
      <c r="P50" s="6">
        <v>0</v>
      </c>
      <c r="Q50" s="4" t="s">
        <v>53</v>
      </c>
      <c r="R50" s="4">
        <v>0</v>
      </c>
      <c r="S50" s="6">
        <v>0</v>
      </c>
      <c r="T50" s="6">
        <v>7</v>
      </c>
      <c r="U50" s="6">
        <v>0</v>
      </c>
      <c r="V50" s="6">
        <f>IF(ISERROR(VLOOKUP($S$50,'TAR FIN'!$A$1:$O$103,15,0)),0,VLOOKUP($S$50,'TAR FIN'!$A$1:$O$103,15,0))</f>
        <v>0</v>
      </c>
      <c r="W50" s="6">
        <f>IF(ISERROR(VLOOKUP($T$50,'TAR FIN'!$A$1:$O$103,15,0)),0,VLOOKUP($T$50,'TAR FIN'!$A$1:$O$103,15,0))</f>
        <v>842.31</v>
      </c>
      <c r="X50" s="6">
        <f>IF(ISERROR(VLOOKUP($U$50,'TAR FIN'!$A$1:$O$103,15,0)),0,VLOOKUP($U$50,'TAR FIN'!$A$1:$O$103,15,0))</f>
        <v>0</v>
      </c>
      <c r="Y50" s="6"/>
      <c r="Z50" s="6">
        <f ca="1">('TUSD BE'!$AM$11+'TUSD BF_350'!$AM$11+'TUSD CVA'!$AM$11)*1</f>
        <v>1027.46</v>
      </c>
      <c r="AA50" s="6"/>
      <c r="AB50" s="6">
        <f>$K$50*$V$50</f>
        <v>0</v>
      </c>
      <c r="AC50" s="6">
        <f>$M$50*$W$50</f>
        <v>37740.963014999994</v>
      </c>
      <c r="AD50" s="6">
        <f>$O$50*$X$50</f>
        <v>0</v>
      </c>
      <c r="AE50" s="6">
        <f>$K$50*$Y$50</f>
        <v>0</v>
      </c>
      <c r="AF50" s="6">
        <f ca="1">$M$50*$Z$50</f>
        <v>46036.886490000004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42</v>
      </c>
      <c r="C51" s="4" t="s">
        <v>34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44348</v>
      </c>
      <c r="J51" s="6">
        <v>0</v>
      </c>
      <c r="K51" s="6">
        <v>0</v>
      </c>
      <c r="L51" s="6">
        <v>319.72199999999998</v>
      </c>
      <c r="M51" s="6">
        <v>319.72199999999998</v>
      </c>
      <c r="N51" s="6">
        <v>319.72199999999998</v>
      </c>
      <c r="O51" s="6">
        <v>319.72199999999998</v>
      </c>
      <c r="P51" s="6">
        <v>0</v>
      </c>
      <c r="Q51" s="4" t="s">
        <v>26</v>
      </c>
      <c r="R51" s="4">
        <v>0</v>
      </c>
      <c r="S51" s="6">
        <v>0</v>
      </c>
      <c r="T51" s="6">
        <v>8</v>
      </c>
      <c r="U51" s="6">
        <v>63</v>
      </c>
      <c r="V51" s="6">
        <f>IF(ISERROR(VLOOKUP($S$51,'TAR FIN'!$A$1:$O$103,15,0)),0,VLOOKUP($S$51,'TAR FIN'!$A$1:$O$103,15,0))</f>
        <v>0</v>
      </c>
      <c r="W51" s="6">
        <f>IF(ISERROR(VLOOKUP($T$51,'TAR FIN'!$A$1:$O$103,15,0)),0,VLOOKUP($T$51,'TAR FIN'!$A$1:$O$103,15,0))</f>
        <v>69.37</v>
      </c>
      <c r="X51" s="6">
        <f>IF(ISERROR(VLOOKUP($U$51,'TAR FIN'!$A$1:$O$103,15,0)),0,VLOOKUP($U$51,'TAR FIN'!$A$1:$O$103,15,0))</f>
        <v>284.36</v>
      </c>
      <c r="Y51" s="6"/>
      <c r="Z51" s="6">
        <f ca="1">('TUSD BE'!$AM$12+'TUSD BF_350'!$AM$12+'TUSD CVA'!$AM$12)*1</f>
        <v>110.85</v>
      </c>
      <c r="AA51" s="6">
        <f ca="1">('TE BE'!$AB$6+'TE BF_350'!$AB$6+'TE CVA'!$AB$6)*1</f>
        <v>247.20000000000002</v>
      </c>
      <c r="AB51" s="6">
        <f>$K$51*$V$51</f>
        <v>0</v>
      </c>
      <c r="AC51" s="6">
        <f>$M$51*$W$51</f>
        <v>22179.115140000002</v>
      </c>
      <c r="AD51" s="6">
        <f>$O$51*$X$51</f>
        <v>90916.147920000003</v>
      </c>
      <c r="AE51" s="6">
        <f>$K$51*$Y$51</f>
        <v>0</v>
      </c>
      <c r="AF51" s="6">
        <f ca="1">$M$51*$Z$51</f>
        <v>35441.183699999994</v>
      </c>
      <c r="AG51" s="6">
        <f ca="1">$O$51*$AA$51</f>
        <v>79035.278399999996</v>
      </c>
    </row>
    <row r="52" spans="1:33" ht="11.25" customHeight="1" x14ac:dyDescent="0.25">
      <c r="A52" s="4" t="s">
        <v>21</v>
      </c>
      <c r="B52" s="4" t="s">
        <v>42</v>
      </c>
      <c r="C52" s="4" t="s">
        <v>34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44378</v>
      </c>
      <c r="J52" s="6">
        <v>0</v>
      </c>
      <c r="K52" s="6">
        <v>0</v>
      </c>
      <c r="L52" s="6">
        <v>357.517</v>
      </c>
      <c r="M52" s="6">
        <v>357.517</v>
      </c>
      <c r="N52" s="6">
        <v>357.517</v>
      </c>
      <c r="O52" s="6">
        <v>357.517</v>
      </c>
      <c r="P52" s="6">
        <v>0</v>
      </c>
      <c r="Q52" s="4" t="s">
        <v>26</v>
      </c>
      <c r="R52" s="4">
        <v>0</v>
      </c>
      <c r="S52" s="6">
        <v>0</v>
      </c>
      <c r="T52" s="6">
        <v>8</v>
      </c>
      <c r="U52" s="6">
        <v>63</v>
      </c>
      <c r="V52" s="6">
        <f>IF(ISERROR(VLOOKUP($S$52,'TAR FIN'!$A$1:$O$103,15,0)),0,VLOOKUP($S$52,'TAR FIN'!$A$1:$O$103,15,0))</f>
        <v>0</v>
      </c>
      <c r="W52" s="6">
        <f>IF(ISERROR(VLOOKUP($T$52,'TAR FIN'!$A$1:$O$103,15,0)),0,VLOOKUP($T$52,'TAR FIN'!$A$1:$O$103,15,0))</f>
        <v>69.37</v>
      </c>
      <c r="X52" s="6">
        <f>IF(ISERROR(VLOOKUP($U$52,'TAR FIN'!$A$1:$O$103,15,0)),0,VLOOKUP($U$52,'TAR FIN'!$A$1:$O$103,15,0))</f>
        <v>284.36</v>
      </c>
      <c r="Y52" s="6"/>
      <c r="Z52" s="6">
        <f ca="1">('TUSD BE'!$AM$12+'TUSD BF_350'!$AM$12+'TUSD CVA'!$AM$12)*1</f>
        <v>110.85</v>
      </c>
      <c r="AA52" s="6">
        <f ca="1">('TE BE'!$AB$6+'TE BF_350'!$AB$6+'TE CVA'!$AB$6)*1</f>
        <v>247.20000000000002</v>
      </c>
      <c r="AB52" s="6">
        <f>$K$52*$V$52</f>
        <v>0</v>
      </c>
      <c r="AC52" s="6">
        <f>$M$52*$W$52</f>
        <v>24800.954290000001</v>
      </c>
      <c r="AD52" s="6">
        <f>$O$52*$X$52</f>
        <v>101663.53412</v>
      </c>
      <c r="AE52" s="6">
        <f>$K$52*$Y$52</f>
        <v>0</v>
      </c>
      <c r="AF52" s="6">
        <f ca="1">$M$52*$Z$52</f>
        <v>39630.759449999998</v>
      </c>
      <c r="AG52" s="6">
        <f ca="1">$O$52*$AA$52</f>
        <v>88378.202400000009</v>
      </c>
    </row>
    <row r="53" spans="1:33" ht="11.25" customHeight="1" x14ac:dyDescent="0.25">
      <c r="A53" s="4" t="s">
        <v>21</v>
      </c>
      <c r="B53" s="4" t="s">
        <v>42</v>
      </c>
      <c r="C53" s="4" t="s">
        <v>34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44409</v>
      </c>
      <c r="J53" s="6">
        <v>0</v>
      </c>
      <c r="K53" s="6">
        <v>0</v>
      </c>
      <c r="L53" s="6">
        <v>340.976</v>
      </c>
      <c r="M53" s="6">
        <v>340.976</v>
      </c>
      <c r="N53" s="6">
        <v>340.976</v>
      </c>
      <c r="O53" s="6">
        <v>340.976</v>
      </c>
      <c r="P53" s="6">
        <v>0</v>
      </c>
      <c r="Q53" s="4" t="s">
        <v>26</v>
      </c>
      <c r="R53" s="4">
        <v>0</v>
      </c>
      <c r="S53" s="6">
        <v>0</v>
      </c>
      <c r="T53" s="6">
        <v>8</v>
      </c>
      <c r="U53" s="6">
        <v>63</v>
      </c>
      <c r="V53" s="6">
        <f>IF(ISERROR(VLOOKUP($S$53,'TAR FIN'!$A$1:$O$103,15,0)),0,VLOOKUP($S$53,'TAR FIN'!$A$1:$O$103,15,0))</f>
        <v>0</v>
      </c>
      <c r="W53" s="6">
        <f>IF(ISERROR(VLOOKUP($T$53,'TAR FIN'!$A$1:$O$103,15,0)),0,VLOOKUP($T$53,'TAR FIN'!$A$1:$O$103,15,0))</f>
        <v>69.37</v>
      </c>
      <c r="X53" s="6">
        <f>IF(ISERROR(VLOOKUP($U$53,'TAR FIN'!$A$1:$O$103,15,0)),0,VLOOKUP($U$53,'TAR FIN'!$A$1:$O$103,15,0))</f>
        <v>284.36</v>
      </c>
      <c r="Y53" s="6"/>
      <c r="Z53" s="6">
        <f ca="1">('TUSD BE'!$AM$12+'TUSD BF_350'!$AM$12+'TUSD CVA'!$AM$12)*1</f>
        <v>110.85</v>
      </c>
      <c r="AA53" s="6">
        <f ca="1">('TE BE'!$AB$6+'TE BF_350'!$AB$6+'TE CVA'!$AB$6)*1</f>
        <v>247.20000000000002</v>
      </c>
      <c r="AB53" s="6">
        <f>$K$53*$V$53</f>
        <v>0</v>
      </c>
      <c r="AC53" s="6">
        <f>$M$53*$W$53</f>
        <v>23653.505120000002</v>
      </c>
      <c r="AD53" s="6">
        <f>$O$53*$X$53</f>
        <v>96959.935360000003</v>
      </c>
      <c r="AE53" s="6">
        <f>$K$53*$Y$53</f>
        <v>0</v>
      </c>
      <c r="AF53" s="6">
        <f ca="1">$M$53*$Z$53</f>
        <v>37797.189599999998</v>
      </c>
      <c r="AG53" s="6">
        <f ca="1">$O$53*$AA$53</f>
        <v>84289.267200000002</v>
      </c>
    </row>
    <row r="54" spans="1:33" ht="11.25" customHeight="1" x14ac:dyDescent="0.25">
      <c r="A54" s="4" t="s">
        <v>21</v>
      </c>
      <c r="B54" s="4" t="s">
        <v>42</v>
      </c>
      <c r="C54" s="4" t="s">
        <v>34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44440</v>
      </c>
      <c r="J54" s="6">
        <v>0</v>
      </c>
      <c r="K54" s="6">
        <v>0</v>
      </c>
      <c r="L54" s="6">
        <v>328.19200000000001</v>
      </c>
      <c r="M54" s="6">
        <v>328.19200000000001</v>
      </c>
      <c r="N54" s="6">
        <v>328.19200000000001</v>
      </c>
      <c r="O54" s="6">
        <v>328.19200000000001</v>
      </c>
      <c r="P54" s="6">
        <v>0</v>
      </c>
      <c r="Q54" s="4" t="s">
        <v>26</v>
      </c>
      <c r="R54" s="4">
        <v>0</v>
      </c>
      <c r="S54" s="6">
        <v>0</v>
      </c>
      <c r="T54" s="6">
        <v>8</v>
      </c>
      <c r="U54" s="6">
        <v>63</v>
      </c>
      <c r="V54" s="6">
        <f>IF(ISERROR(VLOOKUP($S$54,'TAR FIN'!$A$1:$O$103,15,0)),0,VLOOKUP($S$54,'TAR FIN'!$A$1:$O$103,15,0))</f>
        <v>0</v>
      </c>
      <c r="W54" s="6">
        <f>IF(ISERROR(VLOOKUP($T$54,'TAR FIN'!$A$1:$O$103,15,0)),0,VLOOKUP($T$54,'TAR FIN'!$A$1:$O$103,15,0))</f>
        <v>69.37</v>
      </c>
      <c r="X54" s="6">
        <f>IF(ISERROR(VLOOKUP($U$54,'TAR FIN'!$A$1:$O$103,15,0)),0,VLOOKUP($U$54,'TAR FIN'!$A$1:$O$103,15,0))</f>
        <v>284.36</v>
      </c>
      <c r="Y54" s="6"/>
      <c r="Z54" s="6">
        <f ca="1">('TUSD BE'!$AM$12+'TUSD BF_350'!$AM$12+'TUSD CVA'!$AM$12)*1</f>
        <v>110.85</v>
      </c>
      <c r="AA54" s="6">
        <f ca="1">('TE BE'!$AB$6+'TE BF_350'!$AB$6+'TE CVA'!$AB$6)*1</f>
        <v>247.20000000000002</v>
      </c>
      <c r="AB54" s="6">
        <f>$K$54*$V$54</f>
        <v>0</v>
      </c>
      <c r="AC54" s="6">
        <f>$M$54*$W$54</f>
        <v>22766.679040000003</v>
      </c>
      <c r="AD54" s="6">
        <f>$O$54*$X$54</f>
        <v>93324.677120000008</v>
      </c>
      <c r="AE54" s="6">
        <f>$K$54*$Y$54</f>
        <v>0</v>
      </c>
      <c r="AF54" s="6">
        <f ca="1">$M$54*$Z$54</f>
        <v>36380.083200000001</v>
      </c>
      <c r="AG54" s="6">
        <f ca="1">$O$54*$AA$54</f>
        <v>81129.06240000001</v>
      </c>
    </row>
    <row r="55" spans="1:33" ht="11.25" customHeight="1" x14ac:dyDescent="0.25">
      <c r="A55" s="4" t="s">
        <v>21</v>
      </c>
      <c r="B55" s="4" t="s">
        <v>42</v>
      </c>
      <c r="C55" s="4" t="s">
        <v>34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44470</v>
      </c>
      <c r="J55" s="6">
        <v>0</v>
      </c>
      <c r="K55" s="6">
        <v>0</v>
      </c>
      <c r="L55" s="6">
        <v>328.95499999999998</v>
      </c>
      <c r="M55" s="6">
        <v>328.95499999999998</v>
      </c>
      <c r="N55" s="6">
        <v>328.95499999999998</v>
      </c>
      <c r="O55" s="6">
        <v>328.95499999999998</v>
      </c>
      <c r="P55" s="6">
        <v>0</v>
      </c>
      <c r="Q55" s="4" t="s">
        <v>26</v>
      </c>
      <c r="R55" s="4">
        <v>0</v>
      </c>
      <c r="S55" s="6">
        <v>0</v>
      </c>
      <c r="T55" s="6">
        <v>8</v>
      </c>
      <c r="U55" s="6">
        <v>63</v>
      </c>
      <c r="V55" s="6">
        <f>IF(ISERROR(VLOOKUP($S$55,'TAR FIN'!$A$1:$O$103,15,0)),0,VLOOKUP($S$55,'TAR FIN'!$A$1:$O$103,15,0))</f>
        <v>0</v>
      </c>
      <c r="W55" s="6">
        <f>IF(ISERROR(VLOOKUP($T$55,'TAR FIN'!$A$1:$O$103,15,0)),0,VLOOKUP($T$55,'TAR FIN'!$A$1:$O$103,15,0))</f>
        <v>69.37</v>
      </c>
      <c r="X55" s="6">
        <f>IF(ISERROR(VLOOKUP($U$55,'TAR FIN'!$A$1:$O$103,15,0)),0,VLOOKUP($U$55,'TAR FIN'!$A$1:$O$103,15,0))</f>
        <v>284.36</v>
      </c>
      <c r="Y55" s="6"/>
      <c r="Z55" s="6">
        <f ca="1">('TUSD BE'!$AM$12+'TUSD BF_350'!$AM$12+'TUSD CVA'!$AM$12)*1</f>
        <v>110.85</v>
      </c>
      <c r="AA55" s="6">
        <f ca="1">('TE BE'!$AB$6+'TE BF_350'!$AB$6+'TE CVA'!$AB$6)*1</f>
        <v>247.20000000000002</v>
      </c>
      <c r="AB55" s="6">
        <f>$K$55*$V$55</f>
        <v>0</v>
      </c>
      <c r="AC55" s="6">
        <f>$M$55*$W$55</f>
        <v>22819.608349999999</v>
      </c>
      <c r="AD55" s="6">
        <f>$O$55*$X$55</f>
        <v>93541.643800000005</v>
      </c>
      <c r="AE55" s="6">
        <f>$K$55*$Y$55</f>
        <v>0</v>
      </c>
      <c r="AF55" s="6">
        <f ca="1">$M$55*$Z$55</f>
        <v>36464.661749999999</v>
      </c>
      <c r="AG55" s="6">
        <f ca="1">$O$55*$AA$55</f>
        <v>81317.676000000007</v>
      </c>
    </row>
    <row r="56" spans="1:33" ht="11.25" customHeight="1" x14ac:dyDescent="0.25">
      <c r="A56" s="4" t="s">
        <v>21</v>
      </c>
      <c r="B56" s="4" t="s">
        <v>42</v>
      </c>
      <c r="C56" s="4" t="s">
        <v>34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44501</v>
      </c>
      <c r="J56" s="6">
        <v>0</v>
      </c>
      <c r="K56" s="6">
        <v>0</v>
      </c>
      <c r="L56" s="6">
        <v>320.24299999999999</v>
      </c>
      <c r="M56" s="6">
        <v>320.24299999999999</v>
      </c>
      <c r="N56" s="6">
        <v>320.24299999999999</v>
      </c>
      <c r="O56" s="6">
        <v>320.24299999999999</v>
      </c>
      <c r="P56" s="6">
        <v>0</v>
      </c>
      <c r="Q56" s="4" t="s">
        <v>26</v>
      </c>
      <c r="R56" s="4">
        <v>0</v>
      </c>
      <c r="S56" s="6">
        <v>0</v>
      </c>
      <c r="T56" s="6">
        <v>8</v>
      </c>
      <c r="U56" s="6">
        <v>63</v>
      </c>
      <c r="V56" s="6">
        <f>IF(ISERROR(VLOOKUP($S$56,'TAR FIN'!$A$1:$O$103,15,0)),0,VLOOKUP($S$56,'TAR FIN'!$A$1:$O$103,15,0))</f>
        <v>0</v>
      </c>
      <c r="W56" s="6">
        <f>IF(ISERROR(VLOOKUP($T$56,'TAR FIN'!$A$1:$O$103,15,0)),0,VLOOKUP($T$56,'TAR FIN'!$A$1:$O$103,15,0))</f>
        <v>69.37</v>
      </c>
      <c r="X56" s="6">
        <f>IF(ISERROR(VLOOKUP($U$56,'TAR FIN'!$A$1:$O$103,15,0)),0,VLOOKUP($U$56,'TAR FIN'!$A$1:$O$103,15,0))</f>
        <v>284.36</v>
      </c>
      <c r="Y56" s="6"/>
      <c r="Z56" s="6">
        <f ca="1">('TUSD BE'!$AM$12+'TUSD BF_350'!$AM$12+'TUSD CVA'!$AM$12)*1</f>
        <v>110.85</v>
      </c>
      <c r="AA56" s="6">
        <f ca="1">('TE BE'!$AB$6+'TE BF_350'!$AB$6+'TE CVA'!$AB$6)*1</f>
        <v>247.20000000000002</v>
      </c>
      <c r="AB56" s="6">
        <f>$K$56*$V$56</f>
        <v>0</v>
      </c>
      <c r="AC56" s="6">
        <f>$M$56*$W$56</f>
        <v>22215.25691</v>
      </c>
      <c r="AD56" s="6">
        <f>$O$56*$X$56</f>
        <v>91064.299480000001</v>
      </c>
      <c r="AE56" s="6">
        <f>$K$56*$Y$56</f>
        <v>0</v>
      </c>
      <c r="AF56" s="6">
        <f ca="1">$M$56*$Z$56</f>
        <v>35498.936549999999</v>
      </c>
      <c r="AG56" s="6">
        <f ca="1">$O$56*$AA$56</f>
        <v>79164.069600000003</v>
      </c>
    </row>
    <row r="57" spans="1:33" ht="11.25" customHeight="1" x14ac:dyDescent="0.25">
      <c r="A57" s="4" t="s">
        <v>21</v>
      </c>
      <c r="B57" s="4" t="s">
        <v>42</v>
      </c>
      <c r="C57" s="4" t="s">
        <v>34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44531</v>
      </c>
      <c r="J57" s="6">
        <v>0</v>
      </c>
      <c r="K57" s="6">
        <v>0</v>
      </c>
      <c r="L57" s="6">
        <v>296.29300000000001</v>
      </c>
      <c r="M57" s="6">
        <v>296.29300000000001</v>
      </c>
      <c r="N57" s="6">
        <v>296.29300000000001</v>
      </c>
      <c r="O57" s="6">
        <v>296.29300000000001</v>
      </c>
      <c r="P57" s="6">
        <v>0</v>
      </c>
      <c r="Q57" s="4" t="s">
        <v>26</v>
      </c>
      <c r="R57" s="4">
        <v>0</v>
      </c>
      <c r="S57" s="6">
        <v>0</v>
      </c>
      <c r="T57" s="6">
        <v>8</v>
      </c>
      <c r="U57" s="6">
        <v>63</v>
      </c>
      <c r="V57" s="6">
        <f>IF(ISERROR(VLOOKUP($S$57,'TAR FIN'!$A$1:$O$103,15,0)),0,VLOOKUP($S$57,'TAR FIN'!$A$1:$O$103,15,0))</f>
        <v>0</v>
      </c>
      <c r="W57" s="6">
        <f>IF(ISERROR(VLOOKUP($T$57,'TAR FIN'!$A$1:$O$103,15,0)),0,VLOOKUP($T$57,'TAR FIN'!$A$1:$O$103,15,0))</f>
        <v>69.37</v>
      </c>
      <c r="X57" s="6">
        <f>IF(ISERROR(VLOOKUP($U$57,'TAR FIN'!$A$1:$O$103,15,0)),0,VLOOKUP($U$57,'TAR FIN'!$A$1:$O$103,15,0))</f>
        <v>284.36</v>
      </c>
      <c r="Y57" s="6"/>
      <c r="Z57" s="6">
        <f ca="1">('TUSD BE'!$AM$12+'TUSD BF_350'!$AM$12+'TUSD CVA'!$AM$12)*1</f>
        <v>110.85</v>
      </c>
      <c r="AA57" s="6">
        <f ca="1">('TE BE'!$AB$6+'TE BF_350'!$AB$6+'TE CVA'!$AB$6)*1</f>
        <v>247.20000000000002</v>
      </c>
      <c r="AB57" s="6">
        <f>$K$57*$V$57</f>
        <v>0</v>
      </c>
      <c r="AC57" s="6">
        <f>$M$57*$W$57</f>
        <v>20553.845410000002</v>
      </c>
      <c r="AD57" s="6">
        <f>$O$57*$X$57</f>
        <v>84253.87748000001</v>
      </c>
      <c r="AE57" s="6">
        <f>$K$57*$Y$57</f>
        <v>0</v>
      </c>
      <c r="AF57" s="6">
        <f ca="1">$M$57*$Z$57</f>
        <v>32844.07905</v>
      </c>
      <c r="AG57" s="6">
        <f ca="1">$O$57*$AA$57</f>
        <v>73243.6296</v>
      </c>
    </row>
    <row r="58" spans="1:33" ht="11.25" customHeight="1" x14ac:dyDescent="0.25">
      <c r="A58" s="4" t="s">
        <v>21</v>
      </c>
      <c r="B58" s="4" t="s">
        <v>42</v>
      </c>
      <c r="C58" s="4" t="s">
        <v>34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44562</v>
      </c>
      <c r="J58" s="6">
        <v>0</v>
      </c>
      <c r="K58" s="6">
        <v>0</v>
      </c>
      <c r="L58" s="6">
        <v>310.31400000000002</v>
      </c>
      <c r="M58" s="6">
        <v>310.31400000000002</v>
      </c>
      <c r="N58" s="6">
        <v>310.31400000000002</v>
      </c>
      <c r="O58" s="6">
        <v>310.31400000000002</v>
      </c>
      <c r="P58" s="6">
        <v>0</v>
      </c>
      <c r="Q58" s="4" t="s">
        <v>26</v>
      </c>
      <c r="R58" s="4">
        <v>0</v>
      </c>
      <c r="S58" s="6">
        <v>0</v>
      </c>
      <c r="T58" s="6">
        <v>8</v>
      </c>
      <c r="U58" s="6">
        <v>63</v>
      </c>
      <c r="V58" s="6">
        <f>IF(ISERROR(VLOOKUP($S$58,'TAR FIN'!$A$1:$O$103,15,0)),0,VLOOKUP($S$58,'TAR FIN'!$A$1:$O$103,15,0))</f>
        <v>0</v>
      </c>
      <c r="W58" s="6">
        <f>IF(ISERROR(VLOOKUP($T$58,'TAR FIN'!$A$1:$O$103,15,0)),0,VLOOKUP($T$58,'TAR FIN'!$A$1:$O$103,15,0))</f>
        <v>69.37</v>
      </c>
      <c r="X58" s="6">
        <f>IF(ISERROR(VLOOKUP($U$58,'TAR FIN'!$A$1:$O$103,15,0)),0,VLOOKUP($U$58,'TAR FIN'!$A$1:$O$103,15,0))</f>
        <v>284.36</v>
      </c>
      <c r="Y58" s="6"/>
      <c r="Z58" s="6">
        <f ca="1">('TUSD BE'!$AM$12+'TUSD BF_350'!$AM$12+'TUSD CVA'!$AM$12)*1</f>
        <v>110.85</v>
      </c>
      <c r="AA58" s="6">
        <f ca="1">('TE BE'!$AB$6+'TE BF_350'!$AB$6+'TE CVA'!$AB$6)*1</f>
        <v>247.20000000000002</v>
      </c>
      <c r="AB58" s="6">
        <f>$K$58*$V$58</f>
        <v>0</v>
      </c>
      <c r="AC58" s="6">
        <f>$M$58*$W$58</f>
        <v>21526.482180000003</v>
      </c>
      <c r="AD58" s="6">
        <f>$O$58*$X$58</f>
        <v>88240.889040000009</v>
      </c>
      <c r="AE58" s="6">
        <f>$K$58*$Y$58</f>
        <v>0</v>
      </c>
      <c r="AF58" s="6">
        <f ca="1">$M$58*$Z$58</f>
        <v>34398.306900000003</v>
      </c>
      <c r="AG58" s="6">
        <f ca="1">$O$58*$AA$58</f>
        <v>76709.620800000004</v>
      </c>
    </row>
    <row r="59" spans="1:33" ht="11.25" customHeight="1" x14ac:dyDescent="0.25">
      <c r="A59" s="4" t="s">
        <v>21</v>
      </c>
      <c r="B59" s="4" t="s">
        <v>42</v>
      </c>
      <c r="C59" s="4" t="s">
        <v>34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44593</v>
      </c>
      <c r="J59" s="6">
        <v>0</v>
      </c>
      <c r="K59" s="6">
        <v>0</v>
      </c>
      <c r="L59" s="6">
        <v>296.92399999999998</v>
      </c>
      <c r="M59" s="6">
        <v>296.92399999999998</v>
      </c>
      <c r="N59" s="6">
        <v>296.92399999999998</v>
      </c>
      <c r="O59" s="6">
        <v>296.92399999999998</v>
      </c>
      <c r="P59" s="6">
        <v>0</v>
      </c>
      <c r="Q59" s="4" t="s">
        <v>26</v>
      </c>
      <c r="R59" s="4">
        <v>0</v>
      </c>
      <c r="S59" s="6">
        <v>0</v>
      </c>
      <c r="T59" s="6">
        <v>8</v>
      </c>
      <c r="U59" s="6">
        <v>63</v>
      </c>
      <c r="V59" s="6">
        <f>IF(ISERROR(VLOOKUP($S$59,'TAR FIN'!$A$1:$O$103,15,0)),0,VLOOKUP($S$59,'TAR FIN'!$A$1:$O$103,15,0))</f>
        <v>0</v>
      </c>
      <c r="W59" s="6">
        <f>IF(ISERROR(VLOOKUP($T$59,'TAR FIN'!$A$1:$O$103,15,0)),0,VLOOKUP($T$59,'TAR FIN'!$A$1:$O$103,15,0))</f>
        <v>69.37</v>
      </c>
      <c r="X59" s="6">
        <f>IF(ISERROR(VLOOKUP($U$59,'TAR FIN'!$A$1:$O$103,15,0)),0,VLOOKUP($U$59,'TAR FIN'!$A$1:$O$103,15,0))</f>
        <v>284.36</v>
      </c>
      <c r="Y59" s="6"/>
      <c r="Z59" s="6">
        <f ca="1">('TUSD BE'!$AM$12+'TUSD BF_350'!$AM$12+'TUSD CVA'!$AM$12)*1</f>
        <v>110.85</v>
      </c>
      <c r="AA59" s="6">
        <f ca="1">('TE BE'!$AB$6+'TE BF_350'!$AB$6+'TE CVA'!$AB$6)*1</f>
        <v>247.20000000000002</v>
      </c>
      <c r="AB59" s="6">
        <f>$K$59*$V$59</f>
        <v>0</v>
      </c>
      <c r="AC59" s="6">
        <f>$M$59*$W$59</f>
        <v>20597.617880000002</v>
      </c>
      <c r="AD59" s="6">
        <f>$O$59*$X$59</f>
        <v>84433.308640000003</v>
      </c>
      <c r="AE59" s="6">
        <f>$K$59*$Y$59</f>
        <v>0</v>
      </c>
      <c r="AF59" s="6">
        <f ca="1">$M$59*$Z$59</f>
        <v>32914.025399999999</v>
      </c>
      <c r="AG59" s="6">
        <f ca="1">$O$59*$AA$59</f>
        <v>73399.612800000003</v>
      </c>
    </row>
    <row r="60" spans="1:33" ht="11.25" customHeight="1" x14ac:dyDescent="0.25">
      <c r="A60" s="4" t="s">
        <v>21</v>
      </c>
      <c r="B60" s="4" t="s">
        <v>42</v>
      </c>
      <c r="C60" s="4" t="s">
        <v>34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44621</v>
      </c>
      <c r="J60" s="6">
        <v>0</v>
      </c>
      <c r="K60" s="6">
        <v>0</v>
      </c>
      <c r="L60" s="6">
        <v>340.31599999999997</v>
      </c>
      <c r="M60" s="6">
        <v>340.31599999999997</v>
      </c>
      <c r="N60" s="6">
        <v>340.31599999999997</v>
      </c>
      <c r="O60" s="6">
        <v>340.31599999999997</v>
      </c>
      <c r="P60" s="6">
        <v>0</v>
      </c>
      <c r="Q60" s="4" t="s">
        <v>26</v>
      </c>
      <c r="R60" s="4">
        <v>0</v>
      </c>
      <c r="S60" s="6">
        <v>0</v>
      </c>
      <c r="T60" s="6">
        <v>8</v>
      </c>
      <c r="U60" s="6">
        <v>63</v>
      </c>
      <c r="V60" s="6">
        <f>IF(ISERROR(VLOOKUP($S$60,'TAR FIN'!$A$1:$O$103,15,0)),0,VLOOKUP($S$60,'TAR FIN'!$A$1:$O$103,15,0))</f>
        <v>0</v>
      </c>
      <c r="W60" s="6">
        <f>IF(ISERROR(VLOOKUP($T$60,'TAR FIN'!$A$1:$O$103,15,0)),0,VLOOKUP($T$60,'TAR FIN'!$A$1:$O$103,15,0))</f>
        <v>69.37</v>
      </c>
      <c r="X60" s="6">
        <f>IF(ISERROR(VLOOKUP($U$60,'TAR FIN'!$A$1:$O$103,15,0)),0,VLOOKUP($U$60,'TAR FIN'!$A$1:$O$103,15,0))</f>
        <v>284.36</v>
      </c>
      <c r="Y60" s="6"/>
      <c r="Z60" s="6">
        <f ca="1">('TUSD BE'!$AM$12+'TUSD BF_350'!$AM$12+'TUSD CVA'!$AM$12)*1</f>
        <v>110.85</v>
      </c>
      <c r="AA60" s="6">
        <f ca="1">('TE BE'!$AB$6+'TE BF_350'!$AB$6+'TE CVA'!$AB$6)*1</f>
        <v>247.20000000000002</v>
      </c>
      <c r="AB60" s="6">
        <f>$K$60*$V$60</f>
        <v>0</v>
      </c>
      <c r="AC60" s="6">
        <f>$M$60*$W$60</f>
        <v>23607.72092</v>
      </c>
      <c r="AD60" s="6">
        <f>$O$60*$X$60</f>
        <v>96772.257759999993</v>
      </c>
      <c r="AE60" s="6">
        <f>$K$60*$Y$60</f>
        <v>0</v>
      </c>
      <c r="AF60" s="6">
        <f ca="1">$M$60*$Z$60</f>
        <v>37724.028599999998</v>
      </c>
      <c r="AG60" s="6">
        <f ca="1">$O$60*$AA$60</f>
        <v>84126.1152</v>
      </c>
    </row>
    <row r="61" spans="1:33" ht="11.25" customHeight="1" x14ac:dyDescent="0.25">
      <c r="A61" s="4" t="s">
        <v>21</v>
      </c>
      <c r="B61" s="4" t="s">
        <v>42</v>
      </c>
      <c r="C61" s="4" t="s">
        <v>34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44652</v>
      </c>
      <c r="J61" s="6">
        <v>0</v>
      </c>
      <c r="K61" s="6">
        <v>0</v>
      </c>
      <c r="L61" s="6">
        <v>310.22500000000002</v>
      </c>
      <c r="M61" s="6">
        <v>310.22500000000002</v>
      </c>
      <c r="N61" s="6">
        <v>310.22500000000002</v>
      </c>
      <c r="O61" s="6">
        <v>310.22500000000002</v>
      </c>
      <c r="P61" s="6">
        <v>0</v>
      </c>
      <c r="Q61" s="4" t="s">
        <v>26</v>
      </c>
      <c r="R61" s="4">
        <v>0</v>
      </c>
      <c r="S61" s="6">
        <v>0</v>
      </c>
      <c r="T61" s="6">
        <v>8</v>
      </c>
      <c r="U61" s="6">
        <v>63</v>
      </c>
      <c r="V61" s="6">
        <f>IF(ISERROR(VLOOKUP($S$61,'TAR FIN'!$A$1:$O$103,15,0)),0,VLOOKUP($S$61,'TAR FIN'!$A$1:$O$103,15,0))</f>
        <v>0</v>
      </c>
      <c r="W61" s="6">
        <f>IF(ISERROR(VLOOKUP($T$61,'TAR FIN'!$A$1:$O$103,15,0)),0,VLOOKUP($T$61,'TAR FIN'!$A$1:$O$103,15,0))</f>
        <v>69.37</v>
      </c>
      <c r="X61" s="6">
        <f>IF(ISERROR(VLOOKUP($U$61,'TAR FIN'!$A$1:$O$103,15,0)),0,VLOOKUP($U$61,'TAR FIN'!$A$1:$O$103,15,0))</f>
        <v>284.36</v>
      </c>
      <c r="Y61" s="6"/>
      <c r="Z61" s="6">
        <f ca="1">('TUSD BE'!$AM$12+'TUSD BF_350'!$AM$12+'TUSD CVA'!$AM$12)*1</f>
        <v>110.85</v>
      </c>
      <c r="AA61" s="6">
        <f ca="1">('TE BE'!$AB$6+'TE BF_350'!$AB$6+'TE CVA'!$AB$6)*1</f>
        <v>247.20000000000002</v>
      </c>
      <c r="AB61" s="6">
        <f>$K$61*$V$61</f>
        <v>0</v>
      </c>
      <c r="AC61" s="6">
        <f>$M$61*$W$61</f>
        <v>21520.308250000002</v>
      </c>
      <c r="AD61" s="6">
        <f>$O$61*$X$61</f>
        <v>88215.581000000006</v>
      </c>
      <c r="AE61" s="6">
        <f>$K$61*$Y$61</f>
        <v>0</v>
      </c>
      <c r="AF61" s="6">
        <f ca="1">$M$61*$Z$61</f>
        <v>34388.441250000003</v>
      </c>
      <c r="AG61" s="6">
        <f ca="1">$O$61*$AA$61</f>
        <v>76687.62000000001</v>
      </c>
    </row>
    <row r="62" spans="1:33" ht="11.25" customHeight="1" x14ac:dyDescent="0.25">
      <c r="A62" s="4" t="s">
        <v>21</v>
      </c>
      <c r="B62" s="4" t="s">
        <v>42</v>
      </c>
      <c r="C62" s="4" t="s">
        <v>34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44682</v>
      </c>
      <c r="J62" s="6">
        <v>0</v>
      </c>
      <c r="K62" s="6">
        <v>0</v>
      </c>
      <c r="L62" s="6">
        <v>333.02199999999999</v>
      </c>
      <c r="M62" s="6">
        <v>333.02199999999999</v>
      </c>
      <c r="N62" s="6">
        <v>333.02199999999999</v>
      </c>
      <c r="O62" s="6">
        <v>333.02199999999999</v>
      </c>
      <c r="P62" s="6">
        <v>0</v>
      </c>
      <c r="Q62" s="4" t="s">
        <v>26</v>
      </c>
      <c r="R62" s="4">
        <v>0</v>
      </c>
      <c r="S62" s="6">
        <v>0</v>
      </c>
      <c r="T62" s="6">
        <v>8</v>
      </c>
      <c r="U62" s="6">
        <v>63</v>
      </c>
      <c r="V62" s="6">
        <f>IF(ISERROR(VLOOKUP($S$62,'TAR FIN'!$A$1:$O$103,15,0)),0,VLOOKUP($S$62,'TAR FIN'!$A$1:$O$103,15,0))</f>
        <v>0</v>
      </c>
      <c r="W62" s="6">
        <f>IF(ISERROR(VLOOKUP($T$62,'TAR FIN'!$A$1:$O$103,15,0)),0,VLOOKUP($T$62,'TAR FIN'!$A$1:$O$103,15,0))</f>
        <v>69.37</v>
      </c>
      <c r="X62" s="6">
        <f>IF(ISERROR(VLOOKUP($U$62,'TAR FIN'!$A$1:$O$103,15,0)),0,VLOOKUP($U$62,'TAR FIN'!$A$1:$O$103,15,0))</f>
        <v>284.36</v>
      </c>
      <c r="Y62" s="6"/>
      <c r="Z62" s="6">
        <f ca="1">('TUSD BE'!$AM$12+'TUSD BF_350'!$AM$12+'TUSD CVA'!$AM$12)*1</f>
        <v>110.85</v>
      </c>
      <c r="AA62" s="6">
        <f ca="1">('TE BE'!$AB$6+'TE BF_350'!$AB$6+'TE CVA'!$AB$6)*1</f>
        <v>247.20000000000002</v>
      </c>
      <c r="AB62" s="6">
        <f>$K$62*$V$62</f>
        <v>0</v>
      </c>
      <c r="AC62" s="6">
        <f>$M$62*$W$62</f>
        <v>23101.736140000001</v>
      </c>
      <c r="AD62" s="6">
        <f>$O$62*$X$62</f>
        <v>94698.135920000001</v>
      </c>
      <c r="AE62" s="6">
        <f>$K$62*$Y$62</f>
        <v>0</v>
      </c>
      <c r="AF62" s="6">
        <f ca="1">$M$62*$Z$62</f>
        <v>36915.488699999994</v>
      </c>
      <c r="AG62" s="6">
        <f ca="1">$O$62*$AA$62</f>
        <v>82323.038400000005</v>
      </c>
    </row>
    <row r="63" spans="1:33" ht="11.25" customHeight="1" x14ac:dyDescent="0.25">
      <c r="A63" s="4" t="s">
        <v>21</v>
      </c>
      <c r="B63" s="4" t="s">
        <v>42</v>
      </c>
      <c r="C63" s="4" t="s">
        <v>34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25</v>
      </c>
      <c r="I63" s="5">
        <v>44348</v>
      </c>
      <c r="J63" s="6">
        <v>1365</v>
      </c>
      <c r="K63" s="6">
        <v>1365</v>
      </c>
      <c r="L63" s="6">
        <v>0</v>
      </c>
      <c r="M63" s="6">
        <v>0</v>
      </c>
      <c r="N63" s="6">
        <v>0</v>
      </c>
      <c r="O63" s="6">
        <v>0</v>
      </c>
      <c r="P63" s="6">
        <v>4</v>
      </c>
      <c r="Q63" s="4" t="s">
        <v>26</v>
      </c>
      <c r="R63" s="4">
        <v>0</v>
      </c>
      <c r="S63" s="6">
        <v>6</v>
      </c>
      <c r="T63" s="6">
        <v>0</v>
      </c>
      <c r="U63" s="6">
        <v>0</v>
      </c>
      <c r="V63" s="6">
        <f>IF(ISERROR(VLOOKUP($S$63,'TAR FIN'!$A$1:$O$103,15,0)),0,VLOOKUP($S$63,'TAR FIN'!$A$1:$O$103,15,0))</f>
        <v>12.42</v>
      </c>
      <c r="W63" s="6">
        <f>IF(ISERROR(VLOOKUP($T$63,'TAR FIN'!$A$1:$O$103,15,0)),0,VLOOKUP($T$63,'TAR FIN'!$A$1:$O$103,15,0))</f>
        <v>0</v>
      </c>
      <c r="X63" s="6">
        <f>IF(ISERROR(VLOOKUP($U$63,'TAR FIN'!$A$1:$O$103,15,0)),0,VLOOKUP($U$63,'TAR FIN'!$A$1:$O$103,15,0))</f>
        <v>0</v>
      </c>
      <c r="Y63" s="6">
        <f ca="1">('TUSD BE'!$AM$10+'TUSD BF_350'!$AM$10+'TUSD CVA'!$AM$10)*1</f>
        <v>17.579999999999998</v>
      </c>
      <c r="Z63" s="6"/>
      <c r="AA63" s="6"/>
      <c r="AB63" s="6">
        <f>$K$63*$V$63</f>
        <v>16953.3</v>
      </c>
      <c r="AC63" s="6">
        <f>$M$63*$W$63</f>
        <v>0</v>
      </c>
      <c r="AD63" s="6">
        <f>$O$63*$X$63</f>
        <v>0</v>
      </c>
      <c r="AE63" s="6">
        <f ca="1">$K$63*$Y$63</f>
        <v>23996.699999999997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42</v>
      </c>
      <c r="C64" s="4" t="s">
        <v>34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25</v>
      </c>
      <c r="I64" s="5">
        <v>44378</v>
      </c>
      <c r="J64" s="6">
        <v>1427</v>
      </c>
      <c r="K64" s="6">
        <v>1427</v>
      </c>
      <c r="L64" s="6">
        <v>0</v>
      </c>
      <c r="M64" s="6">
        <v>0</v>
      </c>
      <c r="N64" s="6">
        <v>0</v>
      </c>
      <c r="O64" s="6">
        <v>0</v>
      </c>
      <c r="P64" s="6">
        <v>4</v>
      </c>
      <c r="Q64" s="4" t="s">
        <v>26</v>
      </c>
      <c r="R64" s="4">
        <v>0</v>
      </c>
      <c r="S64" s="6">
        <v>6</v>
      </c>
      <c r="T64" s="6">
        <v>0</v>
      </c>
      <c r="U64" s="6">
        <v>0</v>
      </c>
      <c r="V64" s="6">
        <f>IF(ISERROR(VLOOKUP($S$64,'TAR FIN'!$A$1:$O$103,15,0)),0,VLOOKUP($S$64,'TAR FIN'!$A$1:$O$103,15,0))</f>
        <v>12.42</v>
      </c>
      <c r="W64" s="6">
        <f>IF(ISERROR(VLOOKUP($T$64,'TAR FIN'!$A$1:$O$103,15,0)),0,VLOOKUP($T$64,'TAR FIN'!$A$1:$O$103,15,0))</f>
        <v>0</v>
      </c>
      <c r="X64" s="6">
        <f>IF(ISERROR(VLOOKUP($U$64,'TAR FIN'!$A$1:$O$103,15,0)),0,VLOOKUP($U$64,'TAR FIN'!$A$1:$O$103,15,0))</f>
        <v>0</v>
      </c>
      <c r="Y64" s="6">
        <f ca="1">('TUSD BE'!$AM$10+'TUSD BF_350'!$AM$10+'TUSD CVA'!$AM$10)*1</f>
        <v>17.579999999999998</v>
      </c>
      <c r="Z64" s="6"/>
      <c r="AA64" s="6"/>
      <c r="AB64" s="6">
        <f>$K$64*$V$64</f>
        <v>17723.34</v>
      </c>
      <c r="AC64" s="6">
        <f>$M$64*$W$64</f>
        <v>0</v>
      </c>
      <c r="AD64" s="6">
        <f>$O$64*$X$64</f>
        <v>0</v>
      </c>
      <c r="AE64" s="6">
        <f ca="1">$K$64*$Y$64</f>
        <v>25086.659999999996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42</v>
      </c>
      <c r="C65" s="4" t="s">
        <v>34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25</v>
      </c>
      <c r="I65" s="5">
        <v>44409</v>
      </c>
      <c r="J65" s="6">
        <v>1379</v>
      </c>
      <c r="K65" s="6">
        <v>1379</v>
      </c>
      <c r="L65" s="6">
        <v>0</v>
      </c>
      <c r="M65" s="6">
        <v>0</v>
      </c>
      <c r="N65" s="6">
        <v>0</v>
      </c>
      <c r="O65" s="6">
        <v>0</v>
      </c>
      <c r="P65" s="6">
        <v>4</v>
      </c>
      <c r="Q65" s="4" t="s">
        <v>26</v>
      </c>
      <c r="R65" s="4">
        <v>0</v>
      </c>
      <c r="S65" s="6">
        <v>6</v>
      </c>
      <c r="T65" s="6">
        <v>0</v>
      </c>
      <c r="U65" s="6">
        <v>0</v>
      </c>
      <c r="V65" s="6">
        <f>IF(ISERROR(VLOOKUP($S$65,'TAR FIN'!$A$1:$O$103,15,0)),0,VLOOKUP($S$65,'TAR FIN'!$A$1:$O$103,15,0))</f>
        <v>12.42</v>
      </c>
      <c r="W65" s="6">
        <f>IF(ISERROR(VLOOKUP($T$65,'TAR FIN'!$A$1:$O$103,15,0)),0,VLOOKUP($T$65,'TAR FIN'!$A$1:$O$103,15,0))</f>
        <v>0</v>
      </c>
      <c r="X65" s="6">
        <f>IF(ISERROR(VLOOKUP($U$65,'TAR FIN'!$A$1:$O$103,15,0)),0,VLOOKUP($U$65,'TAR FIN'!$A$1:$O$103,15,0))</f>
        <v>0</v>
      </c>
      <c r="Y65" s="6">
        <f ca="1">('TUSD BE'!$AM$10+'TUSD BF_350'!$AM$10+'TUSD CVA'!$AM$10)*1</f>
        <v>17.579999999999998</v>
      </c>
      <c r="Z65" s="6"/>
      <c r="AA65" s="6"/>
      <c r="AB65" s="6">
        <f>$K$65*$V$65</f>
        <v>17127.18</v>
      </c>
      <c r="AC65" s="6">
        <f>$M$65*$W$65</f>
        <v>0</v>
      </c>
      <c r="AD65" s="6">
        <f>$O$65*$X$65</f>
        <v>0</v>
      </c>
      <c r="AE65" s="6">
        <f ca="1">$K$65*$Y$65</f>
        <v>24242.819999999996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42</v>
      </c>
      <c r="C66" s="4" t="s">
        <v>34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25</v>
      </c>
      <c r="I66" s="5">
        <v>44440</v>
      </c>
      <c r="J66" s="6">
        <v>1272</v>
      </c>
      <c r="K66" s="6">
        <v>1272</v>
      </c>
      <c r="L66" s="6">
        <v>0</v>
      </c>
      <c r="M66" s="6">
        <v>0</v>
      </c>
      <c r="N66" s="6">
        <v>0</v>
      </c>
      <c r="O66" s="6">
        <v>0</v>
      </c>
      <c r="P66" s="6">
        <v>3</v>
      </c>
      <c r="Q66" s="4" t="s">
        <v>26</v>
      </c>
      <c r="R66" s="4">
        <v>0</v>
      </c>
      <c r="S66" s="6">
        <v>6</v>
      </c>
      <c r="T66" s="6">
        <v>0</v>
      </c>
      <c r="U66" s="6">
        <v>0</v>
      </c>
      <c r="V66" s="6">
        <f>IF(ISERROR(VLOOKUP($S$66,'TAR FIN'!$A$1:$O$103,15,0)),0,VLOOKUP($S$66,'TAR FIN'!$A$1:$O$103,15,0))</f>
        <v>12.42</v>
      </c>
      <c r="W66" s="6">
        <f>IF(ISERROR(VLOOKUP($T$66,'TAR FIN'!$A$1:$O$103,15,0)),0,VLOOKUP($T$66,'TAR FIN'!$A$1:$O$103,15,0))</f>
        <v>0</v>
      </c>
      <c r="X66" s="6">
        <f>IF(ISERROR(VLOOKUP($U$66,'TAR FIN'!$A$1:$O$103,15,0)),0,VLOOKUP($U$66,'TAR FIN'!$A$1:$O$103,15,0))</f>
        <v>0</v>
      </c>
      <c r="Y66" s="6">
        <f ca="1">('TUSD BE'!$AM$10+'TUSD BF_350'!$AM$10+'TUSD CVA'!$AM$10)*1</f>
        <v>17.579999999999998</v>
      </c>
      <c r="Z66" s="6"/>
      <c r="AA66" s="6"/>
      <c r="AB66" s="6">
        <f>$K$66*$V$66</f>
        <v>15798.24</v>
      </c>
      <c r="AC66" s="6">
        <f>$M$66*$W$66</f>
        <v>0</v>
      </c>
      <c r="AD66" s="6">
        <f>$O$66*$X$66</f>
        <v>0</v>
      </c>
      <c r="AE66" s="6">
        <f ca="1">$K$66*$Y$66</f>
        <v>22361.759999999998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42</v>
      </c>
      <c r="C67" s="4" t="s">
        <v>34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25</v>
      </c>
      <c r="I67" s="5">
        <v>44470</v>
      </c>
      <c r="J67" s="6">
        <v>1164</v>
      </c>
      <c r="K67" s="6">
        <v>1164</v>
      </c>
      <c r="L67" s="6">
        <v>0</v>
      </c>
      <c r="M67" s="6">
        <v>0</v>
      </c>
      <c r="N67" s="6">
        <v>0</v>
      </c>
      <c r="O67" s="6">
        <v>0</v>
      </c>
      <c r="P67" s="6">
        <v>2</v>
      </c>
      <c r="Q67" s="4" t="s">
        <v>26</v>
      </c>
      <c r="R67" s="4">
        <v>0</v>
      </c>
      <c r="S67" s="6">
        <v>6</v>
      </c>
      <c r="T67" s="6">
        <v>0</v>
      </c>
      <c r="U67" s="6">
        <v>0</v>
      </c>
      <c r="V67" s="6">
        <f>IF(ISERROR(VLOOKUP($S$67,'TAR FIN'!$A$1:$O$103,15,0)),0,VLOOKUP($S$67,'TAR FIN'!$A$1:$O$103,15,0))</f>
        <v>12.42</v>
      </c>
      <c r="W67" s="6">
        <f>IF(ISERROR(VLOOKUP($T$67,'TAR FIN'!$A$1:$O$103,15,0)),0,VLOOKUP($T$67,'TAR FIN'!$A$1:$O$103,15,0))</f>
        <v>0</v>
      </c>
      <c r="X67" s="6">
        <f>IF(ISERROR(VLOOKUP($U$67,'TAR FIN'!$A$1:$O$103,15,0)),0,VLOOKUP($U$67,'TAR FIN'!$A$1:$O$103,15,0))</f>
        <v>0</v>
      </c>
      <c r="Y67" s="6">
        <f ca="1">('TUSD BE'!$AM$10+'TUSD BF_350'!$AM$10+'TUSD CVA'!$AM$10)*1</f>
        <v>17.579999999999998</v>
      </c>
      <c r="Z67" s="6"/>
      <c r="AA67" s="6"/>
      <c r="AB67" s="6">
        <f>$K$67*$V$67</f>
        <v>14456.88</v>
      </c>
      <c r="AC67" s="6">
        <f>$M$67*$W$67</f>
        <v>0</v>
      </c>
      <c r="AD67" s="6">
        <f>$O$67*$X$67</f>
        <v>0</v>
      </c>
      <c r="AE67" s="6">
        <f ca="1">$K$67*$Y$67</f>
        <v>20463.12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42</v>
      </c>
      <c r="C68" s="4" t="s">
        <v>34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25</v>
      </c>
      <c r="I68" s="5">
        <v>44501</v>
      </c>
      <c r="J68" s="6">
        <v>1136</v>
      </c>
      <c r="K68" s="6">
        <v>1136</v>
      </c>
      <c r="L68" s="6">
        <v>0</v>
      </c>
      <c r="M68" s="6">
        <v>0</v>
      </c>
      <c r="N68" s="6">
        <v>0</v>
      </c>
      <c r="O68" s="6">
        <v>0</v>
      </c>
      <c r="P68" s="6">
        <v>2</v>
      </c>
      <c r="Q68" s="4" t="s">
        <v>26</v>
      </c>
      <c r="R68" s="4">
        <v>0</v>
      </c>
      <c r="S68" s="6">
        <v>6</v>
      </c>
      <c r="T68" s="6">
        <v>0</v>
      </c>
      <c r="U68" s="6">
        <v>0</v>
      </c>
      <c r="V68" s="6">
        <f>IF(ISERROR(VLOOKUP($S$68,'TAR FIN'!$A$1:$O$103,15,0)),0,VLOOKUP($S$68,'TAR FIN'!$A$1:$O$103,15,0))</f>
        <v>12.42</v>
      </c>
      <c r="W68" s="6">
        <f>IF(ISERROR(VLOOKUP($T$68,'TAR FIN'!$A$1:$O$103,15,0)),0,VLOOKUP($T$68,'TAR FIN'!$A$1:$O$103,15,0))</f>
        <v>0</v>
      </c>
      <c r="X68" s="6">
        <f>IF(ISERROR(VLOOKUP($U$68,'TAR FIN'!$A$1:$O$103,15,0)),0,VLOOKUP($U$68,'TAR FIN'!$A$1:$O$103,15,0))</f>
        <v>0</v>
      </c>
      <c r="Y68" s="6">
        <f ca="1">('TUSD BE'!$AM$10+'TUSD BF_350'!$AM$10+'TUSD CVA'!$AM$10)*1</f>
        <v>17.579999999999998</v>
      </c>
      <c r="Z68" s="6"/>
      <c r="AA68" s="6"/>
      <c r="AB68" s="6">
        <f>$K$68*$V$68</f>
        <v>14109.12</v>
      </c>
      <c r="AC68" s="6">
        <f>$M$68*$W$68</f>
        <v>0</v>
      </c>
      <c r="AD68" s="6">
        <f>$O$68*$X$68</f>
        <v>0</v>
      </c>
      <c r="AE68" s="6">
        <f ca="1">$K$68*$Y$68</f>
        <v>19970.879999999997</v>
      </c>
      <c r="AF68" s="6">
        <f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42</v>
      </c>
      <c r="C69" s="4" t="s">
        <v>34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1114</v>
      </c>
      <c r="K69" s="6">
        <v>1114</v>
      </c>
      <c r="L69" s="6">
        <v>0</v>
      </c>
      <c r="M69" s="6">
        <v>0</v>
      </c>
      <c r="N69" s="6">
        <v>0</v>
      </c>
      <c r="O69" s="6">
        <v>0</v>
      </c>
      <c r="P69" s="6">
        <v>2</v>
      </c>
      <c r="Q69" s="4" t="s">
        <v>26</v>
      </c>
      <c r="R69" s="4">
        <v>0</v>
      </c>
      <c r="S69" s="6">
        <v>6</v>
      </c>
      <c r="T69" s="6">
        <v>0</v>
      </c>
      <c r="U69" s="6">
        <v>0</v>
      </c>
      <c r="V69" s="6">
        <f>IF(ISERROR(VLOOKUP($S$69,'TAR FIN'!$A$1:$O$103,15,0)),0,VLOOKUP($S$69,'TAR FIN'!$A$1:$O$103,15,0))</f>
        <v>12.42</v>
      </c>
      <c r="W69" s="6">
        <f>IF(ISERROR(VLOOKUP($T$69,'TAR FIN'!$A$1:$O$103,15,0)),0,VLOOKUP($T$69,'TAR FIN'!$A$1:$O$103,15,0))</f>
        <v>0</v>
      </c>
      <c r="X69" s="6">
        <f>IF(ISERROR(VLOOKUP($U$69,'TAR FIN'!$A$1:$O$103,15,0)),0,VLOOKUP($U$69,'TAR FIN'!$A$1:$O$103,15,0))</f>
        <v>0</v>
      </c>
      <c r="Y69" s="6">
        <f ca="1">('TUSD BE'!$AM$10+'TUSD BF_350'!$AM$10+'TUSD CVA'!$AM$10)*1</f>
        <v>17.579999999999998</v>
      </c>
      <c r="Z69" s="6"/>
      <c r="AA69" s="6"/>
      <c r="AB69" s="6">
        <f>$K$69*$V$69</f>
        <v>13835.88</v>
      </c>
      <c r="AC69" s="6">
        <f>$M$69*$W$69</f>
        <v>0</v>
      </c>
      <c r="AD69" s="6">
        <f>$O$69*$X$69</f>
        <v>0</v>
      </c>
      <c r="AE69" s="6">
        <f ca="1">$K$69*$Y$69</f>
        <v>19584.12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28</v>
      </c>
      <c r="B70" s="4" t="s">
        <v>42</v>
      </c>
      <c r="C70" s="4" t="s">
        <v>34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44531</v>
      </c>
      <c r="J70" s="6">
        <v>216</v>
      </c>
      <c r="K70" s="6">
        <v>216</v>
      </c>
      <c r="L70" s="6">
        <v>0</v>
      </c>
      <c r="M70" s="6">
        <v>0</v>
      </c>
      <c r="N70" s="6">
        <v>0</v>
      </c>
      <c r="O70" s="6">
        <v>0</v>
      </c>
      <c r="P70" s="6">
        <v>2</v>
      </c>
      <c r="Q70" s="4" t="s">
        <v>26</v>
      </c>
      <c r="R70" s="4">
        <v>0</v>
      </c>
      <c r="S70" s="6">
        <v>6</v>
      </c>
      <c r="T70" s="6">
        <v>0</v>
      </c>
      <c r="U70" s="6">
        <v>0</v>
      </c>
      <c r="V70" s="6">
        <f>IF(ISERROR(VLOOKUP($S$70,'TAR FIN'!$A$1:$O$103,15,0)),0,VLOOKUP($S$70,'TAR FIN'!$A$1:$O$103,15,0))</f>
        <v>12.42</v>
      </c>
      <c r="W70" s="6">
        <f>IF(ISERROR(VLOOKUP($T$70,'TAR FIN'!$A$1:$O$103,15,0)),0,VLOOKUP($T$70,'TAR FIN'!$A$1:$O$103,15,0))</f>
        <v>0</v>
      </c>
      <c r="X70" s="6">
        <f>IF(ISERROR(VLOOKUP($U$70,'TAR FIN'!$A$1:$O$103,15,0)),0,VLOOKUP($U$70,'TAR FIN'!$A$1:$O$103,15,0))</f>
        <v>0</v>
      </c>
      <c r="Y70" s="6">
        <f ca="1">('TUSD BE'!$AM$10+'TUSD BF_350'!$AM$10+'TUSD CVA'!$AM$10)*1</f>
        <v>17.579999999999998</v>
      </c>
      <c r="Z70" s="6"/>
      <c r="AA70" s="6"/>
      <c r="AB70" s="6">
        <f>$K$70*$V$70</f>
        <v>2682.72</v>
      </c>
      <c r="AC70" s="6">
        <f>$M$70*$W$70</f>
        <v>0</v>
      </c>
      <c r="AD70" s="6">
        <f>$O$70*$X$70</f>
        <v>0</v>
      </c>
      <c r="AE70" s="6">
        <f ca="1">$K$70*$Y$70</f>
        <v>3797.2799999999997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42</v>
      </c>
      <c r="C71" s="4" t="s">
        <v>34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44562</v>
      </c>
      <c r="J71" s="6">
        <v>1105</v>
      </c>
      <c r="K71" s="6">
        <v>1105</v>
      </c>
      <c r="L71" s="6">
        <v>0</v>
      </c>
      <c r="M71" s="6">
        <v>0</v>
      </c>
      <c r="N71" s="6">
        <v>0</v>
      </c>
      <c r="O71" s="6">
        <v>0</v>
      </c>
      <c r="P71" s="6">
        <v>2</v>
      </c>
      <c r="Q71" s="4" t="s">
        <v>26</v>
      </c>
      <c r="R71" s="4">
        <v>0</v>
      </c>
      <c r="S71" s="6">
        <v>6</v>
      </c>
      <c r="T71" s="6">
        <v>0</v>
      </c>
      <c r="U71" s="6">
        <v>0</v>
      </c>
      <c r="V71" s="6">
        <f>IF(ISERROR(VLOOKUP($S$71,'TAR FIN'!$A$1:$O$103,15,0)),0,VLOOKUP($S$71,'TAR FIN'!$A$1:$O$103,15,0))</f>
        <v>12.42</v>
      </c>
      <c r="W71" s="6">
        <f>IF(ISERROR(VLOOKUP($T$71,'TAR FIN'!$A$1:$O$103,15,0)),0,VLOOKUP($T$71,'TAR FIN'!$A$1:$O$103,15,0))</f>
        <v>0</v>
      </c>
      <c r="X71" s="6">
        <f>IF(ISERROR(VLOOKUP($U$71,'TAR FIN'!$A$1:$O$103,15,0)),0,VLOOKUP($U$71,'TAR FIN'!$A$1:$O$103,15,0))</f>
        <v>0</v>
      </c>
      <c r="Y71" s="6">
        <f ca="1">('TUSD BE'!$AM$10+'TUSD BF_350'!$AM$10+'TUSD CVA'!$AM$10)*1</f>
        <v>17.579999999999998</v>
      </c>
      <c r="Z71" s="6"/>
      <c r="AA71" s="6"/>
      <c r="AB71" s="6">
        <f>$K$71*$V$71</f>
        <v>13724.1</v>
      </c>
      <c r="AC71" s="6">
        <f>$M$71*$W$71</f>
        <v>0</v>
      </c>
      <c r="AD71" s="6">
        <f>$O$71*$X$71</f>
        <v>0</v>
      </c>
      <c r="AE71" s="6">
        <f ca="1">$K$71*$Y$71</f>
        <v>19425.899999999998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28</v>
      </c>
      <c r="B72" s="4" t="s">
        <v>42</v>
      </c>
      <c r="C72" s="4" t="s">
        <v>34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44562</v>
      </c>
      <c r="J72" s="6">
        <v>219</v>
      </c>
      <c r="K72" s="6">
        <v>219</v>
      </c>
      <c r="L72" s="6">
        <v>0</v>
      </c>
      <c r="M72" s="6">
        <v>0</v>
      </c>
      <c r="N72" s="6">
        <v>0</v>
      </c>
      <c r="O72" s="6">
        <v>0</v>
      </c>
      <c r="P72" s="6">
        <v>2</v>
      </c>
      <c r="Q72" s="4" t="s">
        <v>26</v>
      </c>
      <c r="R72" s="4">
        <v>0</v>
      </c>
      <c r="S72" s="6">
        <v>6</v>
      </c>
      <c r="T72" s="6">
        <v>0</v>
      </c>
      <c r="U72" s="6">
        <v>0</v>
      </c>
      <c r="V72" s="6">
        <f>IF(ISERROR(VLOOKUP($S$72,'TAR FIN'!$A$1:$O$103,15,0)),0,VLOOKUP($S$72,'TAR FIN'!$A$1:$O$103,15,0))</f>
        <v>12.42</v>
      </c>
      <c r="W72" s="6">
        <f>IF(ISERROR(VLOOKUP($T$72,'TAR FIN'!$A$1:$O$103,15,0)),0,VLOOKUP($T$72,'TAR FIN'!$A$1:$O$103,15,0))</f>
        <v>0</v>
      </c>
      <c r="X72" s="6">
        <f>IF(ISERROR(VLOOKUP($U$72,'TAR FIN'!$A$1:$O$103,15,0)),0,VLOOKUP($U$72,'TAR FIN'!$A$1:$O$103,15,0))</f>
        <v>0</v>
      </c>
      <c r="Y72" s="6">
        <f ca="1">('TUSD BE'!$AM$10+'TUSD BF_350'!$AM$10+'TUSD CVA'!$AM$10)*1</f>
        <v>17.579999999999998</v>
      </c>
      <c r="Z72" s="6"/>
      <c r="AA72" s="6"/>
      <c r="AB72" s="6">
        <f>$K$72*$V$72</f>
        <v>2719.98</v>
      </c>
      <c r="AC72" s="6">
        <f>$M$72*$W$72</f>
        <v>0</v>
      </c>
      <c r="AD72" s="6">
        <f>$O$72*$X$72</f>
        <v>0</v>
      </c>
      <c r="AE72" s="6">
        <f ca="1">$K$72*$Y$72</f>
        <v>3850.0199999999995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42</v>
      </c>
      <c r="C73" s="4" t="s">
        <v>34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44593</v>
      </c>
      <c r="J73" s="6">
        <v>1156</v>
      </c>
      <c r="K73" s="6">
        <v>1156</v>
      </c>
      <c r="L73" s="6">
        <v>0</v>
      </c>
      <c r="M73" s="6">
        <v>0</v>
      </c>
      <c r="N73" s="6">
        <v>0</v>
      </c>
      <c r="O73" s="6">
        <v>0</v>
      </c>
      <c r="P73" s="6">
        <v>2</v>
      </c>
      <c r="Q73" s="4" t="s">
        <v>26</v>
      </c>
      <c r="R73" s="4">
        <v>0</v>
      </c>
      <c r="S73" s="6">
        <v>6</v>
      </c>
      <c r="T73" s="6">
        <v>0</v>
      </c>
      <c r="U73" s="6">
        <v>0</v>
      </c>
      <c r="V73" s="6">
        <f>IF(ISERROR(VLOOKUP($S$73,'TAR FIN'!$A$1:$O$103,15,0)),0,VLOOKUP($S$73,'TAR FIN'!$A$1:$O$103,15,0))</f>
        <v>12.42</v>
      </c>
      <c r="W73" s="6">
        <f>IF(ISERROR(VLOOKUP($T$73,'TAR FIN'!$A$1:$O$103,15,0)),0,VLOOKUP($T$73,'TAR FIN'!$A$1:$O$103,15,0))</f>
        <v>0</v>
      </c>
      <c r="X73" s="6">
        <f>IF(ISERROR(VLOOKUP($U$73,'TAR FIN'!$A$1:$O$103,15,0)),0,VLOOKUP($U$73,'TAR FIN'!$A$1:$O$103,15,0))</f>
        <v>0</v>
      </c>
      <c r="Y73" s="6">
        <f ca="1">('TUSD BE'!$AM$10+'TUSD BF_350'!$AM$10+'TUSD CVA'!$AM$10)*1</f>
        <v>17.579999999999998</v>
      </c>
      <c r="Z73" s="6"/>
      <c r="AA73" s="6"/>
      <c r="AB73" s="6">
        <f>$K$73*$V$73</f>
        <v>14357.52</v>
      </c>
      <c r="AC73" s="6">
        <f>$M$73*$W$73</f>
        <v>0</v>
      </c>
      <c r="AD73" s="6">
        <f>$O$73*$X$73</f>
        <v>0</v>
      </c>
      <c r="AE73" s="6">
        <f ca="1">$K$73*$Y$73</f>
        <v>20322.48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28</v>
      </c>
      <c r="B74" s="4" t="s">
        <v>42</v>
      </c>
      <c r="C74" s="4" t="s">
        <v>34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44593</v>
      </c>
      <c r="J74" s="6">
        <v>216</v>
      </c>
      <c r="K74" s="6">
        <v>216</v>
      </c>
      <c r="L74" s="6">
        <v>0</v>
      </c>
      <c r="M74" s="6">
        <v>0</v>
      </c>
      <c r="N74" s="6">
        <v>0</v>
      </c>
      <c r="O74" s="6">
        <v>0</v>
      </c>
      <c r="P74" s="6">
        <v>2</v>
      </c>
      <c r="Q74" s="4" t="s">
        <v>26</v>
      </c>
      <c r="R74" s="4">
        <v>0</v>
      </c>
      <c r="S74" s="6">
        <v>6</v>
      </c>
      <c r="T74" s="6">
        <v>0</v>
      </c>
      <c r="U74" s="6">
        <v>0</v>
      </c>
      <c r="V74" s="6">
        <f>IF(ISERROR(VLOOKUP($S$74,'TAR FIN'!$A$1:$O$103,15,0)),0,VLOOKUP($S$74,'TAR FIN'!$A$1:$O$103,15,0))</f>
        <v>12.42</v>
      </c>
      <c r="W74" s="6">
        <f>IF(ISERROR(VLOOKUP($T$74,'TAR FIN'!$A$1:$O$103,15,0)),0,VLOOKUP($T$74,'TAR FIN'!$A$1:$O$103,15,0))</f>
        <v>0</v>
      </c>
      <c r="X74" s="6">
        <f>IF(ISERROR(VLOOKUP($U$74,'TAR FIN'!$A$1:$O$103,15,0)),0,VLOOKUP($U$74,'TAR FIN'!$A$1:$O$103,15,0))</f>
        <v>0</v>
      </c>
      <c r="Y74" s="6">
        <f ca="1">('TUSD BE'!$AM$10+'TUSD BF_350'!$AM$10+'TUSD CVA'!$AM$10)*1</f>
        <v>17.579999999999998</v>
      </c>
      <c r="Z74" s="6"/>
      <c r="AA74" s="6"/>
      <c r="AB74" s="6">
        <f>$K$74*$V$74</f>
        <v>2682.72</v>
      </c>
      <c r="AC74" s="6">
        <f>$M$74*$W$74</f>
        <v>0</v>
      </c>
      <c r="AD74" s="6">
        <f>$O$74*$X$74</f>
        <v>0</v>
      </c>
      <c r="AE74" s="6">
        <f ca="1">$K$74*$Y$74</f>
        <v>3797.2799999999997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42</v>
      </c>
      <c r="C75" s="4" t="s">
        <v>34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44621</v>
      </c>
      <c r="J75" s="6">
        <v>1177</v>
      </c>
      <c r="K75" s="6">
        <v>1177</v>
      </c>
      <c r="L75" s="6">
        <v>0</v>
      </c>
      <c r="M75" s="6">
        <v>0</v>
      </c>
      <c r="N75" s="6">
        <v>0</v>
      </c>
      <c r="O75" s="6">
        <v>0</v>
      </c>
      <c r="P75" s="6">
        <v>2</v>
      </c>
      <c r="Q75" s="4" t="s">
        <v>26</v>
      </c>
      <c r="R75" s="4">
        <v>0</v>
      </c>
      <c r="S75" s="6">
        <v>6</v>
      </c>
      <c r="T75" s="6">
        <v>0</v>
      </c>
      <c r="U75" s="6">
        <v>0</v>
      </c>
      <c r="V75" s="6">
        <f>IF(ISERROR(VLOOKUP($S$75,'TAR FIN'!$A$1:$O$103,15,0)),0,VLOOKUP($S$75,'TAR FIN'!$A$1:$O$103,15,0))</f>
        <v>12.42</v>
      </c>
      <c r="W75" s="6">
        <f>IF(ISERROR(VLOOKUP($T$75,'TAR FIN'!$A$1:$O$103,15,0)),0,VLOOKUP($T$75,'TAR FIN'!$A$1:$O$103,15,0))</f>
        <v>0</v>
      </c>
      <c r="X75" s="6">
        <f>IF(ISERROR(VLOOKUP($U$75,'TAR FIN'!$A$1:$O$103,15,0)),0,VLOOKUP($U$75,'TAR FIN'!$A$1:$O$103,15,0))</f>
        <v>0</v>
      </c>
      <c r="Y75" s="6">
        <f ca="1">('TUSD BE'!$AM$10+'TUSD BF_350'!$AM$10+'TUSD CVA'!$AM$10)*1</f>
        <v>17.579999999999998</v>
      </c>
      <c r="Z75" s="6"/>
      <c r="AA75" s="6"/>
      <c r="AB75" s="6">
        <f>$K$75*$V$75</f>
        <v>14618.34</v>
      </c>
      <c r="AC75" s="6">
        <f>$M$75*$W$75</f>
        <v>0</v>
      </c>
      <c r="AD75" s="6">
        <f>$O$75*$X$75</f>
        <v>0</v>
      </c>
      <c r="AE75" s="6">
        <f ca="1">$K$75*$Y$75</f>
        <v>20691.659999999996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28</v>
      </c>
      <c r="B76" s="4" t="s">
        <v>42</v>
      </c>
      <c r="C76" s="4" t="s">
        <v>34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44621</v>
      </c>
      <c r="J76" s="6">
        <v>215</v>
      </c>
      <c r="K76" s="6">
        <v>215</v>
      </c>
      <c r="L76" s="6">
        <v>0</v>
      </c>
      <c r="M76" s="6">
        <v>0</v>
      </c>
      <c r="N76" s="6">
        <v>0</v>
      </c>
      <c r="O76" s="6">
        <v>0</v>
      </c>
      <c r="P76" s="6">
        <v>2</v>
      </c>
      <c r="Q76" s="4" t="s">
        <v>26</v>
      </c>
      <c r="R76" s="4">
        <v>0</v>
      </c>
      <c r="S76" s="6">
        <v>6</v>
      </c>
      <c r="T76" s="6">
        <v>0</v>
      </c>
      <c r="U76" s="6">
        <v>0</v>
      </c>
      <c r="V76" s="6">
        <f>IF(ISERROR(VLOOKUP($S$76,'TAR FIN'!$A$1:$O$103,15,0)),0,VLOOKUP($S$76,'TAR FIN'!$A$1:$O$103,15,0))</f>
        <v>12.42</v>
      </c>
      <c r="W76" s="6">
        <f>IF(ISERROR(VLOOKUP($T$76,'TAR FIN'!$A$1:$O$103,15,0)),0,VLOOKUP($T$76,'TAR FIN'!$A$1:$O$103,15,0))</f>
        <v>0</v>
      </c>
      <c r="X76" s="6">
        <f>IF(ISERROR(VLOOKUP($U$76,'TAR FIN'!$A$1:$O$103,15,0)),0,VLOOKUP($U$76,'TAR FIN'!$A$1:$O$103,15,0))</f>
        <v>0</v>
      </c>
      <c r="Y76" s="6">
        <f ca="1">('TUSD BE'!$AM$10+'TUSD BF_350'!$AM$10+'TUSD CVA'!$AM$10)*1</f>
        <v>17.579999999999998</v>
      </c>
      <c r="Z76" s="6"/>
      <c r="AA76" s="6"/>
      <c r="AB76" s="6">
        <f>$K$76*$V$76</f>
        <v>2670.3</v>
      </c>
      <c r="AC76" s="6">
        <f>$M$76*$W$76</f>
        <v>0</v>
      </c>
      <c r="AD76" s="6">
        <f>$O$76*$X$76</f>
        <v>0</v>
      </c>
      <c r="AE76" s="6">
        <f ca="1">$K$76*$Y$76</f>
        <v>3779.7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42</v>
      </c>
      <c r="C77" s="4" t="s">
        <v>34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44652</v>
      </c>
      <c r="J77" s="6">
        <v>1181</v>
      </c>
      <c r="K77" s="6">
        <v>1181</v>
      </c>
      <c r="L77" s="6">
        <v>0</v>
      </c>
      <c r="M77" s="6">
        <v>0</v>
      </c>
      <c r="N77" s="6">
        <v>0</v>
      </c>
      <c r="O77" s="6">
        <v>0</v>
      </c>
      <c r="P77" s="6">
        <v>2</v>
      </c>
      <c r="Q77" s="4" t="s">
        <v>26</v>
      </c>
      <c r="R77" s="4">
        <v>0</v>
      </c>
      <c r="S77" s="6">
        <v>6</v>
      </c>
      <c r="T77" s="6">
        <v>0</v>
      </c>
      <c r="U77" s="6">
        <v>0</v>
      </c>
      <c r="V77" s="6">
        <f>IF(ISERROR(VLOOKUP($S$77,'TAR FIN'!$A$1:$O$103,15,0)),0,VLOOKUP($S$77,'TAR FIN'!$A$1:$O$103,15,0))</f>
        <v>12.42</v>
      </c>
      <c r="W77" s="6">
        <f>IF(ISERROR(VLOOKUP($T$77,'TAR FIN'!$A$1:$O$103,15,0)),0,VLOOKUP($T$77,'TAR FIN'!$A$1:$O$103,15,0))</f>
        <v>0</v>
      </c>
      <c r="X77" s="6">
        <f>IF(ISERROR(VLOOKUP($U$77,'TAR FIN'!$A$1:$O$103,15,0)),0,VLOOKUP($U$77,'TAR FIN'!$A$1:$O$103,15,0))</f>
        <v>0</v>
      </c>
      <c r="Y77" s="6">
        <f ca="1">('TUSD BE'!$AM$10+'TUSD BF_350'!$AM$10+'TUSD CVA'!$AM$10)*1</f>
        <v>17.579999999999998</v>
      </c>
      <c r="Z77" s="6"/>
      <c r="AA77" s="6"/>
      <c r="AB77" s="6">
        <f>$K$77*$V$77</f>
        <v>14668.02</v>
      </c>
      <c r="AC77" s="6">
        <f>$M$77*$W$77</f>
        <v>0</v>
      </c>
      <c r="AD77" s="6">
        <f>$O$77*$X$77</f>
        <v>0</v>
      </c>
      <c r="AE77" s="6">
        <f ca="1">$K$77*$Y$77</f>
        <v>20761.98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28</v>
      </c>
      <c r="B78" s="4" t="s">
        <v>42</v>
      </c>
      <c r="C78" s="4" t="s">
        <v>34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44652</v>
      </c>
      <c r="J78" s="6">
        <v>209</v>
      </c>
      <c r="K78" s="6">
        <v>209</v>
      </c>
      <c r="L78" s="6">
        <v>0</v>
      </c>
      <c r="M78" s="6">
        <v>0</v>
      </c>
      <c r="N78" s="6">
        <v>0</v>
      </c>
      <c r="O78" s="6">
        <v>0</v>
      </c>
      <c r="P78" s="6">
        <v>2</v>
      </c>
      <c r="Q78" s="4" t="s">
        <v>26</v>
      </c>
      <c r="R78" s="4">
        <v>0</v>
      </c>
      <c r="S78" s="6">
        <v>6</v>
      </c>
      <c r="T78" s="6">
        <v>0</v>
      </c>
      <c r="U78" s="6">
        <v>0</v>
      </c>
      <c r="V78" s="6">
        <f>IF(ISERROR(VLOOKUP($S$78,'TAR FIN'!$A$1:$O$103,15,0)),0,VLOOKUP($S$78,'TAR FIN'!$A$1:$O$103,15,0))</f>
        <v>12.42</v>
      </c>
      <c r="W78" s="6">
        <f>IF(ISERROR(VLOOKUP($T$78,'TAR FIN'!$A$1:$O$103,15,0)),0,VLOOKUP($T$78,'TAR FIN'!$A$1:$O$103,15,0))</f>
        <v>0</v>
      </c>
      <c r="X78" s="6">
        <f>IF(ISERROR(VLOOKUP($U$78,'TAR FIN'!$A$1:$O$103,15,0)),0,VLOOKUP($U$78,'TAR FIN'!$A$1:$O$103,15,0))</f>
        <v>0</v>
      </c>
      <c r="Y78" s="6">
        <f ca="1">('TUSD BE'!$AM$10+'TUSD BF_350'!$AM$10+'TUSD CVA'!$AM$10)*1</f>
        <v>17.579999999999998</v>
      </c>
      <c r="Z78" s="6"/>
      <c r="AA78" s="6"/>
      <c r="AB78" s="6">
        <f>$K$78*$V$78</f>
        <v>2595.7800000000002</v>
      </c>
      <c r="AC78" s="6">
        <f>$M$78*$W$78</f>
        <v>0</v>
      </c>
      <c r="AD78" s="6">
        <f>$O$78*$X$78</f>
        <v>0</v>
      </c>
      <c r="AE78" s="6">
        <f ca="1">$K$78*$Y$78</f>
        <v>3674.22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42</v>
      </c>
      <c r="C79" s="4" t="s">
        <v>34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44682</v>
      </c>
      <c r="J79" s="6">
        <v>1180</v>
      </c>
      <c r="K79" s="6">
        <v>1180</v>
      </c>
      <c r="L79" s="6">
        <v>0</v>
      </c>
      <c r="M79" s="6">
        <v>0</v>
      </c>
      <c r="N79" s="6">
        <v>0</v>
      </c>
      <c r="O79" s="6">
        <v>0</v>
      </c>
      <c r="P79" s="6">
        <v>2</v>
      </c>
      <c r="Q79" s="4" t="s">
        <v>26</v>
      </c>
      <c r="R79" s="4">
        <v>0</v>
      </c>
      <c r="S79" s="6">
        <v>6</v>
      </c>
      <c r="T79" s="6">
        <v>0</v>
      </c>
      <c r="U79" s="6">
        <v>0</v>
      </c>
      <c r="V79" s="6">
        <f>IF(ISERROR(VLOOKUP($S$79,'TAR FIN'!$A$1:$O$103,15,0)),0,VLOOKUP($S$79,'TAR FIN'!$A$1:$O$103,15,0))</f>
        <v>12.42</v>
      </c>
      <c r="W79" s="6">
        <f>IF(ISERROR(VLOOKUP($T$79,'TAR FIN'!$A$1:$O$103,15,0)),0,VLOOKUP($T$79,'TAR FIN'!$A$1:$O$103,15,0))</f>
        <v>0</v>
      </c>
      <c r="X79" s="6">
        <f>IF(ISERROR(VLOOKUP($U$79,'TAR FIN'!$A$1:$O$103,15,0)),0,VLOOKUP($U$79,'TAR FIN'!$A$1:$O$103,15,0))</f>
        <v>0</v>
      </c>
      <c r="Y79" s="6">
        <f ca="1">('TUSD BE'!$AM$10+'TUSD BF_350'!$AM$10+'TUSD CVA'!$AM$10)*1</f>
        <v>17.579999999999998</v>
      </c>
      <c r="Z79" s="6"/>
      <c r="AA79" s="6"/>
      <c r="AB79" s="6">
        <f>$K$79*$V$79</f>
        <v>14655.6</v>
      </c>
      <c r="AC79" s="6">
        <f>$M$79*$W$79</f>
        <v>0</v>
      </c>
      <c r="AD79" s="6">
        <f>$O$79*$X$79</f>
        <v>0</v>
      </c>
      <c r="AE79" s="6">
        <f ca="1">$K$79*$Y$79</f>
        <v>20744.399999999998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28</v>
      </c>
      <c r="B80" s="4" t="s">
        <v>42</v>
      </c>
      <c r="C80" s="4" t="s">
        <v>34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44682</v>
      </c>
      <c r="J80" s="6">
        <v>218</v>
      </c>
      <c r="K80" s="6">
        <v>218</v>
      </c>
      <c r="L80" s="6">
        <v>0</v>
      </c>
      <c r="M80" s="6">
        <v>0</v>
      </c>
      <c r="N80" s="6">
        <v>0</v>
      </c>
      <c r="O80" s="6">
        <v>0</v>
      </c>
      <c r="P80" s="6">
        <v>2</v>
      </c>
      <c r="Q80" s="4" t="s">
        <v>26</v>
      </c>
      <c r="R80" s="4">
        <v>0</v>
      </c>
      <c r="S80" s="6">
        <v>6</v>
      </c>
      <c r="T80" s="6">
        <v>0</v>
      </c>
      <c r="U80" s="6">
        <v>0</v>
      </c>
      <c r="V80" s="6">
        <f>IF(ISERROR(VLOOKUP($S$80,'TAR FIN'!$A$1:$O$103,15,0)),0,VLOOKUP($S$80,'TAR FIN'!$A$1:$O$103,15,0))</f>
        <v>12.42</v>
      </c>
      <c r="W80" s="6">
        <f>IF(ISERROR(VLOOKUP($T$80,'TAR FIN'!$A$1:$O$103,15,0)),0,VLOOKUP($T$80,'TAR FIN'!$A$1:$O$103,15,0))</f>
        <v>0</v>
      </c>
      <c r="X80" s="6">
        <f>IF(ISERROR(VLOOKUP($U$80,'TAR FIN'!$A$1:$O$103,15,0)),0,VLOOKUP($U$80,'TAR FIN'!$A$1:$O$103,15,0))</f>
        <v>0</v>
      </c>
      <c r="Y80" s="6">
        <f ca="1">('TUSD BE'!$AM$10+'TUSD BF_350'!$AM$10+'TUSD CVA'!$AM$10)*1</f>
        <v>17.579999999999998</v>
      </c>
      <c r="Z80" s="6"/>
      <c r="AA80" s="6"/>
      <c r="AB80" s="6">
        <f>$K$80*$V$80</f>
        <v>2707.56</v>
      </c>
      <c r="AC80" s="6">
        <f>$M$80*$W$80</f>
        <v>0</v>
      </c>
      <c r="AD80" s="6">
        <f>$O$80*$X$80</f>
        <v>0</v>
      </c>
      <c r="AE80" s="6">
        <f ca="1">$K$80*$Y$80</f>
        <v>3832.4399999999996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42</v>
      </c>
      <c r="C81" s="4" t="s">
        <v>34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44348</v>
      </c>
      <c r="J81" s="6">
        <v>0</v>
      </c>
      <c r="K81" s="6">
        <v>0</v>
      </c>
      <c r="L81" s="6">
        <v>21.103000000000002</v>
      </c>
      <c r="M81" s="6">
        <v>21.103000000000002</v>
      </c>
      <c r="N81" s="6">
        <v>21.103000000000002</v>
      </c>
      <c r="O81" s="6">
        <v>21.103000000000002</v>
      </c>
      <c r="P81" s="6">
        <v>0</v>
      </c>
      <c r="Q81" s="4" t="s">
        <v>26</v>
      </c>
      <c r="R81" s="4">
        <v>0</v>
      </c>
      <c r="S81" s="6">
        <v>0</v>
      </c>
      <c r="T81" s="6">
        <v>7</v>
      </c>
      <c r="U81" s="6">
        <v>62</v>
      </c>
      <c r="V81" s="6">
        <f>IF(ISERROR(VLOOKUP($S$81,'TAR FIN'!$A$1:$O$103,15,0)),0,VLOOKUP($S$81,'TAR FIN'!$A$1:$O$103,15,0))</f>
        <v>0</v>
      </c>
      <c r="W81" s="6">
        <f>IF(ISERROR(VLOOKUP($T$81,'TAR FIN'!$A$1:$O$103,15,0)),0,VLOOKUP($T$81,'TAR FIN'!$A$1:$O$103,15,0))</f>
        <v>842.31</v>
      </c>
      <c r="X81" s="6">
        <f>IF(ISERROR(VLOOKUP($U$81,'TAR FIN'!$A$1:$O$103,15,0)),0,VLOOKUP($U$81,'TAR FIN'!$A$1:$O$103,15,0))</f>
        <v>454.9</v>
      </c>
      <c r="Y81" s="6"/>
      <c r="Z81" s="6">
        <f ca="1">('TUSD BE'!$AM$11+'TUSD BF_350'!$AM$11+'TUSD CVA'!$AM$11)*1</f>
        <v>1027.46</v>
      </c>
      <c r="AA81" s="6">
        <f ca="1">('TE BE'!$AB$5+'TE BF_350'!$AB$5+'TE CVA'!$AB$5)*1</f>
        <v>388.08000000000004</v>
      </c>
      <c r="AB81" s="6">
        <f>$K$81*$V$81</f>
        <v>0</v>
      </c>
      <c r="AC81" s="6">
        <f>$M$81*$W$81</f>
        <v>17775.267930000002</v>
      </c>
      <c r="AD81" s="6">
        <f>$O$81*$X$81</f>
        <v>9599.7546999999995</v>
      </c>
      <c r="AE81" s="6">
        <f>$K$81*$Y$81</f>
        <v>0</v>
      </c>
      <c r="AF81" s="6">
        <f ca="1">$M$81*$Z$81</f>
        <v>21682.488380000003</v>
      </c>
      <c r="AG81" s="6">
        <f ca="1">$O$81*$AA$81</f>
        <v>8189.6522400000013</v>
      </c>
    </row>
    <row r="82" spans="1:33" ht="11.25" customHeight="1" x14ac:dyDescent="0.25">
      <c r="A82" s="4" t="s">
        <v>21</v>
      </c>
      <c r="B82" s="4" t="s">
        <v>42</v>
      </c>
      <c r="C82" s="4" t="s">
        <v>34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44378</v>
      </c>
      <c r="J82" s="6">
        <v>0</v>
      </c>
      <c r="K82" s="6">
        <v>0</v>
      </c>
      <c r="L82" s="6">
        <v>24.123999999999999</v>
      </c>
      <c r="M82" s="6">
        <v>24.123999999999999</v>
      </c>
      <c r="N82" s="6">
        <v>24.123999999999999</v>
      </c>
      <c r="O82" s="6">
        <v>24.123999999999999</v>
      </c>
      <c r="P82" s="6">
        <v>0</v>
      </c>
      <c r="Q82" s="4" t="s">
        <v>26</v>
      </c>
      <c r="R82" s="4">
        <v>0</v>
      </c>
      <c r="S82" s="6">
        <v>0</v>
      </c>
      <c r="T82" s="6">
        <v>7</v>
      </c>
      <c r="U82" s="6">
        <v>62</v>
      </c>
      <c r="V82" s="6">
        <f>IF(ISERROR(VLOOKUP($S$82,'TAR FIN'!$A$1:$O$103,15,0)),0,VLOOKUP($S$82,'TAR FIN'!$A$1:$O$103,15,0))</f>
        <v>0</v>
      </c>
      <c r="W82" s="6">
        <f>IF(ISERROR(VLOOKUP($T$82,'TAR FIN'!$A$1:$O$103,15,0)),0,VLOOKUP($T$82,'TAR FIN'!$A$1:$O$103,15,0))</f>
        <v>842.31</v>
      </c>
      <c r="X82" s="6">
        <f>IF(ISERROR(VLOOKUP($U$82,'TAR FIN'!$A$1:$O$103,15,0)),0,VLOOKUP($U$82,'TAR FIN'!$A$1:$O$103,15,0))</f>
        <v>454.9</v>
      </c>
      <c r="Y82" s="6"/>
      <c r="Z82" s="6">
        <f ca="1">('TUSD BE'!$AM$11+'TUSD BF_350'!$AM$11+'TUSD CVA'!$AM$11)*1</f>
        <v>1027.46</v>
      </c>
      <c r="AA82" s="6">
        <f ca="1">('TE BE'!$AB$5+'TE BF_350'!$AB$5+'TE CVA'!$AB$5)*1</f>
        <v>388.08000000000004</v>
      </c>
      <c r="AB82" s="6">
        <f>$K$82*$V$82</f>
        <v>0</v>
      </c>
      <c r="AC82" s="6">
        <f>$M$82*$W$82</f>
        <v>20319.886439999998</v>
      </c>
      <c r="AD82" s="6">
        <f>$O$82*$X$82</f>
        <v>10974.007599999999</v>
      </c>
      <c r="AE82" s="6">
        <f>$K$82*$Y$82</f>
        <v>0</v>
      </c>
      <c r="AF82" s="6">
        <f ca="1">$M$82*$Z$82</f>
        <v>24786.445039999999</v>
      </c>
      <c r="AG82" s="6">
        <f ca="1">$O$82*$AA$82</f>
        <v>9362.0419199999997</v>
      </c>
    </row>
    <row r="83" spans="1:33" ht="11.25" customHeight="1" x14ac:dyDescent="0.25">
      <c r="A83" s="4" t="s">
        <v>21</v>
      </c>
      <c r="B83" s="4" t="s">
        <v>42</v>
      </c>
      <c r="C83" s="4" t="s">
        <v>34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44409</v>
      </c>
      <c r="J83" s="6">
        <v>0</v>
      </c>
      <c r="K83" s="6">
        <v>0</v>
      </c>
      <c r="L83" s="6">
        <v>21.966000000000001</v>
      </c>
      <c r="M83" s="6">
        <v>21.966000000000001</v>
      </c>
      <c r="N83" s="6">
        <v>21.966000000000001</v>
      </c>
      <c r="O83" s="6">
        <v>21.966000000000001</v>
      </c>
      <c r="P83" s="6">
        <v>0</v>
      </c>
      <c r="Q83" s="4" t="s">
        <v>26</v>
      </c>
      <c r="R83" s="4">
        <v>0</v>
      </c>
      <c r="S83" s="6">
        <v>0</v>
      </c>
      <c r="T83" s="6">
        <v>7</v>
      </c>
      <c r="U83" s="6">
        <v>62</v>
      </c>
      <c r="V83" s="6">
        <f>IF(ISERROR(VLOOKUP($S$83,'TAR FIN'!$A$1:$O$103,15,0)),0,VLOOKUP($S$83,'TAR FIN'!$A$1:$O$103,15,0))</f>
        <v>0</v>
      </c>
      <c r="W83" s="6">
        <f>IF(ISERROR(VLOOKUP($T$83,'TAR FIN'!$A$1:$O$103,15,0)),0,VLOOKUP($T$83,'TAR FIN'!$A$1:$O$103,15,0))</f>
        <v>842.31</v>
      </c>
      <c r="X83" s="6">
        <f>IF(ISERROR(VLOOKUP($U$83,'TAR FIN'!$A$1:$O$103,15,0)),0,VLOOKUP($U$83,'TAR FIN'!$A$1:$O$103,15,0))</f>
        <v>454.9</v>
      </c>
      <c r="Y83" s="6"/>
      <c r="Z83" s="6">
        <f ca="1">('TUSD BE'!$AM$11+'TUSD BF_350'!$AM$11+'TUSD CVA'!$AM$11)*1</f>
        <v>1027.46</v>
      </c>
      <c r="AA83" s="6">
        <f ca="1">('TE BE'!$AB$5+'TE BF_350'!$AB$5+'TE CVA'!$AB$5)*1</f>
        <v>388.08000000000004</v>
      </c>
      <c r="AB83" s="6">
        <f>$K$83*$V$83</f>
        <v>0</v>
      </c>
      <c r="AC83" s="6">
        <f>$M$83*$W$83</f>
        <v>18502.18146</v>
      </c>
      <c r="AD83" s="6">
        <f>$O$83*$X$83</f>
        <v>9992.3333999999995</v>
      </c>
      <c r="AE83" s="6">
        <f>$K$83*$Y$83</f>
        <v>0</v>
      </c>
      <c r="AF83" s="6">
        <f ca="1">$M$83*$Z$83</f>
        <v>22569.186360000003</v>
      </c>
      <c r="AG83" s="6">
        <f ca="1">$O$83*$AA$83</f>
        <v>8524.5652800000007</v>
      </c>
    </row>
    <row r="84" spans="1:33" ht="11.25" customHeight="1" x14ac:dyDescent="0.25">
      <c r="A84" s="4" t="s">
        <v>21</v>
      </c>
      <c r="B84" s="4" t="s">
        <v>42</v>
      </c>
      <c r="C84" s="4" t="s">
        <v>34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44440</v>
      </c>
      <c r="J84" s="6">
        <v>0</v>
      </c>
      <c r="K84" s="6">
        <v>0</v>
      </c>
      <c r="L84" s="6">
        <v>20.585999999999999</v>
      </c>
      <c r="M84" s="6">
        <v>20.585999999999999</v>
      </c>
      <c r="N84" s="6">
        <v>20.585999999999999</v>
      </c>
      <c r="O84" s="6">
        <v>20.585999999999999</v>
      </c>
      <c r="P84" s="6">
        <v>0</v>
      </c>
      <c r="Q84" s="4" t="s">
        <v>26</v>
      </c>
      <c r="R84" s="4">
        <v>0</v>
      </c>
      <c r="S84" s="6">
        <v>0</v>
      </c>
      <c r="T84" s="6">
        <v>7</v>
      </c>
      <c r="U84" s="6">
        <v>62</v>
      </c>
      <c r="V84" s="6">
        <f>IF(ISERROR(VLOOKUP($S$84,'TAR FIN'!$A$1:$O$103,15,0)),0,VLOOKUP($S$84,'TAR FIN'!$A$1:$O$103,15,0))</f>
        <v>0</v>
      </c>
      <c r="W84" s="6">
        <f>IF(ISERROR(VLOOKUP($T$84,'TAR FIN'!$A$1:$O$103,15,0)),0,VLOOKUP($T$84,'TAR FIN'!$A$1:$O$103,15,0))</f>
        <v>842.31</v>
      </c>
      <c r="X84" s="6">
        <f>IF(ISERROR(VLOOKUP($U$84,'TAR FIN'!$A$1:$O$103,15,0)),0,VLOOKUP($U$84,'TAR FIN'!$A$1:$O$103,15,0))</f>
        <v>454.9</v>
      </c>
      <c r="Y84" s="6"/>
      <c r="Z84" s="6">
        <f ca="1">('TUSD BE'!$AM$11+'TUSD BF_350'!$AM$11+'TUSD CVA'!$AM$11)*1</f>
        <v>1027.46</v>
      </c>
      <c r="AA84" s="6">
        <f ca="1">('TE BE'!$AB$5+'TE BF_350'!$AB$5+'TE CVA'!$AB$5)*1</f>
        <v>388.08000000000004</v>
      </c>
      <c r="AB84" s="6">
        <f>$K$84*$V$84</f>
        <v>0</v>
      </c>
      <c r="AC84" s="6">
        <f>$M$84*$W$84</f>
        <v>17339.793659999999</v>
      </c>
      <c r="AD84" s="6">
        <f>$O$84*$X$84</f>
        <v>9364.5713999999989</v>
      </c>
      <c r="AE84" s="6">
        <f>$K$84*$Y$84</f>
        <v>0</v>
      </c>
      <c r="AF84" s="6">
        <f ca="1">$M$84*$Z$84</f>
        <v>21151.291559999998</v>
      </c>
      <c r="AG84" s="6">
        <f ca="1">$O$84*$AA$84</f>
        <v>7989.0148800000006</v>
      </c>
    </row>
    <row r="85" spans="1:33" ht="11.25" customHeight="1" x14ac:dyDescent="0.25">
      <c r="A85" s="4" t="s">
        <v>21</v>
      </c>
      <c r="B85" s="4" t="s">
        <v>42</v>
      </c>
      <c r="C85" s="4" t="s">
        <v>34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44470</v>
      </c>
      <c r="J85" s="6">
        <v>0</v>
      </c>
      <c r="K85" s="6">
        <v>0</v>
      </c>
      <c r="L85" s="6">
        <v>19.867000000000001</v>
      </c>
      <c r="M85" s="6">
        <v>19.867000000000001</v>
      </c>
      <c r="N85" s="6">
        <v>19.867000000000001</v>
      </c>
      <c r="O85" s="6">
        <v>19.867000000000001</v>
      </c>
      <c r="P85" s="6">
        <v>0</v>
      </c>
      <c r="Q85" s="4" t="s">
        <v>26</v>
      </c>
      <c r="R85" s="4">
        <v>0</v>
      </c>
      <c r="S85" s="6">
        <v>0</v>
      </c>
      <c r="T85" s="6">
        <v>7</v>
      </c>
      <c r="U85" s="6">
        <v>62</v>
      </c>
      <c r="V85" s="6">
        <f>IF(ISERROR(VLOOKUP($S$85,'TAR FIN'!$A$1:$O$103,15,0)),0,VLOOKUP($S$85,'TAR FIN'!$A$1:$O$103,15,0))</f>
        <v>0</v>
      </c>
      <c r="W85" s="6">
        <f>IF(ISERROR(VLOOKUP($T$85,'TAR FIN'!$A$1:$O$103,15,0)),0,VLOOKUP($T$85,'TAR FIN'!$A$1:$O$103,15,0))</f>
        <v>842.31</v>
      </c>
      <c r="X85" s="6">
        <f>IF(ISERROR(VLOOKUP($U$85,'TAR FIN'!$A$1:$O$103,15,0)),0,VLOOKUP($U$85,'TAR FIN'!$A$1:$O$103,15,0))</f>
        <v>454.9</v>
      </c>
      <c r="Y85" s="6"/>
      <c r="Z85" s="6">
        <f ca="1">('TUSD BE'!$AM$11+'TUSD BF_350'!$AM$11+'TUSD CVA'!$AM$11)*1</f>
        <v>1027.46</v>
      </c>
      <c r="AA85" s="6">
        <f ca="1">('TE BE'!$AB$5+'TE BF_350'!$AB$5+'TE CVA'!$AB$5)*1</f>
        <v>388.08000000000004</v>
      </c>
      <c r="AB85" s="6">
        <f>$K$85*$V$85</f>
        <v>0</v>
      </c>
      <c r="AC85" s="6">
        <f>$M$85*$W$85</f>
        <v>16734.172770000001</v>
      </c>
      <c r="AD85" s="6">
        <f>$O$85*$X$85</f>
        <v>9037.4982999999993</v>
      </c>
      <c r="AE85" s="6">
        <f>$K$85*$Y$85</f>
        <v>0</v>
      </c>
      <c r="AF85" s="6">
        <f ca="1">$M$85*$Z$85</f>
        <v>20412.547820000003</v>
      </c>
      <c r="AG85" s="6">
        <f ca="1">$O$85*$AA$85</f>
        <v>7709.9853600000015</v>
      </c>
    </row>
    <row r="86" spans="1:33" ht="11.25" customHeight="1" x14ac:dyDescent="0.25">
      <c r="A86" s="4" t="s">
        <v>21</v>
      </c>
      <c r="B86" s="4" t="s">
        <v>42</v>
      </c>
      <c r="C86" s="4" t="s">
        <v>34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44501</v>
      </c>
      <c r="J86" s="6">
        <v>0</v>
      </c>
      <c r="K86" s="6">
        <v>0</v>
      </c>
      <c r="L86" s="6">
        <v>18.02</v>
      </c>
      <c r="M86" s="6">
        <v>18.02</v>
      </c>
      <c r="N86" s="6">
        <v>18.02</v>
      </c>
      <c r="O86" s="6">
        <v>18.02</v>
      </c>
      <c r="P86" s="6">
        <v>0</v>
      </c>
      <c r="Q86" s="4" t="s">
        <v>26</v>
      </c>
      <c r="R86" s="4">
        <v>0</v>
      </c>
      <c r="S86" s="6">
        <v>0</v>
      </c>
      <c r="T86" s="6">
        <v>7</v>
      </c>
      <c r="U86" s="6">
        <v>62</v>
      </c>
      <c r="V86" s="6">
        <f>IF(ISERROR(VLOOKUP($S$86,'TAR FIN'!$A$1:$O$103,15,0)),0,VLOOKUP($S$86,'TAR FIN'!$A$1:$O$103,15,0))</f>
        <v>0</v>
      </c>
      <c r="W86" s="6">
        <f>IF(ISERROR(VLOOKUP($T$86,'TAR FIN'!$A$1:$O$103,15,0)),0,VLOOKUP($T$86,'TAR FIN'!$A$1:$O$103,15,0))</f>
        <v>842.31</v>
      </c>
      <c r="X86" s="6">
        <f>IF(ISERROR(VLOOKUP($U$86,'TAR FIN'!$A$1:$O$103,15,0)),0,VLOOKUP($U$86,'TAR FIN'!$A$1:$O$103,15,0))</f>
        <v>454.9</v>
      </c>
      <c r="Y86" s="6"/>
      <c r="Z86" s="6">
        <f ca="1">('TUSD BE'!$AM$11+'TUSD BF_350'!$AM$11+'TUSD CVA'!$AM$11)*1</f>
        <v>1027.46</v>
      </c>
      <c r="AA86" s="6">
        <f ca="1">('TE BE'!$AB$5+'TE BF_350'!$AB$5+'TE CVA'!$AB$5)*1</f>
        <v>388.08000000000004</v>
      </c>
      <c r="AB86" s="6">
        <f>$K$86*$V$86</f>
        <v>0</v>
      </c>
      <c r="AC86" s="6">
        <f>$M$86*$W$86</f>
        <v>15178.426199999998</v>
      </c>
      <c r="AD86" s="6">
        <f>$O$86*$X$86</f>
        <v>8197.2979999999989</v>
      </c>
      <c r="AE86" s="6">
        <f>$K$86*$Y$86</f>
        <v>0</v>
      </c>
      <c r="AF86" s="6">
        <f ca="1">$M$86*$Z$86</f>
        <v>18514.8292</v>
      </c>
      <c r="AG86" s="6">
        <f ca="1">$O$86*$AA$86</f>
        <v>6993.2016000000003</v>
      </c>
    </row>
    <row r="87" spans="1:33" ht="11.25" customHeight="1" x14ac:dyDescent="0.25">
      <c r="A87" s="4" t="s">
        <v>21</v>
      </c>
      <c r="B87" s="4" t="s">
        <v>42</v>
      </c>
      <c r="C87" s="4" t="s">
        <v>34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44531</v>
      </c>
      <c r="J87" s="6">
        <v>0</v>
      </c>
      <c r="K87" s="6">
        <v>0</v>
      </c>
      <c r="L87" s="6">
        <v>18.055</v>
      </c>
      <c r="M87" s="6">
        <v>18.055</v>
      </c>
      <c r="N87" s="6">
        <v>18.055</v>
      </c>
      <c r="O87" s="6">
        <v>18.055</v>
      </c>
      <c r="P87" s="6">
        <v>0</v>
      </c>
      <c r="Q87" s="4" t="s">
        <v>26</v>
      </c>
      <c r="R87" s="4">
        <v>0</v>
      </c>
      <c r="S87" s="6">
        <v>0</v>
      </c>
      <c r="T87" s="6">
        <v>7</v>
      </c>
      <c r="U87" s="6">
        <v>62</v>
      </c>
      <c r="V87" s="6">
        <f>IF(ISERROR(VLOOKUP($S$87,'TAR FIN'!$A$1:$O$103,15,0)),0,VLOOKUP($S$87,'TAR FIN'!$A$1:$O$103,15,0))</f>
        <v>0</v>
      </c>
      <c r="W87" s="6">
        <f>IF(ISERROR(VLOOKUP($T$87,'TAR FIN'!$A$1:$O$103,15,0)),0,VLOOKUP($T$87,'TAR FIN'!$A$1:$O$103,15,0))</f>
        <v>842.31</v>
      </c>
      <c r="X87" s="6">
        <f>IF(ISERROR(VLOOKUP($U$87,'TAR FIN'!$A$1:$O$103,15,0)),0,VLOOKUP($U$87,'TAR FIN'!$A$1:$O$103,15,0))</f>
        <v>454.9</v>
      </c>
      <c r="Y87" s="6"/>
      <c r="Z87" s="6">
        <f ca="1">('TUSD BE'!$AM$11+'TUSD BF_350'!$AM$11+'TUSD CVA'!$AM$11)*1</f>
        <v>1027.46</v>
      </c>
      <c r="AA87" s="6">
        <f ca="1">('TE BE'!$AB$5+'TE BF_350'!$AB$5+'TE CVA'!$AB$5)*1</f>
        <v>388.08000000000004</v>
      </c>
      <c r="AB87" s="6">
        <f>$K$87*$V$87</f>
        <v>0</v>
      </c>
      <c r="AC87" s="6">
        <f>$M$87*$W$87</f>
        <v>15207.907049999998</v>
      </c>
      <c r="AD87" s="6">
        <f>$O$87*$X$87</f>
        <v>8213.2194999999992</v>
      </c>
      <c r="AE87" s="6">
        <f>$K$87*$Y$87</f>
        <v>0</v>
      </c>
      <c r="AF87" s="6">
        <f ca="1">$M$87*$Z$87</f>
        <v>18550.790300000001</v>
      </c>
      <c r="AG87" s="6">
        <f ca="1">$O$87*$AA$87</f>
        <v>7006.7844000000005</v>
      </c>
    </row>
    <row r="88" spans="1:33" ht="11.25" customHeight="1" x14ac:dyDescent="0.25">
      <c r="A88" s="4" t="s">
        <v>21</v>
      </c>
      <c r="B88" s="4" t="s">
        <v>42</v>
      </c>
      <c r="C88" s="4" t="s">
        <v>34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44562</v>
      </c>
      <c r="J88" s="6">
        <v>0</v>
      </c>
      <c r="K88" s="6">
        <v>0</v>
      </c>
      <c r="L88" s="6">
        <v>16.744</v>
      </c>
      <c r="M88" s="6">
        <v>16.744</v>
      </c>
      <c r="N88" s="6">
        <v>16.744</v>
      </c>
      <c r="O88" s="6">
        <v>16.744</v>
      </c>
      <c r="P88" s="6">
        <v>0</v>
      </c>
      <c r="Q88" s="4" t="s">
        <v>26</v>
      </c>
      <c r="R88" s="4">
        <v>0</v>
      </c>
      <c r="S88" s="6">
        <v>0</v>
      </c>
      <c r="T88" s="6">
        <v>7</v>
      </c>
      <c r="U88" s="6">
        <v>62</v>
      </c>
      <c r="V88" s="6">
        <f>IF(ISERROR(VLOOKUP($S$88,'TAR FIN'!$A$1:$O$103,15,0)),0,VLOOKUP($S$88,'TAR FIN'!$A$1:$O$103,15,0))</f>
        <v>0</v>
      </c>
      <c r="W88" s="6">
        <f>IF(ISERROR(VLOOKUP($T$88,'TAR FIN'!$A$1:$O$103,15,0)),0,VLOOKUP($T$88,'TAR FIN'!$A$1:$O$103,15,0))</f>
        <v>842.31</v>
      </c>
      <c r="X88" s="6">
        <f>IF(ISERROR(VLOOKUP($U$88,'TAR FIN'!$A$1:$O$103,15,0)),0,VLOOKUP($U$88,'TAR FIN'!$A$1:$O$103,15,0))</f>
        <v>454.9</v>
      </c>
      <c r="Y88" s="6"/>
      <c r="Z88" s="6">
        <f ca="1">('TUSD BE'!$AM$11+'TUSD BF_350'!$AM$11+'TUSD CVA'!$AM$11)*1</f>
        <v>1027.46</v>
      </c>
      <c r="AA88" s="6">
        <f ca="1">('TE BE'!$AB$5+'TE BF_350'!$AB$5+'TE CVA'!$AB$5)*1</f>
        <v>388.08000000000004</v>
      </c>
      <c r="AB88" s="6">
        <f>$K$88*$V$88</f>
        <v>0</v>
      </c>
      <c r="AC88" s="6">
        <f>$M$88*$W$88</f>
        <v>14103.638639999999</v>
      </c>
      <c r="AD88" s="6">
        <f>$O$88*$X$88</f>
        <v>7616.8455999999996</v>
      </c>
      <c r="AE88" s="6">
        <f>$K$88*$Y$88</f>
        <v>0</v>
      </c>
      <c r="AF88" s="6">
        <f ca="1">$M$88*$Z$88</f>
        <v>17203.790240000002</v>
      </c>
      <c r="AG88" s="6">
        <f ca="1">$O$88*$AA$88</f>
        <v>6498.0115200000009</v>
      </c>
    </row>
    <row r="89" spans="1:33" ht="11.25" customHeight="1" x14ac:dyDescent="0.25">
      <c r="A89" s="4" t="s">
        <v>21</v>
      </c>
      <c r="B89" s="4" t="s">
        <v>42</v>
      </c>
      <c r="C89" s="4" t="s">
        <v>34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44593</v>
      </c>
      <c r="J89" s="6">
        <v>0</v>
      </c>
      <c r="K89" s="6">
        <v>0</v>
      </c>
      <c r="L89" s="6">
        <v>18.311</v>
      </c>
      <c r="M89" s="6">
        <v>18.311</v>
      </c>
      <c r="N89" s="6">
        <v>18.311</v>
      </c>
      <c r="O89" s="6">
        <v>18.311</v>
      </c>
      <c r="P89" s="6">
        <v>0</v>
      </c>
      <c r="Q89" s="4" t="s">
        <v>26</v>
      </c>
      <c r="R89" s="4">
        <v>0</v>
      </c>
      <c r="S89" s="6">
        <v>0</v>
      </c>
      <c r="T89" s="6">
        <v>7</v>
      </c>
      <c r="U89" s="6">
        <v>62</v>
      </c>
      <c r="V89" s="6">
        <f>IF(ISERROR(VLOOKUP($S$89,'TAR FIN'!$A$1:$O$103,15,0)),0,VLOOKUP($S$89,'TAR FIN'!$A$1:$O$103,15,0))</f>
        <v>0</v>
      </c>
      <c r="W89" s="6">
        <f>IF(ISERROR(VLOOKUP($T$89,'TAR FIN'!$A$1:$O$103,15,0)),0,VLOOKUP($T$89,'TAR FIN'!$A$1:$O$103,15,0))</f>
        <v>842.31</v>
      </c>
      <c r="X89" s="6">
        <f>IF(ISERROR(VLOOKUP($U$89,'TAR FIN'!$A$1:$O$103,15,0)),0,VLOOKUP($U$89,'TAR FIN'!$A$1:$O$103,15,0))</f>
        <v>454.9</v>
      </c>
      <c r="Y89" s="6"/>
      <c r="Z89" s="6">
        <f ca="1">('TUSD BE'!$AM$11+'TUSD BF_350'!$AM$11+'TUSD CVA'!$AM$11)*1</f>
        <v>1027.46</v>
      </c>
      <c r="AA89" s="6">
        <f ca="1">('TE BE'!$AB$5+'TE BF_350'!$AB$5+'TE CVA'!$AB$5)*1</f>
        <v>388.08000000000004</v>
      </c>
      <c r="AB89" s="6">
        <f>$K$89*$V$89</f>
        <v>0</v>
      </c>
      <c r="AC89" s="6">
        <f>$M$89*$W$89</f>
        <v>15423.538409999999</v>
      </c>
      <c r="AD89" s="6">
        <f>$O$89*$X$89</f>
        <v>8329.6738999999998</v>
      </c>
      <c r="AE89" s="6">
        <f>$K$89*$Y$89</f>
        <v>0</v>
      </c>
      <c r="AF89" s="6">
        <f ca="1">$M$89*$Z$89</f>
        <v>18813.820060000002</v>
      </c>
      <c r="AG89" s="6">
        <f ca="1">$O$89*$AA$89</f>
        <v>7106.132880000001</v>
      </c>
    </row>
    <row r="90" spans="1:33" ht="11.25" customHeight="1" x14ac:dyDescent="0.25">
      <c r="A90" s="4" t="s">
        <v>21</v>
      </c>
      <c r="B90" s="4" t="s">
        <v>42</v>
      </c>
      <c r="C90" s="4" t="s">
        <v>34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44621</v>
      </c>
      <c r="J90" s="6">
        <v>0</v>
      </c>
      <c r="K90" s="6">
        <v>0</v>
      </c>
      <c r="L90" s="6">
        <v>19.638999999999999</v>
      </c>
      <c r="M90" s="6">
        <v>19.638999999999999</v>
      </c>
      <c r="N90" s="6">
        <v>19.638999999999999</v>
      </c>
      <c r="O90" s="6">
        <v>19.638999999999999</v>
      </c>
      <c r="P90" s="6">
        <v>0</v>
      </c>
      <c r="Q90" s="4" t="s">
        <v>26</v>
      </c>
      <c r="R90" s="4">
        <v>0</v>
      </c>
      <c r="S90" s="6">
        <v>0</v>
      </c>
      <c r="T90" s="6">
        <v>7</v>
      </c>
      <c r="U90" s="6">
        <v>62</v>
      </c>
      <c r="V90" s="6">
        <f>IF(ISERROR(VLOOKUP($S$90,'TAR FIN'!$A$1:$O$103,15,0)),0,VLOOKUP($S$90,'TAR FIN'!$A$1:$O$103,15,0))</f>
        <v>0</v>
      </c>
      <c r="W90" s="6">
        <f>IF(ISERROR(VLOOKUP($T$90,'TAR FIN'!$A$1:$O$103,15,0)),0,VLOOKUP($T$90,'TAR FIN'!$A$1:$O$103,15,0))</f>
        <v>842.31</v>
      </c>
      <c r="X90" s="6">
        <f>IF(ISERROR(VLOOKUP($U$90,'TAR FIN'!$A$1:$O$103,15,0)),0,VLOOKUP($U$90,'TAR FIN'!$A$1:$O$103,15,0))</f>
        <v>454.9</v>
      </c>
      <c r="Y90" s="6"/>
      <c r="Z90" s="6">
        <f ca="1">('TUSD BE'!$AM$11+'TUSD BF_350'!$AM$11+'TUSD CVA'!$AM$11)*1</f>
        <v>1027.46</v>
      </c>
      <c r="AA90" s="6">
        <f ca="1">('TE BE'!$AB$5+'TE BF_350'!$AB$5+'TE CVA'!$AB$5)*1</f>
        <v>388.08000000000004</v>
      </c>
      <c r="AB90" s="6">
        <f>$K$90*$V$90</f>
        <v>0</v>
      </c>
      <c r="AC90" s="6">
        <f>$M$90*$W$90</f>
        <v>16542.126089999998</v>
      </c>
      <c r="AD90" s="6">
        <f>$O$90*$X$90</f>
        <v>8933.7811000000002</v>
      </c>
      <c r="AE90" s="6">
        <f>$K$90*$Y$90</f>
        <v>0</v>
      </c>
      <c r="AF90" s="6">
        <f ca="1">$M$90*$Z$90</f>
        <v>20178.286940000002</v>
      </c>
      <c r="AG90" s="6">
        <f ca="1">$O$90*$AA$90</f>
        <v>7621.5031200000003</v>
      </c>
    </row>
    <row r="91" spans="1:33" ht="11.25" customHeight="1" x14ac:dyDescent="0.25">
      <c r="A91" s="4" t="s">
        <v>21</v>
      </c>
      <c r="B91" s="4" t="s">
        <v>42</v>
      </c>
      <c r="C91" s="4" t="s">
        <v>34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17.62</v>
      </c>
      <c r="M91" s="6">
        <v>17.62</v>
      </c>
      <c r="N91" s="6">
        <v>17.62</v>
      </c>
      <c r="O91" s="6">
        <v>17.62</v>
      </c>
      <c r="P91" s="6">
        <v>0</v>
      </c>
      <c r="Q91" s="4" t="s">
        <v>26</v>
      </c>
      <c r="R91" s="4">
        <v>0</v>
      </c>
      <c r="S91" s="6">
        <v>0</v>
      </c>
      <c r="T91" s="6">
        <v>7</v>
      </c>
      <c r="U91" s="6">
        <v>62</v>
      </c>
      <c r="V91" s="6">
        <f>IF(ISERROR(VLOOKUP($S$91,'TAR FIN'!$A$1:$O$103,15,0)),0,VLOOKUP($S$91,'TAR FIN'!$A$1:$O$103,15,0))</f>
        <v>0</v>
      </c>
      <c r="W91" s="6">
        <f>IF(ISERROR(VLOOKUP($T$91,'TAR FIN'!$A$1:$O$103,15,0)),0,VLOOKUP($T$91,'TAR FIN'!$A$1:$O$103,15,0))</f>
        <v>842.31</v>
      </c>
      <c r="X91" s="6">
        <f>IF(ISERROR(VLOOKUP($U$91,'TAR FIN'!$A$1:$O$103,15,0)),0,VLOOKUP($U$91,'TAR FIN'!$A$1:$O$103,15,0))</f>
        <v>454.9</v>
      </c>
      <c r="Y91" s="6"/>
      <c r="Z91" s="6">
        <f ca="1">('TUSD BE'!$AM$11+'TUSD BF_350'!$AM$11+'TUSD CVA'!$AM$11)*1</f>
        <v>1027.46</v>
      </c>
      <c r="AA91" s="6">
        <f ca="1">('TE BE'!$AB$5+'TE BF_350'!$AB$5+'TE CVA'!$AB$5)*1</f>
        <v>388.08000000000004</v>
      </c>
      <c r="AB91" s="6">
        <f>$K$91*$V$91</f>
        <v>0</v>
      </c>
      <c r="AC91" s="6">
        <f>$M$91*$W$91</f>
        <v>14841.502199999999</v>
      </c>
      <c r="AD91" s="6">
        <f>$O$91*$X$91</f>
        <v>8015.3379999999997</v>
      </c>
      <c r="AE91" s="6">
        <f>$K$91*$Y$91</f>
        <v>0</v>
      </c>
      <c r="AF91" s="6">
        <f ca="1">$M$91*$Z$91</f>
        <v>18103.845200000003</v>
      </c>
      <c r="AG91" s="6">
        <f ca="1">$O$91*$AA$91</f>
        <v>6837.9696000000013</v>
      </c>
    </row>
    <row r="92" spans="1:33" ht="11.25" customHeight="1" x14ac:dyDescent="0.25">
      <c r="A92" s="4" t="s">
        <v>21</v>
      </c>
      <c r="B92" s="4" t="s">
        <v>42</v>
      </c>
      <c r="C92" s="4" t="s">
        <v>34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19.829000000000001</v>
      </c>
      <c r="M92" s="6">
        <v>19.829000000000001</v>
      </c>
      <c r="N92" s="6">
        <v>19.829000000000001</v>
      </c>
      <c r="O92" s="6">
        <v>19.829000000000001</v>
      </c>
      <c r="P92" s="6">
        <v>0</v>
      </c>
      <c r="Q92" s="4" t="s">
        <v>26</v>
      </c>
      <c r="R92" s="4">
        <v>0</v>
      </c>
      <c r="S92" s="6">
        <v>0</v>
      </c>
      <c r="T92" s="6">
        <v>7</v>
      </c>
      <c r="U92" s="6">
        <v>62</v>
      </c>
      <c r="V92" s="6">
        <f>IF(ISERROR(VLOOKUP($S$92,'TAR FIN'!$A$1:$O$103,15,0)),0,VLOOKUP($S$92,'TAR FIN'!$A$1:$O$103,15,0))</f>
        <v>0</v>
      </c>
      <c r="W92" s="6">
        <f>IF(ISERROR(VLOOKUP($T$92,'TAR FIN'!$A$1:$O$103,15,0)),0,VLOOKUP($T$92,'TAR FIN'!$A$1:$O$103,15,0))</f>
        <v>842.31</v>
      </c>
      <c r="X92" s="6">
        <f>IF(ISERROR(VLOOKUP($U$92,'TAR FIN'!$A$1:$O$103,15,0)),0,VLOOKUP($U$92,'TAR FIN'!$A$1:$O$103,15,0))</f>
        <v>454.9</v>
      </c>
      <c r="Y92" s="6"/>
      <c r="Z92" s="6">
        <f ca="1">('TUSD BE'!$AM$11+'TUSD BF_350'!$AM$11+'TUSD CVA'!$AM$11)*1</f>
        <v>1027.46</v>
      </c>
      <c r="AA92" s="6">
        <f ca="1">('TE BE'!$AB$5+'TE BF_350'!$AB$5+'TE CVA'!$AB$5)*1</f>
        <v>388.08000000000004</v>
      </c>
      <c r="AB92" s="6">
        <f>$K$92*$V$92</f>
        <v>0</v>
      </c>
      <c r="AC92" s="6">
        <f>$M$92*$W$92</f>
        <v>16702.164990000001</v>
      </c>
      <c r="AD92" s="6">
        <f>$O$92*$X$92</f>
        <v>9020.2121000000006</v>
      </c>
      <c r="AE92" s="6">
        <f>$K$92*$Y$92</f>
        <v>0</v>
      </c>
      <c r="AF92" s="6">
        <f ca="1">$M$92*$Z$92</f>
        <v>20373.504340000003</v>
      </c>
      <c r="AG92" s="6">
        <f ca="1">$O$92*$AA$92</f>
        <v>7695.2383200000013</v>
      </c>
    </row>
    <row r="93" spans="1:33" ht="11.25" customHeight="1" x14ac:dyDescent="0.25">
      <c r="A93" s="4" t="s">
        <v>21</v>
      </c>
      <c r="B93" s="4" t="s">
        <v>33</v>
      </c>
      <c r="C93" s="4" t="s">
        <v>41</v>
      </c>
      <c r="D93" s="4" t="s">
        <v>43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44348</v>
      </c>
      <c r="J93" s="6">
        <v>220</v>
      </c>
      <c r="K93" s="6">
        <v>220</v>
      </c>
      <c r="L93" s="6">
        <v>44.140999999999998</v>
      </c>
      <c r="M93" s="6">
        <v>44.140999999999998</v>
      </c>
      <c r="N93" s="6">
        <v>44.140999999999998</v>
      </c>
      <c r="O93" s="6">
        <v>44.140999999999998</v>
      </c>
      <c r="P93" s="6">
        <v>0</v>
      </c>
      <c r="Q93" s="4" t="s">
        <v>26</v>
      </c>
      <c r="R93" s="4">
        <v>0</v>
      </c>
      <c r="S93" s="6">
        <v>14</v>
      </c>
      <c r="T93" s="6">
        <v>15</v>
      </c>
      <c r="U93" s="6">
        <v>66</v>
      </c>
      <c r="V93" s="6">
        <f>IF(ISERROR(VLOOKUP($S$93,'TAR FIN'!$A$1:$O$103,15,0)),0,VLOOKUP($S$93,'TAR FIN'!$A$1:$O$103,15,0))</f>
        <v>12.42</v>
      </c>
      <c r="W93" s="6">
        <f>IF(ISERROR(VLOOKUP($T$93,'TAR FIN'!$A$1:$O$103,15,0)),0,VLOOKUP($T$93,'TAR FIN'!$A$1:$O$103,15,0))</f>
        <v>69.37</v>
      </c>
      <c r="X93" s="6">
        <f>IF(ISERROR(VLOOKUP($U$93,'TAR FIN'!$A$1:$O$103,15,0)),0,VLOOKUP($U$93,'TAR FIN'!$A$1:$O$103,15,0))</f>
        <v>284.36</v>
      </c>
      <c r="Y93" s="6">
        <f ca="1">('TUSD BE'!$AM$16+'TUSD BF_350'!$AM$16+'TUSD CVA'!$AM$16)*1</f>
        <v>17.579999999999998</v>
      </c>
      <c r="Z93" s="6">
        <f ca="1">('TUSD BE'!$AM$17+'TUSD BF_350'!$AM$17+'TUSD CVA'!$AM$17)*1</f>
        <v>110.85</v>
      </c>
      <c r="AA93" s="6">
        <f ca="1">('TE BE'!$AB$9+'TE BF_350'!$AB$9+'TE CVA'!$AB$9)*1</f>
        <v>247.20000000000002</v>
      </c>
      <c r="AB93" s="6">
        <f>$K$93*$V$93</f>
        <v>2732.4</v>
      </c>
      <c r="AC93" s="6">
        <f>$M$93*$W$93</f>
        <v>3062.0611699999999</v>
      </c>
      <c r="AD93" s="6">
        <f>$O$93*$X$93</f>
        <v>12551.93476</v>
      </c>
      <c r="AE93" s="6">
        <f ca="1">$K$93*$Y$93</f>
        <v>3867.5999999999995</v>
      </c>
      <c r="AF93" s="6">
        <f ca="1">$M$93*$Z$93</f>
        <v>4893.0298499999999</v>
      </c>
      <c r="AG93" s="6">
        <f ca="1">$O$93*$AA$93</f>
        <v>10911.655200000001</v>
      </c>
    </row>
    <row r="94" spans="1:33" ht="11.25" customHeight="1" x14ac:dyDescent="0.25">
      <c r="A94" s="4" t="s">
        <v>21</v>
      </c>
      <c r="B94" s="4" t="s">
        <v>33</v>
      </c>
      <c r="C94" s="4" t="s">
        <v>41</v>
      </c>
      <c r="D94" s="4" t="s">
        <v>43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44348</v>
      </c>
      <c r="J94" s="6">
        <v>4950</v>
      </c>
      <c r="K94" s="6">
        <v>4950</v>
      </c>
      <c r="L94" s="6">
        <v>2436.06</v>
      </c>
      <c r="M94" s="6">
        <v>2436.06</v>
      </c>
      <c r="N94" s="6">
        <v>0</v>
      </c>
      <c r="O94" s="6">
        <v>0</v>
      </c>
      <c r="P94" s="6">
        <v>0</v>
      </c>
      <c r="Q94" s="4" t="s">
        <v>53</v>
      </c>
      <c r="R94" s="4">
        <v>0</v>
      </c>
      <c r="S94" s="6">
        <v>14</v>
      </c>
      <c r="T94" s="6">
        <v>15</v>
      </c>
      <c r="U94" s="6">
        <v>0</v>
      </c>
      <c r="V94" s="6">
        <f>IF(ISERROR(VLOOKUP($S$94,'TAR FIN'!$A$1:$O$103,15,0)),0,VLOOKUP($S$94,'TAR FIN'!$A$1:$O$103,15,0))</f>
        <v>12.42</v>
      </c>
      <c r="W94" s="6">
        <f>IF(ISERROR(VLOOKUP($T$94,'TAR FIN'!$A$1:$O$103,15,0)),0,VLOOKUP($T$94,'TAR FIN'!$A$1:$O$103,15,0))</f>
        <v>69.37</v>
      </c>
      <c r="X94" s="6">
        <f>IF(ISERROR(VLOOKUP($U$94,'TAR FIN'!$A$1:$O$103,15,0)),0,VLOOKUP($U$94,'TAR FIN'!$A$1:$O$103,15,0))</f>
        <v>0</v>
      </c>
      <c r="Y94" s="6">
        <f ca="1">('TUSD BE'!$AM$16+'TUSD BF_350'!$AM$16+'TUSD CVA'!$AM$16)*1</f>
        <v>17.579999999999998</v>
      </c>
      <c r="Z94" s="6">
        <f ca="1">('TUSD BE'!$AM$17+'TUSD BF_350'!$AM$17+'TUSD CVA'!$AM$17)*1</f>
        <v>110.85</v>
      </c>
      <c r="AA94" s="6"/>
      <c r="AB94" s="6">
        <f>$K$94*$V$94</f>
        <v>61479</v>
      </c>
      <c r="AC94" s="6">
        <f>$M$94*$W$94</f>
        <v>168989.4822</v>
      </c>
      <c r="AD94" s="6">
        <f>$O$94*$X$94</f>
        <v>0</v>
      </c>
      <c r="AE94" s="6">
        <f ca="1">$K$94*$Y$94</f>
        <v>87020.999999999985</v>
      </c>
      <c r="AF94" s="6">
        <f ca="1">$M$94*$Z$94</f>
        <v>270037.25099999999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33</v>
      </c>
      <c r="C95" s="4" t="s">
        <v>41</v>
      </c>
      <c r="D95" s="4" t="s">
        <v>43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44378</v>
      </c>
      <c r="J95" s="6">
        <v>220</v>
      </c>
      <c r="K95" s="6">
        <v>220</v>
      </c>
      <c r="L95" s="6">
        <v>45.847000000000001</v>
      </c>
      <c r="M95" s="6">
        <v>45.847000000000001</v>
      </c>
      <c r="N95" s="6">
        <v>45.847000000000001</v>
      </c>
      <c r="O95" s="6">
        <v>45.847000000000001</v>
      </c>
      <c r="P95" s="6">
        <v>0</v>
      </c>
      <c r="Q95" s="4" t="s">
        <v>26</v>
      </c>
      <c r="R95" s="4">
        <v>0</v>
      </c>
      <c r="S95" s="6">
        <v>14</v>
      </c>
      <c r="T95" s="6">
        <v>15</v>
      </c>
      <c r="U95" s="6">
        <v>66</v>
      </c>
      <c r="V95" s="6">
        <f>IF(ISERROR(VLOOKUP($S$95,'TAR FIN'!$A$1:$O$103,15,0)),0,VLOOKUP($S$95,'TAR FIN'!$A$1:$O$103,15,0))</f>
        <v>12.42</v>
      </c>
      <c r="W95" s="6">
        <f>IF(ISERROR(VLOOKUP($T$95,'TAR FIN'!$A$1:$O$103,15,0)),0,VLOOKUP($T$95,'TAR FIN'!$A$1:$O$103,15,0))</f>
        <v>69.37</v>
      </c>
      <c r="X95" s="6">
        <f>IF(ISERROR(VLOOKUP($U$95,'TAR FIN'!$A$1:$O$103,15,0)),0,VLOOKUP($U$95,'TAR FIN'!$A$1:$O$103,15,0))</f>
        <v>284.36</v>
      </c>
      <c r="Y95" s="6">
        <f ca="1">('TUSD BE'!$AM$16+'TUSD BF_350'!$AM$16+'TUSD CVA'!$AM$16)*1</f>
        <v>17.579999999999998</v>
      </c>
      <c r="Z95" s="6">
        <f ca="1">('TUSD BE'!$AM$17+'TUSD BF_350'!$AM$17+'TUSD CVA'!$AM$17)*1</f>
        <v>110.85</v>
      </c>
      <c r="AA95" s="6">
        <f ca="1">('TE BE'!$AB$9+'TE BF_350'!$AB$9+'TE CVA'!$AB$9)*1</f>
        <v>247.20000000000002</v>
      </c>
      <c r="AB95" s="6">
        <f>$K$95*$V$95</f>
        <v>2732.4</v>
      </c>
      <c r="AC95" s="6">
        <f>$M$95*$W$95</f>
        <v>3180.4063900000001</v>
      </c>
      <c r="AD95" s="6">
        <f>$O$95*$X$95</f>
        <v>13037.052920000002</v>
      </c>
      <c r="AE95" s="6">
        <f ca="1">$K$95*$Y$95</f>
        <v>3867.5999999999995</v>
      </c>
      <c r="AF95" s="6">
        <f ca="1">$M$95*$Z$95</f>
        <v>5082.1399499999998</v>
      </c>
      <c r="AG95" s="6">
        <f ca="1">$O$95*$AA$95</f>
        <v>11333.378400000001</v>
      </c>
    </row>
    <row r="96" spans="1:33" ht="11.25" customHeight="1" x14ac:dyDescent="0.25">
      <c r="A96" s="4" t="s">
        <v>21</v>
      </c>
      <c r="B96" s="4" t="s">
        <v>33</v>
      </c>
      <c r="C96" s="4" t="s">
        <v>41</v>
      </c>
      <c r="D96" s="4" t="s">
        <v>43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44378</v>
      </c>
      <c r="J96" s="6">
        <v>4950</v>
      </c>
      <c r="K96" s="6">
        <v>4950</v>
      </c>
      <c r="L96" s="6">
        <v>2118.0160000000001</v>
      </c>
      <c r="M96" s="6">
        <v>2118.0160000000001</v>
      </c>
      <c r="N96" s="6">
        <v>0</v>
      </c>
      <c r="O96" s="6">
        <v>0</v>
      </c>
      <c r="P96" s="6">
        <v>0</v>
      </c>
      <c r="Q96" s="4" t="s">
        <v>53</v>
      </c>
      <c r="R96" s="4">
        <v>0</v>
      </c>
      <c r="S96" s="6">
        <v>14</v>
      </c>
      <c r="T96" s="6">
        <v>15</v>
      </c>
      <c r="U96" s="6">
        <v>0</v>
      </c>
      <c r="V96" s="6">
        <f>IF(ISERROR(VLOOKUP($S$96,'TAR FIN'!$A$1:$O$103,15,0)),0,VLOOKUP($S$96,'TAR FIN'!$A$1:$O$103,15,0))</f>
        <v>12.42</v>
      </c>
      <c r="W96" s="6">
        <f>IF(ISERROR(VLOOKUP($T$96,'TAR FIN'!$A$1:$O$103,15,0)),0,VLOOKUP($T$96,'TAR FIN'!$A$1:$O$103,15,0))</f>
        <v>69.37</v>
      </c>
      <c r="X96" s="6">
        <f>IF(ISERROR(VLOOKUP($U$96,'TAR FIN'!$A$1:$O$103,15,0)),0,VLOOKUP($U$96,'TAR FIN'!$A$1:$O$103,15,0))</f>
        <v>0</v>
      </c>
      <c r="Y96" s="6">
        <f ca="1">('TUSD BE'!$AM$16+'TUSD BF_350'!$AM$16+'TUSD CVA'!$AM$16)*1</f>
        <v>17.579999999999998</v>
      </c>
      <c r="Z96" s="6">
        <f ca="1">('TUSD BE'!$AM$17+'TUSD BF_350'!$AM$17+'TUSD CVA'!$AM$17)*1</f>
        <v>110.85</v>
      </c>
      <c r="AA96" s="6"/>
      <c r="AB96" s="6">
        <f>$K$96*$V$96</f>
        <v>61479</v>
      </c>
      <c r="AC96" s="6">
        <f>$M$96*$W$96</f>
        <v>146926.76992000002</v>
      </c>
      <c r="AD96" s="6">
        <f>$O$96*$X$96</f>
        <v>0</v>
      </c>
      <c r="AE96" s="6">
        <f ca="1">$K$96*$Y$96</f>
        <v>87020.999999999985</v>
      </c>
      <c r="AF96" s="6">
        <f ca="1">$M$96*$Z$96</f>
        <v>234782.0736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33</v>
      </c>
      <c r="C97" s="4" t="s">
        <v>41</v>
      </c>
      <c r="D97" s="4" t="s">
        <v>43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44409</v>
      </c>
      <c r="J97" s="6">
        <v>220</v>
      </c>
      <c r="K97" s="6">
        <v>220</v>
      </c>
      <c r="L97" s="6">
        <v>46.393000000000001</v>
      </c>
      <c r="M97" s="6">
        <v>46.393000000000001</v>
      </c>
      <c r="N97" s="6">
        <v>46.393000000000001</v>
      </c>
      <c r="O97" s="6">
        <v>46.393000000000001</v>
      </c>
      <c r="P97" s="6">
        <v>0</v>
      </c>
      <c r="Q97" s="4" t="s">
        <v>26</v>
      </c>
      <c r="R97" s="4">
        <v>0</v>
      </c>
      <c r="S97" s="6">
        <v>14</v>
      </c>
      <c r="T97" s="6">
        <v>15</v>
      </c>
      <c r="U97" s="6">
        <v>66</v>
      </c>
      <c r="V97" s="6">
        <f>IF(ISERROR(VLOOKUP($S$97,'TAR FIN'!$A$1:$O$103,15,0)),0,VLOOKUP($S$97,'TAR FIN'!$A$1:$O$103,15,0))</f>
        <v>12.42</v>
      </c>
      <c r="W97" s="6">
        <f>IF(ISERROR(VLOOKUP($T$97,'TAR FIN'!$A$1:$O$103,15,0)),0,VLOOKUP($T$97,'TAR FIN'!$A$1:$O$103,15,0))</f>
        <v>69.37</v>
      </c>
      <c r="X97" s="6">
        <f>IF(ISERROR(VLOOKUP($U$97,'TAR FIN'!$A$1:$O$103,15,0)),0,VLOOKUP($U$97,'TAR FIN'!$A$1:$O$103,15,0))</f>
        <v>284.36</v>
      </c>
      <c r="Y97" s="6">
        <f ca="1">('TUSD BE'!$AM$16+'TUSD BF_350'!$AM$16+'TUSD CVA'!$AM$16)*1</f>
        <v>17.579999999999998</v>
      </c>
      <c r="Z97" s="6">
        <f ca="1">('TUSD BE'!$AM$17+'TUSD BF_350'!$AM$17+'TUSD CVA'!$AM$17)*1</f>
        <v>110.85</v>
      </c>
      <c r="AA97" s="6">
        <f ca="1">('TE BE'!$AB$9+'TE BF_350'!$AB$9+'TE CVA'!$AB$9)*1</f>
        <v>247.20000000000002</v>
      </c>
      <c r="AB97" s="6">
        <f>$K$97*$V$97</f>
        <v>2732.4</v>
      </c>
      <c r="AC97" s="6">
        <f>$M$97*$W$97</f>
        <v>3218.2824100000003</v>
      </c>
      <c r="AD97" s="6">
        <f>$O$97*$X$97</f>
        <v>13192.313480000001</v>
      </c>
      <c r="AE97" s="6">
        <f ca="1">$K$97*$Y$97</f>
        <v>3867.5999999999995</v>
      </c>
      <c r="AF97" s="6">
        <f ca="1">$M$97*$Z$97</f>
        <v>5142.6640499999994</v>
      </c>
      <c r="AG97" s="6">
        <f ca="1">$O$97*$AA$97</f>
        <v>11468.349600000001</v>
      </c>
    </row>
    <row r="98" spans="1:33" ht="11.25" customHeight="1" x14ac:dyDescent="0.25">
      <c r="A98" s="4" t="s">
        <v>21</v>
      </c>
      <c r="B98" s="4" t="s">
        <v>33</v>
      </c>
      <c r="C98" s="4" t="s">
        <v>41</v>
      </c>
      <c r="D98" s="4" t="s">
        <v>43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44409</v>
      </c>
      <c r="J98" s="6">
        <v>4950</v>
      </c>
      <c r="K98" s="6">
        <v>4950</v>
      </c>
      <c r="L98" s="6">
        <v>2144.0639999999999</v>
      </c>
      <c r="M98" s="6">
        <v>2144.0639999999999</v>
      </c>
      <c r="N98" s="6">
        <v>0</v>
      </c>
      <c r="O98" s="6">
        <v>0</v>
      </c>
      <c r="P98" s="6">
        <v>0</v>
      </c>
      <c r="Q98" s="4" t="s">
        <v>53</v>
      </c>
      <c r="R98" s="4">
        <v>0</v>
      </c>
      <c r="S98" s="6">
        <v>14</v>
      </c>
      <c r="T98" s="6">
        <v>15</v>
      </c>
      <c r="U98" s="6">
        <v>0</v>
      </c>
      <c r="V98" s="6">
        <f>IF(ISERROR(VLOOKUP($S$98,'TAR FIN'!$A$1:$O$103,15,0)),0,VLOOKUP($S$98,'TAR FIN'!$A$1:$O$103,15,0))</f>
        <v>12.42</v>
      </c>
      <c r="W98" s="6">
        <f>IF(ISERROR(VLOOKUP($T$98,'TAR FIN'!$A$1:$O$103,15,0)),0,VLOOKUP($T$98,'TAR FIN'!$A$1:$O$103,15,0))</f>
        <v>69.37</v>
      </c>
      <c r="X98" s="6">
        <f>IF(ISERROR(VLOOKUP($U$98,'TAR FIN'!$A$1:$O$103,15,0)),0,VLOOKUP($U$98,'TAR FIN'!$A$1:$O$103,15,0))</f>
        <v>0</v>
      </c>
      <c r="Y98" s="6">
        <f ca="1">('TUSD BE'!$AM$16+'TUSD BF_350'!$AM$16+'TUSD CVA'!$AM$16)*1</f>
        <v>17.579999999999998</v>
      </c>
      <c r="Z98" s="6">
        <f ca="1">('TUSD BE'!$AM$17+'TUSD BF_350'!$AM$17+'TUSD CVA'!$AM$17)*1</f>
        <v>110.85</v>
      </c>
      <c r="AA98" s="6"/>
      <c r="AB98" s="6">
        <f>$K$98*$V$98</f>
        <v>61479</v>
      </c>
      <c r="AC98" s="6">
        <f>$M$98*$W$98</f>
        <v>148733.71968000001</v>
      </c>
      <c r="AD98" s="6">
        <f>$O$98*$X$98</f>
        <v>0</v>
      </c>
      <c r="AE98" s="6">
        <f ca="1">$K$98*$Y$98</f>
        <v>87020.999999999985</v>
      </c>
      <c r="AF98" s="6">
        <f ca="1">$M$98*$Z$98</f>
        <v>237669.49439999997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33</v>
      </c>
      <c r="C99" s="4" t="s">
        <v>41</v>
      </c>
      <c r="D99" s="4" t="s">
        <v>43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44440</v>
      </c>
      <c r="J99" s="6">
        <v>220</v>
      </c>
      <c r="K99" s="6">
        <v>220</v>
      </c>
      <c r="L99" s="6">
        <v>45.607999999999997</v>
      </c>
      <c r="M99" s="6">
        <v>45.607999999999997</v>
      </c>
      <c r="N99" s="6">
        <v>45.607999999999997</v>
      </c>
      <c r="O99" s="6">
        <v>45.607999999999997</v>
      </c>
      <c r="P99" s="6">
        <v>0</v>
      </c>
      <c r="Q99" s="4" t="s">
        <v>26</v>
      </c>
      <c r="R99" s="4">
        <v>0</v>
      </c>
      <c r="S99" s="6">
        <v>14</v>
      </c>
      <c r="T99" s="6">
        <v>15</v>
      </c>
      <c r="U99" s="6">
        <v>66</v>
      </c>
      <c r="V99" s="6">
        <f>IF(ISERROR(VLOOKUP($S$99,'TAR FIN'!$A$1:$O$103,15,0)),0,VLOOKUP($S$99,'TAR FIN'!$A$1:$O$103,15,0))</f>
        <v>12.42</v>
      </c>
      <c r="W99" s="6">
        <f>IF(ISERROR(VLOOKUP($T$99,'TAR FIN'!$A$1:$O$103,15,0)),0,VLOOKUP($T$99,'TAR FIN'!$A$1:$O$103,15,0))</f>
        <v>69.37</v>
      </c>
      <c r="X99" s="6">
        <f>IF(ISERROR(VLOOKUP($U$99,'TAR FIN'!$A$1:$O$103,15,0)),0,VLOOKUP($U$99,'TAR FIN'!$A$1:$O$103,15,0))</f>
        <v>284.36</v>
      </c>
      <c r="Y99" s="6">
        <f ca="1">('TUSD BE'!$AM$16+'TUSD BF_350'!$AM$16+'TUSD CVA'!$AM$16)*1</f>
        <v>17.579999999999998</v>
      </c>
      <c r="Z99" s="6">
        <f ca="1">('TUSD BE'!$AM$17+'TUSD BF_350'!$AM$17+'TUSD CVA'!$AM$17)*1</f>
        <v>110.85</v>
      </c>
      <c r="AA99" s="6">
        <f ca="1">('TE BE'!$AB$9+'TE BF_350'!$AB$9+'TE CVA'!$AB$9)*1</f>
        <v>247.20000000000002</v>
      </c>
      <c r="AB99" s="6">
        <f>$K$99*$V$99</f>
        <v>2732.4</v>
      </c>
      <c r="AC99" s="6">
        <f>$M$99*$W$99</f>
        <v>3163.8269599999999</v>
      </c>
      <c r="AD99" s="6">
        <f>$O$99*$X$99</f>
        <v>12969.09088</v>
      </c>
      <c r="AE99" s="6">
        <f ca="1">$K$99*$Y$99</f>
        <v>3867.5999999999995</v>
      </c>
      <c r="AF99" s="6">
        <f ca="1">$M$99*$Z$99</f>
        <v>5055.6467999999995</v>
      </c>
      <c r="AG99" s="6">
        <f ca="1">$O$99*$AA$99</f>
        <v>11274.2976</v>
      </c>
    </row>
    <row r="100" spans="1:33" ht="11.25" customHeight="1" x14ac:dyDescent="0.25">
      <c r="A100" s="4" t="s">
        <v>21</v>
      </c>
      <c r="B100" s="4" t="s">
        <v>33</v>
      </c>
      <c r="C100" s="4" t="s">
        <v>41</v>
      </c>
      <c r="D100" s="4" t="s">
        <v>43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44440</v>
      </c>
      <c r="J100" s="6">
        <v>4950</v>
      </c>
      <c r="K100" s="6">
        <v>4950</v>
      </c>
      <c r="L100" s="6">
        <v>2520.5880000000002</v>
      </c>
      <c r="M100" s="6">
        <v>2520.5880000000002</v>
      </c>
      <c r="N100" s="6">
        <v>0</v>
      </c>
      <c r="O100" s="6">
        <v>0</v>
      </c>
      <c r="P100" s="6">
        <v>0</v>
      </c>
      <c r="Q100" s="4" t="s">
        <v>53</v>
      </c>
      <c r="R100" s="4">
        <v>0</v>
      </c>
      <c r="S100" s="6">
        <v>14</v>
      </c>
      <c r="T100" s="6">
        <v>15</v>
      </c>
      <c r="U100" s="6">
        <v>0</v>
      </c>
      <c r="V100" s="6">
        <f>IF(ISERROR(VLOOKUP($S$100,'TAR FIN'!$A$1:$O$103,15,0)),0,VLOOKUP($S$100,'TAR FIN'!$A$1:$O$103,15,0))</f>
        <v>12.42</v>
      </c>
      <c r="W100" s="6">
        <f>IF(ISERROR(VLOOKUP($T$100,'TAR FIN'!$A$1:$O$103,15,0)),0,VLOOKUP($T$100,'TAR FIN'!$A$1:$O$103,15,0))</f>
        <v>69.37</v>
      </c>
      <c r="X100" s="6">
        <f>IF(ISERROR(VLOOKUP($U$100,'TAR FIN'!$A$1:$O$103,15,0)),0,VLOOKUP($U$100,'TAR FIN'!$A$1:$O$103,15,0))</f>
        <v>0</v>
      </c>
      <c r="Y100" s="6">
        <f ca="1">('TUSD BE'!$AM$16+'TUSD BF_350'!$AM$16+'TUSD CVA'!$AM$16)*1</f>
        <v>17.579999999999998</v>
      </c>
      <c r="Z100" s="6">
        <f ca="1">('TUSD BE'!$AM$17+'TUSD BF_350'!$AM$17+'TUSD CVA'!$AM$17)*1</f>
        <v>110.85</v>
      </c>
      <c r="AA100" s="6"/>
      <c r="AB100" s="6">
        <f>$K$100*$V$100</f>
        <v>61479</v>
      </c>
      <c r="AC100" s="6">
        <f>$M$100*$W$100</f>
        <v>174853.18956000003</v>
      </c>
      <c r="AD100" s="6">
        <f>$O$100*$X$100</f>
        <v>0</v>
      </c>
      <c r="AE100" s="6">
        <f ca="1">$K$100*$Y$100</f>
        <v>87020.999999999985</v>
      </c>
      <c r="AF100" s="6">
        <f ca="1">$M$100*$Z$100</f>
        <v>279407.17979999998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33</v>
      </c>
      <c r="C101" s="4" t="s">
        <v>41</v>
      </c>
      <c r="D101" s="4" t="s">
        <v>43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44470</v>
      </c>
      <c r="J101" s="6">
        <v>220</v>
      </c>
      <c r="K101" s="6">
        <v>220</v>
      </c>
      <c r="L101" s="6">
        <v>46.792000000000002</v>
      </c>
      <c r="M101" s="6">
        <v>46.792000000000002</v>
      </c>
      <c r="N101" s="6">
        <v>46.792000000000002</v>
      </c>
      <c r="O101" s="6">
        <v>46.792000000000002</v>
      </c>
      <c r="P101" s="6">
        <v>0</v>
      </c>
      <c r="Q101" s="4" t="s">
        <v>26</v>
      </c>
      <c r="R101" s="4">
        <v>0</v>
      </c>
      <c r="S101" s="6">
        <v>14</v>
      </c>
      <c r="T101" s="6">
        <v>15</v>
      </c>
      <c r="U101" s="6">
        <v>66</v>
      </c>
      <c r="V101" s="6">
        <f>IF(ISERROR(VLOOKUP($S$101,'TAR FIN'!$A$1:$O$103,15,0)),0,VLOOKUP($S$101,'TAR FIN'!$A$1:$O$103,15,0))</f>
        <v>12.42</v>
      </c>
      <c r="W101" s="6">
        <f>IF(ISERROR(VLOOKUP($T$101,'TAR FIN'!$A$1:$O$103,15,0)),0,VLOOKUP($T$101,'TAR FIN'!$A$1:$O$103,15,0))</f>
        <v>69.37</v>
      </c>
      <c r="X101" s="6">
        <f>IF(ISERROR(VLOOKUP($U$101,'TAR FIN'!$A$1:$O$103,15,0)),0,VLOOKUP($U$101,'TAR FIN'!$A$1:$O$103,15,0))</f>
        <v>284.36</v>
      </c>
      <c r="Y101" s="6">
        <f ca="1">('TUSD BE'!$AM$16+'TUSD BF_350'!$AM$16+'TUSD CVA'!$AM$16)*1</f>
        <v>17.579999999999998</v>
      </c>
      <c r="Z101" s="6">
        <f ca="1">('TUSD BE'!$AM$17+'TUSD BF_350'!$AM$17+'TUSD CVA'!$AM$17)*1</f>
        <v>110.85</v>
      </c>
      <c r="AA101" s="6">
        <f ca="1">('TE BE'!$AB$9+'TE BF_350'!$AB$9+'TE CVA'!$AB$9)*1</f>
        <v>247.20000000000002</v>
      </c>
      <c r="AB101" s="6">
        <f>$K$101*$V$101</f>
        <v>2732.4</v>
      </c>
      <c r="AC101" s="6">
        <f>$M$101*$W$101</f>
        <v>3245.9610400000001</v>
      </c>
      <c r="AD101" s="6">
        <f>$O$101*$X$101</f>
        <v>13305.773120000002</v>
      </c>
      <c r="AE101" s="6">
        <f ca="1">$K$101*$Y$101</f>
        <v>3867.5999999999995</v>
      </c>
      <c r="AF101" s="6">
        <f ca="1">$M$101*$Z$101</f>
        <v>5186.8931999999995</v>
      </c>
      <c r="AG101" s="6">
        <f ca="1">$O$101*$AA$101</f>
        <v>11566.982400000001</v>
      </c>
    </row>
    <row r="102" spans="1:33" ht="11.25" customHeight="1" x14ac:dyDescent="0.25">
      <c r="A102" s="4" t="s">
        <v>21</v>
      </c>
      <c r="B102" s="4" t="s">
        <v>33</v>
      </c>
      <c r="C102" s="4" t="s">
        <v>41</v>
      </c>
      <c r="D102" s="4" t="s">
        <v>43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44470</v>
      </c>
      <c r="J102" s="6">
        <v>5072</v>
      </c>
      <c r="K102" s="6">
        <v>5072</v>
      </c>
      <c r="L102" s="6">
        <v>2495.377</v>
      </c>
      <c r="M102" s="6">
        <v>2495.377</v>
      </c>
      <c r="N102" s="6">
        <v>0</v>
      </c>
      <c r="O102" s="6">
        <v>0</v>
      </c>
      <c r="P102" s="6">
        <v>0</v>
      </c>
      <c r="Q102" s="4" t="s">
        <v>53</v>
      </c>
      <c r="R102" s="4">
        <v>0</v>
      </c>
      <c r="S102" s="6">
        <v>14</v>
      </c>
      <c r="T102" s="6">
        <v>15</v>
      </c>
      <c r="U102" s="6">
        <v>0</v>
      </c>
      <c r="V102" s="6">
        <f>IF(ISERROR(VLOOKUP($S$102,'TAR FIN'!$A$1:$O$103,15,0)),0,VLOOKUP($S$102,'TAR FIN'!$A$1:$O$103,15,0))</f>
        <v>12.42</v>
      </c>
      <c r="W102" s="6">
        <f>IF(ISERROR(VLOOKUP($T$102,'TAR FIN'!$A$1:$O$103,15,0)),0,VLOOKUP($T$102,'TAR FIN'!$A$1:$O$103,15,0))</f>
        <v>69.37</v>
      </c>
      <c r="X102" s="6">
        <f>IF(ISERROR(VLOOKUP($U$102,'TAR FIN'!$A$1:$O$103,15,0)),0,VLOOKUP($U$102,'TAR FIN'!$A$1:$O$103,15,0))</f>
        <v>0</v>
      </c>
      <c r="Y102" s="6">
        <f ca="1">('TUSD BE'!$AM$16+'TUSD BF_350'!$AM$16+'TUSD CVA'!$AM$16)*1</f>
        <v>17.579999999999998</v>
      </c>
      <c r="Z102" s="6">
        <f ca="1">('TUSD BE'!$AM$17+'TUSD BF_350'!$AM$17+'TUSD CVA'!$AM$17)*1</f>
        <v>110.85</v>
      </c>
      <c r="AA102" s="6"/>
      <c r="AB102" s="6">
        <f>$K$102*$V$102</f>
        <v>62994.239999999998</v>
      </c>
      <c r="AC102" s="6">
        <f>$M$102*$W$102</f>
        <v>173104.30249</v>
      </c>
      <c r="AD102" s="6">
        <f>$O$102*$X$102</f>
        <v>0</v>
      </c>
      <c r="AE102" s="6">
        <f ca="1">$K$102*$Y$102</f>
        <v>89165.759999999995</v>
      </c>
      <c r="AF102" s="6">
        <f ca="1">$M$102*$Z$102</f>
        <v>276612.54044999997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33</v>
      </c>
      <c r="C103" s="4" t="s">
        <v>41</v>
      </c>
      <c r="D103" s="4" t="s">
        <v>43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44501</v>
      </c>
      <c r="J103" s="6">
        <v>231</v>
      </c>
      <c r="K103" s="6">
        <v>231</v>
      </c>
      <c r="L103" s="6">
        <v>48.429000000000002</v>
      </c>
      <c r="M103" s="6">
        <v>48.429000000000002</v>
      </c>
      <c r="N103" s="6">
        <v>48.429000000000002</v>
      </c>
      <c r="O103" s="6">
        <v>48.429000000000002</v>
      </c>
      <c r="P103" s="6">
        <v>0</v>
      </c>
      <c r="Q103" s="4" t="s">
        <v>26</v>
      </c>
      <c r="R103" s="4">
        <v>0</v>
      </c>
      <c r="S103" s="6">
        <v>14</v>
      </c>
      <c r="T103" s="6">
        <v>15</v>
      </c>
      <c r="U103" s="6">
        <v>66</v>
      </c>
      <c r="V103" s="6">
        <f>IF(ISERROR(VLOOKUP($S$103,'TAR FIN'!$A$1:$O$103,15,0)),0,VLOOKUP($S$103,'TAR FIN'!$A$1:$O$103,15,0))</f>
        <v>12.42</v>
      </c>
      <c r="W103" s="6">
        <f>IF(ISERROR(VLOOKUP($T$103,'TAR FIN'!$A$1:$O$103,15,0)),0,VLOOKUP($T$103,'TAR FIN'!$A$1:$O$103,15,0))</f>
        <v>69.37</v>
      </c>
      <c r="X103" s="6">
        <f>IF(ISERROR(VLOOKUP($U$103,'TAR FIN'!$A$1:$O$103,15,0)),0,VLOOKUP($U$103,'TAR FIN'!$A$1:$O$103,15,0))</f>
        <v>284.36</v>
      </c>
      <c r="Y103" s="6">
        <f ca="1">('TUSD BE'!$AM$16+'TUSD BF_350'!$AM$16+'TUSD CVA'!$AM$16)*1</f>
        <v>17.579999999999998</v>
      </c>
      <c r="Z103" s="6">
        <f ca="1">('TUSD BE'!$AM$17+'TUSD BF_350'!$AM$17+'TUSD CVA'!$AM$17)*1</f>
        <v>110.85</v>
      </c>
      <c r="AA103" s="6">
        <f ca="1">('TE BE'!$AB$9+'TE BF_350'!$AB$9+'TE CVA'!$AB$9)*1</f>
        <v>247.20000000000002</v>
      </c>
      <c r="AB103" s="6">
        <f>$K$103*$V$103</f>
        <v>2869.02</v>
      </c>
      <c r="AC103" s="6">
        <f>$M$103*$W$103</f>
        <v>3359.5197300000004</v>
      </c>
      <c r="AD103" s="6">
        <f>$O$103*$X$103</f>
        <v>13771.270440000002</v>
      </c>
      <c r="AE103" s="6">
        <f ca="1">$K$103*$Y$103</f>
        <v>4060.9799999999996</v>
      </c>
      <c r="AF103" s="6">
        <f ca="1">$M$103*$Z$103</f>
        <v>5368.3546500000002</v>
      </c>
      <c r="AG103" s="6">
        <f ca="1">$O$103*$AA$103</f>
        <v>11971.648800000001</v>
      </c>
    </row>
    <row r="104" spans="1:33" ht="11.25" customHeight="1" x14ac:dyDescent="0.25">
      <c r="A104" s="4" t="s">
        <v>21</v>
      </c>
      <c r="B104" s="4" t="s">
        <v>33</v>
      </c>
      <c r="C104" s="4" t="s">
        <v>41</v>
      </c>
      <c r="D104" s="4" t="s">
        <v>43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44501</v>
      </c>
      <c r="J104" s="6">
        <v>4959</v>
      </c>
      <c r="K104" s="6">
        <v>4959</v>
      </c>
      <c r="L104" s="6">
        <v>2724.451</v>
      </c>
      <c r="M104" s="6">
        <v>2724.451</v>
      </c>
      <c r="N104" s="6">
        <v>0</v>
      </c>
      <c r="O104" s="6">
        <v>0</v>
      </c>
      <c r="P104" s="6">
        <v>0</v>
      </c>
      <c r="Q104" s="4" t="s">
        <v>53</v>
      </c>
      <c r="R104" s="4">
        <v>0</v>
      </c>
      <c r="S104" s="6">
        <v>14</v>
      </c>
      <c r="T104" s="6">
        <v>15</v>
      </c>
      <c r="U104" s="6">
        <v>0</v>
      </c>
      <c r="V104" s="6">
        <f>IF(ISERROR(VLOOKUP($S$104,'TAR FIN'!$A$1:$O$103,15,0)),0,VLOOKUP($S$104,'TAR FIN'!$A$1:$O$103,15,0))</f>
        <v>12.42</v>
      </c>
      <c r="W104" s="6">
        <f>IF(ISERROR(VLOOKUP($T$104,'TAR FIN'!$A$1:$O$103,15,0)),0,VLOOKUP($T$104,'TAR FIN'!$A$1:$O$103,15,0))</f>
        <v>69.37</v>
      </c>
      <c r="X104" s="6">
        <f>IF(ISERROR(VLOOKUP($U$104,'TAR FIN'!$A$1:$O$103,15,0)),0,VLOOKUP($U$104,'TAR FIN'!$A$1:$O$103,15,0))</f>
        <v>0</v>
      </c>
      <c r="Y104" s="6">
        <f ca="1">('TUSD BE'!$AM$16+'TUSD BF_350'!$AM$16+'TUSD CVA'!$AM$16)*1</f>
        <v>17.579999999999998</v>
      </c>
      <c r="Z104" s="6">
        <f ca="1">('TUSD BE'!$AM$17+'TUSD BF_350'!$AM$17+'TUSD CVA'!$AM$17)*1</f>
        <v>110.85</v>
      </c>
      <c r="AA104" s="6"/>
      <c r="AB104" s="6">
        <f>$K$104*$V$104</f>
        <v>61590.78</v>
      </c>
      <c r="AC104" s="6">
        <f>$M$104*$W$104</f>
        <v>188995.16587000003</v>
      </c>
      <c r="AD104" s="6">
        <f>$O$104*$X$104</f>
        <v>0</v>
      </c>
      <c r="AE104" s="6">
        <f ca="1">$K$104*$Y$104</f>
        <v>87179.219999999987</v>
      </c>
      <c r="AF104" s="6">
        <f ca="1">$M$104*$Z$104</f>
        <v>302005.39334999997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33</v>
      </c>
      <c r="C105" s="4" t="s">
        <v>41</v>
      </c>
      <c r="D105" s="4" t="s">
        <v>43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44531</v>
      </c>
      <c r="J105" s="6">
        <v>251</v>
      </c>
      <c r="K105" s="6">
        <v>251</v>
      </c>
      <c r="L105" s="6">
        <v>50.93</v>
      </c>
      <c r="M105" s="6">
        <v>50.93</v>
      </c>
      <c r="N105" s="6">
        <v>50.93</v>
      </c>
      <c r="O105" s="6">
        <v>50.93</v>
      </c>
      <c r="P105" s="6">
        <v>0</v>
      </c>
      <c r="Q105" s="4" t="s">
        <v>26</v>
      </c>
      <c r="R105" s="4">
        <v>0</v>
      </c>
      <c r="S105" s="6">
        <v>14</v>
      </c>
      <c r="T105" s="6">
        <v>15</v>
      </c>
      <c r="U105" s="6">
        <v>66</v>
      </c>
      <c r="V105" s="6">
        <f>IF(ISERROR(VLOOKUP($S$105,'TAR FIN'!$A$1:$O$103,15,0)),0,VLOOKUP($S$105,'TAR FIN'!$A$1:$O$103,15,0))</f>
        <v>12.42</v>
      </c>
      <c r="W105" s="6">
        <f>IF(ISERROR(VLOOKUP($T$105,'TAR FIN'!$A$1:$O$103,15,0)),0,VLOOKUP($T$105,'TAR FIN'!$A$1:$O$103,15,0))</f>
        <v>69.37</v>
      </c>
      <c r="X105" s="6">
        <f>IF(ISERROR(VLOOKUP($U$105,'TAR FIN'!$A$1:$O$103,15,0)),0,VLOOKUP($U$105,'TAR FIN'!$A$1:$O$103,15,0))</f>
        <v>284.36</v>
      </c>
      <c r="Y105" s="6">
        <f ca="1">('TUSD BE'!$AM$16+'TUSD BF_350'!$AM$16+'TUSD CVA'!$AM$16)*1</f>
        <v>17.579999999999998</v>
      </c>
      <c r="Z105" s="6">
        <f ca="1">('TUSD BE'!$AM$17+'TUSD BF_350'!$AM$17+'TUSD CVA'!$AM$17)*1</f>
        <v>110.85</v>
      </c>
      <c r="AA105" s="6">
        <f ca="1">('TE BE'!$AB$9+'TE BF_350'!$AB$9+'TE CVA'!$AB$9)*1</f>
        <v>247.20000000000002</v>
      </c>
      <c r="AB105" s="6">
        <f>$K$105*$V$105</f>
        <v>3117.42</v>
      </c>
      <c r="AC105" s="6">
        <f>$M$105*$W$105</f>
        <v>3533.0141000000003</v>
      </c>
      <c r="AD105" s="6">
        <f>$O$105*$X$105</f>
        <v>14482.454800000001</v>
      </c>
      <c r="AE105" s="6">
        <f ca="1">$K$105*$Y$105</f>
        <v>4412.58</v>
      </c>
      <c r="AF105" s="6">
        <f ca="1">$M$105*$Z$105</f>
        <v>5645.5904999999993</v>
      </c>
      <c r="AG105" s="6">
        <f ca="1">$O$105*$AA$105</f>
        <v>12589.896000000001</v>
      </c>
    </row>
    <row r="106" spans="1:33" ht="11.25" customHeight="1" x14ac:dyDescent="0.25">
      <c r="A106" s="4" t="s">
        <v>21</v>
      </c>
      <c r="B106" s="4" t="s">
        <v>33</v>
      </c>
      <c r="C106" s="4" t="s">
        <v>41</v>
      </c>
      <c r="D106" s="4" t="s">
        <v>43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44531</v>
      </c>
      <c r="J106" s="6">
        <v>5167</v>
      </c>
      <c r="K106" s="6">
        <v>5167</v>
      </c>
      <c r="L106" s="6">
        <v>2521.7220000000002</v>
      </c>
      <c r="M106" s="6">
        <v>2521.7220000000002</v>
      </c>
      <c r="N106" s="6">
        <v>0</v>
      </c>
      <c r="O106" s="6">
        <v>0</v>
      </c>
      <c r="P106" s="6">
        <v>0</v>
      </c>
      <c r="Q106" s="4" t="s">
        <v>53</v>
      </c>
      <c r="R106" s="4">
        <v>0</v>
      </c>
      <c r="S106" s="6">
        <v>14</v>
      </c>
      <c r="T106" s="6">
        <v>15</v>
      </c>
      <c r="U106" s="6">
        <v>0</v>
      </c>
      <c r="V106" s="6">
        <f>IF(ISERROR(VLOOKUP($S$106,'TAR FIN'!$A$1:$O$103,15,0)),0,VLOOKUP($S$106,'TAR FIN'!$A$1:$O$103,15,0))</f>
        <v>12.42</v>
      </c>
      <c r="W106" s="6">
        <f>IF(ISERROR(VLOOKUP($T$106,'TAR FIN'!$A$1:$O$103,15,0)),0,VLOOKUP($T$106,'TAR FIN'!$A$1:$O$103,15,0))</f>
        <v>69.37</v>
      </c>
      <c r="X106" s="6">
        <f>IF(ISERROR(VLOOKUP($U$106,'TAR FIN'!$A$1:$O$103,15,0)),0,VLOOKUP($U$106,'TAR FIN'!$A$1:$O$103,15,0))</f>
        <v>0</v>
      </c>
      <c r="Y106" s="6">
        <f ca="1">('TUSD BE'!$AM$16+'TUSD BF_350'!$AM$16+'TUSD CVA'!$AM$16)*1</f>
        <v>17.579999999999998</v>
      </c>
      <c r="Z106" s="6">
        <f ca="1">('TUSD BE'!$AM$17+'TUSD BF_350'!$AM$17+'TUSD CVA'!$AM$17)*1</f>
        <v>110.85</v>
      </c>
      <c r="AA106" s="6"/>
      <c r="AB106" s="6">
        <f>$K$106*$V$106</f>
        <v>64174.14</v>
      </c>
      <c r="AC106" s="6">
        <f>$M$106*$W$106</f>
        <v>174931.85514000003</v>
      </c>
      <c r="AD106" s="6">
        <f>$O$106*$X$106</f>
        <v>0</v>
      </c>
      <c r="AE106" s="6">
        <f ca="1">$K$106*$Y$106</f>
        <v>90835.859999999986</v>
      </c>
      <c r="AF106" s="6">
        <f ca="1">$M$106*$Z$106</f>
        <v>279532.88370000001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33</v>
      </c>
      <c r="C107" s="4" t="s">
        <v>41</v>
      </c>
      <c r="D107" s="4" t="s">
        <v>43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44562</v>
      </c>
      <c r="J107" s="6">
        <v>275</v>
      </c>
      <c r="K107" s="6">
        <v>275</v>
      </c>
      <c r="L107" s="6">
        <v>60.686</v>
      </c>
      <c r="M107" s="6">
        <v>60.686</v>
      </c>
      <c r="N107" s="6">
        <v>60.686</v>
      </c>
      <c r="O107" s="6">
        <v>60.686</v>
      </c>
      <c r="P107" s="6">
        <v>0</v>
      </c>
      <c r="Q107" s="4" t="s">
        <v>26</v>
      </c>
      <c r="R107" s="4">
        <v>0</v>
      </c>
      <c r="S107" s="6">
        <v>14</v>
      </c>
      <c r="T107" s="6">
        <v>15</v>
      </c>
      <c r="U107" s="6">
        <v>66</v>
      </c>
      <c r="V107" s="6">
        <f>IF(ISERROR(VLOOKUP($S$107,'TAR FIN'!$A$1:$O$103,15,0)),0,VLOOKUP($S$107,'TAR FIN'!$A$1:$O$103,15,0))</f>
        <v>12.42</v>
      </c>
      <c r="W107" s="6">
        <f>IF(ISERROR(VLOOKUP($T$107,'TAR FIN'!$A$1:$O$103,15,0)),0,VLOOKUP($T$107,'TAR FIN'!$A$1:$O$103,15,0))</f>
        <v>69.37</v>
      </c>
      <c r="X107" s="6">
        <f>IF(ISERROR(VLOOKUP($U$107,'TAR FIN'!$A$1:$O$103,15,0)),0,VLOOKUP($U$107,'TAR FIN'!$A$1:$O$103,15,0))</f>
        <v>284.36</v>
      </c>
      <c r="Y107" s="6">
        <f ca="1">('TUSD BE'!$AM$16+'TUSD BF_350'!$AM$16+'TUSD CVA'!$AM$16)*1</f>
        <v>17.579999999999998</v>
      </c>
      <c r="Z107" s="6">
        <f ca="1">('TUSD BE'!$AM$17+'TUSD BF_350'!$AM$17+'TUSD CVA'!$AM$17)*1</f>
        <v>110.85</v>
      </c>
      <c r="AA107" s="6">
        <f ca="1">('TE BE'!$AB$9+'TE BF_350'!$AB$9+'TE CVA'!$AB$9)*1</f>
        <v>247.20000000000002</v>
      </c>
      <c r="AB107" s="6">
        <f>$K$107*$V$107</f>
        <v>3415.5</v>
      </c>
      <c r="AC107" s="6">
        <f>$M$107*$W$107</f>
        <v>4209.7878200000005</v>
      </c>
      <c r="AD107" s="6">
        <f>$O$107*$X$107</f>
        <v>17256.670959999999</v>
      </c>
      <c r="AE107" s="6">
        <f ca="1">$K$107*$Y$107</f>
        <v>4834.4999999999991</v>
      </c>
      <c r="AF107" s="6">
        <f ca="1">$M$107*$Z$107</f>
        <v>6727.0430999999999</v>
      </c>
      <c r="AG107" s="6">
        <f ca="1">$O$107*$AA$107</f>
        <v>15001.5792</v>
      </c>
    </row>
    <row r="108" spans="1:33" ht="11.25" customHeight="1" x14ac:dyDescent="0.25">
      <c r="A108" s="4" t="s">
        <v>21</v>
      </c>
      <c r="B108" s="4" t="s">
        <v>33</v>
      </c>
      <c r="C108" s="4" t="s">
        <v>41</v>
      </c>
      <c r="D108" s="4" t="s">
        <v>43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44562</v>
      </c>
      <c r="J108" s="6">
        <v>4951</v>
      </c>
      <c r="K108" s="6">
        <v>4951</v>
      </c>
      <c r="L108" s="6">
        <v>2388.4650000000001</v>
      </c>
      <c r="M108" s="6">
        <v>2388.4650000000001</v>
      </c>
      <c r="N108" s="6">
        <v>0</v>
      </c>
      <c r="O108" s="6">
        <v>0</v>
      </c>
      <c r="P108" s="6">
        <v>0</v>
      </c>
      <c r="Q108" s="4" t="s">
        <v>53</v>
      </c>
      <c r="R108" s="4">
        <v>0</v>
      </c>
      <c r="S108" s="6">
        <v>14</v>
      </c>
      <c r="T108" s="6">
        <v>15</v>
      </c>
      <c r="U108" s="6">
        <v>0</v>
      </c>
      <c r="V108" s="6">
        <f>IF(ISERROR(VLOOKUP($S$108,'TAR FIN'!$A$1:$O$103,15,0)),0,VLOOKUP($S$108,'TAR FIN'!$A$1:$O$103,15,0))</f>
        <v>12.42</v>
      </c>
      <c r="W108" s="6">
        <f>IF(ISERROR(VLOOKUP($T$108,'TAR FIN'!$A$1:$O$103,15,0)),0,VLOOKUP($T$108,'TAR FIN'!$A$1:$O$103,15,0))</f>
        <v>69.37</v>
      </c>
      <c r="X108" s="6">
        <f>IF(ISERROR(VLOOKUP($U$108,'TAR FIN'!$A$1:$O$103,15,0)),0,VLOOKUP($U$108,'TAR FIN'!$A$1:$O$103,15,0))</f>
        <v>0</v>
      </c>
      <c r="Y108" s="6">
        <f ca="1">('TUSD BE'!$AM$16+'TUSD BF_350'!$AM$16+'TUSD CVA'!$AM$16)*1</f>
        <v>17.579999999999998</v>
      </c>
      <c r="Z108" s="6">
        <f ca="1">('TUSD BE'!$AM$17+'TUSD BF_350'!$AM$17+'TUSD CVA'!$AM$17)*1</f>
        <v>110.85</v>
      </c>
      <c r="AA108" s="6"/>
      <c r="AB108" s="6">
        <f>$K$108*$V$108</f>
        <v>61491.42</v>
      </c>
      <c r="AC108" s="6">
        <f>$M$108*$W$108</f>
        <v>165687.81705000001</v>
      </c>
      <c r="AD108" s="6">
        <f>$O$108*$X$108</f>
        <v>0</v>
      </c>
      <c r="AE108" s="6">
        <f ca="1">$K$108*$Y$108</f>
        <v>87038.579999999987</v>
      </c>
      <c r="AF108" s="6">
        <f ca="1">$M$108*$Z$108</f>
        <v>264761.34525000001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33</v>
      </c>
      <c r="C109" s="4" t="s">
        <v>41</v>
      </c>
      <c r="D109" s="4" t="s">
        <v>43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44593</v>
      </c>
      <c r="J109" s="6">
        <v>240</v>
      </c>
      <c r="K109" s="6">
        <v>240</v>
      </c>
      <c r="L109" s="6">
        <v>49.173000000000002</v>
      </c>
      <c r="M109" s="6">
        <v>49.173000000000002</v>
      </c>
      <c r="N109" s="6">
        <v>49.173000000000002</v>
      </c>
      <c r="O109" s="6">
        <v>49.173000000000002</v>
      </c>
      <c r="P109" s="6">
        <v>0</v>
      </c>
      <c r="Q109" s="4" t="s">
        <v>26</v>
      </c>
      <c r="R109" s="4">
        <v>0</v>
      </c>
      <c r="S109" s="6">
        <v>14</v>
      </c>
      <c r="T109" s="6">
        <v>15</v>
      </c>
      <c r="U109" s="6">
        <v>66</v>
      </c>
      <c r="V109" s="6">
        <f>IF(ISERROR(VLOOKUP($S$109,'TAR FIN'!$A$1:$O$103,15,0)),0,VLOOKUP($S$109,'TAR FIN'!$A$1:$O$103,15,0))</f>
        <v>12.42</v>
      </c>
      <c r="W109" s="6">
        <f>IF(ISERROR(VLOOKUP($T$109,'TAR FIN'!$A$1:$O$103,15,0)),0,VLOOKUP($T$109,'TAR FIN'!$A$1:$O$103,15,0))</f>
        <v>69.37</v>
      </c>
      <c r="X109" s="6">
        <f>IF(ISERROR(VLOOKUP($U$109,'TAR FIN'!$A$1:$O$103,15,0)),0,VLOOKUP($U$109,'TAR FIN'!$A$1:$O$103,15,0))</f>
        <v>284.36</v>
      </c>
      <c r="Y109" s="6">
        <f ca="1">('TUSD BE'!$AM$16+'TUSD BF_350'!$AM$16+'TUSD CVA'!$AM$16)*1</f>
        <v>17.579999999999998</v>
      </c>
      <c r="Z109" s="6">
        <f ca="1">('TUSD BE'!$AM$17+'TUSD BF_350'!$AM$17+'TUSD CVA'!$AM$17)*1</f>
        <v>110.85</v>
      </c>
      <c r="AA109" s="6">
        <f ca="1">('TE BE'!$AB$9+'TE BF_350'!$AB$9+'TE CVA'!$AB$9)*1</f>
        <v>247.20000000000002</v>
      </c>
      <c r="AB109" s="6">
        <f>$K$109*$V$109</f>
        <v>2980.8</v>
      </c>
      <c r="AC109" s="6">
        <f>$M$109*$W$109</f>
        <v>3411.1310100000005</v>
      </c>
      <c r="AD109" s="6">
        <f>$O$109*$X$109</f>
        <v>13982.834280000001</v>
      </c>
      <c r="AE109" s="6">
        <f ca="1">$K$109*$Y$109</f>
        <v>4219.2</v>
      </c>
      <c r="AF109" s="6">
        <f ca="1">$M$109*$Z$109</f>
        <v>5450.8270499999999</v>
      </c>
      <c r="AG109" s="6">
        <f ca="1">$O$109*$AA$109</f>
        <v>12155.565600000002</v>
      </c>
    </row>
    <row r="110" spans="1:33" ht="11.25" customHeight="1" x14ac:dyDescent="0.25">
      <c r="A110" s="4" t="s">
        <v>21</v>
      </c>
      <c r="B110" s="4" t="s">
        <v>33</v>
      </c>
      <c r="C110" s="4" t="s">
        <v>41</v>
      </c>
      <c r="D110" s="4" t="s">
        <v>43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44593</v>
      </c>
      <c r="J110" s="6">
        <v>4950</v>
      </c>
      <c r="K110" s="6">
        <v>4950</v>
      </c>
      <c r="L110" s="6">
        <v>2417.962</v>
      </c>
      <c r="M110" s="6">
        <v>2417.962</v>
      </c>
      <c r="N110" s="6">
        <v>0</v>
      </c>
      <c r="O110" s="6">
        <v>0</v>
      </c>
      <c r="P110" s="6">
        <v>0</v>
      </c>
      <c r="Q110" s="4" t="s">
        <v>53</v>
      </c>
      <c r="R110" s="4">
        <v>0</v>
      </c>
      <c r="S110" s="6">
        <v>14</v>
      </c>
      <c r="T110" s="6">
        <v>15</v>
      </c>
      <c r="U110" s="6">
        <v>0</v>
      </c>
      <c r="V110" s="6">
        <f>IF(ISERROR(VLOOKUP($S$110,'TAR FIN'!$A$1:$O$103,15,0)),0,VLOOKUP($S$110,'TAR FIN'!$A$1:$O$103,15,0))</f>
        <v>12.42</v>
      </c>
      <c r="W110" s="6">
        <f>IF(ISERROR(VLOOKUP($T$110,'TAR FIN'!$A$1:$O$103,15,0)),0,VLOOKUP($T$110,'TAR FIN'!$A$1:$O$103,15,0))</f>
        <v>69.37</v>
      </c>
      <c r="X110" s="6">
        <f>IF(ISERROR(VLOOKUP($U$110,'TAR FIN'!$A$1:$O$103,15,0)),0,VLOOKUP($U$110,'TAR FIN'!$A$1:$O$103,15,0))</f>
        <v>0</v>
      </c>
      <c r="Y110" s="6">
        <f ca="1">('TUSD BE'!$AM$16+'TUSD BF_350'!$AM$16+'TUSD CVA'!$AM$16)*1</f>
        <v>17.579999999999998</v>
      </c>
      <c r="Z110" s="6">
        <f ca="1">('TUSD BE'!$AM$17+'TUSD BF_350'!$AM$17+'TUSD CVA'!$AM$17)*1</f>
        <v>110.85</v>
      </c>
      <c r="AA110" s="6"/>
      <c r="AB110" s="6">
        <f>$K$110*$V$110</f>
        <v>61479</v>
      </c>
      <c r="AC110" s="6">
        <f>$M$110*$W$110</f>
        <v>167734.02394000001</v>
      </c>
      <c r="AD110" s="6">
        <f>$O$110*$X$110</f>
        <v>0</v>
      </c>
      <c r="AE110" s="6">
        <f ca="1">$K$110*$Y$110</f>
        <v>87020.999999999985</v>
      </c>
      <c r="AF110" s="6">
        <f ca="1">$M$110*$Z$110</f>
        <v>268031.08769999997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33</v>
      </c>
      <c r="C111" s="4" t="s">
        <v>41</v>
      </c>
      <c r="D111" s="4" t="s">
        <v>43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44621</v>
      </c>
      <c r="J111" s="6">
        <v>256</v>
      </c>
      <c r="K111" s="6">
        <v>256</v>
      </c>
      <c r="L111" s="6">
        <v>55.8</v>
      </c>
      <c r="M111" s="6">
        <v>55.8</v>
      </c>
      <c r="N111" s="6">
        <v>55.8</v>
      </c>
      <c r="O111" s="6">
        <v>55.8</v>
      </c>
      <c r="P111" s="6">
        <v>0</v>
      </c>
      <c r="Q111" s="4" t="s">
        <v>26</v>
      </c>
      <c r="R111" s="4">
        <v>0</v>
      </c>
      <c r="S111" s="6">
        <v>14</v>
      </c>
      <c r="T111" s="6">
        <v>15</v>
      </c>
      <c r="U111" s="6">
        <v>66</v>
      </c>
      <c r="V111" s="6">
        <f>IF(ISERROR(VLOOKUP($S$111,'TAR FIN'!$A$1:$O$103,15,0)),0,VLOOKUP($S$111,'TAR FIN'!$A$1:$O$103,15,0))</f>
        <v>12.42</v>
      </c>
      <c r="W111" s="6">
        <f>IF(ISERROR(VLOOKUP($T$111,'TAR FIN'!$A$1:$O$103,15,0)),0,VLOOKUP($T$111,'TAR FIN'!$A$1:$O$103,15,0))</f>
        <v>69.37</v>
      </c>
      <c r="X111" s="6">
        <f>IF(ISERROR(VLOOKUP($U$111,'TAR FIN'!$A$1:$O$103,15,0)),0,VLOOKUP($U$111,'TAR FIN'!$A$1:$O$103,15,0))</f>
        <v>284.36</v>
      </c>
      <c r="Y111" s="6">
        <f ca="1">('TUSD BE'!$AM$16+'TUSD BF_350'!$AM$16+'TUSD CVA'!$AM$16)*1</f>
        <v>17.579999999999998</v>
      </c>
      <c r="Z111" s="6">
        <f ca="1">('TUSD BE'!$AM$17+'TUSD BF_350'!$AM$17+'TUSD CVA'!$AM$17)*1</f>
        <v>110.85</v>
      </c>
      <c r="AA111" s="6">
        <f ca="1">('TE BE'!$AB$9+'TE BF_350'!$AB$9+'TE CVA'!$AB$9)*1</f>
        <v>247.20000000000002</v>
      </c>
      <c r="AB111" s="6">
        <f>$K$111*$V$111</f>
        <v>3179.52</v>
      </c>
      <c r="AC111" s="6">
        <f>$M$111*$W$111</f>
        <v>3870.846</v>
      </c>
      <c r="AD111" s="6">
        <f>$O$111*$X$111</f>
        <v>15867.288</v>
      </c>
      <c r="AE111" s="6">
        <f ca="1">$K$111*$Y$111</f>
        <v>4500.4799999999996</v>
      </c>
      <c r="AF111" s="6">
        <f ca="1">$M$111*$Z$111</f>
        <v>6185.4299999999994</v>
      </c>
      <c r="AG111" s="6">
        <f ca="1">$O$111*$AA$111</f>
        <v>13793.76</v>
      </c>
    </row>
    <row r="112" spans="1:33" ht="11.25" customHeight="1" x14ac:dyDescent="0.25">
      <c r="A112" s="4" t="s">
        <v>21</v>
      </c>
      <c r="B112" s="4" t="s">
        <v>33</v>
      </c>
      <c r="C112" s="4" t="s">
        <v>41</v>
      </c>
      <c r="D112" s="4" t="s">
        <v>43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4994</v>
      </c>
      <c r="K112" s="6">
        <v>4994</v>
      </c>
      <c r="L112" s="6">
        <v>2358.5079999999998</v>
      </c>
      <c r="M112" s="6">
        <v>2358.5079999999998</v>
      </c>
      <c r="N112" s="6">
        <v>0</v>
      </c>
      <c r="O112" s="6">
        <v>0</v>
      </c>
      <c r="P112" s="6">
        <v>0</v>
      </c>
      <c r="Q112" s="4" t="s">
        <v>53</v>
      </c>
      <c r="R112" s="4">
        <v>0</v>
      </c>
      <c r="S112" s="6">
        <v>14</v>
      </c>
      <c r="T112" s="6">
        <v>15</v>
      </c>
      <c r="U112" s="6">
        <v>0</v>
      </c>
      <c r="V112" s="6">
        <f>IF(ISERROR(VLOOKUP($S$112,'TAR FIN'!$A$1:$O$103,15,0)),0,VLOOKUP($S$112,'TAR FIN'!$A$1:$O$103,15,0))</f>
        <v>12.42</v>
      </c>
      <c r="W112" s="6">
        <f>IF(ISERROR(VLOOKUP($T$112,'TAR FIN'!$A$1:$O$103,15,0)),0,VLOOKUP($T$112,'TAR FIN'!$A$1:$O$103,15,0))</f>
        <v>69.37</v>
      </c>
      <c r="X112" s="6">
        <f>IF(ISERROR(VLOOKUP($U$112,'TAR FIN'!$A$1:$O$103,15,0)),0,VLOOKUP($U$112,'TAR FIN'!$A$1:$O$103,15,0))</f>
        <v>0</v>
      </c>
      <c r="Y112" s="6">
        <f ca="1">('TUSD BE'!$AM$16+'TUSD BF_350'!$AM$16+'TUSD CVA'!$AM$16)*1</f>
        <v>17.579999999999998</v>
      </c>
      <c r="Z112" s="6">
        <f ca="1">('TUSD BE'!$AM$17+'TUSD BF_350'!$AM$17+'TUSD CVA'!$AM$17)*1</f>
        <v>110.85</v>
      </c>
      <c r="AA112" s="6"/>
      <c r="AB112" s="6">
        <f>$K$112*$V$112</f>
        <v>62025.48</v>
      </c>
      <c r="AC112" s="6">
        <f>$M$112*$W$112</f>
        <v>163609.69996</v>
      </c>
      <c r="AD112" s="6">
        <f>$O$112*$X$112</f>
        <v>0</v>
      </c>
      <c r="AE112" s="6">
        <f ca="1">$K$112*$Y$112</f>
        <v>87794.51999999999</v>
      </c>
      <c r="AF112" s="6">
        <f ca="1">$M$112*$Z$112</f>
        <v>261440.61179999996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33</v>
      </c>
      <c r="C113" s="4" t="s">
        <v>41</v>
      </c>
      <c r="D113" s="4" t="s">
        <v>43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220</v>
      </c>
      <c r="K113" s="6">
        <v>220</v>
      </c>
      <c r="L113" s="6">
        <v>48.951999999999998</v>
      </c>
      <c r="M113" s="6">
        <v>48.951999999999998</v>
      </c>
      <c r="N113" s="6">
        <v>48.951999999999998</v>
      </c>
      <c r="O113" s="6">
        <v>48.951999999999998</v>
      </c>
      <c r="P113" s="6">
        <v>0</v>
      </c>
      <c r="Q113" s="4" t="s">
        <v>26</v>
      </c>
      <c r="R113" s="4">
        <v>0</v>
      </c>
      <c r="S113" s="6">
        <v>14</v>
      </c>
      <c r="T113" s="6">
        <v>15</v>
      </c>
      <c r="U113" s="6">
        <v>66</v>
      </c>
      <c r="V113" s="6">
        <f>IF(ISERROR(VLOOKUP($S$113,'TAR FIN'!$A$1:$O$103,15,0)),0,VLOOKUP($S$113,'TAR FIN'!$A$1:$O$103,15,0))</f>
        <v>12.42</v>
      </c>
      <c r="W113" s="6">
        <f>IF(ISERROR(VLOOKUP($T$113,'TAR FIN'!$A$1:$O$103,15,0)),0,VLOOKUP($T$113,'TAR FIN'!$A$1:$O$103,15,0))</f>
        <v>69.37</v>
      </c>
      <c r="X113" s="6">
        <f>IF(ISERROR(VLOOKUP($U$113,'TAR FIN'!$A$1:$O$103,15,0)),0,VLOOKUP($U$113,'TAR FIN'!$A$1:$O$103,15,0))</f>
        <v>284.36</v>
      </c>
      <c r="Y113" s="6">
        <f ca="1">('TUSD BE'!$AM$16+'TUSD BF_350'!$AM$16+'TUSD CVA'!$AM$16)*1</f>
        <v>17.579999999999998</v>
      </c>
      <c r="Z113" s="6">
        <f ca="1">('TUSD BE'!$AM$17+'TUSD BF_350'!$AM$17+'TUSD CVA'!$AM$17)*1</f>
        <v>110.85</v>
      </c>
      <c r="AA113" s="6">
        <f ca="1">('TE BE'!$AB$9+'TE BF_350'!$AB$9+'TE CVA'!$AB$9)*1</f>
        <v>247.20000000000002</v>
      </c>
      <c r="AB113" s="6">
        <f>$K$113*$V$113</f>
        <v>2732.4</v>
      </c>
      <c r="AC113" s="6">
        <f>$M$113*$W$113</f>
        <v>3395.80024</v>
      </c>
      <c r="AD113" s="6">
        <f>$O$113*$X$113</f>
        <v>13919.99072</v>
      </c>
      <c r="AE113" s="6">
        <f ca="1">$K$113*$Y$113</f>
        <v>3867.5999999999995</v>
      </c>
      <c r="AF113" s="6">
        <f ca="1">$M$113*$Z$113</f>
        <v>5426.3291999999992</v>
      </c>
      <c r="AG113" s="6">
        <f ca="1">$O$113*$AA$113</f>
        <v>12100.9344</v>
      </c>
    </row>
    <row r="114" spans="1:33" ht="11.25" customHeight="1" x14ac:dyDescent="0.25">
      <c r="A114" s="4" t="s">
        <v>21</v>
      </c>
      <c r="B114" s="4" t="s">
        <v>33</v>
      </c>
      <c r="C114" s="4" t="s">
        <v>41</v>
      </c>
      <c r="D114" s="4" t="s">
        <v>43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44652</v>
      </c>
      <c r="J114" s="6">
        <v>4950</v>
      </c>
      <c r="K114" s="6">
        <v>4950</v>
      </c>
      <c r="L114" s="6">
        <v>2402.2979999999998</v>
      </c>
      <c r="M114" s="6">
        <v>2402.2979999999998</v>
      </c>
      <c r="N114" s="6">
        <v>0</v>
      </c>
      <c r="O114" s="6">
        <v>0</v>
      </c>
      <c r="P114" s="6">
        <v>0</v>
      </c>
      <c r="Q114" s="4" t="s">
        <v>53</v>
      </c>
      <c r="R114" s="4">
        <v>0</v>
      </c>
      <c r="S114" s="6">
        <v>14</v>
      </c>
      <c r="T114" s="6">
        <v>15</v>
      </c>
      <c r="U114" s="6">
        <v>0</v>
      </c>
      <c r="V114" s="6">
        <f>IF(ISERROR(VLOOKUP($S$114,'TAR FIN'!$A$1:$O$103,15,0)),0,VLOOKUP($S$114,'TAR FIN'!$A$1:$O$103,15,0))</f>
        <v>12.42</v>
      </c>
      <c r="W114" s="6">
        <f>IF(ISERROR(VLOOKUP($T$114,'TAR FIN'!$A$1:$O$103,15,0)),0,VLOOKUP($T$114,'TAR FIN'!$A$1:$O$103,15,0))</f>
        <v>69.37</v>
      </c>
      <c r="X114" s="6">
        <f>IF(ISERROR(VLOOKUP($U$114,'TAR FIN'!$A$1:$O$103,15,0)),0,VLOOKUP($U$114,'TAR FIN'!$A$1:$O$103,15,0))</f>
        <v>0</v>
      </c>
      <c r="Y114" s="6">
        <f ca="1">('TUSD BE'!$AM$16+'TUSD BF_350'!$AM$16+'TUSD CVA'!$AM$16)*1</f>
        <v>17.579999999999998</v>
      </c>
      <c r="Z114" s="6">
        <f ca="1">('TUSD BE'!$AM$17+'TUSD BF_350'!$AM$17+'TUSD CVA'!$AM$17)*1</f>
        <v>110.85</v>
      </c>
      <c r="AA114" s="6"/>
      <c r="AB114" s="6">
        <f>$K$114*$V$114</f>
        <v>61479</v>
      </c>
      <c r="AC114" s="6">
        <f>$M$114*$W$114</f>
        <v>166647.41225999998</v>
      </c>
      <c r="AD114" s="6">
        <f>$O$114*$X$114</f>
        <v>0</v>
      </c>
      <c r="AE114" s="6">
        <f ca="1">$K$114*$Y$114</f>
        <v>87020.999999999985</v>
      </c>
      <c r="AF114" s="6">
        <f ca="1">$M$114*$Z$114</f>
        <v>266294.73329999996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33</v>
      </c>
      <c r="C115" s="4" t="s">
        <v>41</v>
      </c>
      <c r="D115" s="4" t="s">
        <v>43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44682</v>
      </c>
      <c r="J115" s="6">
        <v>220</v>
      </c>
      <c r="K115" s="6">
        <v>220</v>
      </c>
      <c r="L115" s="6">
        <v>48.293999999999997</v>
      </c>
      <c r="M115" s="6">
        <v>48.293999999999997</v>
      </c>
      <c r="N115" s="6">
        <v>48.293999999999997</v>
      </c>
      <c r="O115" s="6">
        <v>48.293999999999997</v>
      </c>
      <c r="P115" s="6">
        <v>0</v>
      </c>
      <c r="Q115" s="4" t="s">
        <v>26</v>
      </c>
      <c r="R115" s="4">
        <v>0</v>
      </c>
      <c r="S115" s="6">
        <v>14</v>
      </c>
      <c r="T115" s="6">
        <v>15</v>
      </c>
      <c r="U115" s="6">
        <v>66</v>
      </c>
      <c r="V115" s="6">
        <f>IF(ISERROR(VLOOKUP($S$115,'TAR FIN'!$A$1:$O$103,15,0)),0,VLOOKUP($S$115,'TAR FIN'!$A$1:$O$103,15,0))</f>
        <v>12.42</v>
      </c>
      <c r="W115" s="6">
        <f>IF(ISERROR(VLOOKUP($T$115,'TAR FIN'!$A$1:$O$103,15,0)),0,VLOOKUP($T$115,'TAR FIN'!$A$1:$O$103,15,0))</f>
        <v>69.37</v>
      </c>
      <c r="X115" s="6">
        <f>IF(ISERROR(VLOOKUP($U$115,'TAR FIN'!$A$1:$O$103,15,0)),0,VLOOKUP($U$115,'TAR FIN'!$A$1:$O$103,15,0))</f>
        <v>284.36</v>
      </c>
      <c r="Y115" s="6">
        <f ca="1">('TUSD BE'!$AM$16+'TUSD BF_350'!$AM$16+'TUSD CVA'!$AM$16)*1</f>
        <v>17.579999999999998</v>
      </c>
      <c r="Z115" s="6">
        <f ca="1">('TUSD BE'!$AM$17+'TUSD BF_350'!$AM$17+'TUSD CVA'!$AM$17)*1</f>
        <v>110.85</v>
      </c>
      <c r="AA115" s="6">
        <f ca="1">('TE BE'!$AB$9+'TE BF_350'!$AB$9+'TE CVA'!$AB$9)*1</f>
        <v>247.20000000000002</v>
      </c>
      <c r="AB115" s="6">
        <f>$K$115*$V$115</f>
        <v>2732.4</v>
      </c>
      <c r="AC115" s="6">
        <f>$M$115*$W$115</f>
        <v>3350.1547799999998</v>
      </c>
      <c r="AD115" s="6">
        <f>$O$115*$X$115</f>
        <v>13732.88184</v>
      </c>
      <c r="AE115" s="6">
        <f ca="1">$K$115*$Y$115</f>
        <v>3867.5999999999995</v>
      </c>
      <c r="AF115" s="6">
        <f ca="1">$M$115*$Z$115</f>
        <v>5353.3898999999992</v>
      </c>
      <c r="AG115" s="6">
        <f ca="1">$O$115*$AA$115</f>
        <v>11938.2768</v>
      </c>
    </row>
    <row r="116" spans="1:33" ht="11.25" customHeight="1" x14ac:dyDescent="0.25">
      <c r="A116" s="4" t="s">
        <v>21</v>
      </c>
      <c r="B116" s="4" t="s">
        <v>33</v>
      </c>
      <c r="C116" s="4" t="s">
        <v>41</v>
      </c>
      <c r="D116" s="4" t="s">
        <v>43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44682</v>
      </c>
      <c r="J116" s="6">
        <v>4950</v>
      </c>
      <c r="K116" s="6">
        <v>4950</v>
      </c>
      <c r="L116" s="6">
        <v>2323.3539999999998</v>
      </c>
      <c r="M116" s="6">
        <v>2323.3539999999998</v>
      </c>
      <c r="N116" s="6">
        <v>0</v>
      </c>
      <c r="O116" s="6">
        <v>0</v>
      </c>
      <c r="P116" s="6">
        <v>0</v>
      </c>
      <c r="Q116" s="4" t="s">
        <v>53</v>
      </c>
      <c r="R116" s="4">
        <v>0</v>
      </c>
      <c r="S116" s="6">
        <v>14</v>
      </c>
      <c r="T116" s="6">
        <v>15</v>
      </c>
      <c r="U116" s="6">
        <v>0</v>
      </c>
      <c r="V116" s="6">
        <f>IF(ISERROR(VLOOKUP($S$116,'TAR FIN'!$A$1:$O$103,15,0)),0,VLOOKUP($S$116,'TAR FIN'!$A$1:$O$103,15,0))</f>
        <v>12.42</v>
      </c>
      <c r="W116" s="6">
        <f>IF(ISERROR(VLOOKUP($T$116,'TAR FIN'!$A$1:$O$103,15,0)),0,VLOOKUP($T$116,'TAR FIN'!$A$1:$O$103,15,0))</f>
        <v>69.37</v>
      </c>
      <c r="X116" s="6">
        <f>IF(ISERROR(VLOOKUP($U$116,'TAR FIN'!$A$1:$O$103,15,0)),0,VLOOKUP($U$116,'TAR FIN'!$A$1:$O$103,15,0))</f>
        <v>0</v>
      </c>
      <c r="Y116" s="6">
        <f ca="1">('TUSD BE'!$AM$16+'TUSD BF_350'!$AM$16+'TUSD CVA'!$AM$16)*1</f>
        <v>17.579999999999998</v>
      </c>
      <c r="Z116" s="6">
        <f ca="1">('TUSD BE'!$AM$17+'TUSD BF_350'!$AM$17+'TUSD CVA'!$AM$17)*1</f>
        <v>110.85</v>
      </c>
      <c r="AA116" s="6"/>
      <c r="AB116" s="6">
        <f>$K$116*$V$116</f>
        <v>61479</v>
      </c>
      <c r="AC116" s="6">
        <f>$M$116*$W$116</f>
        <v>161171.06698</v>
      </c>
      <c r="AD116" s="6">
        <f>$O$116*$X$116</f>
        <v>0</v>
      </c>
      <c r="AE116" s="6">
        <f ca="1">$K$116*$Y$116</f>
        <v>87020.999999999985</v>
      </c>
      <c r="AF116" s="6">
        <f ca="1">$M$116*$Z$116</f>
        <v>257543.79089999996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33</v>
      </c>
      <c r="C117" s="4" t="s">
        <v>41</v>
      </c>
      <c r="D117" s="4" t="s">
        <v>43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44348</v>
      </c>
      <c r="J117" s="6">
        <v>220</v>
      </c>
      <c r="K117" s="6">
        <v>220</v>
      </c>
      <c r="L117" s="6">
        <v>5.8179999999999996</v>
      </c>
      <c r="M117" s="6">
        <v>5.8179999999999996</v>
      </c>
      <c r="N117" s="6">
        <v>5.8179999999999996</v>
      </c>
      <c r="O117" s="6">
        <v>5.8179999999999996</v>
      </c>
      <c r="P117" s="6">
        <v>0</v>
      </c>
      <c r="Q117" s="4" t="s">
        <v>26</v>
      </c>
      <c r="R117" s="4">
        <v>0</v>
      </c>
      <c r="S117" s="6">
        <v>13</v>
      </c>
      <c r="T117" s="6">
        <v>15</v>
      </c>
      <c r="U117" s="6">
        <v>65</v>
      </c>
      <c r="V117" s="6">
        <f>IF(ISERROR(VLOOKUP($S$117,'TAR FIN'!$A$1:$O$103,15,0)),0,VLOOKUP($S$117,'TAR FIN'!$A$1:$O$103,15,0))</f>
        <v>31.72</v>
      </c>
      <c r="W117" s="6">
        <f>IF(ISERROR(VLOOKUP($T$117,'TAR FIN'!$A$1:$O$103,15,0)),0,VLOOKUP($T$117,'TAR FIN'!$A$1:$O$103,15,0))</f>
        <v>69.37</v>
      </c>
      <c r="X117" s="6">
        <f>IF(ISERROR(VLOOKUP($U$117,'TAR FIN'!$A$1:$O$103,15,0)),0,VLOOKUP($U$117,'TAR FIN'!$A$1:$O$103,15,0))</f>
        <v>454.9</v>
      </c>
      <c r="Y117" s="6">
        <f ca="1">('TUSD BE'!$AM$15+'TUSD BF_350'!$AM$15+'TUSD CVA'!$AM$15)*1</f>
        <v>37.770000000000003</v>
      </c>
      <c r="Z117" s="6">
        <f ca="1">('TUSD BE'!$AM$17+'TUSD BF_350'!$AM$17+'TUSD CVA'!$AM$17)*1</f>
        <v>110.85</v>
      </c>
      <c r="AA117" s="6">
        <f ca="1">('TE BE'!$AB$8+'TE BF_350'!$AB$8+'TE CVA'!$AB$8)*1</f>
        <v>388.08000000000004</v>
      </c>
      <c r="AB117" s="6">
        <f>$K$117*$V$117</f>
        <v>6978.4</v>
      </c>
      <c r="AC117" s="6">
        <f>$M$117*$W$117</f>
        <v>403.59465999999998</v>
      </c>
      <c r="AD117" s="6">
        <f>$O$117*$X$117</f>
        <v>2646.6081999999997</v>
      </c>
      <c r="AE117" s="6">
        <f ca="1">$K$117*$Y$117</f>
        <v>8309.4000000000015</v>
      </c>
      <c r="AF117" s="6">
        <f ca="1">$M$117*$Z$117</f>
        <v>644.92529999999988</v>
      </c>
      <c r="AG117" s="6">
        <f ca="1">$O$117*$AA$117</f>
        <v>2257.84944</v>
      </c>
    </row>
    <row r="118" spans="1:33" ht="11.25" customHeight="1" x14ac:dyDescent="0.25">
      <c r="A118" s="4" t="s">
        <v>21</v>
      </c>
      <c r="B118" s="4" t="s">
        <v>33</v>
      </c>
      <c r="C118" s="4" t="s">
        <v>41</v>
      </c>
      <c r="D118" s="4" t="s">
        <v>43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44348</v>
      </c>
      <c r="J118" s="6">
        <v>4519</v>
      </c>
      <c r="K118" s="6">
        <v>4519</v>
      </c>
      <c r="L118" s="6">
        <v>213.274</v>
      </c>
      <c r="M118" s="6">
        <v>213.274</v>
      </c>
      <c r="N118" s="6">
        <v>0</v>
      </c>
      <c r="O118" s="6">
        <v>0</v>
      </c>
      <c r="P118" s="6">
        <v>0</v>
      </c>
      <c r="Q118" s="4" t="s">
        <v>53</v>
      </c>
      <c r="R118" s="4">
        <v>0</v>
      </c>
      <c r="S118" s="6">
        <v>13</v>
      </c>
      <c r="T118" s="6">
        <v>15</v>
      </c>
      <c r="U118" s="6">
        <v>0</v>
      </c>
      <c r="V118" s="6">
        <f>IF(ISERROR(VLOOKUP($S$118,'TAR FIN'!$A$1:$O$103,15,0)),0,VLOOKUP($S$118,'TAR FIN'!$A$1:$O$103,15,0))</f>
        <v>31.72</v>
      </c>
      <c r="W118" s="6">
        <f>IF(ISERROR(VLOOKUP($T$118,'TAR FIN'!$A$1:$O$103,15,0)),0,VLOOKUP($T$118,'TAR FIN'!$A$1:$O$103,15,0))</f>
        <v>69.37</v>
      </c>
      <c r="X118" s="6">
        <f>IF(ISERROR(VLOOKUP($U$118,'TAR FIN'!$A$1:$O$103,15,0)),0,VLOOKUP($U$118,'TAR FIN'!$A$1:$O$103,15,0))</f>
        <v>0</v>
      </c>
      <c r="Y118" s="6">
        <f ca="1">('TUSD BE'!$AM$15+'TUSD BF_350'!$AM$15+'TUSD CVA'!$AM$15)*1</f>
        <v>37.770000000000003</v>
      </c>
      <c r="Z118" s="6">
        <f ca="1">('TUSD BE'!$AM$17+'TUSD BF_350'!$AM$17+'TUSD CVA'!$AM$17)*1</f>
        <v>110.85</v>
      </c>
      <c r="AA118" s="6"/>
      <c r="AB118" s="6">
        <f>$K$118*$V$118</f>
        <v>143342.68</v>
      </c>
      <c r="AC118" s="6">
        <f>$M$118*$W$118</f>
        <v>14794.81738</v>
      </c>
      <c r="AD118" s="6">
        <f>$O$118*$X$118</f>
        <v>0</v>
      </c>
      <c r="AE118" s="6">
        <f ca="1">$K$118*$Y$118</f>
        <v>170682.63</v>
      </c>
      <c r="AF118" s="6">
        <f ca="1">$M$118*$Z$118</f>
        <v>23641.422899999998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33</v>
      </c>
      <c r="C119" s="4" t="s">
        <v>41</v>
      </c>
      <c r="D119" s="4" t="s">
        <v>43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44378</v>
      </c>
      <c r="J119" s="6">
        <v>220</v>
      </c>
      <c r="K119" s="6">
        <v>220</v>
      </c>
      <c r="L119" s="6">
        <v>6.56</v>
      </c>
      <c r="M119" s="6">
        <v>6.56</v>
      </c>
      <c r="N119" s="6">
        <v>6.56</v>
      </c>
      <c r="O119" s="6">
        <v>6.56</v>
      </c>
      <c r="P119" s="6">
        <v>0</v>
      </c>
      <c r="Q119" s="4" t="s">
        <v>26</v>
      </c>
      <c r="R119" s="4">
        <v>0</v>
      </c>
      <c r="S119" s="6">
        <v>13</v>
      </c>
      <c r="T119" s="6">
        <v>15</v>
      </c>
      <c r="U119" s="6">
        <v>65</v>
      </c>
      <c r="V119" s="6">
        <f>IF(ISERROR(VLOOKUP($S$119,'TAR FIN'!$A$1:$O$103,15,0)),0,VLOOKUP($S$119,'TAR FIN'!$A$1:$O$103,15,0))</f>
        <v>31.72</v>
      </c>
      <c r="W119" s="6">
        <f>IF(ISERROR(VLOOKUP($T$119,'TAR FIN'!$A$1:$O$103,15,0)),0,VLOOKUP($T$119,'TAR FIN'!$A$1:$O$103,15,0))</f>
        <v>69.37</v>
      </c>
      <c r="X119" s="6">
        <f>IF(ISERROR(VLOOKUP($U$119,'TAR FIN'!$A$1:$O$103,15,0)),0,VLOOKUP($U$119,'TAR FIN'!$A$1:$O$103,15,0))</f>
        <v>454.9</v>
      </c>
      <c r="Y119" s="6">
        <f ca="1">('TUSD BE'!$AM$15+'TUSD BF_350'!$AM$15+'TUSD CVA'!$AM$15)*1</f>
        <v>37.770000000000003</v>
      </c>
      <c r="Z119" s="6">
        <f ca="1">('TUSD BE'!$AM$17+'TUSD BF_350'!$AM$17+'TUSD CVA'!$AM$17)*1</f>
        <v>110.85</v>
      </c>
      <c r="AA119" s="6">
        <f ca="1">('TE BE'!$AB$8+'TE BF_350'!$AB$8+'TE CVA'!$AB$8)*1</f>
        <v>388.08000000000004</v>
      </c>
      <c r="AB119" s="6">
        <f>$K$119*$V$119</f>
        <v>6978.4</v>
      </c>
      <c r="AC119" s="6">
        <f>$M$119*$W$119</f>
        <v>455.06720000000001</v>
      </c>
      <c r="AD119" s="6">
        <f>$O$119*$X$119</f>
        <v>2984.1439999999998</v>
      </c>
      <c r="AE119" s="6">
        <f ca="1">$K$119*$Y$119</f>
        <v>8309.4000000000015</v>
      </c>
      <c r="AF119" s="6">
        <f ca="1">$M$119*$Z$119</f>
        <v>727.17599999999993</v>
      </c>
      <c r="AG119" s="6">
        <f ca="1">$O$119*$AA$119</f>
        <v>2545.8048000000003</v>
      </c>
    </row>
    <row r="120" spans="1:33" ht="11.25" customHeight="1" x14ac:dyDescent="0.25">
      <c r="A120" s="4" t="s">
        <v>21</v>
      </c>
      <c r="B120" s="4" t="s">
        <v>33</v>
      </c>
      <c r="C120" s="4" t="s">
        <v>41</v>
      </c>
      <c r="D120" s="4" t="s">
        <v>43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44378</v>
      </c>
      <c r="J120" s="6">
        <v>4692</v>
      </c>
      <c r="K120" s="6">
        <v>4692</v>
      </c>
      <c r="L120" s="6">
        <v>224.55099999999999</v>
      </c>
      <c r="M120" s="6">
        <v>224.55099999999999</v>
      </c>
      <c r="N120" s="6">
        <v>0</v>
      </c>
      <c r="O120" s="6">
        <v>0</v>
      </c>
      <c r="P120" s="6">
        <v>0</v>
      </c>
      <c r="Q120" s="4" t="s">
        <v>53</v>
      </c>
      <c r="R120" s="4">
        <v>0</v>
      </c>
      <c r="S120" s="6">
        <v>13</v>
      </c>
      <c r="T120" s="6">
        <v>15</v>
      </c>
      <c r="U120" s="6">
        <v>0</v>
      </c>
      <c r="V120" s="6">
        <f>IF(ISERROR(VLOOKUP($S$120,'TAR FIN'!$A$1:$O$103,15,0)),0,VLOOKUP($S$120,'TAR FIN'!$A$1:$O$103,15,0))</f>
        <v>31.72</v>
      </c>
      <c r="W120" s="6">
        <f>IF(ISERROR(VLOOKUP($T$120,'TAR FIN'!$A$1:$O$103,15,0)),0,VLOOKUP($T$120,'TAR FIN'!$A$1:$O$103,15,0))</f>
        <v>69.37</v>
      </c>
      <c r="X120" s="6">
        <f>IF(ISERROR(VLOOKUP($U$120,'TAR FIN'!$A$1:$O$103,15,0)),0,VLOOKUP($U$120,'TAR FIN'!$A$1:$O$103,15,0))</f>
        <v>0</v>
      </c>
      <c r="Y120" s="6">
        <f ca="1">('TUSD BE'!$AM$15+'TUSD BF_350'!$AM$15+'TUSD CVA'!$AM$15)*1</f>
        <v>37.770000000000003</v>
      </c>
      <c r="Z120" s="6">
        <f ca="1">('TUSD BE'!$AM$17+'TUSD BF_350'!$AM$17+'TUSD CVA'!$AM$17)*1</f>
        <v>110.85</v>
      </c>
      <c r="AA120" s="6"/>
      <c r="AB120" s="6">
        <f>$K$120*$V$120</f>
        <v>148830.24</v>
      </c>
      <c r="AC120" s="6">
        <f>$M$120*$W$120</f>
        <v>15577.102870000001</v>
      </c>
      <c r="AD120" s="6">
        <f>$O$120*$X$120</f>
        <v>0</v>
      </c>
      <c r="AE120" s="6">
        <f ca="1">$K$120*$Y$120</f>
        <v>177216.84000000003</v>
      </c>
      <c r="AF120" s="6">
        <f ca="1">$M$120*$Z$120</f>
        <v>24891.478349999998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33</v>
      </c>
      <c r="C121" s="4" t="s">
        <v>41</v>
      </c>
      <c r="D121" s="4" t="s">
        <v>43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44409</v>
      </c>
      <c r="J121" s="6">
        <v>220</v>
      </c>
      <c r="K121" s="6">
        <v>220</v>
      </c>
      <c r="L121" s="6">
        <v>6.1950000000000003</v>
      </c>
      <c r="M121" s="6">
        <v>6.1950000000000003</v>
      </c>
      <c r="N121" s="6">
        <v>6.1950000000000003</v>
      </c>
      <c r="O121" s="6">
        <v>6.1950000000000003</v>
      </c>
      <c r="P121" s="6">
        <v>0</v>
      </c>
      <c r="Q121" s="4" t="s">
        <v>26</v>
      </c>
      <c r="R121" s="4">
        <v>0</v>
      </c>
      <c r="S121" s="6">
        <v>13</v>
      </c>
      <c r="T121" s="6">
        <v>15</v>
      </c>
      <c r="U121" s="6">
        <v>65</v>
      </c>
      <c r="V121" s="6">
        <f>IF(ISERROR(VLOOKUP($S$121,'TAR FIN'!$A$1:$O$103,15,0)),0,VLOOKUP($S$121,'TAR FIN'!$A$1:$O$103,15,0))</f>
        <v>31.72</v>
      </c>
      <c r="W121" s="6">
        <f>IF(ISERROR(VLOOKUP($T$121,'TAR FIN'!$A$1:$O$103,15,0)),0,VLOOKUP($T$121,'TAR FIN'!$A$1:$O$103,15,0))</f>
        <v>69.37</v>
      </c>
      <c r="X121" s="6">
        <f>IF(ISERROR(VLOOKUP($U$121,'TAR FIN'!$A$1:$O$103,15,0)),0,VLOOKUP($U$121,'TAR FIN'!$A$1:$O$103,15,0))</f>
        <v>454.9</v>
      </c>
      <c r="Y121" s="6">
        <f ca="1">('TUSD BE'!$AM$15+'TUSD BF_350'!$AM$15+'TUSD CVA'!$AM$15)*1</f>
        <v>37.770000000000003</v>
      </c>
      <c r="Z121" s="6">
        <f ca="1">('TUSD BE'!$AM$17+'TUSD BF_350'!$AM$17+'TUSD CVA'!$AM$17)*1</f>
        <v>110.85</v>
      </c>
      <c r="AA121" s="6">
        <f ca="1">('TE BE'!$AB$8+'TE BF_350'!$AB$8+'TE CVA'!$AB$8)*1</f>
        <v>388.08000000000004</v>
      </c>
      <c r="AB121" s="6">
        <f>$K$121*$V$121</f>
        <v>6978.4</v>
      </c>
      <c r="AC121" s="6">
        <f>$M$121*$W$121</f>
        <v>429.74715000000003</v>
      </c>
      <c r="AD121" s="6">
        <f>$O$121*$X$121</f>
        <v>2818.1055000000001</v>
      </c>
      <c r="AE121" s="6">
        <f ca="1">$K$121*$Y$121</f>
        <v>8309.4000000000015</v>
      </c>
      <c r="AF121" s="6">
        <f ca="1">$M$121*$Z$121</f>
        <v>686.71574999999996</v>
      </c>
      <c r="AG121" s="6">
        <f ca="1">$O$121*$AA$121</f>
        <v>2404.1556000000005</v>
      </c>
    </row>
    <row r="122" spans="1:33" ht="11.25" customHeight="1" x14ac:dyDescent="0.25">
      <c r="A122" s="4" t="s">
        <v>21</v>
      </c>
      <c r="B122" s="4" t="s">
        <v>33</v>
      </c>
      <c r="C122" s="4" t="s">
        <v>41</v>
      </c>
      <c r="D122" s="4" t="s">
        <v>43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44409</v>
      </c>
      <c r="J122" s="6">
        <v>4500</v>
      </c>
      <c r="K122" s="6">
        <v>4500</v>
      </c>
      <c r="L122" s="6">
        <v>193.452</v>
      </c>
      <c r="M122" s="6">
        <v>193.452</v>
      </c>
      <c r="N122" s="6">
        <v>0</v>
      </c>
      <c r="O122" s="6">
        <v>0</v>
      </c>
      <c r="P122" s="6">
        <v>0</v>
      </c>
      <c r="Q122" s="4" t="s">
        <v>53</v>
      </c>
      <c r="R122" s="4">
        <v>0</v>
      </c>
      <c r="S122" s="6">
        <v>13</v>
      </c>
      <c r="T122" s="6">
        <v>15</v>
      </c>
      <c r="U122" s="6">
        <v>0</v>
      </c>
      <c r="V122" s="6">
        <f>IF(ISERROR(VLOOKUP($S$122,'TAR FIN'!$A$1:$O$103,15,0)),0,VLOOKUP($S$122,'TAR FIN'!$A$1:$O$103,15,0))</f>
        <v>31.72</v>
      </c>
      <c r="W122" s="6">
        <f>IF(ISERROR(VLOOKUP($T$122,'TAR FIN'!$A$1:$O$103,15,0)),0,VLOOKUP($T$122,'TAR FIN'!$A$1:$O$103,15,0))</f>
        <v>69.37</v>
      </c>
      <c r="X122" s="6">
        <f>IF(ISERROR(VLOOKUP($U$122,'TAR FIN'!$A$1:$O$103,15,0)),0,VLOOKUP($U$122,'TAR FIN'!$A$1:$O$103,15,0))</f>
        <v>0</v>
      </c>
      <c r="Y122" s="6">
        <f ca="1">('TUSD BE'!$AM$15+'TUSD BF_350'!$AM$15+'TUSD CVA'!$AM$15)*1</f>
        <v>37.770000000000003</v>
      </c>
      <c r="Z122" s="6">
        <f ca="1">('TUSD BE'!$AM$17+'TUSD BF_350'!$AM$17+'TUSD CVA'!$AM$17)*1</f>
        <v>110.85</v>
      </c>
      <c r="AA122" s="6"/>
      <c r="AB122" s="6">
        <f>$K$122*$V$122</f>
        <v>142740</v>
      </c>
      <c r="AC122" s="6">
        <f>$M$122*$W$122</f>
        <v>13419.765240000001</v>
      </c>
      <c r="AD122" s="6">
        <f>$O$122*$X$122</f>
        <v>0</v>
      </c>
      <c r="AE122" s="6">
        <f ca="1">$K$122*$Y$122</f>
        <v>169965</v>
      </c>
      <c r="AF122" s="6">
        <f ca="1">$M$122*$Z$122</f>
        <v>21444.154199999997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33</v>
      </c>
      <c r="C123" s="4" t="s">
        <v>41</v>
      </c>
      <c r="D123" s="4" t="s">
        <v>43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44440</v>
      </c>
      <c r="J123" s="6">
        <v>220</v>
      </c>
      <c r="K123" s="6">
        <v>220</v>
      </c>
      <c r="L123" s="6">
        <v>5.8570000000000002</v>
      </c>
      <c r="M123" s="6">
        <v>5.8570000000000002</v>
      </c>
      <c r="N123" s="6">
        <v>5.8570000000000002</v>
      </c>
      <c r="O123" s="6">
        <v>5.8570000000000002</v>
      </c>
      <c r="P123" s="6">
        <v>0</v>
      </c>
      <c r="Q123" s="4" t="s">
        <v>26</v>
      </c>
      <c r="R123" s="4">
        <v>0</v>
      </c>
      <c r="S123" s="6">
        <v>13</v>
      </c>
      <c r="T123" s="6">
        <v>15</v>
      </c>
      <c r="U123" s="6">
        <v>65</v>
      </c>
      <c r="V123" s="6">
        <f>IF(ISERROR(VLOOKUP($S$123,'TAR FIN'!$A$1:$O$103,15,0)),0,VLOOKUP($S$123,'TAR FIN'!$A$1:$O$103,15,0))</f>
        <v>31.72</v>
      </c>
      <c r="W123" s="6">
        <f>IF(ISERROR(VLOOKUP($T$123,'TAR FIN'!$A$1:$O$103,15,0)),0,VLOOKUP($T$123,'TAR FIN'!$A$1:$O$103,15,0))</f>
        <v>69.37</v>
      </c>
      <c r="X123" s="6">
        <f>IF(ISERROR(VLOOKUP($U$123,'TAR FIN'!$A$1:$O$103,15,0)),0,VLOOKUP($U$123,'TAR FIN'!$A$1:$O$103,15,0))</f>
        <v>454.9</v>
      </c>
      <c r="Y123" s="6">
        <f ca="1">('TUSD BE'!$AM$15+'TUSD BF_350'!$AM$15+'TUSD CVA'!$AM$15)*1</f>
        <v>37.770000000000003</v>
      </c>
      <c r="Z123" s="6">
        <f ca="1">('TUSD BE'!$AM$17+'TUSD BF_350'!$AM$17+'TUSD CVA'!$AM$17)*1</f>
        <v>110.85</v>
      </c>
      <c r="AA123" s="6">
        <f ca="1">('TE BE'!$AB$8+'TE BF_350'!$AB$8+'TE CVA'!$AB$8)*1</f>
        <v>388.08000000000004</v>
      </c>
      <c r="AB123" s="6">
        <f>$K$123*$V$123</f>
        <v>6978.4</v>
      </c>
      <c r="AC123" s="6">
        <f>$M$123*$W$123</f>
        <v>406.30009000000007</v>
      </c>
      <c r="AD123" s="6">
        <f>$O$123*$X$123</f>
        <v>2664.3492999999999</v>
      </c>
      <c r="AE123" s="6">
        <f ca="1">$K$123*$Y$123</f>
        <v>8309.4000000000015</v>
      </c>
      <c r="AF123" s="6">
        <f ca="1">$M$123*$Z$123</f>
        <v>649.24844999999993</v>
      </c>
      <c r="AG123" s="6">
        <f ca="1">$O$123*$AA$123</f>
        <v>2272.9845600000003</v>
      </c>
    </row>
    <row r="124" spans="1:33" ht="11.25" customHeight="1" x14ac:dyDescent="0.25">
      <c r="A124" s="4" t="s">
        <v>21</v>
      </c>
      <c r="B124" s="4" t="s">
        <v>33</v>
      </c>
      <c r="C124" s="4" t="s">
        <v>41</v>
      </c>
      <c r="D124" s="4" t="s">
        <v>43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44440</v>
      </c>
      <c r="J124" s="6">
        <v>4657</v>
      </c>
      <c r="K124" s="6">
        <v>4657</v>
      </c>
      <c r="L124" s="6">
        <v>239.13800000000001</v>
      </c>
      <c r="M124" s="6">
        <v>239.13800000000001</v>
      </c>
      <c r="N124" s="6">
        <v>0</v>
      </c>
      <c r="O124" s="6">
        <v>0</v>
      </c>
      <c r="P124" s="6">
        <v>0</v>
      </c>
      <c r="Q124" s="4" t="s">
        <v>53</v>
      </c>
      <c r="R124" s="4">
        <v>0</v>
      </c>
      <c r="S124" s="6">
        <v>13</v>
      </c>
      <c r="T124" s="6">
        <v>15</v>
      </c>
      <c r="U124" s="6">
        <v>0</v>
      </c>
      <c r="V124" s="6">
        <f>IF(ISERROR(VLOOKUP($S$124,'TAR FIN'!$A$1:$O$103,15,0)),0,VLOOKUP($S$124,'TAR FIN'!$A$1:$O$103,15,0))</f>
        <v>31.72</v>
      </c>
      <c r="W124" s="6">
        <f>IF(ISERROR(VLOOKUP($T$124,'TAR FIN'!$A$1:$O$103,15,0)),0,VLOOKUP($T$124,'TAR FIN'!$A$1:$O$103,15,0))</f>
        <v>69.37</v>
      </c>
      <c r="X124" s="6">
        <f>IF(ISERROR(VLOOKUP($U$124,'TAR FIN'!$A$1:$O$103,15,0)),0,VLOOKUP($U$124,'TAR FIN'!$A$1:$O$103,15,0))</f>
        <v>0</v>
      </c>
      <c r="Y124" s="6">
        <f ca="1">('TUSD BE'!$AM$15+'TUSD BF_350'!$AM$15+'TUSD CVA'!$AM$15)*1</f>
        <v>37.770000000000003</v>
      </c>
      <c r="Z124" s="6">
        <f ca="1">('TUSD BE'!$AM$17+'TUSD BF_350'!$AM$17+'TUSD CVA'!$AM$17)*1</f>
        <v>110.85</v>
      </c>
      <c r="AA124" s="6"/>
      <c r="AB124" s="6">
        <f>$K$124*$V$124</f>
        <v>147720.04</v>
      </c>
      <c r="AC124" s="6">
        <f>$M$124*$W$124</f>
        <v>16589.003060000003</v>
      </c>
      <c r="AD124" s="6">
        <f>$O$124*$X$124</f>
        <v>0</v>
      </c>
      <c r="AE124" s="6">
        <f ca="1">$K$124*$Y$124</f>
        <v>175894.89</v>
      </c>
      <c r="AF124" s="6">
        <f ca="1">$M$124*$Z$124</f>
        <v>26508.4473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33</v>
      </c>
      <c r="C125" s="4" t="s">
        <v>41</v>
      </c>
      <c r="D125" s="4" t="s">
        <v>43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44470</v>
      </c>
      <c r="J125" s="6">
        <v>220</v>
      </c>
      <c r="K125" s="6">
        <v>220</v>
      </c>
      <c r="L125" s="6">
        <v>5.5880000000000001</v>
      </c>
      <c r="M125" s="6">
        <v>5.5880000000000001</v>
      </c>
      <c r="N125" s="6">
        <v>5.5880000000000001</v>
      </c>
      <c r="O125" s="6">
        <v>5.5880000000000001</v>
      </c>
      <c r="P125" s="6">
        <v>0</v>
      </c>
      <c r="Q125" s="4" t="s">
        <v>26</v>
      </c>
      <c r="R125" s="4">
        <v>0</v>
      </c>
      <c r="S125" s="6">
        <v>13</v>
      </c>
      <c r="T125" s="6">
        <v>15</v>
      </c>
      <c r="U125" s="6">
        <v>65</v>
      </c>
      <c r="V125" s="6">
        <f>IF(ISERROR(VLOOKUP($S$125,'TAR FIN'!$A$1:$O$103,15,0)),0,VLOOKUP($S$125,'TAR FIN'!$A$1:$O$103,15,0))</f>
        <v>31.72</v>
      </c>
      <c r="W125" s="6">
        <f>IF(ISERROR(VLOOKUP($T$125,'TAR FIN'!$A$1:$O$103,15,0)),0,VLOOKUP($T$125,'TAR FIN'!$A$1:$O$103,15,0))</f>
        <v>69.37</v>
      </c>
      <c r="X125" s="6">
        <f>IF(ISERROR(VLOOKUP($U$125,'TAR FIN'!$A$1:$O$103,15,0)),0,VLOOKUP($U$125,'TAR FIN'!$A$1:$O$103,15,0))</f>
        <v>454.9</v>
      </c>
      <c r="Y125" s="6">
        <f ca="1">('TUSD BE'!$AM$15+'TUSD BF_350'!$AM$15+'TUSD CVA'!$AM$15)*1</f>
        <v>37.770000000000003</v>
      </c>
      <c r="Z125" s="6">
        <f ca="1">('TUSD BE'!$AM$17+'TUSD BF_350'!$AM$17+'TUSD CVA'!$AM$17)*1</f>
        <v>110.85</v>
      </c>
      <c r="AA125" s="6">
        <f ca="1">('TE BE'!$AB$8+'TE BF_350'!$AB$8+'TE CVA'!$AB$8)*1</f>
        <v>388.08000000000004</v>
      </c>
      <c r="AB125" s="6">
        <f>$K$125*$V$125</f>
        <v>6978.4</v>
      </c>
      <c r="AC125" s="6">
        <f>$M$125*$W$125</f>
        <v>387.63956000000002</v>
      </c>
      <c r="AD125" s="6">
        <f>$O$125*$X$125</f>
        <v>2541.9811999999997</v>
      </c>
      <c r="AE125" s="6">
        <f ca="1">$K$125*$Y$125</f>
        <v>8309.4000000000015</v>
      </c>
      <c r="AF125" s="6">
        <f ca="1">$M$125*$Z$125</f>
        <v>619.4298</v>
      </c>
      <c r="AG125" s="6">
        <f ca="1">$O$125*$AA$125</f>
        <v>2168.5910400000002</v>
      </c>
    </row>
    <row r="126" spans="1:33" ht="11.25" customHeight="1" x14ac:dyDescent="0.25">
      <c r="A126" s="4" t="s">
        <v>21</v>
      </c>
      <c r="B126" s="4" t="s">
        <v>33</v>
      </c>
      <c r="C126" s="4" t="s">
        <v>41</v>
      </c>
      <c r="D126" s="4" t="s">
        <v>43</v>
      </c>
      <c r="E126" s="4" t="s">
        <v>25</v>
      </c>
      <c r="F126" s="4" t="s">
        <v>25</v>
      </c>
      <c r="G126" s="4" t="s">
        <v>25</v>
      </c>
      <c r="H126" s="4" t="s">
        <v>37</v>
      </c>
      <c r="I126" s="5">
        <v>44470</v>
      </c>
      <c r="J126" s="6">
        <v>4717</v>
      </c>
      <c r="K126" s="6">
        <v>4717</v>
      </c>
      <c r="L126" s="6">
        <v>254.001</v>
      </c>
      <c r="M126" s="6">
        <v>254.001</v>
      </c>
      <c r="N126" s="6">
        <v>0</v>
      </c>
      <c r="O126" s="6">
        <v>0</v>
      </c>
      <c r="P126" s="6">
        <v>0</v>
      </c>
      <c r="Q126" s="4" t="s">
        <v>53</v>
      </c>
      <c r="R126" s="4">
        <v>0</v>
      </c>
      <c r="S126" s="6">
        <v>13</v>
      </c>
      <c r="T126" s="6">
        <v>15</v>
      </c>
      <c r="U126" s="6">
        <v>0</v>
      </c>
      <c r="V126" s="6">
        <f>IF(ISERROR(VLOOKUP($S$126,'TAR FIN'!$A$1:$O$103,15,0)),0,VLOOKUP($S$126,'TAR FIN'!$A$1:$O$103,15,0))</f>
        <v>31.72</v>
      </c>
      <c r="W126" s="6">
        <f>IF(ISERROR(VLOOKUP($T$126,'TAR FIN'!$A$1:$O$103,15,0)),0,VLOOKUP($T$126,'TAR FIN'!$A$1:$O$103,15,0))</f>
        <v>69.37</v>
      </c>
      <c r="X126" s="6">
        <f>IF(ISERROR(VLOOKUP($U$126,'TAR FIN'!$A$1:$O$103,15,0)),0,VLOOKUP($U$126,'TAR FIN'!$A$1:$O$103,15,0))</f>
        <v>0</v>
      </c>
      <c r="Y126" s="6">
        <f ca="1">('TUSD BE'!$AM$15+'TUSD BF_350'!$AM$15+'TUSD CVA'!$AM$15)*1</f>
        <v>37.770000000000003</v>
      </c>
      <c r="Z126" s="6">
        <f ca="1">('TUSD BE'!$AM$17+'TUSD BF_350'!$AM$17+'TUSD CVA'!$AM$17)*1</f>
        <v>110.85</v>
      </c>
      <c r="AA126" s="6"/>
      <c r="AB126" s="6">
        <f>$K$126*$V$126</f>
        <v>149623.24</v>
      </c>
      <c r="AC126" s="6">
        <f>$M$126*$W$126</f>
        <v>17620.049370000001</v>
      </c>
      <c r="AD126" s="6">
        <f>$O$126*$X$126</f>
        <v>0</v>
      </c>
      <c r="AE126" s="6">
        <f ca="1">$K$126*$Y$126</f>
        <v>178161.09000000003</v>
      </c>
      <c r="AF126" s="6">
        <f ca="1">$M$126*$Z$126</f>
        <v>28156.010849999999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33</v>
      </c>
      <c r="C127" s="4" t="s">
        <v>41</v>
      </c>
      <c r="D127" s="4" t="s">
        <v>43</v>
      </c>
      <c r="E127" s="4" t="s">
        <v>25</v>
      </c>
      <c r="F127" s="4" t="s">
        <v>25</v>
      </c>
      <c r="G127" s="4" t="s">
        <v>25</v>
      </c>
      <c r="H127" s="4" t="s">
        <v>37</v>
      </c>
      <c r="I127" s="5">
        <v>44501</v>
      </c>
      <c r="J127" s="6">
        <v>220</v>
      </c>
      <c r="K127" s="6">
        <v>220</v>
      </c>
      <c r="L127" s="6">
        <v>5.6989999999999998</v>
      </c>
      <c r="M127" s="6">
        <v>5.6989999999999998</v>
      </c>
      <c r="N127" s="6">
        <v>5.6989999999999998</v>
      </c>
      <c r="O127" s="6">
        <v>5.6989999999999998</v>
      </c>
      <c r="P127" s="6">
        <v>0</v>
      </c>
      <c r="Q127" s="4" t="s">
        <v>26</v>
      </c>
      <c r="R127" s="4">
        <v>0</v>
      </c>
      <c r="S127" s="6">
        <v>13</v>
      </c>
      <c r="T127" s="6">
        <v>15</v>
      </c>
      <c r="U127" s="6">
        <v>65</v>
      </c>
      <c r="V127" s="6">
        <f>IF(ISERROR(VLOOKUP($S$127,'TAR FIN'!$A$1:$O$103,15,0)),0,VLOOKUP($S$127,'TAR FIN'!$A$1:$O$103,15,0))</f>
        <v>31.72</v>
      </c>
      <c r="W127" s="6">
        <f>IF(ISERROR(VLOOKUP($T$127,'TAR FIN'!$A$1:$O$103,15,0)),0,VLOOKUP($T$127,'TAR FIN'!$A$1:$O$103,15,0))</f>
        <v>69.37</v>
      </c>
      <c r="X127" s="6">
        <f>IF(ISERROR(VLOOKUP($U$127,'TAR FIN'!$A$1:$O$103,15,0)),0,VLOOKUP($U$127,'TAR FIN'!$A$1:$O$103,15,0))</f>
        <v>454.9</v>
      </c>
      <c r="Y127" s="6">
        <f ca="1">('TUSD BE'!$AM$15+'TUSD BF_350'!$AM$15+'TUSD CVA'!$AM$15)*1</f>
        <v>37.770000000000003</v>
      </c>
      <c r="Z127" s="6">
        <f ca="1">('TUSD BE'!$AM$17+'TUSD BF_350'!$AM$17+'TUSD CVA'!$AM$17)*1</f>
        <v>110.85</v>
      </c>
      <c r="AA127" s="6">
        <f ca="1">('TE BE'!$AB$8+'TE BF_350'!$AB$8+'TE CVA'!$AB$8)*1</f>
        <v>388.08000000000004</v>
      </c>
      <c r="AB127" s="6">
        <f>$K$127*$V$127</f>
        <v>6978.4</v>
      </c>
      <c r="AC127" s="6">
        <f>$M$127*$W$127</f>
        <v>395.33963</v>
      </c>
      <c r="AD127" s="6">
        <f>$O$127*$X$127</f>
        <v>2592.4750999999997</v>
      </c>
      <c r="AE127" s="6">
        <f ca="1">$K$127*$Y$127</f>
        <v>8309.4000000000015</v>
      </c>
      <c r="AF127" s="6">
        <f ca="1">$M$127*$Z$127</f>
        <v>631.73415</v>
      </c>
      <c r="AG127" s="6">
        <f ca="1">$O$127*$AA$127</f>
        <v>2211.6679200000003</v>
      </c>
    </row>
    <row r="128" spans="1:33" ht="11.25" customHeight="1" x14ac:dyDescent="0.25">
      <c r="A128" s="4" t="s">
        <v>21</v>
      </c>
      <c r="B128" s="4" t="s">
        <v>33</v>
      </c>
      <c r="C128" s="4" t="s">
        <v>41</v>
      </c>
      <c r="D128" s="4" t="s">
        <v>43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44501</v>
      </c>
      <c r="J128" s="6">
        <v>4787</v>
      </c>
      <c r="K128" s="6">
        <v>4787</v>
      </c>
      <c r="L128" s="6">
        <v>238.483</v>
      </c>
      <c r="M128" s="6">
        <v>238.483</v>
      </c>
      <c r="N128" s="6">
        <v>0</v>
      </c>
      <c r="O128" s="6">
        <v>0</v>
      </c>
      <c r="P128" s="6">
        <v>0</v>
      </c>
      <c r="Q128" s="4" t="s">
        <v>53</v>
      </c>
      <c r="R128" s="4">
        <v>0</v>
      </c>
      <c r="S128" s="6">
        <v>13</v>
      </c>
      <c r="T128" s="6">
        <v>15</v>
      </c>
      <c r="U128" s="6">
        <v>0</v>
      </c>
      <c r="V128" s="6">
        <f>IF(ISERROR(VLOOKUP($S$128,'TAR FIN'!$A$1:$O$103,15,0)),0,VLOOKUP($S$128,'TAR FIN'!$A$1:$O$103,15,0))</f>
        <v>31.72</v>
      </c>
      <c r="W128" s="6">
        <f>IF(ISERROR(VLOOKUP($T$128,'TAR FIN'!$A$1:$O$103,15,0)),0,VLOOKUP($T$128,'TAR FIN'!$A$1:$O$103,15,0))</f>
        <v>69.37</v>
      </c>
      <c r="X128" s="6">
        <f>IF(ISERROR(VLOOKUP($U$128,'TAR FIN'!$A$1:$O$103,15,0)),0,VLOOKUP($U$128,'TAR FIN'!$A$1:$O$103,15,0))</f>
        <v>0</v>
      </c>
      <c r="Y128" s="6">
        <f ca="1">('TUSD BE'!$AM$15+'TUSD BF_350'!$AM$15+'TUSD CVA'!$AM$15)*1</f>
        <v>37.770000000000003</v>
      </c>
      <c r="Z128" s="6">
        <f ca="1">('TUSD BE'!$AM$17+'TUSD BF_350'!$AM$17+'TUSD CVA'!$AM$17)*1</f>
        <v>110.85</v>
      </c>
      <c r="AA128" s="6"/>
      <c r="AB128" s="6">
        <f>$K$128*$V$128</f>
        <v>151843.63999999998</v>
      </c>
      <c r="AC128" s="6">
        <f>$M$128*$W$128</f>
        <v>16543.565710000003</v>
      </c>
      <c r="AD128" s="6">
        <f>$O$128*$X$128</f>
        <v>0</v>
      </c>
      <c r="AE128" s="6">
        <f ca="1">$K$128*$Y$128</f>
        <v>180804.99000000002</v>
      </c>
      <c r="AF128" s="6">
        <f ca="1">$M$128*$Z$128</f>
        <v>26435.840550000001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33</v>
      </c>
      <c r="C129" s="4" t="s">
        <v>41</v>
      </c>
      <c r="D129" s="4" t="s">
        <v>43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44531</v>
      </c>
      <c r="J129" s="6">
        <v>220</v>
      </c>
      <c r="K129" s="6">
        <v>220</v>
      </c>
      <c r="L129" s="6">
        <v>6.3109999999999999</v>
      </c>
      <c r="M129" s="6">
        <v>6.3109999999999999</v>
      </c>
      <c r="N129" s="6">
        <v>6.3109999999999999</v>
      </c>
      <c r="O129" s="6">
        <v>6.3109999999999999</v>
      </c>
      <c r="P129" s="6">
        <v>0</v>
      </c>
      <c r="Q129" s="4" t="s">
        <v>26</v>
      </c>
      <c r="R129" s="4">
        <v>0</v>
      </c>
      <c r="S129" s="6">
        <v>13</v>
      </c>
      <c r="T129" s="6">
        <v>15</v>
      </c>
      <c r="U129" s="6">
        <v>65</v>
      </c>
      <c r="V129" s="6">
        <f>IF(ISERROR(VLOOKUP($S$129,'TAR FIN'!$A$1:$O$103,15,0)),0,VLOOKUP($S$129,'TAR FIN'!$A$1:$O$103,15,0))</f>
        <v>31.72</v>
      </c>
      <c r="W129" s="6">
        <f>IF(ISERROR(VLOOKUP($T$129,'TAR FIN'!$A$1:$O$103,15,0)),0,VLOOKUP($T$129,'TAR FIN'!$A$1:$O$103,15,0))</f>
        <v>69.37</v>
      </c>
      <c r="X129" s="6">
        <f>IF(ISERROR(VLOOKUP($U$129,'TAR FIN'!$A$1:$O$103,15,0)),0,VLOOKUP($U$129,'TAR FIN'!$A$1:$O$103,15,0))</f>
        <v>454.9</v>
      </c>
      <c r="Y129" s="6">
        <f ca="1">('TUSD BE'!$AM$15+'TUSD BF_350'!$AM$15+'TUSD CVA'!$AM$15)*1</f>
        <v>37.770000000000003</v>
      </c>
      <c r="Z129" s="6">
        <f ca="1">('TUSD BE'!$AM$17+'TUSD BF_350'!$AM$17+'TUSD CVA'!$AM$17)*1</f>
        <v>110.85</v>
      </c>
      <c r="AA129" s="6">
        <f ca="1">('TE BE'!$AB$8+'TE BF_350'!$AB$8+'TE CVA'!$AB$8)*1</f>
        <v>388.08000000000004</v>
      </c>
      <c r="AB129" s="6">
        <f>$K$129*$V$129</f>
        <v>6978.4</v>
      </c>
      <c r="AC129" s="6">
        <f>$M$129*$W$129</f>
        <v>437.79407000000003</v>
      </c>
      <c r="AD129" s="6">
        <f>$O$129*$X$129</f>
        <v>2870.8739</v>
      </c>
      <c r="AE129" s="6">
        <f ca="1">$K$129*$Y$129</f>
        <v>8309.4000000000015</v>
      </c>
      <c r="AF129" s="6">
        <f ca="1">$M$129*$Z$129</f>
        <v>699.57434999999998</v>
      </c>
      <c r="AG129" s="6">
        <f ca="1">$O$129*$AA$129</f>
        <v>2449.1728800000001</v>
      </c>
    </row>
    <row r="130" spans="1:33" ht="11.25" customHeight="1" x14ac:dyDescent="0.25">
      <c r="A130" s="4" t="s">
        <v>21</v>
      </c>
      <c r="B130" s="4" t="s">
        <v>33</v>
      </c>
      <c r="C130" s="4" t="s">
        <v>41</v>
      </c>
      <c r="D130" s="4" t="s">
        <v>43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44531</v>
      </c>
      <c r="J130" s="6">
        <v>4830</v>
      </c>
      <c r="K130" s="6">
        <v>4830</v>
      </c>
      <c r="L130" s="6">
        <v>238.26300000000001</v>
      </c>
      <c r="M130" s="6">
        <v>238.26300000000001</v>
      </c>
      <c r="N130" s="6">
        <v>0</v>
      </c>
      <c r="O130" s="6">
        <v>0</v>
      </c>
      <c r="P130" s="6">
        <v>0</v>
      </c>
      <c r="Q130" s="4" t="s">
        <v>53</v>
      </c>
      <c r="R130" s="4">
        <v>0</v>
      </c>
      <c r="S130" s="6">
        <v>13</v>
      </c>
      <c r="T130" s="6">
        <v>15</v>
      </c>
      <c r="U130" s="6">
        <v>0</v>
      </c>
      <c r="V130" s="6">
        <f>IF(ISERROR(VLOOKUP($S$130,'TAR FIN'!$A$1:$O$103,15,0)),0,VLOOKUP($S$130,'TAR FIN'!$A$1:$O$103,15,0))</f>
        <v>31.72</v>
      </c>
      <c r="W130" s="6">
        <f>IF(ISERROR(VLOOKUP($T$130,'TAR FIN'!$A$1:$O$103,15,0)),0,VLOOKUP($T$130,'TAR FIN'!$A$1:$O$103,15,0))</f>
        <v>69.37</v>
      </c>
      <c r="X130" s="6">
        <f>IF(ISERROR(VLOOKUP($U$130,'TAR FIN'!$A$1:$O$103,15,0)),0,VLOOKUP($U$130,'TAR FIN'!$A$1:$O$103,15,0))</f>
        <v>0</v>
      </c>
      <c r="Y130" s="6">
        <f ca="1">('TUSD BE'!$AM$15+'TUSD BF_350'!$AM$15+'TUSD CVA'!$AM$15)*1</f>
        <v>37.770000000000003</v>
      </c>
      <c r="Z130" s="6">
        <f ca="1">('TUSD BE'!$AM$17+'TUSD BF_350'!$AM$17+'TUSD CVA'!$AM$17)*1</f>
        <v>110.85</v>
      </c>
      <c r="AA130" s="6"/>
      <c r="AB130" s="6">
        <f>$K$130*$V$130</f>
        <v>153207.6</v>
      </c>
      <c r="AC130" s="6">
        <f>$M$130*$W$130</f>
        <v>16528.304310000003</v>
      </c>
      <c r="AD130" s="6">
        <f>$O$130*$X$130</f>
        <v>0</v>
      </c>
      <c r="AE130" s="6">
        <f ca="1">$K$130*$Y$130</f>
        <v>182429.1</v>
      </c>
      <c r="AF130" s="6">
        <f ca="1">$M$130*$Z$130</f>
        <v>26411.453549999998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33</v>
      </c>
      <c r="C131" s="4" t="s">
        <v>41</v>
      </c>
      <c r="D131" s="4" t="s">
        <v>43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44562</v>
      </c>
      <c r="J131" s="6">
        <v>262</v>
      </c>
      <c r="K131" s="6">
        <v>262</v>
      </c>
      <c r="L131" s="6">
        <v>7.2290000000000001</v>
      </c>
      <c r="M131" s="6">
        <v>7.2290000000000001</v>
      </c>
      <c r="N131" s="6">
        <v>7.2290000000000001</v>
      </c>
      <c r="O131" s="6">
        <v>7.2290000000000001</v>
      </c>
      <c r="P131" s="6">
        <v>0</v>
      </c>
      <c r="Q131" s="4" t="s">
        <v>26</v>
      </c>
      <c r="R131" s="4">
        <v>0</v>
      </c>
      <c r="S131" s="6">
        <v>13</v>
      </c>
      <c r="T131" s="6">
        <v>15</v>
      </c>
      <c r="U131" s="6">
        <v>65</v>
      </c>
      <c r="V131" s="6">
        <f>IF(ISERROR(VLOOKUP($S$131,'TAR FIN'!$A$1:$O$103,15,0)),0,VLOOKUP($S$131,'TAR FIN'!$A$1:$O$103,15,0))</f>
        <v>31.72</v>
      </c>
      <c r="W131" s="6">
        <f>IF(ISERROR(VLOOKUP($T$131,'TAR FIN'!$A$1:$O$103,15,0)),0,VLOOKUP($T$131,'TAR FIN'!$A$1:$O$103,15,0))</f>
        <v>69.37</v>
      </c>
      <c r="X131" s="6">
        <f>IF(ISERROR(VLOOKUP($U$131,'TAR FIN'!$A$1:$O$103,15,0)),0,VLOOKUP($U$131,'TAR FIN'!$A$1:$O$103,15,0))</f>
        <v>454.9</v>
      </c>
      <c r="Y131" s="6">
        <f ca="1">('TUSD BE'!$AM$15+'TUSD BF_350'!$AM$15+'TUSD CVA'!$AM$15)*1</f>
        <v>37.770000000000003</v>
      </c>
      <c r="Z131" s="6">
        <f ca="1">('TUSD BE'!$AM$17+'TUSD BF_350'!$AM$17+'TUSD CVA'!$AM$17)*1</f>
        <v>110.85</v>
      </c>
      <c r="AA131" s="6">
        <f ca="1">('TE BE'!$AB$8+'TE BF_350'!$AB$8+'TE CVA'!$AB$8)*1</f>
        <v>388.08000000000004</v>
      </c>
      <c r="AB131" s="6">
        <f>$K$131*$V$131</f>
        <v>8310.64</v>
      </c>
      <c r="AC131" s="6">
        <f>$M$131*$W$131</f>
        <v>501.47573000000006</v>
      </c>
      <c r="AD131" s="6">
        <f>$O$131*$X$131</f>
        <v>3288.4721</v>
      </c>
      <c r="AE131" s="6">
        <f ca="1">$K$131*$Y$131</f>
        <v>9895.7400000000016</v>
      </c>
      <c r="AF131" s="6">
        <f ca="1">$M$131*$Z$131</f>
        <v>801.33465000000001</v>
      </c>
      <c r="AG131" s="6">
        <f ca="1">$O$131*$AA$131</f>
        <v>2805.4303200000004</v>
      </c>
    </row>
    <row r="132" spans="1:33" ht="11.25" customHeight="1" x14ac:dyDescent="0.25">
      <c r="A132" s="4" t="s">
        <v>21</v>
      </c>
      <c r="B132" s="4" t="s">
        <v>33</v>
      </c>
      <c r="C132" s="4" t="s">
        <v>41</v>
      </c>
      <c r="D132" s="4" t="s">
        <v>43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44562</v>
      </c>
      <c r="J132" s="6">
        <v>4648</v>
      </c>
      <c r="K132" s="6">
        <v>4648</v>
      </c>
      <c r="L132" s="6">
        <v>223.71299999999999</v>
      </c>
      <c r="M132" s="6">
        <v>223.71299999999999</v>
      </c>
      <c r="N132" s="6">
        <v>0</v>
      </c>
      <c r="O132" s="6">
        <v>0</v>
      </c>
      <c r="P132" s="6">
        <v>0</v>
      </c>
      <c r="Q132" s="4" t="s">
        <v>53</v>
      </c>
      <c r="R132" s="4">
        <v>0</v>
      </c>
      <c r="S132" s="6">
        <v>13</v>
      </c>
      <c r="T132" s="6">
        <v>15</v>
      </c>
      <c r="U132" s="6">
        <v>0</v>
      </c>
      <c r="V132" s="6">
        <f>IF(ISERROR(VLOOKUP($S$132,'TAR FIN'!$A$1:$O$103,15,0)),0,VLOOKUP($S$132,'TAR FIN'!$A$1:$O$103,15,0))</f>
        <v>31.72</v>
      </c>
      <c r="W132" s="6">
        <f>IF(ISERROR(VLOOKUP($T$132,'TAR FIN'!$A$1:$O$103,15,0)),0,VLOOKUP($T$132,'TAR FIN'!$A$1:$O$103,15,0))</f>
        <v>69.37</v>
      </c>
      <c r="X132" s="6">
        <f>IF(ISERROR(VLOOKUP($U$132,'TAR FIN'!$A$1:$O$103,15,0)),0,VLOOKUP($U$132,'TAR FIN'!$A$1:$O$103,15,0))</f>
        <v>0</v>
      </c>
      <c r="Y132" s="6">
        <f ca="1">('TUSD BE'!$AM$15+'TUSD BF_350'!$AM$15+'TUSD CVA'!$AM$15)*1</f>
        <v>37.770000000000003</v>
      </c>
      <c r="Z132" s="6">
        <f ca="1">('TUSD BE'!$AM$17+'TUSD BF_350'!$AM$17+'TUSD CVA'!$AM$17)*1</f>
        <v>110.85</v>
      </c>
      <c r="AA132" s="6"/>
      <c r="AB132" s="6">
        <f>$K$132*$V$132</f>
        <v>147434.56</v>
      </c>
      <c r="AC132" s="6">
        <f>$M$132*$W$132</f>
        <v>15518.970810000001</v>
      </c>
      <c r="AD132" s="6">
        <f>$O$132*$X$132</f>
        <v>0</v>
      </c>
      <c r="AE132" s="6">
        <f ca="1">$K$132*$Y$132</f>
        <v>175554.96000000002</v>
      </c>
      <c r="AF132" s="6">
        <f ca="1">$M$132*$Z$132</f>
        <v>24798.586049999998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33</v>
      </c>
      <c r="C133" s="4" t="s">
        <v>41</v>
      </c>
      <c r="D133" s="4" t="s">
        <v>43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44593</v>
      </c>
      <c r="J133" s="6">
        <v>220</v>
      </c>
      <c r="K133" s="6">
        <v>220</v>
      </c>
      <c r="L133" s="6">
        <v>5.9640000000000004</v>
      </c>
      <c r="M133" s="6">
        <v>5.9640000000000004</v>
      </c>
      <c r="N133" s="6">
        <v>5.9640000000000004</v>
      </c>
      <c r="O133" s="6">
        <v>5.9640000000000004</v>
      </c>
      <c r="P133" s="6">
        <v>0</v>
      </c>
      <c r="Q133" s="4" t="s">
        <v>26</v>
      </c>
      <c r="R133" s="4">
        <v>0</v>
      </c>
      <c r="S133" s="6">
        <v>13</v>
      </c>
      <c r="T133" s="6">
        <v>15</v>
      </c>
      <c r="U133" s="6">
        <v>65</v>
      </c>
      <c r="V133" s="6">
        <f>IF(ISERROR(VLOOKUP($S$133,'TAR FIN'!$A$1:$O$103,15,0)),0,VLOOKUP($S$133,'TAR FIN'!$A$1:$O$103,15,0))</f>
        <v>31.72</v>
      </c>
      <c r="W133" s="6">
        <f>IF(ISERROR(VLOOKUP($T$133,'TAR FIN'!$A$1:$O$103,15,0)),0,VLOOKUP($T$133,'TAR FIN'!$A$1:$O$103,15,0))</f>
        <v>69.37</v>
      </c>
      <c r="X133" s="6">
        <f>IF(ISERROR(VLOOKUP($U$133,'TAR FIN'!$A$1:$O$103,15,0)),0,VLOOKUP($U$133,'TAR FIN'!$A$1:$O$103,15,0))</f>
        <v>454.9</v>
      </c>
      <c r="Y133" s="6">
        <f ca="1">('TUSD BE'!$AM$15+'TUSD BF_350'!$AM$15+'TUSD CVA'!$AM$15)*1</f>
        <v>37.770000000000003</v>
      </c>
      <c r="Z133" s="6">
        <f ca="1">('TUSD BE'!$AM$17+'TUSD BF_350'!$AM$17+'TUSD CVA'!$AM$17)*1</f>
        <v>110.85</v>
      </c>
      <c r="AA133" s="6">
        <f ca="1">('TE BE'!$AB$8+'TE BF_350'!$AB$8+'TE CVA'!$AB$8)*1</f>
        <v>388.08000000000004</v>
      </c>
      <c r="AB133" s="6">
        <f>$K$133*$V$133</f>
        <v>6978.4</v>
      </c>
      <c r="AC133" s="6">
        <f>$M$133*$W$133</f>
        <v>413.72268000000008</v>
      </c>
      <c r="AD133" s="6">
        <f>$O$133*$X$133</f>
        <v>2713.0236</v>
      </c>
      <c r="AE133" s="6">
        <f ca="1">$K$133*$Y$133</f>
        <v>8309.4000000000015</v>
      </c>
      <c r="AF133" s="6">
        <f ca="1">$M$133*$Z$133</f>
        <v>661.10940000000005</v>
      </c>
      <c r="AG133" s="6">
        <f ca="1">$O$133*$AA$133</f>
        <v>2314.5091200000006</v>
      </c>
    </row>
    <row r="134" spans="1:33" ht="11.25" customHeight="1" x14ac:dyDescent="0.25">
      <c r="A134" s="4" t="s">
        <v>21</v>
      </c>
      <c r="B134" s="4" t="s">
        <v>33</v>
      </c>
      <c r="C134" s="4" t="s">
        <v>41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44593</v>
      </c>
      <c r="J134" s="6">
        <v>4709</v>
      </c>
      <c r="K134" s="6">
        <v>4709</v>
      </c>
      <c r="L134" s="6">
        <v>211.92599999999999</v>
      </c>
      <c r="M134" s="6">
        <v>211.92599999999999</v>
      </c>
      <c r="N134" s="6">
        <v>0</v>
      </c>
      <c r="O134" s="6">
        <v>0</v>
      </c>
      <c r="P134" s="6">
        <v>0</v>
      </c>
      <c r="Q134" s="4" t="s">
        <v>53</v>
      </c>
      <c r="R134" s="4">
        <v>0</v>
      </c>
      <c r="S134" s="6">
        <v>13</v>
      </c>
      <c r="T134" s="6">
        <v>15</v>
      </c>
      <c r="U134" s="6">
        <v>0</v>
      </c>
      <c r="V134" s="6">
        <f>IF(ISERROR(VLOOKUP($S$134,'TAR FIN'!$A$1:$O$103,15,0)),0,VLOOKUP($S$134,'TAR FIN'!$A$1:$O$103,15,0))</f>
        <v>31.72</v>
      </c>
      <c r="W134" s="6">
        <f>IF(ISERROR(VLOOKUP($T$134,'TAR FIN'!$A$1:$O$103,15,0)),0,VLOOKUP($T$134,'TAR FIN'!$A$1:$O$103,15,0))</f>
        <v>69.37</v>
      </c>
      <c r="X134" s="6">
        <f>IF(ISERROR(VLOOKUP($U$134,'TAR FIN'!$A$1:$O$103,15,0)),0,VLOOKUP($U$134,'TAR FIN'!$A$1:$O$103,15,0))</f>
        <v>0</v>
      </c>
      <c r="Y134" s="6">
        <f ca="1">('TUSD BE'!$AM$15+'TUSD BF_350'!$AM$15+'TUSD CVA'!$AM$15)*1</f>
        <v>37.770000000000003</v>
      </c>
      <c r="Z134" s="6">
        <f ca="1">('TUSD BE'!$AM$17+'TUSD BF_350'!$AM$17+'TUSD CVA'!$AM$17)*1</f>
        <v>110.85</v>
      </c>
      <c r="AA134" s="6"/>
      <c r="AB134" s="6">
        <f>$K$134*$V$134</f>
        <v>149369.47999999998</v>
      </c>
      <c r="AC134" s="6">
        <f>$M$134*$W$134</f>
        <v>14701.306619999999</v>
      </c>
      <c r="AD134" s="6">
        <f>$O$134*$X$134</f>
        <v>0</v>
      </c>
      <c r="AE134" s="6">
        <f ca="1">$K$134*$Y$134</f>
        <v>177858.93000000002</v>
      </c>
      <c r="AF134" s="6">
        <f ca="1">$M$134*$Z$134</f>
        <v>23491.997099999997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33</v>
      </c>
      <c r="C135" s="4" t="s">
        <v>41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44621</v>
      </c>
      <c r="J135" s="6">
        <v>220</v>
      </c>
      <c r="K135" s="6">
        <v>220</v>
      </c>
      <c r="L135" s="6">
        <v>6.734</v>
      </c>
      <c r="M135" s="6">
        <v>6.734</v>
      </c>
      <c r="N135" s="6">
        <v>6.734</v>
      </c>
      <c r="O135" s="6">
        <v>6.734</v>
      </c>
      <c r="P135" s="6">
        <v>0</v>
      </c>
      <c r="Q135" s="4" t="s">
        <v>26</v>
      </c>
      <c r="R135" s="4">
        <v>0</v>
      </c>
      <c r="S135" s="6">
        <v>13</v>
      </c>
      <c r="T135" s="6">
        <v>15</v>
      </c>
      <c r="U135" s="6">
        <v>65</v>
      </c>
      <c r="V135" s="6">
        <f>IF(ISERROR(VLOOKUP($S$135,'TAR FIN'!$A$1:$O$103,15,0)),0,VLOOKUP($S$135,'TAR FIN'!$A$1:$O$103,15,0))</f>
        <v>31.72</v>
      </c>
      <c r="W135" s="6">
        <f>IF(ISERROR(VLOOKUP($T$135,'TAR FIN'!$A$1:$O$103,15,0)),0,VLOOKUP($T$135,'TAR FIN'!$A$1:$O$103,15,0))</f>
        <v>69.37</v>
      </c>
      <c r="X135" s="6">
        <f>IF(ISERROR(VLOOKUP($U$135,'TAR FIN'!$A$1:$O$103,15,0)),0,VLOOKUP($U$135,'TAR FIN'!$A$1:$O$103,15,0))</f>
        <v>454.9</v>
      </c>
      <c r="Y135" s="6">
        <f ca="1">('TUSD BE'!$AM$15+'TUSD BF_350'!$AM$15+'TUSD CVA'!$AM$15)*1</f>
        <v>37.770000000000003</v>
      </c>
      <c r="Z135" s="6">
        <f ca="1">('TUSD BE'!$AM$17+'TUSD BF_350'!$AM$17+'TUSD CVA'!$AM$17)*1</f>
        <v>110.85</v>
      </c>
      <c r="AA135" s="6">
        <f ca="1">('TE BE'!$AB$8+'TE BF_350'!$AB$8+'TE CVA'!$AB$8)*1</f>
        <v>388.08000000000004</v>
      </c>
      <c r="AB135" s="6">
        <f>$K$135*$V$135</f>
        <v>6978.4</v>
      </c>
      <c r="AC135" s="6">
        <f>$M$135*$W$135</f>
        <v>467.13758000000001</v>
      </c>
      <c r="AD135" s="6">
        <f>$O$135*$X$135</f>
        <v>3063.2965999999997</v>
      </c>
      <c r="AE135" s="6">
        <f ca="1">$K$135*$Y$135</f>
        <v>8309.4000000000015</v>
      </c>
      <c r="AF135" s="6">
        <f ca="1">$M$135*$Z$135</f>
        <v>746.46389999999997</v>
      </c>
      <c r="AG135" s="6">
        <f ca="1">$O$135*$AA$135</f>
        <v>2613.3307200000004</v>
      </c>
    </row>
    <row r="136" spans="1:33" ht="11.25" customHeight="1" x14ac:dyDescent="0.25">
      <c r="A136" s="4" t="s">
        <v>21</v>
      </c>
      <c r="B136" s="4" t="s">
        <v>33</v>
      </c>
      <c r="C136" s="4" t="s">
        <v>41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44621</v>
      </c>
      <c r="J136" s="6">
        <v>4908</v>
      </c>
      <c r="K136" s="6">
        <v>4908</v>
      </c>
      <c r="L136" s="6">
        <v>224.256</v>
      </c>
      <c r="M136" s="6">
        <v>224.256</v>
      </c>
      <c r="N136" s="6">
        <v>0</v>
      </c>
      <c r="O136" s="6">
        <v>0</v>
      </c>
      <c r="P136" s="6">
        <v>0</v>
      </c>
      <c r="Q136" s="4" t="s">
        <v>53</v>
      </c>
      <c r="R136" s="4">
        <v>0</v>
      </c>
      <c r="S136" s="6">
        <v>13</v>
      </c>
      <c r="T136" s="6">
        <v>15</v>
      </c>
      <c r="U136" s="6">
        <v>0</v>
      </c>
      <c r="V136" s="6">
        <f>IF(ISERROR(VLOOKUP($S$136,'TAR FIN'!$A$1:$O$103,15,0)),0,VLOOKUP($S$136,'TAR FIN'!$A$1:$O$103,15,0))</f>
        <v>31.72</v>
      </c>
      <c r="W136" s="6">
        <f>IF(ISERROR(VLOOKUP($T$136,'TAR FIN'!$A$1:$O$103,15,0)),0,VLOOKUP($T$136,'TAR FIN'!$A$1:$O$103,15,0))</f>
        <v>69.37</v>
      </c>
      <c r="X136" s="6">
        <f>IF(ISERROR(VLOOKUP($U$136,'TAR FIN'!$A$1:$O$103,15,0)),0,VLOOKUP($U$136,'TAR FIN'!$A$1:$O$103,15,0))</f>
        <v>0</v>
      </c>
      <c r="Y136" s="6">
        <f ca="1">('TUSD BE'!$AM$15+'TUSD BF_350'!$AM$15+'TUSD CVA'!$AM$15)*1</f>
        <v>37.770000000000003</v>
      </c>
      <c r="Z136" s="6">
        <f ca="1">('TUSD BE'!$AM$17+'TUSD BF_350'!$AM$17+'TUSD CVA'!$AM$17)*1</f>
        <v>110.85</v>
      </c>
      <c r="AA136" s="6"/>
      <c r="AB136" s="6">
        <f>$K$136*$V$136</f>
        <v>155681.75999999998</v>
      </c>
      <c r="AC136" s="6">
        <f>$M$136*$W$136</f>
        <v>15556.638720000001</v>
      </c>
      <c r="AD136" s="6">
        <f>$O$136*$X$136</f>
        <v>0</v>
      </c>
      <c r="AE136" s="6">
        <f ca="1">$K$136*$Y$136</f>
        <v>185375.16</v>
      </c>
      <c r="AF136" s="6">
        <f ca="1">$M$136*$Z$136</f>
        <v>24858.777599999998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33</v>
      </c>
      <c r="C137" s="4" t="s">
        <v>41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37</v>
      </c>
      <c r="I137" s="5">
        <v>44652</v>
      </c>
      <c r="J137" s="6">
        <v>220</v>
      </c>
      <c r="K137" s="6">
        <v>220</v>
      </c>
      <c r="L137" s="6">
        <v>5.5119999999999996</v>
      </c>
      <c r="M137" s="6">
        <v>5.5119999999999996</v>
      </c>
      <c r="N137" s="6">
        <v>5.5119999999999996</v>
      </c>
      <c r="O137" s="6">
        <v>5.5119999999999996</v>
      </c>
      <c r="P137" s="6">
        <v>0</v>
      </c>
      <c r="Q137" s="4" t="s">
        <v>26</v>
      </c>
      <c r="R137" s="4">
        <v>0</v>
      </c>
      <c r="S137" s="6">
        <v>13</v>
      </c>
      <c r="T137" s="6">
        <v>15</v>
      </c>
      <c r="U137" s="6">
        <v>65</v>
      </c>
      <c r="V137" s="6">
        <f>IF(ISERROR(VLOOKUP($S$137,'TAR FIN'!$A$1:$O$103,15,0)),0,VLOOKUP($S$137,'TAR FIN'!$A$1:$O$103,15,0))</f>
        <v>31.72</v>
      </c>
      <c r="W137" s="6">
        <f>IF(ISERROR(VLOOKUP($T$137,'TAR FIN'!$A$1:$O$103,15,0)),0,VLOOKUP($T$137,'TAR FIN'!$A$1:$O$103,15,0))</f>
        <v>69.37</v>
      </c>
      <c r="X137" s="6">
        <f>IF(ISERROR(VLOOKUP($U$137,'TAR FIN'!$A$1:$O$103,15,0)),0,VLOOKUP($U$137,'TAR FIN'!$A$1:$O$103,15,0))</f>
        <v>454.9</v>
      </c>
      <c r="Y137" s="6">
        <f ca="1">('TUSD BE'!$AM$15+'TUSD BF_350'!$AM$15+'TUSD CVA'!$AM$15)*1</f>
        <v>37.770000000000003</v>
      </c>
      <c r="Z137" s="6">
        <f ca="1">('TUSD BE'!$AM$17+'TUSD BF_350'!$AM$17+'TUSD CVA'!$AM$17)*1</f>
        <v>110.85</v>
      </c>
      <c r="AA137" s="6">
        <f ca="1">('TE BE'!$AB$8+'TE BF_350'!$AB$8+'TE CVA'!$AB$8)*1</f>
        <v>388.08000000000004</v>
      </c>
      <c r="AB137" s="6">
        <f>$K$137*$V$137</f>
        <v>6978.4</v>
      </c>
      <c r="AC137" s="6">
        <f>$M$137*$W$137</f>
        <v>382.36743999999999</v>
      </c>
      <c r="AD137" s="6">
        <f>$O$137*$X$137</f>
        <v>2507.4087999999997</v>
      </c>
      <c r="AE137" s="6">
        <f ca="1">$K$137*$Y$137</f>
        <v>8309.4000000000015</v>
      </c>
      <c r="AF137" s="6">
        <f ca="1">$M$137*$Z$137</f>
        <v>611.00519999999995</v>
      </c>
      <c r="AG137" s="6">
        <f ca="1">$O$137*$AA$137</f>
        <v>2139.0969599999999</v>
      </c>
    </row>
    <row r="138" spans="1:33" ht="11.25" customHeight="1" x14ac:dyDescent="0.25">
      <c r="A138" s="4" t="s">
        <v>21</v>
      </c>
      <c r="B138" s="4" t="s">
        <v>33</v>
      </c>
      <c r="C138" s="4" t="s">
        <v>41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44652</v>
      </c>
      <c r="J138" s="6">
        <v>4692</v>
      </c>
      <c r="K138" s="6">
        <v>4692</v>
      </c>
      <c r="L138" s="6">
        <v>237.881</v>
      </c>
      <c r="M138" s="6">
        <v>237.881</v>
      </c>
      <c r="N138" s="6">
        <v>0</v>
      </c>
      <c r="O138" s="6">
        <v>0</v>
      </c>
      <c r="P138" s="6">
        <v>0</v>
      </c>
      <c r="Q138" s="4" t="s">
        <v>53</v>
      </c>
      <c r="R138" s="4">
        <v>0</v>
      </c>
      <c r="S138" s="6">
        <v>13</v>
      </c>
      <c r="T138" s="6">
        <v>15</v>
      </c>
      <c r="U138" s="6">
        <v>0</v>
      </c>
      <c r="V138" s="6">
        <f>IF(ISERROR(VLOOKUP($S$138,'TAR FIN'!$A$1:$O$103,15,0)),0,VLOOKUP($S$138,'TAR FIN'!$A$1:$O$103,15,0))</f>
        <v>31.72</v>
      </c>
      <c r="W138" s="6">
        <f>IF(ISERROR(VLOOKUP($T$138,'TAR FIN'!$A$1:$O$103,15,0)),0,VLOOKUP($T$138,'TAR FIN'!$A$1:$O$103,15,0))</f>
        <v>69.37</v>
      </c>
      <c r="X138" s="6">
        <f>IF(ISERROR(VLOOKUP($U$138,'TAR FIN'!$A$1:$O$103,15,0)),0,VLOOKUP($U$138,'TAR FIN'!$A$1:$O$103,15,0))</f>
        <v>0</v>
      </c>
      <c r="Y138" s="6">
        <f ca="1">('TUSD BE'!$AM$15+'TUSD BF_350'!$AM$15+'TUSD CVA'!$AM$15)*1</f>
        <v>37.770000000000003</v>
      </c>
      <c r="Z138" s="6">
        <f ca="1">('TUSD BE'!$AM$17+'TUSD BF_350'!$AM$17+'TUSD CVA'!$AM$17)*1</f>
        <v>110.85</v>
      </c>
      <c r="AA138" s="6"/>
      <c r="AB138" s="6">
        <f>$K$138*$V$138</f>
        <v>148830.24</v>
      </c>
      <c r="AC138" s="6">
        <f>$M$138*$W$138</f>
        <v>16501.804970000001</v>
      </c>
      <c r="AD138" s="6">
        <f>$O$138*$X$138</f>
        <v>0</v>
      </c>
      <c r="AE138" s="6">
        <f ca="1">$K$138*$Y$138</f>
        <v>177216.84000000003</v>
      </c>
      <c r="AF138" s="6">
        <f ca="1">$M$138*$Z$138</f>
        <v>26369.108849999997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33</v>
      </c>
      <c r="C139" s="4" t="s">
        <v>41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44682</v>
      </c>
      <c r="J139" s="6">
        <v>220</v>
      </c>
      <c r="K139" s="6">
        <v>220</v>
      </c>
      <c r="L139" s="6">
        <v>6.3659999999999997</v>
      </c>
      <c r="M139" s="6">
        <v>6.3659999999999997</v>
      </c>
      <c r="N139" s="6">
        <v>6.3659999999999997</v>
      </c>
      <c r="O139" s="6">
        <v>6.3659999999999997</v>
      </c>
      <c r="P139" s="6">
        <v>0</v>
      </c>
      <c r="Q139" s="4" t="s">
        <v>26</v>
      </c>
      <c r="R139" s="4">
        <v>0</v>
      </c>
      <c r="S139" s="6">
        <v>13</v>
      </c>
      <c r="T139" s="6">
        <v>15</v>
      </c>
      <c r="U139" s="6">
        <v>65</v>
      </c>
      <c r="V139" s="6">
        <f>IF(ISERROR(VLOOKUP($S$139,'TAR FIN'!$A$1:$O$103,15,0)),0,VLOOKUP($S$139,'TAR FIN'!$A$1:$O$103,15,0))</f>
        <v>31.72</v>
      </c>
      <c r="W139" s="6">
        <f>IF(ISERROR(VLOOKUP($T$139,'TAR FIN'!$A$1:$O$103,15,0)),0,VLOOKUP($T$139,'TAR FIN'!$A$1:$O$103,15,0))</f>
        <v>69.37</v>
      </c>
      <c r="X139" s="6">
        <f>IF(ISERROR(VLOOKUP($U$139,'TAR FIN'!$A$1:$O$103,15,0)),0,VLOOKUP($U$139,'TAR FIN'!$A$1:$O$103,15,0))</f>
        <v>454.9</v>
      </c>
      <c r="Y139" s="6">
        <f ca="1">('TUSD BE'!$AM$15+'TUSD BF_350'!$AM$15+'TUSD CVA'!$AM$15)*1</f>
        <v>37.770000000000003</v>
      </c>
      <c r="Z139" s="6">
        <f ca="1">('TUSD BE'!$AM$17+'TUSD BF_350'!$AM$17+'TUSD CVA'!$AM$17)*1</f>
        <v>110.85</v>
      </c>
      <c r="AA139" s="6">
        <f ca="1">('TE BE'!$AB$8+'TE BF_350'!$AB$8+'TE CVA'!$AB$8)*1</f>
        <v>388.08000000000004</v>
      </c>
      <c r="AB139" s="6">
        <f>$K$139*$V$139</f>
        <v>6978.4</v>
      </c>
      <c r="AC139" s="6">
        <f>$M$139*$W$139</f>
        <v>441.60942</v>
      </c>
      <c r="AD139" s="6">
        <f>$O$139*$X$139</f>
        <v>2895.8933999999995</v>
      </c>
      <c r="AE139" s="6">
        <f ca="1">$K$139*$Y$139</f>
        <v>8309.4000000000015</v>
      </c>
      <c r="AF139" s="6">
        <f ca="1">$M$139*$Z$139</f>
        <v>705.67109999999991</v>
      </c>
      <c r="AG139" s="6">
        <f ca="1">$O$139*$AA$139</f>
        <v>2470.51728</v>
      </c>
    </row>
    <row r="140" spans="1:33" ht="11.25" customHeight="1" x14ac:dyDescent="0.25">
      <c r="A140" s="4" t="s">
        <v>21</v>
      </c>
      <c r="B140" s="4" t="s">
        <v>33</v>
      </c>
      <c r="C140" s="4" t="s">
        <v>41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37</v>
      </c>
      <c r="I140" s="5">
        <v>44682</v>
      </c>
      <c r="J140" s="6">
        <v>4666</v>
      </c>
      <c r="K140" s="6">
        <v>4666</v>
      </c>
      <c r="L140" s="6">
        <v>207.71199999999999</v>
      </c>
      <c r="M140" s="6">
        <v>207.71199999999999</v>
      </c>
      <c r="N140" s="6">
        <v>0</v>
      </c>
      <c r="O140" s="6">
        <v>0</v>
      </c>
      <c r="P140" s="6">
        <v>0</v>
      </c>
      <c r="Q140" s="4" t="s">
        <v>53</v>
      </c>
      <c r="R140" s="4">
        <v>0</v>
      </c>
      <c r="S140" s="6">
        <v>13</v>
      </c>
      <c r="T140" s="6">
        <v>15</v>
      </c>
      <c r="U140" s="6">
        <v>0</v>
      </c>
      <c r="V140" s="6">
        <f>IF(ISERROR(VLOOKUP($S$140,'TAR FIN'!$A$1:$O$103,15,0)),0,VLOOKUP($S$140,'TAR FIN'!$A$1:$O$103,15,0))</f>
        <v>31.72</v>
      </c>
      <c r="W140" s="6">
        <f>IF(ISERROR(VLOOKUP($T$140,'TAR FIN'!$A$1:$O$103,15,0)),0,VLOOKUP($T$140,'TAR FIN'!$A$1:$O$103,15,0))</f>
        <v>69.37</v>
      </c>
      <c r="X140" s="6">
        <f>IF(ISERROR(VLOOKUP($U$140,'TAR FIN'!$A$1:$O$103,15,0)),0,VLOOKUP($U$140,'TAR FIN'!$A$1:$O$103,15,0))</f>
        <v>0</v>
      </c>
      <c r="Y140" s="6">
        <f ca="1">('TUSD BE'!$AM$15+'TUSD BF_350'!$AM$15+'TUSD CVA'!$AM$15)*1</f>
        <v>37.770000000000003</v>
      </c>
      <c r="Z140" s="6">
        <f ca="1">('TUSD BE'!$AM$17+'TUSD BF_350'!$AM$17+'TUSD CVA'!$AM$17)*1</f>
        <v>110.85</v>
      </c>
      <c r="AA140" s="6"/>
      <c r="AB140" s="6">
        <f>$K$140*$V$140</f>
        <v>148005.51999999999</v>
      </c>
      <c r="AC140" s="6">
        <f>$M$140*$W$140</f>
        <v>14408.98144</v>
      </c>
      <c r="AD140" s="6">
        <f>$O$140*$X$140</f>
        <v>0</v>
      </c>
      <c r="AE140" s="6">
        <f ca="1">$K$140*$Y$140</f>
        <v>176234.82</v>
      </c>
      <c r="AF140" s="6">
        <f ca="1">$M$140*$Z$140</f>
        <v>23024.875199999999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33</v>
      </c>
      <c r="C141" s="4" t="s">
        <v>41</v>
      </c>
      <c r="D141" s="4" t="s">
        <v>40</v>
      </c>
      <c r="E141" s="4" t="s">
        <v>25</v>
      </c>
      <c r="F141" s="4" t="s">
        <v>54</v>
      </c>
      <c r="G141" s="4" t="s">
        <v>25</v>
      </c>
      <c r="H141" s="4" t="s">
        <v>35</v>
      </c>
      <c r="I141" s="5">
        <v>44621</v>
      </c>
      <c r="J141" s="6">
        <v>500</v>
      </c>
      <c r="K141" s="6">
        <v>250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53</v>
      </c>
      <c r="R141" s="4">
        <v>0</v>
      </c>
      <c r="S141" s="6">
        <v>14</v>
      </c>
      <c r="T141" s="6">
        <v>0</v>
      </c>
      <c r="U141" s="6">
        <v>0</v>
      </c>
      <c r="V141" s="6">
        <f>IF(ISERROR(VLOOKUP($S$141,'TAR FIN'!$A$1:$O$103,15,0)),0,VLOOKUP($S$141,'TAR FIN'!$A$1:$O$103,15,0))</f>
        <v>12.42</v>
      </c>
      <c r="W141" s="6">
        <f>IF(ISERROR(VLOOKUP($T$141,'TAR FIN'!$A$1:$O$103,15,0)),0,VLOOKUP($T$141,'TAR FIN'!$A$1:$O$103,15,0))</f>
        <v>0</v>
      </c>
      <c r="X141" s="6">
        <f>IF(ISERROR(VLOOKUP($U$141,'TAR FIN'!$A$1:$O$103,15,0)),0,VLOOKUP($U$141,'TAR FIN'!$A$1:$O$103,15,0))</f>
        <v>0</v>
      </c>
      <c r="Y141" s="6">
        <f ca="1">('TUSD BE'!$AM$16+'TUSD BF_350'!$AM$16+'TUSD CVA'!$AM$16)*1</f>
        <v>17.579999999999998</v>
      </c>
      <c r="Z141" s="6">
        <f ca="1">('TUSD BE'!$AM$17+'TUSD BF_350'!$AM$17+'TUSD CVA'!$AM$17)*1</f>
        <v>110.85</v>
      </c>
      <c r="AA141" s="6"/>
      <c r="AB141" s="6">
        <f>$K$141*$V$141</f>
        <v>3105</v>
      </c>
      <c r="AC141" s="6">
        <f>$M$141*$W$141</f>
        <v>0</v>
      </c>
      <c r="AD141" s="6">
        <f>$O$141*$X$141</f>
        <v>0</v>
      </c>
      <c r="AE141" s="6">
        <f ca="1">$K$141*$Y$141</f>
        <v>4395</v>
      </c>
      <c r="AF141" s="6">
        <f ca="1"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33</v>
      </c>
      <c r="C142" s="4" t="s">
        <v>41</v>
      </c>
      <c r="D142" s="4" t="s">
        <v>40</v>
      </c>
      <c r="E142" s="4" t="s">
        <v>25</v>
      </c>
      <c r="F142" s="4" t="s">
        <v>54</v>
      </c>
      <c r="G142" s="4" t="s">
        <v>25</v>
      </c>
      <c r="H142" s="4" t="s">
        <v>35</v>
      </c>
      <c r="I142" s="5">
        <v>44652</v>
      </c>
      <c r="J142" s="6">
        <v>500</v>
      </c>
      <c r="K142" s="6">
        <v>250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53</v>
      </c>
      <c r="R142" s="4">
        <v>0</v>
      </c>
      <c r="S142" s="6">
        <v>14</v>
      </c>
      <c r="T142" s="6">
        <v>0</v>
      </c>
      <c r="U142" s="6">
        <v>0</v>
      </c>
      <c r="V142" s="6">
        <f>IF(ISERROR(VLOOKUP($S$142,'TAR FIN'!$A$1:$O$103,15,0)),0,VLOOKUP($S$142,'TAR FIN'!$A$1:$O$103,15,0))</f>
        <v>12.42</v>
      </c>
      <c r="W142" s="6">
        <f>IF(ISERROR(VLOOKUP($T$142,'TAR FIN'!$A$1:$O$103,15,0)),0,VLOOKUP($T$142,'TAR FIN'!$A$1:$O$103,15,0))</f>
        <v>0</v>
      </c>
      <c r="X142" s="6">
        <f>IF(ISERROR(VLOOKUP($U$142,'TAR FIN'!$A$1:$O$103,15,0)),0,VLOOKUP($U$142,'TAR FIN'!$A$1:$O$103,15,0))</f>
        <v>0</v>
      </c>
      <c r="Y142" s="6">
        <f ca="1">('TUSD BE'!$AM$16+'TUSD BF_350'!$AM$16+'TUSD CVA'!$AM$16)*1</f>
        <v>17.579999999999998</v>
      </c>
      <c r="Z142" s="6">
        <f ca="1">('TUSD BE'!$AM$17+'TUSD BF_350'!$AM$17+'TUSD CVA'!$AM$17)*1</f>
        <v>110.85</v>
      </c>
      <c r="AA142" s="6"/>
      <c r="AB142" s="6">
        <f>$K$142*$V$142</f>
        <v>3105</v>
      </c>
      <c r="AC142" s="6">
        <f>$M$142*$W$142</f>
        <v>0</v>
      </c>
      <c r="AD142" s="6">
        <f>$O$142*$X$142</f>
        <v>0</v>
      </c>
      <c r="AE142" s="6">
        <f ca="1">$K$142*$Y$142</f>
        <v>4395</v>
      </c>
      <c r="AF142" s="6">
        <f ca="1"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33</v>
      </c>
      <c r="C143" s="4" t="s">
        <v>41</v>
      </c>
      <c r="D143" s="4" t="s">
        <v>40</v>
      </c>
      <c r="E143" s="4" t="s">
        <v>25</v>
      </c>
      <c r="F143" s="4" t="s">
        <v>54</v>
      </c>
      <c r="G143" s="4" t="s">
        <v>25</v>
      </c>
      <c r="H143" s="4" t="s">
        <v>35</v>
      </c>
      <c r="I143" s="5">
        <v>44682</v>
      </c>
      <c r="J143" s="6">
        <v>500</v>
      </c>
      <c r="K143" s="6">
        <v>250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53</v>
      </c>
      <c r="R143" s="4">
        <v>0</v>
      </c>
      <c r="S143" s="6">
        <v>14</v>
      </c>
      <c r="T143" s="6">
        <v>0</v>
      </c>
      <c r="U143" s="6">
        <v>0</v>
      </c>
      <c r="V143" s="6">
        <f>IF(ISERROR(VLOOKUP($S$143,'TAR FIN'!$A$1:$O$103,15,0)),0,VLOOKUP($S$143,'TAR FIN'!$A$1:$O$103,15,0))</f>
        <v>12.42</v>
      </c>
      <c r="W143" s="6">
        <f>IF(ISERROR(VLOOKUP($T$143,'TAR FIN'!$A$1:$O$103,15,0)),0,VLOOKUP($T$143,'TAR FIN'!$A$1:$O$103,15,0))</f>
        <v>0</v>
      </c>
      <c r="X143" s="6">
        <f>IF(ISERROR(VLOOKUP($U$143,'TAR FIN'!$A$1:$O$103,15,0)),0,VLOOKUP($U$143,'TAR FIN'!$A$1:$O$103,15,0))</f>
        <v>0</v>
      </c>
      <c r="Y143" s="6">
        <f ca="1">('TUSD BE'!$AM$16+'TUSD BF_350'!$AM$16+'TUSD CVA'!$AM$16)*1</f>
        <v>17.579999999999998</v>
      </c>
      <c r="Z143" s="6">
        <f ca="1">('TUSD BE'!$AM$17+'TUSD BF_350'!$AM$17+'TUSD CVA'!$AM$17)*1</f>
        <v>110.85</v>
      </c>
      <c r="AA143" s="6"/>
      <c r="AB143" s="6">
        <f>$K$143*$V$143</f>
        <v>3105</v>
      </c>
      <c r="AC143" s="6">
        <f>$M$143*$W$143</f>
        <v>0</v>
      </c>
      <c r="AD143" s="6">
        <f>$O$143*$X$143</f>
        <v>0</v>
      </c>
      <c r="AE143" s="6">
        <f ca="1">$K$143*$Y$143</f>
        <v>4395</v>
      </c>
      <c r="AF143" s="6">
        <f ca="1"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33</v>
      </c>
      <c r="C144" s="4" t="s">
        <v>41</v>
      </c>
      <c r="D144" s="4" t="s">
        <v>40</v>
      </c>
      <c r="E144" s="4" t="s">
        <v>25</v>
      </c>
      <c r="F144" s="4" t="s">
        <v>54</v>
      </c>
      <c r="G144" s="4" t="s">
        <v>25</v>
      </c>
      <c r="H144" s="4" t="s">
        <v>25</v>
      </c>
      <c r="I144" s="5">
        <v>44621</v>
      </c>
      <c r="J144" s="6">
        <v>0</v>
      </c>
      <c r="K144" s="6">
        <v>0</v>
      </c>
      <c r="L144" s="6">
        <v>115.642</v>
      </c>
      <c r="M144" s="6">
        <v>115.642</v>
      </c>
      <c r="N144" s="6">
        <v>0</v>
      </c>
      <c r="O144" s="6">
        <v>0</v>
      </c>
      <c r="P144" s="6">
        <v>2</v>
      </c>
      <c r="Q144" s="4" t="s">
        <v>53</v>
      </c>
      <c r="R144" s="4">
        <v>0</v>
      </c>
      <c r="S144" s="6">
        <v>0</v>
      </c>
      <c r="T144" s="6">
        <v>15</v>
      </c>
      <c r="U144" s="6">
        <v>0</v>
      </c>
      <c r="V144" s="6">
        <f>IF(ISERROR(VLOOKUP($S$144,'TAR FIN'!$A$1:$O$103,15,0)),0,VLOOKUP($S$144,'TAR FIN'!$A$1:$O$103,15,0))</f>
        <v>0</v>
      </c>
      <c r="W144" s="6">
        <f>IF(ISERROR(VLOOKUP($T$144,'TAR FIN'!$A$1:$O$103,15,0)),0,VLOOKUP($T$144,'TAR FIN'!$A$1:$O$103,15,0))</f>
        <v>69.37</v>
      </c>
      <c r="X144" s="6">
        <f>IF(ISERROR(VLOOKUP($U$144,'TAR FIN'!$A$1:$O$103,15,0)),0,VLOOKUP($U$144,'TAR FIN'!$A$1:$O$103,15,0))</f>
        <v>0</v>
      </c>
      <c r="Y144" s="6"/>
      <c r="Z144" s="6">
        <f ca="1">('TUSD BE'!$AM$17+'TUSD BF_350'!$AM$17+'TUSD CVA'!$AM$17)*1</f>
        <v>110.85</v>
      </c>
      <c r="AA144" s="6"/>
      <c r="AB144" s="6">
        <f>$K$144*$V$144</f>
        <v>0</v>
      </c>
      <c r="AC144" s="6">
        <f>$M$144*$W$144</f>
        <v>8022.08554</v>
      </c>
      <c r="AD144" s="6">
        <f>$O$144*$X$144</f>
        <v>0</v>
      </c>
      <c r="AE144" s="6">
        <f>$K$144*$Y$144</f>
        <v>0</v>
      </c>
      <c r="AF144" s="6">
        <f ca="1">$M$144*$Z$144</f>
        <v>12818.9157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33</v>
      </c>
      <c r="C145" s="4" t="s">
        <v>41</v>
      </c>
      <c r="D145" s="4" t="s">
        <v>40</v>
      </c>
      <c r="E145" s="4" t="s">
        <v>25</v>
      </c>
      <c r="F145" s="4" t="s">
        <v>54</v>
      </c>
      <c r="G145" s="4" t="s">
        <v>25</v>
      </c>
      <c r="H145" s="4" t="s">
        <v>25</v>
      </c>
      <c r="I145" s="5">
        <v>44652</v>
      </c>
      <c r="J145" s="6">
        <v>0</v>
      </c>
      <c r="K145" s="6">
        <v>0</v>
      </c>
      <c r="L145" s="6">
        <v>138.791</v>
      </c>
      <c r="M145" s="6">
        <v>138.791</v>
      </c>
      <c r="N145" s="6">
        <v>0</v>
      </c>
      <c r="O145" s="6">
        <v>0</v>
      </c>
      <c r="P145" s="6">
        <v>2</v>
      </c>
      <c r="Q145" s="4" t="s">
        <v>53</v>
      </c>
      <c r="R145" s="4">
        <v>0</v>
      </c>
      <c r="S145" s="6">
        <v>0</v>
      </c>
      <c r="T145" s="6">
        <v>15</v>
      </c>
      <c r="U145" s="6">
        <v>0</v>
      </c>
      <c r="V145" s="6">
        <f>IF(ISERROR(VLOOKUP($S$145,'TAR FIN'!$A$1:$O$103,15,0)),0,VLOOKUP($S$145,'TAR FIN'!$A$1:$O$103,15,0))</f>
        <v>0</v>
      </c>
      <c r="W145" s="6">
        <f>IF(ISERROR(VLOOKUP($T$145,'TAR FIN'!$A$1:$O$103,15,0)),0,VLOOKUP($T$145,'TAR FIN'!$A$1:$O$103,15,0))</f>
        <v>69.37</v>
      </c>
      <c r="X145" s="6">
        <f>IF(ISERROR(VLOOKUP($U$145,'TAR FIN'!$A$1:$O$103,15,0)),0,VLOOKUP($U$145,'TAR FIN'!$A$1:$O$103,15,0))</f>
        <v>0</v>
      </c>
      <c r="Y145" s="6"/>
      <c r="Z145" s="6">
        <f ca="1">('TUSD BE'!$AM$17+'TUSD BF_350'!$AM$17+'TUSD CVA'!$AM$17)*1</f>
        <v>110.85</v>
      </c>
      <c r="AA145" s="6"/>
      <c r="AB145" s="6">
        <f>$K$145*$V$145</f>
        <v>0</v>
      </c>
      <c r="AC145" s="6">
        <f>$M$145*$W$145</f>
        <v>9627.9316699999999</v>
      </c>
      <c r="AD145" s="6">
        <f>$O$145*$X$145</f>
        <v>0</v>
      </c>
      <c r="AE145" s="6">
        <f>$K$145*$Y$145</f>
        <v>0</v>
      </c>
      <c r="AF145" s="6">
        <f ca="1">$M$145*$Z$145</f>
        <v>15384.982349999998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33</v>
      </c>
      <c r="C146" s="4" t="s">
        <v>41</v>
      </c>
      <c r="D146" s="4" t="s">
        <v>40</v>
      </c>
      <c r="E146" s="4" t="s">
        <v>25</v>
      </c>
      <c r="F146" s="4" t="s">
        <v>54</v>
      </c>
      <c r="G146" s="4" t="s">
        <v>25</v>
      </c>
      <c r="H146" s="4" t="s">
        <v>25</v>
      </c>
      <c r="I146" s="5">
        <v>44682</v>
      </c>
      <c r="J146" s="6">
        <v>0</v>
      </c>
      <c r="K146" s="6">
        <v>0</v>
      </c>
      <c r="L146" s="6">
        <v>138.709</v>
      </c>
      <c r="M146" s="6">
        <v>138.709</v>
      </c>
      <c r="N146" s="6">
        <v>0</v>
      </c>
      <c r="O146" s="6">
        <v>0</v>
      </c>
      <c r="P146" s="6">
        <v>2</v>
      </c>
      <c r="Q146" s="4" t="s">
        <v>53</v>
      </c>
      <c r="R146" s="4">
        <v>0</v>
      </c>
      <c r="S146" s="6">
        <v>0</v>
      </c>
      <c r="T146" s="6">
        <v>15</v>
      </c>
      <c r="U146" s="6">
        <v>0</v>
      </c>
      <c r="V146" s="6">
        <f>IF(ISERROR(VLOOKUP($S$146,'TAR FIN'!$A$1:$O$103,15,0)),0,VLOOKUP($S$146,'TAR FIN'!$A$1:$O$103,15,0))</f>
        <v>0</v>
      </c>
      <c r="W146" s="6">
        <f>IF(ISERROR(VLOOKUP($T$146,'TAR FIN'!$A$1:$O$103,15,0)),0,VLOOKUP($T$146,'TAR FIN'!$A$1:$O$103,15,0))</f>
        <v>69.37</v>
      </c>
      <c r="X146" s="6">
        <f>IF(ISERROR(VLOOKUP($U$146,'TAR FIN'!$A$1:$O$103,15,0)),0,VLOOKUP($U$146,'TAR FIN'!$A$1:$O$103,15,0))</f>
        <v>0</v>
      </c>
      <c r="Y146" s="6"/>
      <c r="Z146" s="6">
        <f ca="1">('TUSD BE'!$AM$17+'TUSD BF_350'!$AM$17+'TUSD CVA'!$AM$17)*1</f>
        <v>110.85</v>
      </c>
      <c r="AA146" s="6"/>
      <c r="AB146" s="6">
        <f>$K$146*$V$146</f>
        <v>0</v>
      </c>
      <c r="AC146" s="6">
        <f>$M$146*$W$146</f>
        <v>9622.2433300000012</v>
      </c>
      <c r="AD146" s="6">
        <f>$O$146*$X$146</f>
        <v>0</v>
      </c>
      <c r="AE146" s="6">
        <f>$K$146*$Y$146</f>
        <v>0</v>
      </c>
      <c r="AF146" s="6">
        <f ca="1">$M$146*$Z$146</f>
        <v>15375.89265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33</v>
      </c>
      <c r="C147" s="4" t="s">
        <v>41</v>
      </c>
      <c r="D147" s="4" t="s">
        <v>40</v>
      </c>
      <c r="E147" s="4" t="s">
        <v>25</v>
      </c>
      <c r="F147" s="4" t="s">
        <v>54</v>
      </c>
      <c r="G147" s="4" t="s">
        <v>25</v>
      </c>
      <c r="H147" s="4" t="s">
        <v>37</v>
      </c>
      <c r="I147" s="5">
        <v>44621</v>
      </c>
      <c r="J147" s="6">
        <v>389</v>
      </c>
      <c r="K147" s="6">
        <v>194.5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53</v>
      </c>
      <c r="R147" s="4">
        <v>0</v>
      </c>
      <c r="S147" s="6">
        <v>13</v>
      </c>
      <c r="T147" s="6">
        <v>0</v>
      </c>
      <c r="U147" s="6">
        <v>0</v>
      </c>
      <c r="V147" s="6">
        <f>IF(ISERROR(VLOOKUP($S$147,'TAR FIN'!$A$1:$O$103,15,0)),0,VLOOKUP($S$147,'TAR FIN'!$A$1:$O$103,15,0))</f>
        <v>31.72</v>
      </c>
      <c r="W147" s="6">
        <f>IF(ISERROR(VLOOKUP($T$147,'TAR FIN'!$A$1:$O$103,15,0)),0,VLOOKUP($T$147,'TAR FIN'!$A$1:$O$103,15,0))</f>
        <v>0</v>
      </c>
      <c r="X147" s="6">
        <f>IF(ISERROR(VLOOKUP($U$147,'TAR FIN'!$A$1:$O$103,15,0)),0,VLOOKUP($U$147,'TAR FIN'!$A$1:$O$103,15,0))</f>
        <v>0</v>
      </c>
      <c r="Y147" s="6">
        <f ca="1">('TUSD BE'!$AM$15+'TUSD BF_350'!$AM$15+'TUSD CVA'!$AM$15)*1</f>
        <v>37.770000000000003</v>
      </c>
      <c r="Z147" s="6">
        <f ca="1">('TUSD BE'!$AM$17+'TUSD BF_350'!$AM$17+'TUSD CVA'!$AM$17)*1</f>
        <v>110.85</v>
      </c>
      <c r="AA147" s="6"/>
      <c r="AB147" s="6">
        <f>$K$147*$V$147</f>
        <v>6169.54</v>
      </c>
      <c r="AC147" s="6">
        <f>$M$147*$W$147</f>
        <v>0</v>
      </c>
      <c r="AD147" s="6">
        <f>$O$147*$X$147</f>
        <v>0</v>
      </c>
      <c r="AE147" s="6">
        <f ca="1">$K$147*$Y$147</f>
        <v>7346.2650000000003</v>
      </c>
      <c r="AF147" s="6">
        <f ca="1"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33</v>
      </c>
      <c r="C148" s="4" t="s">
        <v>41</v>
      </c>
      <c r="D148" s="4" t="s">
        <v>40</v>
      </c>
      <c r="E148" s="4" t="s">
        <v>25</v>
      </c>
      <c r="F148" s="4" t="s">
        <v>54</v>
      </c>
      <c r="G148" s="4" t="s">
        <v>25</v>
      </c>
      <c r="H148" s="4" t="s">
        <v>37</v>
      </c>
      <c r="I148" s="5">
        <v>44652</v>
      </c>
      <c r="J148" s="6">
        <v>389</v>
      </c>
      <c r="K148" s="6">
        <v>194.5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53</v>
      </c>
      <c r="R148" s="4">
        <v>0</v>
      </c>
      <c r="S148" s="6">
        <v>13</v>
      </c>
      <c r="T148" s="6">
        <v>0</v>
      </c>
      <c r="U148" s="6">
        <v>0</v>
      </c>
      <c r="V148" s="6">
        <f>IF(ISERROR(VLOOKUP($S$148,'TAR FIN'!$A$1:$O$103,15,0)),0,VLOOKUP($S$148,'TAR FIN'!$A$1:$O$103,15,0))</f>
        <v>31.72</v>
      </c>
      <c r="W148" s="6">
        <f>IF(ISERROR(VLOOKUP($T$148,'TAR FIN'!$A$1:$O$103,15,0)),0,VLOOKUP($T$148,'TAR FIN'!$A$1:$O$103,15,0))</f>
        <v>0</v>
      </c>
      <c r="X148" s="6">
        <f>IF(ISERROR(VLOOKUP($U$148,'TAR FIN'!$A$1:$O$103,15,0)),0,VLOOKUP($U$148,'TAR FIN'!$A$1:$O$103,15,0))</f>
        <v>0</v>
      </c>
      <c r="Y148" s="6">
        <f ca="1">('TUSD BE'!$AM$15+'TUSD BF_350'!$AM$15+'TUSD CVA'!$AM$15)*1</f>
        <v>37.770000000000003</v>
      </c>
      <c r="Z148" s="6">
        <f ca="1">('TUSD BE'!$AM$17+'TUSD BF_350'!$AM$17+'TUSD CVA'!$AM$17)*1</f>
        <v>110.85</v>
      </c>
      <c r="AA148" s="6"/>
      <c r="AB148" s="6">
        <f>$K$148*$V$148</f>
        <v>6169.54</v>
      </c>
      <c r="AC148" s="6">
        <f>$M$148*$W$148</f>
        <v>0</v>
      </c>
      <c r="AD148" s="6">
        <f>$O$148*$X$148</f>
        <v>0</v>
      </c>
      <c r="AE148" s="6">
        <f ca="1">$K$148*$Y$148</f>
        <v>7346.2650000000003</v>
      </c>
      <c r="AF148" s="6">
        <f ca="1"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33</v>
      </c>
      <c r="C149" s="4" t="s">
        <v>41</v>
      </c>
      <c r="D149" s="4" t="s">
        <v>40</v>
      </c>
      <c r="E149" s="4" t="s">
        <v>25</v>
      </c>
      <c r="F149" s="4" t="s">
        <v>54</v>
      </c>
      <c r="G149" s="4" t="s">
        <v>25</v>
      </c>
      <c r="H149" s="4" t="s">
        <v>37</v>
      </c>
      <c r="I149" s="5">
        <v>44682</v>
      </c>
      <c r="J149" s="6">
        <v>389</v>
      </c>
      <c r="K149" s="6">
        <v>194.5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53</v>
      </c>
      <c r="R149" s="4">
        <v>0</v>
      </c>
      <c r="S149" s="6">
        <v>13</v>
      </c>
      <c r="T149" s="6">
        <v>0</v>
      </c>
      <c r="U149" s="6">
        <v>0</v>
      </c>
      <c r="V149" s="6">
        <f>IF(ISERROR(VLOOKUP($S$149,'TAR FIN'!$A$1:$O$103,15,0)),0,VLOOKUP($S$149,'TAR FIN'!$A$1:$O$103,15,0))</f>
        <v>31.72</v>
      </c>
      <c r="W149" s="6">
        <f>IF(ISERROR(VLOOKUP($T$149,'TAR FIN'!$A$1:$O$103,15,0)),0,VLOOKUP($T$149,'TAR FIN'!$A$1:$O$103,15,0))</f>
        <v>0</v>
      </c>
      <c r="X149" s="6">
        <f>IF(ISERROR(VLOOKUP($U$149,'TAR FIN'!$A$1:$O$103,15,0)),0,VLOOKUP($U$149,'TAR FIN'!$A$1:$O$103,15,0))</f>
        <v>0</v>
      </c>
      <c r="Y149" s="6">
        <f ca="1">('TUSD BE'!$AM$15+'TUSD BF_350'!$AM$15+'TUSD CVA'!$AM$15)*1</f>
        <v>37.770000000000003</v>
      </c>
      <c r="Z149" s="6">
        <f ca="1">('TUSD BE'!$AM$17+'TUSD BF_350'!$AM$17+'TUSD CVA'!$AM$17)*1</f>
        <v>110.85</v>
      </c>
      <c r="AA149" s="6"/>
      <c r="AB149" s="6">
        <f>$K$149*$V$149</f>
        <v>6169.54</v>
      </c>
      <c r="AC149" s="6">
        <f>$M$149*$W$149</f>
        <v>0</v>
      </c>
      <c r="AD149" s="6">
        <f>$O$149*$X$149</f>
        <v>0</v>
      </c>
      <c r="AE149" s="6">
        <f ca="1">$K$149*$Y$149</f>
        <v>7346.2650000000003</v>
      </c>
      <c r="AF149" s="6">
        <f ca="1"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33</v>
      </c>
      <c r="C150" s="4" t="s">
        <v>41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44348</v>
      </c>
      <c r="J150" s="6">
        <v>607</v>
      </c>
      <c r="K150" s="6">
        <v>607</v>
      </c>
      <c r="L150" s="6">
        <v>192.94499999999999</v>
      </c>
      <c r="M150" s="6">
        <v>192.94499999999999</v>
      </c>
      <c r="N150" s="6">
        <v>192.94499999999999</v>
      </c>
      <c r="O150" s="6">
        <v>192.94499999999999</v>
      </c>
      <c r="P150" s="6">
        <v>0</v>
      </c>
      <c r="Q150" s="4" t="s">
        <v>26</v>
      </c>
      <c r="R150" s="4">
        <v>0</v>
      </c>
      <c r="S150" s="6">
        <v>14</v>
      </c>
      <c r="T150" s="6">
        <v>15</v>
      </c>
      <c r="U150" s="6">
        <v>66</v>
      </c>
      <c r="V150" s="6">
        <f>IF(ISERROR(VLOOKUP($S$150,'TAR FIN'!$A$1:$O$103,15,0)),0,VLOOKUP($S$150,'TAR FIN'!$A$1:$O$103,15,0))</f>
        <v>12.42</v>
      </c>
      <c r="W150" s="6">
        <f>IF(ISERROR(VLOOKUP($T$150,'TAR FIN'!$A$1:$O$103,15,0)),0,VLOOKUP($T$150,'TAR FIN'!$A$1:$O$103,15,0))</f>
        <v>69.37</v>
      </c>
      <c r="X150" s="6">
        <f>IF(ISERROR(VLOOKUP($U$150,'TAR FIN'!$A$1:$O$103,15,0)),0,VLOOKUP($U$150,'TAR FIN'!$A$1:$O$103,15,0))</f>
        <v>284.36</v>
      </c>
      <c r="Y150" s="6">
        <f ca="1">('TUSD BE'!$AM$16+'TUSD BF_350'!$AM$16+'TUSD CVA'!$AM$16)*1</f>
        <v>17.579999999999998</v>
      </c>
      <c r="Z150" s="6">
        <f ca="1">('TUSD BE'!$AM$17+'TUSD BF_350'!$AM$17+'TUSD CVA'!$AM$17)*1</f>
        <v>110.85</v>
      </c>
      <c r="AA150" s="6">
        <f ca="1">('TE BE'!$AB$9+'TE BF_350'!$AB$9+'TE CVA'!$AB$9)*1</f>
        <v>247.20000000000002</v>
      </c>
      <c r="AB150" s="6">
        <f>$K$150*$V$150</f>
        <v>7538.94</v>
      </c>
      <c r="AC150" s="6">
        <f>$M$150*$W$150</f>
        <v>13384.594650000001</v>
      </c>
      <c r="AD150" s="6">
        <f>$O$150*$X$150</f>
        <v>54865.840199999999</v>
      </c>
      <c r="AE150" s="6">
        <f ca="1">$K$150*$Y$150</f>
        <v>10671.06</v>
      </c>
      <c r="AF150" s="6">
        <f ca="1">$M$150*$Z$150</f>
        <v>21387.953249999999</v>
      </c>
      <c r="AG150" s="6">
        <f ca="1">$O$150*$AA$150</f>
        <v>47696.004000000001</v>
      </c>
    </row>
    <row r="151" spans="1:33" ht="11.25" customHeight="1" x14ac:dyDescent="0.25">
      <c r="A151" s="4" t="s">
        <v>21</v>
      </c>
      <c r="B151" s="4" t="s">
        <v>33</v>
      </c>
      <c r="C151" s="4" t="s">
        <v>41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44348</v>
      </c>
      <c r="J151" s="6">
        <v>9141</v>
      </c>
      <c r="K151" s="6">
        <v>9141</v>
      </c>
      <c r="L151" s="6">
        <v>5105.5860000000002</v>
      </c>
      <c r="M151" s="6">
        <v>5105.5860000000002</v>
      </c>
      <c r="N151" s="6">
        <v>0</v>
      </c>
      <c r="O151" s="6">
        <v>0</v>
      </c>
      <c r="P151" s="6">
        <v>0</v>
      </c>
      <c r="Q151" s="4" t="s">
        <v>53</v>
      </c>
      <c r="R151" s="4">
        <v>0</v>
      </c>
      <c r="S151" s="6">
        <v>14</v>
      </c>
      <c r="T151" s="6">
        <v>15</v>
      </c>
      <c r="U151" s="6">
        <v>0</v>
      </c>
      <c r="V151" s="6">
        <f>IF(ISERROR(VLOOKUP($S$151,'TAR FIN'!$A$1:$O$103,15,0)),0,VLOOKUP($S$151,'TAR FIN'!$A$1:$O$103,15,0))</f>
        <v>12.42</v>
      </c>
      <c r="W151" s="6">
        <f>IF(ISERROR(VLOOKUP($T$151,'TAR FIN'!$A$1:$O$103,15,0)),0,VLOOKUP($T$151,'TAR FIN'!$A$1:$O$103,15,0))</f>
        <v>69.37</v>
      </c>
      <c r="X151" s="6">
        <f>IF(ISERROR(VLOOKUP($U$151,'TAR FIN'!$A$1:$O$103,15,0)),0,VLOOKUP($U$151,'TAR FIN'!$A$1:$O$103,15,0))</f>
        <v>0</v>
      </c>
      <c r="Y151" s="6">
        <f ca="1">('TUSD BE'!$AM$16+'TUSD BF_350'!$AM$16+'TUSD CVA'!$AM$16)*1</f>
        <v>17.579999999999998</v>
      </c>
      <c r="Z151" s="6">
        <f ca="1">('TUSD BE'!$AM$17+'TUSD BF_350'!$AM$17+'TUSD CVA'!$AM$17)*1</f>
        <v>110.85</v>
      </c>
      <c r="AA151" s="6"/>
      <c r="AB151" s="6">
        <f>$K$151*$V$151</f>
        <v>113531.22</v>
      </c>
      <c r="AC151" s="6">
        <f>$M$151*$W$151</f>
        <v>354174.50082000002</v>
      </c>
      <c r="AD151" s="6">
        <f>$O$151*$X$151</f>
        <v>0</v>
      </c>
      <c r="AE151" s="6">
        <f ca="1">$K$151*$Y$151</f>
        <v>160698.78</v>
      </c>
      <c r="AF151" s="6">
        <f ca="1">$M$151*$Z$151</f>
        <v>565954.20810000005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33</v>
      </c>
      <c r="C152" s="4" t="s">
        <v>41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44378</v>
      </c>
      <c r="J152" s="6">
        <v>612</v>
      </c>
      <c r="K152" s="6">
        <v>612</v>
      </c>
      <c r="L152" s="6">
        <v>204.67699999999999</v>
      </c>
      <c r="M152" s="6">
        <v>204.67699999999999</v>
      </c>
      <c r="N152" s="6">
        <v>204.67699999999999</v>
      </c>
      <c r="O152" s="6">
        <v>204.67699999999999</v>
      </c>
      <c r="P152" s="6">
        <v>0</v>
      </c>
      <c r="Q152" s="4" t="s">
        <v>26</v>
      </c>
      <c r="R152" s="4">
        <v>0</v>
      </c>
      <c r="S152" s="6">
        <v>14</v>
      </c>
      <c r="T152" s="6">
        <v>15</v>
      </c>
      <c r="U152" s="6">
        <v>66</v>
      </c>
      <c r="V152" s="6">
        <f>IF(ISERROR(VLOOKUP($S$152,'TAR FIN'!$A$1:$O$103,15,0)),0,VLOOKUP($S$152,'TAR FIN'!$A$1:$O$103,15,0))</f>
        <v>12.42</v>
      </c>
      <c r="W152" s="6">
        <f>IF(ISERROR(VLOOKUP($T$152,'TAR FIN'!$A$1:$O$103,15,0)),0,VLOOKUP($T$152,'TAR FIN'!$A$1:$O$103,15,0))</f>
        <v>69.37</v>
      </c>
      <c r="X152" s="6">
        <f>IF(ISERROR(VLOOKUP($U$152,'TAR FIN'!$A$1:$O$103,15,0)),0,VLOOKUP($U$152,'TAR FIN'!$A$1:$O$103,15,0))</f>
        <v>284.36</v>
      </c>
      <c r="Y152" s="6">
        <f ca="1">('TUSD BE'!$AM$16+'TUSD BF_350'!$AM$16+'TUSD CVA'!$AM$16)*1</f>
        <v>17.579999999999998</v>
      </c>
      <c r="Z152" s="6">
        <f ca="1">('TUSD BE'!$AM$17+'TUSD BF_350'!$AM$17+'TUSD CVA'!$AM$17)*1</f>
        <v>110.85</v>
      </c>
      <c r="AA152" s="6">
        <f ca="1">('TE BE'!$AB$9+'TE BF_350'!$AB$9+'TE CVA'!$AB$9)*1</f>
        <v>247.20000000000002</v>
      </c>
      <c r="AB152" s="6">
        <f>$K$152*$V$152</f>
        <v>7601.04</v>
      </c>
      <c r="AC152" s="6">
        <f>$M$152*$W$152</f>
        <v>14198.44349</v>
      </c>
      <c r="AD152" s="6">
        <f>$O$152*$X$152</f>
        <v>58201.951719999997</v>
      </c>
      <c r="AE152" s="6">
        <f ca="1">$K$152*$Y$152</f>
        <v>10758.96</v>
      </c>
      <c r="AF152" s="6">
        <f ca="1">$M$152*$Z$152</f>
        <v>22688.445449999999</v>
      </c>
      <c r="AG152" s="6">
        <f ca="1">$O$152*$AA$152</f>
        <v>50596.154399999999</v>
      </c>
    </row>
    <row r="153" spans="1:33" ht="11.25" customHeight="1" x14ac:dyDescent="0.25">
      <c r="A153" s="4" t="s">
        <v>21</v>
      </c>
      <c r="B153" s="4" t="s">
        <v>33</v>
      </c>
      <c r="C153" s="4" t="s">
        <v>41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44378</v>
      </c>
      <c r="J153" s="6">
        <v>9086</v>
      </c>
      <c r="K153" s="6">
        <v>9086</v>
      </c>
      <c r="L153" s="6">
        <v>4991.241</v>
      </c>
      <c r="M153" s="6">
        <v>4991.241</v>
      </c>
      <c r="N153" s="6">
        <v>0</v>
      </c>
      <c r="O153" s="6">
        <v>0</v>
      </c>
      <c r="P153" s="6">
        <v>0</v>
      </c>
      <c r="Q153" s="4" t="s">
        <v>53</v>
      </c>
      <c r="R153" s="4">
        <v>0</v>
      </c>
      <c r="S153" s="6">
        <v>14</v>
      </c>
      <c r="T153" s="6">
        <v>15</v>
      </c>
      <c r="U153" s="6">
        <v>0</v>
      </c>
      <c r="V153" s="6">
        <f>IF(ISERROR(VLOOKUP($S$153,'TAR FIN'!$A$1:$O$103,15,0)),0,VLOOKUP($S$153,'TAR FIN'!$A$1:$O$103,15,0))</f>
        <v>12.42</v>
      </c>
      <c r="W153" s="6">
        <f>IF(ISERROR(VLOOKUP($T$153,'TAR FIN'!$A$1:$O$103,15,0)),0,VLOOKUP($T$153,'TAR FIN'!$A$1:$O$103,15,0))</f>
        <v>69.37</v>
      </c>
      <c r="X153" s="6">
        <f>IF(ISERROR(VLOOKUP($U$153,'TAR FIN'!$A$1:$O$103,15,0)),0,VLOOKUP($U$153,'TAR FIN'!$A$1:$O$103,15,0))</f>
        <v>0</v>
      </c>
      <c r="Y153" s="6">
        <f ca="1">('TUSD BE'!$AM$16+'TUSD BF_350'!$AM$16+'TUSD CVA'!$AM$16)*1</f>
        <v>17.579999999999998</v>
      </c>
      <c r="Z153" s="6">
        <f ca="1">('TUSD BE'!$AM$17+'TUSD BF_350'!$AM$17+'TUSD CVA'!$AM$17)*1</f>
        <v>110.85</v>
      </c>
      <c r="AA153" s="6"/>
      <c r="AB153" s="6">
        <f>$K$153*$V$153</f>
        <v>112848.12</v>
      </c>
      <c r="AC153" s="6">
        <f>$M$153*$W$153</f>
        <v>346242.38817000005</v>
      </c>
      <c r="AD153" s="6">
        <f>$O$153*$X$153</f>
        <v>0</v>
      </c>
      <c r="AE153" s="6">
        <f ca="1">$K$153*$Y$153</f>
        <v>159731.87999999998</v>
      </c>
      <c r="AF153" s="6">
        <f ca="1">$M$153*$Z$153</f>
        <v>553279.06484999997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33</v>
      </c>
      <c r="C154" s="4" t="s">
        <v>41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44409</v>
      </c>
      <c r="J154" s="6">
        <v>607</v>
      </c>
      <c r="K154" s="6">
        <v>607</v>
      </c>
      <c r="L154" s="6">
        <v>203.184</v>
      </c>
      <c r="M154" s="6">
        <v>203.184</v>
      </c>
      <c r="N154" s="6">
        <v>203.184</v>
      </c>
      <c r="O154" s="6">
        <v>203.184</v>
      </c>
      <c r="P154" s="6">
        <v>0</v>
      </c>
      <c r="Q154" s="4" t="s">
        <v>26</v>
      </c>
      <c r="R154" s="4">
        <v>0</v>
      </c>
      <c r="S154" s="6">
        <v>14</v>
      </c>
      <c r="T154" s="6">
        <v>15</v>
      </c>
      <c r="U154" s="6">
        <v>66</v>
      </c>
      <c r="V154" s="6">
        <f>IF(ISERROR(VLOOKUP($S$154,'TAR FIN'!$A$1:$O$103,15,0)),0,VLOOKUP($S$154,'TAR FIN'!$A$1:$O$103,15,0))</f>
        <v>12.42</v>
      </c>
      <c r="W154" s="6">
        <f>IF(ISERROR(VLOOKUP($T$154,'TAR FIN'!$A$1:$O$103,15,0)),0,VLOOKUP($T$154,'TAR FIN'!$A$1:$O$103,15,0))</f>
        <v>69.37</v>
      </c>
      <c r="X154" s="6">
        <f>IF(ISERROR(VLOOKUP($U$154,'TAR FIN'!$A$1:$O$103,15,0)),0,VLOOKUP($U$154,'TAR FIN'!$A$1:$O$103,15,0))</f>
        <v>284.36</v>
      </c>
      <c r="Y154" s="6">
        <f ca="1">('TUSD BE'!$AM$16+'TUSD BF_350'!$AM$16+'TUSD CVA'!$AM$16)*1</f>
        <v>17.579999999999998</v>
      </c>
      <c r="Z154" s="6">
        <f ca="1">('TUSD BE'!$AM$17+'TUSD BF_350'!$AM$17+'TUSD CVA'!$AM$17)*1</f>
        <v>110.85</v>
      </c>
      <c r="AA154" s="6">
        <f ca="1">('TE BE'!$AB$9+'TE BF_350'!$AB$9+'TE CVA'!$AB$9)*1</f>
        <v>247.20000000000002</v>
      </c>
      <c r="AB154" s="6">
        <f>$K$154*$V$154</f>
        <v>7538.94</v>
      </c>
      <c r="AC154" s="6">
        <f>$M$154*$W$154</f>
        <v>14094.874080000001</v>
      </c>
      <c r="AD154" s="6">
        <f>$O$154*$X$154</f>
        <v>57777.402240000003</v>
      </c>
      <c r="AE154" s="6">
        <f ca="1">$K$154*$Y$154</f>
        <v>10671.06</v>
      </c>
      <c r="AF154" s="6">
        <f ca="1">$M$154*$Z$154</f>
        <v>22522.946399999997</v>
      </c>
      <c r="AG154" s="6">
        <f ca="1">$O$154*$AA$154</f>
        <v>50227.084800000004</v>
      </c>
    </row>
    <row r="155" spans="1:33" ht="11.25" customHeight="1" x14ac:dyDescent="0.25">
      <c r="A155" s="4" t="s">
        <v>21</v>
      </c>
      <c r="B155" s="4" t="s">
        <v>33</v>
      </c>
      <c r="C155" s="4" t="s">
        <v>41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44409</v>
      </c>
      <c r="J155" s="6">
        <v>9115</v>
      </c>
      <c r="K155" s="6">
        <v>9115</v>
      </c>
      <c r="L155" s="6">
        <v>5068.4369999999999</v>
      </c>
      <c r="M155" s="6">
        <v>5068.4369999999999</v>
      </c>
      <c r="N155" s="6">
        <v>0</v>
      </c>
      <c r="O155" s="6">
        <v>0</v>
      </c>
      <c r="P155" s="6">
        <v>0</v>
      </c>
      <c r="Q155" s="4" t="s">
        <v>53</v>
      </c>
      <c r="R155" s="4">
        <v>0</v>
      </c>
      <c r="S155" s="6">
        <v>14</v>
      </c>
      <c r="T155" s="6">
        <v>15</v>
      </c>
      <c r="U155" s="6">
        <v>0</v>
      </c>
      <c r="V155" s="6">
        <f>IF(ISERROR(VLOOKUP($S$155,'TAR FIN'!$A$1:$O$103,15,0)),0,VLOOKUP($S$155,'TAR FIN'!$A$1:$O$103,15,0))</f>
        <v>12.42</v>
      </c>
      <c r="W155" s="6">
        <f>IF(ISERROR(VLOOKUP($T$155,'TAR FIN'!$A$1:$O$103,15,0)),0,VLOOKUP($T$155,'TAR FIN'!$A$1:$O$103,15,0))</f>
        <v>69.37</v>
      </c>
      <c r="X155" s="6">
        <f>IF(ISERROR(VLOOKUP($U$155,'TAR FIN'!$A$1:$O$103,15,0)),0,VLOOKUP($U$155,'TAR FIN'!$A$1:$O$103,15,0))</f>
        <v>0</v>
      </c>
      <c r="Y155" s="6">
        <f ca="1">('TUSD BE'!$AM$16+'TUSD BF_350'!$AM$16+'TUSD CVA'!$AM$16)*1</f>
        <v>17.579999999999998</v>
      </c>
      <c r="Z155" s="6">
        <f ca="1">('TUSD BE'!$AM$17+'TUSD BF_350'!$AM$17+'TUSD CVA'!$AM$17)*1</f>
        <v>110.85</v>
      </c>
      <c r="AA155" s="6"/>
      <c r="AB155" s="6">
        <f>$K$155*$V$155</f>
        <v>113208.3</v>
      </c>
      <c r="AC155" s="6">
        <f>$M$155*$W$155</f>
        <v>351597.47469</v>
      </c>
      <c r="AD155" s="6">
        <f>$O$155*$X$155</f>
        <v>0</v>
      </c>
      <c r="AE155" s="6">
        <f ca="1">$K$155*$Y$155</f>
        <v>160241.69999999998</v>
      </c>
      <c r="AF155" s="6">
        <f ca="1">$M$155*$Z$155</f>
        <v>561836.24144999997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33</v>
      </c>
      <c r="C156" s="4" t="s">
        <v>41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35</v>
      </c>
      <c r="I156" s="5">
        <v>44440</v>
      </c>
      <c r="J156" s="6">
        <v>607</v>
      </c>
      <c r="K156" s="6">
        <v>607</v>
      </c>
      <c r="L156" s="6">
        <v>188.74100000000001</v>
      </c>
      <c r="M156" s="6">
        <v>188.74100000000001</v>
      </c>
      <c r="N156" s="6">
        <v>188.74100000000001</v>
      </c>
      <c r="O156" s="6">
        <v>188.74100000000001</v>
      </c>
      <c r="P156" s="6">
        <v>0</v>
      </c>
      <c r="Q156" s="4" t="s">
        <v>26</v>
      </c>
      <c r="R156" s="4">
        <v>0</v>
      </c>
      <c r="S156" s="6">
        <v>14</v>
      </c>
      <c r="T156" s="6">
        <v>15</v>
      </c>
      <c r="U156" s="6">
        <v>66</v>
      </c>
      <c r="V156" s="6">
        <f>IF(ISERROR(VLOOKUP($S$156,'TAR FIN'!$A$1:$O$103,15,0)),0,VLOOKUP($S$156,'TAR FIN'!$A$1:$O$103,15,0))</f>
        <v>12.42</v>
      </c>
      <c r="W156" s="6">
        <f>IF(ISERROR(VLOOKUP($T$156,'TAR FIN'!$A$1:$O$103,15,0)),0,VLOOKUP($T$156,'TAR FIN'!$A$1:$O$103,15,0))</f>
        <v>69.37</v>
      </c>
      <c r="X156" s="6">
        <f>IF(ISERROR(VLOOKUP($U$156,'TAR FIN'!$A$1:$O$103,15,0)),0,VLOOKUP($U$156,'TAR FIN'!$A$1:$O$103,15,0))</f>
        <v>284.36</v>
      </c>
      <c r="Y156" s="6">
        <f ca="1">('TUSD BE'!$AM$16+'TUSD BF_350'!$AM$16+'TUSD CVA'!$AM$16)*1</f>
        <v>17.579999999999998</v>
      </c>
      <c r="Z156" s="6">
        <f ca="1">('TUSD BE'!$AM$17+'TUSD BF_350'!$AM$17+'TUSD CVA'!$AM$17)*1</f>
        <v>110.85</v>
      </c>
      <c r="AA156" s="6">
        <f ca="1">('TE BE'!$AB$9+'TE BF_350'!$AB$9+'TE CVA'!$AB$9)*1</f>
        <v>247.20000000000002</v>
      </c>
      <c r="AB156" s="6">
        <f>$K$156*$V$156</f>
        <v>7538.94</v>
      </c>
      <c r="AC156" s="6">
        <f>$M$156*$W$156</f>
        <v>13092.963170000003</v>
      </c>
      <c r="AD156" s="6">
        <f>$O$156*$X$156</f>
        <v>53670.390760000009</v>
      </c>
      <c r="AE156" s="6">
        <f ca="1">$K$156*$Y$156</f>
        <v>10671.06</v>
      </c>
      <c r="AF156" s="6">
        <f ca="1">$M$156*$Z$156</f>
        <v>20921.939849999999</v>
      </c>
      <c r="AG156" s="6">
        <f ca="1">$O$156*$AA$156</f>
        <v>46656.775200000004</v>
      </c>
    </row>
    <row r="157" spans="1:33" ht="11.25" customHeight="1" x14ac:dyDescent="0.25">
      <c r="A157" s="4" t="s">
        <v>21</v>
      </c>
      <c r="B157" s="4" t="s">
        <v>33</v>
      </c>
      <c r="C157" s="4" t="s">
        <v>41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35</v>
      </c>
      <c r="I157" s="5">
        <v>44440</v>
      </c>
      <c r="J157" s="6">
        <v>9607</v>
      </c>
      <c r="K157" s="6">
        <v>9607</v>
      </c>
      <c r="L157" s="6">
        <v>5270.0829999999996</v>
      </c>
      <c r="M157" s="6">
        <v>5270.0829999999996</v>
      </c>
      <c r="N157" s="6">
        <v>0</v>
      </c>
      <c r="O157" s="6">
        <v>0</v>
      </c>
      <c r="P157" s="6">
        <v>0</v>
      </c>
      <c r="Q157" s="4" t="s">
        <v>53</v>
      </c>
      <c r="R157" s="4">
        <v>0</v>
      </c>
      <c r="S157" s="6">
        <v>14</v>
      </c>
      <c r="T157" s="6">
        <v>15</v>
      </c>
      <c r="U157" s="6">
        <v>0</v>
      </c>
      <c r="V157" s="6">
        <f>IF(ISERROR(VLOOKUP($S$157,'TAR FIN'!$A$1:$O$103,15,0)),0,VLOOKUP($S$157,'TAR FIN'!$A$1:$O$103,15,0))</f>
        <v>12.42</v>
      </c>
      <c r="W157" s="6">
        <f>IF(ISERROR(VLOOKUP($T$157,'TAR FIN'!$A$1:$O$103,15,0)),0,VLOOKUP($T$157,'TAR FIN'!$A$1:$O$103,15,0))</f>
        <v>69.37</v>
      </c>
      <c r="X157" s="6">
        <f>IF(ISERROR(VLOOKUP($U$157,'TAR FIN'!$A$1:$O$103,15,0)),0,VLOOKUP($U$157,'TAR FIN'!$A$1:$O$103,15,0))</f>
        <v>0</v>
      </c>
      <c r="Y157" s="6">
        <f ca="1">('TUSD BE'!$AM$16+'TUSD BF_350'!$AM$16+'TUSD CVA'!$AM$16)*1</f>
        <v>17.579999999999998</v>
      </c>
      <c r="Z157" s="6">
        <f ca="1">('TUSD BE'!$AM$17+'TUSD BF_350'!$AM$17+'TUSD CVA'!$AM$17)*1</f>
        <v>110.85</v>
      </c>
      <c r="AA157" s="6"/>
      <c r="AB157" s="6">
        <f>$K$157*$V$157</f>
        <v>119318.94</v>
      </c>
      <c r="AC157" s="6">
        <f>$M$157*$W$157</f>
        <v>365585.65771</v>
      </c>
      <c r="AD157" s="6">
        <f>$O$157*$X$157</f>
        <v>0</v>
      </c>
      <c r="AE157" s="6">
        <f ca="1">$K$157*$Y$157</f>
        <v>168891.06</v>
      </c>
      <c r="AF157" s="6">
        <f ca="1">$M$157*$Z$157</f>
        <v>584188.70054999995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33</v>
      </c>
      <c r="C158" s="4" t="s">
        <v>41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35</v>
      </c>
      <c r="I158" s="5">
        <v>44470</v>
      </c>
      <c r="J158" s="6">
        <v>607</v>
      </c>
      <c r="K158" s="6">
        <v>607</v>
      </c>
      <c r="L158" s="6">
        <v>186.57400000000001</v>
      </c>
      <c r="M158" s="6">
        <v>186.57400000000001</v>
      </c>
      <c r="N158" s="6">
        <v>186.57400000000001</v>
      </c>
      <c r="O158" s="6">
        <v>186.57400000000001</v>
      </c>
      <c r="P158" s="6">
        <v>0</v>
      </c>
      <c r="Q158" s="4" t="s">
        <v>26</v>
      </c>
      <c r="R158" s="4">
        <v>0</v>
      </c>
      <c r="S158" s="6">
        <v>14</v>
      </c>
      <c r="T158" s="6">
        <v>15</v>
      </c>
      <c r="U158" s="6">
        <v>66</v>
      </c>
      <c r="V158" s="6">
        <f>IF(ISERROR(VLOOKUP($S$158,'TAR FIN'!$A$1:$O$103,15,0)),0,VLOOKUP($S$158,'TAR FIN'!$A$1:$O$103,15,0))</f>
        <v>12.42</v>
      </c>
      <c r="W158" s="6">
        <f>IF(ISERROR(VLOOKUP($T$158,'TAR FIN'!$A$1:$O$103,15,0)),0,VLOOKUP($T$158,'TAR FIN'!$A$1:$O$103,15,0))</f>
        <v>69.37</v>
      </c>
      <c r="X158" s="6">
        <f>IF(ISERROR(VLOOKUP($U$158,'TAR FIN'!$A$1:$O$103,15,0)),0,VLOOKUP($U$158,'TAR FIN'!$A$1:$O$103,15,0))</f>
        <v>284.36</v>
      </c>
      <c r="Y158" s="6">
        <f ca="1">('TUSD BE'!$AM$16+'TUSD BF_350'!$AM$16+'TUSD CVA'!$AM$16)*1</f>
        <v>17.579999999999998</v>
      </c>
      <c r="Z158" s="6">
        <f ca="1">('TUSD BE'!$AM$17+'TUSD BF_350'!$AM$17+'TUSD CVA'!$AM$17)*1</f>
        <v>110.85</v>
      </c>
      <c r="AA158" s="6">
        <f ca="1">('TE BE'!$AB$9+'TE BF_350'!$AB$9+'TE CVA'!$AB$9)*1</f>
        <v>247.20000000000002</v>
      </c>
      <c r="AB158" s="6">
        <f>$K$158*$V$158</f>
        <v>7538.94</v>
      </c>
      <c r="AC158" s="6">
        <f>$M$158*$W$158</f>
        <v>12942.638380000002</v>
      </c>
      <c r="AD158" s="6">
        <f>$O$158*$X$158</f>
        <v>53054.182640000006</v>
      </c>
      <c r="AE158" s="6">
        <f ca="1">$K$158*$Y$158</f>
        <v>10671.06</v>
      </c>
      <c r="AF158" s="6">
        <f ca="1">$M$158*$Z$158</f>
        <v>20681.727900000002</v>
      </c>
      <c r="AG158" s="6">
        <f ca="1">$O$158*$AA$158</f>
        <v>46121.092800000006</v>
      </c>
    </row>
    <row r="159" spans="1:33" ht="11.25" customHeight="1" x14ac:dyDescent="0.25">
      <c r="A159" s="4" t="s">
        <v>21</v>
      </c>
      <c r="B159" s="4" t="s">
        <v>33</v>
      </c>
      <c r="C159" s="4" t="s">
        <v>41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35</v>
      </c>
      <c r="I159" s="5">
        <v>44470</v>
      </c>
      <c r="J159" s="6">
        <v>9590</v>
      </c>
      <c r="K159" s="6">
        <v>9590</v>
      </c>
      <c r="L159" s="6">
        <v>5215.5379999999996</v>
      </c>
      <c r="M159" s="6">
        <v>5215.5379999999996</v>
      </c>
      <c r="N159" s="6">
        <v>0</v>
      </c>
      <c r="O159" s="6">
        <v>0</v>
      </c>
      <c r="P159" s="6">
        <v>0</v>
      </c>
      <c r="Q159" s="4" t="s">
        <v>53</v>
      </c>
      <c r="R159" s="4">
        <v>0</v>
      </c>
      <c r="S159" s="6">
        <v>14</v>
      </c>
      <c r="T159" s="6">
        <v>15</v>
      </c>
      <c r="U159" s="6">
        <v>0</v>
      </c>
      <c r="V159" s="6">
        <f>IF(ISERROR(VLOOKUP($S$159,'TAR FIN'!$A$1:$O$103,15,0)),0,VLOOKUP($S$159,'TAR FIN'!$A$1:$O$103,15,0))</f>
        <v>12.42</v>
      </c>
      <c r="W159" s="6">
        <f>IF(ISERROR(VLOOKUP($T$159,'TAR FIN'!$A$1:$O$103,15,0)),0,VLOOKUP($T$159,'TAR FIN'!$A$1:$O$103,15,0))</f>
        <v>69.37</v>
      </c>
      <c r="X159" s="6">
        <f>IF(ISERROR(VLOOKUP($U$159,'TAR FIN'!$A$1:$O$103,15,0)),0,VLOOKUP($U$159,'TAR FIN'!$A$1:$O$103,15,0))</f>
        <v>0</v>
      </c>
      <c r="Y159" s="6">
        <f ca="1">('TUSD BE'!$AM$16+'TUSD BF_350'!$AM$16+'TUSD CVA'!$AM$16)*1</f>
        <v>17.579999999999998</v>
      </c>
      <c r="Z159" s="6">
        <f ca="1">('TUSD BE'!$AM$17+'TUSD BF_350'!$AM$17+'TUSD CVA'!$AM$17)*1</f>
        <v>110.85</v>
      </c>
      <c r="AA159" s="6"/>
      <c r="AB159" s="6">
        <f>$K$159*$V$159</f>
        <v>119107.8</v>
      </c>
      <c r="AC159" s="6">
        <f>$M$159*$W$159</f>
        <v>361801.87105999998</v>
      </c>
      <c r="AD159" s="6">
        <f>$O$159*$X$159</f>
        <v>0</v>
      </c>
      <c r="AE159" s="6">
        <f ca="1">$K$159*$Y$159</f>
        <v>168592.19999999998</v>
      </c>
      <c r="AF159" s="6">
        <f ca="1">$M$159*$Z$159</f>
        <v>578142.38729999994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33</v>
      </c>
      <c r="C160" s="4" t="s">
        <v>41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44501</v>
      </c>
      <c r="J160" s="6">
        <v>619</v>
      </c>
      <c r="K160" s="6">
        <v>619</v>
      </c>
      <c r="L160" s="6">
        <v>152.964</v>
      </c>
      <c r="M160" s="6">
        <v>152.964</v>
      </c>
      <c r="N160" s="6">
        <v>152.964</v>
      </c>
      <c r="O160" s="6">
        <v>152.964</v>
      </c>
      <c r="P160" s="6">
        <v>0</v>
      </c>
      <c r="Q160" s="4" t="s">
        <v>26</v>
      </c>
      <c r="R160" s="4">
        <v>0</v>
      </c>
      <c r="S160" s="6">
        <v>14</v>
      </c>
      <c r="T160" s="6">
        <v>15</v>
      </c>
      <c r="U160" s="6">
        <v>66</v>
      </c>
      <c r="V160" s="6">
        <f>IF(ISERROR(VLOOKUP($S$160,'TAR FIN'!$A$1:$O$103,15,0)),0,VLOOKUP($S$160,'TAR FIN'!$A$1:$O$103,15,0))</f>
        <v>12.42</v>
      </c>
      <c r="W160" s="6">
        <f>IF(ISERROR(VLOOKUP($T$160,'TAR FIN'!$A$1:$O$103,15,0)),0,VLOOKUP($T$160,'TAR FIN'!$A$1:$O$103,15,0))</f>
        <v>69.37</v>
      </c>
      <c r="X160" s="6">
        <f>IF(ISERROR(VLOOKUP($U$160,'TAR FIN'!$A$1:$O$103,15,0)),0,VLOOKUP($U$160,'TAR FIN'!$A$1:$O$103,15,0))</f>
        <v>284.36</v>
      </c>
      <c r="Y160" s="6">
        <f ca="1">('TUSD BE'!$AM$16+'TUSD BF_350'!$AM$16+'TUSD CVA'!$AM$16)*1</f>
        <v>17.579999999999998</v>
      </c>
      <c r="Z160" s="6">
        <f ca="1">('TUSD BE'!$AM$17+'TUSD BF_350'!$AM$17+'TUSD CVA'!$AM$17)*1</f>
        <v>110.85</v>
      </c>
      <c r="AA160" s="6">
        <f ca="1">('TE BE'!$AB$9+'TE BF_350'!$AB$9+'TE CVA'!$AB$9)*1</f>
        <v>247.20000000000002</v>
      </c>
      <c r="AB160" s="6">
        <f>$K$160*$V$160</f>
        <v>7687.98</v>
      </c>
      <c r="AC160" s="6">
        <f>$M$160*$W$160</f>
        <v>10611.11268</v>
      </c>
      <c r="AD160" s="6">
        <f>$O$160*$X$160</f>
        <v>43496.84304</v>
      </c>
      <c r="AE160" s="6">
        <f ca="1">$K$160*$Y$160</f>
        <v>10882.019999999999</v>
      </c>
      <c r="AF160" s="6">
        <f ca="1">$M$160*$Z$160</f>
        <v>16956.059399999998</v>
      </c>
      <c r="AG160" s="6">
        <f ca="1">$O$160*$AA$160</f>
        <v>37812.700799999999</v>
      </c>
    </row>
    <row r="161" spans="1:33" ht="11.25" customHeight="1" x14ac:dyDescent="0.25">
      <c r="A161" s="4" t="s">
        <v>21</v>
      </c>
      <c r="B161" s="4" t="s">
        <v>33</v>
      </c>
      <c r="C161" s="4" t="s">
        <v>41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44501</v>
      </c>
      <c r="J161" s="6">
        <v>9624</v>
      </c>
      <c r="K161" s="6">
        <v>9624</v>
      </c>
      <c r="L161" s="6">
        <v>5336.5339999999997</v>
      </c>
      <c r="M161" s="6">
        <v>5336.5339999999997</v>
      </c>
      <c r="N161" s="6">
        <v>0</v>
      </c>
      <c r="O161" s="6">
        <v>0</v>
      </c>
      <c r="P161" s="6">
        <v>0</v>
      </c>
      <c r="Q161" s="4" t="s">
        <v>53</v>
      </c>
      <c r="R161" s="4">
        <v>0</v>
      </c>
      <c r="S161" s="6">
        <v>14</v>
      </c>
      <c r="T161" s="6">
        <v>15</v>
      </c>
      <c r="U161" s="6">
        <v>0</v>
      </c>
      <c r="V161" s="6">
        <f>IF(ISERROR(VLOOKUP($S$161,'TAR FIN'!$A$1:$O$103,15,0)),0,VLOOKUP($S$161,'TAR FIN'!$A$1:$O$103,15,0))</f>
        <v>12.42</v>
      </c>
      <c r="W161" s="6">
        <f>IF(ISERROR(VLOOKUP($T$161,'TAR FIN'!$A$1:$O$103,15,0)),0,VLOOKUP($T$161,'TAR FIN'!$A$1:$O$103,15,0))</f>
        <v>69.37</v>
      </c>
      <c r="X161" s="6">
        <f>IF(ISERROR(VLOOKUP($U$161,'TAR FIN'!$A$1:$O$103,15,0)),0,VLOOKUP($U$161,'TAR FIN'!$A$1:$O$103,15,0))</f>
        <v>0</v>
      </c>
      <c r="Y161" s="6">
        <f ca="1">('TUSD BE'!$AM$16+'TUSD BF_350'!$AM$16+'TUSD CVA'!$AM$16)*1</f>
        <v>17.579999999999998</v>
      </c>
      <c r="Z161" s="6">
        <f ca="1">('TUSD BE'!$AM$17+'TUSD BF_350'!$AM$17+'TUSD CVA'!$AM$17)*1</f>
        <v>110.85</v>
      </c>
      <c r="AA161" s="6"/>
      <c r="AB161" s="6">
        <f>$K$161*$V$161</f>
        <v>119530.08</v>
      </c>
      <c r="AC161" s="6">
        <f>$M$161*$W$161</f>
        <v>370195.36358</v>
      </c>
      <c r="AD161" s="6">
        <f>$O$161*$X$161</f>
        <v>0</v>
      </c>
      <c r="AE161" s="6">
        <f ca="1">$K$161*$Y$161</f>
        <v>169189.91999999998</v>
      </c>
      <c r="AF161" s="6">
        <f ca="1">$M$161*$Z$161</f>
        <v>591554.79389999993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33</v>
      </c>
      <c r="C162" s="4" t="s">
        <v>41</v>
      </c>
      <c r="D162" s="4" t="s">
        <v>40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44531</v>
      </c>
      <c r="J162" s="6">
        <v>616</v>
      </c>
      <c r="K162" s="6">
        <v>616</v>
      </c>
      <c r="L162" s="6">
        <v>145.905</v>
      </c>
      <c r="M162" s="6">
        <v>145.905</v>
      </c>
      <c r="N162" s="6">
        <v>145.905</v>
      </c>
      <c r="O162" s="6">
        <v>145.905</v>
      </c>
      <c r="P162" s="6">
        <v>0</v>
      </c>
      <c r="Q162" s="4" t="s">
        <v>26</v>
      </c>
      <c r="R162" s="4">
        <v>0</v>
      </c>
      <c r="S162" s="6">
        <v>14</v>
      </c>
      <c r="T162" s="6">
        <v>15</v>
      </c>
      <c r="U162" s="6">
        <v>66</v>
      </c>
      <c r="V162" s="6">
        <f>IF(ISERROR(VLOOKUP($S$162,'TAR FIN'!$A$1:$O$103,15,0)),0,VLOOKUP($S$162,'TAR FIN'!$A$1:$O$103,15,0))</f>
        <v>12.42</v>
      </c>
      <c r="W162" s="6">
        <f>IF(ISERROR(VLOOKUP($T$162,'TAR FIN'!$A$1:$O$103,15,0)),0,VLOOKUP($T$162,'TAR FIN'!$A$1:$O$103,15,0))</f>
        <v>69.37</v>
      </c>
      <c r="X162" s="6">
        <f>IF(ISERROR(VLOOKUP($U$162,'TAR FIN'!$A$1:$O$103,15,0)),0,VLOOKUP($U$162,'TAR FIN'!$A$1:$O$103,15,0))</f>
        <v>284.36</v>
      </c>
      <c r="Y162" s="6">
        <f ca="1">('TUSD BE'!$AM$16+'TUSD BF_350'!$AM$16+'TUSD CVA'!$AM$16)*1</f>
        <v>17.579999999999998</v>
      </c>
      <c r="Z162" s="6">
        <f ca="1">('TUSD BE'!$AM$17+'TUSD BF_350'!$AM$17+'TUSD CVA'!$AM$17)*1</f>
        <v>110.85</v>
      </c>
      <c r="AA162" s="6">
        <f ca="1">('TE BE'!$AB$9+'TE BF_350'!$AB$9+'TE CVA'!$AB$9)*1</f>
        <v>247.20000000000002</v>
      </c>
      <c r="AB162" s="6">
        <f>$K$162*$V$162</f>
        <v>7650.72</v>
      </c>
      <c r="AC162" s="6">
        <f>$M$162*$W$162</f>
        <v>10121.42985</v>
      </c>
      <c r="AD162" s="6">
        <f>$O$162*$X$162</f>
        <v>41489.5458</v>
      </c>
      <c r="AE162" s="6">
        <f ca="1">$K$162*$Y$162</f>
        <v>10829.279999999999</v>
      </c>
      <c r="AF162" s="6">
        <f ca="1">$M$162*$Z$162</f>
        <v>16173.569249999999</v>
      </c>
      <c r="AG162" s="6">
        <f ca="1">$O$162*$AA$162</f>
        <v>36067.716</v>
      </c>
    </row>
    <row r="163" spans="1:33" ht="11.25" customHeight="1" x14ac:dyDescent="0.25">
      <c r="A163" s="4" t="s">
        <v>21</v>
      </c>
      <c r="B163" s="4" t="s">
        <v>33</v>
      </c>
      <c r="C163" s="4" t="s">
        <v>41</v>
      </c>
      <c r="D163" s="4" t="s">
        <v>40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44531</v>
      </c>
      <c r="J163" s="6">
        <v>9538</v>
      </c>
      <c r="K163" s="6">
        <v>9538</v>
      </c>
      <c r="L163" s="6">
        <v>5107.6130000000003</v>
      </c>
      <c r="M163" s="6">
        <v>5107.6130000000003</v>
      </c>
      <c r="N163" s="6">
        <v>0</v>
      </c>
      <c r="O163" s="6">
        <v>0</v>
      </c>
      <c r="P163" s="6">
        <v>0</v>
      </c>
      <c r="Q163" s="4" t="s">
        <v>53</v>
      </c>
      <c r="R163" s="4">
        <v>0</v>
      </c>
      <c r="S163" s="6">
        <v>14</v>
      </c>
      <c r="T163" s="6">
        <v>15</v>
      </c>
      <c r="U163" s="6">
        <v>0</v>
      </c>
      <c r="V163" s="6">
        <f>IF(ISERROR(VLOOKUP($S$163,'TAR FIN'!$A$1:$O$103,15,0)),0,VLOOKUP($S$163,'TAR FIN'!$A$1:$O$103,15,0))</f>
        <v>12.42</v>
      </c>
      <c r="W163" s="6">
        <f>IF(ISERROR(VLOOKUP($T$163,'TAR FIN'!$A$1:$O$103,15,0)),0,VLOOKUP($T$163,'TAR FIN'!$A$1:$O$103,15,0))</f>
        <v>69.37</v>
      </c>
      <c r="X163" s="6">
        <f>IF(ISERROR(VLOOKUP($U$163,'TAR FIN'!$A$1:$O$103,15,0)),0,VLOOKUP($U$163,'TAR FIN'!$A$1:$O$103,15,0))</f>
        <v>0</v>
      </c>
      <c r="Y163" s="6">
        <f ca="1">('TUSD BE'!$AM$16+'TUSD BF_350'!$AM$16+'TUSD CVA'!$AM$16)*1</f>
        <v>17.579999999999998</v>
      </c>
      <c r="Z163" s="6">
        <f ca="1">('TUSD BE'!$AM$17+'TUSD BF_350'!$AM$17+'TUSD CVA'!$AM$17)*1</f>
        <v>110.85</v>
      </c>
      <c r="AA163" s="6"/>
      <c r="AB163" s="6">
        <f>$K$163*$V$163</f>
        <v>118461.96</v>
      </c>
      <c r="AC163" s="6">
        <f>$M$163*$W$163</f>
        <v>354315.11381000007</v>
      </c>
      <c r="AD163" s="6">
        <f>$O$163*$X$163</f>
        <v>0</v>
      </c>
      <c r="AE163" s="6">
        <f ca="1">$K$163*$Y$163</f>
        <v>167678.03999999998</v>
      </c>
      <c r="AF163" s="6">
        <f ca="1">$M$163*$Z$163</f>
        <v>566178.90104999999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33</v>
      </c>
      <c r="C164" s="4" t="s">
        <v>41</v>
      </c>
      <c r="D164" s="4" t="s">
        <v>40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44562</v>
      </c>
      <c r="J164" s="6">
        <v>615</v>
      </c>
      <c r="K164" s="6">
        <v>615</v>
      </c>
      <c r="L164" s="6">
        <v>154.41999999999999</v>
      </c>
      <c r="M164" s="6">
        <v>154.41999999999999</v>
      </c>
      <c r="N164" s="6">
        <v>154.41999999999999</v>
      </c>
      <c r="O164" s="6">
        <v>154.41999999999999</v>
      </c>
      <c r="P164" s="6">
        <v>0</v>
      </c>
      <c r="Q164" s="4" t="s">
        <v>26</v>
      </c>
      <c r="R164" s="4">
        <v>0</v>
      </c>
      <c r="S164" s="6">
        <v>14</v>
      </c>
      <c r="T164" s="6">
        <v>15</v>
      </c>
      <c r="U164" s="6">
        <v>66</v>
      </c>
      <c r="V164" s="6">
        <f>IF(ISERROR(VLOOKUP($S$164,'TAR FIN'!$A$1:$O$103,15,0)),0,VLOOKUP($S$164,'TAR FIN'!$A$1:$O$103,15,0))</f>
        <v>12.42</v>
      </c>
      <c r="W164" s="6">
        <f>IF(ISERROR(VLOOKUP($T$164,'TAR FIN'!$A$1:$O$103,15,0)),0,VLOOKUP($T$164,'TAR FIN'!$A$1:$O$103,15,0))</f>
        <v>69.37</v>
      </c>
      <c r="X164" s="6">
        <f>IF(ISERROR(VLOOKUP($U$164,'TAR FIN'!$A$1:$O$103,15,0)),0,VLOOKUP($U$164,'TAR FIN'!$A$1:$O$103,15,0))</f>
        <v>284.36</v>
      </c>
      <c r="Y164" s="6">
        <f ca="1">('TUSD BE'!$AM$16+'TUSD BF_350'!$AM$16+'TUSD CVA'!$AM$16)*1</f>
        <v>17.579999999999998</v>
      </c>
      <c r="Z164" s="6">
        <f ca="1">('TUSD BE'!$AM$17+'TUSD BF_350'!$AM$17+'TUSD CVA'!$AM$17)*1</f>
        <v>110.85</v>
      </c>
      <c r="AA164" s="6">
        <f ca="1">('TE BE'!$AB$9+'TE BF_350'!$AB$9+'TE CVA'!$AB$9)*1</f>
        <v>247.20000000000002</v>
      </c>
      <c r="AB164" s="6">
        <f>$K$164*$V$164</f>
        <v>7638.3</v>
      </c>
      <c r="AC164" s="6">
        <f>$M$164*$W$164</f>
        <v>10712.115400000001</v>
      </c>
      <c r="AD164" s="6">
        <f>$O$164*$X$164</f>
        <v>43910.871200000001</v>
      </c>
      <c r="AE164" s="6">
        <f ca="1">$K$164*$Y$164</f>
        <v>10811.699999999999</v>
      </c>
      <c r="AF164" s="6">
        <f ca="1">$M$164*$Z$164</f>
        <v>17117.456999999999</v>
      </c>
      <c r="AG164" s="6">
        <f ca="1">$O$164*$AA$164</f>
        <v>38172.623999999996</v>
      </c>
    </row>
    <row r="165" spans="1:33" ht="11.25" customHeight="1" x14ac:dyDescent="0.25">
      <c r="A165" s="4" t="s">
        <v>21</v>
      </c>
      <c r="B165" s="4" t="s">
        <v>33</v>
      </c>
      <c r="C165" s="4" t="s">
        <v>41</v>
      </c>
      <c r="D165" s="4" t="s">
        <v>40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44562</v>
      </c>
      <c r="J165" s="6">
        <v>9469</v>
      </c>
      <c r="K165" s="6">
        <v>9469</v>
      </c>
      <c r="L165" s="6">
        <v>5066.165</v>
      </c>
      <c r="M165" s="6">
        <v>5066.165</v>
      </c>
      <c r="N165" s="6">
        <v>0</v>
      </c>
      <c r="O165" s="6">
        <v>0</v>
      </c>
      <c r="P165" s="6">
        <v>0</v>
      </c>
      <c r="Q165" s="4" t="s">
        <v>53</v>
      </c>
      <c r="R165" s="4">
        <v>0</v>
      </c>
      <c r="S165" s="6">
        <v>14</v>
      </c>
      <c r="T165" s="6">
        <v>15</v>
      </c>
      <c r="U165" s="6">
        <v>0</v>
      </c>
      <c r="V165" s="6">
        <f>IF(ISERROR(VLOOKUP($S$165,'TAR FIN'!$A$1:$O$103,15,0)),0,VLOOKUP($S$165,'TAR FIN'!$A$1:$O$103,15,0))</f>
        <v>12.42</v>
      </c>
      <c r="W165" s="6">
        <f>IF(ISERROR(VLOOKUP($T$165,'TAR FIN'!$A$1:$O$103,15,0)),0,VLOOKUP($T$165,'TAR FIN'!$A$1:$O$103,15,0))</f>
        <v>69.37</v>
      </c>
      <c r="X165" s="6">
        <f>IF(ISERROR(VLOOKUP($U$165,'TAR FIN'!$A$1:$O$103,15,0)),0,VLOOKUP($U$165,'TAR FIN'!$A$1:$O$103,15,0))</f>
        <v>0</v>
      </c>
      <c r="Y165" s="6">
        <f ca="1">('TUSD BE'!$AM$16+'TUSD BF_350'!$AM$16+'TUSD CVA'!$AM$16)*1</f>
        <v>17.579999999999998</v>
      </c>
      <c r="Z165" s="6">
        <f ca="1">('TUSD BE'!$AM$17+'TUSD BF_350'!$AM$17+'TUSD CVA'!$AM$17)*1</f>
        <v>110.85</v>
      </c>
      <c r="AA165" s="6"/>
      <c r="AB165" s="6">
        <f>$K$165*$V$165</f>
        <v>117604.98</v>
      </c>
      <c r="AC165" s="6">
        <f>$M$165*$W$165</f>
        <v>351439.86605000001</v>
      </c>
      <c r="AD165" s="6">
        <f>$O$165*$X$165</f>
        <v>0</v>
      </c>
      <c r="AE165" s="6">
        <f ca="1">$K$165*$Y$165</f>
        <v>166465.01999999999</v>
      </c>
      <c r="AF165" s="6">
        <f ca="1">$M$165*$Z$165</f>
        <v>561584.39024999994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33</v>
      </c>
      <c r="C166" s="4" t="s">
        <v>41</v>
      </c>
      <c r="D166" s="4" t="s">
        <v>40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44593</v>
      </c>
      <c r="J166" s="6">
        <v>116</v>
      </c>
      <c r="K166" s="6">
        <v>116</v>
      </c>
      <c r="L166" s="6">
        <v>38.347000000000001</v>
      </c>
      <c r="M166" s="6">
        <v>38.347000000000001</v>
      </c>
      <c r="N166" s="6">
        <v>38.347000000000001</v>
      </c>
      <c r="O166" s="6">
        <v>38.347000000000001</v>
      </c>
      <c r="P166" s="6">
        <v>0</v>
      </c>
      <c r="Q166" s="4" t="s">
        <v>26</v>
      </c>
      <c r="R166" s="4">
        <v>0</v>
      </c>
      <c r="S166" s="6">
        <v>14</v>
      </c>
      <c r="T166" s="6">
        <v>15</v>
      </c>
      <c r="U166" s="6">
        <v>66</v>
      </c>
      <c r="V166" s="6">
        <f>IF(ISERROR(VLOOKUP($S$166,'TAR FIN'!$A$1:$O$103,15,0)),0,VLOOKUP($S$166,'TAR FIN'!$A$1:$O$103,15,0))</f>
        <v>12.42</v>
      </c>
      <c r="W166" s="6">
        <f>IF(ISERROR(VLOOKUP($T$166,'TAR FIN'!$A$1:$O$103,15,0)),0,VLOOKUP($T$166,'TAR FIN'!$A$1:$O$103,15,0))</f>
        <v>69.37</v>
      </c>
      <c r="X166" s="6">
        <f>IF(ISERROR(VLOOKUP($U$166,'TAR FIN'!$A$1:$O$103,15,0)),0,VLOOKUP($U$166,'TAR FIN'!$A$1:$O$103,15,0))</f>
        <v>284.36</v>
      </c>
      <c r="Y166" s="6">
        <f ca="1">('TUSD BE'!$AM$16+'TUSD BF_350'!$AM$16+'TUSD CVA'!$AM$16)*1</f>
        <v>17.579999999999998</v>
      </c>
      <c r="Z166" s="6">
        <f ca="1">('TUSD BE'!$AM$17+'TUSD BF_350'!$AM$17+'TUSD CVA'!$AM$17)*1</f>
        <v>110.85</v>
      </c>
      <c r="AA166" s="6">
        <f ca="1">('TE BE'!$AB$9+'TE BF_350'!$AB$9+'TE CVA'!$AB$9)*1</f>
        <v>247.20000000000002</v>
      </c>
      <c r="AB166" s="6">
        <f>$K$166*$V$166</f>
        <v>1440.72</v>
      </c>
      <c r="AC166" s="6">
        <f>$M$166*$W$166</f>
        <v>2660.1313900000005</v>
      </c>
      <c r="AD166" s="6">
        <f>$O$166*$X$166</f>
        <v>10904.352920000001</v>
      </c>
      <c r="AE166" s="6">
        <f ca="1">$K$166*$Y$166</f>
        <v>2039.2799999999997</v>
      </c>
      <c r="AF166" s="6">
        <f ca="1">$M$166*$Z$166</f>
        <v>4250.7649499999998</v>
      </c>
      <c r="AG166" s="6">
        <f ca="1">$O$166*$AA$166</f>
        <v>9479.3784000000014</v>
      </c>
    </row>
    <row r="167" spans="1:33" ht="11.25" customHeight="1" x14ac:dyDescent="0.25">
      <c r="A167" s="4" t="s">
        <v>21</v>
      </c>
      <c r="B167" s="4" t="s">
        <v>33</v>
      </c>
      <c r="C167" s="4" t="s">
        <v>41</v>
      </c>
      <c r="D167" s="4" t="s">
        <v>40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44593</v>
      </c>
      <c r="J167" s="6">
        <v>9504</v>
      </c>
      <c r="K167" s="6">
        <v>9504</v>
      </c>
      <c r="L167" s="6">
        <v>5285.5519999999997</v>
      </c>
      <c r="M167" s="6">
        <v>5285.5519999999997</v>
      </c>
      <c r="N167" s="6">
        <v>0</v>
      </c>
      <c r="O167" s="6">
        <v>0</v>
      </c>
      <c r="P167" s="6">
        <v>0</v>
      </c>
      <c r="Q167" s="4" t="s">
        <v>53</v>
      </c>
      <c r="R167" s="4">
        <v>0</v>
      </c>
      <c r="S167" s="6">
        <v>14</v>
      </c>
      <c r="T167" s="6">
        <v>15</v>
      </c>
      <c r="U167" s="6">
        <v>0</v>
      </c>
      <c r="V167" s="6">
        <f>IF(ISERROR(VLOOKUP($S$167,'TAR FIN'!$A$1:$O$103,15,0)),0,VLOOKUP($S$167,'TAR FIN'!$A$1:$O$103,15,0))</f>
        <v>12.42</v>
      </c>
      <c r="W167" s="6">
        <f>IF(ISERROR(VLOOKUP($T$167,'TAR FIN'!$A$1:$O$103,15,0)),0,VLOOKUP($T$167,'TAR FIN'!$A$1:$O$103,15,0))</f>
        <v>69.37</v>
      </c>
      <c r="X167" s="6">
        <f>IF(ISERROR(VLOOKUP($U$167,'TAR FIN'!$A$1:$O$103,15,0)),0,VLOOKUP($U$167,'TAR FIN'!$A$1:$O$103,15,0))</f>
        <v>0</v>
      </c>
      <c r="Y167" s="6">
        <f ca="1">('TUSD BE'!$AM$16+'TUSD BF_350'!$AM$16+'TUSD CVA'!$AM$16)*1</f>
        <v>17.579999999999998</v>
      </c>
      <c r="Z167" s="6">
        <f ca="1">('TUSD BE'!$AM$17+'TUSD BF_350'!$AM$17+'TUSD CVA'!$AM$17)*1</f>
        <v>110.85</v>
      </c>
      <c r="AA167" s="6"/>
      <c r="AB167" s="6">
        <f>$K$167*$V$167</f>
        <v>118039.67999999999</v>
      </c>
      <c r="AC167" s="6">
        <f>$M$167*$W$167</f>
        <v>366658.74223999999</v>
      </c>
      <c r="AD167" s="6">
        <f>$O$167*$X$167</f>
        <v>0</v>
      </c>
      <c r="AE167" s="6">
        <f ca="1">$K$167*$Y$167</f>
        <v>167080.31999999998</v>
      </c>
      <c r="AF167" s="6">
        <f ca="1">$M$167*$Z$167</f>
        <v>585903.43919999991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33</v>
      </c>
      <c r="C168" s="4" t="s">
        <v>41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44621</v>
      </c>
      <c r="J168" s="6">
        <v>114</v>
      </c>
      <c r="K168" s="6">
        <v>114</v>
      </c>
      <c r="L168" s="6">
        <v>40.164000000000001</v>
      </c>
      <c r="M168" s="6">
        <v>40.164000000000001</v>
      </c>
      <c r="N168" s="6">
        <v>40.164000000000001</v>
      </c>
      <c r="O168" s="6">
        <v>40.164000000000001</v>
      </c>
      <c r="P168" s="6">
        <v>0</v>
      </c>
      <c r="Q168" s="4" t="s">
        <v>26</v>
      </c>
      <c r="R168" s="4">
        <v>0</v>
      </c>
      <c r="S168" s="6">
        <v>14</v>
      </c>
      <c r="T168" s="6">
        <v>15</v>
      </c>
      <c r="U168" s="6">
        <v>66</v>
      </c>
      <c r="V168" s="6">
        <f>IF(ISERROR(VLOOKUP($S$168,'TAR FIN'!$A$1:$O$103,15,0)),0,VLOOKUP($S$168,'TAR FIN'!$A$1:$O$103,15,0))</f>
        <v>12.42</v>
      </c>
      <c r="W168" s="6">
        <f>IF(ISERROR(VLOOKUP($T$168,'TAR FIN'!$A$1:$O$103,15,0)),0,VLOOKUP($T$168,'TAR FIN'!$A$1:$O$103,15,0))</f>
        <v>69.37</v>
      </c>
      <c r="X168" s="6">
        <f>IF(ISERROR(VLOOKUP($U$168,'TAR FIN'!$A$1:$O$103,15,0)),0,VLOOKUP($U$168,'TAR FIN'!$A$1:$O$103,15,0))</f>
        <v>284.36</v>
      </c>
      <c r="Y168" s="6">
        <f ca="1">('TUSD BE'!$AM$16+'TUSD BF_350'!$AM$16+'TUSD CVA'!$AM$16)*1</f>
        <v>17.579999999999998</v>
      </c>
      <c r="Z168" s="6">
        <f ca="1">('TUSD BE'!$AM$17+'TUSD BF_350'!$AM$17+'TUSD CVA'!$AM$17)*1</f>
        <v>110.85</v>
      </c>
      <c r="AA168" s="6">
        <f ca="1">('TE BE'!$AB$9+'TE BF_350'!$AB$9+'TE CVA'!$AB$9)*1</f>
        <v>247.20000000000002</v>
      </c>
      <c r="AB168" s="6">
        <f>$K$168*$V$168</f>
        <v>1415.8799999999999</v>
      </c>
      <c r="AC168" s="6">
        <f>$M$168*$W$168</f>
        <v>2786.1766800000005</v>
      </c>
      <c r="AD168" s="6">
        <f>$O$168*$X$168</f>
        <v>11421.035040000001</v>
      </c>
      <c r="AE168" s="6">
        <f ca="1">$K$168*$Y$168</f>
        <v>2004.12</v>
      </c>
      <c r="AF168" s="6">
        <f ca="1">$M$168*$Z$168</f>
        <v>4452.1794</v>
      </c>
      <c r="AG168" s="6">
        <f ca="1">$O$168*$AA$168</f>
        <v>9928.5408000000007</v>
      </c>
    </row>
    <row r="169" spans="1:33" ht="11.25" customHeight="1" x14ac:dyDescent="0.25">
      <c r="A169" s="4" t="s">
        <v>21</v>
      </c>
      <c r="B169" s="4" t="s">
        <v>33</v>
      </c>
      <c r="C169" s="4" t="s">
        <v>41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44621</v>
      </c>
      <c r="J169" s="6">
        <v>9469</v>
      </c>
      <c r="K169" s="6">
        <v>9469</v>
      </c>
      <c r="L169" s="6">
        <v>4649.5370000000003</v>
      </c>
      <c r="M169" s="6">
        <v>4649.5370000000003</v>
      </c>
      <c r="N169" s="6">
        <v>0</v>
      </c>
      <c r="O169" s="6">
        <v>0</v>
      </c>
      <c r="P169" s="6">
        <v>0</v>
      </c>
      <c r="Q169" s="4" t="s">
        <v>53</v>
      </c>
      <c r="R169" s="4">
        <v>0</v>
      </c>
      <c r="S169" s="6">
        <v>14</v>
      </c>
      <c r="T169" s="6">
        <v>15</v>
      </c>
      <c r="U169" s="6">
        <v>0</v>
      </c>
      <c r="V169" s="6">
        <f>IF(ISERROR(VLOOKUP($S$169,'TAR FIN'!$A$1:$O$103,15,0)),0,VLOOKUP($S$169,'TAR FIN'!$A$1:$O$103,15,0))</f>
        <v>12.42</v>
      </c>
      <c r="W169" s="6">
        <f>IF(ISERROR(VLOOKUP($T$169,'TAR FIN'!$A$1:$O$103,15,0)),0,VLOOKUP($T$169,'TAR FIN'!$A$1:$O$103,15,0))</f>
        <v>69.37</v>
      </c>
      <c r="X169" s="6">
        <f>IF(ISERROR(VLOOKUP($U$169,'TAR FIN'!$A$1:$O$103,15,0)),0,VLOOKUP($U$169,'TAR FIN'!$A$1:$O$103,15,0))</f>
        <v>0</v>
      </c>
      <c r="Y169" s="6">
        <f ca="1">('TUSD BE'!$AM$16+'TUSD BF_350'!$AM$16+'TUSD CVA'!$AM$16)*1</f>
        <v>17.579999999999998</v>
      </c>
      <c r="Z169" s="6">
        <f ca="1">('TUSD BE'!$AM$17+'TUSD BF_350'!$AM$17+'TUSD CVA'!$AM$17)*1</f>
        <v>110.85</v>
      </c>
      <c r="AA169" s="6"/>
      <c r="AB169" s="6">
        <f>$K$169*$V$169</f>
        <v>117604.98</v>
      </c>
      <c r="AC169" s="6">
        <f>$M$169*$W$169</f>
        <v>322538.38169000007</v>
      </c>
      <c r="AD169" s="6">
        <f>$O$169*$X$169</f>
        <v>0</v>
      </c>
      <c r="AE169" s="6">
        <f ca="1">$K$169*$Y$169</f>
        <v>166465.01999999999</v>
      </c>
      <c r="AF169" s="6">
        <f ca="1">$M$169*$Z$169</f>
        <v>515401.17645000003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33</v>
      </c>
      <c r="C170" s="4" t="s">
        <v>41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44652</v>
      </c>
      <c r="J170" s="6">
        <v>107</v>
      </c>
      <c r="K170" s="6">
        <v>107</v>
      </c>
      <c r="L170" s="6">
        <v>37.094999999999999</v>
      </c>
      <c r="M170" s="6">
        <v>37.094999999999999</v>
      </c>
      <c r="N170" s="6">
        <v>37.094999999999999</v>
      </c>
      <c r="O170" s="6">
        <v>37.094999999999999</v>
      </c>
      <c r="P170" s="6">
        <v>0</v>
      </c>
      <c r="Q170" s="4" t="s">
        <v>26</v>
      </c>
      <c r="R170" s="4">
        <v>0</v>
      </c>
      <c r="S170" s="6">
        <v>14</v>
      </c>
      <c r="T170" s="6">
        <v>15</v>
      </c>
      <c r="U170" s="6">
        <v>66</v>
      </c>
      <c r="V170" s="6">
        <f>IF(ISERROR(VLOOKUP($S$170,'TAR FIN'!$A$1:$O$103,15,0)),0,VLOOKUP($S$170,'TAR FIN'!$A$1:$O$103,15,0))</f>
        <v>12.42</v>
      </c>
      <c r="W170" s="6">
        <f>IF(ISERROR(VLOOKUP($T$170,'TAR FIN'!$A$1:$O$103,15,0)),0,VLOOKUP($T$170,'TAR FIN'!$A$1:$O$103,15,0))</f>
        <v>69.37</v>
      </c>
      <c r="X170" s="6">
        <f>IF(ISERROR(VLOOKUP($U$170,'TAR FIN'!$A$1:$O$103,15,0)),0,VLOOKUP($U$170,'TAR FIN'!$A$1:$O$103,15,0))</f>
        <v>284.36</v>
      </c>
      <c r="Y170" s="6">
        <f ca="1">('TUSD BE'!$AM$16+'TUSD BF_350'!$AM$16+'TUSD CVA'!$AM$16)*1</f>
        <v>17.579999999999998</v>
      </c>
      <c r="Z170" s="6">
        <f ca="1">('TUSD BE'!$AM$17+'TUSD BF_350'!$AM$17+'TUSD CVA'!$AM$17)*1</f>
        <v>110.85</v>
      </c>
      <c r="AA170" s="6">
        <f ca="1">('TE BE'!$AB$9+'TE BF_350'!$AB$9+'TE CVA'!$AB$9)*1</f>
        <v>247.20000000000002</v>
      </c>
      <c r="AB170" s="6">
        <f>$K$170*$V$170</f>
        <v>1328.94</v>
      </c>
      <c r="AC170" s="6">
        <f>$M$170*$W$170</f>
        <v>2573.28015</v>
      </c>
      <c r="AD170" s="6">
        <f>$O$170*$X$170</f>
        <v>10548.334199999999</v>
      </c>
      <c r="AE170" s="6">
        <f ca="1">$K$170*$Y$170</f>
        <v>1881.0599999999997</v>
      </c>
      <c r="AF170" s="6">
        <f ca="1">$M$170*$Z$170</f>
        <v>4111.9807499999997</v>
      </c>
      <c r="AG170" s="6">
        <f ca="1">$O$170*$AA$170</f>
        <v>9169.884</v>
      </c>
    </row>
    <row r="171" spans="1:33" ht="11.25" customHeight="1" x14ac:dyDescent="0.25">
      <c r="A171" s="4" t="s">
        <v>21</v>
      </c>
      <c r="B171" s="4" t="s">
        <v>33</v>
      </c>
      <c r="C171" s="4" t="s">
        <v>41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44652</v>
      </c>
      <c r="J171" s="6">
        <v>9780</v>
      </c>
      <c r="K171" s="6">
        <v>9780</v>
      </c>
      <c r="L171" s="6">
        <v>5263.1970000000001</v>
      </c>
      <c r="M171" s="6">
        <v>5263.1970000000001</v>
      </c>
      <c r="N171" s="6">
        <v>0</v>
      </c>
      <c r="O171" s="6">
        <v>0</v>
      </c>
      <c r="P171" s="6">
        <v>0</v>
      </c>
      <c r="Q171" s="4" t="s">
        <v>53</v>
      </c>
      <c r="R171" s="4">
        <v>0</v>
      </c>
      <c r="S171" s="6">
        <v>14</v>
      </c>
      <c r="T171" s="6">
        <v>15</v>
      </c>
      <c r="U171" s="6">
        <v>0</v>
      </c>
      <c r="V171" s="6">
        <f>IF(ISERROR(VLOOKUP($S$171,'TAR FIN'!$A$1:$O$103,15,0)),0,VLOOKUP($S$171,'TAR FIN'!$A$1:$O$103,15,0))</f>
        <v>12.42</v>
      </c>
      <c r="W171" s="6">
        <f>IF(ISERROR(VLOOKUP($T$171,'TAR FIN'!$A$1:$O$103,15,0)),0,VLOOKUP($T$171,'TAR FIN'!$A$1:$O$103,15,0))</f>
        <v>69.37</v>
      </c>
      <c r="X171" s="6">
        <f>IF(ISERROR(VLOOKUP($U$171,'TAR FIN'!$A$1:$O$103,15,0)),0,VLOOKUP($U$171,'TAR FIN'!$A$1:$O$103,15,0))</f>
        <v>0</v>
      </c>
      <c r="Y171" s="6">
        <f ca="1">('TUSD BE'!$AM$16+'TUSD BF_350'!$AM$16+'TUSD CVA'!$AM$16)*1</f>
        <v>17.579999999999998</v>
      </c>
      <c r="Z171" s="6">
        <f ca="1">('TUSD BE'!$AM$17+'TUSD BF_350'!$AM$17+'TUSD CVA'!$AM$17)*1</f>
        <v>110.85</v>
      </c>
      <c r="AA171" s="6"/>
      <c r="AB171" s="6">
        <f>$K$171*$V$171</f>
        <v>121467.6</v>
      </c>
      <c r="AC171" s="6">
        <f>$M$171*$W$171</f>
        <v>365107.97589000006</v>
      </c>
      <c r="AD171" s="6">
        <f>$O$171*$X$171</f>
        <v>0</v>
      </c>
      <c r="AE171" s="6">
        <f ca="1">$K$171*$Y$171</f>
        <v>171932.4</v>
      </c>
      <c r="AF171" s="6">
        <f ca="1">$M$171*$Z$171</f>
        <v>583425.38745000004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33</v>
      </c>
      <c r="C172" s="4" t="s">
        <v>41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35</v>
      </c>
      <c r="I172" s="5">
        <v>44682</v>
      </c>
      <c r="J172" s="6">
        <v>107</v>
      </c>
      <c r="K172" s="6">
        <v>107</v>
      </c>
      <c r="L172" s="6">
        <v>37.933</v>
      </c>
      <c r="M172" s="6">
        <v>37.933</v>
      </c>
      <c r="N172" s="6">
        <v>37.933</v>
      </c>
      <c r="O172" s="6">
        <v>37.933</v>
      </c>
      <c r="P172" s="6">
        <v>0</v>
      </c>
      <c r="Q172" s="4" t="s">
        <v>26</v>
      </c>
      <c r="R172" s="4">
        <v>0</v>
      </c>
      <c r="S172" s="6">
        <v>14</v>
      </c>
      <c r="T172" s="6">
        <v>15</v>
      </c>
      <c r="U172" s="6">
        <v>66</v>
      </c>
      <c r="V172" s="6">
        <f>IF(ISERROR(VLOOKUP($S$172,'TAR FIN'!$A$1:$O$103,15,0)),0,VLOOKUP($S$172,'TAR FIN'!$A$1:$O$103,15,0))</f>
        <v>12.42</v>
      </c>
      <c r="W172" s="6">
        <f>IF(ISERROR(VLOOKUP($T$172,'TAR FIN'!$A$1:$O$103,15,0)),0,VLOOKUP($T$172,'TAR FIN'!$A$1:$O$103,15,0))</f>
        <v>69.37</v>
      </c>
      <c r="X172" s="6">
        <f>IF(ISERROR(VLOOKUP($U$172,'TAR FIN'!$A$1:$O$103,15,0)),0,VLOOKUP($U$172,'TAR FIN'!$A$1:$O$103,15,0))</f>
        <v>284.36</v>
      </c>
      <c r="Y172" s="6">
        <f ca="1">('TUSD BE'!$AM$16+'TUSD BF_350'!$AM$16+'TUSD CVA'!$AM$16)*1</f>
        <v>17.579999999999998</v>
      </c>
      <c r="Z172" s="6">
        <f ca="1">('TUSD BE'!$AM$17+'TUSD BF_350'!$AM$17+'TUSD CVA'!$AM$17)*1</f>
        <v>110.85</v>
      </c>
      <c r="AA172" s="6">
        <f ca="1">('TE BE'!$AB$9+'TE BF_350'!$AB$9+'TE CVA'!$AB$9)*1</f>
        <v>247.20000000000002</v>
      </c>
      <c r="AB172" s="6">
        <f>$K$172*$V$172</f>
        <v>1328.94</v>
      </c>
      <c r="AC172" s="6">
        <f>$M$172*$W$172</f>
        <v>2631.41221</v>
      </c>
      <c r="AD172" s="6">
        <f>$O$172*$X$172</f>
        <v>10786.62788</v>
      </c>
      <c r="AE172" s="6">
        <f ca="1">$K$172*$Y$172</f>
        <v>1881.0599999999997</v>
      </c>
      <c r="AF172" s="6">
        <f ca="1">$M$172*$Z$172</f>
        <v>4204.8730500000001</v>
      </c>
      <c r="AG172" s="6">
        <f ca="1">$O$172*$AA$172</f>
        <v>9377.0376000000015</v>
      </c>
    </row>
    <row r="173" spans="1:33" ht="11.25" customHeight="1" x14ac:dyDescent="0.25">
      <c r="A173" s="4" t="s">
        <v>21</v>
      </c>
      <c r="B173" s="4" t="s">
        <v>33</v>
      </c>
      <c r="C173" s="4" t="s">
        <v>41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35</v>
      </c>
      <c r="I173" s="5">
        <v>44682</v>
      </c>
      <c r="J173" s="6">
        <v>9400</v>
      </c>
      <c r="K173" s="6">
        <v>9400</v>
      </c>
      <c r="L173" s="6">
        <v>4687.8620000000001</v>
      </c>
      <c r="M173" s="6">
        <v>4687.8620000000001</v>
      </c>
      <c r="N173" s="6">
        <v>0</v>
      </c>
      <c r="O173" s="6">
        <v>0</v>
      </c>
      <c r="P173" s="6">
        <v>0</v>
      </c>
      <c r="Q173" s="4" t="s">
        <v>53</v>
      </c>
      <c r="R173" s="4">
        <v>0</v>
      </c>
      <c r="S173" s="6">
        <v>14</v>
      </c>
      <c r="T173" s="6">
        <v>15</v>
      </c>
      <c r="U173" s="6">
        <v>0</v>
      </c>
      <c r="V173" s="6">
        <f>IF(ISERROR(VLOOKUP($S$173,'TAR FIN'!$A$1:$O$103,15,0)),0,VLOOKUP($S$173,'TAR FIN'!$A$1:$O$103,15,0))</f>
        <v>12.42</v>
      </c>
      <c r="W173" s="6">
        <f>IF(ISERROR(VLOOKUP($T$173,'TAR FIN'!$A$1:$O$103,15,0)),0,VLOOKUP($T$173,'TAR FIN'!$A$1:$O$103,15,0))</f>
        <v>69.37</v>
      </c>
      <c r="X173" s="6">
        <f>IF(ISERROR(VLOOKUP($U$173,'TAR FIN'!$A$1:$O$103,15,0)),0,VLOOKUP($U$173,'TAR FIN'!$A$1:$O$103,15,0))</f>
        <v>0</v>
      </c>
      <c r="Y173" s="6">
        <f ca="1">('TUSD BE'!$AM$16+'TUSD BF_350'!$AM$16+'TUSD CVA'!$AM$16)*1</f>
        <v>17.579999999999998</v>
      </c>
      <c r="Z173" s="6">
        <f ca="1">('TUSD BE'!$AM$17+'TUSD BF_350'!$AM$17+'TUSD CVA'!$AM$17)*1</f>
        <v>110.85</v>
      </c>
      <c r="AA173" s="6"/>
      <c r="AB173" s="6">
        <f>$K$173*$V$173</f>
        <v>116748</v>
      </c>
      <c r="AC173" s="6">
        <f>$M$173*$W$173</f>
        <v>325196.98694000003</v>
      </c>
      <c r="AD173" s="6">
        <f>$O$173*$X$173</f>
        <v>0</v>
      </c>
      <c r="AE173" s="6">
        <f ca="1">$K$173*$Y$173</f>
        <v>165251.99999999997</v>
      </c>
      <c r="AF173" s="6">
        <f ca="1">$M$173*$Z$173</f>
        <v>519649.50269999995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33</v>
      </c>
      <c r="C174" s="4" t="s">
        <v>41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44348</v>
      </c>
      <c r="J174" s="6">
        <v>479</v>
      </c>
      <c r="K174" s="6">
        <v>479</v>
      </c>
      <c r="L174" s="6">
        <v>21.751000000000001</v>
      </c>
      <c r="M174" s="6">
        <v>21.751000000000001</v>
      </c>
      <c r="N174" s="6">
        <v>21.751000000000001</v>
      </c>
      <c r="O174" s="6">
        <v>21.751000000000001</v>
      </c>
      <c r="P174" s="6">
        <v>0</v>
      </c>
      <c r="Q174" s="4" t="s">
        <v>26</v>
      </c>
      <c r="R174" s="4">
        <v>0</v>
      </c>
      <c r="S174" s="6">
        <v>13</v>
      </c>
      <c r="T174" s="6">
        <v>15</v>
      </c>
      <c r="U174" s="6">
        <v>65</v>
      </c>
      <c r="V174" s="6">
        <f>IF(ISERROR(VLOOKUP($S$174,'TAR FIN'!$A$1:$O$103,15,0)),0,VLOOKUP($S$174,'TAR FIN'!$A$1:$O$103,15,0))</f>
        <v>31.72</v>
      </c>
      <c r="W174" s="6">
        <f>IF(ISERROR(VLOOKUP($T$174,'TAR FIN'!$A$1:$O$103,15,0)),0,VLOOKUP($T$174,'TAR FIN'!$A$1:$O$103,15,0))</f>
        <v>69.37</v>
      </c>
      <c r="X174" s="6">
        <f>IF(ISERROR(VLOOKUP($U$174,'TAR FIN'!$A$1:$O$103,15,0)),0,VLOOKUP($U$174,'TAR FIN'!$A$1:$O$103,15,0))</f>
        <v>454.9</v>
      </c>
      <c r="Y174" s="6">
        <f ca="1">('TUSD BE'!$AM$15+'TUSD BF_350'!$AM$15+'TUSD CVA'!$AM$15)*1</f>
        <v>37.770000000000003</v>
      </c>
      <c r="Z174" s="6">
        <f ca="1">('TUSD BE'!$AM$17+'TUSD BF_350'!$AM$17+'TUSD CVA'!$AM$17)*1</f>
        <v>110.85</v>
      </c>
      <c r="AA174" s="6">
        <f ca="1">('TE BE'!$AB$8+'TE BF_350'!$AB$8+'TE CVA'!$AB$8)*1</f>
        <v>388.08000000000004</v>
      </c>
      <c r="AB174" s="6">
        <f>$K$174*$V$174</f>
        <v>15193.88</v>
      </c>
      <c r="AC174" s="6">
        <f>$M$174*$W$174</f>
        <v>1508.8668700000003</v>
      </c>
      <c r="AD174" s="6">
        <f>$O$174*$X$174</f>
        <v>9894.5298999999995</v>
      </c>
      <c r="AE174" s="6">
        <f ca="1">$K$174*$Y$174</f>
        <v>18091.830000000002</v>
      </c>
      <c r="AF174" s="6">
        <f ca="1">$M$174*$Z$174</f>
        <v>2411.0983500000002</v>
      </c>
      <c r="AG174" s="6">
        <f ca="1">$O$174*$AA$174</f>
        <v>8441.1280800000022</v>
      </c>
    </row>
    <row r="175" spans="1:33" ht="11.25" customHeight="1" x14ac:dyDescent="0.25">
      <c r="A175" s="4" t="s">
        <v>21</v>
      </c>
      <c r="B175" s="4" t="s">
        <v>33</v>
      </c>
      <c r="C175" s="4" t="s">
        <v>41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44348</v>
      </c>
      <c r="J175" s="6">
        <v>8591</v>
      </c>
      <c r="K175" s="6">
        <v>8591</v>
      </c>
      <c r="L175" s="6">
        <v>477</v>
      </c>
      <c r="M175" s="6">
        <v>477</v>
      </c>
      <c r="N175" s="6">
        <v>0</v>
      </c>
      <c r="O175" s="6">
        <v>0</v>
      </c>
      <c r="P175" s="6">
        <v>0</v>
      </c>
      <c r="Q175" s="4" t="s">
        <v>53</v>
      </c>
      <c r="R175" s="4">
        <v>0</v>
      </c>
      <c r="S175" s="6">
        <v>13</v>
      </c>
      <c r="T175" s="6">
        <v>15</v>
      </c>
      <c r="U175" s="6">
        <v>0</v>
      </c>
      <c r="V175" s="6">
        <f>IF(ISERROR(VLOOKUP($S$175,'TAR FIN'!$A$1:$O$103,15,0)),0,VLOOKUP($S$175,'TAR FIN'!$A$1:$O$103,15,0))</f>
        <v>31.72</v>
      </c>
      <c r="W175" s="6">
        <f>IF(ISERROR(VLOOKUP($T$175,'TAR FIN'!$A$1:$O$103,15,0)),0,VLOOKUP($T$175,'TAR FIN'!$A$1:$O$103,15,0))</f>
        <v>69.37</v>
      </c>
      <c r="X175" s="6">
        <f>IF(ISERROR(VLOOKUP($U$175,'TAR FIN'!$A$1:$O$103,15,0)),0,VLOOKUP($U$175,'TAR FIN'!$A$1:$O$103,15,0))</f>
        <v>0</v>
      </c>
      <c r="Y175" s="6">
        <f ca="1">('TUSD BE'!$AM$15+'TUSD BF_350'!$AM$15+'TUSD CVA'!$AM$15)*1</f>
        <v>37.770000000000003</v>
      </c>
      <c r="Z175" s="6">
        <f ca="1">('TUSD BE'!$AM$17+'TUSD BF_350'!$AM$17+'TUSD CVA'!$AM$17)*1</f>
        <v>110.85</v>
      </c>
      <c r="AA175" s="6"/>
      <c r="AB175" s="6">
        <f>$K$175*$V$175</f>
        <v>272506.52</v>
      </c>
      <c r="AC175" s="6">
        <f>$M$175*$W$175</f>
        <v>33089.490000000005</v>
      </c>
      <c r="AD175" s="6">
        <f>$O$175*$X$175</f>
        <v>0</v>
      </c>
      <c r="AE175" s="6">
        <f ca="1">$K$175*$Y$175</f>
        <v>324482.07</v>
      </c>
      <c r="AF175" s="6">
        <f ca="1">$M$175*$Z$175</f>
        <v>52875.45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33</v>
      </c>
      <c r="C176" s="4" t="s">
        <v>41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44378</v>
      </c>
      <c r="J176" s="6">
        <v>476</v>
      </c>
      <c r="K176" s="6">
        <v>476</v>
      </c>
      <c r="L176" s="6">
        <v>22.577999999999999</v>
      </c>
      <c r="M176" s="6">
        <v>22.577999999999999</v>
      </c>
      <c r="N176" s="6">
        <v>22.577999999999999</v>
      </c>
      <c r="O176" s="6">
        <v>22.577999999999999</v>
      </c>
      <c r="P176" s="6">
        <v>0</v>
      </c>
      <c r="Q176" s="4" t="s">
        <v>26</v>
      </c>
      <c r="R176" s="4">
        <v>0</v>
      </c>
      <c r="S176" s="6">
        <v>13</v>
      </c>
      <c r="T176" s="6">
        <v>15</v>
      </c>
      <c r="U176" s="6">
        <v>65</v>
      </c>
      <c r="V176" s="6">
        <f>IF(ISERROR(VLOOKUP($S$176,'TAR FIN'!$A$1:$O$103,15,0)),0,VLOOKUP($S$176,'TAR FIN'!$A$1:$O$103,15,0))</f>
        <v>31.72</v>
      </c>
      <c r="W176" s="6">
        <f>IF(ISERROR(VLOOKUP($T$176,'TAR FIN'!$A$1:$O$103,15,0)),0,VLOOKUP($T$176,'TAR FIN'!$A$1:$O$103,15,0))</f>
        <v>69.37</v>
      </c>
      <c r="X176" s="6">
        <f>IF(ISERROR(VLOOKUP($U$176,'TAR FIN'!$A$1:$O$103,15,0)),0,VLOOKUP($U$176,'TAR FIN'!$A$1:$O$103,15,0))</f>
        <v>454.9</v>
      </c>
      <c r="Y176" s="6">
        <f ca="1">('TUSD BE'!$AM$15+'TUSD BF_350'!$AM$15+'TUSD CVA'!$AM$15)*1</f>
        <v>37.770000000000003</v>
      </c>
      <c r="Z176" s="6">
        <f ca="1">('TUSD BE'!$AM$17+'TUSD BF_350'!$AM$17+'TUSD CVA'!$AM$17)*1</f>
        <v>110.85</v>
      </c>
      <c r="AA176" s="6">
        <f ca="1">('TE BE'!$AB$8+'TE BF_350'!$AB$8+'TE CVA'!$AB$8)*1</f>
        <v>388.08000000000004</v>
      </c>
      <c r="AB176" s="6">
        <f>$K$176*$V$176</f>
        <v>15098.72</v>
      </c>
      <c r="AC176" s="6">
        <f>$M$176*$W$176</f>
        <v>1566.23586</v>
      </c>
      <c r="AD176" s="6">
        <f>$O$176*$X$176</f>
        <v>10270.732199999999</v>
      </c>
      <c r="AE176" s="6">
        <f ca="1">$K$176*$Y$176</f>
        <v>17978.52</v>
      </c>
      <c r="AF176" s="6">
        <f ca="1">$M$176*$Z$176</f>
        <v>2502.7712999999999</v>
      </c>
      <c r="AG176" s="6">
        <f ca="1">$O$176*$AA$176</f>
        <v>8762.0702400000009</v>
      </c>
    </row>
    <row r="177" spans="1:33" ht="11.25" customHeight="1" x14ac:dyDescent="0.25">
      <c r="A177" s="4" t="s">
        <v>21</v>
      </c>
      <c r="B177" s="4" t="s">
        <v>33</v>
      </c>
      <c r="C177" s="4" t="s">
        <v>41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44378</v>
      </c>
      <c r="J177" s="6">
        <v>8594</v>
      </c>
      <c r="K177" s="6">
        <v>8594</v>
      </c>
      <c r="L177" s="6">
        <v>506.93200000000002</v>
      </c>
      <c r="M177" s="6">
        <v>506.93200000000002</v>
      </c>
      <c r="N177" s="6">
        <v>0</v>
      </c>
      <c r="O177" s="6">
        <v>0</v>
      </c>
      <c r="P177" s="6">
        <v>0</v>
      </c>
      <c r="Q177" s="4" t="s">
        <v>53</v>
      </c>
      <c r="R177" s="4">
        <v>0</v>
      </c>
      <c r="S177" s="6">
        <v>13</v>
      </c>
      <c r="T177" s="6">
        <v>15</v>
      </c>
      <c r="U177" s="6">
        <v>0</v>
      </c>
      <c r="V177" s="6">
        <f>IF(ISERROR(VLOOKUP($S$177,'TAR FIN'!$A$1:$O$103,15,0)),0,VLOOKUP($S$177,'TAR FIN'!$A$1:$O$103,15,0))</f>
        <v>31.72</v>
      </c>
      <c r="W177" s="6">
        <f>IF(ISERROR(VLOOKUP($T$177,'TAR FIN'!$A$1:$O$103,15,0)),0,VLOOKUP($T$177,'TAR FIN'!$A$1:$O$103,15,0))</f>
        <v>69.37</v>
      </c>
      <c r="X177" s="6">
        <f>IF(ISERROR(VLOOKUP($U$177,'TAR FIN'!$A$1:$O$103,15,0)),0,VLOOKUP($U$177,'TAR FIN'!$A$1:$O$103,15,0))</f>
        <v>0</v>
      </c>
      <c r="Y177" s="6">
        <f ca="1">('TUSD BE'!$AM$15+'TUSD BF_350'!$AM$15+'TUSD CVA'!$AM$15)*1</f>
        <v>37.770000000000003</v>
      </c>
      <c r="Z177" s="6">
        <f ca="1">('TUSD BE'!$AM$17+'TUSD BF_350'!$AM$17+'TUSD CVA'!$AM$17)*1</f>
        <v>110.85</v>
      </c>
      <c r="AA177" s="6"/>
      <c r="AB177" s="6">
        <f>$K$177*$V$177</f>
        <v>272601.68</v>
      </c>
      <c r="AC177" s="6">
        <f>$M$177*$W$177</f>
        <v>35165.872840000004</v>
      </c>
      <c r="AD177" s="6">
        <f>$O$177*$X$177</f>
        <v>0</v>
      </c>
      <c r="AE177" s="6">
        <f ca="1">$K$177*$Y$177</f>
        <v>324595.38</v>
      </c>
      <c r="AF177" s="6">
        <f ca="1">$M$177*$Z$177</f>
        <v>56193.412199999999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33</v>
      </c>
      <c r="C178" s="4" t="s">
        <v>41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44409</v>
      </c>
      <c r="J178" s="6">
        <v>481</v>
      </c>
      <c r="K178" s="6">
        <v>481</v>
      </c>
      <c r="L178" s="6">
        <v>21.027000000000001</v>
      </c>
      <c r="M178" s="6">
        <v>21.027000000000001</v>
      </c>
      <c r="N178" s="6">
        <v>21.027000000000001</v>
      </c>
      <c r="O178" s="6">
        <v>21.027000000000001</v>
      </c>
      <c r="P178" s="6">
        <v>0</v>
      </c>
      <c r="Q178" s="4" t="s">
        <v>26</v>
      </c>
      <c r="R178" s="4">
        <v>0</v>
      </c>
      <c r="S178" s="6">
        <v>13</v>
      </c>
      <c r="T178" s="6">
        <v>15</v>
      </c>
      <c r="U178" s="6">
        <v>65</v>
      </c>
      <c r="V178" s="6">
        <f>IF(ISERROR(VLOOKUP($S$178,'TAR FIN'!$A$1:$O$103,15,0)),0,VLOOKUP($S$178,'TAR FIN'!$A$1:$O$103,15,0))</f>
        <v>31.72</v>
      </c>
      <c r="W178" s="6">
        <f>IF(ISERROR(VLOOKUP($T$178,'TAR FIN'!$A$1:$O$103,15,0)),0,VLOOKUP($T$178,'TAR FIN'!$A$1:$O$103,15,0))</f>
        <v>69.37</v>
      </c>
      <c r="X178" s="6">
        <f>IF(ISERROR(VLOOKUP($U$178,'TAR FIN'!$A$1:$O$103,15,0)),0,VLOOKUP($U$178,'TAR FIN'!$A$1:$O$103,15,0))</f>
        <v>454.9</v>
      </c>
      <c r="Y178" s="6">
        <f ca="1">('TUSD BE'!$AM$15+'TUSD BF_350'!$AM$15+'TUSD CVA'!$AM$15)*1</f>
        <v>37.770000000000003</v>
      </c>
      <c r="Z178" s="6">
        <f ca="1">('TUSD BE'!$AM$17+'TUSD BF_350'!$AM$17+'TUSD CVA'!$AM$17)*1</f>
        <v>110.85</v>
      </c>
      <c r="AA178" s="6">
        <f ca="1">('TE BE'!$AB$8+'TE BF_350'!$AB$8+'TE CVA'!$AB$8)*1</f>
        <v>388.08000000000004</v>
      </c>
      <c r="AB178" s="6">
        <f>$K$178*$V$178</f>
        <v>15257.32</v>
      </c>
      <c r="AC178" s="6">
        <f>$M$178*$W$178</f>
        <v>1458.6429900000001</v>
      </c>
      <c r="AD178" s="6">
        <f>$O$178*$X$178</f>
        <v>9565.1823000000004</v>
      </c>
      <c r="AE178" s="6">
        <f ca="1">$K$178*$Y$178</f>
        <v>18167.370000000003</v>
      </c>
      <c r="AF178" s="6">
        <f ca="1">$M$178*$Z$178</f>
        <v>2330.8429500000002</v>
      </c>
      <c r="AG178" s="6">
        <f ca="1">$O$178*$AA$178</f>
        <v>8160.1581600000009</v>
      </c>
    </row>
    <row r="179" spans="1:33" ht="11.25" customHeight="1" x14ac:dyDescent="0.25">
      <c r="A179" s="4" t="s">
        <v>21</v>
      </c>
      <c r="B179" s="4" t="s">
        <v>33</v>
      </c>
      <c r="C179" s="4" t="s">
        <v>41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44409</v>
      </c>
      <c r="J179" s="6">
        <v>8660</v>
      </c>
      <c r="K179" s="6">
        <v>8660</v>
      </c>
      <c r="L179" s="6">
        <v>489.07400000000001</v>
      </c>
      <c r="M179" s="6">
        <v>489.07400000000001</v>
      </c>
      <c r="N179" s="6">
        <v>0</v>
      </c>
      <c r="O179" s="6">
        <v>0</v>
      </c>
      <c r="P179" s="6">
        <v>0</v>
      </c>
      <c r="Q179" s="4" t="s">
        <v>53</v>
      </c>
      <c r="R179" s="4">
        <v>0</v>
      </c>
      <c r="S179" s="6">
        <v>13</v>
      </c>
      <c r="T179" s="6">
        <v>15</v>
      </c>
      <c r="U179" s="6">
        <v>0</v>
      </c>
      <c r="V179" s="6">
        <f>IF(ISERROR(VLOOKUP($S$179,'TAR FIN'!$A$1:$O$103,15,0)),0,VLOOKUP($S$179,'TAR FIN'!$A$1:$O$103,15,0))</f>
        <v>31.72</v>
      </c>
      <c r="W179" s="6">
        <f>IF(ISERROR(VLOOKUP($T$179,'TAR FIN'!$A$1:$O$103,15,0)),0,VLOOKUP($T$179,'TAR FIN'!$A$1:$O$103,15,0))</f>
        <v>69.37</v>
      </c>
      <c r="X179" s="6">
        <f>IF(ISERROR(VLOOKUP($U$179,'TAR FIN'!$A$1:$O$103,15,0)),0,VLOOKUP($U$179,'TAR FIN'!$A$1:$O$103,15,0))</f>
        <v>0</v>
      </c>
      <c r="Y179" s="6">
        <f ca="1">('TUSD BE'!$AM$15+'TUSD BF_350'!$AM$15+'TUSD CVA'!$AM$15)*1</f>
        <v>37.770000000000003</v>
      </c>
      <c r="Z179" s="6">
        <f ca="1">('TUSD BE'!$AM$17+'TUSD BF_350'!$AM$17+'TUSD CVA'!$AM$17)*1</f>
        <v>110.85</v>
      </c>
      <c r="AA179" s="6"/>
      <c r="AB179" s="6">
        <f>$K$179*$V$179</f>
        <v>274695.2</v>
      </c>
      <c r="AC179" s="6">
        <f>$M$179*$W$179</f>
        <v>33927.06338</v>
      </c>
      <c r="AD179" s="6">
        <f>$O$179*$X$179</f>
        <v>0</v>
      </c>
      <c r="AE179" s="6">
        <f ca="1">$K$179*$Y$179</f>
        <v>327088.2</v>
      </c>
      <c r="AF179" s="6">
        <f ca="1">$M$179*$Z$179</f>
        <v>54213.852899999998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33</v>
      </c>
      <c r="C180" s="4" t="s">
        <v>41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44440</v>
      </c>
      <c r="J180" s="6">
        <v>484</v>
      </c>
      <c r="K180" s="6">
        <v>484</v>
      </c>
      <c r="L180" s="6">
        <v>19.154</v>
      </c>
      <c r="M180" s="6">
        <v>19.154</v>
      </c>
      <c r="N180" s="6">
        <v>19.154</v>
      </c>
      <c r="O180" s="6">
        <v>19.154</v>
      </c>
      <c r="P180" s="6">
        <v>0</v>
      </c>
      <c r="Q180" s="4" t="s">
        <v>26</v>
      </c>
      <c r="R180" s="4">
        <v>0</v>
      </c>
      <c r="S180" s="6">
        <v>13</v>
      </c>
      <c r="T180" s="6">
        <v>15</v>
      </c>
      <c r="U180" s="6">
        <v>65</v>
      </c>
      <c r="V180" s="6">
        <f>IF(ISERROR(VLOOKUP($S$180,'TAR FIN'!$A$1:$O$103,15,0)),0,VLOOKUP($S$180,'TAR FIN'!$A$1:$O$103,15,0))</f>
        <v>31.72</v>
      </c>
      <c r="W180" s="6">
        <f>IF(ISERROR(VLOOKUP($T$180,'TAR FIN'!$A$1:$O$103,15,0)),0,VLOOKUP($T$180,'TAR FIN'!$A$1:$O$103,15,0))</f>
        <v>69.37</v>
      </c>
      <c r="X180" s="6">
        <f>IF(ISERROR(VLOOKUP($U$180,'TAR FIN'!$A$1:$O$103,15,0)),0,VLOOKUP($U$180,'TAR FIN'!$A$1:$O$103,15,0))</f>
        <v>454.9</v>
      </c>
      <c r="Y180" s="6">
        <f ca="1">('TUSD BE'!$AM$15+'TUSD BF_350'!$AM$15+'TUSD CVA'!$AM$15)*1</f>
        <v>37.770000000000003</v>
      </c>
      <c r="Z180" s="6">
        <f ca="1">('TUSD BE'!$AM$17+'TUSD BF_350'!$AM$17+'TUSD CVA'!$AM$17)*1</f>
        <v>110.85</v>
      </c>
      <c r="AA180" s="6">
        <f ca="1">('TE BE'!$AB$8+'TE BF_350'!$AB$8+'TE CVA'!$AB$8)*1</f>
        <v>388.08000000000004</v>
      </c>
      <c r="AB180" s="6">
        <f>$K$180*$V$180</f>
        <v>15352.48</v>
      </c>
      <c r="AC180" s="6">
        <f>$M$180*$W$180</f>
        <v>1328.71298</v>
      </c>
      <c r="AD180" s="6">
        <f>$O$180*$X$180</f>
        <v>8713.1545999999998</v>
      </c>
      <c r="AE180" s="6">
        <f ca="1">$K$180*$Y$180</f>
        <v>18280.68</v>
      </c>
      <c r="AF180" s="6">
        <f ca="1">$M$180*$Z$180</f>
        <v>2123.2208999999998</v>
      </c>
      <c r="AG180" s="6">
        <f ca="1">$O$180*$AA$180</f>
        <v>7433.2843200000007</v>
      </c>
    </row>
    <row r="181" spans="1:33" ht="11.25" customHeight="1" x14ac:dyDescent="0.25">
      <c r="A181" s="4" t="s">
        <v>21</v>
      </c>
      <c r="B181" s="4" t="s">
        <v>33</v>
      </c>
      <c r="C181" s="4" t="s">
        <v>41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44440</v>
      </c>
      <c r="J181" s="6">
        <v>9000</v>
      </c>
      <c r="K181" s="6">
        <v>9000</v>
      </c>
      <c r="L181" s="6">
        <v>511.15499999999997</v>
      </c>
      <c r="M181" s="6">
        <v>511.15499999999997</v>
      </c>
      <c r="N181" s="6">
        <v>0</v>
      </c>
      <c r="O181" s="6">
        <v>0</v>
      </c>
      <c r="P181" s="6">
        <v>0</v>
      </c>
      <c r="Q181" s="4" t="s">
        <v>53</v>
      </c>
      <c r="R181" s="4">
        <v>0</v>
      </c>
      <c r="S181" s="6">
        <v>13</v>
      </c>
      <c r="T181" s="6">
        <v>15</v>
      </c>
      <c r="U181" s="6">
        <v>0</v>
      </c>
      <c r="V181" s="6">
        <f>IF(ISERROR(VLOOKUP($S$181,'TAR FIN'!$A$1:$O$103,15,0)),0,VLOOKUP($S$181,'TAR FIN'!$A$1:$O$103,15,0))</f>
        <v>31.72</v>
      </c>
      <c r="W181" s="6">
        <f>IF(ISERROR(VLOOKUP($T$181,'TAR FIN'!$A$1:$O$103,15,0)),0,VLOOKUP($T$181,'TAR FIN'!$A$1:$O$103,15,0))</f>
        <v>69.37</v>
      </c>
      <c r="X181" s="6">
        <f>IF(ISERROR(VLOOKUP($U$181,'TAR FIN'!$A$1:$O$103,15,0)),0,VLOOKUP($U$181,'TAR FIN'!$A$1:$O$103,15,0))</f>
        <v>0</v>
      </c>
      <c r="Y181" s="6">
        <f ca="1">('TUSD BE'!$AM$15+'TUSD BF_350'!$AM$15+'TUSD CVA'!$AM$15)*1</f>
        <v>37.770000000000003</v>
      </c>
      <c r="Z181" s="6">
        <f ca="1">('TUSD BE'!$AM$17+'TUSD BF_350'!$AM$17+'TUSD CVA'!$AM$17)*1</f>
        <v>110.85</v>
      </c>
      <c r="AA181" s="6"/>
      <c r="AB181" s="6">
        <f>$K$181*$V$181</f>
        <v>285480</v>
      </c>
      <c r="AC181" s="6">
        <f>$M$181*$W$181</f>
        <v>35458.822350000002</v>
      </c>
      <c r="AD181" s="6">
        <f>$O$181*$X$181</f>
        <v>0</v>
      </c>
      <c r="AE181" s="6">
        <f ca="1">$K$181*$Y$181</f>
        <v>339930</v>
      </c>
      <c r="AF181" s="6">
        <f ca="1">$M$181*$Z$181</f>
        <v>56661.531749999995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33</v>
      </c>
      <c r="C182" s="4" t="s">
        <v>41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44470</v>
      </c>
      <c r="J182" s="6">
        <v>476</v>
      </c>
      <c r="K182" s="6">
        <v>476</v>
      </c>
      <c r="L182" s="6">
        <v>19.699000000000002</v>
      </c>
      <c r="M182" s="6">
        <v>19.699000000000002</v>
      </c>
      <c r="N182" s="6">
        <v>19.699000000000002</v>
      </c>
      <c r="O182" s="6">
        <v>19.699000000000002</v>
      </c>
      <c r="P182" s="6">
        <v>0</v>
      </c>
      <c r="Q182" s="4" t="s">
        <v>26</v>
      </c>
      <c r="R182" s="4">
        <v>0</v>
      </c>
      <c r="S182" s="6">
        <v>13</v>
      </c>
      <c r="T182" s="6">
        <v>15</v>
      </c>
      <c r="U182" s="6">
        <v>65</v>
      </c>
      <c r="V182" s="6">
        <f>IF(ISERROR(VLOOKUP($S$182,'TAR FIN'!$A$1:$O$103,15,0)),0,VLOOKUP($S$182,'TAR FIN'!$A$1:$O$103,15,0))</f>
        <v>31.72</v>
      </c>
      <c r="W182" s="6">
        <f>IF(ISERROR(VLOOKUP($T$182,'TAR FIN'!$A$1:$O$103,15,0)),0,VLOOKUP($T$182,'TAR FIN'!$A$1:$O$103,15,0))</f>
        <v>69.37</v>
      </c>
      <c r="X182" s="6">
        <f>IF(ISERROR(VLOOKUP($U$182,'TAR FIN'!$A$1:$O$103,15,0)),0,VLOOKUP($U$182,'TAR FIN'!$A$1:$O$103,15,0))</f>
        <v>454.9</v>
      </c>
      <c r="Y182" s="6">
        <f ca="1">('TUSD BE'!$AM$15+'TUSD BF_350'!$AM$15+'TUSD CVA'!$AM$15)*1</f>
        <v>37.770000000000003</v>
      </c>
      <c r="Z182" s="6">
        <f ca="1">('TUSD BE'!$AM$17+'TUSD BF_350'!$AM$17+'TUSD CVA'!$AM$17)*1</f>
        <v>110.85</v>
      </c>
      <c r="AA182" s="6">
        <f ca="1">('TE BE'!$AB$8+'TE BF_350'!$AB$8+'TE CVA'!$AB$8)*1</f>
        <v>388.08000000000004</v>
      </c>
      <c r="AB182" s="6">
        <f>$K$182*$V$182</f>
        <v>15098.72</v>
      </c>
      <c r="AC182" s="6">
        <f>$M$182*$W$182</f>
        <v>1366.5196300000002</v>
      </c>
      <c r="AD182" s="6">
        <f>$O$182*$X$182</f>
        <v>8961.0751</v>
      </c>
      <c r="AE182" s="6">
        <f ca="1">$K$182*$Y$182</f>
        <v>17978.52</v>
      </c>
      <c r="AF182" s="6">
        <f ca="1">$M$182*$Z$182</f>
        <v>2183.6341499999999</v>
      </c>
      <c r="AG182" s="6">
        <f ca="1">$O$182*$AA$182</f>
        <v>7644.7879200000016</v>
      </c>
    </row>
    <row r="183" spans="1:33" ht="11.25" customHeight="1" x14ac:dyDescent="0.25">
      <c r="A183" s="4" t="s">
        <v>21</v>
      </c>
      <c r="B183" s="4" t="s">
        <v>33</v>
      </c>
      <c r="C183" s="4" t="s">
        <v>41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44470</v>
      </c>
      <c r="J183" s="6">
        <v>9041</v>
      </c>
      <c r="K183" s="6">
        <v>9041</v>
      </c>
      <c r="L183" s="6">
        <v>523.86800000000005</v>
      </c>
      <c r="M183" s="6">
        <v>523.86800000000005</v>
      </c>
      <c r="N183" s="6">
        <v>0</v>
      </c>
      <c r="O183" s="6">
        <v>0</v>
      </c>
      <c r="P183" s="6">
        <v>0</v>
      </c>
      <c r="Q183" s="4" t="s">
        <v>53</v>
      </c>
      <c r="R183" s="4">
        <v>0</v>
      </c>
      <c r="S183" s="6">
        <v>13</v>
      </c>
      <c r="T183" s="6">
        <v>15</v>
      </c>
      <c r="U183" s="6">
        <v>0</v>
      </c>
      <c r="V183" s="6">
        <f>IF(ISERROR(VLOOKUP($S$183,'TAR FIN'!$A$1:$O$103,15,0)),0,VLOOKUP($S$183,'TAR FIN'!$A$1:$O$103,15,0))</f>
        <v>31.72</v>
      </c>
      <c r="W183" s="6">
        <f>IF(ISERROR(VLOOKUP($T$183,'TAR FIN'!$A$1:$O$103,15,0)),0,VLOOKUP($T$183,'TAR FIN'!$A$1:$O$103,15,0))</f>
        <v>69.37</v>
      </c>
      <c r="X183" s="6">
        <f>IF(ISERROR(VLOOKUP($U$183,'TAR FIN'!$A$1:$O$103,15,0)),0,VLOOKUP($U$183,'TAR FIN'!$A$1:$O$103,15,0))</f>
        <v>0</v>
      </c>
      <c r="Y183" s="6">
        <f ca="1">('TUSD BE'!$AM$15+'TUSD BF_350'!$AM$15+'TUSD CVA'!$AM$15)*1</f>
        <v>37.770000000000003</v>
      </c>
      <c r="Z183" s="6">
        <f ca="1">('TUSD BE'!$AM$17+'TUSD BF_350'!$AM$17+'TUSD CVA'!$AM$17)*1</f>
        <v>110.85</v>
      </c>
      <c r="AA183" s="6"/>
      <c r="AB183" s="6">
        <f>$K$183*$V$183</f>
        <v>286780.52</v>
      </c>
      <c r="AC183" s="6">
        <f>$M$183*$W$183</f>
        <v>36340.723160000009</v>
      </c>
      <c r="AD183" s="6">
        <f>$O$183*$X$183</f>
        <v>0</v>
      </c>
      <c r="AE183" s="6">
        <f ca="1">$K$183*$Y$183</f>
        <v>341478.57</v>
      </c>
      <c r="AF183" s="6">
        <f ca="1">$M$183*$Z$183</f>
        <v>58070.767800000001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33</v>
      </c>
      <c r="C184" s="4" t="s">
        <v>41</v>
      </c>
      <c r="D184" s="4" t="s">
        <v>40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44501</v>
      </c>
      <c r="J184" s="6">
        <v>495</v>
      </c>
      <c r="K184" s="6">
        <v>495</v>
      </c>
      <c r="L184" s="6">
        <v>22.966000000000001</v>
      </c>
      <c r="M184" s="6">
        <v>22.966000000000001</v>
      </c>
      <c r="N184" s="6">
        <v>22.966000000000001</v>
      </c>
      <c r="O184" s="6">
        <v>22.966000000000001</v>
      </c>
      <c r="P184" s="6">
        <v>0</v>
      </c>
      <c r="Q184" s="4" t="s">
        <v>26</v>
      </c>
      <c r="R184" s="4">
        <v>0</v>
      </c>
      <c r="S184" s="6">
        <v>13</v>
      </c>
      <c r="T184" s="6">
        <v>15</v>
      </c>
      <c r="U184" s="6">
        <v>65</v>
      </c>
      <c r="V184" s="6">
        <f>IF(ISERROR(VLOOKUP($S$184,'TAR FIN'!$A$1:$O$103,15,0)),0,VLOOKUP($S$184,'TAR FIN'!$A$1:$O$103,15,0))</f>
        <v>31.72</v>
      </c>
      <c r="W184" s="6">
        <f>IF(ISERROR(VLOOKUP($T$184,'TAR FIN'!$A$1:$O$103,15,0)),0,VLOOKUP($T$184,'TAR FIN'!$A$1:$O$103,15,0))</f>
        <v>69.37</v>
      </c>
      <c r="X184" s="6">
        <f>IF(ISERROR(VLOOKUP($U$184,'TAR FIN'!$A$1:$O$103,15,0)),0,VLOOKUP($U$184,'TAR FIN'!$A$1:$O$103,15,0))</f>
        <v>454.9</v>
      </c>
      <c r="Y184" s="6">
        <f ca="1">('TUSD BE'!$AM$15+'TUSD BF_350'!$AM$15+'TUSD CVA'!$AM$15)*1</f>
        <v>37.770000000000003</v>
      </c>
      <c r="Z184" s="6">
        <f ca="1">('TUSD BE'!$AM$17+'TUSD BF_350'!$AM$17+'TUSD CVA'!$AM$17)*1</f>
        <v>110.85</v>
      </c>
      <c r="AA184" s="6">
        <f ca="1">('TE BE'!$AB$8+'TE BF_350'!$AB$8+'TE CVA'!$AB$8)*1</f>
        <v>388.08000000000004</v>
      </c>
      <c r="AB184" s="6">
        <f>$K$184*$V$184</f>
        <v>15701.4</v>
      </c>
      <c r="AC184" s="6">
        <f>$M$184*$W$184</f>
        <v>1593.1514200000001</v>
      </c>
      <c r="AD184" s="6">
        <f>$O$184*$X$184</f>
        <v>10447.233399999999</v>
      </c>
      <c r="AE184" s="6">
        <f ca="1">$K$184*$Y$184</f>
        <v>18696.150000000001</v>
      </c>
      <c r="AF184" s="6">
        <f ca="1">$M$184*$Z$184</f>
        <v>2545.7811000000002</v>
      </c>
      <c r="AG184" s="6">
        <f ca="1">$O$184*$AA$184</f>
        <v>8912.6452800000006</v>
      </c>
    </row>
    <row r="185" spans="1:33" ht="11.25" customHeight="1" x14ac:dyDescent="0.25">
      <c r="A185" s="4" t="s">
        <v>21</v>
      </c>
      <c r="B185" s="4" t="s">
        <v>33</v>
      </c>
      <c r="C185" s="4" t="s">
        <v>41</v>
      </c>
      <c r="D185" s="4" t="s">
        <v>40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44501</v>
      </c>
      <c r="J185" s="6">
        <v>9058</v>
      </c>
      <c r="K185" s="6">
        <v>9058</v>
      </c>
      <c r="L185" s="6">
        <v>492.63200000000001</v>
      </c>
      <c r="M185" s="6">
        <v>492.63200000000001</v>
      </c>
      <c r="N185" s="6">
        <v>0</v>
      </c>
      <c r="O185" s="6">
        <v>0</v>
      </c>
      <c r="P185" s="6">
        <v>0</v>
      </c>
      <c r="Q185" s="4" t="s">
        <v>53</v>
      </c>
      <c r="R185" s="4">
        <v>0</v>
      </c>
      <c r="S185" s="6">
        <v>13</v>
      </c>
      <c r="T185" s="6">
        <v>15</v>
      </c>
      <c r="U185" s="6">
        <v>0</v>
      </c>
      <c r="V185" s="6">
        <f>IF(ISERROR(VLOOKUP($S$185,'TAR FIN'!$A$1:$O$103,15,0)),0,VLOOKUP($S$185,'TAR FIN'!$A$1:$O$103,15,0))</f>
        <v>31.72</v>
      </c>
      <c r="W185" s="6">
        <f>IF(ISERROR(VLOOKUP($T$185,'TAR FIN'!$A$1:$O$103,15,0)),0,VLOOKUP($T$185,'TAR FIN'!$A$1:$O$103,15,0))</f>
        <v>69.37</v>
      </c>
      <c r="X185" s="6">
        <f>IF(ISERROR(VLOOKUP($U$185,'TAR FIN'!$A$1:$O$103,15,0)),0,VLOOKUP($U$185,'TAR FIN'!$A$1:$O$103,15,0))</f>
        <v>0</v>
      </c>
      <c r="Y185" s="6">
        <f ca="1">('TUSD BE'!$AM$15+'TUSD BF_350'!$AM$15+'TUSD CVA'!$AM$15)*1</f>
        <v>37.770000000000003</v>
      </c>
      <c r="Z185" s="6">
        <f ca="1">('TUSD BE'!$AM$17+'TUSD BF_350'!$AM$17+'TUSD CVA'!$AM$17)*1</f>
        <v>110.85</v>
      </c>
      <c r="AA185" s="6"/>
      <c r="AB185" s="6">
        <f>$K$185*$V$185</f>
        <v>287319.76</v>
      </c>
      <c r="AC185" s="6">
        <f>$M$185*$W$185</f>
        <v>34173.881840000002</v>
      </c>
      <c r="AD185" s="6">
        <f>$O$185*$X$185</f>
        <v>0</v>
      </c>
      <c r="AE185" s="6">
        <f ca="1">$K$185*$Y$185</f>
        <v>342120.66000000003</v>
      </c>
      <c r="AF185" s="6">
        <f ca="1">$M$185*$Z$185</f>
        <v>54608.2572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33</v>
      </c>
      <c r="C186" s="4" t="s">
        <v>41</v>
      </c>
      <c r="D186" s="4" t="s">
        <v>40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44531</v>
      </c>
      <c r="J186" s="6">
        <v>505</v>
      </c>
      <c r="K186" s="6">
        <v>505</v>
      </c>
      <c r="L186" s="6">
        <v>18.074999999999999</v>
      </c>
      <c r="M186" s="6">
        <v>18.074999999999999</v>
      </c>
      <c r="N186" s="6">
        <v>18.074999999999999</v>
      </c>
      <c r="O186" s="6">
        <v>18.074999999999999</v>
      </c>
      <c r="P186" s="6">
        <v>0</v>
      </c>
      <c r="Q186" s="4" t="s">
        <v>26</v>
      </c>
      <c r="R186" s="4">
        <v>0</v>
      </c>
      <c r="S186" s="6">
        <v>13</v>
      </c>
      <c r="T186" s="6">
        <v>15</v>
      </c>
      <c r="U186" s="6">
        <v>65</v>
      </c>
      <c r="V186" s="6">
        <f>IF(ISERROR(VLOOKUP($S$186,'TAR FIN'!$A$1:$O$103,15,0)),0,VLOOKUP($S$186,'TAR FIN'!$A$1:$O$103,15,0))</f>
        <v>31.72</v>
      </c>
      <c r="W186" s="6">
        <f>IF(ISERROR(VLOOKUP($T$186,'TAR FIN'!$A$1:$O$103,15,0)),0,VLOOKUP($T$186,'TAR FIN'!$A$1:$O$103,15,0))</f>
        <v>69.37</v>
      </c>
      <c r="X186" s="6">
        <f>IF(ISERROR(VLOOKUP($U$186,'TAR FIN'!$A$1:$O$103,15,0)),0,VLOOKUP($U$186,'TAR FIN'!$A$1:$O$103,15,0))</f>
        <v>454.9</v>
      </c>
      <c r="Y186" s="6">
        <f ca="1">('TUSD BE'!$AM$15+'TUSD BF_350'!$AM$15+'TUSD CVA'!$AM$15)*1</f>
        <v>37.770000000000003</v>
      </c>
      <c r="Z186" s="6">
        <f ca="1">('TUSD BE'!$AM$17+'TUSD BF_350'!$AM$17+'TUSD CVA'!$AM$17)*1</f>
        <v>110.85</v>
      </c>
      <c r="AA186" s="6">
        <f ca="1">('TE BE'!$AB$8+'TE BF_350'!$AB$8+'TE CVA'!$AB$8)*1</f>
        <v>388.08000000000004</v>
      </c>
      <c r="AB186" s="6">
        <f>$K$186*$V$186</f>
        <v>16018.599999999999</v>
      </c>
      <c r="AC186" s="6">
        <f>$M$186*$W$186</f>
        <v>1253.86275</v>
      </c>
      <c r="AD186" s="6">
        <f>$O$186*$X$186</f>
        <v>8222.3174999999992</v>
      </c>
      <c r="AE186" s="6">
        <f ca="1">$K$186*$Y$186</f>
        <v>19073.850000000002</v>
      </c>
      <c r="AF186" s="6">
        <f ca="1">$M$186*$Z$186</f>
        <v>2003.6137499999998</v>
      </c>
      <c r="AG186" s="6">
        <f ca="1">$O$186*$AA$186</f>
        <v>7014.5460000000003</v>
      </c>
    </row>
    <row r="187" spans="1:33" ht="11.25" customHeight="1" x14ac:dyDescent="0.25">
      <c r="A187" s="4" t="s">
        <v>21</v>
      </c>
      <c r="B187" s="4" t="s">
        <v>33</v>
      </c>
      <c r="C187" s="4" t="s">
        <v>41</v>
      </c>
      <c r="D187" s="4" t="s">
        <v>40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44531</v>
      </c>
      <c r="J187" s="6">
        <v>8989</v>
      </c>
      <c r="K187" s="6">
        <v>8989</v>
      </c>
      <c r="L187" s="6">
        <v>513.66800000000001</v>
      </c>
      <c r="M187" s="6">
        <v>513.66800000000001</v>
      </c>
      <c r="N187" s="6">
        <v>0</v>
      </c>
      <c r="O187" s="6">
        <v>0</v>
      </c>
      <c r="P187" s="6">
        <v>0</v>
      </c>
      <c r="Q187" s="4" t="s">
        <v>53</v>
      </c>
      <c r="R187" s="4">
        <v>0</v>
      </c>
      <c r="S187" s="6">
        <v>13</v>
      </c>
      <c r="T187" s="6">
        <v>15</v>
      </c>
      <c r="U187" s="6">
        <v>0</v>
      </c>
      <c r="V187" s="6">
        <f>IF(ISERROR(VLOOKUP($S$187,'TAR FIN'!$A$1:$O$103,15,0)),0,VLOOKUP($S$187,'TAR FIN'!$A$1:$O$103,15,0))</f>
        <v>31.72</v>
      </c>
      <c r="W187" s="6">
        <f>IF(ISERROR(VLOOKUP($T$187,'TAR FIN'!$A$1:$O$103,15,0)),0,VLOOKUP($T$187,'TAR FIN'!$A$1:$O$103,15,0))</f>
        <v>69.37</v>
      </c>
      <c r="X187" s="6">
        <f>IF(ISERROR(VLOOKUP($U$187,'TAR FIN'!$A$1:$O$103,15,0)),0,VLOOKUP($U$187,'TAR FIN'!$A$1:$O$103,15,0))</f>
        <v>0</v>
      </c>
      <c r="Y187" s="6">
        <f ca="1">('TUSD BE'!$AM$15+'TUSD BF_350'!$AM$15+'TUSD CVA'!$AM$15)*1</f>
        <v>37.770000000000003</v>
      </c>
      <c r="Z187" s="6">
        <f ca="1">('TUSD BE'!$AM$17+'TUSD BF_350'!$AM$17+'TUSD CVA'!$AM$17)*1</f>
        <v>110.85</v>
      </c>
      <c r="AA187" s="6"/>
      <c r="AB187" s="6">
        <f>$K$187*$V$187</f>
        <v>285131.08</v>
      </c>
      <c r="AC187" s="6">
        <f>$M$187*$W$187</f>
        <v>35633.149160000001</v>
      </c>
      <c r="AD187" s="6">
        <f>$O$187*$X$187</f>
        <v>0</v>
      </c>
      <c r="AE187" s="6">
        <f ca="1">$K$187*$Y$187</f>
        <v>339514.53</v>
      </c>
      <c r="AF187" s="6">
        <f ca="1">$M$187*$Z$187</f>
        <v>56940.097799999996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33</v>
      </c>
      <c r="C188" s="4" t="s">
        <v>41</v>
      </c>
      <c r="D188" s="4" t="s">
        <v>40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44562</v>
      </c>
      <c r="J188" s="6">
        <v>488</v>
      </c>
      <c r="K188" s="6">
        <v>488</v>
      </c>
      <c r="L188" s="6">
        <v>18.401</v>
      </c>
      <c r="M188" s="6">
        <v>18.401</v>
      </c>
      <c r="N188" s="6">
        <v>18.401</v>
      </c>
      <c r="O188" s="6">
        <v>18.401</v>
      </c>
      <c r="P188" s="6">
        <v>0</v>
      </c>
      <c r="Q188" s="4" t="s">
        <v>26</v>
      </c>
      <c r="R188" s="4">
        <v>0</v>
      </c>
      <c r="S188" s="6">
        <v>13</v>
      </c>
      <c r="T188" s="6">
        <v>15</v>
      </c>
      <c r="U188" s="6">
        <v>65</v>
      </c>
      <c r="V188" s="6">
        <f>IF(ISERROR(VLOOKUP($S$188,'TAR FIN'!$A$1:$O$103,15,0)),0,VLOOKUP($S$188,'TAR FIN'!$A$1:$O$103,15,0))</f>
        <v>31.72</v>
      </c>
      <c r="W188" s="6">
        <f>IF(ISERROR(VLOOKUP($T$188,'TAR FIN'!$A$1:$O$103,15,0)),0,VLOOKUP($T$188,'TAR FIN'!$A$1:$O$103,15,0))</f>
        <v>69.37</v>
      </c>
      <c r="X188" s="6">
        <f>IF(ISERROR(VLOOKUP($U$188,'TAR FIN'!$A$1:$O$103,15,0)),0,VLOOKUP($U$188,'TAR FIN'!$A$1:$O$103,15,0))</f>
        <v>454.9</v>
      </c>
      <c r="Y188" s="6">
        <f ca="1">('TUSD BE'!$AM$15+'TUSD BF_350'!$AM$15+'TUSD CVA'!$AM$15)*1</f>
        <v>37.770000000000003</v>
      </c>
      <c r="Z188" s="6">
        <f ca="1">('TUSD BE'!$AM$17+'TUSD BF_350'!$AM$17+'TUSD CVA'!$AM$17)*1</f>
        <v>110.85</v>
      </c>
      <c r="AA188" s="6">
        <f ca="1">('TE BE'!$AB$8+'TE BF_350'!$AB$8+'TE CVA'!$AB$8)*1</f>
        <v>388.08000000000004</v>
      </c>
      <c r="AB188" s="6">
        <f>$K$188*$V$188</f>
        <v>15479.359999999999</v>
      </c>
      <c r="AC188" s="6">
        <f>$M$188*$W$188</f>
        <v>1276.4773700000001</v>
      </c>
      <c r="AD188" s="6">
        <f>$O$188*$X$188</f>
        <v>8370.6148999999987</v>
      </c>
      <c r="AE188" s="6">
        <f ca="1">$K$188*$Y$188</f>
        <v>18431.760000000002</v>
      </c>
      <c r="AF188" s="6">
        <f ca="1">$M$188*$Z$188</f>
        <v>2039.7508499999999</v>
      </c>
      <c r="AG188" s="6">
        <f ca="1">$O$188*$AA$188</f>
        <v>7141.0600800000011</v>
      </c>
    </row>
    <row r="189" spans="1:33" ht="11.25" customHeight="1" x14ac:dyDescent="0.25">
      <c r="A189" s="4" t="s">
        <v>21</v>
      </c>
      <c r="B189" s="4" t="s">
        <v>33</v>
      </c>
      <c r="C189" s="4" t="s">
        <v>41</v>
      </c>
      <c r="D189" s="4" t="s">
        <v>40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44562</v>
      </c>
      <c r="J189" s="6">
        <v>9075</v>
      </c>
      <c r="K189" s="6">
        <v>9075</v>
      </c>
      <c r="L189" s="6">
        <v>507.16899999999998</v>
      </c>
      <c r="M189" s="6">
        <v>507.16899999999998</v>
      </c>
      <c r="N189" s="6">
        <v>0</v>
      </c>
      <c r="O189" s="6">
        <v>0</v>
      </c>
      <c r="P189" s="6">
        <v>0</v>
      </c>
      <c r="Q189" s="4" t="s">
        <v>53</v>
      </c>
      <c r="R189" s="4">
        <v>0</v>
      </c>
      <c r="S189" s="6">
        <v>13</v>
      </c>
      <c r="T189" s="6">
        <v>15</v>
      </c>
      <c r="U189" s="6">
        <v>0</v>
      </c>
      <c r="V189" s="6">
        <f>IF(ISERROR(VLOOKUP($S$189,'TAR FIN'!$A$1:$O$103,15,0)),0,VLOOKUP($S$189,'TAR FIN'!$A$1:$O$103,15,0))</f>
        <v>31.72</v>
      </c>
      <c r="W189" s="6">
        <f>IF(ISERROR(VLOOKUP($T$189,'TAR FIN'!$A$1:$O$103,15,0)),0,VLOOKUP($T$189,'TAR FIN'!$A$1:$O$103,15,0))</f>
        <v>69.37</v>
      </c>
      <c r="X189" s="6">
        <f>IF(ISERROR(VLOOKUP($U$189,'TAR FIN'!$A$1:$O$103,15,0)),0,VLOOKUP($U$189,'TAR FIN'!$A$1:$O$103,15,0))</f>
        <v>0</v>
      </c>
      <c r="Y189" s="6">
        <f ca="1">('TUSD BE'!$AM$15+'TUSD BF_350'!$AM$15+'TUSD CVA'!$AM$15)*1</f>
        <v>37.770000000000003</v>
      </c>
      <c r="Z189" s="6">
        <f ca="1">('TUSD BE'!$AM$17+'TUSD BF_350'!$AM$17+'TUSD CVA'!$AM$17)*1</f>
        <v>110.85</v>
      </c>
      <c r="AA189" s="6"/>
      <c r="AB189" s="6">
        <f>$K$189*$V$189</f>
        <v>287859</v>
      </c>
      <c r="AC189" s="6">
        <f>$M$189*$W$189</f>
        <v>35182.313529999999</v>
      </c>
      <c r="AD189" s="6">
        <f>$O$189*$X$189</f>
        <v>0</v>
      </c>
      <c r="AE189" s="6">
        <f ca="1">$K$189*$Y$189</f>
        <v>342762.75</v>
      </c>
      <c r="AF189" s="6">
        <f ca="1">$M$189*$Z$189</f>
        <v>56219.683649999992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33</v>
      </c>
      <c r="C190" s="4" t="s">
        <v>41</v>
      </c>
      <c r="D190" s="4" t="s">
        <v>40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44593</v>
      </c>
      <c r="J190" s="6">
        <v>98</v>
      </c>
      <c r="K190" s="6">
        <v>98</v>
      </c>
      <c r="L190" s="6">
        <v>4.5609999999999999</v>
      </c>
      <c r="M190" s="6">
        <v>4.5609999999999999</v>
      </c>
      <c r="N190" s="6">
        <v>4.5609999999999999</v>
      </c>
      <c r="O190" s="6">
        <v>4.5609999999999999</v>
      </c>
      <c r="P190" s="6">
        <v>0</v>
      </c>
      <c r="Q190" s="4" t="s">
        <v>26</v>
      </c>
      <c r="R190" s="4">
        <v>0</v>
      </c>
      <c r="S190" s="6">
        <v>13</v>
      </c>
      <c r="T190" s="6">
        <v>15</v>
      </c>
      <c r="U190" s="6">
        <v>65</v>
      </c>
      <c r="V190" s="6">
        <f>IF(ISERROR(VLOOKUP($S$190,'TAR FIN'!$A$1:$O$103,15,0)),0,VLOOKUP($S$190,'TAR FIN'!$A$1:$O$103,15,0))</f>
        <v>31.72</v>
      </c>
      <c r="W190" s="6">
        <f>IF(ISERROR(VLOOKUP($T$190,'TAR FIN'!$A$1:$O$103,15,0)),0,VLOOKUP($T$190,'TAR FIN'!$A$1:$O$103,15,0))</f>
        <v>69.37</v>
      </c>
      <c r="X190" s="6">
        <f>IF(ISERROR(VLOOKUP($U$190,'TAR FIN'!$A$1:$O$103,15,0)),0,VLOOKUP($U$190,'TAR FIN'!$A$1:$O$103,15,0))</f>
        <v>454.9</v>
      </c>
      <c r="Y190" s="6">
        <f ca="1">('TUSD BE'!$AM$15+'TUSD BF_350'!$AM$15+'TUSD CVA'!$AM$15)*1</f>
        <v>37.770000000000003</v>
      </c>
      <c r="Z190" s="6">
        <f ca="1">('TUSD BE'!$AM$17+'TUSD BF_350'!$AM$17+'TUSD CVA'!$AM$17)*1</f>
        <v>110.85</v>
      </c>
      <c r="AA190" s="6">
        <f ca="1">('TE BE'!$AB$8+'TE BF_350'!$AB$8+'TE CVA'!$AB$8)*1</f>
        <v>388.08000000000004</v>
      </c>
      <c r="AB190" s="6">
        <f>$K$190*$V$190</f>
        <v>3108.56</v>
      </c>
      <c r="AC190" s="6">
        <f>$M$190*$W$190</f>
        <v>316.39657</v>
      </c>
      <c r="AD190" s="6">
        <f>$O$190*$X$190</f>
        <v>2074.7988999999998</v>
      </c>
      <c r="AE190" s="6">
        <f ca="1">$K$190*$Y$190</f>
        <v>3701.4600000000005</v>
      </c>
      <c r="AF190" s="6">
        <f ca="1">$M$190*$Z$190</f>
        <v>505.58684999999997</v>
      </c>
      <c r="AG190" s="6">
        <f ca="1">$O$190*$AA$190</f>
        <v>1770.0328800000002</v>
      </c>
    </row>
    <row r="191" spans="1:33" ht="11.25" customHeight="1" x14ac:dyDescent="0.25">
      <c r="A191" s="4" t="s">
        <v>21</v>
      </c>
      <c r="B191" s="4" t="s">
        <v>33</v>
      </c>
      <c r="C191" s="4" t="s">
        <v>41</v>
      </c>
      <c r="D191" s="4" t="s">
        <v>40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44593</v>
      </c>
      <c r="J191" s="6">
        <v>9127</v>
      </c>
      <c r="K191" s="6">
        <v>9127</v>
      </c>
      <c r="L191" s="6">
        <v>498.80099999999999</v>
      </c>
      <c r="M191" s="6">
        <v>498.80099999999999</v>
      </c>
      <c r="N191" s="6">
        <v>0</v>
      </c>
      <c r="O191" s="6">
        <v>0</v>
      </c>
      <c r="P191" s="6">
        <v>0</v>
      </c>
      <c r="Q191" s="4" t="s">
        <v>53</v>
      </c>
      <c r="R191" s="4">
        <v>0</v>
      </c>
      <c r="S191" s="6">
        <v>13</v>
      </c>
      <c r="T191" s="6">
        <v>15</v>
      </c>
      <c r="U191" s="6">
        <v>0</v>
      </c>
      <c r="V191" s="6">
        <f>IF(ISERROR(VLOOKUP($S$191,'TAR FIN'!$A$1:$O$103,15,0)),0,VLOOKUP($S$191,'TAR FIN'!$A$1:$O$103,15,0))</f>
        <v>31.72</v>
      </c>
      <c r="W191" s="6">
        <f>IF(ISERROR(VLOOKUP($T$191,'TAR FIN'!$A$1:$O$103,15,0)),0,VLOOKUP($T$191,'TAR FIN'!$A$1:$O$103,15,0))</f>
        <v>69.37</v>
      </c>
      <c r="X191" s="6">
        <f>IF(ISERROR(VLOOKUP($U$191,'TAR FIN'!$A$1:$O$103,15,0)),0,VLOOKUP($U$191,'TAR FIN'!$A$1:$O$103,15,0))</f>
        <v>0</v>
      </c>
      <c r="Y191" s="6">
        <f ca="1">('TUSD BE'!$AM$15+'TUSD BF_350'!$AM$15+'TUSD CVA'!$AM$15)*1</f>
        <v>37.770000000000003</v>
      </c>
      <c r="Z191" s="6">
        <f ca="1">('TUSD BE'!$AM$17+'TUSD BF_350'!$AM$17+'TUSD CVA'!$AM$17)*1</f>
        <v>110.85</v>
      </c>
      <c r="AA191" s="6"/>
      <c r="AB191" s="6">
        <f>$K$191*$V$191</f>
        <v>289508.44</v>
      </c>
      <c r="AC191" s="6">
        <f>$M$191*$W$191</f>
        <v>34601.825369999999</v>
      </c>
      <c r="AD191" s="6">
        <f>$O$191*$X$191</f>
        <v>0</v>
      </c>
      <c r="AE191" s="6">
        <f ca="1">$K$191*$Y$191</f>
        <v>344726.79000000004</v>
      </c>
      <c r="AF191" s="6">
        <f ca="1">$M$191*$Z$191</f>
        <v>55292.090849999993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33</v>
      </c>
      <c r="C192" s="4" t="s">
        <v>41</v>
      </c>
      <c r="D192" s="4" t="s">
        <v>40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44621</v>
      </c>
      <c r="J192" s="6">
        <v>89</v>
      </c>
      <c r="K192" s="6">
        <v>89</v>
      </c>
      <c r="L192" s="6">
        <v>4.7130000000000001</v>
      </c>
      <c r="M192" s="6">
        <v>4.7130000000000001</v>
      </c>
      <c r="N192" s="6">
        <v>4.7130000000000001</v>
      </c>
      <c r="O192" s="6">
        <v>4.7130000000000001</v>
      </c>
      <c r="P192" s="6">
        <v>0</v>
      </c>
      <c r="Q192" s="4" t="s">
        <v>26</v>
      </c>
      <c r="R192" s="4">
        <v>0</v>
      </c>
      <c r="S192" s="6">
        <v>13</v>
      </c>
      <c r="T192" s="6">
        <v>15</v>
      </c>
      <c r="U192" s="6">
        <v>65</v>
      </c>
      <c r="V192" s="6">
        <f>IF(ISERROR(VLOOKUP($S$192,'TAR FIN'!$A$1:$O$103,15,0)),0,VLOOKUP($S$192,'TAR FIN'!$A$1:$O$103,15,0))</f>
        <v>31.72</v>
      </c>
      <c r="W192" s="6">
        <f>IF(ISERROR(VLOOKUP($T$192,'TAR FIN'!$A$1:$O$103,15,0)),0,VLOOKUP($T$192,'TAR FIN'!$A$1:$O$103,15,0))</f>
        <v>69.37</v>
      </c>
      <c r="X192" s="6">
        <f>IF(ISERROR(VLOOKUP($U$192,'TAR FIN'!$A$1:$O$103,15,0)),0,VLOOKUP($U$192,'TAR FIN'!$A$1:$O$103,15,0))</f>
        <v>454.9</v>
      </c>
      <c r="Y192" s="6">
        <f ca="1">('TUSD BE'!$AM$15+'TUSD BF_350'!$AM$15+'TUSD CVA'!$AM$15)*1</f>
        <v>37.770000000000003</v>
      </c>
      <c r="Z192" s="6">
        <f ca="1">('TUSD BE'!$AM$17+'TUSD BF_350'!$AM$17+'TUSD CVA'!$AM$17)*1</f>
        <v>110.85</v>
      </c>
      <c r="AA192" s="6">
        <f ca="1">('TE BE'!$AB$8+'TE BF_350'!$AB$8+'TE CVA'!$AB$8)*1</f>
        <v>388.08000000000004</v>
      </c>
      <c r="AB192" s="6">
        <f>$K$192*$V$192</f>
        <v>2823.08</v>
      </c>
      <c r="AC192" s="6">
        <f>$M$192*$W$192</f>
        <v>326.94081</v>
      </c>
      <c r="AD192" s="6">
        <f>$O$192*$X$192</f>
        <v>2143.9436999999998</v>
      </c>
      <c r="AE192" s="6">
        <f ca="1">$K$192*$Y$192</f>
        <v>3361.53</v>
      </c>
      <c r="AF192" s="6">
        <f ca="1">$M$192*$Z$192</f>
        <v>522.43605000000002</v>
      </c>
      <c r="AG192" s="6">
        <f ca="1">$O$192*$AA$192</f>
        <v>1829.0210400000003</v>
      </c>
    </row>
    <row r="193" spans="1:33" ht="11.25" customHeight="1" x14ac:dyDescent="0.25">
      <c r="A193" s="4" t="s">
        <v>21</v>
      </c>
      <c r="B193" s="4" t="s">
        <v>33</v>
      </c>
      <c r="C193" s="4" t="s">
        <v>41</v>
      </c>
      <c r="D193" s="4" t="s">
        <v>40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44621</v>
      </c>
      <c r="J193" s="6">
        <v>9000</v>
      </c>
      <c r="K193" s="6">
        <v>9000</v>
      </c>
      <c r="L193" s="6">
        <v>445.197</v>
      </c>
      <c r="M193" s="6">
        <v>445.197</v>
      </c>
      <c r="N193" s="6">
        <v>0</v>
      </c>
      <c r="O193" s="6">
        <v>0</v>
      </c>
      <c r="P193" s="6">
        <v>0</v>
      </c>
      <c r="Q193" s="4" t="s">
        <v>53</v>
      </c>
      <c r="R193" s="4">
        <v>0</v>
      </c>
      <c r="S193" s="6">
        <v>13</v>
      </c>
      <c r="T193" s="6">
        <v>15</v>
      </c>
      <c r="U193" s="6">
        <v>0</v>
      </c>
      <c r="V193" s="6">
        <f>IF(ISERROR(VLOOKUP($S$193,'TAR FIN'!$A$1:$O$103,15,0)),0,VLOOKUP($S$193,'TAR FIN'!$A$1:$O$103,15,0))</f>
        <v>31.72</v>
      </c>
      <c r="W193" s="6">
        <f>IF(ISERROR(VLOOKUP($T$193,'TAR FIN'!$A$1:$O$103,15,0)),0,VLOOKUP($T$193,'TAR FIN'!$A$1:$O$103,15,0))</f>
        <v>69.37</v>
      </c>
      <c r="X193" s="6">
        <f>IF(ISERROR(VLOOKUP($U$193,'TAR FIN'!$A$1:$O$103,15,0)),0,VLOOKUP($U$193,'TAR FIN'!$A$1:$O$103,15,0))</f>
        <v>0</v>
      </c>
      <c r="Y193" s="6">
        <f ca="1">('TUSD BE'!$AM$15+'TUSD BF_350'!$AM$15+'TUSD CVA'!$AM$15)*1</f>
        <v>37.770000000000003</v>
      </c>
      <c r="Z193" s="6">
        <f ca="1">('TUSD BE'!$AM$17+'TUSD BF_350'!$AM$17+'TUSD CVA'!$AM$17)*1</f>
        <v>110.85</v>
      </c>
      <c r="AA193" s="6"/>
      <c r="AB193" s="6">
        <f>$K$193*$V$193</f>
        <v>285480</v>
      </c>
      <c r="AC193" s="6">
        <f>$M$193*$W$193</f>
        <v>30883.315890000002</v>
      </c>
      <c r="AD193" s="6">
        <f>$O$193*$X$193</f>
        <v>0</v>
      </c>
      <c r="AE193" s="6">
        <f ca="1">$K$193*$Y$193</f>
        <v>339930</v>
      </c>
      <c r="AF193" s="6">
        <f ca="1">$M$193*$Z$193</f>
        <v>49350.087449999999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33</v>
      </c>
      <c r="C194" s="4" t="s">
        <v>41</v>
      </c>
      <c r="D194" s="4" t="s">
        <v>40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44652</v>
      </c>
      <c r="J194" s="6">
        <v>99</v>
      </c>
      <c r="K194" s="6">
        <v>99</v>
      </c>
      <c r="L194" s="6">
        <v>4.2839999999999998</v>
      </c>
      <c r="M194" s="6">
        <v>4.2839999999999998</v>
      </c>
      <c r="N194" s="6">
        <v>4.2839999999999998</v>
      </c>
      <c r="O194" s="6">
        <v>4.2839999999999998</v>
      </c>
      <c r="P194" s="6">
        <v>0</v>
      </c>
      <c r="Q194" s="4" t="s">
        <v>26</v>
      </c>
      <c r="R194" s="4">
        <v>0</v>
      </c>
      <c r="S194" s="6">
        <v>13</v>
      </c>
      <c r="T194" s="6">
        <v>15</v>
      </c>
      <c r="U194" s="6">
        <v>65</v>
      </c>
      <c r="V194" s="6">
        <f>IF(ISERROR(VLOOKUP($S$194,'TAR FIN'!$A$1:$O$103,15,0)),0,VLOOKUP($S$194,'TAR FIN'!$A$1:$O$103,15,0))</f>
        <v>31.72</v>
      </c>
      <c r="W194" s="6">
        <f>IF(ISERROR(VLOOKUP($T$194,'TAR FIN'!$A$1:$O$103,15,0)),0,VLOOKUP($T$194,'TAR FIN'!$A$1:$O$103,15,0))</f>
        <v>69.37</v>
      </c>
      <c r="X194" s="6">
        <f>IF(ISERROR(VLOOKUP($U$194,'TAR FIN'!$A$1:$O$103,15,0)),0,VLOOKUP($U$194,'TAR FIN'!$A$1:$O$103,15,0))</f>
        <v>454.9</v>
      </c>
      <c r="Y194" s="6">
        <f ca="1">('TUSD BE'!$AM$15+'TUSD BF_350'!$AM$15+'TUSD CVA'!$AM$15)*1</f>
        <v>37.770000000000003</v>
      </c>
      <c r="Z194" s="6">
        <f ca="1">('TUSD BE'!$AM$17+'TUSD BF_350'!$AM$17+'TUSD CVA'!$AM$17)*1</f>
        <v>110.85</v>
      </c>
      <c r="AA194" s="6">
        <f ca="1">('TE BE'!$AB$8+'TE BF_350'!$AB$8+'TE CVA'!$AB$8)*1</f>
        <v>388.08000000000004</v>
      </c>
      <c r="AB194" s="6">
        <f>$K$194*$V$194</f>
        <v>3140.2799999999997</v>
      </c>
      <c r="AC194" s="6">
        <f>$M$194*$W$194</f>
        <v>297.18108000000001</v>
      </c>
      <c r="AD194" s="6">
        <f>$O$194*$X$194</f>
        <v>1948.7915999999998</v>
      </c>
      <c r="AE194" s="6">
        <f ca="1">$K$194*$Y$194</f>
        <v>3739.2300000000005</v>
      </c>
      <c r="AF194" s="6">
        <f ca="1">$M$194*$Z$194</f>
        <v>474.88139999999993</v>
      </c>
      <c r="AG194" s="6">
        <f ca="1">$O$194*$AA$194</f>
        <v>1662.5347200000001</v>
      </c>
    </row>
    <row r="195" spans="1:33" ht="11.25" customHeight="1" x14ac:dyDescent="0.25">
      <c r="A195" s="4" t="s">
        <v>21</v>
      </c>
      <c r="B195" s="4" t="s">
        <v>33</v>
      </c>
      <c r="C195" s="4" t="s">
        <v>41</v>
      </c>
      <c r="D195" s="4" t="s">
        <v>40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44652</v>
      </c>
      <c r="J195" s="6">
        <v>9455</v>
      </c>
      <c r="K195" s="6">
        <v>9455</v>
      </c>
      <c r="L195" s="6">
        <v>539.15800000000002</v>
      </c>
      <c r="M195" s="6">
        <v>539.15800000000002</v>
      </c>
      <c r="N195" s="6">
        <v>0</v>
      </c>
      <c r="O195" s="6">
        <v>0</v>
      </c>
      <c r="P195" s="6">
        <v>0</v>
      </c>
      <c r="Q195" s="4" t="s">
        <v>53</v>
      </c>
      <c r="R195" s="4">
        <v>0</v>
      </c>
      <c r="S195" s="6">
        <v>13</v>
      </c>
      <c r="T195" s="6">
        <v>15</v>
      </c>
      <c r="U195" s="6">
        <v>0</v>
      </c>
      <c r="V195" s="6">
        <f>IF(ISERROR(VLOOKUP($S$195,'TAR FIN'!$A$1:$O$103,15,0)),0,VLOOKUP($S$195,'TAR FIN'!$A$1:$O$103,15,0))</f>
        <v>31.72</v>
      </c>
      <c r="W195" s="6">
        <f>IF(ISERROR(VLOOKUP($T$195,'TAR FIN'!$A$1:$O$103,15,0)),0,VLOOKUP($T$195,'TAR FIN'!$A$1:$O$103,15,0))</f>
        <v>69.37</v>
      </c>
      <c r="X195" s="6">
        <f>IF(ISERROR(VLOOKUP($U$195,'TAR FIN'!$A$1:$O$103,15,0)),0,VLOOKUP($U$195,'TAR FIN'!$A$1:$O$103,15,0))</f>
        <v>0</v>
      </c>
      <c r="Y195" s="6">
        <f ca="1">('TUSD BE'!$AM$15+'TUSD BF_350'!$AM$15+'TUSD CVA'!$AM$15)*1</f>
        <v>37.770000000000003</v>
      </c>
      <c r="Z195" s="6">
        <f ca="1">('TUSD BE'!$AM$17+'TUSD BF_350'!$AM$17+'TUSD CVA'!$AM$17)*1</f>
        <v>110.85</v>
      </c>
      <c r="AA195" s="6"/>
      <c r="AB195" s="6">
        <f>$K$195*$V$195</f>
        <v>299912.59999999998</v>
      </c>
      <c r="AC195" s="6">
        <f>$M$195*$W$195</f>
        <v>37401.390460000002</v>
      </c>
      <c r="AD195" s="6">
        <f>$O$195*$X$195</f>
        <v>0</v>
      </c>
      <c r="AE195" s="6">
        <f ca="1">$K$195*$Y$195</f>
        <v>357115.35000000003</v>
      </c>
      <c r="AF195" s="6">
        <f ca="1">$M$195*$Z$195</f>
        <v>59765.664299999997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33</v>
      </c>
      <c r="C196" s="4" t="s">
        <v>41</v>
      </c>
      <c r="D196" s="4" t="s">
        <v>40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44682</v>
      </c>
      <c r="J196" s="6">
        <v>92</v>
      </c>
      <c r="K196" s="6">
        <v>92</v>
      </c>
      <c r="L196" s="6">
        <v>4.9260000000000002</v>
      </c>
      <c r="M196" s="6">
        <v>4.9260000000000002</v>
      </c>
      <c r="N196" s="6">
        <v>4.9260000000000002</v>
      </c>
      <c r="O196" s="6">
        <v>4.9260000000000002</v>
      </c>
      <c r="P196" s="6">
        <v>0</v>
      </c>
      <c r="Q196" s="4" t="s">
        <v>26</v>
      </c>
      <c r="R196" s="4">
        <v>0</v>
      </c>
      <c r="S196" s="6">
        <v>13</v>
      </c>
      <c r="T196" s="6">
        <v>15</v>
      </c>
      <c r="U196" s="6">
        <v>65</v>
      </c>
      <c r="V196" s="6">
        <f>IF(ISERROR(VLOOKUP($S$196,'TAR FIN'!$A$1:$O$103,15,0)),0,VLOOKUP($S$196,'TAR FIN'!$A$1:$O$103,15,0))</f>
        <v>31.72</v>
      </c>
      <c r="W196" s="6">
        <f>IF(ISERROR(VLOOKUP($T$196,'TAR FIN'!$A$1:$O$103,15,0)),0,VLOOKUP($T$196,'TAR FIN'!$A$1:$O$103,15,0))</f>
        <v>69.37</v>
      </c>
      <c r="X196" s="6">
        <f>IF(ISERROR(VLOOKUP($U$196,'TAR FIN'!$A$1:$O$103,15,0)),0,VLOOKUP($U$196,'TAR FIN'!$A$1:$O$103,15,0))</f>
        <v>454.9</v>
      </c>
      <c r="Y196" s="6">
        <f ca="1">('TUSD BE'!$AM$15+'TUSD BF_350'!$AM$15+'TUSD CVA'!$AM$15)*1</f>
        <v>37.770000000000003</v>
      </c>
      <c r="Z196" s="6">
        <f ca="1">('TUSD BE'!$AM$17+'TUSD BF_350'!$AM$17+'TUSD CVA'!$AM$17)*1</f>
        <v>110.85</v>
      </c>
      <c r="AA196" s="6">
        <f ca="1">('TE BE'!$AB$8+'TE BF_350'!$AB$8+'TE CVA'!$AB$8)*1</f>
        <v>388.08000000000004</v>
      </c>
      <c r="AB196" s="6">
        <f>$K$196*$V$196</f>
        <v>2918.24</v>
      </c>
      <c r="AC196" s="6">
        <f>$M$196*$W$196</f>
        <v>341.71662000000003</v>
      </c>
      <c r="AD196" s="6">
        <f>$O$196*$X$196</f>
        <v>2240.8373999999999</v>
      </c>
      <c r="AE196" s="6">
        <f ca="1">$K$196*$Y$196</f>
        <v>3474.84</v>
      </c>
      <c r="AF196" s="6">
        <f ca="1">$M$196*$Z$196</f>
        <v>546.0471</v>
      </c>
      <c r="AG196" s="6">
        <f ca="1">$O$196*$AA$196</f>
        <v>1911.6820800000003</v>
      </c>
    </row>
    <row r="197" spans="1:33" ht="11.25" customHeight="1" x14ac:dyDescent="0.25">
      <c r="A197" s="4" t="s">
        <v>21</v>
      </c>
      <c r="B197" s="4" t="s">
        <v>33</v>
      </c>
      <c r="C197" s="4" t="s">
        <v>41</v>
      </c>
      <c r="D197" s="4" t="s">
        <v>40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44682</v>
      </c>
      <c r="J197" s="6">
        <v>9000</v>
      </c>
      <c r="K197" s="6">
        <v>9000</v>
      </c>
      <c r="L197" s="6">
        <v>455.83199999999999</v>
      </c>
      <c r="M197" s="6">
        <v>455.83199999999999</v>
      </c>
      <c r="N197" s="6">
        <v>0</v>
      </c>
      <c r="O197" s="6">
        <v>0</v>
      </c>
      <c r="P197" s="6">
        <v>0</v>
      </c>
      <c r="Q197" s="4" t="s">
        <v>53</v>
      </c>
      <c r="R197" s="4">
        <v>0</v>
      </c>
      <c r="S197" s="6">
        <v>13</v>
      </c>
      <c r="T197" s="6">
        <v>15</v>
      </c>
      <c r="U197" s="6">
        <v>0</v>
      </c>
      <c r="V197" s="6">
        <f>IF(ISERROR(VLOOKUP($S$197,'TAR FIN'!$A$1:$O$103,15,0)),0,VLOOKUP($S$197,'TAR FIN'!$A$1:$O$103,15,0))</f>
        <v>31.72</v>
      </c>
      <c r="W197" s="6">
        <f>IF(ISERROR(VLOOKUP($T$197,'TAR FIN'!$A$1:$O$103,15,0)),0,VLOOKUP($T$197,'TAR FIN'!$A$1:$O$103,15,0))</f>
        <v>69.37</v>
      </c>
      <c r="X197" s="6">
        <f>IF(ISERROR(VLOOKUP($U$197,'TAR FIN'!$A$1:$O$103,15,0)),0,VLOOKUP($U$197,'TAR FIN'!$A$1:$O$103,15,0))</f>
        <v>0</v>
      </c>
      <c r="Y197" s="6">
        <f ca="1">('TUSD BE'!$AM$15+'TUSD BF_350'!$AM$15+'TUSD CVA'!$AM$15)*1</f>
        <v>37.770000000000003</v>
      </c>
      <c r="Z197" s="6">
        <f ca="1">('TUSD BE'!$AM$17+'TUSD BF_350'!$AM$17+'TUSD CVA'!$AM$17)*1</f>
        <v>110.85</v>
      </c>
      <c r="AA197" s="6"/>
      <c r="AB197" s="6">
        <f>$K$197*$V$197</f>
        <v>285480</v>
      </c>
      <c r="AC197" s="6">
        <f>$M$197*$W$197</f>
        <v>31621.065840000003</v>
      </c>
      <c r="AD197" s="6">
        <f>$O$197*$X$197</f>
        <v>0</v>
      </c>
      <c r="AE197" s="6">
        <f ca="1">$K$197*$Y$197</f>
        <v>339930</v>
      </c>
      <c r="AF197" s="6">
        <f ca="1">$M$197*$Z$197</f>
        <v>50528.977199999994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33</v>
      </c>
      <c r="C198" s="4" t="s">
        <v>41</v>
      </c>
      <c r="D198" s="4" t="s">
        <v>46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44348</v>
      </c>
      <c r="J198" s="6">
        <v>229</v>
      </c>
      <c r="K198" s="6">
        <v>229</v>
      </c>
      <c r="L198" s="6">
        <v>68.180000000000007</v>
      </c>
      <c r="M198" s="6">
        <v>68.180000000000007</v>
      </c>
      <c r="N198" s="6">
        <v>68.180000000000007</v>
      </c>
      <c r="O198" s="6">
        <v>68.180000000000007</v>
      </c>
      <c r="P198" s="6">
        <v>0</v>
      </c>
      <c r="Q198" s="4" t="s">
        <v>26</v>
      </c>
      <c r="R198" s="4">
        <v>0</v>
      </c>
      <c r="S198" s="6">
        <v>14</v>
      </c>
      <c r="T198" s="6">
        <v>15</v>
      </c>
      <c r="U198" s="6">
        <v>66</v>
      </c>
      <c r="V198" s="6">
        <f>IF(ISERROR(VLOOKUP($S$198,'TAR FIN'!$A$1:$O$103,15,0)),0,VLOOKUP($S$198,'TAR FIN'!$A$1:$O$103,15,0))</f>
        <v>12.42</v>
      </c>
      <c r="W198" s="6">
        <f>IF(ISERROR(VLOOKUP($T$198,'TAR FIN'!$A$1:$O$103,15,0)),0,VLOOKUP($T$198,'TAR FIN'!$A$1:$O$103,15,0))</f>
        <v>69.37</v>
      </c>
      <c r="X198" s="6">
        <f>IF(ISERROR(VLOOKUP($U$198,'TAR FIN'!$A$1:$O$103,15,0)),0,VLOOKUP($U$198,'TAR FIN'!$A$1:$O$103,15,0))</f>
        <v>284.36</v>
      </c>
      <c r="Y198" s="6">
        <f ca="1">('TUSD BE'!$AM$16+'TUSD BF_350'!$AM$16+'TUSD CVA'!$AM$16)*1</f>
        <v>17.579999999999998</v>
      </c>
      <c r="Z198" s="6">
        <f ca="1">('TUSD BE'!$AM$17+'TUSD BF_350'!$AM$17+'TUSD CVA'!$AM$17)*1</f>
        <v>110.85</v>
      </c>
      <c r="AA198" s="6">
        <f ca="1">('TE BE'!$AB$9+'TE BF_350'!$AB$9+'TE CVA'!$AB$9)*1</f>
        <v>247.20000000000002</v>
      </c>
      <c r="AB198" s="6">
        <f>$K$198*$V$198</f>
        <v>2844.18</v>
      </c>
      <c r="AC198" s="6">
        <f>$M$198*$W$198</f>
        <v>4729.6466000000009</v>
      </c>
      <c r="AD198" s="6">
        <f>$O$198*$X$198</f>
        <v>19387.664800000002</v>
      </c>
      <c r="AE198" s="6">
        <f ca="1">$K$198*$Y$198</f>
        <v>4025.8199999999997</v>
      </c>
      <c r="AF198" s="6">
        <f ca="1">$M$198*$Z$198</f>
        <v>7557.7530000000006</v>
      </c>
      <c r="AG198" s="6">
        <f ca="1">$O$198*$AA$198</f>
        <v>16854.096000000001</v>
      </c>
    </row>
    <row r="199" spans="1:33" ht="11.25" customHeight="1" x14ac:dyDescent="0.25">
      <c r="A199" s="4" t="s">
        <v>21</v>
      </c>
      <c r="B199" s="4" t="s">
        <v>33</v>
      </c>
      <c r="C199" s="4" t="s">
        <v>41</v>
      </c>
      <c r="D199" s="4" t="s">
        <v>46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44378</v>
      </c>
      <c r="J199" s="6">
        <v>202</v>
      </c>
      <c r="K199" s="6">
        <v>202</v>
      </c>
      <c r="L199" s="6">
        <v>75.519000000000005</v>
      </c>
      <c r="M199" s="6">
        <v>75.519000000000005</v>
      </c>
      <c r="N199" s="6">
        <v>75.519000000000005</v>
      </c>
      <c r="O199" s="6">
        <v>75.519000000000005</v>
      </c>
      <c r="P199" s="6">
        <v>0</v>
      </c>
      <c r="Q199" s="4" t="s">
        <v>26</v>
      </c>
      <c r="R199" s="4">
        <v>0</v>
      </c>
      <c r="S199" s="6">
        <v>14</v>
      </c>
      <c r="T199" s="6">
        <v>15</v>
      </c>
      <c r="U199" s="6">
        <v>66</v>
      </c>
      <c r="V199" s="6">
        <f>IF(ISERROR(VLOOKUP($S$199,'TAR FIN'!$A$1:$O$103,15,0)),0,VLOOKUP($S$199,'TAR FIN'!$A$1:$O$103,15,0))</f>
        <v>12.42</v>
      </c>
      <c r="W199" s="6">
        <f>IF(ISERROR(VLOOKUP($T$199,'TAR FIN'!$A$1:$O$103,15,0)),0,VLOOKUP($T$199,'TAR FIN'!$A$1:$O$103,15,0))</f>
        <v>69.37</v>
      </c>
      <c r="X199" s="6">
        <f>IF(ISERROR(VLOOKUP($U$199,'TAR FIN'!$A$1:$O$103,15,0)),0,VLOOKUP($U$199,'TAR FIN'!$A$1:$O$103,15,0))</f>
        <v>284.36</v>
      </c>
      <c r="Y199" s="6">
        <f ca="1">('TUSD BE'!$AM$16+'TUSD BF_350'!$AM$16+'TUSD CVA'!$AM$16)*1</f>
        <v>17.579999999999998</v>
      </c>
      <c r="Z199" s="6">
        <f ca="1">('TUSD BE'!$AM$17+'TUSD BF_350'!$AM$17+'TUSD CVA'!$AM$17)*1</f>
        <v>110.85</v>
      </c>
      <c r="AA199" s="6">
        <f ca="1">('TE BE'!$AB$9+'TE BF_350'!$AB$9+'TE CVA'!$AB$9)*1</f>
        <v>247.20000000000002</v>
      </c>
      <c r="AB199" s="6">
        <f>$K$199*$V$199</f>
        <v>2508.84</v>
      </c>
      <c r="AC199" s="6">
        <f>$M$199*$W$199</f>
        <v>5238.7530300000008</v>
      </c>
      <c r="AD199" s="6">
        <f>$O$199*$X$199</f>
        <v>21474.582840000003</v>
      </c>
      <c r="AE199" s="6">
        <f ca="1">$K$199*$Y$199</f>
        <v>3551.16</v>
      </c>
      <c r="AF199" s="6">
        <f ca="1">$M$199*$Z$199</f>
        <v>8371.2811500000007</v>
      </c>
      <c r="AG199" s="6">
        <f ca="1">$O$199*$AA$199</f>
        <v>18668.296800000004</v>
      </c>
    </row>
    <row r="200" spans="1:33" ht="11.25" customHeight="1" x14ac:dyDescent="0.25">
      <c r="A200" s="4" t="s">
        <v>21</v>
      </c>
      <c r="B200" s="4" t="s">
        <v>33</v>
      </c>
      <c r="C200" s="4" t="s">
        <v>41</v>
      </c>
      <c r="D200" s="4" t="s">
        <v>46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44409</v>
      </c>
      <c r="J200" s="6">
        <v>180</v>
      </c>
      <c r="K200" s="6">
        <v>180</v>
      </c>
      <c r="L200" s="6">
        <v>66.025000000000006</v>
      </c>
      <c r="M200" s="6">
        <v>66.025000000000006</v>
      </c>
      <c r="N200" s="6">
        <v>66.025000000000006</v>
      </c>
      <c r="O200" s="6">
        <v>66.025000000000006</v>
      </c>
      <c r="P200" s="6">
        <v>0</v>
      </c>
      <c r="Q200" s="4" t="s">
        <v>26</v>
      </c>
      <c r="R200" s="4">
        <v>0</v>
      </c>
      <c r="S200" s="6">
        <v>14</v>
      </c>
      <c r="T200" s="6">
        <v>15</v>
      </c>
      <c r="U200" s="6">
        <v>66</v>
      </c>
      <c r="V200" s="6">
        <f>IF(ISERROR(VLOOKUP($S$200,'TAR FIN'!$A$1:$O$103,15,0)),0,VLOOKUP($S$200,'TAR FIN'!$A$1:$O$103,15,0))</f>
        <v>12.42</v>
      </c>
      <c r="W200" s="6">
        <f>IF(ISERROR(VLOOKUP($T$200,'TAR FIN'!$A$1:$O$103,15,0)),0,VLOOKUP($T$200,'TAR FIN'!$A$1:$O$103,15,0))</f>
        <v>69.37</v>
      </c>
      <c r="X200" s="6">
        <f>IF(ISERROR(VLOOKUP($U$200,'TAR FIN'!$A$1:$O$103,15,0)),0,VLOOKUP($U$200,'TAR FIN'!$A$1:$O$103,15,0))</f>
        <v>284.36</v>
      </c>
      <c r="Y200" s="6">
        <f ca="1">('TUSD BE'!$AM$16+'TUSD BF_350'!$AM$16+'TUSD CVA'!$AM$16)*1</f>
        <v>17.579999999999998</v>
      </c>
      <c r="Z200" s="6">
        <f ca="1">('TUSD BE'!$AM$17+'TUSD BF_350'!$AM$17+'TUSD CVA'!$AM$17)*1</f>
        <v>110.85</v>
      </c>
      <c r="AA200" s="6">
        <f ca="1">('TE BE'!$AB$9+'TE BF_350'!$AB$9+'TE CVA'!$AB$9)*1</f>
        <v>247.20000000000002</v>
      </c>
      <c r="AB200" s="6">
        <f>$K$200*$V$200</f>
        <v>2235.6</v>
      </c>
      <c r="AC200" s="6">
        <f>$M$200*$W$200</f>
        <v>4580.1542500000005</v>
      </c>
      <c r="AD200" s="6">
        <f>$O$200*$X$200</f>
        <v>18774.869000000002</v>
      </c>
      <c r="AE200" s="6">
        <f ca="1">$K$200*$Y$200</f>
        <v>3164.3999999999996</v>
      </c>
      <c r="AF200" s="6">
        <f ca="1">$M$200*$Z$200</f>
        <v>7318.8712500000001</v>
      </c>
      <c r="AG200" s="6">
        <f ca="1">$O$200*$AA$200</f>
        <v>16321.380000000003</v>
      </c>
    </row>
    <row r="201" spans="1:33" ht="11.25" customHeight="1" x14ac:dyDescent="0.25">
      <c r="A201" s="4" t="s">
        <v>21</v>
      </c>
      <c r="B201" s="4" t="s">
        <v>33</v>
      </c>
      <c r="C201" s="4" t="s">
        <v>41</v>
      </c>
      <c r="D201" s="4" t="s">
        <v>46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44440</v>
      </c>
      <c r="J201" s="6">
        <v>180</v>
      </c>
      <c r="K201" s="6">
        <v>180</v>
      </c>
      <c r="L201" s="6">
        <v>61.225999999999999</v>
      </c>
      <c r="M201" s="6">
        <v>61.225999999999999</v>
      </c>
      <c r="N201" s="6">
        <v>61.225999999999999</v>
      </c>
      <c r="O201" s="6">
        <v>61.225999999999999</v>
      </c>
      <c r="P201" s="6">
        <v>0</v>
      </c>
      <c r="Q201" s="4" t="s">
        <v>26</v>
      </c>
      <c r="R201" s="4">
        <v>0</v>
      </c>
      <c r="S201" s="6">
        <v>14</v>
      </c>
      <c r="T201" s="6">
        <v>15</v>
      </c>
      <c r="U201" s="6">
        <v>66</v>
      </c>
      <c r="V201" s="6">
        <f>IF(ISERROR(VLOOKUP($S$201,'TAR FIN'!$A$1:$O$103,15,0)),0,VLOOKUP($S$201,'TAR FIN'!$A$1:$O$103,15,0))</f>
        <v>12.42</v>
      </c>
      <c r="W201" s="6">
        <f>IF(ISERROR(VLOOKUP($T$201,'TAR FIN'!$A$1:$O$103,15,0)),0,VLOOKUP($T$201,'TAR FIN'!$A$1:$O$103,15,0))</f>
        <v>69.37</v>
      </c>
      <c r="X201" s="6">
        <f>IF(ISERROR(VLOOKUP($U$201,'TAR FIN'!$A$1:$O$103,15,0)),0,VLOOKUP($U$201,'TAR FIN'!$A$1:$O$103,15,0))</f>
        <v>284.36</v>
      </c>
      <c r="Y201" s="6">
        <f ca="1">('TUSD BE'!$AM$16+'TUSD BF_350'!$AM$16+'TUSD CVA'!$AM$16)*1</f>
        <v>17.579999999999998</v>
      </c>
      <c r="Z201" s="6">
        <f ca="1">('TUSD BE'!$AM$17+'TUSD BF_350'!$AM$17+'TUSD CVA'!$AM$17)*1</f>
        <v>110.85</v>
      </c>
      <c r="AA201" s="6">
        <f ca="1">('TE BE'!$AB$9+'TE BF_350'!$AB$9+'TE CVA'!$AB$9)*1</f>
        <v>247.20000000000002</v>
      </c>
      <c r="AB201" s="6">
        <f>$K$201*$V$201</f>
        <v>2235.6</v>
      </c>
      <c r="AC201" s="6">
        <f>$M$201*$W$201</f>
        <v>4247.2476200000001</v>
      </c>
      <c r="AD201" s="6">
        <f>$O$201*$X$201</f>
        <v>17410.22536</v>
      </c>
      <c r="AE201" s="6">
        <f ca="1">$K$201*$Y$201</f>
        <v>3164.3999999999996</v>
      </c>
      <c r="AF201" s="6">
        <f ca="1">$M$201*$Z$201</f>
        <v>6786.9020999999993</v>
      </c>
      <c r="AG201" s="6">
        <f ca="1">$O$201*$AA$201</f>
        <v>15135.067200000001</v>
      </c>
    </row>
    <row r="202" spans="1:33" ht="11.25" customHeight="1" x14ac:dyDescent="0.25">
      <c r="A202" s="4" t="s">
        <v>21</v>
      </c>
      <c r="B202" s="4" t="s">
        <v>33</v>
      </c>
      <c r="C202" s="4" t="s">
        <v>41</v>
      </c>
      <c r="D202" s="4" t="s">
        <v>46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44470</v>
      </c>
      <c r="J202" s="6">
        <v>165</v>
      </c>
      <c r="K202" s="6">
        <v>165</v>
      </c>
      <c r="L202" s="6">
        <v>52.749000000000002</v>
      </c>
      <c r="M202" s="6">
        <v>52.749000000000002</v>
      </c>
      <c r="N202" s="6">
        <v>52.749000000000002</v>
      </c>
      <c r="O202" s="6">
        <v>52.749000000000002</v>
      </c>
      <c r="P202" s="6">
        <v>0</v>
      </c>
      <c r="Q202" s="4" t="s">
        <v>26</v>
      </c>
      <c r="R202" s="4">
        <v>0</v>
      </c>
      <c r="S202" s="6">
        <v>14</v>
      </c>
      <c r="T202" s="6">
        <v>15</v>
      </c>
      <c r="U202" s="6">
        <v>66</v>
      </c>
      <c r="V202" s="6">
        <f>IF(ISERROR(VLOOKUP($S$202,'TAR FIN'!$A$1:$O$103,15,0)),0,VLOOKUP($S$202,'TAR FIN'!$A$1:$O$103,15,0))</f>
        <v>12.42</v>
      </c>
      <c r="W202" s="6">
        <f>IF(ISERROR(VLOOKUP($T$202,'TAR FIN'!$A$1:$O$103,15,0)),0,VLOOKUP($T$202,'TAR FIN'!$A$1:$O$103,15,0))</f>
        <v>69.37</v>
      </c>
      <c r="X202" s="6">
        <f>IF(ISERROR(VLOOKUP($U$202,'TAR FIN'!$A$1:$O$103,15,0)),0,VLOOKUP($U$202,'TAR FIN'!$A$1:$O$103,15,0))</f>
        <v>284.36</v>
      </c>
      <c r="Y202" s="6">
        <f ca="1">('TUSD BE'!$AM$16+'TUSD BF_350'!$AM$16+'TUSD CVA'!$AM$16)*1</f>
        <v>17.579999999999998</v>
      </c>
      <c r="Z202" s="6">
        <f ca="1">('TUSD BE'!$AM$17+'TUSD BF_350'!$AM$17+'TUSD CVA'!$AM$17)*1</f>
        <v>110.85</v>
      </c>
      <c r="AA202" s="6">
        <f ca="1">('TE BE'!$AB$9+'TE BF_350'!$AB$9+'TE CVA'!$AB$9)*1</f>
        <v>247.20000000000002</v>
      </c>
      <c r="AB202" s="6">
        <f>$K$202*$V$202</f>
        <v>2049.3000000000002</v>
      </c>
      <c r="AC202" s="6">
        <f>$M$202*$W$202</f>
        <v>3659.1981300000002</v>
      </c>
      <c r="AD202" s="6">
        <f>$O$202*$X$202</f>
        <v>14999.705640000002</v>
      </c>
      <c r="AE202" s="6">
        <f ca="1">$K$202*$Y$202</f>
        <v>2900.7</v>
      </c>
      <c r="AF202" s="6">
        <f ca="1">$M$202*$Z$202</f>
        <v>5847.2266499999996</v>
      </c>
      <c r="AG202" s="6">
        <f ca="1">$O$202*$AA$202</f>
        <v>13039.552800000001</v>
      </c>
    </row>
    <row r="203" spans="1:33" ht="11.25" customHeight="1" x14ac:dyDescent="0.25">
      <c r="A203" s="4" t="s">
        <v>21</v>
      </c>
      <c r="B203" s="4" t="s">
        <v>33</v>
      </c>
      <c r="C203" s="4" t="s">
        <v>41</v>
      </c>
      <c r="D203" s="4" t="s">
        <v>46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44501</v>
      </c>
      <c r="J203" s="6">
        <v>194</v>
      </c>
      <c r="K203" s="6">
        <v>194</v>
      </c>
      <c r="L203" s="6">
        <v>58.695</v>
      </c>
      <c r="M203" s="6">
        <v>58.695</v>
      </c>
      <c r="N203" s="6">
        <v>58.695</v>
      </c>
      <c r="O203" s="6">
        <v>58.695</v>
      </c>
      <c r="P203" s="6">
        <v>0</v>
      </c>
      <c r="Q203" s="4" t="s">
        <v>26</v>
      </c>
      <c r="R203" s="4">
        <v>0</v>
      </c>
      <c r="S203" s="6">
        <v>14</v>
      </c>
      <c r="T203" s="6">
        <v>15</v>
      </c>
      <c r="U203" s="6">
        <v>66</v>
      </c>
      <c r="V203" s="6">
        <f>IF(ISERROR(VLOOKUP($S$203,'TAR FIN'!$A$1:$O$103,15,0)),0,VLOOKUP($S$203,'TAR FIN'!$A$1:$O$103,15,0))</f>
        <v>12.42</v>
      </c>
      <c r="W203" s="6">
        <f>IF(ISERROR(VLOOKUP($T$203,'TAR FIN'!$A$1:$O$103,15,0)),0,VLOOKUP($T$203,'TAR FIN'!$A$1:$O$103,15,0))</f>
        <v>69.37</v>
      </c>
      <c r="X203" s="6">
        <f>IF(ISERROR(VLOOKUP($U$203,'TAR FIN'!$A$1:$O$103,15,0)),0,VLOOKUP($U$203,'TAR FIN'!$A$1:$O$103,15,0))</f>
        <v>284.36</v>
      </c>
      <c r="Y203" s="6">
        <f ca="1">('TUSD BE'!$AM$16+'TUSD BF_350'!$AM$16+'TUSD CVA'!$AM$16)*1</f>
        <v>17.579999999999998</v>
      </c>
      <c r="Z203" s="6">
        <f ca="1">('TUSD BE'!$AM$17+'TUSD BF_350'!$AM$17+'TUSD CVA'!$AM$17)*1</f>
        <v>110.85</v>
      </c>
      <c r="AA203" s="6">
        <f ca="1">('TE BE'!$AB$9+'TE BF_350'!$AB$9+'TE CVA'!$AB$9)*1</f>
        <v>247.20000000000002</v>
      </c>
      <c r="AB203" s="6">
        <f>$K$203*$V$203</f>
        <v>2409.48</v>
      </c>
      <c r="AC203" s="6">
        <f>$M$203*$W$203</f>
        <v>4071.6721500000003</v>
      </c>
      <c r="AD203" s="6">
        <f>$O$203*$X$203</f>
        <v>16690.510200000001</v>
      </c>
      <c r="AE203" s="6">
        <f ca="1">$K$203*$Y$203</f>
        <v>3410.5199999999995</v>
      </c>
      <c r="AF203" s="6">
        <f ca="1">$M$203*$Z$203</f>
        <v>6506.3407499999994</v>
      </c>
      <c r="AG203" s="6">
        <f ca="1">$O$203*$AA$203</f>
        <v>14509.404</v>
      </c>
    </row>
    <row r="204" spans="1:33" ht="11.25" customHeight="1" x14ac:dyDescent="0.25">
      <c r="A204" s="4" t="s">
        <v>21</v>
      </c>
      <c r="B204" s="4" t="s">
        <v>33</v>
      </c>
      <c r="C204" s="4" t="s">
        <v>41</v>
      </c>
      <c r="D204" s="4" t="s">
        <v>46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44531</v>
      </c>
      <c r="J204" s="6">
        <v>207</v>
      </c>
      <c r="K204" s="6">
        <v>207</v>
      </c>
      <c r="L204" s="6">
        <v>63.817</v>
      </c>
      <c r="M204" s="6">
        <v>63.817</v>
      </c>
      <c r="N204" s="6">
        <v>63.817</v>
      </c>
      <c r="O204" s="6">
        <v>63.817</v>
      </c>
      <c r="P204" s="6">
        <v>0</v>
      </c>
      <c r="Q204" s="4" t="s">
        <v>26</v>
      </c>
      <c r="R204" s="4">
        <v>0</v>
      </c>
      <c r="S204" s="6">
        <v>14</v>
      </c>
      <c r="T204" s="6">
        <v>15</v>
      </c>
      <c r="U204" s="6">
        <v>66</v>
      </c>
      <c r="V204" s="6">
        <f>IF(ISERROR(VLOOKUP($S$204,'TAR FIN'!$A$1:$O$103,15,0)),0,VLOOKUP($S$204,'TAR FIN'!$A$1:$O$103,15,0))</f>
        <v>12.42</v>
      </c>
      <c r="W204" s="6">
        <f>IF(ISERROR(VLOOKUP($T$204,'TAR FIN'!$A$1:$O$103,15,0)),0,VLOOKUP($T$204,'TAR FIN'!$A$1:$O$103,15,0))</f>
        <v>69.37</v>
      </c>
      <c r="X204" s="6">
        <f>IF(ISERROR(VLOOKUP($U$204,'TAR FIN'!$A$1:$O$103,15,0)),0,VLOOKUP($U$204,'TAR FIN'!$A$1:$O$103,15,0))</f>
        <v>284.36</v>
      </c>
      <c r="Y204" s="6">
        <f ca="1">('TUSD BE'!$AM$16+'TUSD BF_350'!$AM$16+'TUSD CVA'!$AM$16)*1</f>
        <v>17.579999999999998</v>
      </c>
      <c r="Z204" s="6">
        <f ca="1">('TUSD BE'!$AM$17+'TUSD BF_350'!$AM$17+'TUSD CVA'!$AM$17)*1</f>
        <v>110.85</v>
      </c>
      <c r="AA204" s="6">
        <f ca="1">('TE BE'!$AB$9+'TE BF_350'!$AB$9+'TE CVA'!$AB$9)*1</f>
        <v>247.20000000000002</v>
      </c>
      <c r="AB204" s="6">
        <f>$K$204*$V$204</f>
        <v>2570.94</v>
      </c>
      <c r="AC204" s="6">
        <f>$M$204*$W$204</f>
        <v>4426.9852900000005</v>
      </c>
      <c r="AD204" s="6">
        <f>$O$204*$X$204</f>
        <v>18147.002120000001</v>
      </c>
      <c r="AE204" s="6">
        <f ca="1">$K$204*$Y$204</f>
        <v>3639.0599999999995</v>
      </c>
      <c r="AF204" s="6">
        <f ca="1">$M$204*$Z$204</f>
        <v>7074.11445</v>
      </c>
      <c r="AG204" s="6">
        <f ca="1">$O$204*$AA$204</f>
        <v>15775.562400000001</v>
      </c>
    </row>
    <row r="205" spans="1:33" ht="11.25" customHeight="1" x14ac:dyDescent="0.25">
      <c r="A205" s="4" t="s">
        <v>21</v>
      </c>
      <c r="B205" s="4" t="s">
        <v>33</v>
      </c>
      <c r="C205" s="4" t="s">
        <v>41</v>
      </c>
      <c r="D205" s="4" t="s">
        <v>46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211</v>
      </c>
      <c r="K205" s="6">
        <v>211</v>
      </c>
      <c r="L205" s="6">
        <v>70.194000000000003</v>
      </c>
      <c r="M205" s="6">
        <v>70.194000000000003</v>
      </c>
      <c r="N205" s="6">
        <v>70.194000000000003</v>
      </c>
      <c r="O205" s="6">
        <v>70.194000000000003</v>
      </c>
      <c r="P205" s="6">
        <v>0</v>
      </c>
      <c r="Q205" s="4" t="s">
        <v>26</v>
      </c>
      <c r="R205" s="4">
        <v>0</v>
      </c>
      <c r="S205" s="6">
        <v>14</v>
      </c>
      <c r="T205" s="6">
        <v>15</v>
      </c>
      <c r="U205" s="6">
        <v>66</v>
      </c>
      <c r="V205" s="6">
        <f>IF(ISERROR(VLOOKUP($S$205,'TAR FIN'!$A$1:$O$103,15,0)),0,VLOOKUP($S$205,'TAR FIN'!$A$1:$O$103,15,0))</f>
        <v>12.42</v>
      </c>
      <c r="W205" s="6">
        <f>IF(ISERROR(VLOOKUP($T$205,'TAR FIN'!$A$1:$O$103,15,0)),0,VLOOKUP($T$205,'TAR FIN'!$A$1:$O$103,15,0))</f>
        <v>69.37</v>
      </c>
      <c r="X205" s="6">
        <f>IF(ISERROR(VLOOKUP($U$205,'TAR FIN'!$A$1:$O$103,15,0)),0,VLOOKUP($U$205,'TAR FIN'!$A$1:$O$103,15,0))</f>
        <v>284.36</v>
      </c>
      <c r="Y205" s="6">
        <f ca="1">('TUSD BE'!$AM$16+'TUSD BF_350'!$AM$16+'TUSD CVA'!$AM$16)*1</f>
        <v>17.579999999999998</v>
      </c>
      <c r="Z205" s="6">
        <f ca="1">('TUSD BE'!$AM$17+'TUSD BF_350'!$AM$17+'TUSD CVA'!$AM$17)*1</f>
        <v>110.85</v>
      </c>
      <c r="AA205" s="6">
        <f ca="1">('TE BE'!$AB$9+'TE BF_350'!$AB$9+'TE CVA'!$AB$9)*1</f>
        <v>247.20000000000002</v>
      </c>
      <c r="AB205" s="6">
        <f>$K$205*$V$205</f>
        <v>2620.62</v>
      </c>
      <c r="AC205" s="6">
        <f>$M$205*$W$205</f>
        <v>4869.3577800000003</v>
      </c>
      <c r="AD205" s="6">
        <f>$O$205*$X$205</f>
        <v>19960.365840000002</v>
      </c>
      <c r="AE205" s="6">
        <f ca="1">$K$205*$Y$205</f>
        <v>3709.3799999999997</v>
      </c>
      <c r="AF205" s="6">
        <f ca="1">$M$205*$Z$205</f>
        <v>7781.0048999999999</v>
      </c>
      <c r="AG205" s="6">
        <f ca="1">$O$205*$AA$205</f>
        <v>17351.956800000004</v>
      </c>
    </row>
    <row r="206" spans="1:33" ht="11.25" customHeight="1" x14ac:dyDescent="0.25">
      <c r="A206" s="4" t="s">
        <v>21</v>
      </c>
      <c r="B206" s="4" t="s">
        <v>33</v>
      </c>
      <c r="C206" s="4" t="s">
        <v>41</v>
      </c>
      <c r="D206" s="4" t="s">
        <v>46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213</v>
      </c>
      <c r="K206" s="6">
        <v>213</v>
      </c>
      <c r="L206" s="6">
        <v>67.41</v>
      </c>
      <c r="M206" s="6">
        <v>67.41</v>
      </c>
      <c r="N206" s="6">
        <v>67.41</v>
      </c>
      <c r="O206" s="6">
        <v>67.41</v>
      </c>
      <c r="P206" s="6">
        <v>0</v>
      </c>
      <c r="Q206" s="4" t="s">
        <v>26</v>
      </c>
      <c r="R206" s="4">
        <v>0</v>
      </c>
      <c r="S206" s="6">
        <v>14</v>
      </c>
      <c r="T206" s="6">
        <v>15</v>
      </c>
      <c r="U206" s="6">
        <v>66</v>
      </c>
      <c r="V206" s="6">
        <f>IF(ISERROR(VLOOKUP($S$206,'TAR FIN'!$A$1:$O$103,15,0)),0,VLOOKUP($S$206,'TAR FIN'!$A$1:$O$103,15,0))</f>
        <v>12.42</v>
      </c>
      <c r="W206" s="6">
        <f>IF(ISERROR(VLOOKUP($T$206,'TAR FIN'!$A$1:$O$103,15,0)),0,VLOOKUP($T$206,'TAR FIN'!$A$1:$O$103,15,0))</f>
        <v>69.37</v>
      </c>
      <c r="X206" s="6">
        <f>IF(ISERROR(VLOOKUP($U$206,'TAR FIN'!$A$1:$O$103,15,0)),0,VLOOKUP($U$206,'TAR FIN'!$A$1:$O$103,15,0))</f>
        <v>284.36</v>
      </c>
      <c r="Y206" s="6">
        <f ca="1">('TUSD BE'!$AM$16+'TUSD BF_350'!$AM$16+'TUSD CVA'!$AM$16)*1</f>
        <v>17.579999999999998</v>
      </c>
      <c r="Z206" s="6">
        <f ca="1">('TUSD BE'!$AM$17+'TUSD BF_350'!$AM$17+'TUSD CVA'!$AM$17)*1</f>
        <v>110.85</v>
      </c>
      <c r="AA206" s="6">
        <f ca="1">('TE BE'!$AB$9+'TE BF_350'!$AB$9+'TE CVA'!$AB$9)*1</f>
        <v>247.20000000000002</v>
      </c>
      <c r="AB206" s="6">
        <f>$K$206*$V$206</f>
        <v>2645.46</v>
      </c>
      <c r="AC206" s="6">
        <f>$M$206*$W$206</f>
        <v>4676.2317000000003</v>
      </c>
      <c r="AD206" s="6">
        <f>$O$206*$X$206</f>
        <v>19168.707600000002</v>
      </c>
      <c r="AE206" s="6">
        <f ca="1">$K$206*$Y$206</f>
        <v>3744.5399999999995</v>
      </c>
      <c r="AF206" s="6">
        <f ca="1">$M$206*$Z$206</f>
        <v>7472.3984999999993</v>
      </c>
      <c r="AG206" s="6">
        <f ca="1">$O$206*$AA$206</f>
        <v>16663.752</v>
      </c>
    </row>
    <row r="207" spans="1:33" ht="11.25" customHeight="1" x14ac:dyDescent="0.25">
      <c r="A207" s="4" t="s">
        <v>21</v>
      </c>
      <c r="B207" s="4" t="s">
        <v>33</v>
      </c>
      <c r="C207" s="4" t="s">
        <v>41</v>
      </c>
      <c r="D207" s="4" t="s">
        <v>46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44621</v>
      </c>
      <c r="J207" s="6">
        <v>199</v>
      </c>
      <c r="K207" s="6">
        <v>199</v>
      </c>
      <c r="L207" s="6">
        <v>74.602000000000004</v>
      </c>
      <c r="M207" s="6">
        <v>74.602000000000004</v>
      </c>
      <c r="N207" s="6">
        <v>74.602000000000004</v>
      </c>
      <c r="O207" s="6">
        <v>74.602000000000004</v>
      </c>
      <c r="P207" s="6">
        <v>0</v>
      </c>
      <c r="Q207" s="4" t="s">
        <v>26</v>
      </c>
      <c r="R207" s="4">
        <v>0</v>
      </c>
      <c r="S207" s="6">
        <v>14</v>
      </c>
      <c r="T207" s="6">
        <v>15</v>
      </c>
      <c r="U207" s="6">
        <v>66</v>
      </c>
      <c r="V207" s="6">
        <f>IF(ISERROR(VLOOKUP($S$207,'TAR FIN'!$A$1:$O$103,15,0)),0,VLOOKUP($S$207,'TAR FIN'!$A$1:$O$103,15,0))</f>
        <v>12.42</v>
      </c>
      <c r="W207" s="6">
        <f>IF(ISERROR(VLOOKUP($T$207,'TAR FIN'!$A$1:$O$103,15,0)),0,VLOOKUP($T$207,'TAR FIN'!$A$1:$O$103,15,0))</f>
        <v>69.37</v>
      </c>
      <c r="X207" s="6">
        <f>IF(ISERROR(VLOOKUP($U$207,'TAR FIN'!$A$1:$O$103,15,0)),0,VLOOKUP($U$207,'TAR FIN'!$A$1:$O$103,15,0))</f>
        <v>284.36</v>
      </c>
      <c r="Y207" s="6">
        <f ca="1">('TUSD BE'!$AM$16+'TUSD BF_350'!$AM$16+'TUSD CVA'!$AM$16)*1</f>
        <v>17.579999999999998</v>
      </c>
      <c r="Z207" s="6">
        <f ca="1">('TUSD BE'!$AM$17+'TUSD BF_350'!$AM$17+'TUSD CVA'!$AM$17)*1</f>
        <v>110.85</v>
      </c>
      <c r="AA207" s="6">
        <f ca="1">('TE BE'!$AB$9+'TE BF_350'!$AB$9+'TE CVA'!$AB$9)*1</f>
        <v>247.20000000000002</v>
      </c>
      <c r="AB207" s="6">
        <f>$K$207*$V$207</f>
        <v>2471.58</v>
      </c>
      <c r="AC207" s="6">
        <f>$M$207*$W$207</f>
        <v>5175.1407400000007</v>
      </c>
      <c r="AD207" s="6">
        <f>$O$207*$X$207</f>
        <v>21213.824720000001</v>
      </c>
      <c r="AE207" s="6">
        <f ca="1">$K$207*$Y$207</f>
        <v>3498.4199999999996</v>
      </c>
      <c r="AF207" s="6">
        <f ca="1">$M$207*$Z$207</f>
        <v>8269.6316999999999</v>
      </c>
      <c r="AG207" s="6">
        <f ca="1">$O$207*$AA$207</f>
        <v>18441.614400000002</v>
      </c>
    </row>
    <row r="208" spans="1:33" ht="11.25" customHeight="1" x14ac:dyDescent="0.25">
      <c r="A208" s="4" t="s">
        <v>21</v>
      </c>
      <c r="B208" s="4" t="s">
        <v>33</v>
      </c>
      <c r="C208" s="4" t="s">
        <v>41</v>
      </c>
      <c r="D208" s="4" t="s">
        <v>46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44652</v>
      </c>
      <c r="J208" s="6">
        <v>194</v>
      </c>
      <c r="K208" s="6">
        <v>194</v>
      </c>
      <c r="L208" s="6">
        <v>58.408999999999999</v>
      </c>
      <c r="M208" s="6">
        <v>58.408999999999999</v>
      </c>
      <c r="N208" s="6">
        <v>58.408999999999999</v>
      </c>
      <c r="O208" s="6">
        <v>58.408999999999999</v>
      </c>
      <c r="P208" s="6">
        <v>0</v>
      </c>
      <c r="Q208" s="4" t="s">
        <v>26</v>
      </c>
      <c r="R208" s="4">
        <v>0</v>
      </c>
      <c r="S208" s="6">
        <v>14</v>
      </c>
      <c r="T208" s="6">
        <v>15</v>
      </c>
      <c r="U208" s="6">
        <v>66</v>
      </c>
      <c r="V208" s="6">
        <f>IF(ISERROR(VLOOKUP($S$208,'TAR FIN'!$A$1:$O$103,15,0)),0,VLOOKUP($S$208,'TAR FIN'!$A$1:$O$103,15,0))</f>
        <v>12.42</v>
      </c>
      <c r="W208" s="6">
        <f>IF(ISERROR(VLOOKUP($T$208,'TAR FIN'!$A$1:$O$103,15,0)),0,VLOOKUP($T$208,'TAR FIN'!$A$1:$O$103,15,0))</f>
        <v>69.37</v>
      </c>
      <c r="X208" s="6">
        <f>IF(ISERROR(VLOOKUP($U$208,'TAR FIN'!$A$1:$O$103,15,0)),0,VLOOKUP($U$208,'TAR FIN'!$A$1:$O$103,15,0))</f>
        <v>284.36</v>
      </c>
      <c r="Y208" s="6">
        <f ca="1">('TUSD BE'!$AM$16+'TUSD BF_350'!$AM$16+'TUSD CVA'!$AM$16)*1</f>
        <v>17.579999999999998</v>
      </c>
      <c r="Z208" s="6">
        <f ca="1">('TUSD BE'!$AM$17+'TUSD BF_350'!$AM$17+'TUSD CVA'!$AM$17)*1</f>
        <v>110.85</v>
      </c>
      <c r="AA208" s="6">
        <f ca="1">('TE BE'!$AB$9+'TE BF_350'!$AB$9+'TE CVA'!$AB$9)*1</f>
        <v>247.20000000000002</v>
      </c>
      <c r="AB208" s="6">
        <f>$K$208*$V$208</f>
        <v>2409.48</v>
      </c>
      <c r="AC208" s="6">
        <f>$M$208*$W$208</f>
        <v>4051.8323300000002</v>
      </c>
      <c r="AD208" s="6">
        <f>$O$208*$X$208</f>
        <v>16609.183240000002</v>
      </c>
      <c r="AE208" s="6">
        <f ca="1">$K$208*$Y$208</f>
        <v>3410.5199999999995</v>
      </c>
      <c r="AF208" s="6">
        <f ca="1">$M$208*$Z$208</f>
        <v>6474.6376499999997</v>
      </c>
      <c r="AG208" s="6">
        <f ca="1">$O$208*$AA$208</f>
        <v>14438.704800000001</v>
      </c>
    </row>
    <row r="209" spans="1:33" ht="11.25" customHeight="1" x14ac:dyDescent="0.25">
      <c r="A209" s="4" t="s">
        <v>21</v>
      </c>
      <c r="B209" s="4" t="s">
        <v>33</v>
      </c>
      <c r="C209" s="4" t="s">
        <v>41</v>
      </c>
      <c r="D209" s="4" t="s">
        <v>46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44682</v>
      </c>
      <c r="J209" s="6">
        <v>192</v>
      </c>
      <c r="K209" s="6">
        <v>192</v>
      </c>
      <c r="L209" s="6">
        <v>61.29</v>
      </c>
      <c r="M209" s="6">
        <v>61.29</v>
      </c>
      <c r="N209" s="6">
        <v>61.29</v>
      </c>
      <c r="O209" s="6">
        <v>61.29</v>
      </c>
      <c r="P209" s="6">
        <v>0</v>
      </c>
      <c r="Q209" s="4" t="s">
        <v>26</v>
      </c>
      <c r="R209" s="4">
        <v>0</v>
      </c>
      <c r="S209" s="6">
        <v>14</v>
      </c>
      <c r="T209" s="6">
        <v>15</v>
      </c>
      <c r="U209" s="6">
        <v>66</v>
      </c>
      <c r="V209" s="6">
        <f>IF(ISERROR(VLOOKUP($S$209,'TAR FIN'!$A$1:$O$103,15,0)),0,VLOOKUP($S$209,'TAR FIN'!$A$1:$O$103,15,0))</f>
        <v>12.42</v>
      </c>
      <c r="W209" s="6">
        <f>IF(ISERROR(VLOOKUP($T$209,'TAR FIN'!$A$1:$O$103,15,0)),0,VLOOKUP($T$209,'TAR FIN'!$A$1:$O$103,15,0))</f>
        <v>69.37</v>
      </c>
      <c r="X209" s="6">
        <f>IF(ISERROR(VLOOKUP($U$209,'TAR FIN'!$A$1:$O$103,15,0)),0,VLOOKUP($U$209,'TAR FIN'!$A$1:$O$103,15,0))</f>
        <v>284.36</v>
      </c>
      <c r="Y209" s="6">
        <f ca="1">('TUSD BE'!$AM$16+'TUSD BF_350'!$AM$16+'TUSD CVA'!$AM$16)*1</f>
        <v>17.579999999999998</v>
      </c>
      <c r="Z209" s="6">
        <f ca="1">('TUSD BE'!$AM$17+'TUSD BF_350'!$AM$17+'TUSD CVA'!$AM$17)*1</f>
        <v>110.85</v>
      </c>
      <c r="AA209" s="6">
        <f ca="1">('TE BE'!$AB$9+'TE BF_350'!$AB$9+'TE CVA'!$AB$9)*1</f>
        <v>247.20000000000002</v>
      </c>
      <c r="AB209" s="6">
        <f>$K$209*$V$209</f>
        <v>2384.64</v>
      </c>
      <c r="AC209" s="6">
        <f>$M$209*$W$209</f>
        <v>4251.6873000000005</v>
      </c>
      <c r="AD209" s="6">
        <f>$O$209*$X$209</f>
        <v>17428.4244</v>
      </c>
      <c r="AE209" s="6">
        <f ca="1">$K$209*$Y$209</f>
        <v>3375.3599999999997</v>
      </c>
      <c r="AF209" s="6">
        <f ca="1">$M$209*$Z$209</f>
        <v>6793.9964999999993</v>
      </c>
      <c r="AG209" s="6">
        <f ca="1">$O$209*$AA$209</f>
        <v>15150.888000000001</v>
      </c>
    </row>
    <row r="210" spans="1:33" ht="11.25" customHeight="1" x14ac:dyDescent="0.25">
      <c r="A210" s="4" t="s">
        <v>21</v>
      </c>
      <c r="B210" s="4" t="s">
        <v>33</v>
      </c>
      <c r="C210" s="4" t="s">
        <v>41</v>
      </c>
      <c r="D210" s="4" t="s">
        <v>46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44348</v>
      </c>
      <c r="J210" s="6">
        <v>179</v>
      </c>
      <c r="K210" s="6">
        <v>179</v>
      </c>
      <c r="L210" s="6">
        <v>7.194</v>
      </c>
      <c r="M210" s="6">
        <v>7.194</v>
      </c>
      <c r="N210" s="6">
        <v>7.194</v>
      </c>
      <c r="O210" s="6">
        <v>7.194</v>
      </c>
      <c r="P210" s="6">
        <v>0</v>
      </c>
      <c r="Q210" s="4" t="s">
        <v>26</v>
      </c>
      <c r="R210" s="4">
        <v>0</v>
      </c>
      <c r="S210" s="6">
        <v>13</v>
      </c>
      <c r="T210" s="6">
        <v>15</v>
      </c>
      <c r="U210" s="6">
        <v>65</v>
      </c>
      <c r="V210" s="6">
        <f>IF(ISERROR(VLOOKUP($S$210,'TAR FIN'!$A$1:$O$103,15,0)),0,VLOOKUP($S$210,'TAR FIN'!$A$1:$O$103,15,0))</f>
        <v>31.72</v>
      </c>
      <c r="W210" s="6">
        <f>IF(ISERROR(VLOOKUP($T$210,'TAR FIN'!$A$1:$O$103,15,0)),0,VLOOKUP($T$210,'TAR FIN'!$A$1:$O$103,15,0))</f>
        <v>69.37</v>
      </c>
      <c r="X210" s="6">
        <f>IF(ISERROR(VLOOKUP($U$210,'TAR FIN'!$A$1:$O$103,15,0)),0,VLOOKUP($U$210,'TAR FIN'!$A$1:$O$103,15,0))</f>
        <v>454.9</v>
      </c>
      <c r="Y210" s="6">
        <f ca="1">('TUSD BE'!$AM$15+'TUSD BF_350'!$AM$15+'TUSD CVA'!$AM$15)*1</f>
        <v>37.770000000000003</v>
      </c>
      <c r="Z210" s="6">
        <f ca="1">('TUSD BE'!$AM$17+'TUSD BF_350'!$AM$17+'TUSD CVA'!$AM$17)*1</f>
        <v>110.85</v>
      </c>
      <c r="AA210" s="6">
        <f ca="1">('TE BE'!$AB$8+'TE BF_350'!$AB$8+'TE CVA'!$AB$8)*1</f>
        <v>388.08000000000004</v>
      </c>
      <c r="AB210" s="6">
        <f>$K$210*$V$210</f>
        <v>5677.88</v>
      </c>
      <c r="AC210" s="6">
        <f>$M$210*$W$210</f>
        <v>499.04778000000005</v>
      </c>
      <c r="AD210" s="6">
        <f>$O$210*$X$210</f>
        <v>3272.5506</v>
      </c>
      <c r="AE210" s="6">
        <f ca="1">$K$210*$Y$210</f>
        <v>6760.8300000000008</v>
      </c>
      <c r="AF210" s="6">
        <f ca="1">$M$210*$Z$210</f>
        <v>797.45489999999995</v>
      </c>
      <c r="AG210" s="6">
        <f ca="1">$O$210*$AA$210</f>
        <v>2791.8475200000003</v>
      </c>
    </row>
    <row r="211" spans="1:33" ht="11.25" customHeight="1" x14ac:dyDescent="0.25">
      <c r="A211" s="4" t="s">
        <v>21</v>
      </c>
      <c r="B211" s="4" t="s">
        <v>33</v>
      </c>
      <c r="C211" s="4" t="s">
        <v>41</v>
      </c>
      <c r="D211" s="4" t="s">
        <v>46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44378</v>
      </c>
      <c r="J211" s="6">
        <v>173</v>
      </c>
      <c r="K211" s="6">
        <v>173</v>
      </c>
      <c r="L211" s="6">
        <v>7.718</v>
      </c>
      <c r="M211" s="6">
        <v>7.718</v>
      </c>
      <c r="N211" s="6">
        <v>7.718</v>
      </c>
      <c r="O211" s="6">
        <v>7.718</v>
      </c>
      <c r="P211" s="6">
        <v>0</v>
      </c>
      <c r="Q211" s="4" t="s">
        <v>26</v>
      </c>
      <c r="R211" s="4">
        <v>0</v>
      </c>
      <c r="S211" s="6">
        <v>13</v>
      </c>
      <c r="T211" s="6">
        <v>15</v>
      </c>
      <c r="U211" s="6">
        <v>65</v>
      </c>
      <c r="V211" s="6">
        <f>IF(ISERROR(VLOOKUP($S$211,'TAR FIN'!$A$1:$O$103,15,0)),0,VLOOKUP($S$211,'TAR FIN'!$A$1:$O$103,15,0))</f>
        <v>31.72</v>
      </c>
      <c r="W211" s="6">
        <f>IF(ISERROR(VLOOKUP($T$211,'TAR FIN'!$A$1:$O$103,15,0)),0,VLOOKUP($T$211,'TAR FIN'!$A$1:$O$103,15,0))</f>
        <v>69.37</v>
      </c>
      <c r="X211" s="6">
        <f>IF(ISERROR(VLOOKUP($U$211,'TAR FIN'!$A$1:$O$103,15,0)),0,VLOOKUP($U$211,'TAR FIN'!$A$1:$O$103,15,0))</f>
        <v>454.9</v>
      </c>
      <c r="Y211" s="6">
        <f ca="1">('TUSD BE'!$AM$15+'TUSD BF_350'!$AM$15+'TUSD CVA'!$AM$15)*1</f>
        <v>37.770000000000003</v>
      </c>
      <c r="Z211" s="6">
        <f ca="1">('TUSD BE'!$AM$17+'TUSD BF_350'!$AM$17+'TUSD CVA'!$AM$17)*1</f>
        <v>110.85</v>
      </c>
      <c r="AA211" s="6">
        <f ca="1">('TE BE'!$AB$8+'TE BF_350'!$AB$8+'TE CVA'!$AB$8)*1</f>
        <v>388.08000000000004</v>
      </c>
      <c r="AB211" s="6">
        <f>$K$211*$V$211</f>
        <v>5487.5599999999995</v>
      </c>
      <c r="AC211" s="6">
        <f>$M$211*$W$211</f>
        <v>535.39766000000009</v>
      </c>
      <c r="AD211" s="6">
        <f>$O$211*$X$211</f>
        <v>3510.9181999999996</v>
      </c>
      <c r="AE211" s="6">
        <f ca="1">$K$211*$Y$211</f>
        <v>6534.2100000000009</v>
      </c>
      <c r="AF211" s="6">
        <f ca="1">$M$211*$Z$211</f>
        <v>855.5403</v>
      </c>
      <c r="AG211" s="6">
        <f ca="1">$O$211*$AA$211</f>
        <v>2995.2014400000003</v>
      </c>
    </row>
    <row r="212" spans="1:33" ht="11.25" customHeight="1" x14ac:dyDescent="0.25">
      <c r="A212" s="4" t="s">
        <v>21</v>
      </c>
      <c r="B212" s="4" t="s">
        <v>33</v>
      </c>
      <c r="C212" s="4" t="s">
        <v>41</v>
      </c>
      <c r="D212" s="4" t="s">
        <v>46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44409</v>
      </c>
      <c r="J212" s="6">
        <v>154</v>
      </c>
      <c r="K212" s="6">
        <v>154</v>
      </c>
      <c r="L212" s="6">
        <v>6.681</v>
      </c>
      <c r="M212" s="6">
        <v>6.681</v>
      </c>
      <c r="N212" s="6">
        <v>6.681</v>
      </c>
      <c r="O212" s="6">
        <v>6.681</v>
      </c>
      <c r="P212" s="6">
        <v>0</v>
      </c>
      <c r="Q212" s="4" t="s">
        <v>26</v>
      </c>
      <c r="R212" s="4">
        <v>0</v>
      </c>
      <c r="S212" s="6">
        <v>13</v>
      </c>
      <c r="T212" s="6">
        <v>15</v>
      </c>
      <c r="U212" s="6">
        <v>65</v>
      </c>
      <c r="V212" s="6">
        <f>IF(ISERROR(VLOOKUP($S$212,'TAR FIN'!$A$1:$O$103,15,0)),0,VLOOKUP($S$212,'TAR FIN'!$A$1:$O$103,15,0))</f>
        <v>31.72</v>
      </c>
      <c r="W212" s="6">
        <f>IF(ISERROR(VLOOKUP($T$212,'TAR FIN'!$A$1:$O$103,15,0)),0,VLOOKUP($T$212,'TAR FIN'!$A$1:$O$103,15,0))</f>
        <v>69.37</v>
      </c>
      <c r="X212" s="6">
        <f>IF(ISERROR(VLOOKUP($U$212,'TAR FIN'!$A$1:$O$103,15,0)),0,VLOOKUP($U$212,'TAR FIN'!$A$1:$O$103,15,0))</f>
        <v>454.9</v>
      </c>
      <c r="Y212" s="6">
        <f ca="1">('TUSD BE'!$AM$15+'TUSD BF_350'!$AM$15+'TUSD CVA'!$AM$15)*1</f>
        <v>37.770000000000003</v>
      </c>
      <c r="Z212" s="6">
        <f ca="1">('TUSD BE'!$AM$17+'TUSD BF_350'!$AM$17+'TUSD CVA'!$AM$17)*1</f>
        <v>110.85</v>
      </c>
      <c r="AA212" s="6">
        <f ca="1">('TE BE'!$AB$8+'TE BF_350'!$AB$8+'TE CVA'!$AB$8)*1</f>
        <v>388.08000000000004</v>
      </c>
      <c r="AB212" s="6">
        <f>$K$212*$V$212</f>
        <v>4884.88</v>
      </c>
      <c r="AC212" s="6">
        <f>$M$212*$W$212</f>
        <v>463.46097000000003</v>
      </c>
      <c r="AD212" s="6">
        <f>$O$212*$X$212</f>
        <v>3039.1868999999997</v>
      </c>
      <c r="AE212" s="6">
        <f ca="1">$K$212*$Y$212</f>
        <v>5816.5800000000008</v>
      </c>
      <c r="AF212" s="6">
        <f ca="1">$M$212*$Z$212</f>
        <v>740.58884999999998</v>
      </c>
      <c r="AG212" s="6">
        <f ca="1">$O$212*$AA$212</f>
        <v>2592.7624800000003</v>
      </c>
    </row>
    <row r="213" spans="1:33" ht="11.25" customHeight="1" x14ac:dyDescent="0.25">
      <c r="A213" s="4" t="s">
        <v>21</v>
      </c>
      <c r="B213" s="4" t="s">
        <v>33</v>
      </c>
      <c r="C213" s="4" t="s">
        <v>41</v>
      </c>
      <c r="D213" s="4" t="s">
        <v>46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44440</v>
      </c>
      <c r="J213" s="6">
        <v>176</v>
      </c>
      <c r="K213" s="6">
        <v>176</v>
      </c>
      <c r="L213" s="6">
        <v>7.0259999999999998</v>
      </c>
      <c r="M213" s="6">
        <v>7.0259999999999998</v>
      </c>
      <c r="N213" s="6">
        <v>7.0259999999999998</v>
      </c>
      <c r="O213" s="6">
        <v>7.0259999999999998</v>
      </c>
      <c r="P213" s="6">
        <v>0</v>
      </c>
      <c r="Q213" s="4" t="s">
        <v>26</v>
      </c>
      <c r="R213" s="4">
        <v>0</v>
      </c>
      <c r="S213" s="6">
        <v>13</v>
      </c>
      <c r="T213" s="6">
        <v>15</v>
      </c>
      <c r="U213" s="6">
        <v>65</v>
      </c>
      <c r="V213" s="6">
        <f>IF(ISERROR(VLOOKUP($S$213,'TAR FIN'!$A$1:$O$103,15,0)),0,VLOOKUP($S$213,'TAR FIN'!$A$1:$O$103,15,0))</f>
        <v>31.72</v>
      </c>
      <c r="W213" s="6">
        <f>IF(ISERROR(VLOOKUP($T$213,'TAR FIN'!$A$1:$O$103,15,0)),0,VLOOKUP($T$213,'TAR FIN'!$A$1:$O$103,15,0))</f>
        <v>69.37</v>
      </c>
      <c r="X213" s="6">
        <f>IF(ISERROR(VLOOKUP($U$213,'TAR FIN'!$A$1:$O$103,15,0)),0,VLOOKUP($U$213,'TAR FIN'!$A$1:$O$103,15,0))</f>
        <v>454.9</v>
      </c>
      <c r="Y213" s="6">
        <f ca="1">('TUSD BE'!$AM$15+'TUSD BF_350'!$AM$15+'TUSD CVA'!$AM$15)*1</f>
        <v>37.770000000000003</v>
      </c>
      <c r="Z213" s="6">
        <f ca="1">('TUSD BE'!$AM$17+'TUSD BF_350'!$AM$17+'TUSD CVA'!$AM$17)*1</f>
        <v>110.85</v>
      </c>
      <c r="AA213" s="6">
        <f ca="1">('TE BE'!$AB$8+'TE BF_350'!$AB$8+'TE CVA'!$AB$8)*1</f>
        <v>388.08000000000004</v>
      </c>
      <c r="AB213" s="6">
        <f>$K$213*$V$213</f>
        <v>5582.7199999999993</v>
      </c>
      <c r="AC213" s="6">
        <f>$M$213*$W$213</f>
        <v>487.39362</v>
      </c>
      <c r="AD213" s="6">
        <f>$O$213*$X$213</f>
        <v>3196.1273999999999</v>
      </c>
      <c r="AE213" s="6">
        <f ca="1">$K$213*$Y$213</f>
        <v>6647.52</v>
      </c>
      <c r="AF213" s="6">
        <f ca="1">$M$213*$Z$213</f>
        <v>778.83209999999997</v>
      </c>
      <c r="AG213" s="6">
        <f ca="1">$O$213*$AA$213</f>
        <v>2726.6500800000003</v>
      </c>
    </row>
    <row r="214" spans="1:33" ht="11.25" customHeight="1" x14ac:dyDescent="0.25">
      <c r="A214" s="4" t="s">
        <v>21</v>
      </c>
      <c r="B214" s="4" t="s">
        <v>33</v>
      </c>
      <c r="C214" s="4" t="s">
        <v>41</v>
      </c>
      <c r="D214" s="4" t="s">
        <v>46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44470</v>
      </c>
      <c r="J214" s="6">
        <v>126</v>
      </c>
      <c r="K214" s="6">
        <v>126</v>
      </c>
      <c r="L214" s="6">
        <v>5.4720000000000004</v>
      </c>
      <c r="M214" s="6">
        <v>5.4720000000000004</v>
      </c>
      <c r="N214" s="6">
        <v>5.4720000000000004</v>
      </c>
      <c r="O214" s="6">
        <v>5.4720000000000004</v>
      </c>
      <c r="P214" s="6">
        <v>0</v>
      </c>
      <c r="Q214" s="4" t="s">
        <v>26</v>
      </c>
      <c r="R214" s="4">
        <v>0</v>
      </c>
      <c r="S214" s="6">
        <v>13</v>
      </c>
      <c r="T214" s="6">
        <v>15</v>
      </c>
      <c r="U214" s="6">
        <v>65</v>
      </c>
      <c r="V214" s="6">
        <f>IF(ISERROR(VLOOKUP($S$214,'TAR FIN'!$A$1:$O$103,15,0)),0,VLOOKUP($S$214,'TAR FIN'!$A$1:$O$103,15,0))</f>
        <v>31.72</v>
      </c>
      <c r="W214" s="6">
        <f>IF(ISERROR(VLOOKUP($T$214,'TAR FIN'!$A$1:$O$103,15,0)),0,VLOOKUP($T$214,'TAR FIN'!$A$1:$O$103,15,0))</f>
        <v>69.37</v>
      </c>
      <c r="X214" s="6">
        <f>IF(ISERROR(VLOOKUP($U$214,'TAR FIN'!$A$1:$O$103,15,0)),0,VLOOKUP($U$214,'TAR FIN'!$A$1:$O$103,15,0))</f>
        <v>454.9</v>
      </c>
      <c r="Y214" s="6">
        <f ca="1">('TUSD BE'!$AM$15+'TUSD BF_350'!$AM$15+'TUSD CVA'!$AM$15)*1</f>
        <v>37.770000000000003</v>
      </c>
      <c r="Z214" s="6">
        <f ca="1">('TUSD BE'!$AM$17+'TUSD BF_350'!$AM$17+'TUSD CVA'!$AM$17)*1</f>
        <v>110.85</v>
      </c>
      <c r="AA214" s="6">
        <f ca="1">('TE BE'!$AB$8+'TE BF_350'!$AB$8+'TE CVA'!$AB$8)*1</f>
        <v>388.08000000000004</v>
      </c>
      <c r="AB214" s="6">
        <f>$K$214*$V$214</f>
        <v>3996.72</v>
      </c>
      <c r="AC214" s="6">
        <f>$M$214*$W$214</f>
        <v>379.59264000000007</v>
      </c>
      <c r="AD214" s="6">
        <f>$O$214*$X$214</f>
        <v>2489.2128000000002</v>
      </c>
      <c r="AE214" s="6">
        <f ca="1">$K$214*$Y$214</f>
        <v>4759.0200000000004</v>
      </c>
      <c r="AF214" s="6">
        <f ca="1">$M$214*$Z$214</f>
        <v>606.57119999999998</v>
      </c>
      <c r="AG214" s="6">
        <f ca="1">$O$214*$AA$214</f>
        <v>2123.5737600000002</v>
      </c>
    </row>
    <row r="215" spans="1:33" ht="11.25" customHeight="1" x14ac:dyDescent="0.25">
      <c r="A215" s="4" t="s">
        <v>21</v>
      </c>
      <c r="B215" s="4" t="s">
        <v>33</v>
      </c>
      <c r="C215" s="4" t="s">
        <v>41</v>
      </c>
      <c r="D215" s="4" t="s">
        <v>46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44501</v>
      </c>
      <c r="J215" s="6">
        <v>126</v>
      </c>
      <c r="K215" s="6">
        <v>126</v>
      </c>
      <c r="L215" s="6">
        <v>6.4649999999999999</v>
      </c>
      <c r="M215" s="6">
        <v>6.4649999999999999</v>
      </c>
      <c r="N215" s="6">
        <v>6.4649999999999999</v>
      </c>
      <c r="O215" s="6">
        <v>6.4649999999999999</v>
      </c>
      <c r="P215" s="6">
        <v>0</v>
      </c>
      <c r="Q215" s="4" t="s">
        <v>26</v>
      </c>
      <c r="R215" s="4">
        <v>0</v>
      </c>
      <c r="S215" s="6">
        <v>13</v>
      </c>
      <c r="T215" s="6">
        <v>15</v>
      </c>
      <c r="U215" s="6">
        <v>65</v>
      </c>
      <c r="V215" s="6">
        <f>IF(ISERROR(VLOOKUP($S$215,'TAR FIN'!$A$1:$O$103,15,0)),0,VLOOKUP($S$215,'TAR FIN'!$A$1:$O$103,15,0))</f>
        <v>31.72</v>
      </c>
      <c r="W215" s="6">
        <f>IF(ISERROR(VLOOKUP($T$215,'TAR FIN'!$A$1:$O$103,15,0)),0,VLOOKUP($T$215,'TAR FIN'!$A$1:$O$103,15,0))</f>
        <v>69.37</v>
      </c>
      <c r="X215" s="6">
        <f>IF(ISERROR(VLOOKUP($U$215,'TAR FIN'!$A$1:$O$103,15,0)),0,VLOOKUP($U$215,'TAR FIN'!$A$1:$O$103,15,0))</f>
        <v>454.9</v>
      </c>
      <c r="Y215" s="6">
        <f ca="1">('TUSD BE'!$AM$15+'TUSD BF_350'!$AM$15+'TUSD CVA'!$AM$15)*1</f>
        <v>37.770000000000003</v>
      </c>
      <c r="Z215" s="6">
        <f ca="1">('TUSD BE'!$AM$17+'TUSD BF_350'!$AM$17+'TUSD CVA'!$AM$17)*1</f>
        <v>110.85</v>
      </c>
      <c r="AA215" s="6">
        <f ca="1">('TE BE'!$AB$8+'TE BF_350'!$AB$8+'TE CVA'!$AB$8)*1</f>
        <v>388.08000000000004</v>
      </c>
      <c r="AB215" s="6">
        <f>$K$215*$V$215</f>
        <v>3996.72</v>
      </c>
      <c r="AC215" s="6">
        <f>$M$215*$W$215</f>
        <v>448.47705000000002</v>
      </c>
      <c r="AD215" s="6">
        <f>$O$215*$X$215</f>
        <v>2940.9285</v>
      </c>
      <c r="AE215" s="6">
        <f ca="1">$K$215*$Y$215</f>
        <v>4759.0200000000004</v>
      </c>
      <c r="AF215" s="6">
        <f ca="1">$M$215*$Z$215</f>
        <v>716.64524999999992</v>
      </c>
      <c r="AG215" s="6">
        <f ca="1">$O$215*$AA$215</f>
        <v>2508.9372000000003</v>
      </c>
    </row>
    <row r="216" spans="1:33" ht="11.25" customHeight="1" x14ac:dyDescent="0.25">
      <c r="A216" s="4" t="s">
        <v>21</v>
      </c>
      <c r="B216" s="4" t="s">
        <v>33</v>
      </c>
      <c r="C216" s="4" t="s">
        <v>41</v>
      </c>
      <c r="D216" s="4" t="s">
        <v>46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44531</v>
      </c>
      <c r="J216" s="6">
        <v>149</v>
      </c>
      <c r="K216" s="6">
        <v>149</v>
      </c>
      <c r="L216" s="6">
        <v>6.9580000000000002</v>
      </c>
      <c r="M216" s="6">
        <v>6.9580000000000002</v>
      </c>
      <c r="N216" s="6">
        <v>6.9580000000000002</v>
      </c>
      <c r="O216" s="6">
        <v>6.9580000000000002</v>
      </c>
      <c r="P216" s="6">
        <v>0</v>
      </c>
      <c r="Q216" s="4" t="s">
        <v>26</v>
      </c>
      <c r="R216" s="4">
        <v>0</v>
      </c>
      <c r="S216" s="6">
        <v>13</v>
      </c>
      <c r="T216" s="6">
        <v>15</v>
      </c>
      <c r="U216" s="6">
        <v>65</v>
      </c>
      <c r="V216" s="6">
        <f>IF(ISERROR(VLOOKUP($S$216,'TAR FIN'!$A$1:$O$103,15,0)),0,VLOOKUP($S$216,'TAR FIN'!$A$1:$O$103,15,0))</f>
        <v>31.72</v>
      </c>
      <c r="W216" s="6">
        <f>IF(ISERROR(VLOOKUP($T$216,'TAR FIN'!$A$1:$O$103,15,0)),0,VLOOKUP($T$216,'TAR FIN'!$A$1:$O$103,15,0))</f>
        <v>69.37</v>
      </c>
      <c r="X216" s="6">
        <f>IF(ISERROR(VLOOKUP($U$216,'TAR FIN'!$A$1:$O$103,15,0)),0,VLOOKUP($U$216,'TAR FIN'!$A$1:$O$103,15,0))</f>
        <v>454.9</v>
      </c>
      <c r="Y216" s="6">
        <f ca="1">('TUSD BE'!$AM$15+'TUSD BF_350'!$AM$15+'TUSD CVA'!$AM$15)*1</f>
        <v>37.770000000000003</v>
      </c>
      <c r="Z216" s="6">
        <f ca="1">('TUSD BE'!$AM$17+'TUSD BF_350'!$AM$17+'TUSD CVA'!$AM$17)*1</f>
        <v>110.85</v>
      </c>
      <c r="AA216" s="6">
        <f ca="1">('TE BE'!$AB$8+'TE BF_350'!$AB$8+'TE CVA'!$AB$8)*1</f>
        <v>388.08000000000004</v>
      </c>
      <c r="AB216" s="6">
        <f>$K$216*$V$216</f>
        <v>4726.28</v>
      </c>
      <c r="AC216" s="6">
        <f>$M$216*$W$216</f>
        <v>482.67646000000002</v>
      </c>
      <c r="AD216" s="6">
        <f>$O$216*$X$216</f>
        <v>3165.1941999999999</v>
      </c>
      <c r="AE216" s="6">
        <f ca="1">$K$216*$Y$216</f>
        <v>5627.7300000000005</v>
      </c>
      <c r="AF216" s="6">
        <f ca="1">$M$216*$Z$216</f>
        <v>771.29430000000002</v>
      </c>
      <c r="AG216" s="6">
        <f ca="1">$O$216*$AA$216</f>
        <v>2700.2606400000004</v>
      </c>
    </row>
    <row r="217" spans="1:33" ht="11.25" customHeight="1" x14ac:dyDescent="0.25">
      <c r="A217" s="4" t="s">
        <v>21</v>
      </c>
      <c r="B217" s="4" t="s">
        <v>33</v>
      </c>
      <c r="C217" s="4" t="s">
        <v>41</v>
      </c>
      <c r="D217" s="4" t="s">
        <v>46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177</v>
      </c>
      <c r="K217" s="6">
        <v>177</v>
      </c>
      <c r="L217" s="6">
        <v>6.9720000000000004</v>
      </c>
      <c r="M217" s="6">
        <v>6.9720000000000004</v>
      </c>
      <c r="N217" s="6">
        <v>6.9720000000000004</v>
      </c>
      <c r="O217" s="6">
        <v>6.9720000000000004</v>
      </c>
      <c r="P217" s="6">
        <v>0</v>
      </c>
      <c r="Q217" s="4" t="s">
        <v>26</v>
      </c>
      <c r="R217" s="4">
        <v>0</v>
      </c>
      <c r="S217" s="6">
        <v>13</v>
      </c>
      <c r="T217" s="6">
        <v>15</v>
      </c>
      <c r="U217" s="6">
        <v>65</v>
      </c>
      <c r="V217" s="6">
        <f>IF(ISERROR(VLOOKUP($S$217,'TAR FIN'!$A$1:$O$103,15,0)),0,VLOOKUP($S$217,'TAR FIN'!$A$1:$O$103,15,0))</f>
        <v>31.72</v>
      </c>
      <c r="W217" s="6">
        <f>IF(ISERROR(VLOOKUP($T$217,'TAR FIN'!$A$1:$O$103,15,0)),0,VLOOKUP($T$217,'TAR FIN'!$A$1:$O$103,15,0))</f>
        <v>69.37</v>
      </c>
      <c r="X217" s="6">
        <f>IF(ISERROR(VLOOKUP($U$217,'TAR FIN'!$A$1:$O$103,15,0)),0,VLOOKUP($U$217,'TAR FIN'!$A$1:$O$103,15,0))</f>
        <v>454.9</v>
      </c>
      <c r="Y217" s="6">
        <f ca="1">('TUSD BE'!$AM$15+'TUSD BF_350'!$AM$15+'TUSD CVA'!$AM$15)*1</f>
        <v>37.770000000000003</v>
      </c>
      <c r="Z217" s="6">
        <f ca="1">('TUSD BE'!$AM$17+'TUSD BF_350'!$AM$17+'TUSD CVA'!$AM$17)*1</f>
        <v>110.85</v>
      </c>
      <c r="AA217" s="6">
        <f ca="1">('TE BE'!$AB$8+'TE BF_350'!$AB$8+'TE CVA'!$AB$8)*1</f>
        <v>388.08000000000004</v>
      </c>
      <c r="AB217" s="6">
        <f>$K$217*$V$217</f>
        <v>5614.44</v>
      </c>
      <c r="AC217" s="6">
        <f>$M$217*$W$217</f>
        <v>483.64764000000008</v>
      </c>
      <c r="AD217" s="6">
        <f>$O$217*$X$217</f>
        <v>3171.5628000000002</v>
      </c>
      <c r="AE217" s="6">
        <f ca="1">$K$217*$Y$217</f>
        <v>6685.2900000000009</v>
      </c>
      <c r="AF217" s="6">
        <f ca="1">$M$217*$Z$217</f>
        <v>772.84619999999995</v>
      </c>
      <c r="AG217" s="6">
        <f ca="1">$O$217*$AA$217</f>
        <v>2705.6937600000006</v>
      </c>
    </row>
    <row r="218" spans="1:33" ht="11.25" customHeight="1" x14ac:dyDescent="0.25">
      <c r="A218" s="4" t="s">
        <v>21</v>
      </c>
      <c r="B218" s="4" t="s">
        <v>33</v>
      </c>
      <c r="C218" s="4" t="s">
        <v>41</v>
      </c>
      <c r="D218" s="4" t="s">
        <v>46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153</v>
      </c>
      <c r="K218" s="6">
        <v>153</v>
      </c>
      <c r="L218" s="6">
        <v>7.0359999999999996</v>
      </c>
      <c r="M218" s="6">
        <v>7.0359999999999996</v>
      </c>
      <c r="N218" s="6">
        <v>7.0359999999999996</v>
      </c>
      <c r="O218" s="6">
        <v>7.0359999999999996</v>
      </c>
      <c r="P218" s="6">
        <v>0</v>
      </c>
      <c r="Q218" s="4" t="s">
        <v>26</v>
      </c>
      <c r="R218" s="4">
        <v>0</v>
      </c>
      <c r="S218" s="6">
        <v>13</v>
      </c>
      <c r="T218" s="6">
        <v>15</v>
      </c>
      <c r="U218" s="6">
        <v>65</v>
      </c>
      <c r="V218" s="6">
        <f>IF(ISERROR(VLOOKUP($S$218,'TAR FIN'!$A$1:$O$103,15,0)),0,VLOOKUP($S$218,'TAR FIN'!$A$1:$O$103,15,0))</f>
        <v>31.72</v>
      </c>
      <c r="W218" s="6">
        <f>IF(ISERROR(VLOOKUP($T$218,'TAR FIN'!$A$1:$O$103,15,0)),0,VLOOKUP($T$218,'TAR FIN'!$A$1:$O$103,15,0))</f>
        <v>69.37</v>
      </c>
      <c r="X218" s="6">
        <f>IF(ISERROR(VLOOKUP($U$218,'TAR FIN'!$A$1:$O$103,15,0)),0,VLOOKUP($U$218,'TAR FIN'!$A$1:$O$103,15,0))</f>
        <v>454.9</v>
      </c>
      <c r="Y218" s="6">
        <f ca="1">('TUSD BE'!$AM$15+'TUSD BF_350'!$AM$15+'TUSD CVA'!$AM$15)*1</f>
        <v>37.770000000000003</v>
      </c>
      <c r="Z218" s="6">
        <f ca="1">('TUSD BE'!$AM$17+'TUSD BF_350'!$AM$17+'TUSD CVA'!$AM$17)*1</f>
        <v>110.85</v>
      </c>
      <c r="AA218" s="6">
        <f ca="1">('TE BE'!$AB$8+'TE BF_350'!$AB$8+'TE CVA'!$AB$8)*1</f>
        <v>388.08000000000004</v>
      </c>
      <c r="AB218" s="6">
        <f>$K$218*$V$218</f>
        <v>4853.16</v>
      </c>
      <c r="AC218" s="6">
        <f>$M$218*$W$218</f>
        <v>488.08731999999998</v>
      </c>
      <c r="AD218" s="6">
        <f>$O$218*$X$218</f>
        <v>3200.6763999999998</v>
      </c>
      <c r="AE218" s="6">
        <f ca="1">$K$218*$Y$218</f>
        <v>5778.81</v>
      </c>
      <c r="AF218" s="6">
        <f ca="1">$M$218*$Z$218</f>
        <v>779.9405999999999</v>
      </c>
      <c r="AG218" s="6">
        <f ca="1">$O$218*$AA$218</f>
        <v>2730.5308800000003</v>
      </c>
    </row>
    <row r="219" spans="1:33" ht="11.25" customHeight="1" x14ac:dyDescent="0.25">
      <c r="A219" s="4" t="s">
        <v>21</v>
      </c>
      <c r="B219" s="4" t="s">
        <v>33</v>
      </c>
      <c r="C219" s="4" t="s">
        <v>41</v>
      </c>
      <c r="D219" s="4" t="s">
        <v>46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44621</v>
      </c>
      <c r="J219" s="6">
        <v>187</v>
      </c>
      <c r="K219" s="6">
        <v>187</v>
      </c>
      <c r="L219" s="6">
        <v>7.6870000000000003</v>
      </c>
      <c r="M219" s="6">
        <v>7.6870000000000003</v>
      </c>
      <c r="N219" s="6">
        <v>7.6870000000000003</v>
      </c>
      <c r="O219" s="6">
        <v>7.6870000000000003</v>
      </c>
      <c r="P219" s="6">
        <v>0</v>
      </c>
      <c r="Q219" s="4" t="s">
        <v>26</v>
      </c>
      <c r="R219" s="4">
        <v>0</v>
      </c>
      <c r="S219" s="6">
        <v>13</v>
      </c>
      <c r="T219" s="6">
        <v>15</v>
      </c>
      <c r="U219" s="6">
        <v>65</v>
      </c>
      <c r="V219" s="6">
        <f>IF(ISERROR(VLOOKUP($S$219,'TAR FIN'!$A$1:$O$103,15,0)),0,VLOOKUP($S$219,'TAR FIN'!$A$1:$O$103,15,0))</f>
        <v>31.72</v>
      </c>
      <c r="W219" s="6">
        <f>IF(ISERROR(VLOOKUP($T$219,'TAR FIN'!$A$1:$O$103,15,0)),0,VLOOKUP($T$219,'TAR FIN'!$A$1:$O$103,15,0))</f>
        <v>69.37</v>
      </c>
      <c r="X219" s="6">
        <f>IF(ISERROR(VLOOKUP($U$219,'TAR FIN'!$A$1:$O$103,15,0)),0,VLOOKUP($U$219,'TAR FIN'!$A$1:$O$103,15,0))</f>
        <v>454.9</v>
      </c>
      <c r="Y219" s="6">
        <f ca="1">('TUSD BE'!$AM$15+'TUSD BF_350'!$AM$15+'TUSD CVA'!$AM$15)*1</f>
        <v>37.770000000000003</v>
      </c>
      <c r="Z219" s="6">
        <f ca="1">('TUSD BE'!$AM$17+'TUSD BF_350'!$AM$17+'TUSD CVA'!$AM$17)*1</f>
        <v>110.85</v>
      </c>
      <c r="AA219" s="6">
        <f ca="1">('TE BE'!$AB$8+'TE BF_350'!$AB$8+'TE CVA'!$AB$8)*1</f>
        <v>388.08000000000004</v>
      </c>
      <c r="AB219" s="6">
        <f>$K$219*$V$219</f>
        <v>5931.6399999999994</v>
      </c>
      <c r="AC219" s="6">
        <f>$M$219*$W$219</f>
        <v>533.24719000000005</v>
      </c>
      <c r="AD219" s="6">
        <f>$O$219*$X$219</f>
        <v>3496.8163</v>
      </c>
      <c r="AE219" s="6">
        <f ca="1">$K$219*$Y$219</f>
        <v>7062.9900000000007</v>
      </c>
      <c r="AF219" s="6">
        <f ca="1">$M$219*$Z$219</f>
        <v>852.10394999999994</v>
      </c>
      <c r="AG219" s="6">
        <f ca="1">$O$219*$AA$219</f>
        <v>2983.1709600000004</v>
      </c>
    </row>
    <row r="220" spans="1:33" ht="11.25" customHeight="1" x14ac:dyDescent="0.25">
      <c r="A220" s="4" t="s">
        <v>21</v>
      </c>
      <c r="B220" s="4" t="s">
        <v>33</v>
      </c>
      <c r="C220" s="4" t="s">
        <v>41</v>
      </c>
      <c r="D220" s="4" t="s">
        <v>46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44652</v>
      </c>
      <c r="J220" s="6">
        <v>128</v>
      </c>
      <c r="K220" s="6">
        <v>128</v>
      </c>
      <c r="L220" s="6">
        <v>5.65</v>
      </c>
      <c r="M220" s="6">
        <v>5.65</v>
      </c>
      <c r="N220" s="6">
        <v>5.65</v>
      </c>
      <c r="O220" s="6">
        <v>5.65</v>
      </c>
      <c r="P220" s="6">
        <v>0</v>
      </c>
      <c r="Q220" s="4" t="s">
        <v>26</v>
      </c>
      <c r="R220" s="4">
        <v>0</v>
      </c>
      <c r="S220" s="6">
        <v>13</v>
      </c>
      <c r="T220" s="6">
        <v>15</v>
      </c>
      <c r="U220" s="6">
        <v>65</v>
      </c>
      <c r="V220" s="6">
        <f>IF(ISERROR(VLOOKUP($S$220,'TAR FIN'!$A$1:$O$103,15,0)),0,VLOOKUP($S$220,'TAR FIN'!$A$1:$O$103,15,0))</f>
        <v>31.72</v>
      </c>
      <c r="W220" s="6">
        <f>IF(ISERROR(VLOOKUP($T$220,'TAR FIN'!$A$1:$O$103,15,0)),0,VLOOKUP($T$220,'TAR FIN'!$A$1:$O$103,15,0))</f>
        <v>69.37</v>
      </c>
      <c r="X220" s="6">
        <f>IF(ISERROR(VLOOKUP($U$220,'TAR FIN'!$A$1:$O$103,15,0)),0,VLOOKUP($U$220,'TAR FIN'!$A$1:$O$103,15,0))</f>
        <v>454.9</v>
      </c>
      <c r="Y220" s="6">
        <f ca="1">('TUSD BE'!$AM$15+'TUSD BF_350'!$AM$15+'TUSD CVA'!$AM$15)*1</f>
        <v>37.770000000000003</v>
      </c>
      <c r="Z220" s="6">
        <f ca="1">('TUSD BE'!$AM$17+'TUSD BF_350'!$AM$17+'TUSD CVA'!$AM$17)*1</f>
        <v>110.85</v>
      </c>
      <c r="AA220" s="6">
        <f ca="1">('TE BE'!$AB$8+'TE BF_350'!$AB$8+'TE CVA'!$AB$8)*1</f>
        <v>388.08000000000004</v>
      </c>
      <c r="AB220" s="6">
        <f>$K$220*$V$220</f>
        <v>4060.16</v>
      </c>
      <c r="AC220" s="6">
        <f>$M$220*$W$220</f>
        <v>391.94050000000004</v>
      </c>
      <c r="AD220" s="6">
        <f>$O$220*$X$220</f>
        <v>2570.1849999999999</v>
      </c>
      <c r="AE220" s="6">
        <f ca="1">$K$220*$Y$220</f>
        <v>4834.5600000000004</v>
      </c>
      <c r="AF220" s="6">
        <f ca="1">$M$220*$Z$220</f>
        <v>626.30250000000001</v>
      </c>
      <c r="AG220" s="6">
        <f ca="1">$O$220*$AA$220</f>
        <v>2192.6520000000005</v>
      </c>
    </row>
    <row r="221" spans="1:33" ht="11.25" customHeight="1" x14ac:dyDescent="0.25">
      <c r="A221" s="4" t="s">
        <v>21</v>
      </c>
      <c r="B221" s="4" t="s">
        <v>33</v>
      </c>
      <c r="C221" s="4" t="s">
        <v>41</v>
      </c>
      <c r="D221" s="4" t="s">
        <v>46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44682</v>
      </c>
      <c r="J221" s="6">
        <v>135</v>
      </c>
      <c r="K221" s="6">
        <v>135</v>
      </c>
      <c r="L221" s="6">
        <v>6.0190000000000001</v>
      </c>
      <c r="M221" s="6">
        <v>6.0190000000000001</v>
      </c>
      <c r="N221" s="6">
        <v>6.0190000000000001</v>
      </c>
      <c r="O221" s="6">
        <v>6.0190000000000001</v>
      </c>
      <c r="P221" s="6">
        <v>0</v>
      </c>
      <c r="Q221" s="4" t="s">
        <v>26</v>
      </c>
      <c r="R221" s="4">
        <v>0</v>
      </c>
      <c r="S221" s="6">
        <v>13</v>
      </c>
      <c r="T221" s="6">
        <v>15</v>
      </c>
      <c r="U221" s="6">
        <v>65</v>
      </c>
      <c r="V221" s="6">
        <f>IF(ISERROR(VLOOKUP($S$221,'TAR FIN'!$A$1:$O$103,15,0)),0,VLOOKUP($S$221,'TAR FIN'!$A$1:$O$103,15,0))</f>
        <v>31.72</v>
      </c>
      <c r="W221" s="6">
        <f>IF(ISERROR(VLOOKUP($T$221,'TAR FIN'!$A$1:$O$103,15,0)),0,VLOOKUP($T$221,'TAR FIN'!$A$1:$O$103,15,0))</f>
        <v>69.37</v>
      </c>
      <c r="X221" s="6">
        <f>IF(ISERROR(VLOOKUP($U$221,'TAR FIN'!$A$1:$O$103,15,0)),0,VLOOKUP($U$221,'TAR FIN'!$A$1:$O$103,15,0))</f>
        <v>454.9</v>
      </c>
      <c r="Y221" s="6">
        <f ca="1">('TUSD BE'!$AM$15+'TUSD BF_350'!$AM$15+'TUSD CVA'!$AM$15)*1</f>
        <v>37.770000000000003</v>
      </c>
      <c r="Z221" s="6">
        <f ca="1">('TUSD BE'!$AM$17+'TUSD BF_350'!$AM$17+'TUSD CVA'!$AM$17)*1</f>
        <v>110.85</v>
      </c>
      <c r="AA221" s="6">
        <f ca="1">('TE BE'!$AB$8+'TE BF_350'!$AB$8+'TE CVA'!$AB$8)*1</f>
        <v>388.08000000000004</v>
      </c>
      <c r="AB221" s="6">
        <f>$K$221*$V$221</f>
        <v>4282.2</v>
      </c>
      <c r="AC221" s="6">
        <f>$M$221*$W$221</f>
        <v>417.53803000000005</v>
      </c>
      <c r="AD221" s="6">
        <f>$O$221*$X$221</f>
        <v>2738.0430999999999</v>
      </c>
      <c r="AE221" s="6">
        <f ca="1">$K$221*$Y$221</f>
        <v>5098.9500000000007</v>
      </c>
      <c r="AF221" s="6">
        <f ca="1">$M$221*$Z$221</f>
        <v>667.20614999999998</v>
      </c>
      <c r="AG221" s="6">
        <f ca="1">$O$221*$AA$221</f>
        <v>2335.8535200000001</v>
      </c>
    </row>
    <row r="222" spans="1:33" ht="11.25" customHeight="1" x14ac:dyDescent="0.25">
      <c r="A222" s="4" t="s">
        <v>21</v>
      </c>
      <c r="B222" s="4" t="s">
        <v>33</v>
      </c>
      <c r="C222" s="4" t="s">
        <v>41</v>
      </c>
      <c r="D222" s="4" t="s">
        <v>50</v>
      </c>
      <c r="E222" s="4" t="s">
        <v>51</v>
      </c>
      <c r="F222" s="4" t="s">
        <v>25</v>
      </c>
      <c r="G222" s="4" t="s">
        <v>25</v>
      </c>
      <c r="H222" s="4" t="s">
        <v>35</v>
      </c>
      <c r="I222" s="5">
        <v>44348</v>
      </c>
      <c r="J222" s="6">
        <v>228</v>
      </c>
      <c r="K222" s="52">
        <v>228</v>
      </c>
      <c r="L222" s="6">
        <v>32.115000000000002</v>
      </c>
      <c r="M222" s="53">
        <v>32.115000000000002</v>
      </c>
      <c r="N222" s="6">
        <v>32.115000000000002</v>
      </c>
      <c r="O222" s="53">
        <v>32.115000000000002</v>
      </c>
      <c r="P222" s="6">
        <v>0</v>
      </c>
      <c r="Q222" s="4" t="s">
        <v>26</v>
      </c>
      <c r="R222" s="4">
        <v>0</v>
      </c>
      <c r="S222" s="6">
        <v>14</v>
      </c>
      <c r="T222" s="6">
        <v>15</v>
      </c>
      <c r="U222" s="6">
        <v>66</v>
      </c>
      <c r="V222" s="53">
        <f>IF(ISERROR(VLOOKUP($S$222,'TAR FIN'!$A$1:$O$103,15,0)),0,VLOOKUP($S$222,'TAR FIN'!$A$1:$O$103,15,0))*(1-0.06)</f>
        <v>11.674799999999999</v>
      </c>
      <c r="W222" s="53">
        <f>IF(ISERROR(VLOOKUP($T$222,'TAR FIN'!$A$1:$O$103,15,0)),0,VLOOKUP($T$222,'TAR FIN'!$A$1:$O$103,15,0))*(1-0.06)</f>
        <v>65.207800000000006</v>
      </c>
      <c r="X222" s="53">
        <f>IF(ISERROR(VLOOKUP($U$222,'TAR FIN'!$A$1:$O$103,15,0)),0,VLOOKUP($U$222,'TAR FIN'!$A$1:$O$103,15,0))*(1-0.06)</f>
        <v>267.29840000000002</v>
      </c>
      <c r="Y222" s="53">
        <f ca="1">('TUSD BE'!$AM$16+'TUSD BF_350'!$AM$16+'TUSD CVA'!$AM$16)*1*(1-0.03)</f>
        <v>17.052599999999998</v>
      </c>
      <c r="Z222" s="53">
        <f ca="1">('TUSD BE'!$AM$17+'TUSD BF_350'!$AM$17+'TUSD CVA'!$AM$17)*1*(1-0.03)</f>
        <v>107.52449999999999</v>
      </c>
      <c r="AA222" s="53">
        <f ca="1">('TE BE'!$AB$9+'TE BF_350'!$AB$9+'TE CVA'!$AB$9)*1*(1-0.03)</f>
        <v>239.78400000000002</v>
      </c>
      <c r="AB222" s="6">
        <f>$K$222*$V$222</f>
        <v>2661.8543999999997</v>
      </c>
      <c r="AC222" s="6">
        <f>$M$222*$W$222</f>
        <v>2094.1484970000001</v>
      </c>
      <c r="AD222" s="6">
        <f>$O$222*$X$222</f>
        <v>8584.2881160000015</v>
      </c>
      <c r="AE222" s="6">
        <f ca="1">$K$222*$Y$222</f>
        <v>3887.9927999999995</v>
      </c>
      <c r="AF222" s="6">
        <f ca="1">$M$222*$Z$222</f>
        <v>3453.1493175000001</v>
      </c>
      <c r="AG222" s="6">
        <f ca="1">$O$222*$AA$222</f>
        <v>7700.663160000001</v>
      </c>
    </row>
    <row r="223" spans="1:33" ht="11.25" customHeight="1" x14ac:dyDescent="0.25">
      <c r="A223" s="4" t="s">
        <v>21</v>
      </c>
      <c r="B223" s="4" t="s">
        <v>33</v>
      </c>
      <c r="C223" s="4" t="s">
        <v>41</v>
      </c>
      <c r="D223" s="4" t="s">
        <v>50</v>
      </c>
      <c r="E223" s="4" t="s">
        <v>51</v>
      </c>
      <c r="F223" s="4" t="s">
        <v>25</v>
      </c>
      <c r="G223" s="4" t="s">
        <v>25</v>
      </c>
      <c r="H223" s="4" t="s">
        <v>35</v>
      </c>
      <c r="I223" s="5">
        <v>44378</v>
      </c>
      <c r="J223" s="6">
        <v>228</v>
      </c>
      <c r="K223" s="52">
        <v>228</v>
      </c>
      <c r="L223" s="6">
        <v>48.148000000000003</v>
      </c>
      <c r="M223" s="53">
        <v>48.148000000000003</v>
      </c>
      <c r="N223" s="6">
        <v>48.148000000000003</v>
      </c>
      <c r="O223" s="53">
        <v>48.148000000000003</v>
      </c>
      <c r="P223" s="6">
        <v>0</v>
      </c>
      <c r="Q223" s="4" t="s">
        <v>26</v>
      </c>
      <c r="R223" s="4">
        <v>0</v>
      </c>
      <c r="S223" s="6">
        <v>14</v>
      </c>
      <c r="T223" s="6">
        <v>15</v>
      </c>
      <c r="U223" s="6">
        <v>66</v>
      </c>
      <c r="V223" s="53">
        <f>IF(ISERROR(VLOOKUP($S$223,'TAR FIN'!$A$1:$O$103,15,0)),0,VLOOKUP($S$223,'TAR FIN'!$A$1:$O$103,15,0))*(1-0.06)</f>
        <v>11.674799999999999</v>
      </c>
      <c r="W223" s="53">
        <f>IF(ISERROR(VLOOKUP($T$223,'TAR FIN'!$A$1:$O$103,15,0)),0,VLOOKUP($T$223,'TAR FIN'!$A$1:$O$103,15,0))*(1-0.06)</f>
        <v>65.207800000000006</v>
      </c>
      <c r="X223" s="53">
        <f>IF(ISERROR(VLOOKUP($U$223,'TAR FIN'!$A$1:$O$103,15,0)),0,VLOOKUP($U$223,'TAR FIN'!$A$1:$O$103,15,0))*(1-0.06)</f>
        <v>267.29840000000002</v>
      </c>
      <c r="Y223" s="53">
        <f ca="1">('TUSD BE'!$AM$16+'TUSD BF_350'!$AM$16+'TUSD CVA'!$AM$16)*1*(1-0.03)</f>
        <v>17.052599999999998</v>
      </c>
      <c r="Z223" s="53">
        <f ca="1">('TUSD BE'!$AM$17+'TUSD BF_350'!$AM$17+'TUSD CVA'!$AM$17)*1*(1-0.03)</f>
        <v>107.52449999999999</v>
      </c>
      <c r="AA223" s="53">
        <f ca="1">('TE BE'!$AB$9+'TE BF_350'!$AB$9+'TE CVA'!$AB$9)*1*(1-0.03)</f>
        <v>239.78400000000002</v>
      </c>
      <c r="AB223" s="6">
        <f>$K$223*$V$223</f>
        <v>2661.8543999999997</v>
      </c>
      <c r="AC223" s="6">
        <f>$M$223*$W$223</f>
        <v>3139.6251544000006</v>
      </c>
      <c r="AD223" s="6">
        <f>$O$223*$X$223</f>
        <v>12869.883363200002</v>
      </c>
      <c r="AE223" s="6">
        <f ca="1">$K$223*$Y$223</f>
        <v>3887.9927999999995</v>
      </c>
      <c r="AF223" s="6">
        <f ca="1">$M$223*$Z$223</f>
        <v>5177.089626</v>
      </c>
      <c r="AG223" s="6">
        <f ca="1">$O$223*$AA$223</f>
        <v>11545.120032000003</v>
      </c>
    </row>
    <row r="224" spans="1:33" ht="11.25" customHeight="1" x14ac:dyDescent="0.25">
      <c r="A224" s="4" t="s">
        <v>21</v>
      </c>
      <c r="B224" s="4" t="s">
        <v>33</v>
      </c>
      <c r="C224" s="4" t="s">
        <v>41</v>
      </c>
      <c r="D224" s="4" t="s">
        <v>50</v>
      </c>
      <c r="E224" s="4" t="s">
        <v>51</v>
      </c>
      <c r="F224" s="4" t="s">
        <v>25</v>
      </c>
      <c r="G224" s="4" t="s">
        <v>25</v>
      </c>
      <c r="H224" s="4" t="s">
        <v>35</v>
      </c>
      <c r="I224" s="5">
        <v>44409</v>
      </c>
      <c r="J224" s="6">
        <v>228</v>
      </c>
      <c r="K224" s="52">
        <v>228</v>
      </c>
      <c r="L224" s="6">
        <v>47.905000000000001</v>
      </c>
      <c r="M224" s="53">
        <v>47.905000000000001</v>
      </c>
      <c r="N224" s="6">
        <v>47.905000000000001</v>
      </c>
      <c r="O224" s="53">
        <v>47.905000000000001</v>
      </c>
      <c r="P224" s="6">
        <v>0</v>
      </c>
      <c r="Q224" s="4" t="s">
        <v>26</v>
      </c>
      <c r="R224" s="4">
        <v>0</v>
      </c>
      <c r="S224" s="6">
        <v>14</v>
      </c>
      <c r="T224" s="6">
        <v>15</v>
      </c>
      <c r="U224" s="6">
        <v>66</v>
      </c>
      <c r="V224" s="53">
        <f>IF(ISERROR(VLOOKUP($S$224,'TAR FIN'!$A$1:$O$103,15,0)),0,VLOOKUP($S$224,'TAR FIN'!$A$1:$O$103,15,0))*(1-0.06)</f>
        <v>11.674799999999999</v>
      </c>
      <c r="W224" s="53">
        <f>IF(ISERROR(VLOOKUP($T$224,'TAR FIN'!$A$1:$O$103,15,0)),0,VLOOKUP($T$224,'TAR FIN'!$A$1:$O$103,15,0))*(1-0.06)</f>
        <v>65.207800000000006</v>
      </c>
      <c r="X224" s="53">
        <f>IF(ISERROR(VLOOKUP($U$224,'TAR FIN'!$A$1:$O$103,15,0)),0,VLOOKUP($U$224,'TAR FIN'!$A$1:$O$103,15,0))*(1-0.06)</f>
        <v>267.29840000000002</v>
      </c>
      <c r="Y224" s="53">
        <f ca="1">('TUSD BE'!$AM$16+'TUSD BF_350'!$AM$16+'TUSD CVA'!$AM$16)*1*(1-0.03)</f>
        <v>17.052599999999998</v>
      </c>
      <c r="Z224" s="53">
        <f ca="1">('TUSD BE'!$AM$17+'TUSD BF_350'!$AM$17+'TUSD CVA'!$AM$17)*1*(1-0.03)</f>
        <v>107.52449999999999</v>
      </c>
      <c r="AA224" s="53">
        <f ca="1">('TE BE'!$AB$9+'TE BF_350'!$AB$9+'TE CVA'!$AB$9)*1*(1-0.03)</f>
        <v>239.78400000000002</v>
      </c>
      <c r="AB224" s="6">
        <f>$K$224*$V$224</f>
        <v>2661.8543999999997</v>
      </c>
      <c r="AC224" s="6">
        <f>$M$224*$W$224</f>
        <v>3123.7796590000003</v>
      </c>
      <c r="AD224" s="6">
        <f>$O$224*$X$224</f>
        <v>12804.929852000001</v>
      </c>
      <c r="AE224" s="6">
        <f ca="1">$K$224*$Y$224</f>
        <v>3887.9927999999995</v>
      </c>
      <c r="AF224" s="6">
        <f ca="1">$M$224*$Z$224</f>
        <v>5150.9611724999995</v>
      </c>
      <c r="AG224" s="6">
        <f ca="1">$O$224*$AA$224</f>
        <v>11486.85252</v>
      </c>
    </row>
    <row r="225" spans="1:33" ht="11.25" customHeight="1" x14ac:dyDescent="0.25">
      <c r="A225" s="4" t="s">
        <v>21</v>
      </c>
      <c r="B225" s="4" t="s">
        <v>33</v>
      </c>
      <c r="C225" s="4" t="s">
        <v>41</v>
      </c>
      <c r="D225" s="4" t="s">
        <v>50</v>
      </c>
      <c r="E225" s="4" t="s">
        <v>51</v>
      </c>
      <c r="F225" s="4" t="s">
        <v>25</v>
      </c>
      <c r="G225" s="4" t="s">
        <v>25</v>
      </c>
      <c r="H225" s="4" t="s">
        <v>35</v>
      </c>
      <c r="I225" s="5">
        <v>44440</v>
      </c>
      <c r="J225" s="6">
        <v>228</v>
      </c>
      <c r="K225" s="52">
        <v>228</v>
      </c>
      <c r="L225" s="6">
        <v>33.082999999999998</v>
      </c>
      <c r="M225" s="53">
        <v>33.082999999999998</v>
      </c>
      <c r="N225" s="6">
        <v>33.082999999999998</v>
      </c>
      <c r="O225" s="53">
        <v>33.082999999999998</v>
      </c>
      <c r="P225" s="6">
        <v>0</v>
      </c>
      <c r="Q225" s="4" t="s">
        <v>26</v>
      </c>
      <c r="R225" s="4">
        <v>0</v>
      </c>
      <c r="S225" s="6">
        <v>14</v>
      </c>
      <c r="T225" s="6">
        <v>15</v>
      </c>
      <c r="U225" s="6">
        <v>66</v>
      </c>
      <c r="V225" s="53">
        <f>IF(ISERROR(VLOOKUP($S$225,'TAR FIN'!$A$1:$O$103,15,0)),0,VLOOKUP($S$225,'TAR FIN'!$A$1:$O$103,15,0))*(1-0.06)</f>
        <v>11.674799999999999</v>
      </c>
      <c r="W225" s="53">
        <f>IF(ISERROR(VLOOKUP($T$225,'TAR FIN'!$A$1:$O$103,15,0)),0,VLOOKUP($T$225,'TAR FIN'!$A$1:$O$103,15,0))*(1-0.06)</f>
        <v>65.207800000000006</v>
      </c>
      <c r="X225" s="53">
        <f>IF(ISERROR(VLOOKUP($U$225,'TAR FIN'!$A$1:$O$103,15,0)),0,VLOOKUP($U$225,'TAR FIN'!$A$1:$O$103,15,0))*(1-0.06)</f>
        <v>267.29840000000002</v>
      </c>
      <c r="Y225" s="53">
        <f ca="1">('TUSD BE'!$AM$16+'TUSD BF_350'!$AM$16+'TUSD CVA'!$AM$16)*1*(1-0.03)</f>
        <v>17.052599999999998</v>
      </c>
      <c r="Z225" s="53">
        <f ca="1">('TUSD BE'!$AM$17+'TUSD BF_350'!$AM$17+'TUSD CVA'!$AM$17)*1*(1-0.03)</f>
        <v>107.52449999999999</v>
      </c>
      <c r="AA225" s="53">
        <f ca="1">('TE BE'!$AB$9+'TE BF_350'!$AB$9+'TE CVA'!$AB$9)*1*(1-0.03)</f>
        <v>239.78400000000002</v>
      </c>
      <c r="AB225" s="6">
        <f>$K$225*$V$225</f>
        <v>2661.8543999999997</v>
      </c>
      <c r="AC225" s="6">
        <f>$M$225*$W$225</f>
        <v>2157.2696473999999</v>
      </c>
      <c r="AD225" s="6">
        <f>$O$225*$X$225</f>
        <v>8843.0329672000007</v>
      </c>
      <c r="AE225" s="6">
        <f ca="1">$K$225*$Y$225</f>
        <v>3887.9927999999995</v>
      </c>
      <c r="AF225" s="6">
        <f ca="1">$M$225*$Z$225</f>
        <v>3557.2330334999997</v>
      </c>
      <c r="AG225" s="6">
        <f ca="1">$O$225*$AA$225</f>
        <v>7932.7740720000002</v>
      </c>
    </row>
    <row r="226" spans="1:33" ht="11.25" customHeight="1" x14ac:dyDescent="0.25">
      <c r="A226" s="4" t="s">
        <v>21</v>
      </c>
      <c r="B226" s="4" t="s">
        <v>33</v>
      </c>
      <c r="C226" s="4" t="s">
        <v>41</v>
      </c>
      <c r="D226" s="4" t="s">
        <v>50</v>
      </c>
      <c r="E226" s="4" t="s">
        <v>51</v>
      </c>
      <c r="F226" s="4" t="s">
        <v>25</v>
      </c>
      <c r="G226" s="4" t="s">
        <v>25</v>
      </c>
      <c r="H226" s="4" t="s">
        <v>35</v>
      </c>
      <c r="I226" s="5">
        <v>44470</v>
      </c>
      <c r="J226" s="6">
        <v>228</v>
      </c>
      <c r="K226" s="52">
        <v>228</v>
      </c>
      <c r="L226" s="6">
        <v>61.505000000000003</v>
      </c>
      <c r="M226" s="53">
        <v>61.505000000000003</v>
      </c>
      <c r="N226" s="6">
        <v>61.505000000000003</v>
      </c>
      <c r="O226" s="53">
        <v>61.505000000000003</v>
      </c>
      <c r="P226" s="6">
        <v>0</v>
      </c>
      <c r="Q226" s="4" t="s">
        <v>26</v>
      </c>
      <c r="R226" s="4">
        <v>0</v>
      </c>
      <c r="S226" s="6">
        <v>14</v>
      </c>
      <c r="T226" s="6">
        <v>15</v>
      </c>
      <c r="U226" s="6">
        <v>66</v>
      </c>
      <c r="V226" s="53">
        <f>IF(ISERROR(VLOOKUP($S$226,'TAR FIN'!$A$1:$O$103,15,0)),0,VLOOKUP($S$226,'TAR FIN'!$A$1:$O$103,15,0))*(1-0.06)</f>
        <v>11.674799999999999</v>
      </c>
      <c r="W226" s="53">
        <f>IF(ISERROR(VLOOKUP($T$226,'TAR FIN'!$A$1:$O$103,15,0)),0,VLOOKUP($T$226,'TAR FIN'!$A$1:$O$103,15,0))*(1-0.06)</f>
        <v>65.207800000000006</v>
      </c>
      <c r="X226" s="53">
        <f>IF(ISERROR(VLOOKUP($U$226,'TAR FIN'!$A$1:$O$103,15,0)),0,VLOOKUP($U$226,'TAR FIN'!$A$1:$O$103,15,0))*(1-0.06)</f>
        <v>267.29840000000002</v>
      </c>
      <c r="Y226" s="53">
        <f ca="1">('TUSD BE'!$AM$16+'TUSD BF_350'!$AM$16+'TUSD CVA'!$AM$16)*1*(1-0.03)</f>
        <v>17.052599999999998</v>
      </c>
      <c r="Z226" s="53">
        <f ca="1">('TUSD BE'!$AM$17+'TUSD BF_350'!$AM$17+'TUSD CVA'!$AM$17)*1*(1-0.03)</f>
        <v>107.52449999999999</v>
      </c>
      <c r="AA226" s="53">
        <f ca="1">('TE BE'!$AB$9+'TE BF_350'!$AB$9+'TE CVA'!$AB$9)*1*(1-0.03)</f>
        <v>239.78400000000002</v>
      </c>
      <c r="AB226" s="6">
        <f>$K$226*$V$226</f>
        <v>2661.8543999999997</v>
      </c>
      <c r="AC226" s="6">
        <f>$M$226*$W$226</f>
        <v>4010.6057390000005</v>
      </c>
      <c r="AD226" s="6">
        <f>$O$226*$X$226</f>
        <v>16440.188092</v>
      </c>
      <c r="AE226" s="6">
        <f ca="1">$K$226*$Y$226</f>
        <v>3887.9927999999995</v>
      </c>
      <c r="AF226" s="6">
        <f ca="1">$M$226*$Z$226</f>
        <v>6613.2943724999996</v>
      </c>
      <c r="AG226" s="6">
        <f ca="1">$O$226*$AA$226</f>
        <v>14747.914920000001</v>
      </c>
    </row>
    <row r="227" spans="1:33" ht="11.25" customHeight="1" x14ac:dyDescent="0.25">
      <c r="A227" s="4" t="s">
        <v>21</v>
      </c>
      <c r="B227" s="4" t="s">
        <v>33</v>
      </c>
      <c r="C227" s="4" t="s">
        <v>41</v>
      </c>
      <c r="D227" s="4" t="s">
        <v>50</v>
      </c>
      <c r="E227" s="4" t="s">
        <v>51</v>
      </c>
      <c r="F227" s="4" t="s">
        <v>25</v>
      </c>
      <c r="G227" s="4" t="s">
        <v>25</v>
      </c>
      <c r="H227" s="4" t="s">
        <v>35</v>
      </c>
      <c r="I227" s="5">
        <v>44501</v>
      </c>
      <c r="J227" s="6">
        <v>228</v>
      </c>
      <c r="K227" s="52">
        <v>228</v>
      </c>
      <c r="L227" s="6">
        <v>38.808</v>
      </c>
      <c r="M227" s="53">
        <v>38.808</v>
      </c>
      <c r="N227" s="6">
        <v>38.808</v>
      </c>
      <c r="O227" s="53">
        <v>38.808</v>
      </c>
      <c r="P227" s="6">
        <v>0</v>
      </c>
      <c r="Q227" s="4" t="s">
        <v>26</v>
      </c>
      <c r="R227" s="4">
        <v>0</v>
      </c>
      <c r="S227" s="6">
        <v>14</v>
      </c>
      <c r="T227" s="6">
        <v>15</v>
      </c>
      <c r="U227" s="6">
        <v>66</v>
      </c>
      <c r="V227" s="53">
        <f>IF(ISERROR(VLOOKUP($S$227,'TAR FIN'!$A$1:$O$103,15,0)),0,VLOOKUP($S$227,'TAR FIN'!$A$1:$O$103,15,0))*(1-0.06)</f>
        <v>11.674799999999999</v>
      </c>
      <c r="W227" s="53">
        <f>IF(ISERROR(VLOOKUP($T$227,'TAR FIN'!$A$1:$O$103,15,0)),0,VLOOKUP($T$227,'TAR FIN'!$A$1:$O$103,15,0))*(1-0.06)</f>
        <v>65.207800000000006</v>
      </c>
      <c r="X227" s="53">
        <f>IF(ISERROR(VLOOKUP($U$227,'TAR FIN'!$A$1:$O$103,15,0)),0,VLOOKUP($U$227,'TAR FIN'!$A$1:$O$103,15,0))*(1-0.06)</f>
        <v>267.29840000000002</v>
      </c>
      <c r="Y227" s="53">
        <f ca="1">('TUSD BE'!$AM$16+'TUSD BF_350'!$AM$16+'TUSD CVA'!$AM$16)*1*(1-0.03)</f>
        <v>17.052599999999998</v>
      </c>
      <c r="Z227" s="53">
        <f ca="1">('TUSD BE'!$AM$17+'TUSD BF_350'!$AM$17+'TUSD CVA'!$AM$17)*1*(1-0.03)</f>
        <v>107.52449999999999</v>
      </c>
      <c r="AA227" s="53">
        <f ca="1">('TE BE'!$AB$9+'TE BF_350'!$AB$9+'TE CVA'!$AB$9)*1*(1-0.03)</f>
        <v>239.78400000000002</v>
      </c>
      <c r="AB227" s="6">
        <f>$K$227*$V$227</f>
        <v>2661.8543999999997</v>
      </c>
      <c r="AC227" s="6">
        <f>$M$227*$W$227</f>
        <v>2530.5843024000001</v>
      </c>
      <c r="AD227" s="6">
        <f>$O$227*$X$227</f>
        <v>10373.316307200001</v>
      </c>
      <c r="AE227" s="6">
        <f ca="1">$K$227*$Y$227</f>
        <v>3887.9927999999995</v>
      </c>
      <c r="AF227" s="6">
        <f ca="1">$M$227*$Z$227</f>
        <v>4172.8107959999998</v>
      </c>
      <c r="AG227" s="6">
        <f ca="1">$O$227*$AA$227</f>
        <v>9305.537472</v>
      </c>
    </row>
    <row r="228" spans="1:33" ht="11.25" customHeight="1" x14ac:dyDescent="0.25">
      <c r="A228" s="4" t="s">
        <v>21</v>
      </c>
      <c r="B228" s="4" t="s">
        <v>33</v>
      </c>
      <c r="C228" s="4" t="s">
        <v>41</v>
      </c>
      <c r="D228" s="4" t="s">
        <v>50</v>
      </c>
      <c r="E228" s="4" t="s">
        <v>51</v>
      </c>
      <c r="F228" s="4" t="s">
        <v>25</v>
      </c>
      <c r="G228" s="4" t="s">
        <v>25</v>
      </c>
      <c r="H228" s="4" t="s">
        <v>35</v>
      </c>
      <c r="I228" s="5">
        <v>44531</v>
      </c>
      <c r="J228" s="6">
        <v>228</v>
      </c>
      <c r="K228" s="52">
        <v>228</v>
      </c>
      <c r="L228" s="6">
        <v>31.431999999999999</v>
      </c>
      <c r="M228" s="53">
        <v>31.431999999999999</v>
      </c>
      <c r="N228" s="6">
        <v>31.431999999999999</v>
      </c>
      <c r="O228" s="53">
        <v>31.431999999999999</v>
      </c>
      <c r="P228" s="6">
        <v>0</v>
      </c>
      <c r="Q228" s="4" t="s">
        <v>26</v>
      </c>
      <c r="R228" s="4">
        <v>0</v>
      </c>
      <c r="S228" s="6">
        <v>14</v>
      </c>
      <c r="T228" s="6">
        <v>15</v>
      </c>
      <c r="U228" s="6">
        <v>66</v>
      </c>
      <c r="V228" s="53">
        <f>IF(ISERROR(VLOOKUP($S$228,'TAR FIN'!$A$1:$O$103,15,0)),0,VLOOKUP($S$228,'TAR FIN'!$A$1:$O$103,15,0))*(1-0.06)</f>
        <v>11.674799999999999</v>
      </c>
      <c r="W228" s="53">
        <f>IF(ISERROR(VLOOKUP($T$228,'TAR FIN'!$A$1:$O$103,15,0)),0,VLOOKUP($T$228,'TAR FIN'!$A$1:$O$103,15,0))*(1-0.06)</f>
        <v>65.207800000000006</v>
      </c>
      <c r="X228" s="53">
        <f>IF(ISERROR(VLOOKUP($U$228,'TAR FIN'!$A$1:$O$103,15,0)),0,VLOOKUP($U$228,'TAR FIN'!$A$1:$O$103,15,0))*(1-0.06)</f>
        <v>267.29840000000002</v>
      </c>
      <c r="Y228" s="53">
        <f ca="1">('TUSD BE'!$AM$16+'TUSD BF_350'!$AM$16+'TUSD CVA'!$AM$16)*1*(1-0.03)</f>
        <v>17.052599999999998</v>
      </c>
      <c r="Z228" s="53">
        <f ca="1">('TUSD BE'!$AM$17+'TUSD BF_350'!$AM$17+'TUSD CVA'!$AM$17)*1*(1-0.03)</f>
        <v>107.52449999999999</v>
      </c>
      <c r="AA228" s="53">
        <f ca="1">('TE BE'!$AB$9+'TE BF_350'!$AB$9+'TE CVA'!$AB$9)*1*(1-0.03)</f>
        <v>239.78400000000002</v>
      </c>
      <c r="AB228" s="6">
        <f>$K$228*$V$228</f>
        <v>2661.8543999999997</v>
      </c>
      <c r="AC228" s="6">
        <f>$M$228*$W$228</f>
        <v>2049.6115696000002</v>
      </c>
      <c r="AD228" s="6">
        <f>$O$228*$X$228</f>
        <v>8401.7233087999994</v>
      </c>
      <c r="AE228" s="6">
        <f ca="1">$K$228*$Y$228</f>
        <v>3887.9927999999995</v>
      </c>
      <c r="AF228" s="6">
        <f ca="1">$M$228*$Z$228</f>
        <v>3379.7100839999994</v>
      </c>
      <c r="AG228" s="6">
        <f ca="1">$O$228*$AA$228</f>
        <v>7536.8906880000004</v>
      </c>
    </row>
    <row r="229" spans="1:33" ht="11.25" customHeight="1" x14ac:dyDescent="0.25">
      <c r="A229" s="4" t="s">
        <v>21</v>
      </c>
      <c r="B229" s="4" t="s">
        <v>33</v>
      </c>
      <c r="C229" s="4" t="s">
        <v>41</v>
      </c>
      <c r="D229" s="4" t="s">
        <v>50</v>
      </c>
      <c r="E229" s="4" t="s">
        <v>51</v>
      </c>
      <c r="F229" s="4" t="s">
        <v>25</v>
      </c>
      <c r="G229" s="4" t="s">
        <v>25</v>
      </c>
      <c r="H229" s="4" t="s">
        <v>35</v>
      </c>
      <c r="I229" s="5">
        <v>44562</v>
      </c>
      <c r="J229" s="6">
        <v>228</v>
      </c>
      <c r="K229" s="52">
        <v>228</v>
      </c>
      <c r="L229" s="6">
        <v>37.186</v>
      </c>
      <c r="M229" s="53">
        <v>37.186</v>
      </c>
      <c r="N229" s="6">
        <v>37.186</v>
      </c>
      <c r="O229" s="53">
        <v>37.186</v>
      </c>
      <c r="P229" s="6">
        <v>0</v>
      </c>
      <c r="Q229" s="4" t="s">
        <v>26</v>
      </c>
      <c r="R229" s="4">
        <v>0</v>
      </c>
      <c r="S229" s="6">
        <v>14</v>
      </c>
      <c r="T229" s="6">
        <v>15</v>
      </c>
      <c r="U229" s="6">
        <v>66</v>
      </c>
      <c r="V229" s="53">
        <f>IF(ISERROR(VLOOKUP($S$229,'TAR FIN'!$A$1:$O$103,15,0)),0,VLOOKUP($S$229,'TAR FIN'!$A$1:$O$103,15,0))*(1-0.06)</f>
        <v>11.674799999999999</v>
      </c>
      <c r="W229" s="53">
        <f>IF(ISERROR(VLOOKUP($T$229,'TAR FIN'!$A$1:$O$103,15,0)),0,VLOOKUP($T$229,'TAR FIN'!$A$1:$O$103,15,0))*(1-0.06)</f>
        <v>65.207800000000006</v>
      </c>
      <c r="X229" s="53">
        <f>IF(ISERROR(VLOOKUP($U$229,'TAR FIN'!$A$1:$O$103,15,0)),0,VLOOKUP($U$229,'TAR FIN'!$A$1:$O$103,15,0))*(1-0.06)</f>
        <v>267.29840000000002</v>
      </c>
      <c r="Y229" s="53">
        <f ca="1">('TUSD BE'!$AM$16+'TUSD BF_350'!$AM$16+'TUSD CVA'!$AM$16)*1*(1-0.03)</f>
        <v>17.052599999999998</v>
      </c>
      <c r="Z229" s="53">
        <f ca="1">('TUSD BE'!$AM$17+'TUSD BF_350'!$AM$17+'TUSD CVA'!$AM$17)*1*(1-0.03)</f>
        <v>107.52449999999999</v>
      </c>
      <c r="AA229" s="53">
        <f ca="1">('TE BE'!$AB$9+'TE BF_350'!$AB$9+'TE CVA'!$AB$9)*1*(1-0.03)</f>
        <v>239.78400000000002</v>
      </c>
      <c r="AB229" s="6">
        <f>$K$229*$V$229</f>
        <v>2661.8543999999997</v>
      </c>
      <c r="AC229" s="6">
        <f>$M$229*$W$229</f>
        <v>2424.8172508000002</v>
      </c>
      <c r="AD229" s="6">
        <f>$O$229*$X$229</f>
        <v>9939.7583024000014</v>
      </c>
      <c r="AE229" s="6">
        <f ca="1">$K$229*$Y$229</f>
        <v>3887.9927999999995</v>
      </c>
      <c r="AF229" s="6">
        <f ca="1">$M$229*$Z$229</f>
        <v>3998.4060569999997</v>
      </c>
      <c r="AG229" s="6">
        <f ca="1">$O$229*$AA$229</f>
        <v>8916.6078240000006</v>
      </c>
    </row>
    <row r="230" spans="1:33" ht="11.25" customHeight="1" x14ac:dyDescent="0.25">
      <c r="A230" s="4" t="s">
        <v>21</v>
      </c>
      <c r="B230" s="4" t="s">
        <v>33</v>
      </c>
      <c r="C230" s="4" t="s">
        <v>41</v>
      </c>
      <c r="D230" s="4" t="s">
        <v>50</v>
      </c>
      <c r="E230" s="4" t="s">
        <v>51</v>
      </c>
      <c r="F230" s="4" t="s">
        <v>25</v>
      </c>
      <c r="G230" s="4" t="s">
        <v>25</v>
      </c>
      <c r="H230" s="4" t="s">
        <v>35</v>
      </c>
      <c r="I230" s="5">
        <v>44593</v>
      </c>
      <c r="J230" s="6">
        <v>228</v>
      </c>
      <c r="K230" s="52">
        <v>228</v>
      </c>
      <c r="L230" s="6">
        <v>56.317</v>
      </c>
      <c r="M230" s="53">
        <v>56.317</v>
      </c>
      <c r="N230" s="6">
        <v>56.317</v>
      </c>
      <c r="O230" s="53">
        <v>56.317</v>
      </c>
      <c r="P230" s="6">
        <v>0</v>
      </c>
      <c r="Q230" s="4" t="s">
        <v>26</v>
      </c>
      <c r="R230" s="4">
        <v>0</v>
      </c>
      <c r="S230" s="6">
        <v>14</v>
      </c>
      <c r="T230" s="6">
        <v>15</v>
      </c>
      <c r="U230" s="6">
        <v>66</v>
      </c>
      <c r="V230" s="53">
        <f>IF(ISERROR(VLOOKUP($S$230,'TAR FIN'!$A$1:$O$103,15,0)),0,VLOOKUP($S$230,'TAR FIN'!$A$1:$O$103,15,0))*(1-0.06)</f>
        <v>11.674799999999999</v>
      </c>
      <c r="W230" s="53">
        <f>IF(ISERROR(VLOOKUP($T$230,'TAR FIN'!$A$1:$O$103,15,0)),0,VLOOKUP($T$230,'TAR FIN'!$A$1:$O$103,15,0))*(1-0.06)</f>
        <v>65.207800000000006</v>
      </c>
      <c r="X230" s="53">
        <f>IF(ISERROR(VLOOKUP($U$230,'TAR FIN'!$A$1:$O$103,15,0)),0,VLOOKUP($U$230,'TAR FIN'!$A$1:$O$103,15,0))*(1-0.06)</f>
        <v>267.29840000000002</v>
      </c>
      <c r="Y230" s="53">
        <f ca="1">('TUSD BE'!$AM$16+'TUSD BF_350'!$AM$16+'TUSD CVA'!$AM$16)*1*(1-0.03)</f>
        <v>17.052599999999998</v>
      </c>
      <c r="Z230" s="53">
        <f ca="1">('TUSD BE'!$AM$17+'TUSD BF_350'!$AM$17+'TUSD CVA'!$AM$17)*1*(1-0.03)</f>
        <v>107.52449999999999</v>
      </c>
      <c r="AA230" s="53">
        <f ca="1">('TE BE'!$AB$9+'TE BF_350'!$AB$9+'TE CVA'!$AB$9)*1*(1-0.03)</f>
        <v>239.78400000000002</v>
      </c>
      <c r="AB230" s="6">
        <f>$K$230*$V$230</f>
        <v>2661.8543999999997</v>
      </c>
      <c r="AC230" s="6">
        <f>$M$230*$W$230</f>
        <v>3672.3076726000004</v>
      </c>
      <c r="AD230" s="6">
        <f>$O$230*$X$230</f>
        <v>15053.443992800001</v>
      </c>
      <c r="AE230" s="6">
        <f ca="1">$K$230*$Y$230</f>
        <v>3887.9927999999995</v>
      </c>
      <c r="AF230" s="6">
        <f ca="1">$M$230*$Z$230</f>
        <v>6055.4572664999996</v>
      </c>
      <c r="AG230" s="6">
        <f ca="1">$O$230*$AA$230</f>
        <v>13503.915528000001</v>
      </c>
    </row>
    <row r="231" spans="1:33" ht="11.25" customHeight="1" x14ac:dyDescent="0.25">
      <c r="A231" s="4" t="s">
        <v>21</v>
      </c>
      <c r="B231" s="4" t="s">
        <v>33</v>
      </c>
      <c r="C231" s="4" t="s">
        <v>41</v>
      </c>
      <c r="D231" s="4" t="s">
        <v>50</v>
      </c>
      <c r="E231" s="4" t="s">
        <v>51</v>
      </c>
      <c r="F231" s="4" t="s">
        <v>25</v>
      </c>
      <c r="G231" s="4" t="s">
        <v>25</v>
      </c>
      <c r="H231" s="4" t="s">
        <v>35</v>
      </c>
      <c r="I231" s="5">
        <v>44621</v>
      </c>
      <c r="J231" s="6">
        <v>228</v>
      </c>
      <c r="K231" s="52">
        <v>228</v>
      </c>
      <c r="L231" s="6">
        <v>20.756</v>
      </c>
      <c r="M231" s="53">
        <v>20.756</v>
      </c>
      <c r="N231" s="6">
        <v>20.756</v>
      </c>
      <c r="O231" s="53">
        <v>20.756</v>
      </c>
      <c r="P231" s="6">
        <v>0</v>
      </c>
      <c r="Q231" s="4" t="s">
        <v>26</v>
      </c>
      <c r="R231" s="4">
        <v>0</v>
      </c>
      <c r="S231" s="6">
        <v>14</v>
      </c>
      <c r="T231" s="6">
        <v>15</v>
      </c>
      <c r="U231" s="6">
        <v>66</v>
      </c>
      <c r="V231" s="53">
        <f>IF(ISERROR(VLOOKUP($S$231,'TAR FIN'!$A$1:$O$103,15,0)),0,VLOOKUP($S$231,'TAR FIN'!$A$1:$O$103,15,0))*(1-0.06)</f>
        <v>11.674799999999999</v>
      </c>
      <c r="W231" s="53">
        <f>IF(ISERROR(VLOOKUP($T$231,'TAR FIN'!$A$1:$O$103,15,0)),0,VLOOKUP($T$231,'TAR FIN'!$A$1:$O$103,15,0))*(1-0.06)</f>
        <v>65.207800000000006</v>
      </c>
      <c r="X231" s="53">
        <f>IF(ISERROR(VLOOKUP($U$231,'TAR FIN'!$A$1:$O$103,15,0)),0,VLOOKUP($U$231,'TAR FIN'!$A$1:$O$103,15,0))*(1-0.06)</f>
        <v>267.29840000000002</v>
      </c>
      <c r="Y231" s="53">
        <f ca="1">('TUSD BE'!$AM$16+'TUSD BF_350'!$AM$16+'TUSD CVA'!$AM$16)*1*(1-0.03)</f>
        <v>17.052599999999998</v>
      </c>
      <c r="Z231" s="53">
        <f ca="1">('TUSD BE'!$AM$17+'TUSD BF_350'!$AM$17+'TUSD CVA'!$AM$17)*1*(1-0.03)</f>
        <v>107.52449999999999</v>
      </c>
      <c r="AA231" s="53">
        <f ca="1">('TE BE'!$AB$9+'TE BF_350'!$AB$9+'TE CVA'!$AB$9)*1*(1-0.03)</f>
        <v>239.78400000000002</v>
      </c>
      <c r="AB231" s="6">
        <f>$K$231*$V$231</f>
        <v>2661.8543999999997</v>
      </c>
      <c r="AC231" s="6">
        <f>$M$231*$W$231</f>
        <v>1353.4530968000001</v>
      </c>
      <c r="AD231" s="6">
        <f>$O$231*$X$231</f>
        <v>5548.0455904</v>
      </c>
      <c r="AE231" s="6">
        <f ca="1">$K$231*$Y$231</f>
        <v>3887.9927999999995</v>
      </c>
      <c r="AF231" s="6">
        <f ca="1">$M$231*$Z$231</f>
        <v>2231.7785219999996</v>
      </c>
      <c r="AG231" s="6">
        <f ca="1">$O$231*$AA$231</f>
        <v>4976.9567040000002</v>
      </c>
    </row>
    <row r="232" spans="1:33" ht="11.25" customHeight="1" x14ac:dyDescent="0.25">
      <c r="A232" s="4" t="s">
        <v>21</v>
      </c>
      <c r="B232" s="4" t="s">
        <v>33</v>
      </c>
      <c r="C232" s="4" t="s">
        <v>41</v>
      </c>
      <c r="D232" s="4" t="s">
        <v>50</v>
      </c>
      <c r="E232" s="4" t="s">
        <v>51</v>
      </c>
      <c r="F232" s="4" t="s">
        <v>25</v>
      </c>
      <c r="G232" s="4" t="s">
        <v>25</v>
      </c>
      <c r="H232" s="4" t="s">
        <v>35</v>
      </c>
      <c r="I232" s="5">
        <v>44652</v>
      </c>
      <c r="J232" s="6">
        <v>228</v>
      </c>
      <c r="K232" s="52">
        <v>228</v>
      </c>
      <c r="L232" s="6">
        <v>24.324999999999999</v>
      </c>
      <c r="M232" s="53">
        <v>24.324999999999999</v>
      </c>
      <c r="N232" s="6">
        <v>24.324999999999999</v>
      </c>
      <c r="O232" s="53">
        <v>24.324999999999999</v>
      </c>
      <c r="P232" s="6">
        <v>0</v>
      </c>
      <c r="Q232" s="4" t="s">
        <v>26</v>
      </c>
      <c r="R232" s="4">
        <v>0</v>
      </c>
      <c r="S232" s="6">
        <v>14</v>
      </c>
      <c r="T232" s="6">
        <v>15</v>
      </c>
      <c r="U232" s="6">
        <v>66</v>
      </c>
      <c r="V232" s="53">
        <f>IF(ISERROR(VLOOKUP($S$232,'TAR FIN'!$A$1:$O$103,15,0)),0,VLOOKUP($S$232,'TAR FIN'!$A$1:$O$103,15,0))*(1-0.06)</f>
        <v>11.674799999999999</v>
      </c>
      <c r="W232" s="53">
        <f>IF(ISERROR(VLOOKUP($T$232,'TAR FIN'!$A$1:$O$103,15,0)),0,VLOOKUP($T$232,'TAR FIN'!$A$1:$O$103,15,0))*(1-0.06)</f>
        <v>65.207800000000006</v>
      </c>
      <c r="X232" s="53">
        <f>IF(ISERROR(VLOOKUP($U$232,'TAR FIN'!$A$1:$O$103,15,0)),0,VLOOKUP($U$232,'TAR FIN'!$A$1:$O$103,15,0))*(1-0.06)</f>
        <v>267.29840000000002</v>
      </c>
      <c r="Y232" s="53">
        <f ca="1">('TUSD BE'!$AM$16+'TUSD BF_350'!$AM$16+'TUSD CVA'!$AM$16)*1*(1-0.03)</f>
        <v>17.052599999999998</v>
      </c>
      <c r="Z232" s="53">
        <f ca="1">('TUSD BE'!$AM$17+'TUSD BF_350'!$AM$17+'TUSD CVA'!$AM$17)*1*(1-0.03)</f>
        <v>107.52449999999999</v>
      </c>
      <c r="AA232" s="53">
        <f ca="1">('TE BE'!$AB$9+'TE BF_350'!$AB$9+'TE CVA'!$AB$9)*1*(1-0.03)</f>
        <v>239.78400000000002</v>
      </c>
      <c r="AB232" s="6">
        <f>$K$232*$V$232</f>
        <v>2661.8543999999997</v>
      </c>
      <c r="AC232" s="6">
        <f>$M$232*$W$232</f>
        <v>1586.1797350000002</v>
      </c>
      <c r="AD232" s="6">
        <f>$O$232*$X$232</f>
        <v>6502.0335800000003</v>
      </c>
      <c r="AE232" s="6">
        <f ca="1">$K$232*$Y$232</f>
        <v>3887.9927999999995</v>
      </c>
      <c r="AF232" s="6">
        <f ca="1">$M$232*$Z$232</f>
        <v>2615.5334624999996</v>
      </c>
      <c r="AG232" s="6">
        <f ca="1">$O$232*$AA$232</f>
        <v>5832.7458000000006</v>
      </c>
    </row>
    <row r="233" spans="1:33" ht="11.25" customHeight="1" x14ac:dyDescent="0.25">
      <c r="A233" s="4" t="s">
        <v>21</v>
      </c>
      <c r="B233" s="4" t="s">
        <v>33</v>
      </c>
      <c r="C233" s="4" t="s">
        <v>41</v>
      </c>
      <c r="D233" s="4" t="s">
        <v>50</v>
      </c>
      <c r="E233" s="4" t="s">
        <v>51</v>
      </c>
      <c r="F233" s="4" t="s">
        <v>25</v>
      </c>
      <c r="G233" s="4" t="s">
        <v>25</v>
      </c>
      <c r="H233" s="4" t="s">
        <v>35</v>
      </c>
      <c r="I233" s="5">
        <v>44682</v>
      </c>
      <c r="J233" s="6">
        <v>228</v>
      </c>
      <c r="K233" s="52">
        <v>228</v>
      </c>
      <c r="L233" s="6">
        <v>29.733000000000001</v>
      </c>
      <c r="M233" s="53">
        <v>29.733000000000001</v>
      </c>
      <c r="N233" s="6">
        <v>29.733000000000001</v>
      </c>
      <c r="O233" s="53">
        <v>29.733000000000001</v>
      </c>
      <c r="P233" s="6">
        <v>0</v>
      </c>
      <c r="Q233" s="4" t="s">
        <v>26</v>
      </c>
      <c r="R233" s="4">
        <v>0</v>
      </c>
      <c r="S233" s="6">
        <v>14</v>
      </c>
      <c r="T233" s="6">
        <v>15</v>
      </c>
      <c r="U233" s="6">
        <v>66</v>
      </c>
      <c r="V233" s="53">
        <f>IF(ISERROR(VLOOKUP($S$233,'TAR FIN'!$A$1:$O$103,15,0)),0,VLOOKUP($S$233,'TAR FIN'!$A$1:$O$103,15,0))*(1-0.06)</f>
        <v>11.674799999999999</v>
      </c>
      <c r="W233" s="53">
        <f>IF(ISERROR(VLOOKUP($T$233,'TAR FIN'!$A$1:$O$103,15,0)),0,VLOOKUP($T$233,'TAR FIN'!$A$1:$O$103,15,0))*(1-0.06)</f>
        <v>65.207800000000006</v>
      </c>
      <c r="X233" s="53">
        <f>IF(ISERROR(VLOOKUP($U$233,'TAR FIN'!$A$1:$O$103,15,0)),0,VLOOKUP($U$233,'TAR FIN'!$A$1:$O$103,15,0))*(1-0.06)</f>
        <v>267.29840000000002</v>
      </c>
      <c r="Y233" s="53">
        <f ca="1">('TUSD BE'!$AM$16+'TUSD BF_350'!$AM$16+'TUSD CVA'!$AM$16)*1*(1-0.03)</f>
        <v>17.052599999999998</v>
      </c>
      <c r="Z233" s="53">
        <f ca="1">('TUSD BE'!$AM$17+'TUSD BF_350'!$AM$17+'TUSD CVA'!$AM$17)*1*(1-0.03)</f>
        <v>107.52449999999999</v>
      </c>
      <c r="AA233" s="53">
        <f ca="1">('TE BE'!$AB$9+'TE BF_350'!$AB$9+'TE CVA'!$AB$9)*1*(1-0.03)</f>
        <v>239.78400000000002</v>
      </c>
      <c r="AB233" s="6">
        <f>$K$233*$V$233</f>
        <v>2661.8543999999997</v>
      </c>
      <c r="AC233" s="6">
        <f>$M$233*$W$233</f>
        <v>1938.8235174000001</v>
      </c>
      <c r="AD233" s="6">
        <f>$O$233*$X$233</f>
        <v>7947.5833272000009</v>
      </c>
      <c r="AE233" s="6">
        <f ca="1">$K$233*$Y$233</f>
        <v>3887.9927999999995</v>
      </c>
      <c r="AF233" s="6">
        <f ca="1">$M$233*$Z$233</f>
        <v>3197.0259584999999</v>
      </c>
      <c r="AG233" s="6">
        <f ca="1">$O$233*$AA$233</f>
        <v>7129.4976720000004</v>
      </c>
    </row>
    <row r="234" spans="1:33" ht="11.25" customHeight="1" x14ac:dyDescent="0.25">
      <c r="A234" s="4" t="s">
        <v>21</v>
      </c>
      <c r="B234" s="4" t="s">
        <v>33</v>
      </c>
      <c r="C234" s="4" t="s">
        <v>41</v>
      </c>
      <c r="D234" s="4" t="s">
        <v>50</v>
      </c>
      <c r="E234" s="4" t="s">
        <v>51</v>
      </c>
      <c r="F234" s="4" t="s">
        <v>25</v>
      </c>
      <c r="G234" s="4" t="s">
        <v>25</v>
      </c>
      <c r="H234" s="4" t="s">
        <v>37</v>
      </c>
      <c r="I234" s="5">
        <v>44348</v>
      </c>
      <c r="J234" s="6">
        <v>228</v>
      </c>
      <c r="K234" s="52">
        <v>228</v>
      </c>
      <c r="L234" s="6">
        <v>4.1959999999999997</v>
      </c>
      <c r="M234" s="53">
        <v>4.1959999999999997</v>
      </c>
      <c r="N234" s="6">
        <v>4.1959999999999997</v>
      </c>
      <c r="O234" s="53">
        <v>4.1959999999999997</v>
      </c>
      <c r="P234" s="6">
        <v>0</v>
      </c>
      <c r="Q234" s="4" t="s">
        <v>26</v>
      </c>
      <c r="R234" s="4">
        <v>0</v>
      </c>
      <c r="S234" s="6">
        <v>13</v>
      </c>
      <c r="T234" s="6">
        <v>15</v>
      </c>
      <c r="U234" s="6">
        <v>65</v>
      </c>
      <c r="V234" s="53">
        <f>IF(ISERROR(VLOOKUP($S$234,'TAR FIN'!$A$1:$O$103,15,0)),0,VLOOKUP($S$234,'TAR FIN'!$A$1:$O$103,15,0))*(1-0.06)</f>
        <v>29.816799999999997</v>
      </c>
      <c r="W234" s="53">
        <f>IF(ISERROR(VLOOKUP($T$234,'TAR FIN'!$A$1:$O$103,15,0)),0,VLOOKUP($T$234,'TAR FIN'!$A$1:$O$103,15,0))*(1-0.06)</f>
        <v>65.207800000000006</v>
      </c>
      <c r="X234" s="53">
        <f>IF(ISERROR(VLOOKUP($U$234,'TAR FIN'!$A$1:$O$103,15,0)),0,VLOOKUP($U$234,'TAR FIN'!$A$1:$O$103,15,0))*(1-0.06)</f>
        <v>427.60599999999994</v>
      </c>
      <c r="Y234" s="53">
        <f ca="1">('TUSD BE'!$AM$15+'TUSD BF_350'!$AM$15+'TUSD CVA'!$AM$15)*1*(1-0.03)</f>
        <v>36.636900000000004</v>
      </c>
      <c r="Z234" s="53">
        <f ca="1">('TUSD BE'!$AM$17+'TUSD BF_350'!$AM$17+'TUSD CVA'!$AM$17)*1*(1-0.03)</f>
        <v>107.52449999999999</v>
      </c>
      <c r="AA234" s="53">
        <f ca="1">('TE BE'!$AB$8+'TE BF_350'!$AB$8+'TE CVA'!$AB$8)*1*(1-0.03)</f>
        <v>376.43760000000003</v>
      </c>
      <c r="AB234" s="6">
        <f>$K$234*$V$234</f>
        <v>6798.2303999999995</v>
      </c>
      <c r="AC234" s="6">
        <f>$M$234*$W$234</f>
        <v>273.61192879999999</v>
      </c>
      <c r="AD234" s="6">
        <f>$O$234*$X$234</f>
        <v>1794.2347759999996</v>
      </c>
      <c r="AE234" s="6">
        <f ca="1">$K$234*$Y$234</f>
        <v>8353.2132000000001</v>
      </c>
      <c r="AF234" s="6">
        <f ca="1">$M$234*$Z$234</f>
        <v>451.17280199999993</v>
      </c>
      <c r="AG234" s="6">
        <f ca="1">$O$234*$AA$234</f>
        <v>1579.5321696000001</v>
      </c>
    </row>
    <row r="235" spans="1:33" ht="11.25" customHeight="1" x14ac:dyDescent="0.25">
      <c r="A235" s="4" t="s">
        <v>21</v>
      </c>
      <c r="B235" s="4" t="s">
        <v>33</v>
      </c>
      <c r="C235" s="4" t="s">
        <v>41</v>
      </c>
      <c r="D235" s="4" t="s">
        <v>50</v>
      </c>
      <c r="E235" s="4" t="s">
        <v>51</v>
      </c>
      <c r="F235" s="4" t="s">
        <v>25</v>
      </c>
      <c r="G235" s="4" t="s">
        <v>25</v>
      </c>
      <c r="H235" s="4" t="s">
        <v>37</v>
      </c>
      <c r="I235" s="5">
        <v>44378</v>
      </c>
      <c r="J235" s="6">
        <v>228</v>
      </c>
      <c r="K235" s="52">
        <v>228</v>
      </c>
      <c r="L235" s="6">
        <v>6.3650000000000002</v>
      </c>
      <c r="M235" s="53">
        <v>6.3650000000000002</v>
      </c>
      <c r="N235" s="6">
        <v>6.3650000000000002</v>
      </c>
      <c r="O235" s="53">
        <v>6.3650000000000002</v>
      </c>
      <c r="P235" s="6">
        <v>0</v>
      </c>
      <c r="Q235" s="4" t="s">
        <v>26</v>
      </c>
      <c r="R235" s="4">
        <v>0</v>
      </c>
      <c r="S235" s="6">
        <v>13</v>
      </c>
      <c r="T235" s="6">
        <v>15</v>
      </c>
      <c r="U235" s="6">
        <v>65</v>
      </c>
      <c r="V235" s="53">
        <f>IF(ISERROR(VLOOKUP($S$235,'TAR FIN'!$A$1:$O$103,15,0)),0,VLOOKUP($S$235,'TAR FIN'!$A$1:$O$103,15,0))*(1-0.06)</f>
        <v>29.816799999999997</v>
      </c>
      <c r="W235" s="53">
        <f>IF(ISERROR(VLOOKUP($T$235,'TAR FIN'!$A$1:$O$103,15,0)),0,VLOOKUP($T$235,'TAR FIN'!$A$1:$O$103,15,0))*(1-0.06)</f>
        <v>65.207800000000006</v>
      </c>
      <c r="X235" s="53">
        <f>IF(ISERROR(VLOOKUP($U$235,'TAR FIN'!$A$1:$O$103,15,0)),0,VLOOKUP($U$235,'TAR FIN'!$A$1:$O$103,15,0))*(1-0.06)</f>
        <v>427.60599999999994</v>
      </c>
      <c r="Y235" s="53">
        <f ca="1">('TUSD BE'!$AM$15+'TUSD BF_350'!$AM$15+'TUSD CVA'!$AM$15)*1*(1-0.03)</f>
        <v>36.636900000000004</v>
      </c>
      <c r="Z235" s="53">
        <f ca="1">('TUSD BE'!$AM$17+'TUSD BF_350'!$AM$17+'TUSD CVA'!$AM$17)*1*(1-0.03)</f>
        <v>107.52449999999999</v>
      </c>
      <c r="AA235" s="53">
        <f ca="1">('TE BE'!$AB$8+'TE BF_350'!$AB$8+'TE CVA'!$AB$8)*1*(1-0.03)</f>
        <v>376.43760000000003</v>
      </c>
      <c r="AB235" s="6">
        <f>$K$235*$V$235</f>
        <v>6798.2303999999995</v>
      </c>
      <c r="AC235" s="6">
        <f>$M$235*$W$235</f>
        <v>415.04764700000004</v>
      </c>
      <c r="AD235" s="6">
        <f>$O$235*$X$235</f>
        <v>2721.7121899999997</v>
      </c>
      <c r="AE235" s="6">
        <f ca="1">$K$235*$Y$235</f>
        <v>8353.2132000000001</v>
      </c>
      <c r="AF235" s="6">
        <f ca="1">$M$235*$Z$235</f>
        <v>684.39344249999999</v>
      </c>
      <c r="AG235" s="6">
        <f ca="1">$O$235*$AA$235</f>
        <v>2396.0253240000002</v>
      </c>
    </row>
    <row r="236" spans="1:33" ht="11.25" customHeight="1" x14ac:dyDescent="0.25">
      <c r="A236" s="4" t="s">
        <v>21</v>
      </c>
      <c r="B236" s="4" t="s">
        <v>33</v>
      </c>
      <c r="C236" s="4" t="s">
        <v>41</v>
      </c>
      <c r="D236" s="4" t="s">
        <v>50</v>
      </c>
      <c r="E236" s="4" t="s">
        <v>51</v>
      </c>
      <c r="F236" s="4" t="s">
        <v>25</v>
      </c>
      <c r="G236" s="4" t="s">
        <v>25</v>
      </c>
      <c r="H236" s="4" t="s">
        <v>37</v>
      </c>
      <c r="I236" s="5">
        <v>44409</v>
      </c>
      <c r="J236" s="6">
        <v>228</v>
      </c>
      <c r="K236" s="52">
        <v>228</v>
      </c>
      <c r="L236" s="6">
        <v>6.4050000000000002</v>
      </c>
      <c r="M236" s="53">
        <v>6.4050000000000002</v>
      </c>
      <c r="N236" s="6">
        <v>6.4050000000000002</v>
      </c>
      <c r="O236" s="53">
        <v>6.4050000000000002</v>
      </c>
      <c r="P236" s="6">
        <v>0</v>
      </c>
      <c r="Q236" s="4" t="s">
        <v>26</v>
      </c>
      <c r="R236" s="4">
        <v>0</v>
      </c>
      <c r="S236" s="6">
        <v>13</v>
      </c>
      <c r="T236" s="6">
        <v>15</v>
      </c>
      <c r="U236" s="6">
        <v>65</v>
      </c>
      <c r="V236" s="53">
        <f>IF(ISERROR(VLOOKUP($S$236,'TAR FIN'!$A$1:$O$103,15,0)),0,VLOOKUP($S$236,'TAR FIN'!$A$1:$O$103,15,0))*(1-0.06)</f>
        <v>29.816799999999997</v>
      </c>
      <c r="W236" s="53">
        <f>IF(ISERROR(VLOOKUP($T$236,'TAR FIN'!$A$1:$O$103,15,0)),0,VLOOKUP($T$236,'TAR FIN'!$A$1:$O$103,15,0))*(1-0.06)</f>
        <v>65.207800000000006</v>
      </c>
      <c r="X236" s="53">
        <f>IF(ISERROR(VLOOKUP($U$236,'TAR FIN'!$A$1:$O$103,15,0)),0,VLOOKUP($U$236,'TAR FIN'!$A$1:$O$103,15,0))*(1-0.06)</f>
        <v>427.60599999999994</v>
      </c>
      <c r="Y236" s="53">
        <f ca="1">('TUSD BE'!$AM$15+'TUSD BF_350'!$AM$15+'TUSD CVA'!$AM$15)*1*(1-0.03)</f>
        <v>36.636900000000004</v>
      </c>
      <c r="Z236" s="53">
        <f ca="1">('TUSD BE'!$AM$17+'TUSD BF_350'!$AM$17+'TUSD CVA'!$AM$17)*1*(1-0.03)</f>
        <v>107.52449999999999</v>
      </c>
      <c r="AA236" s="53">
        <f ca="1">('TE BE'!$AB$8+'TE BF_350'!$AB$8+'TE CVA'!$AB$8)*1*(1-0.03)</f>
        <v>376.43760000000003</v>
      </c>
      <c r="AB236" s="6">
        <f>$K$236*$V$236</f>
        <v>6798.2303999999995</v>
      </c>
      <c r="AC236" s="6">
        <f>$M$236*$W$236</f>
        <v>417.65595900000005</v>
      </c>
      <c r="AD236" s="6">
        <f>$O$236*$X$236</f>
        <v>2738.8164299999999</v>
      </c>
      <c r="AE236" s="6">
        <f ca="1">$K$236*$Y$236</f>
        <v>8353.2132000000001</v>
      </c>
      <c r="AF236" s="6">
        <f ca="1">$M$236*$Z$236</f>
        <v>688.69442249999997</v>
      </c>
      <c r="AG236" s="6">
        <f ca="1">$O$236*$AA$236</f>
        <v>2411.0828280000005</v>
      </c>
    </row>
    <row r="237" spans="1:33" ht="11.25" customHeight="1" x14ac:dyDescent="0.25">
      <c r="A237" s="4" t="s">
        <v>21</v>
      </c>
      <c r="B237" s="4" t="s">
        <v>33</v>
      </c>
      <c r="C237" s="4" t="s">
        <v>41</v>
      </c>
      <c r="D237" s="4" t="s">
        <v>50</v>
      </c>
      <c r="E237" s="4" t="s">
        <v>51</v>
      </c>
      <c r="F237" s="4" t="s">
        <v>25</v>
      </c>
      <c r="G237" s="4" t="s">
        <v>25</v>
      </c>
      <c r="H237" s="4" t="s">
        <v>37</v>
      </c>
      <c r="I237" s="5">
        <v>44440</v>
      </c>
      <c r="J237" s="6">
        <v>228</v>
      </c>
      <c r="K237" s="52">
        <v>228</v>
      </c>
      <c r="L237" s="6">
        <v>3.7879999999999998</v>
      </c>
      <c r="M237" s="53">
        <v>3.7879999999999998</v>
      </c>
      <c r="N237" s="6">
        <v>3.7879999999999998</v>
      </c>
      <c r="O237" s="53">
        <v>3.7879999999999998</v>
      </c>
      <c r="P237" s="6">
        <v>0</v>
      </c>
      <c r="Q237" s="4" t="s">
        <v>26</v>
      </c>
      <c r="R237" s="4">
        <v>0</v>
      </c>
      <c r="S237" s="6">
        <v>13</v>
      </c>
      <c r="T237" s="6">
        <v>15</v>
      </c>
      <c r="U237" s="6">
        <v>65</v>
      </c>
      <c r="V237" s="53">
        <f>IF(ISERROR(VLOOKUP($S$237,'TAR FIN'!$A$1:$O$103,15,0)),0,VLOOKUP($S$237,'TAR FIN'!$A$1:$O$103,15,0))*(1-0.06)</f>
        <v>29.816799999999997</v>
      </c>
      <c r="W237" s="53">
        <f>IF(ISERROR(VLOOKUP($T$237,'TAR FIN'!$A$1:$O$103,15,0)),0,VLOOKUP($T$237,'TAR FIN'!$A$1:$O$103,15,0))*(1-0.06)</f>
        <v>65.207800000000006</v>
      </c>
      <c r="X237" s="53">
        <f>IF(ISERROR(VLOOKUP($U$237,'TAR FIN'!$A$1:$O$103,15,0)),0,VLOOKUP($U$237,'TAR FIN'!$A$1:$O$103,15,0))*(1-0.06)</f>
        <v>427.60599999999994</v>
      </c>
      <c r="Y237" s="53">
        <f ca="1">('TUSD BE'!$AM$15+'TUSD BF_350'!$AM$15+'TUSD CVA'!$AM$15)*1*(1-0.03)</f>
        <v>36.636900000000004</v>
      </c>
      <c r="Z237" s="53">
        <f ca="1">('TUSD BE'!$AM$17+'TUSD BF_350'!$AM$17+'TUSD CVA'!$AM$17)*1*(1-0.03)</f>
        <v>107.52449999999999</v>
      </c>
      <c r="AA237" s="53">
        <f ca="1">('TE BE'!$AB$8+'TE BF_350'!$AB$8+'TE CVA'!$AB$8)*1*(1-0.03)</f>
        <v>376.43760000000003</v>
      </c>
      <c r="AB237" s="6">
        <f>$K$237*$V$237</f>
        <v>6798.2303999999995</v>
      </c>
      <c r="AC237" s="6">
        <f>$M$237*$W$237</f>
        <v>247.00714640000001</v>
      </c>
      <c r="AD237" s="6">
        <f>$O$237*$X$237</f>
        <v>1619.7715279999998</v>
      </c>
      <c r="AE237" s="6">
        <f ca="1">$K$237*$Y$237</f>
        <v>8353.2132000000001</v>
      </c>
      <c r="AF237" s="6">
        <f ca="1">$M$237*$Z$237</f>
        <v>407.30280599999992</v>
      </c>
      <c r="AG237" s="6">
        <f ca="1">$O$237*$AA$237</f>
        <v>1425.9456288000001</v>
      </c>
    </row>
    <row r="238" spans="1:33" ht="11.25" customHeight="1" x14ac:dyDescent="0.25">
      <c r="A238" s="4" t="s">
        <v>21</v>
      </c>
      <c r="B238" s="4" t="s">
        <v>33</v>
      </c>
      <c r="C238" s="4" t="s">
        <v>41</v>
      </c>
      <c r="D238" s="4" t="s">
        <v>50</v>
      </c>
      <c r="E238" s="4" t="s">
        <v>51</v>
      </c>
      <c r="F238" s="4" t="s">
        <v>25</v>
      </c>
      <c r="G238" s="4" t="s">
        <v>25</v>
      </c>
      <c r="H238" s="4" t="s">
        <v>37</v>
      </c>
      <c r="I238" s="5">
        <v>44470</v>
      </c>
      <c r="J238" s="6">
        <v>228</v>
      </c>
      <c r="K238" s="52">
        <v>228</v>
      </c>
      <c r="L238" s="6">
        <v>8.0120000000000005</v>
      </c>
      <c r="M238" s="53">
        <v>8.0120000000000005</v>
      </c>
      <c r="N238" s="6">
        <v>8.0120000000000005</v>
      </c>
      <c r="O238" s="53">
        <v>8.0120000000000005</v>
      </c>
      <c r="P238" s="6">
        <v>0</v>
      </c>
      <c r="Q238" s="4" t="s">
        <v>26</v>
      </c>
      <c r="R238" s="4">
        <v>0</v>
      </c>
      <c r="S238" s="6">
        <v>13</v>
      </c>
      <c r="T238" s="6">
        <v>15</v>
      </c>
      <c r="U238" s="6">
        <v>65</v>
      </c>
      <c r="V238" s="53">
        <f>IF(ISERROR(VLOOKUP($S$238,'TAR FIN'!$A$1:$O$103,15,0)),0,VLOOKUP($S$238,'TAR FIN'!$A$1:$O$103,15,0))*(1-0.06)</f>
        <v>29.816799999999997</v>
      </c>
      <c r="W238" s="53">
        <f>IF(ISERROR(VLOOKUP($T$238,'TAR FIN'!$A$1:$O$103,15,0)),0,VLOOKUP($T$238,'TAR FIN'!$A$1:$O$103,15,0))*(1-0.06)</f>
        <v>65.207800000000006</v>
      </c>
      <c r="X238" s="53">
        <f>IF(ISERROR(VLOOKUP($U$238,'TAR FIN'!$A$1:$O$103,15,0)),0,VLOOKUP($U$238,'TAR FIN'!$A$1:$O$103,15,0))*(1-0.06)</f>
        <v>427.60599999999994</v>
      </c>
      <c r="Y238" s="53">
        <f ca="1">('TUSD BE'!$AM$15+'TUSD BF_350'!$AM$15+'TUSD CVA'!$AM$15)*1*(1-0.03)</f>
        <v>36.636900000000004</v>
      </c>
      <c r="Z238" s="53">
        <f ca="1">('TUSD BE'!$AM$17+'TUSD BF_350'!$AM$17+'TUSD CVA'!$AM$17)*1*(1-0.03)</f>
        <v>107.52449999999999</v>
      </c>
      <c r="AA238" s="53">
        <f ca="1">('TE BE'!$AB$8+'TE BF_350'!$AB$8+'TE CVA'!$AB$8)*1*(1-0.03)</f>
        <v>376.43760000000003</v>
      </c>
      <c r="AB238" s="6">
        <f>$K$238*$V$238</f>
        <v>6798.2303999999995</v>
      </c>
      <c r="AC238" s="6">
        <f>$M$238*$W$238</f>
        <v>522.44489360000011</v>
      </c>
      <c r="AD238" s="6">
        <f>$O$238*$X$238</f>
        <v>3425.9792719999996</v>
      </c>
      <c r="AE238" s="6">
        <f ca="1">$K$238*$Y$238</f>
        <v>8353.2132000000001</v>
      </c>
      <c r="AF238" s="6">
        <f ca="1">$M$238*$Z$238</f>
        <v>861.48629399999993</v>
      </c>
      <c r="AG238" s="6">
        <f ca="1">$O$238*$AA$238</f>
        <v>3016.0180512000006</v>
      </c>
    </row>
    <row r="239" spans="1:33" ht="11.25" customHeight="1" x14ac:dyDescent="0.25">
      <c r="A239" s="4" t="s">
        <v>21</v>
      </c>
      <c r="B239" s="4" t="s">
        <v>33</v>
      </c>
      <c r="C239" s="4" t="s">
        <v>41</v>
      </c>
      <c r="D239" s="4" t="s">
        <v>50</v>
      </c>
      <c r="E239" s="4" t="s">
        <v>51</v>
      </c>
      <c r="F239" s="4" t="s">
        <v>25</v>
      </c>
      <c r="G239" s="4" t="s">
        <v>25</v>
      </c>
      <c r="H239" s="4" t="s">
        <v>37</v>
      </c>
      <c r="I239" s="5">
        <v>44501</v>
      </c>
      <c r="J239" s="6">
        <v>228</v>
      </c>
      <c r="K239" s="52">
        <v>228</v>
      </c>
      <c r="L239" s="6">
        <v>4.8719999999999999</v>
      </c>
      <c r="M239" s="53">
        <v>4.8719999999999999</v>
      </c>
      <c r="N239" s="6">
        <v>4.8719999999999999</v>
      </c>
      <c r="O239" s="53">
        <v>4.8719999999999999</v>
      </c>
      <c r="P239" s="6">
        <v>0</v>
      </c>
      <c r="Q239" s="4" t="s">
        <v>26</v>
      </c>
      <c r="R239" s="4">
        <v>0</v>
      </c>
      <c r="S239" s="6">
        <v>13</v>
      </c>
      <c r="T239" s="6">
        <v>15</v>
      </c>
      <c r="U239" s="6">
        <v>65</v>
      </c>
      <c r="V239" s="53">
        <f>IF(ISERROR(VLOOKUP($S$239,'TAR FIN'!$A$1:$O$103,15,0)),0,VLOOKUP($S$239,'TAR FIN'!$A$1:$O$103,15,0))*(1-0.06)</f>
        <v>29.816799999999997</v>
      </c>
      <c r="W239" s="53">
        <f>IF(ISERROR(VLOOKUP($T$239,'TAR FIN'!$A$1:$O$103,15,0)),0,VLOOKUP($T$239,'TAR FIN'!$A$1:$O$103,15,0))*(1-0.06)</f>
        <v>65.207800000000006</v>
      </c>
      <c r="X239" s="53">
        <f>IF(ISERROR(VLOOKUP($U$239,'TAR FIN'!$A$1:$O$103,15,0)),0,VLOOKUP($U$239,'TAR FIN'!$A$1:$O$103,15,0))*(1-0.06)</f>
        <v>427.60599999999994</v>
      </c>
      <c r="Y239" s="53">
        <f ca="1">('TUSD BE'!$AM$15+'TUSD BF_350'!$AM$15+'TUSD CVA'!$AM$15)*1*(1-0.03)</f>
        <v>36.636900000000004</v>
      </c>
      <c r="Z239" s="53">
        <f ca="1">('TUSD BE'!$AM$17+'TUSD BF_350'!$AM$17+'TUSD CVA'!$AM$17)*1*(1-0.03)</f>
        <v>107.52449999999999</v>
      </c>
      <c r="AA239" s="53">
        <f ca="1">('TE BE'!$AB$8+'TE BF_350'!$AB$8+'TE CVA'!$AB$8)*1*(1-0.03)</f>
        <v>376.43760000000003</v>
      </c>
      <c r="AB239" s="6">
        <f>$K$239*$V$239</f>
        <v>6798.2303999999995</v>
      </c>
      <c r="AC239" s="6">
        <f>$M$239*$W$239</f>
        <v>317.69240160000004</v>
      </c>
      <c r="AD239" s="6">
        <f>$O$239*$X$239</f>
        <v>2083.2964319999996</v>
      </c>
      <c r="AE239" s="6">
        <f ca="1">$K$239*$Y$239</f>
        <v>8353.2132000000001</v>
      </c>
      <c r="AF239" s="6">
        <f ca="1">$M$239*$Z$239</f>
        <v>523.85936399999991</v>
      </c>
      <c r="AG239" s="6">
        <f ca="1">$O$239*$AA$239</f>
        <v>1834.0039872000002</v>
      </c>
    </row>
    <row r="240" spans="1:33" ht="11.25" customHeight="1" x14ac:dyDescent="0.25">
      <c r="A240" s="4" t="s">
        <v>21</v>
      </c>
      <c r="B240" s="4" t="s">
        <v>33</v>
      </c>
      <c r="C240" s="4" t="s">
        <v>41</v>
      </c>
      <c r="D240" s="4" t="s">
        <v>50</v>
      </c>
      <c r="E240" s="4" t="s">
        <v>51</v>
      </c>
      <c r="F240" s="4" t="s">
        <v>25</v>
      </c>
      <c r="G240" s="4" t="s">
        <v>25</v>
      </c>
      <c r="H240" s="4" t="s">
        <v>37</v>
      </c>
      <c r="I240" s="5">
        <v>44531</v>
      </c>
      <c r="J240" s="6">
        <v>228</v>
      </c>
      <c r="K240" s="52">
        <v>228</v>
      </c>
      <c r="L240" s="6">
        <v>1.9990000000000001</v>
      </c>
      <c r="M240" s="53">
        <v>1.9990000000000001</v>
      </c>
      <c r="N240" s="6">
        <v>1.9990000000000001</v>
      </c>
      <c r="O240" s="53">
        <v>1.9990000000000001</v>
      </c>
      <c r="P240" s="6">
        <v>0</v>
      </c>
      <c r="Q240" s="4" t="s">
        <v>26</v>
      </c>
      <c r="R240" s="4">
        <v>0</v>
      </c>
      <c r="S240" s="6">
        <v>13</v>
      </c>
      <c r="T240" s="6">
        <v>15</v>
      </c>
      <c r="U240" s="6">
        <v>65</v>
      </c>
      <c r="V240" s="53">
        <f>IF(ISERROR(VLOOKUP($S$240,'TAR FIN'!$A$1:$O$103,15,0)),0,VLOOKUP($S$240,'TAR FIN'!$A$1:$O$103,15,0))*(1-0.06)</f>
        <v>29.816799999999997</v>
      </c>
      <c r="W240" s="53">
        <f>IF(ISERROR(VLOOKUP($T$240,'TAR FIN'!$A$1:$O$103,15,0)),0,VLOOKUP($T$240,'TAR FIN'!$A$1:$O$103,15,0))*(1-0.06)</f>
        <v>65.207800000000006</v>
      </c>
      <c r="X240" s="53">
        <f>IF(ISERROR(VLOOKUP($U$240,'TAR FIN'!$A$1:$O$103,15,0)),0,VLOOKUP($U$240,'TAR FIN'!$A$1:$O$103,15,0))*(1-0.06)</f>
        <v>427.60599999999994</v>
      </c>
      <c r="Y240" s="53">
        <f ca="1">('TUSD BE'!$AM$15+'TUSD BF_350'!$AM$15+'TUSD CVA'!$AM$15)*1*(1-0.03)</f>
        <v>36.636900000000004</v>
      </c>
      <c r="Z240" s="53">
        <f ca="1">('TUSD BE'!$AM$17+'TUSD BF_350'!$AM$17+'TUSD CVA'!$AM$17)*1*(1-0.03)</f>
        <v>107.52449999999999</v>
      </c>
      <c r="AA240" s="53">
        <f ca="1">('TE BE'!$AB$8+'TE BF_350'!$AB$8+'TE CVA'!$AB$8)*1*(1-0.03)</f>
        <v>376.43760000000003</v>
      </c>
      <c r="AB240" s="6">
        <f>$K$240*$V$240</f>
        <v>6798.2303999999995</v>
      </c>
      <c r="AC240" s="6">
        <f>$M$240*$W$240</f>
        <v>130.35039220000002</v>
      </c>
      <c r="AD240" s="6">
        <f>$O$240*$X$240</f>
        <v>854.78439399999991</v>
      </c>
      <c r="AE240" s="6">
        <f ca="1">$K$240*$Y$240</f>
        <v>8353.2132000000001</v>
      </c>
      <c r="AF240" s="6">
        <f ca="1">$M$240*$Z$240</f>
        <v>214.9414755</v>
      </c>
      <c r="AG240" s="6">
        <f ca="1">$O$240*$AA$240</f>
        <v>752.49876240000015</v>
      </c>
    </row>
    <row r="241" spans="1:33" ht="11.25" customHeight="1" x14ac:dyDescent="0.25">
      <c r="A241" s="4" t="s">
        <v>21</v>
      </c>
      <c r="B241" s="4" t="s">
        <v>33</v>
      </c>
      <c r="C241" s="4" t="s">
        <v>41</v>
      </c>
      <c r="D241" s="4" t="s">
        <v>50</v>
      </c>
      <c r="E241" s="4" t="s">
        <v>51</v>
      </c>
      <c r="F241" s="4" t="s">
        <v>25</v>
      </c>
      <c r="G241" s="4" t="s">
        <v>25</v>
      </c>
      <c r="H241" s="4" t="s">
        <v>37</v>
      </c>
      <c r="I241" s="5">
        <v>44562</v>
      </c>
      <c r="J241" s="6">
        <v>228</v>
      </c>
      <c r="K241" s="52">
        <v>228</v>
      </c>
      <c r="L241" s="6">
        <v>4.0750000000000002</v>
      </c>
      <c r="M241" s="53">
        <v>4.0750000000000002</v>
      </c>
      <c r="N241" s="6">
        <v>4.0750000000000002</v>
      </c>
      <c r="O241" s="53">
        <v>4.0750000000000002</v>
      </c>
      <c r="P241" s="6">
        <v>0</v>
      </c>
      <c r="Q241" s="4" t="s">
        <v>26</v>
      </c>
      <c r="R241" s="4">
        <v>0</v>
      </c>
      <c r="S241" s="6">
        <v>13</v>
      </c>
      <c r="T241" s="6">
        <v>15</v>
      </c>
      <c r="U241" s="6">
        <v>65</v>
      </c>
      <c r="V241" s="53">
        <f>IF(ISERROR(VLOOKUP($S$241,'TAR FIN'!$A$1:$O$103,15,0)),0,VLOOKUP($S$241,'TAR FIN'!$A$1:$O$103,15,0))*(1-0.06)</f>
        <v>29.816799999999997</v>
      </c>
      <c r="W241" s="53">
        <f>IF(ISERROR(VLOOKUP($T$241,'TAR FIN'!$A$1:$O$103,15,0)),0,VLOOKUP($T$241,'TAR FIN'!$A$1:$O$103,15,0))*(1-0.06)</f>
        <v>65.207800000000006</v>
      </c>
      <c r="X241" s="53">
        <f>IF(ISERROR(VLOOKUP($U$241,'TAR FIN'!$A$1:$O$103,15,0)),0,VLOOKUP($U$241,'TAR FIN'!$A$1:$O$103,15,0))*(1-0.06)</f>
        <v>427.60599999999994</v>
      </c>
      <c r="Y241" s="53">
        <f ca="1">('TUSD BE'!$AM$15+'TUSD BF_350'!$AM$15+'TUSD CVA'!$AM$15)*1*(1-0.03)</f>
        <v>36.636900000000004</v>
      </c>
      <c r="Z241" s="53">
        <f ca="1">('TUSD BE'!$AM$17+'TUSD BF_350'!$AM$17+'TUSD CVA'!$AM$17)*1*(1-0.03)</f>
        <v>107.52449999999999</v>
      </c>
      <c r="AA241" s="53">
        <f ca="1">('TE BE'!$AB$8+'TE BF_350'!$AB$8+'TE CVA'!$AB$8)*1*(1-0.03)</f>
        <v>376.43760000000003</v>
      </c>
      <c r="AB241" s="6">
        <f>$K$241*$V$241</f>
        <v>6798.2303999999995</v>
      </c>
      <c r="AC241" s="6">
        <f>$M$241*$W$241</f>
        <v>265.72178500000001</v>
      </c>
      <c r="AD241" s="6">
        <f>$O$241*$X$241</f>
        <v>1742.4944499999999</v>
      </c>
      <c r="AE241" s="6">
        <f ca="1">$K$241*$Y$241</f>
        <v>8353.2132000000001</v>
      </c>
      <c r="AF241" s="6">
        <f ca="1">$M$241*$Z$241</f>
        <v>438.16233749999998</v>
      </c>
      <c r="AG241" s="6">
        <f ca="1">$O$241*$AA$241</f>
        <v>1533.9832200000003</v>
      </c>
    </row>
    <row r="242" spans="1:33" ht="11.25" customHeight="1" x14ac:dyDescent="0.25">
      <c r="A242" s="4" t="s">
        <v>21</v>
      </c>
      <c r="B242" s="4" t="s">
        <v>33</v>
      </c>
      <c r="C242" s="4" t="s">
        <v>41</v>
      </c>
      <c r="D242" s="4" t="s">
        <v>50</v>
      </c>
      <c r="E242" s="4" t="s">
        <v>51</v>
      </c>
      <c r="F242" s="4" t="s">
        <v>25</v>
      </c>
      <c r="G242" s="4" t="s">
        <v>25</v>
      </c>
      <c r="H242" s="4" t="s">
        <v>37</v>
      </c>
      <c r="I242" s="5">
        <v>44593</v>
      </c>
      <c r="J242" s="6">
        <v>228</v>
      </c>
      <c r="K242" s="52">
        <v>228</v>
      </c>
      <c r="L242" s="6">
        <v>1.7290000000000001</v>
      </c>
      <c r="M242" s="53">
        <v>1.7290000000000001</v>
      </c>
      <c r="N242" s="6">
        <v>1.7290000000000001</v>
      </c>
      <c r="O242" s="53">
        <v>1.7290000000000001</v>
      </c>
      <c r="P242" s="6">
        <v>0</v>
      </c>
      <c r="Q242" s="4" t="s">
        <v>26</v>
      </c>
      <c r="R242" s="4">
        <v>0</v>
      </c>
      <c r="S242" s="6">
        <v>13</v>
      </c>
      <c r="T242" s="6">
        <v>15</v>
      </c>
      <c r="U242" s="6">
        <v>65</v>
      </c>
      <c r="V242" s="53">
        <f>IF(ISERROR(VLOOKUP($S$242,'TAR FIN'!$A$1:$O$103,15,0)),0,VLOOKUP($S$242,'TAR FIN'!$A$1:$O$103,15,0))*(1-0.06)</f>
        <v>29.816799999999997</v>
      </c>
      <c r="W242" s="53">
        <f>IF(ISERROR(VLOOKUP($T$242,'TAR FIN'!$A$1:$O$103,15,0)),0,VLOOKUP($T$242,'TAR FIN'!$A$1:$O$103,15,0))*(1-0.06)</f>
        <v>65.207800000000006</v>
      </c>
      <c r="X242" s="53">
        <f>IF(ISERROR(VLOOKUP($U$242,'TAR FIN'!$A$1:$O$103,15,0)),0,VLOOKUP($U$242,'TAR FIN'!$A$1:$O$103,15,0))*(1-0.06)</f>
        <v>427.60599999999994</v>
      </c>
      <c r="Y242" s="53">
        <f ca="1">('TUSD BE'!$AM$15+'TUSD BF_350'!$AM$15+'TUSD CVA'!$AM$15)*1*(1-0.03)</f>
        <v>36.636900000000004</v>
      </c>
      <c r="Z242" s="53">
        <f ca="1">('TUSD BE'!$AM$17+'TUSD BF_350'!$AM$17+'TUSD CVA'!$AM$17)*1*(1-0.03)</f>
        <v>107.52449999999999</v>
      </c>
      <c r="AA242" s="53">
        <f ca="1">('TE BE'!$AB$8+'TE BF_350'!$AB$8+'TE CVA'!$AB$8)*1*(1-0.03)</f>
        <v>376.43760000000003</v>
      </c>
      <c r="AB242" s="6">
        <f>$K$242*$V$242</f>
        <v>6798.2303999999995</v>
      </c>
      <c r="AC242" s="6">
        <f>$M$242*$W$242</f>
        <v>112.74428620000002</v>
      </c>
      <c r="AD242" s="6">
        <f>$O$242*$X$242</f>
        <v>739.33077399999991</v>
      </c>
      <c r="AE242" s="6">
        <f ca="1">$K$242*$Y$242</f>
        <v>8353.2132000000001</v>
      </c>
      <c r="AF242" s="6">
        <f ca="1">$M$242*$Z$242</f>
        <v>185.90986049999998</v>
      </c>
      <c r="AG242" s="6">
        <f ca="1">$O$242*$AA$242</f>
        <v>650.86061040000004</v>
      </c>
    </row>
    <row r="243" spans="1:33" ht="11.25" customHeight="1" x14ac:dyDescent="0.25">
      <c r="A243" s="4" t="s">
        <v>21</v>
      </c>
      <c r="B243" s="4" t="s">
        <v>33</v>
      </c>
      <c r="C243" s="4" t="s">
        <v>41</v>
      </c>
      <c r="D243" s="4" t="s">
        <v>50</v>
      </c>
      <c r="E243" s="4" t="s">
        <v>51</v>
      </c>
      <c r="F243" s="4" t="s">
        <v>25</v>
      </c>
      <c r="G243" s="4" t="s">
        <v>25</v>
      </c>
      <c r="H243" s="4" t="s">
        <v>37</v>
      </c>
      <c r="I243" s="5">
        <v>44621</v>
      </c>
      <c r="J243" s="6">
        <v>228</v>
      </c>
      <c r="K243" s="52">
        <v>228</v>
      </c>
      <c r="L243" s="6">
        <v>0.53400000000000003</v>
      </c>
      <c r="M243" s="53">
        <v>0.53400000000000003</v>
      </c>
      <c r="N243" s="6">
        <v>0.53400000000000003</v>
      </c>
      <c r="O243" s="53">
        <v>0.53400000000000003</v>
      </c>
      <c r="P243" s="6">
        <v>0</v>
      </c>
      <c r="Q243" s="4" t="s">
        <v>26</v>
      </c>
      <c r="R243" s="4">
        <v>0</v>
      </c>
      <c r="S243" s="6">
        <v>13</v>
      </c>
      <c r="T243" s="6">
        <v>15</v>
      </c>
      <c r="U243" s="6">
        <v>65</v>
      </c>
      <c r="V243" s="53">
        <f>IF(ISERROR(VLOOKUP($S$243,'TAR FIN'!$A$1:$O$103,15,0)),0,VLOOKUP($S$243,'TAR FIN'!$A$1:$O$103,15,0))*(1-0.06)</f>
        <v>29.816799999999997</v>
      </c>
      <c r="W243" s="53">
        <f>IF(ISERROR(VLOOKUP($T$243,'TAR FIN'!$A$1:$O$103,15,0)),0,VLOOKUP($T$243,'TAR FIN'!$A$1:$O$103,15,0))*(1-0.06)</f>
        <v>65.207800000000006</v>
      </c>
      <c r="X243" s="53">
        <f>IF(ISERROR(VLOOKUP($U$243,'TAR FIN'!$A$1:$O$103,15,0)),0,VLOOKUP($U$243,'TAR FIN'!$A$1:$O$103,15,0))*(1-0.06)</f>
        <v>427.60599999999994</v>
      </c>
      <c r="Y243" s="53">
        <f ca="1">('TUSD BE'!$AM$15+'TUSD BF_350'!$AM$15+'TUSD CVA'!$AM$15)*1*(1-0.03)</f>
        <v>36.636900000000004</v>
      </c>
      <c r="Z243" s="53">
        <f ca="1">('TUSD BE'!$AM$17+'TUSD BF_350'!$AM$17+'TUSD CVA'!$AM$17)*1*(1-0.03)</f>
        <v>107.52449999999999</v>
      </c>
      <c r="AA243" s="53">
        <f ca="1">('TE BE'!$AB$8+'TE BF_350'!$AB$8+'TE CVA'!$AB$8)*1*(1-0.03)</f>
        <v>376.43760000000003</v>
      </c>
      <c r="AB243" s="6">
        <f>$K$243*$V$243</f>
        <v>6798.2303999999995</v>
      </c>
      <c r="AC243" s="6">
        <f>$M$243*$W$243</f>
        <v>34.820965200000003</v>
      </c>
      <c r="AD243" s="6">
        <f>$O$243*$X$243</f>
        <v>228.34160399999999</v>
      </c>
      <c r="AE243" s="6">
        <f ca="1">$K$243*$Y$243</f>
        <v>8353.2132000000001</v>
      </c>
      <c r="AF243" s="6">
        <f ca="1">$M$243*$Z$243</f>
        <v>57.418082999999996</v>
      </c>
      <c r="AG243" s="6">
        <f ca="1">$O$243*$AA$243</f>
        <v>201.01767840000002</v>
      </c>
    </row>
    <row r="244" spans="1:33" ht="11.25" customHeight="1" x14ac:dyDescent="0.25">
      <c r="A244" s="4" t="s">
        <v>21</v>
      </c>
      <c r="B244" s="4" t="s">
        <v>33</v>
      </c>
      <c r="C244" s="4" t="s">
        <v>41</v>
      </c>
      <c r="D244" s="4" t="s">
        <v>50</v>
      </c>
      <c r="E244" s="4" t="s">
        <v>51</v>
      </c>
      <c r="F244" s="4" t="s">
        <v>25</v>
      </c>
      <c r="G244" s="4" t="s">
        <v>25</v>
      </c>
      <c r="H244" s="4" t="s">
        <v>37</v>
      </c>
      <c r="I244" s="5">
        <v>44652</v>
      </c>
      <c r="J244" s="6">
        <v>228</v>
      </c>
      <c r="K244" s="52">
        <v>228</v>
      </c>
      <c r="L244" s="6">
        <v>0.55200000000000005</v>
      </c>
      <c r="M244" s="53">
        <v>0.55200000000000005</v>
      </c>
      <c r="N244" s="6">
        <v>0.55200000000000005</v>
      </c>
      <c r="O244" s="53">
        <v>0.55200000000000005</v>
      </c>
      <c r="P244" s="6">
        <v>0</v>
      </c>
      <c r="Q244" s="4" t="s">
        <v>26</v>
      </c>
      <c r="R244" s="4">
        <v>0</v>
      </c>
      <c r="S244" s="6">
        <v>13</v>
      </c>
      <c r="T244" s="6">
        <v>15</v>
      </c>
      <c r="U244" s="6">
        <v>65</v>
      </c>
      <c r="V244" s="53">
        <f>IF(ISERROR(VLOOKUP($S$244,'TAR FIN'!$A$1:$O$103,15,0)),0,VLOOKUP($S$244,'TAR FIN'!$A$1:$O$103,15,0))*(1-0.06)</f>
        <v>29.816799999999997</v>
      </c>
      <c r="W244" s="53">
        <f>IF(ISERROR(VLOOKUP($T$244,'TAR FIN'!$A$1:$O$103,15,0)),0,VLOOKUP($T$244,'TAR FIN'!$A$1:$O$103,15,0))*(1-0.06)</f>
        <v>65.207800000000006</v>
      </c>
      <c r="X244" s="53">
        <f>IF(ISERROR(VLOOKUP($U$244,'TAR FIN'!$A$1:$O$103,15,0)),0,VLOOKUP($U$244,'TAR FIN'!$A$1:$O$103,15,0))*(1-0.06)</f>
        <v>427.60599999999994</v>
      </c>
      <c r="Y244" s="53">
        <f ca="1">('TUSD BE'!$AM$15+'TUSD BF_350'!$AM$15+'TUSD CVA'!$AM$15)*1*(1-0.03)</f>
        <v>36.636900000000004</v>
      </c>
      <c r="Z244" s="53">
        <f ca="1">('TUSD BE'!$AM$17+'TUSD BF_350'!$AM$17+'TUSD CVA'!$AM$17)*1*(1-0.03)</f>
        <v>107.52449999999999</v>
      </c>
      <c r="AA244" s="53">
        <f ca="1">('TE BE'!$AB$8+'TE BF_350'!$AB$8+'TE CVA'!$AB$8)*1*(1-0.03)</f>
        <v>376.43760000000003</v>
      </c>
      <c r="AB244" s="6">
        <f>$K$244*$V$244</f>
        <v>6798.2303999999995</v>
      </c>
      <c r="AC244" s="6">
        <f>$M$244*$W$244</f>
        <v>35.994705600000003</v>
      </c>
      <c r="AD244" s="6">
        <f>$O$244*$X$244</f>
        <v>236.038512</v>
      </c>
      <c r="AE244" s="6">
        <f ca="1">$K$244*$Y$244</f>
        <v>8353.2132000000001</v>
      </c>
      <c r="AF244" s="6">
        <f ca="1">$M$244*$Z$244</f>
        <v>59.353524</v>
      </c>
      <c r="AG244" s="6">
        <f ca="1">$O$244*$AA$244</f>
        <v>207.79355520000004</v>
      </c>
    </row>
    <row r="245" spans="1:33" ht="11.25" customHeight="1" x14ac:dyDescent="0.25">
      <c r="A245" s="4" t="s">
        <v>21</v>
      </c>
      <c r="B245" s="4" t="s">
        <v>33</v>
      </c>
      <c r="C245" s="4" t="s">
        <v>41</v>
      </c>
      <c r="D245" s="4" t="s">
        <v>50</v>
      </c>
      <c r="E245" s="4" t="s">
        <v>51</v>
      </c>
      <c r="F245" s="4" t="s">
        <v>25</v>
      </c>
      <c r="G245" s="4" t="s">
        <v>25</v>
      </c>
      <c r="H245" s="4" t="s">
        <v>37</v>
      </c>
      <c r="I245" s="5">
        <v>44682</v>
      </c>
      <c r="J245" s="6">
        <v>228</v>
      </c>
      <c r="K245" s="52">
        <v>228</v>
      </c>
      <c r="L245" s="6">
        <v>0.63400000000000001</v>
      </c>
      <c r="M245" s="53">
        <v>0.63400000000000001</v>
      </c>
      <c r="N245" s="6">
        <v>0.63400000000000001</v>
      </c>
      <c r="O245" s="53">
        <v>0.63400000000000001</v>
      </c>
      <c r="P245" s="6">
        <v>0</v>
      </c>
      <c r="Q245" s="4" t="s">
        <v>26</v>
      </c>
      <c r="R245" s="4">
        <v>0</v>
      </c>
      <c r="S245" s="6">
        <v>13</v>
      </c>
      <c r="T245" s="6">
        <v>15</v>
      </c>
      <c r="U245" s="6">
        <v>65</v>
      </c>
      <c r="V245" s="53">
        <f>IF(ISERROR(VLOOKUP($S$245,'TAR FIN'!$A$1:$O$103,15,0)),0,VLOOKUP($S$245,'TAR FIN'!$A$1:$O$103,15,0))*(1-0.06)</f>
        <v>29.816799999999997</v>
      </c>
      <c r="W245" s="53">
        <f>IF(ISERROR(VLOOKUP($T$245,'TAR FIN'!$A$1:$O$103,15,0)),0,VLOOKUP($T$245,'TAR FIN'!$A$1:$O$103,15,0))*(1-0.06)</f>
        <v>65.207800000000006</v>
      </c>
      <c r="X245" s="53">
        <f>IF(ISERROR(VLOOKUP($U$245,'TAR FIN'!$A$1:$O$103,15,0)),0,VLOOKUP($U$245,'TAR FIN'!$A$1:$O$103,15,0))*(1-0.06)</f>
        <v>427.60599999999994</v>
      </c>
      <c r="Y245" s="53">
        <f ca="1">('TUSD BE'!$AM$15+'TUSD BF_350'!$AM$15+'TUSD CVA'!$AM$15)*1*(1-0.03)</f>
        <v>36.636900000000004</v>
      </c>
      <c r="Z245" s="53">
        <f ca="1">('TUSD BE'!$AM$17+'TUSD BF_350'!$AM$17+'TUSD CVA'!$AM$17)*1*(1-0.03)</f>
        <v>107.52449999999999</v>
      </c>
      <c r="AA245" s="53">
        <f ca="1">('TE BE'!$AB$8+'TE BF_350'!$AB$8+'TE CVA'!$AB$8)*1*(1-0.03)</f>
        <v>376.43760000000003</v>
      </c>
      <c r="AB245" s="6">
        <f>$K$245*$V$245</f>
        <v>6798.2303999999995</v>
      </c>
      <c r="AC245" s="6">
        <f>$M$245*$W$245</f>
        <v>41.341745200000005</v>
      </c>
      <c r="AD245" s="6">
        <f>$O$245*$X$245</f>
        <v>271.10220399999997</v>
      </c>
      <c r="AE245" s="6">
        <f ca="1">$K$245*$Y$245</f>
        <v>8353.2132000000001</v>
      </c>
      <c r="AF245" s="6">
        <f ca="1">$M$245*$Z$245</f>
        <v>68.170532999999992</v>
      </c>
      <c r="AG245" s="6">
        <f ca="1">$O$245*$AA$245</f>
        <v>238.66143840000004</v>
      </c>
    </row>
    <row r="246" spans="1:33" ht="11.25" customHeight="1" x14ac:dyDescent="0.25">
      <c r="A246" s="4" t="s">
        <v>21</v>
      </c>
      <c r="B246" s="4" t="s">
        <v>33</v>
      </c>
      <c r="C246" s="4" t="s">
        <v>34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44348</v>
      </c>
      <c r="J246" s="6">
        <v>0</v>
      </c>
      <c r="K246" s="6">
        <v>0</v>
      </c>
      <c r="L246" s="6">
        <v>841.98099999999999</v>
      </c>
      <c r="M246" s="6">
        <v>841.98099999999999</v>
      </c>
      <c r="N246" s="6">
        <v>841.98099999999999</v>
      </c>
      <c r="O246" s="6">
        <v>841.98099999999999</v>
      </c>
      <c r="P246" s="6">
        <v>0</v>
      </c>
      <c r="Q246" s="4" t="s">
        <v>26</v>
      </c>
      <c r="R246" s="4">
        <v>0</v>
      </c>
      <c r="S246" s="6">
        <v>0</v>
      </c>
      <c r="T246" s="6">
        <v>20</v>
      </c>
      <c r="U246" s="6">
        <v>66</v>
      </c>
      <c r="V246" s="6">
        <f>IF(ISERROR(VLOOKUP($S$246,'TAR FIN'!$A$1:$O$103,15,0)),0,VLOOKUP($S$246,'TAR FIN'!$A$1:$O$103,15,0))</f>
        <v>0</v>
      </c>
      <c r="W246" s="6">
        <f>IF(ISERROR(VLOOKUP($T$246,'TAR FIN'!$A$1:$O$103,15,0)),0,VLOOKUP($T$246,'TAR FIN'!$A$1:$O$103,15,0))</f>
        <v>69.37</v>
      </c>
      <c r="X246" s="6">
        <f>IF(ISERROR(VLOOKUP($U$246,'TAR FIN'!$A$1:$O$103,15,0)),0,VLOOKUP($U$246,'TAR FIN'!$A$1:$O$103,15,0))</f>
        <v>284.36</v>
      </c>
      <c r="Y246" s="6"/>
      <c r="Z246" s="6">
        <f ca="1">('TUSD BE'!$AM$22+'TUSD BF_350'!$AM$22+'TUSD CVA'!$AM$22)*1</f>
        <v>110.85</v>
      </c>
      <c r="AA246" s="6">
        <f ca="1">('TE BE'!$AB$9+'TE BF_350'!$AB$9+'TE CVA'!$AB$9)*1</f>
        <v>247.20000000000002</v>
      </c>
      <c r="AB246" s="6">
        <f>$K$246*$V$246</f>
        <v>0</v>
      </c>
      <c r="AC246" s="6">
        <f>$M$246*$W$246</f>
        <v>58408.221970000006</v>
      </c>
      <c r="AD246" s="6">
        <f>$O$246*$X$246</f>
        <v>239425.71716</v>
      </c>
      <c r="AE246" s="6">
        <f>$K$246*$Y$246</f>
        <v>0</v>
      </c>
      <c r="AF246" s="6">
        <f ca="1">$M$246*$Z$246</f>
        <v>93333.59384999999</v>
      </c>
      <c r="AG246" s="6">
        <f ca="1">$O$246*$AA$246</f>
        <v>208137.70320000002</v>
      </c>
    </row>
    <row r="247" spans="1:33" ht="11.25" customHeight="1" x14ac:dyDescent="0.25">
      <c r="A247" s="4" t="s">
        <v>21</v>
      </c>
      <c r="B247" s="4" t="s">
        <v>33</v>
      </c>
      <c r="C247" s="4" t="s">
        <v>34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44378</v>
      </c>
      <c r="J247" s="6">
        <v>0</v>
      </c>
      <c r="K247" s="6">
        <v>0</v>
      </c>
      <c r="L247" s="6">
        <v>872.77300000000002</v>
      </c>
      <c r="M247" s="6">
        <v>872.77300000000002</v>
      </c>
      <c r="N247" s="6">
        <v>872.77300000000002</v>
      </c>
      <c r="O247" s="6">
        <v>872.77300000000002</v>
      </c>
      <c r="P247" s="6">
        <v>0</v>
      </c>
      <c r="Q247" s="4" t="s">
        <v>26</v>
      </c>
      <c r="R247" s="4">
        <v>0</v>
      </c>
      <c r="S247" s="6">
        <v>0</v>
      </c>
      <c r="T247" s="6">
        <v>20</v>
      </c>
      <c r="U247" s="6">
        <v>66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69.37</v>
      </c>
      <c r="X247" s="6">
        <f>IF(ISERROR(VLOOKUP($U$247,'TAR FIN'!$A$1:$O$103,15,0)),0,VLOOKUP($U$247,'TAR FIN'!$A$1:$O$103,15,0))</f>
        <v>284.36</v>
      </c>
      <c r="Y247" s="6"/>
      <c r="Z247" s="6">
        <f ca="1">('TUSD BE'!$AM$22+'TUSD BF_350'!$AM$22+'TUSD CVA'!$AM$22)*1</f>
        <v>110.85</v>
      </c>
      <c r="AA247" s="6">
        <f ca="1">('TE BE'!$AB$9+'TE BF_350'!$AB$9+'TE CVA'!$AB$9)*1</f>
        <v>247.20000000000002</v>
      </c>
      <c r="AB247" s="6">
        <f>$K$247*$V$247</f>
        <v>0</v>
      </c>
      <c r="AC247" s="6">
        <f>$M$247*$W$247</f>
        <v>60544.263010000002</v>
      </c>
      <c r="AD247" s="6">
        <f>$O$247*$X$247</f>
        <v>248181.73028000002</v>
      </c>
      <c r="AE247" s="6">
        <f>$K$247*$Y$247</f>
        <v>0</v>
      </c>
      <c r="AF247" s="6">
        <f ca="1">$M$247*$Z$247</f>
        <v>96746.887050000005</v>
      </c>
      <c r="AG247" s="6">
        <f ca="1">$O$247*$AA$247</f>
        <v>215749.48560000001</v>
      </c>
    </row>
    <row r="248" spans="1:33" ht="11.25" customHeight="1" x14ac:dyDescent="0.25">
      <c r="A248" s="4" t="s">
        <v>21</v>
      </c>
      <c r="B248" s="4" t="s">
        <v>33</v>
      </c>
      <c r="C248" s="4" t="s">
        <v>34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44409</v>
      </c>
      <c r="J248" s="6">
        <v>0</v>
      </c>
      <c r="K248" s="6">
        <v>0</v>
      </c>
      <c r="L248" s="6">
        <v>884.68600000000004</v>
      </c>
      <c r="M248" s="6">
        <v>884.68600000000004</v>
      </c>
      <c r="N248" s="6">
        <v>884.68600000000004</v>
      </c>
      <c r="O248" s="6">
        <v>884.68600000000004</v>
      </c>
      <c r="P248" s="6">
        <v>0</v>
      </c>
      <c r="Q248" s="4" t="s">
        <v>26</v>
      </c>
      <c r="R248" s="4">
        <v>0</v>
      </c>
      <c r="S248" s="6">
        <v>0</v>
      </c>
      <c r="T248" s="6">
        <v>20</v>
      </c>
      <c r="U248" s="6">
        <v>66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69.37</v>
      </c>
      <c r="X248" s="6">
        <f>IF(ISERROR(VLOOKUP($U$248,'TAR FIN'!$A$1:$O$103,15,0)),0,VLOOKUP($U$248,'TAR FIN'!$A$1:$O$103,15,0))</f>
        <v>284.36</v>
      </c>
      <c r="Y248" s="6"/>
      <c r="Z248" s="6">
        <f ca="1">('TUSD BE'!$AM$22+'TUSD BF_350'!$AM$22+'TUSD CVA'!$AM$22)*1</f>
        <v>110.85</v>
      </c>
      <c r="AA248" s="6">
        <f ca="1">('TE BE'!$AB$9+'TE BF_350'!$AB$9+'TE CVA'!$AB$9)*1</f>
        <v>247.20000000000002</v>
      </c>
      <c r="AB248" s="6">
        <f>$K$248*$V$248</f>
        <v>0</v>
      </c>
      <c r="AC248" s="6">
        <f>$M$248*$W$248</f>
        <v>61370.66782000001</v>
      </c>
      <c r="AD248" s="6">
        <f>$O$248*$X$248</f>
        <v>251569.31096000003</v>
      </c>
      <c r="AE248" s="6">
        <f>$K$248*$Y$248</f>
        <v>0</v>
      </c>
      <c r="AF248" s="6">
        <f ca="1">$M$248*$Z$248</f>
        <v>98067.443100000004</v>
      </c>
      <c r="AG248" s="6">
        <f ca="1">$O$248*$AA$248</f>
        <v>218694.37920000002</v>
      </c>
    </row>
    <row r="249" spans="1:33" ht="11.25" customHeight="1" x14ac:dyDescent="0.25">
      <c r="A249" s="4" t="s">
        <v>28</v>
      </c>
      <c r="B249" s="4" t="s">
        <v>33</v>
      </c>
      <c r="C249" s="4" t="s">
        <v>34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44409</v>
      </c>
      <c r="J249" s="6">
        <v>0</v>
      </c>
      <c r="K249" s="6">
        <v>0</v>
      </c>
      <c r="L249" s="6">
        <v>4.5960000000000001</v>
      </c>
      <c r="M249" s="6">
        <v>4.5960000000000001</v>
      </c>
      <c r="N249" s="6">
        <v>4.5960000000000001</v>
      </c>
      <c r="O249" s="6">
        <v>4.5960000000000001</v>
      </c>
      <c r="P249" s="6">
        <v>0</v>
      </c>
      <c r="Q249" s="4" t="s">
        <v>26</v>
      </c>
      <c r="R249" s="4">
        <v>0</v>
      </c>
      <c r="S249" s="6">
        <v>0</v>
      </c>
      <c r="T249" s="6">
        <v>20</v>
      </c>
      <c r="U249" s="6">
        <v>66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69.37</v>
      </c>
      <c r="X249" s="6">
        <f>IF(ISERROR(VLOOKUP($U$249,'TAR FIN'!$A$1:$O$103,15,0)),0,VLOOKUP($U$249,'TAR FIN'!$A$1:$O$103,15,0))</f>
        <v>284.36</v>
      </c>
      <c r="Y249" s="6"/>
      <c r="Z249" s="6">
        <f ca="1">('TUSD BE'!$AM$22+'TUSD BF_350'!$AM$22+'TUSD CVA'!$AM$22)*1</f>
        <v>110.85</v>
      </c>
      <c r="AA249" s="6">
        <f ca="1">('TE BE'!$AB$9+'TE BF_350'!$AB$9+'TE CVA'!$AB$9)*1</f>
        <v>247.20000000000002</v>
      </c>
      <c r="AB249" s="6">
        <f>$K$249*$V$249</f>
        <v>0</v>
      </c>
      <c r="AC249" s="6">
        <f>$M$249*$W$249</f>
        <v>318.82452000000001</v>
      </c>
      <c r="AD249" s="6">
        <f>$O$249*$X$249</f>
        <v>1306.9185600000001</v>
      </c>
      <c r="AE249" s="6">
        <f>$K$249*$Y$249</f>
        <v>0</v>
      </c>
      <c r="AF249" s="6">
        <f ca="1">$M$249*$Z$249</f>
        <v>509.46659999999997</v>
      </c>
      <c r="AG249" s="6">
        <f ca="1">$O$249*$AA$249</f>
        <v>1136.1312</v>
      </c>
    </row>
    <row r="250" spans="1:33" ht="11.25" customHeight="1" x14ac:dyDescent="0.25">
      <c r="A250" s="4" t="s">
        <v>21</v>
      </c>
      <c r="B250" s="4" t="s">
        <v>33</v>
      </c>
      <c r="C250" s="4" t="s">
        <v>34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44440</v>
      </c>
      <c r="J250" s="6">
        <v>0</v>
      </c>
      <c r="K250" s="6">
        <v>0</v>
      </c>
      <c r="L250" s="6">
        <v>910.68399999999997</v>
      </c>
      <c r="M250" s="6">
        <v>910.68399999999997</v>
      </c>
      <c r="N250" s="6">
        <v>910.68399999999997</v>
      </c>
      <c r="O250" s="6">
        <v>910.68399999999997</v>
      </c>
      <c r="P250" s="6">
        <v>0</v>
      </c>
      <c r="Q250" s="4" t="s">
        <v>26</v>
      </c>
      <c r="R250" s="4">
        <v>0</v>
      </c>
      <c r="S250" s="6">
        <v>0</v>
      </c>
      <c r="T250" s="6">
        <v>20</v>
      </c>
      <c r="U250" s="6">
        <v>66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69.37</v>
      </c>
      <c r="X250" s="6">
        <f>IF(ISERROR(VLOOKUP($U$250,'TAR FIN'!$A$1:$O$103,15,0)),0,VLOOKUP($U$250,'TAR FIN'!$A$1:$O$103,15,0))</f>
        <v>284.36</v>
      </c>
      <c r="Y250" s="6"/>
      <c r="Z250" s="6">
        <f ca="1">('TUSD BE'!$AM$22+'TUSD BF_350'!$AM$22+'TUSD CVA'!$AM$22)*1</f>
        <v>110.85</v>
      </c>
      <c r="AA250" s="6">
        <f ca="1">('TE BE'!$AB$9+'TE BF_350'!$AB$9+'TE CVA'!$AB$9)*1</f>
        <v>247.20000000000002</v>
      </c>
      <c r="AB250" s="6">
        <f>$K$250*$V$250</f>
        <v>0</v>
      </c>
      <c r="AC250" s="6">
        <f>$M$250*$W$250</f>
        <v>63174.149080000003</v>
      </c>
      <c r="AD250" s="6">
        <f>$O$250*$X$250</f>
        <v>258962.10224000001</v>
      </c>
      <c r="AE250" s="6">
        <f>$K$250*$Y$250</f>
        <v>0</v>
      </c>
      <c r="AF250" s="6">
        <f ca="1">$M$250*$Z$250</f>
        <v>100949.32139999999</v>
      </c>
      <c r="AG250" s="6">
        <f ca="1">$O$250*$AA$250</f>
        <v>225121.08480000001</v>
      </c>
    </row>
    <row r="251" spans="1:33" ht="11.25" customHeight="1" x14ac:dyDescent="0.25">
      <c r="A251" s="4" t="s">
        <v>27</v>
      </c>
      <c r="B251" s="4" t="s">
        <v>33</v>
      </c>
      <c r="C251" s="4" t="s">
        <v>34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44440</v>
      </c>
      <c r="J251" s="6">
        <v>0</v>
      </c>
      <c r="K251" s="6">
        <v>0</v>
      </c>
      <c r="L251" s="6">
        <v>64.281999999999996</v>
      </c>
      <c r="M251" s="6">
        <v>64.281999999999996</v>
      </c>
      <c r="N251" s="6">
        <v>64.281999999999996</v>
      </c>
      <c r="O251" s="6">
        <v>64.281999999999996</v>
      </c>
      <c r="P251" s="6">
        <v>0</v>
      </c>
      <c r="Q251" s="4" t="s">
        <v>26</v>
      </c>
      <c r="R251" s="4">
        <v>0</v>
      </c>
      <c r="S251" s="6">
        <v>0</v>
      </c>
      <c r="T251" s="6">
        <v>20</v>
      </c>
      <c r="U251" s="6">
        <v>66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69.37</v>
      </c>
      <c r="X251" s="6">
        <f>IF(ISERROR(VLOOKUP($U$251,'TAR FIN'!$A$1:$O$103,15,0)),0,VLOOKUP($U$251,'TAR FIN'!$A$1:$O$103,15,0))</f>
        <v>284.36</v>
      </c>
      <c r="Y251" s="6"/>
      <c r="Z251" s="6">
        <f ca="1">('TUSD BE'!$AM$22+'TUSD BF_350'!$AM$22+'TUSD CVA'!$AM$22)*1</f>
        <v>110.85</v>
      </c>
      <c r="AA251" s="6">
        <f ca="1">('TE BE'!$AB$9+'TE BF_350'!$AB$9+'TE CVA'!$AB$9)*1</f>
        <v>247.20000000000002</v>
      </c>
      <c r="AB251" s="6">
        <f>$K$251*$V$251</f>
        <v>0</v>
      </c>
      <c r="AC251" s="6">
        <f>$M$251*$W$251</f>
        <v>4459.2423399999998</v>
      </c>
      <c r="AD251" s="6">
        <f>$O$251*$X$251</f>
        <v>18279.229520000001</v>
      </c>
      <c r="AE251" s="6">
        <f>$K$251*$Y$251</f>
        <v>0</v>
      </c>
      <c r="AF251" s="6">
        <f ca="1">$M$251*$Z$251</f>
        <v>7125.6596999999992</v>
      </c>
      <c r="AG251" s="6">
        <f ca="1">$O$251*$AA$251</f>
        <v>15890.510400000001</v>
      </c>
    </row>
    <row r="252" spans="1:33" ht="11.25" customHeight="1" x14ac:dyDescent="0.25">
      <c r="A252" s="4" t="s">
        <v>28</v>
      </c>
      <c r="B252" s="4" t="s">
        <v>33</v>
      </c>
      <c r="C252" s="4" t="s">
        <v>34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44440</v>
      </c>
      <c r="J252" s="6">
        <v>0</v>
      </c>
      <c r="K252" s="6">
        <v>0</v>
      </c>
      <c r="L252" s="6">
        <v>12.022</v>
      </c>
      <c r="M252" s="6">
        <v>12.022</v>
      </c>
      <c r="N252" s="6">
        <v>12.022</v>
      </c>
      <c r="O252" s="6">
        <v>12.022</v>
      </c>
      <c r="P252" s="6">
        <v>0</v>
      </c>
      <c r="Q252" s="4" t="s">
        <v>26</v>
      </c>
      <c r="R252" s="4">
        <v>0</v>
      </c>
      <c r="S252" s="6">
        <v>0</v>
      </c>
      <c r="T252" s="6">
        <v>20</v>
      </c>
      <c r="U252" s="6">
        <v>66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69.37</v>
      </c>
      <c r="X252" s="6">
        <f>IF(ISERROR(VLOOKUP($U$252,'TAR FIN'!$A$1:$O$103,15,0)),0,VLOOKUP($U$252,'TAR FIN'!$A$1:$O$103,15,0))</f>
        <v>284.36</v>
      </c>
      <c r="Y252" s="6"/>
      <c r="Z252" s="6">
        <f ca="1">('TUSD BE'!$AM$22+'TUSD BF_350'!$AM$22+'TUSD CVA'!$AM$22)*1</f>
        <v>110.85</v>
      </c>
      <c r="AA252" s="6">
        <f ca="1">('TE BE'!$AB$9+'TE BF_350'!$AB$9+'TE CVA'!$AB$9)*1</f>
        <v>247.20000000000002</v>
      </c>
      <c r="AB252" s="6">
        <f>$K$252*$V$252</f>
        <v>0</v>
      </c>
      <c r="AC252" s="6">
        <f>$M$252*$W$252</f>
        <v>833.96614000000011</v>
      </c>
      <c r="AD252" s="6">
        <f>$O$252*$X$252</f>
        <v>3418.5759200000002</v>
      </c>
      <c r="AE252" s="6">
        <f>$K$252*$Y$252</f>
        <v>0</v>
      </c>
      <c r="AF252" s="6">
        <f ca="1">$M$252*$Z$252</f>
        <v>1332.6387</v>
      </c>
      <c r="AG252" s="6">
        <f ca="1">$O$252*$AA$252</f>
        <v>2971.8384000000001</v>
      </c>
    </row>
    <row r="253" spans="1:33" ht="11.25" customHeight="1" x14ac:dyDescent="0.25">
      <c r="A253" s="4" t="s">
        <v>21</v>
      </c>
      <c r="B253" s="4" t="s">
        <v>33</v>
      </c>
      <c r="C253" s="4" t="s">
        <v>34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44470</v>
      </c>
      <c r="J253" s="6">
        <v>0</v>
      </c>
      <c r="K253" s="6">
        <v>0</v>
      </c>
      <c r="L253" s="6">
        <v>944.654</v>
      </c>
      <c r="M253" s="6">
        <v>944.654</v>
      </c>
      <c r="N253" s="6">
        <v>944.654</v>
      </c>
      <c r="O253" s="6">
        <v>944.654</v>
      </c>
      <c r="P253" s="6">
        <v>0</v>
      </c>
      <c r="Q253" s="4" t="s">
        <v>26</v>
      </c>
      <c r="R253" s="4">
        <v>0</v>
      </c>
      <c r="S253" s="6">
        <v>0</v>
      </c>
      <c r="T253" s="6">
        <v>20</v>
      </c>
      <c r="U253" s="6">
        <v>66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69.37</v>
      </c>
      <c r="X253" s="6">
        <f>IF(ISERROR(VLOOKUP($U$253,'TAR FIN'!$A$1:$O$103,15,0)),0,VLOOKUP($U$253,'TAR FIN'!$A$1:$O$103,15,0))</f>
        <v>284.36</v>
      </c>
      <c r="Y253" s="6"/>
      <c r="Z253" s="6">
        <f ca="1">('TUSD BE'!$AM$22+'TUSD BF_350'!$AM$22+'TUSD CVA'!$AM$22)*1</f>
        <v>110.85</v>
      </c>
      <c r="AA253" s="6">
        <f ca="1">('TE BE'!$AB$9+'TE BF_350'!$AB$9+'TE CVA'!$AB$9)*1</f>
        <v>247.20000000000002</v>
      </c>
      <c r="AB253" s="6">
        <f>$K$253*$V$253</f>
        <v>0</v>
      </c>
      <c r="AC253" s="6">
        <f>$M$253*$W$253</f>
        <v>65530.647980000002</v>
      </c>
      <c r="AD253" s="6">
        <f>$O$253*$X$253</f>
        <v>268621.81144000002</v>
      </c>
      <c r="AE253" s="6">
        <f>$K$253*$Y$253</f>
        <v>0</v>
      </c>
      <c r="AF253" s="6">
        <f ca="1">$M$253*$Z$253</f>
        <v>104714.89589999999</v>
      </c>
      <c r="AG253" s="6">
        <f ca="1">$O$253*$AA$253</f>
        <v>233518.4688</v>
      </c>
    </row>
    <row r="254" spans="1:33" ht="11.25" customHeight="1" x14ac:dyDescent="0.25">
      <c r="A254" s="4" t="s">
        <v>28</v>
      </c>
      <c r="B254" s="4" t="s">
        <v>33</v>
      </c>
      <c r="C254" s="4" t="s">
        <v>34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44470</v>
      </c>
      <c r="J254" s="6">
        <v>0</v>
      </c>
      <c r="K254" s="6">
        <v>0</v>
      </c>
      <c r="L254" s="6">
        <v>7.556</v>
      </c>
      <c r="M254" s="6">
        <v>7.556</v>
      </c>
      <c r="N254" s="6">
        <v>7.556</v>
      </c>
      <c r="O254" s="6">
        <v>7.556</v>
      </c>
      <c r="P254" s="6">
        <v>0</v>
      </c>
      <c r="Q254" s="4" t="s">
        <v>26</v>
      </c>
      <c r="R254" s="4">
        <v>0</v>
      </c>
      <c r="S254" s="6">
        <v>0</v>
      </c>
      <c r="T254" s="6">
        <v>20</v>
      </c>
      <c r="U254" s="6">
        <v>66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69.37</v>
      </c>
      <c r="X254" s="6">
        <f>IF(ISERROR(VLOOKUP($U$254,'TAR FIN'!$A$1:$O$103,15,0)),0,VLOOKUP($U$254,'TAR FIN'!$A$1:$O$103,15,0))</f>
        <v>284.36</v>
      </c>
      <c r="Y254" s="6"/>
      <c r="Z254" s="6">
        <f ca="1">('TUSD BE'!$AM$22+'TUSD BF_350'!$AM$22+'TUSD CVA'!$AM$22)*1</f>
        <v>110.85</v>
      </c>
      <c r="AA254" s="6">
        <f ca="1">('TE BE'!$AB$9+'TE BF_350'!$AB$9+'TE CVA'!$AB$9)*1</f>
        <v>247.20000000000002</v>
      </c>
      <c r="AB254" s="6">
        <f>$K$254*$V$254</f>
        <v>0</v>
      </c>
      <c r="AC254" s="6">
        <f>$M$254*$W$254</f>
        <v>524.15971999999999</v>
      </c>
      <c r="AD254" s="6">
        <f>$O$254*$X$254</f>
        <v>2148.6241600000003</v>
      </c>
      <c r="AE254" s="6">
        <f>$K$254*$Y$254</f>
        <v>0</v>
      </c>
      <c r="AF254" s="6">
        <f ca="1">$M$254*$Z$254</f>
        <v>837.58259999999996</v>
      </c>
      <c r="AG254" s="6">
        <f ca="1">$O$254*$AA$254</f>
        <v>1867.8432000000003</v>
      </c>
    </row>
    <row r="255" spans="1:33" ht="11.25" customHeight="1" x14ac:dyDescent="0.25">
      <c r="A255" s="4" t="s">
        <v>21</v>
      </c>
      <c r="B255" s="4" t="s">
        <v>33</v>
      </c>
      <c r="C255" s="4" t="s">
        <v>34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44501</v>
      </c>
      <c r="J255" s="6">
        <v>0</v>
      </c>
      <c r="K255" s="6">
        <v>0</v>
      </c>
      <c r="L255" s="6">
        <v>1113.5930000000001</v>
      </c>
      <c r="M255" s="6">
        <v>1113.5930000000001</v>
      </c>
      <c r="N255" s="6">
        <v>1113.5930000000001</v>
      </c>
      <c r="O255" s="6">
        <v>1113.5930000000001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20</v>
      </c>
      <c r="U255" s="6">
        <v>66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69.37</v>
      </c>
      <c r="X255" s="6">
        <f>IF(ISERROR(VLOOKUP($U$255,'TAR FIN'!$A$1:$O$103,15,0)),0,VLOOKUP($U$255,'TAR FIN'!$A$1:$O$103,15,0))</f>
        <v>284.36</v>
      </c>
      <c r="Y255" s="6"/>
      <c r="Z255" s="6">
        <f ca="1">('TUSD BE'!$AM$22+'TUSD BF_350'!$AM$22+'TUSD CVA'!$AM$22)*1</f>
        <v>110.85</v>
      </c>
      <c r="AA255" s="6">
        <f ca="1">('TE BE'!$AB$9+'TE BF_350'!$AB$9+'TE CVA'!$AB$9)*1</f>
        <v>247.20000000000002</v>
      </c>
      <c r="AB255" s="6">
        <f>$K$255*$V$255</f>
        <v>0</v>
      </c>
      <c r="AC255" s="6">
        <f>$M$255*$W$255</f>
        <v>77249.946410000004</v>
      </c>
      <c r="AD255" s="6">
        <f>$O$255*$X$255</f>
        <v>316661.30548000004</v>
      </c>
      <c r="AE255" s="6">
        <f>$K$255*$Y$255</f>
        <v>0</v>
      </c>
      <c r="AF255" s="6">
        <f ca="1">$M$255*$Z$255</f>
        <v>123441.78405</v>
      </c>
      <c r="AG255" s="6">
        <f ca="1">$O$255*$AA$255</f>
        <v>275280.18960000004</v>
      </c>
    </row>
    <row r="256" spans="1:33" ht="11.25" customHeight="1" x14ac:dyDescent="0.25">
      <c r="A256" s="4" t="s">
        <v>21</v>
      </c>
      <c r="B256" s="4" t="s">
        <v>33</v>
      </c>
      <c r="C256" s="4" t="s">
        <v>34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44531</v>
      </c>
      <c r="J256" s="6">
        <v>0</v>
      </c>
      <c r="K256" s="6">
        <v>0</v>
      </c>
      <c r="L256" s="6">
        <v>837.38800000000003</v>
      </c>
      <c r="M256" s="6">
        <v>837.38800000000003</v>
      </c>
      <c r="N256" s="6">
        <v>837.38800000000003</v>
      </c>
      <c r="O256" s="6">
        <v>837.38800000000003</v>
      </c>
      <c r="P256" s="6">
        <v>0</v>
      </c>
      <c r="Q256" s="4" t="s">
        <v>26</v>
      </c>
      <c r="R256" s="4">
        <v>0</v>
      </c>
      <c r="S256" s="6">
        <v>0</v>
      </c>
      <c r="T256" s="6">
        <v>20</v>
      </c>
      <c r="U256" s="6">
        <v>66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69.37</v>
      </c>
      <c r="X256" s="6">
        <f>IF(ISERROR(VLOOKUP($U$256,'TAR FIN'!$A$1:$O$103,15,0)),0,VLOOKUP($U$256,'TAR FIN'!$A$1:$O$103,15,0))</f>
        <v>284.36</v>
      </c>
      <c r="Y256" s="6"/>
      <c r="Z256" s="6">
        <f ca="1">('TUSD BE'!$AM$22+'TUSD BF_350'!$AM$22+'TUSD CVA'!$AM$22)*1</f>
        <v>110.85</v>
      </c>
      <c r="AA256" s="6">
        <f ca="1">('TE BE'!$AB$9+'TE BF_350'!$AB$9+'TE CVA'!$AB$9)*1</f>
        <v>247.20000000000002</v>
      </c>
      <c r="AB256" s="6">
        <f>$K$256*$V$256</f>
        <v>0</v>
      </c>
      <c r="AC256" s="6">
        <f>$M$256*$W$256</f>
        <v>58089.605560000004</v>
      </c>
      <c r="AD256" s="6">
        <f>$O$256*$X$256</f>
        <v>238119.65168000001</v>
      </c>
      <c r="AE256" s="6">
        <f>$K$256*$Y$256</f>
        <v>0</v>
      </c>
      <c r="AF256" s="6">
        <f ca="1">$M$256*$Z$256</f>
        <v>92824.459799999997</v>
      </c>
      <c r="AG256" s="6">
        <f ca="1">$O$256*$AA$256</f>
        <v>207002.31360000002</v>
      </c>
    </row>
    <row r="257" spans="1:33" ht="11.25" customHeight="1" x14ac:dyDescent="0.25">
      <c r="A257" s="4" t="s">
        <v>28</v>
      </c>
      <c r="B257" s="4" t="s">
        <v>33</v>
      </c>
      <c r="C257" s="4" t="s">
        <v>34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44531</v>
      </c>
      <c r="J257" s="6">
        <v>0</v>
      </c>
      <c r="K257" s="6">
        <v>0</v>
      </c>
      <c r="L257" s="6">
        <v>186.56700000000001</v>
      </c>
      <c r="M257" s="6">
        <v>186.56700000000001</v>
      </c>
      <c r="N257" s="6">
        <v>186.56700000000001</v>
      </c>
      <c r="O257" s="6">
        <v>186.56700000000001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20</v>
      </c>
      <c r="U257" s="6">
        <v>66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69.37</v>
      </c>
      <c r="X257" s="6">
        <f>IF(ISERROR(VLOOKUP($U$257,'TAR FIN'!$A$1:$O$103,15,0)),0,VLOOKUP($U$257,'TAR FIN'!$A$1:$O$103,15,0))</f>
        <v>284.36</v>
      </c>
      <c r="Y257" s="6"/>
      <c r="Z257" s="6">
        <f ca="1">('TUSD BE'!$AM$22+'TUSD BF_350'!$AM$22+'TUSD CVA'!$AM$22)*1</f>
        <v>110.85</v>
      </c>
      <c r="AA257" s="6">
        <f ca="1">('TE BE'!$AB$9+'TE BF_350'!$AB$9+'TE CVA'!$AB$9)*1</f>
        <v>247.20000000000002</v>
      </c>
      <c r="AB257" s="6">
        <f>$K$257*$V$257</f>
        <v>0</v>
      </c>
      <c r="AC257" s="6">
        <f>$M$257*$W$257</f>
        <v>12942.152790000002</v>
      </c>
      <c r="AD257" s="6">
        <f>$O$257*$X$257</f>
        <v>53052.192120000007</v>
      </c>
      <c r="AE257" s="6">
        <f>$K$257*$Y$257</f>
        <v>0</v>
      </c>
      <c r="AF257" s="6">
        <f ca="1">$M$257*$Z$257</f>
        <v>20680.951949999999</v>
      </c>
      <c r="AG257" s="6">
        <f ca="1">$O$257*$AA$257</f>
        <v>46119.362400000005</v>
      </c>
    </row>
    <row r="258" spans="1:33" ht="11.25" customHeight="1" x14ac:dyDescent="0.25">
      <c r="A258" s="4" t="s">
        <v>21</v>
      </c>
      <c r="B258" s="4" t="s">
        <v>33</v>
      </c>
      <c r="C258" s="4" t="s">
        <v>34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44562</v>
      </c>
      <c r="J258" s="6">
        <v>0</v>
      </c>
      <c r="K258" s="6">
        <v>0</v>
      </c>
      <c r="L258" s="6">
        <v>1032.8920000000001</v>
      </c>
      <c r="M258" s="6">
        <v>1032.8920000000001</v>
      </c>
      <c r="N258" s="6">
        <v>1032.8920000000001</v>
      </c>
      <c r="O258" s="6">
        <v>1032.8920000000001</v>
      </c>
      <c r="P258" s="6">
        <v>0</v>
      </c>
      <c r="Q258" s="4" t="s">
        <v>26</v>
      </c>
      <c r="R258" s="4">
        <v>0</v>
      </c>
      <c r="S258" s="6">
        <v>0</v>
      </c>
      <c r="T258" s="6">
        <v>20</v>
      </c>
      <c r="U258" s="6">
        <v>66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69.37</v>
      </c>
      <c r="X258" s="6">
        <f>IF(ISERROR(VLOOKUP($U$258,'TAR FIN'!$A$1:$O$103,15,0)),0,VLOOKUP($U$258,'TAR FIN'!$A$1:$O$103,15,0))</f>
        <v>284.36</v>
      </c>
      <c r="Y258" s="6"/>
      <c r="Z258" s="6">
        <f ca="1">('TUSD BE'!$AM$22+'TUSD BF_350'!$AM$22+'TUSD CVA'!$AM$22)*1</f>
        <v>110.85</v>
      </c>
      <c r="AA258" s="6">
        <f ca="1">('TE BE'!$AB$9+'TE BF_350'!$AB$9+'TE CVA'!$AB$9)*1</f>
        <v>247.20000000000002</v>
      </c>
      <c r="AB258" s="6">
        <f>$K$258*$V$258</f>
        <v>0</v>
      </c>
      <c r="AC258" s="6">
        <f>$M$258*$W$258</f>
        <v>71651.718040000007</v>
      </c>
      <c r="AD258" s="6">
        <f>$O$258*$X$258</f>
        <v>293713.16912000004</v>
      </c>
      <c r="AE258" s="6">
        <f>$K$258*$Y$258</f>
        <v>0</v>
      </c>
      <c r="AF258" s="6">
        <f ca="1">$M$258*$Z$258</f>
        <v>114496.0782</v>
      </c>
      <c r="AG258" s="6">
        <f ca="1">$O$258*$AA$258</f>
        <v>255330.90240000002</v>
      </c>
    </row>
    <row r="259" spans="1:33" ht="11.25" customHeight="1" x14ac:dyDescent="0.25">
      <c r="A259" s="4" t="s">
        <v>28</v>
      </c>
      <c r="B259" s="4" t="s">
        <v>33</v>
      </c>
      <c r="C259" s="4" t="s">
        <v>34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44562</v>
      </c>
      <c r="J259" s="6">
        <v>0</v>
      </c>
      <c r="K259" s="6">
        <v>0</v>
      </c>
      <c r="L259" s="6">
        <v>22.465</v>
      </c>
      <c r="M259" s="6">
        <v>22.465</v>
      </c>
      <c r="N259" s="6">
        <v>22.465</v>
      </c>
      <c r="O259" s="6">
        <v>22.465</v>
      </c>
      <c r="P259" s="6">
        <v>0</v>
      </c>
      <c r="Q259" s="4" t="s">
        <v>26</v>
      </c>
      <c r="R259" s="4">
        <v>0</v>
      </c>
      <c r="S259" s="6">
        <v>0</v>
      </c>
      <c r="T259" s="6">
        <v>20</v>
      </c>
      <c r="U259" s="6">
        <v>66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69.37</v>
      </c>
      <c r="X259" s="6">
        <f>IF(ISERROR(VLOOKUP($U$259,'TAR FIN'!$A$1:$O$103,15,0)),0,VLOOKUP($U$259,'TAR FIN'!$A$1:$O$103,15,0))</f>
        <v>284.36</v>
      </c>
      <c r="Y259" s="6"/>
      <c r="Z259" s="6">
        <f ca="1">('TUSD BE'!$AM$22+'TUSD BF_350'!$AM$22+'TUSD CVA'!$AM$22)*1</f>
        <v>110.85</v>
      </c>
      <c r="AA259" s="6">
        <f ca="1">('TE BE'!$AB$9+'TE BF_350'!$AB$9+'TE CVA'!$AB$9)*1</f>
        <v>247.20000000000002</v>
      </c>
      <c r="AB259" s="6">
        <f>$K$259*$V$259</f>
        <v>0</v>
      </c>
      <c r="AC259" s="6">
        <f>$M$259*$W$259</f>
        <v>1558.39705</v>
      </c>
      <c r="AD259" s="6">
        <f>$O$259*$X$259</f>
        <v>6388.1473999999998</v>
      </c>
      <c r="AE259" s="6">
        <f>$K$259*$Y$259</f>
        <v>0</v>
      </c>
      <c r="AF259" s="6">
        <f ca="1">$M$259*$Z$259</f>
        <v>2490.2452499999999</v>
      </c>
      <c r="AG259" s="6">
        <f ca="1">$O$259*$AA$259</f>
        <v>5553.348</v>
      </c>
    </row>
    <row r="260" spans="1:33" ht="11.25" customHeight="1" x14ac:dyDescent="0.25">
      <c r="A260" s="4" t="s">
        <v>21</v>
      </c>
      <c r="B260" s="4" t="s">
        <v>33</v>
      </c>
      <c r="C260" s="4" t="s">
        <v>34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44593</v>
      </c>
      <c r="J260" s="6">
        <v>0</v>
      </c>
      <c r="K260" s="6">
        <v>0</v>
      </c>
      <c r="L260" s="6">
        <v>944.30499999999995</v>
      </c>
      <c r="M260" s="6">
        <v>944.30499999999995</v>
      </c>
      <c r="N260" s="6">
        <v>944.30499999999995</v>
      </c>
      <c r="O260" s="6">
        <v>944.30499999999995</v>
      </c>
      <c r="P260" s="6">
        <v>0</v>
      </c>
      <c r="Q260" s="4" t="s">
        <v>26</v>
      </c>
      <c r="R260" s="4">
        <v>0</v>
      </c>
      <c r="S260" s="6">
        <v>0</v>
      </c>
      <c r="T260" s="6">
        <v>20</v>
      </c>
      <c r="U260" s="6">
        <v>66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69.37</v>
      </c>
      <c r="X260" s="6">
        <f>IF(ISERROR(VLOOKUP($U$260,'TAR FIN'!$A$1:$O$103,15,0)),0,VLOOKUP($U$260,'TAR FIN'!$A$1:$O$103,15,0))</f>
        <v>284.36</v>
      </c>
      <c r="Y260" s="6"/>
      <c r="Z260" s="6">
        <f ca="1">('TUSD BE'!$AM$22+'TUSD BF_350'!$AM$22+'TUSD CVA'!$AM$22)*1</f>
        <v>110.85</v>
      </c>
      <c r="AA260" s="6">
        <f ca="1">('TE BE'!$AB$9+'TE BF_350'!$AB$9+'TE CVA'!$AB$9)*1</f>
        <v>247.20000000000002</v>
      </c>
      <c r="AB260" s="6">
        <f>$K$260*$V$260</f>
        <v>0</v>
      </c>
      <c r="AC260" s="6">
        <f>$M$260*$W$260</f>
        <v>65506.437850000002</v>
      </c>
      <c r="AD260" s="6">
        <f>$O$260*$X$260</f>
        <v>268522.5698</v>
      </c>
      <c r="AE260" s="6">
        <f>$K$260*$Y$260</f>
        <v>0</v>
      </c>
      <c r="AF260" s="6">
        <f ca="1">$M$260*$Z$260</f>
        <v>104676.20924999999</v>
      </c>
      <c r="AG260" s="6">
        <f ca="1">$O$260*$AA$260</f>
        <v>233432.196</v>
      </c>
    </row>
    <row r="261" spans="1:33" ht="11.25" customHeight="1" x14ac:dyDescent="0.25">
      <c r="A261" s="4" t="s">
        <v>28</v>
      </c>
      <c r="B261" s="4" t="s">
        <v>33</v>
      </c>
      <c r="C261" s="4" t="s">
        <v>34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44593</v>
      </c>
      <c r="J261" s="6">
        <v>0</v>
      </c>
      <c r="K261" s="6">
        <v>0</v>
      </c>
      <c r="L261" s="6">
        <v>21.838999999999999</v>
      </c>
      <c r="M261" s="6">
        <v>21.838999999999999</v>
      </c>
      <c r="N261" s="6">
        <v>21.838999999999999</v>
      </c>
      <c r="O261" s="6">
        <v>21.838999999999999</v>
      </c>
      <c r="P261" s="6">
        <v>0</v>
      </c>
      <c r="Q261" s="4" t="s">
        <v>26</v>
      </c>
      <c r="R261" s="4">
        <v>0</v>
      </c>
      <c r="S261" s="6">
        <v>0</v>
      </c>
      <c r="T261" s="6">
        <v>20</v>
      </c>
      <c r="U261" s="6">
        <v>66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69.37</v>
      </c>
      <c r="X261" s="6">
        <f>IF(ISERROR(VLOOKUP($U$261,'TAR FIN'!$A$1:$O$103,15,0)),0,VLOOKUP($U$261,'TAR FIN'!$A$1:$O$103,15,0))</f>
        <v>284.36</v>
      </c>
      <c r="Y261" s="6"/>
      <c r="Z261" s="6">
        <f ca="1">('TUSD BE'!$AM$22+'TUSD BF_350'!$AM$22+'TUSD CVA'!$AM$22)*1</f>
        <v>110.85</v>
      </c>
      <c r="AA261" s="6">
        <f ca="1">('TE BE'!$AB$9+'TE BF_350'!$AB$9+'TE CVA'!$AB$9)*1</f>
        <v>247.20000000000002</v>
      </c>
      <c r="AB261" s="6">
        <f>$K$261*$V$261</f>
        <v>0</v>
      </c>
      <c r="AC261" s="6">
        <f>$M$261*$W$261</f>
        <v>1514.9714300000001</v>
      </c>
      <c r="AD261" s="6">
        <f>$O$261*$X$261</f>
        <v>6210.1380399999998</v>
      </c>
      <c r="AE261" s="6">
        <f>$K$261*$Y$261</f>
        <v>0</v>
      </c>
      <c r="AF261" s="6">
        <f ca="1">$M$261*$Z$261</f>
        <v>2420.8531499999999</v>
      </c>
      <c r="AG261" s="6">
        <f ca="1">$O$261*$AA$261</f>
        <v>5398.6008000000002</v>
      </c>
    </row>
    <row r="262" spans="1:33" ht="11.25" customHeight="1" x14ac:dyDescent="0.25">
      <c r="A262" s="4" t="s">
        <v>21</v>
      </c>
      <c r="B262" s="4" t="s">
        <v>33</v>
      </c>
      <c r="C262" s="4" t="s">
        <v>34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44621</v>
      </c>
      <c r="J262" s="6">
        <v>0</v>
      </c>
      <c r="K262" s="6">
        <v>0</v>
      </c>
      <c r="L262" s="6">
        <v>993.05100000000004</v>
      </c>
      <c r="M262" s="6">
        <v>993.05100000000004</v>
      </c>
      <c r="N262" s="6">
        <v>993.05100000000004</v>
      </c>
      <c r="O262" s="6">
        <v>993.05100000000004</v>
      </c>
      <c r="P262" s="6">
        <v>0</v>
      </c>
      <c r="Q262" s="4" t="s">
        <v>26</v>
      </c>
      <c r="R262" s="4">
        <v>0</v>
      </c>
      <c r="S262" s="6">
        <v>0</v>
      </c>
      <c r="T262" s="6">
        <v>20</v>
      </c>
      <c r="U262" s="6">
        <v>66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69.37</v>
      </c>
      <c r="X262" s="6">
        <f>IF(ISERROR(VLOOKUP($U$262,'TAR FIN'!$A$1:$O$103,15,0)),0,VLOOKUP($U$262,'TAR FIN'!$A$1:$O$103,15,0))</f>
        <v>284.36</v>
      </c>
      <c r="Y262" s="6"/>
      <c r="Z262" s="6">
        <f ca="1">('TUSD BE'!$AM$22+'TUSD BF_350'!$AM$22+'TUSD CVA'!$AM$22)*1</f>
        <v>110.85</v>
      </c>
      <c r="AA262" s="6">
        <f ca="1">('TE BE'!$AB$9+'TE BF_350'!$AB$9+'TE CVA'!$AB$9)*1</f>
        <v>247.20000000000002</v>
      </c>
      <c r="AB262" s="6">
        <f>$K$262*$V$262</f>
        <v>0</v>
      </c>
      <c r="AC262" s="6">
        <f>$M$262*$W$262</f>
        <v>68887.947870000004</v>
      </c>
      <c r="AD262" s="6">
        <f>$O$262*$X$262</f>
        <v>282383.98236000002</v>
      </c>
      <c r="AE262" s="6">
        <f>$K$262*$Y$262</f>
        <v>0</v>
      </c>
      <c r="AF262" s="6">
        <f ca="1">$M$262*$Z$262</f>
        <v>110079.70335</v>
      </c>
      <c r="AG262" s="6">
        <f ca="1">$O$262*$AA$262</f>
        <v>245482.20720000003</v>
      </c>
    </row>
    <row r="263" spans="1:33" ht="11.25" customHeight="1" x14ac:dyDescent="0.25">
      <c r="A263" s="4" t="s">
        <v>28</v>
      </c>
      <c r="B263" s="4" t="s">
        <v>33</v>
      </c>
      <c r="C263" s="4" t="s">
        <v>34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44621</v>
      </c>
      <c r="J263" s="6">
        <v>0</v>
      </c>
      <c r="K263" s="6">
        <v>0</v>
      </c>
      <c r="L263" s="6">
        <v>39.170999999999999</v>
      </c>
      <c r="M263" s="6">
        <v>39.170999999999999</v>
      </c>
      <c r="N263" s="6">
        <v>39.170999999999999</v>
      </c>
      <c r="O263" s="6">
        <v>39.170999999999999</v>
      </c>
      <c r="P263" s="6">
        <v>0</v>
      </c>
      <c r="Q263" s="4" t="s">
        <v>26</v>
      </c>
      <c r="R263" s="4">
        <v>0</v>
      </c>
      <c r="S263" s="6">
        <v>0</v>
      </c>
      <c r="T263" s="6">
        <v>20</v>
      </c>
      <c r="U263" s="6">
        <v>66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69.37</v>
      </c>
      <c r="X263" s="6">
        <f>IF(ISERROR(VLOOKUP($U$263,'TAR FIN'!$A$1:$O$103,15,0)),0,VLOOKUP($U$263,'TAR FIN'!$A$1:$O$103,15,0))</f>
        <v>284.36</v>
      </c>
      <c r="Y263" s="6"/>
      <c r="Z263" s="6">
        <f ca="1">('TUSD BE'!$AM$22+'TUSD BF_350'!$AM$22+'TUSD CVA'!$AM$22)*1</f>
        <v>110.85</v>
      </c>
      <c r="AA263" s="6">
        <f ca="1">('TE BE'!$AB$9+'TE BF_350'!$AB$9+'TE CVA'!$AB$9)*1</f>
        <v>247.20000000000002</v>
      </c>
      <c r="AB263" s="6">
        <f>$K$263*$V$263</f>
        <v>0</v>
      </c>
      <c r="AC263" s="6">
        <f>$M$263*$W$263</f>
        <v>2717.2922699999999</v>
      </c>
      <c r="AD263" s="6">
        <f>$O$263*$X$263</f>
        <v>11138.665559999999</v>
      </c>
      <c r="AE263" s="6">
        <f>$K$263*$Y$263</f>
        <v>0</v>
      </c>
      <c r="AF263" s="6">
        <f ca="1">$M$263*$Z$263</f>
        <v>4342.1053499999998</v>
      </c>
      <c r="AG263" s="6">
        <f ca="1">$O$263*$AA$263</f>
        <v>9683.0712000000003</v>
      </c>
    </row>
    <row r="264" spans="1:33" ht="11.25" customHeight="1" x14ac:dyDescent="0.25">
      <c r="A264" s="4" t="s">
        <v>21</v>
      </c>
      <c r="B264" s="4" t="s">
        <v>33</v>
      </c>
      <c r="C264" s="4" t="s">
        <v>34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35</v>
      </c>
      <c r="I264" s="5">
        <v>44652</v>
      </c>
      <c r="J264" s="6">
        <v>0</v>
      </c>
      <c r="K264" s="6">
        <v>0</v>
      </c>
      <c r="L264" s="6">
        <v>962.26</v>
      </c>
      <c r="M264" s="6">
        <v>962.26</v>
      </c>
      <c r="N264" s="6">
        <v>962.26</v>
      </c>
      <c r="O264" s="6">
        <v>962.26</v>
      </c>
      <c r="P264" s="6">
        <v>0</v>
      </c>
      <c r="Q264" s="4" t="s">
        <v>26</v>
      </c>
      <c r="R264" s="4">
        <v>0</v>
      </c>
      <c r="S264" s="6">
        <v>0</v>
      </c>
      <c r="T264" s="6">
        <v>20</v>
      </c>
      <c r="U264" s="6">
        <v>66</v>
      </c>
      <c r="V264" s="6">
        <f>IF(ISERROR(VLOOKUP($S$264,'TAR FIN'!$A$1:$O$103,15,0)),0,VLOOKUP($S$264,'TAR FIN'!$A$1:$O$103,15,0))</f>
        <v>0</v>
      </c>
      <c r="W264" s="6">
        <f>IF(ISERROR(VLOOKUP($T$264,'TAR FIN'!$A$1:$O$103,15,0)),0,VLOOKUP($T$264,'TAR FIN'!$A$1:$O$103,15,0))</f>
        <v>69.37</v>
      </c>
      <c r="X264" s="6">
        <f>IF(ISERROR(VLOOKUP($U$264,'TAR FIN'!$A$1:$O$103,15,0)),0,VLOOKUP($U$264,'TAR FIN'!$A$1:$O$103,15,0))</f>
        <v>284.36</v>
      </c>
      <c r="Y264" s="6"/>
      <c r="Z264" s="6">
        <f ca="1">('TUSD BE'!$AM$22+'TUSD BF_350'!$AM$22+'TUSD CVA'!$AM$22)*1</f>
        <v>110.85</v>
      </c>
      <c r="AA264" s="6">
        <f ca="1">('TE BE'!$AB$9+'TE BF_350'!$AB$9+'TE CVA'!$AB$9)*1</f>
        <v>247.20000000000002</v>
      </c>
      <c r="AB264" s="6">
        <f>$K$264*$V$264</f>
        <v>0</v>
      </c>
      <c r="AC264" s="6">
        <f>$M$264*$W$264</f>
        <v>66751.976200000005</v>
      </c>
      <c r="AD264" s="6">
        <f>$O$264*$X$264</f>
        <v>273628.2536</v>
      </c>
      <c r="AE264" s="6">
        <f>$K$264*$Y$264</f>
        <v>0</v>
      </c>
      <c r="AF264" s="6">
        <f ca="1">$M$264*$Z$264</f>
        <v>106666.52099999999</v>
      </c>
      <c r="AG264" s="6">
        <f ca="1">$O$264*$AA$264</f>
        <v>237870.67200000002</v>
      </c>
    </row>
    <row r="265" spans="1:33" ht="11.25" customHeight="1" x14ac:dyDescent="0.25">
      <c r="A265" s="4" t="s">
        <v>27</v>
      </c>
      <c r="B265" s="4" t="s">
        <v>33</v>
      </c>
      <c r="C265" s="4" t="s">
        <v>34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35</v>
      </c>
      <c r="I265" s="5">
        <v>44652</v>
      </c>
      <c r="J265" s="6">
        <v>0</v>
      </c>
      <c r="K265" s="6">
        <v>0</v>
      </c>
      <c r="L265" s="6">
        <v>31.629000000000001</v>
      </c>
      <c r="M265" s="6">
        <v>31.629000000000001</v>
      </c>
      <c r="N265" s="6">
        <v>31.629000000000001</v>
      </c>
      <c r="O265" s="6">
        <v>31.629000000000001</v>
      </c>
      <c r="P265" s="6">
        <v>0</v>
      </c>
      <c r="Q265" s="4" t="s">
        <v>26</v>
      </c>
      <c r="R265" s="4">
        <v>0</v>
      </c>
      <c r="S265" s="6">
        <v>0</v>
      </c>
      <c r="T265" s="6">
        <v>20</v>
      </c>
      <c r="U265" s="6">
        <v>66</v>
      </c>
      <c r="V265" s="6">
        <f>IF(ISERROR(VLOOKUP($S$265,'TAR FIN'!$A$1:$O$103,15,0)),0,VLOOKUP($S$265,'TAR FIN'!$A$1:$O$103,15,0))</f>
        <v>0</v>
      </c>
      <c r="W265" s="6">
        <f>IF(ISERROR(VLOOKUP($T$265,'TAR FIN'!$A$1:$O$103,15,0)),0,VLOOKUP($T$265,'TAR FIN'!$A$1:$O$103,15,0))</f>
        <v>69.37</v>
      </c>
      <c r="X265" s="6">
        <f>IF(ISERROR(VLOOKUP($U$265,'TAR FIN'!$A$1:$O$103,15,0)),0,VLOOKUP($U$265,'TAR FIN'!$A$1:$O$103,15,0))</f>
        <v>284.36</v>
      </c>
      <c r="Y265" s="6"/>
      <c r="Z265" s="6">
        <f ca="1">('TUSD BE'!$AM$22+'TUSD BF_350'!$AM$22+'TUSD CVA'!$AM$22)*1</f>
        <v>110.85</v>
      </c>
      <c r="AA265" s="6">
        <f ca="1">('TE BE'!$AB$9+'TE BF_350'!$AB$9+'TE CVA'!$AB$9)*1</f>
        <v>247.20000000000002</v>
      </c>
      <c r="AB265" s="6">
        <f>$K$265*$V$265</f>
        <v>0</v>
      </c>
      <c r="AC265" s="6">
        <f>$M$265*$W$265</f>
        <v>2194.1037300000003</v>
      </c>
      <c r="AD265" s="6">
        <f>$O$265*$X$265</f>
        <v>8994.0224400000006</v>
      </c>
      <c r="AE265" s="6">
        <f>$K$265*$Y$265</f>
        <v>0</v>
      </c>
      <c r="AF265" s="6">
        <f ca="1">$M$265*$Z$265</f>
        <v>3506.07465</v>
      </c>
      <c r="AG265" s="6">
        <f ca="1">$O$265*$AA$265</f>
        <v>7818.6888000000008</v>
      </c>
    </row>
    <row r="266" spans="1:33" ht="11.25" customHeight="1" x14ac:dyDescent="0.25">
      <c r="A266" s="4" t="s">
        <v>21</v>
      </c>
      <c r="B266" s="4" t="s">
        <v>33</v>
      </c>
      <c r="C266" s="4" t="s">
        <v>34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35</v>
      </c>
      <c r="I266" s="5">
        <v>44682</v>
      </c>
      <c r="J266" s="6">
        <v>0</v>
      </c>
      <c r="K266" s="6">
        <v>0</v>
      </c>
      <c r="L266" s="6">
        <v>956.60799999999995</v>
      </c>
      <c r="M266" s="6">
        <v>956.60799999999995</v>
      </c>
      <c r="N266" s="6">
        <v>956.60799999999995</v>
      </c>
      <c r="O266" s="6">
        <v>956.60799999999995</v>
      </c>
      <c r="P266" s="6">
        <v>0</v>
      </c>
      <c r="Q266" s="4" t="s">
        <v>26</v>
      </c>
      <c r="R266" s="4">
        <v>0</v>
      </c>
      <c r="S266" s="6">
        <v>0</v>
      </c>
      <c r="T266" s="6">
        <v>20</v>
      </c>
      <c r="U266" s="6">
        <v>66</v>
      </c>
      <c r="V266" s="6">
        <f>IF(ISERROR(VLOOKUP($S$266,'TAR FIN'!$A$1:$O$103,15,0)),0,VLOOKUP($S$266,'TAR FIN'!$A$1:$O$103,15,0))</f>
        <v>0</v>
      </c>
      <c r="W266" s="6">
        <f>IF(ISERROR(VLOOKUP($T$266,'TAR FIN'!$A$1:$O$103,15,0)),0,VLOOKUP($T$266,'TAR FIN'!$A$1:$O$103,15,0))</f>
        <v>69.37</v>
      </c>
      <c r="X266" s="6">
        <f>IF(ISERROR(VLOOKUP($U$266,'TAR FIN'!$A$1:$O$103,15,0)),0,VLOOKUP($U$266,'TAR FIN'!$A$1:$O$103,15,0))</f>
        <v>284.36</v>
      </c>
      <c r="Y266" s="6"/>
      <c r="Z266" s="6">
        <f ca="1">('TUSD BE'!$AM$22+'TUSD BF_350'!$AM$22+'TUSD CVA'!$AM$22)*1</f>
        <v>110.85</v>
      </c>
      <c r="AA266" s="6">
        <f ca="1">('TE BE'!$AB$9+'TE BF_350'!$AB$9+'TE CVA'!$AB$9)*1</f>
        <v>247.20000000000002</v>
      </c>
      <c r="AB266" s="6">
        <f>$K$266*$V$266</f>
        <v>0</v>
      </c>
      <c r="AC266" s="6">
        <f>$M$266*$W$266</f>
        <v>66359.896959999998</v>
      </c>
      <c r="AD266" s="6">
        <f>$O$266*$X$266</f>
        <v>272021.05088</v>
      </c>
      <c r="AE266" s="6">
        <f>$K$266*$Y$266</f>
        <v>0</v>
      </c>
      <c r="AF266" s="6">
        <f ca="1">$M$266*$Z$266</f>
        <v>106039.99679999999</v>
      </c>
      <c r="AG266" s="6">
        <f ca="1">$O$266*$AA$266</f>
        <v>236473.4976</v>
      </c>
    </row>
    <row r="267" spans="1:33" ht="11.25" customHeight="1" x14ac:dyDescent="0.25">
      <c r="A267" s="4" t="s">
        <v>21</v>
      </c>
      <c r="B267" s="4" t="s">
        <v>33</v>
      </c>
      <c r="C267" s="4" t="s">
        <v>34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44348</v>
      </c>
      <c r="J267" s="6">
        <v>4469</v>
      </c>
      <c r="K267" s="6">
        <v>4469</v>
      </c>
      <c r="L267" s="6">
        <v>0</v>
      </c>
      <c r="M267" s="6">
        <v>0</v>
      </c>
      <c r="N267" s="6">
        <v>0</v>
      </c>
      <c r="O267" s="6">
        <v>0</v>
      </c>
      <c r="P267" s="6">
        <v>58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FIN'!$A$1:$O$103,15,0)),0,VLOOKUP($S$267,'TAR FIN'!$A$1:$O$103,15,0))</f>
        <v>12.42</v>
      </c>
      <c r="W267" s="6">
        <f>IF(ISERROR(VLOOKUP($T$267,'TAR FIN'!$A$1:$O$103,15,0)),0,VLOOKUP($T$267,'TAR FIN'!$A$1:$O$103,15,0))</f>
        <v>0</v>
      </c>
      <c r="X267" s="6">
        <f>IF(ISERROR(VLOOKUP($U$267,'TAR FIN'!$A$1:$O$103,15,0)),0,VLOOKUP($U$267,'TAR FIN'!$A$1:$O$103,15,0))</f>
        <v>0</v>
      </c>
      <c r="Y267" s="6">
        <f ca="1">('TUSD BE'!$AM$20+'TUSD BF_350'!$AM$20+'TUSD CVA'!$AM$20)*1</f>
        <v>17.579999999999998</v>
      </c>
      <c r="Z267" s="6"/>
      <c r="AA267" s="6"/>
      <c r="AB267" s="6">
        <f>$K$267*$V$267</f>
        <v>55504.98</v>
      </c>
      <c r="AC267" s="6">
        <f>$M$267*$W$267</f>
        <v>0</v>
      </c>
      <c r="AD267" s="6">
        <f>$O$267*$X$267</f>
        <v>0</v>
      </c>
      <c r="AE267" s="6">
        <f ca="1">$K$267*$Y$267</f>
        <v>78565.01999999999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28</v>
      </c>
      <c r="B268" s="4" t="s">
        <v>33</v>
      </c>
      <c r="C268" s="4" t="s">
        <v>34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44348</v>
      </c>
      <c r="J268" s="6">
        <v>278</v>
      </c>
      <c r="K268" s="6">
        <v>278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FIN'!$A$1:$O$103,15,0)),0,VLOOKUP($S$268,'TAR FIN'!$A$1:$O$103,15,0))</f>
        <v>12.42</v>
      </c>
      <c r="W268" s="6">
        <f>IF(ISERROR(VLOOKUP($T$268,'TAR FIN'!$A$1:$O$103,15,0)),0,VLOOKUP($T$268,'TAR FIN'!$A$1:$O$103,15,0))</f>
        <v>0</v>
      </c>
      <c r="X268" s="6">
        <f>IF(ISERROR(VLOOKUP($U$268,'TAR FIN'!$A$1:$O$103,15,0)),0,VLOOKUP($U$268,'TAR FIN'!$A$1:$O$103,15,0))</f>
        <v>0</v>
      </c>
      <c r="Y268" s="6">
        <f ca="1">('TUSD BE'!$AM$20+'TUSD BF_350'!$AM$20+'TUSD CVA'!$AM$20)*1</f>
        <v>17.579999999999998</v>
      </c>
      <c r="Z268" s="6"/>
      <c r="AA268" s="6"/>
      <c r="AB268" s="6">
        <f>$K$268*$V$268</f>
        <v>3452.7599999999998</v>
      </c>
      <c r="AC268" s="6">
        <f>$M$268*$W$268</f>
        <v>0</v>
      </c>
      <c r="AD268" s="6">
        <f>$O$268*$X$268</f>
        <v>0</v>
      </c>
      <c r="AE268" s="6">
        <f ca="1">$K$268*$Y$268</f>
        <v>4887.24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33</v>
      </c>
      <c r="C269" s="4" t="s">
        <v>34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44378</v>
      </c>
      <c r="J269" s="6">
        <v>4491</v>
      </c>
      <c r="K269" s="6">
        <v>4491</v>
      </c>
      <c r="L269" s="6">
        <v>0</v>
      </c>
      <c r="M269" s="6">
        <v>0</v>
      </c>
      <c r="N269" s="6">
        <v>0</v>
      </c>
      <c r="O269" s="6">
        <v>0</v>
      </c>
      <c r="P269" s="6">
        <v>58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FIN'!$A$1:$O$103,15,0)),0,VLOOKUP($S$269,'TAR FIN'!$A$1:$O$103,15,0))</f>
        <v>12.42</v>
      </c>
      <c r="W269" s="6">
        <f>IF(ISERROR(VLOOKUP($T$269,'TAR FIN'!$A$1:$O$103,15,0)),0,VLOOKUP($T$269,'TAR FIN'!$A$1:$O$103,15,0))</f>
        <v>0</v>
      </c>
      <c r="X269" s="6">
        <f>IF(ISERROR(VLOOKUP($U$269,'TAR FIN'!$A$1:$O$103,15,0)),0,VLOOKUP($U$269,'TAR FIN'!$A$1:$O$103,15,0))</f>
        <v>0</v>
      </c>
      <c r="Y269" s="6">
        <f ca="1">('TUSD BE'!$AM$20+'TUSD BF_350'!$AM$20+'TUSD CVA'!$AM$20)*1</f>
        <v>17.579999999999998</v>
      </c>
      <c r="Z269" s="6"/>
      <c r="AA269" s="6"/>
      <c r="AB269" s="6">
        <f>$K$269*$V$269</f>
        <v>55778.22</v>
      </c>
      <c r="AC269" s="6">
        <f>$M$269*$W$269</f>
        <v>0</v>
      </c>
      <c r="AD269" s="6">
        <f>$O$269*$X$269</f>
        <v>0</v>
      </c>
      <c r="AE269" s="6">
        <f ca="1">$K$269*$Y$269</f>
        <v>78951.78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28</v>
      </c>
      <c r="B270" s="4" t="s">
        <v>33</v>
      </c>
      <c r="C270" s="4" t="s">
        <v>34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44378</v>
      </c>
      <c r="J270" s="6">
        <v>325</v>
      </c>
      <c r="K270" s="6">
        <v>325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FIN'!$A$1:$O$103,15,0)),0,VLOOKUP($S$270,'TAR FIN'!$A$1:$O$103,15,0))</f>
        <v>12.42</v>
      </c>
      <c r="W270" s="6">
        <f>IF(ISERROR(VLOOKUP($T$270,'TAR FIN'!$A$1:$O$103,15,0)),0,VLOOKUP($T$270,'TAR FIN'!$A$1:$O$103,15,0))</f>
        <v>0</v>
      </c>
      <c r="X270" s="6">
        <f>IF(ISERROR(VLOOKUP($U$270,'TAR FIN'!$A$1:$O$103,15,0)),0,VLOOKUP($U$270,'TAR FIN'!$A$1:$O$103,15,0))</f>
        <v>0</v>
      </c>
      <c r="Y270" s="6">
        <f ca="1">('TUSD BE'!$AM$20+'TUSD BF_350'!$AM$20+'TUSD CVA'!$AM$20)*1</f>
        <v>17.579999999999998</v>
      </c>
      <c r="Z270" s="6"/>
      <c r="AA270" s="6"/>
      <c r="AB270" s="6">
        <f>$K$270*$V$270</f>
        <v>4036.5</v>
      </c>
      <c r="AC270" s="6">
        <f>$M$270*$W$270</f>
        <v>0</v>
      </c>
      <c r="AD270" s="6">
        <f>$O$270*$X$270</f>
        <v>0</v>
      </c>
      <c r="AE270" s="6">
        <f ca="1">$K$270*$Y$270</f>
        <v>5713.4999999999991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33</v>
      </c>
      <c r="C271" s="4" t="s">
        <v>34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44409</v>
      </c>
      <c r="J271" s="6">
        <v>4436</v>
      </c>
      <c r="K271" s="6">
        <v>4436</v>
      </c>
      <c r="L271" s="6">
        <v>0</v>
      </c>
      <c r="M271" s="6">
        <v>0</v>
      </c>
      <c r="N271" s="6">
        <v>0</v>
      </c>
      <c r="O271" s="6">
        <v>0</v>
      </c>
      <c r="P271" s="6">
        <v>57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FIN'!$A$1:$O$103,15,0)),0,VLOOKUP($S$271,'TAR FIN'!$A$1:$O$103,15,0))</f>
        <v>12.42</v>
      </c>
      <c r="W271" s="6">
        <f>IF(ISERROR(VLOOKUP($T$271,'TAR FIN'!$A$1:$O$103,15,0)),0,VLOOKUP($T$271,'TAR FIN'!$A$1:$O$103,15,0))</f>
        <v>0</v>
      </c>
      <c r="X271" s="6">
        <f>IF(ISERROR(VLOOKUP($U$271,'TAR FIN'!$A$1:$O$103,15,0)),0,VLOOKUP($U$271,'TAR FIN'!$A$1:$O$103,15,0))</f>
        <v>0</v>
      </c>
      <c r="Y271" s="6">
        <f ca="1">('TUSD BE'!$AM$20+'TUSD BF_350'!$AM$20+'TUSD CVA'!$AM$20)*1</f>
        <v>17.579999999999998</v>
      </c>
      <c r="Z271" s="6"/>
      <c r="AA271" s="6"/>
      <c r="AB271" s="6">
        <f>$K$271*$V$271</f>
        <v>55095.12</v>
      </c>
      <c r="AC271" s="6">
        <f>$M$271*$W$271</f>
        <v>0</v>
      </c>
      <c r="AD271" s="6">
        <f>$O$271*$X$271</f>
        <v>0</v>
      </c>
      <c r="AE271" s="6">
        <f ca="1">$K$271*$Y$271</f>
        <v>77984.87999999999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28</v>
      </c>
      <c r="B272" s="4" t="s">
        <v>33</v>
      </c>
      <c r="C272" s="4" t="s">
        <v>34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44409</v>
      </c>
      <c r="J272" s="6">
        <v>338</v>
      </c>
      <c r="K272" s="6">
        <v>338</v>
      </c>
      <c r="L272" s="6">
        <v>0</v>
      </c>
      <c r="M272" s="6">
        <v>0</v>
      </c>
      <c r="N272" s="6">
        <v>0</v>
      </c>
      <c r="O272" s="6">
        <v>0</v>
      </c>
      <c r="P272" s="6">
        <v>3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FIN'!$A$1:$O$103,15,0)),0,VLOOKUP($S$272,'TAR FIN'!$A$1:$O$103,15,0))</f>
        <v>12.42</v>
      </c>
      <c r="W272" s="6">
        <f>IF(ISERROR(VLOOKUP($T$272,'TAR FIN'!$A$1:$O$103,15,0)),0,VLOOKUP($T$272,'TAR FIN'!$A$1:$O$103,15,0))</f>
        <v>0</v>
      </c>
      <c r="X272" s="6">
        <f>IF(ISERROR(VLOOKUP($U$272,'TAR FIN'!$A$1:$O$103,15,0)),0,VLOOKUP($U$272,'TAR FIN'!$A$1:$O$103,15,0))</f>
        <v>0</v>
      </c>
      <c r="Y272" s="6">
        <f ca="1">('TUSD BE'!$AM$20+'TUSD BF_350'!$AM$20+'TUSD CVA'!$AM$20)*1</f>
        <v>17.579999999999998</v>
      </c>
      <c r="Z272" s="6"/>
      <c r="AA272" s="6"/>
      <c r="AB272" s="6">
        <f>$K$272*$V$272</f>
        <v>4197.96</v>
      </c>
      <c r="AC272" s="6">
        <f>$M$272*$W$272</f>
        <v>0</v>
      </c>
      <c r="AD272" s="6">
        <f>$O$272*$X$272</f>
        <v>0</v>
      </c>
      <c r="AE272" s="6">
        <f ca="1">$K$272*$Y$272</f>
        <v>5942.0399999999991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33</v>
      </c>
      <c r="C273" s="4" t="s">
        <v>34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44440</v>
      </c>
      <c r="J273" s="6">
        <v>4617</v>
      </c>
      <c r="K273" s="6">
        <v>4617</v>
      </c>
      <c r="L273" s="6">
        <v>0</v>
      </c>
      <c r="M273" s="6">
        <v>0</v>
      </c>
      <c r="N273" s="6">
        <v>0</v>
      </c>
      <c r="O273" s="6">
        <v>0</v>
      </c>
      <c r="P273" s="6">
        <v>58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FIN'!$A$1:$O$103,15,0)),0,VLOOKUP($S$273,'TAR FIN'!$A$1:$O$103,15,0))</f>
        <v>12.42</v>
      </c>
      <c r="W273" s="6">
        <f>IF(ISERROR(VLOOKUP($T$273,'TAR FIN'!$A$1:$O$103,15,0)),0,VLOOKUP($T$273,'TAR FIN'!$A$1:$O$103,15,0))</f>
        <v>0</v>
      </c>
      <c r="X273" s="6">
        <f>IF(ISERROR(VLOOKUP($U$273,'TAR FIN'!$A$1:$O$103,15,0)),0,VLOOKUP($U$273,'TAR FIN'!$A$1:$O$103,15,0))</f>
        <v>0</v>
      </c>
      <c r="Y273" s="6">
        <f ca="1">('TUSD BE'!$AM$20+'TUSD BF_350'!$AM$20+'TUSD CVA'!$AM$20)*1</f>
        <v>17.579999999999998</v>
      </c>
      <c r="Z273" s="6"/>
      <c r="AA273" s="6"/>
      <c r="AB273" s="6">
        <f>$K$273*$V$273</f>
        <v>57343.14</v>
      </c>
      <c r="AC273" s="6">
        <f>$M$273*$W$273</f>
        <v>0</v>
      </c>
      <c r="AD273" s="6">
        <f>$O$273*$X$273</f>
        <v>0</v>
      </c>
      <c r="AE273" s="6">
        <f ca="1">$K$273*$Y$273</f>
        <v>81166.859999999986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27</v>
      </c>
      <c r="B274" s="4" t="s">
        <v>33</v>
      </c>
      <c r="C274" s="4" t="s">
        <v>34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44440</v>
      </c>
      <c r="J274" s="6">
        <v>88</v>
      </c>
      <c r="K274" s="6">
        <v>88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FIN'!$A$1:$O$103,15,0)),0,VLOOKUP($S$274,'TAR FIN'!$A$1:$O$103,15,0))</f>
        <v>12.42</v>
      </c>
      <c r="W274" s="6">
        <f>IF(ISERROR(VLOOKUP($T$274,'TAR FIN'!$A$1:$O$103,15,0)),0,VLOOKUP($T$274,'TAR FIN'!$A$1:$O$103,15,0))</f>
        <v>0</v>
      </c>
      <c r="X274" s="6">
        <f>IF(ISERROR(VLOOKUP($U$274,'TAR FIN'!$A$1:$O$103,15,0)),0,VLOOKUP($U$274,'TAR FIN'!$A$1:$O$103,15,0))</f>
        <v>0</v>
      </c>
      <c r="Y274" s="6">
        <f ca="1">('TUSD BE'!$AM$20+'TUSD BF_350'!$AM$20+'TUSD CVA'!$AM$20)*1</f>
        <v>17.579999999999998</v>
      </c>
      <c r="Z274" s="6"/>
      <c r="AA274" s="6"/>
      <c r="AB274" s="6">
        <f>$K$274*$V$274</f>
        <v>1092.96</v>
      </c>
      <c r="AC274" s="6">
        <f>$M$274*$W$274</f>
        <v>0</v>
      </c>
      <c r="AD274" s="6">
        <f>$O$274*$X$274</f>
        <v>0</v>
      </c>
      <c r="AE274" s="6">
        <f ca="1">$K$274*$Y$274</f>
        <v>1547.04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28</v>
      </c>
      <c r="B275" s="4" t="s">
        <v>33</v>
      </c>
      <c r="C275" s="4" t="s">
        <v>34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44440</v>
      </c>
      <c r="J275" s="6">
        <v>338</v>
      </c>
      <c r="K275" s="6">
        <v>338</v>
      </c>
      <c r="L275" s="6">
        <v>0</v>
      </c>
      <c r="M275" s="6">
        <v>0</v>
      </c>
      <c r="N275" s="6">
        <v>0</v>
      </c>
      <c r="O275" s="6">
        <v>0</v>
      </c>
      <c r="P275" s="6">
        <v>3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FIN'!$A$1:$O$103,15,0)),0,VLOOKUP($S$275,'TAR FIN'!$A$1:$O$103,15,0))</f>
        <v>12.42</v>
      </c>
      <c r="W275" s="6">
        <f>IF(ISERROR(VLOOKUP($T$275,'TAR FIN'!$A$1:$O$103,15,0)),0,VLOOKUP($T$275,'TAR FIN'!$A$1:$O$103,15,0))</f>
        <v>0</v>
      </c>
      <c r="X275" s="6">
        <f>IF(ISERROR(VLOOKUP($U$275,'TAR FIN'!$A$1:$O$103,15,0)),0,VLOOKUP($U$275,'TAR FIN'!$A$1:$O$103,15,0))</f>
        <v>0</v>
      </c>
      <c r="Y275" s="6">
        <f ca="1">('TUSD BE'!$AM$20+'TUSD BF_350'!$AM$20+'TUSD CVA'!$AM$20)*1</f>
        <v>17.579999999999998</v>
      </c>
      <c r="Z275" s="6"/>
      <c r="AA275" s="6"/>
      <c r="AB275" s="6">
        <f>$K$275*$V$275</f>
        <v>4197.96</v>
      </c>
      <c r="AC275" s="6">
        <f>$M$275*$W$275</f>
        <v>0</v>
      </c>
      <c r="AD275" s="6">
        <f>$O$275*$X$275</f>
        <v>0</v>
      </c>
      <c r="AE275" s="6">
        <f ca="1">$K$275*$Y$275</f>
        <v>5942.0399999999991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33</v>
      </c>
      <c r="C276" s="4" t="s">
        <v>34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44470</v>
      </c>
      <c r="J276" s="6">
        <v>4719</v>
      </c>
      <c r="K276" s="6">
        <v>4719</v>
      </c>
      <c r="L276" s="6">
        <v>0</v>
      </c>
      <c r="M276" s="6">
        <v>0</v>
      </c>
      <c r="N276" s="6">
        <v>0</v>
      </c>
      <c r="O276" s="6">
        <v>0</v>
      </c>
      <c r="P276" s="6">
        <v>57</v>
      </c>
      <c r="Q276" s="4" t="s">
        <v>26</v>
      </c>
      <c r="R276" s="4">
        <v>0</v>
      </c>
      <c r="S276" s="6">
        <v>18</v>
      </c>
      <c r="T276" s="6">
        <v>0</v>
      </c>
      <c r="U276" s="6">
        <v>0</v>
      </c>
      <c r="V276" s="6">
        <f>IF(ISERROR(VLOOKUP($S$276,'TAR FIN'!$A$1:$O$103,15,0)),0,VLOOKUP($S$276,'TAR FIN'!$A$1:$O$103,15,0))</f>
        <v>12.42</v>
      </c>
      <c r="W276" s="6">
        <f>IF(ISERROR(VLOOKUP($T$276,'TAR FIN'!$A$1:$O$103,15,0)),0,VLOOKUP($T$276,'TAR FIN'!$A$1:$O$103,15,0))</f>
        <v>0</v>
      </c>
      <c r="X276" s="6">
        <f>IF(ISERROR(VLOOKUP($U$276,'TAR FIN'!$A$1:$O$103,15,0)),0,VLOOKUP($U$276,'TAR FIN'!$A$1:$O$103,15,0))</f>
        <v>0</v>
      </c>
      <c r="Y276" s="6">
        <f ca="1">('TUSD BE'!$AM$20+'TUSD BF_350'!$AM$20+'TUSD CVA'!$AM$20)*1</f>
        <v>17.579999999999998</v>
      </c>
      <c r="Z276" s="6"/>
      <c r="AA276" s="6"/>
      <c r="AB276" s="6">
        <f>$K$276*$V$276</f>
        <v>58609.98</v>
      </c>
      <c r="AC276" s="6">
        <f>$M$276*$W$276</f>
        <v>0</v>
      </c>
      <c r="AD276" s="6">
        <f>$O$276*$X$276</f>
        <v>0</v>
      </c>
      <c r="AE276" s="6">
        <f ca="1">$K$276*$Y$276</f>
        <v>82960.01999999999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28</v>
      </c>
      <c r="B277" s="4" t="s">
        <v>33</v>
      </c>
      <c r="C277" s="4" t="s">
        <v>34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44470</v>
      </c>
      <c r="J277" s="6">
        <v>338</v>
      </c>
      <c r="K277" s="6">
        <v>338</v>
      </c>
      <c r="L277" s="6">
        <v>0</v>
      </c>
      <c r="M277" s="6">
        <v>0</v>
      </c>
      <c r="N277" s="6">
        <v>0</v>
      </c>
      <c r="O277" s="6">
        <v>0</v>
      </c>
      <c r="P277" s="6">
        <v>3</v>
      </c>
      <c r="Q277" s="4" t="s">
        <v>26</v>
      </c>
      <c r="R277" s="4">
        <v>0</v>
      </c>
      <c r="S277" s="6">
        <v>18</v>
      </c>
      <c r="T277" s="6">
        <v>0</v>
      </c>
      <c r="U277" s="6">
        <v>0</v>
      </c>
      <c r="V277" s="6">
        <f>IF(ISERROR(VLOOKUP($S$277,'TAR FIN'!$A$1:$O$103,15,0)),0,VLOOKUP($S$277,'TAR FIN'!$A$1:$O$103,15,0))</f>
        <v>12.42</v>
      </c>
      <c r="W277" s="6">
        <f>IF(ISERROR(VLOOKUP($T$277,'TAR FIN'!$A$1:$O$103,15,0)),0,VLOOKUP($T$277,'TAR FIN'!$A$1:$O$103,15,0))</f>
        <v>0</v>
      </c>
      <c r="X277" s="6">
        <f>IF(ISERROR(VLOOKUP($U$277,'TAR FIN'!$A$1:$O$103,15,0)),0,VLOOKUP($U$277,'TAR FIN'!$A$1:$O$103,15,0))</f>
        <v>0</v>
      </c>
      <c r="Y277" s="6">
        <f ca="1">('TUSD BE'!$AM$20+'TUSD BF_350'!$AM$20+'TUSD CVA'!$AM$20)*1</f>
        <v>17.579999999999998</v>
      </c>
      <c r="Z277" s="6"/>
      <c r="AA277" s="6"/>
      <c r="AB277" s="6">
        <f>$K$277*$V$277</f>
        <v>4197.96</v>
      </c>
      <c r="AC277" s="6">
        <f>$M$277*$W$277</f>
        <v>0</v>
      </c>
      <c r="AD277" s="6">
        <f>$O$277*$X$277</f>
        <v>0</v>
      </c>
      <c r="AE277" s="6">
        <f ca="1">$K$277*$Y$277</f>
        <v>5942.0399999999991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28</v>
      </c>
      <c r="B278" s="4" t="s">
        <v>33</v>
      </c>
      <c r="C278" s="4" t="s">
        <v>34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44470</v>
      </c>
      <c r="J278" s="6">
        <v>13</v>
      </c>
      <c r="K278" s="6">
        <v>13</v>
      </c>
      <c r="L278" s="6">
        <v>0</v>
      </c>
      <c r="M278" s="6">
        <v>0</v>
      </c>
      <c r="N278" s="6">
        <v>0</v>
      </c>
      <c r="O278" s="6">
        <v>0</v>
      </c>
      <c r="P278" s="6">
        <v>2</v>
      </c>
      <c r="Q278" s="4" t="s">
        <v>26</v>
      </c>
      <c r="R278" s="4">
        <v>0</v>
      </c>
      <c r="S278" s="6">
        <v>18</v>
      </c>
      <c r="T278" s="6">
        <v>0</v>
      </c>
      <c r="U278" s="6">
        <v>0</v>
      </c>
      <c r="V278" s="6">
        <f>IF(ISERROR(VLOOKUP($S$278,'TAR FIN'!$A$1:$O$103,15,0)),0,VLOOKUP($S$278,'TAR FIN'!$A$1:$O$103,15,0))</f>
        <v>12.42</v>
      </c>
      <c r="W278" s="6">
        <f>IF(ISERROR(VLOOKUP($T$278,'TAR FIN'!$A$1:$O$103,15,0)),0,VLOOKUP($T$278,'TAR FIN'!$A$1:$O$103,15,0))</f>
        <v>0</v>
      </c>
      <c r="X278" s="6">
        <f>IF(ISERROR(VLOOKUP($U$278,'TAR FIN'!$A$1:$O$103,15,0)),0,VLOOKUP($U$278,'TAR FIN'!$A$1:$O$103,15,0))</f>
        <v>0</v>
      </c>
      <c r="Y278" s="6">
        <f ca="1">('TUSD BE'!$AM$20+'TUSD BF_350'!$AM$20+'TUSD CVA'!$AM$20)*1</f>
        <v>17.579999999999998</v>
      </c>
      <c r="Z278" s="6"/>
      <c r="AA278" s="6"/>
      <c r="AB278" s="6">
        <f>$K$278*$V$278</f>
        <v>161.46</v>
      </c>
      <c r="AC278" s="6">
        <f>$M$278*$W$278</f>
        <v>0</v>
      </c>
      <c r="AD278" s="6">
        <f>$O$278*$X$278</f>
        <v>0</v>
      </c>
      <c r="AE278" s="6">
        <f ca="1">$K$278*$Y$278</f>
        <v>228.53999999999996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33</v>
      </c>
      <c r="C279" s="4" t="s">
        <v>34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44501</v>
      </c>
      <c r="J279" s="6">
        <v>4979</v>
      </c>
      <c r="K279" s="6">
        <v>4979</v>
      </c>
      <c r="L279" s="6">
        <v>0</v>
      </c>
      <c r="M279" s="6">
        <v>0</v>
      </c>
      <c r="N279" s="6">
        <v>0</v>
      </c>
      <c r="O279" s="6">
        <v>0</v>
      </c>
      <c r="P279" s="6">
        <v>60</v>
      </c>
      <c r="Q279" s="4" t="s">
        <v>26</v>
      </c>
      <c r="R279" s="4">
        <v>0</v>
      </c>
      <c r="S279" s="6">
        <v>18</v>
      </c>
      <c r="T279" s="6">
        <v>0</v>
      </c>
      <c r="U279" s="6">
        <v>0</v>
      </c>
      <c r="V279" s="6">
        <f>IF(ISERROR(VLOOKUP($S$279,'TAR FIN'!$A$1:$O$103,15,0)),0,VLOOKUP($S$279,'TAR FIN'!$A$1:$O$103,15,0))</f>
        <v>12.42</v>
      </c>
      <c r="W279" s="6">
        <f>IF(ISERROR(VLOOKUP($T$279,'TAR FIN'!$A$1:$O$103,15,0)),0,VLOOKUP($T$279,'TAR FIN'!$A$1:$O$103,15,0))</f>
        <v>0</v>
      </c>
      <c r="X279" s="6">
        <f>IF(ISERROR(VLOOKUP($U$279,'TAR FIN'!$A$1:$O$103,15,0)),0,VLOOKUP($U$279,'TAR FIN'!$A$1:$O$103,15,0))</f>
        <v>0</v>
      </c>
      <c r="Y279" s="6">
        <f ca="1">('TUSD BE'!$AM$20+'TUSD BF_350'!$AM$20+'TUSD CVA'!$AM$20)*1</f>
        <v>17.579999999999998</v>
      </c>
      <c r="Z279" s="6"/>
      <c r="AA279" s="6"/>
      <c r="AB279" s="6">
        <f>$K$279*$V$279</f>
        <v>61839.18</v>
      </c>
      <c r="AC279" s="6">
        <f>$M$279*$W$279</f>
        <v>0</v>
      </c>
      <c r="AD279" s="6">
        <f>$O$279*$X$279</f>
        <v>0</v>
      </c>
      <c r="AE279" s="6">
        <f ca="1">$K$279*$Y$279</f>
        <v>87530.819999999992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28</v>
      </c>
      <c r="B280" s="4" t="s">
        <v>33</v>
      </c>
      <c r="C280" s="4" t="s">
        <v>34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44501</v>
      </c>
      <c r="J280" s="6">
        <v>338</v>
      </c>
      <c r="K280" s="6">
        <v>338</v>
      </c>
      <c r="L280" s="6">
        <v>0</v>
      </c>
      <c r="M280" s="6">
        <v>0</v>
      </c>
      <c r="N280" s="6">
        <v>0</v>
      </c>
      <c r="O280" s="6">
        <v>0</v>
      </c>
      <c r="P280" s="6">
        <v>3</v>
      </c>
      <c r="Q280" s="4" t="s">
        <v>26</v>
      </c>
      <c r="R280" s="4">
        <v>0</v>
      </c>
      <c r="S280" s="6">
        <v>18</v>
      </c>
      <c r="T280" s="6">
        <v>0</v>
      </c>
      <c r="U280" s="6">
        <v>0</v>
      </c>
      <c r="V280" s="6">
        <f>IF(ISERROR(VLOOKUP($S$280,'TAR FIN'!$A$1:$O$103,15,0)),0,VLOOKUP($S$280,'TAR FIN'!$A$1:$O$103,15,0))</f>
        <v>12.42</v>
      </c>
      <c r="W280" s="6">
        <f>IF(ISERROR(VLOOKUP($T$280,'TAR FIN'!$A$1:$O$103,15,0)),0,VLOOKUP($T$280,'TAR FIN'!$A$1:$O$103,15,0))</f>
        <v>0</v>
      </c>
      <c r="X280" s="6">
        <f>IF(ISERROR(VLOOKUP($U$280,'TAR FIN'!$A$1:$O$103,15,0)),0,VLOOKUP($U$280,'TAR FIN'!$A$1:$O$103,15,0))</f>
        <v>0</v>
      </c>
      <c r="Y280" s="6">
        <f ca="1">('TUSD BE'!$AM$20+'TUSD BF_350'!$AM$20+'TUSD CVA'!$AM$20)*1</f>
        <v>17.579999999999998</v>
      </c>
      <c r="Z280" s="6"/>
      <c r="AA280" s="6"/>
      <c r="AB280" s="6">
        <f>$K$280*$V$280</f>
        <v>4197.96</v>
      </c>
      <c r="AC280" s="6">
        <f>$M$280*$W$280</f>
        <v>0</v>
      </c>
      <c r="AD280" s="6">
        <f>$O$280*$X$280</f>
        <v>0</v>
      </c>
      <c r="AE280" s="6">
        <f ca="1">$K$280*$Y$280</f>
        <v>5942.0399999999991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33</v>
      </c>
      <c r="C281" s="4" t="s">
        <v>34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44531</v>
      </c>
      <c r="J281" s="6">
        <v>4348</v>
      </c>
      <c r="K281" s="6">
        <v>4348</v>
      </c>
      <c r="L281" s="6">
        <v>0</v>
      </c>
      <c r="M281" s="6">
        <v>0</v>
      </c>
      <c r="N281" s="6">
        <v>0</v>
      </c>
      <c r="O281" s="6">
        <v>0</v>
      </c>
      <c r="P281" s="6">
        <v>56</v>
      </c>
      <c r="Q281" s="4" t="s">
        <v>26</v>
      </c>
      <c r="R281" s="4">
        <v>0</v>
      </c>
      <c r="S281" s="6">
        <v>18</v>
      </c>
      <c r="T281" s="6">
        <v>0</v>
      </c>
      <c r="U281" s="6">
        <v>0</v>
      </c>
      <c r="V281" s="6">
        <f>IF(ISERROR(VLOOKUP($S$281,'TAR FIN'!$A$1:$O$103,15,0)),0,VLOOKUP($S$281,'TAR FIN'!$A$1:$O$103,15,0))</f>
        <v>12.42</v>
      </c>
      <c r="W281" s="6">
        <f>IF(ISERROR(VLOOKUP($T$281,'TAR FIN'!$A$1:$O$103,15,0)),0,VLOOKUP($T$281,'TAR FIN'!$A$1:$O$103,15,0))</f>
        <v>0</v>
      </c>
      <c r="X281" s="6">
        <f>IF(ISERROR(VLOOKUP($U$281,'TAR FIN'!$A$1:$O$103,15,0)),0,VLOOKUP($U$281,'TAR FIN'!$A$1:$O$103,15,0))</f>
        <v>0</v>
      </c>
      <c r="Y281" s="6">
        <f ca="1">('TUSD BE'!$AM$20+'TUSD BF_350'!$AM$20+'TUSD CVA'!$AM$20)*1</f>
        <v>17.579999999999998</v>
      </c>
      <c r="Z281" s="6"/>
      <c r="AA281" s="6"/>
      <c r="AB281" s="6">
        <f>$K$281*$V$281</f>
        <v>54002.159999999996</v>
      </c>
      <c r="AC281" s="6">
        <f>$M$281*$W$281</f>
        <v>0</v>
      </c>
      <c r="AD281" s="6">
        <f>$O$281*$X$281</f>
        <v>0</v>
      </c>
      <c r="AE281" s="6">
        <f ca="1">$K$281*$Y$281</f>
        <v>76437.84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28</v>
      </c>
      <c r="B282" s="4" t="s">
        <v>33</v>
      </c>
      <c r="C282" s="4" t="s">
        <v>34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44531</v>
      </c>
      <c r="J282" s="6">
        <v>993</v>
      </c>
      <c r="K282" s="6">
        <v>993</v>
      </c>
      <c r="L282" s="6">
        <v>0</v>
      </c>
      <c r="M282" s="6">
        <v>0</v>
      </c>
      <c r="N282" s="6">
        <v>0</v>
      </c>
      <c r="O282" s="6">
        <v>0</v>
      </c>
      <c r="P282" s="6">
        <v>7</v>
      </c>
      <c r="Q282" s="4" t="s">
        <v>26</v>
      </c>
      <c r="R282" s="4">
        <v>0</v>
      </c>
      <c r="S282" s="6">
        <v>18</v>
      </c>
      <c r="T282" s="6">
        <v>0</v>
      </c>
      <c r="U282" s="6">
        <v>0</v>
      </c>
      <c r="V282" s="6">
        <f>IF(ISERROR(VLOOKUP($S$282,'TAR FIN'!$A$1:$O$103,15,0)),0,VLOOKUP($S$282,'TAR FIN'!$A$1:$O$103,15,0))</f>
        <v>12.42</v>
      </c>
      <c r="W282" s="6">
        <f>IF(ISERROR(VLOOKUP($T$282,'TAR FIN'!$A$1:$O$103,15,0)),0,VLOOKUP($T$282,'TAR FIN'!$A$1:$O$103,15,0))</f>
        <v>0</v>
      </c>
      <c r="X282" s="6">
        <f>IF(ISERROR(VLOOKUP($U$282,'TAR FIN'!$A$1:$O$103,15,0)),0,VLOOKUP($U$282,'TAR FIN'!$A$1:$O$103,15,0))</f>
        <v>0</v>
      </c>
      <c r="Y282" s="6">
        <f ca="1">('TUSD BE'!$AM$20+'TUSD BF_350'!$AM$20+'TUSD CVA'!$AM$20)*1</f>
        <v>17.579999999999998</v>
      </c>
      <c r="Z282" s="6"/>
      <c r="AA282" s="6"/>
      <c r="AB282" s="6">
        <f>$K$282*$V$282</f>
        <v>12333.06</v>
      </c>
      <c r="AC282" s="6">
        <f>$M$282*$W$282</f>
        <v>0</v>
      </c>
      <c r="AD282" s="6">
        <f>$O$282*$X$282</f>
        <v>0</v>
      </c>
      <c r="AE282" s="6">
        <f ca="1">$K$282*$Y$282</f>
        <v>17456.939999999999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33</v>
      </c>
      <c r="C283" s="4" t="s">
        <v>34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44562</v>
      </c>
      <c r="J283" s="6">
        <v>5051</v>
      </c>
      <c r="K283" s="6">
        <v>5051</v>
      </c>
      <c r="L283" s="6">
        <v>0</v>
      </c>
      <c r="M283" s="6">
        <v>0</v>
      </c>
      <c r="N283" s="6">
        <v>0</v>
      </c>
      <c r="O283" s="6">
        <v>0</v>
      </c>
      <c r="P283" s="6">
        <v>61</v>
      </c>
      <c r="Q283" s="4" t="s">
        <v>26</v>
      </c>
      <c r="R283" s="4">
        <v>0</v>
      </c>
      <c r="S283" s="6">
        <v>18</v>
      </c>
      <c r="T283" s="6">
        <v>0</v>
      </c>
      <c r="U283" s="6">
        <v>0</v>
      </c>
      <c r="V283" s="6">
        <f>IF(ISERROR(VLOOKUP($S$283,'TAR FIN'!$A$1:$O$103,15,0)),0,VLOOKUP($S$283,'TAR FIN'!$A$1:$O$103,15,0))</f>
        <v>12.42</v>
      </c>
      <c r="W283" s="6">
        <f>IF(ISERROR(VLOOKUP($T$283,'TAR FIN'!$A$1:$O$103,15,0)),0,VLOOKUP($T$283,'TAR FIN'!$A$1:$O$103,15,0))</f>
        <v>0</v>
      </c>
      <c r="X283" s="6">
        <f>IF(ISERROR(VLOOKUP($U$283,'TAR FIN'!$A$1:$O$103,15,0)),0,VLOOKUP($U$283,'TAR FIN'!$A$1:$O$103,15,0))</f>
        <v>0</v>
      </c>
      <c r="Y283" s="6">
        <f ca="1">('TUSD BE'!$AM$20+'TUSD BF_350'!$AM$20+'TUSD CVA'!$AM$20)*1</f>
        <v>17.579999999999998</v>
      </c>
      <c r="Z283" s="6"/>
      <c r="AA283" s="6"/>
      <c r="AB283" s="6">
        <f>$K$283*$V$283</f>
        <v>62733.42</v>
      </c>
      <c r="AC283" s="6">
        <f>$M$283*$W$283</f>
        <v>0</v>
      </c>
      <c r="AD283" s="6">
        <f>$O$283*$X$283</f>
        <v>0</v>
      </c>
      <c r="AE283" s="6">
        <f ca="1">$K$283*$Y$283</f>
        <v>88796.579999999987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28</v>
      </c>
      <c r="B284" s="4" t="s">
        <v>33</v>
      </c>
      <c r="C284" s="4" t="s">
        <v>34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508</v>
      </c>
      <c r="K284" s="6">
        <v>508</v>
      </c>
      <c r="L284" s="6">
        <v>0</v>
      </c>
      <c r="M284" s="6">
        <v>0</v>
      </c>
      <c r="N284" s="6">
        <v>0</v>
      </c>
      <c r="O284" s="6">
        <v>0</v>
      </c>
      <c r="P284" s="6">
        <v>4</v>
      </c>
      <c r="Q284" s="4" t="s">
        <v>26</v>
      </c>
      <c r="R284" s="4">
        <v>0</v>
      </c>
      <c r="S284" s="6">
        <v>18</v>
      </c>
      <c r="T284" s="6">
        <v>0</v>
      </c>
      <c r="U284" s="6">
        <v>0</v>
      </c>
      <c r="V284" s="6">
        <f>IF(ISERROR(VLOOKUP($S$284,'TAR FIN'!$A$1:$O$103,15,0)),0,VLOOKUP($S$284,'TAR FIN'!$A$1:$O$103,15,0))</f>
        <v>12.42</v>
      </c>
      <c r="W284" s="6">
        <f>IF(ISERROR(VLOOKUP($T$284,'TAR FIN'!$A$1:$O$103,15,0)),0,VLOOKUP($T$284,'TAR FIN'!$A$1:$O$103,15,0))</f>
        <v>0</v>
      </c>
      <c r="X284" s="6">
        <f>IF(ISERROR(VLOOKUP($U$284,'TAR FIN'!$A$1:$O$103,15,0)),0,VLOOKUP($U$284,'TAR FIN'!$A$1:$O$103,15,0))</f>
        <v>0</v>
      </c>
      <c r="Y284" s="6">
        <f ca="1">('TUSD BE'!$AM$20+'TUSD BF_350'!$AM$20+'TUSD CVA'!$AM$20)*1</f>
        <v>17.579999999999998</v>
      </c>
      <c r="Z284" s="6"/>
      <c r="AA284" s="6"/>
      <c r="AB284" s="6">
        <f>$K$284*$V$284</f>
        <v>6309.36</v>
      </c>
      <c r="AC284" s="6">
        <f>$M$284*$W$284</f>
        <v>0</v>
      </c>
      <c r="AD284" s="6">
        <f>$O$284*$X$284</f>
        <v>0</v>
      </c>
      <c r="AE284" s="6">
        <f ca="1">$K$284*$Y$284</f>
        <v>8930.64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33</v>
      </c>
      <c r="C285" s="4" t="s">
        <v>34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4814</v>
      </c>
      <c r="K285" s="6">
        <v>4814</v>
      </c>
      <c r="L285" s="6">
        <v>0</v>
      </c>
      <c r="M285" s="6">
        <v>0</v>
      </c>
      <c r="N285" s="6">
        <v>0</v>
      </c>
      <c r="O285" s="6">
        <v>0</v>
      </c>
      <c r="P285" s="6">
        <v>59</v>
      </c>
      <c r="Q285" s="4" t="s">
        <v>26</v>
      </c>
      <c r="R285" s="4">
        <v>0</v>
      </c>
      <c r="S285" s="6">
        <v>18</v>
      </c>
      <c r="T285" s="6">
        <v>0</v>
      </c>
      <c r="U285" s="6">
        <v>0</v>
      </c>
      <c r="V285" s="6">
        <f>IF(ISERROR(VLOOKUP($S$285,'TAR FIN'!$A$1:$O$103,15,0)),0,VLOOKUP($S$285,'TAR FIN'!$A$1:$O$103,15,0))</f>
        <v>12.42</v>
      </c>
      <c r="W285" s="6">
        <f>IF(ISERROR(VLOOKUP($T$285,'TAR FIN'!$A$1:$O$103,15,0)),0,VLOOKUP($T$285,'TAR FIN'!$A$1:$O$103,15,0))</f>
        <v>0</v>
      </c>
      <c r="X285" s="6">
        <f>IF(ISERROR(VLOOKUP($U$285,'TAR FIN'!$A$1:$O$103,15,0)),0,VLOOKUP($U$285,'TAR FIN'!$A$1:$O$103,15,0))</f>
        <v>0</v>
      </c>
      <c r="Y285" s="6">
        <f ca="1">('TUSD BE'!$AM$20+'TUSD BF_350'!$AM$20+'TUSD CVA'!$AM$20)*1</f>
        <v>17.579999999999998</v>
      </c>
      <c r="Z285" s="6"/>
      <c r="AA285" s="6"/>
      <c r="AB285" s="6">
        <f>$K$285*$V$285</f>
        <v>59789.88</v>
      </c>
      <c r="AC285" s="6">
        <f>$M$285*$W$285</f>
        <v>0</v>
      </c>
      <c r="AD285" s="6">
        <f>$O$285*$X$285</f>
        <v>0</v>
      </c>
      <c r="AE285" s="6">
        <f ca="1">$K$285*$Y$285</f>
        <v>84630.12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28</v>
      </c>
      <c r="B286" s="4" t="s">
        <v>33</v>
      </c>
      <c r="C286" s="4" t="s">
        <v>34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44593</v>
      </c>
      <c r="J286" s="6">
        <v>508</v>
      </c>
      <c r="K286" s="6">
        <v>508</v>
      </c>
      <c r="L286" s="6">
        <v>0</v>
      </c>
      <c r="M286" s="6">
        <v>0</v>
      </c>
      <c r="N286" s="6">
        <v>0</v>
      </c>
      <c r="O286" s="6">
        <v>0</v>
      </c>
      <c r="P286" s="6">
        <v>4</v>
      </c>
      <c r="Q286" s="4" t="s">
        <v>26</v>
      </c>
      <c r="R286" s="4">
        <v>0</v>
      </c>
      <c r="S286" s="6">
        <v>18</v>
      </c>
      <c r="T286" s="6">
        <v>0</v>
      </c>
      <c r="U286" s="6">
        <v>0</v>
      </c>
      <c r="V286" s="6">
        <f>IF(ISERROR(VLOOKUP($S$286,'TAR FIN'!$A$1:$O$103,15,0)),0,VLOOKUP($S$286,'TAR FIN'!$A$1:$O$103,15,0))</f>
        <v>12.42</v>
      </c>
      <c r="W286" s="6">
        <f>IF(ISERROR(VLOOKUP($T$286,'TAR FIN'!$A$1:$O$103,15,0)),0,VLOOKUP($T$286,'TAR FIN'!$A$1:$O$103,15,0))</f>
        <v>0</v>
      </c>
      <c r="X286" s="6">
        <f>IF(ISERROR(VLOOKUP($U$286,'TAR FIN'!$A$1:$O$103,15,0)),0,VLOOKUP($U$286,'TAR FIN'!$A$1:$O$103,15,0))</f>
        <v>0</v>
      </c>
      <c r="Y286" s="6">
        <f ca="1">('TUSD BE'!$AM$20+'TUSD BF_350'!$AM$20+'TUSD CVA'!$AM$20)*1</f>
        <v>17.579999999999998</v>
      </c>
      <c r="Z286" s="6"/>
      <c r="AA286" s="6"/>
      <c r="AB286" s="6">
        <f>$K$286*$V$286</f>
        <v>6309.36</v>
      </c>
      <c r="AC286" s="6">
        <f>$M$286*$W$286</f>
        <v>0</v>
      </c>
      <c r="AD286" s="6">
        <f>$O$286*$X$286</f>
        <v>0</v>
      </c>
      <c r="AE286" s="6">
        <f ca="1">$K$286*$Y$286</f>
        <v>8930.64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33</v>
      </c>
      <c r="C287" s="4" t="s">
        <v>34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4985</v>
      </c>
      <c r="K287" s="6">
        <v>4985</v>
      </c>
      <c r="L287" s="6">
        <v>0</v>
      </c>
      <c r="M287" s="6">
        <v>0</v>
      </c>
      <c r="N287" s="6">
        <v>0</v>
      </c>
      <c r="O287" s="6">
        <v>0</v>
      </c>
      <c r="P287" s="6">
        <v>58</v>
      </c>
      <c r="Q287" s="4" t="s">
        <v>26</v>
      </c>
      <c r="R287" s="4">
        <v>0</v>
      </c>
      <c r="S287" s="6">
        <v>18</v>
      </c>
      <c r="T287" s="6">
        <v>0</v>
      </c>
      <c r="U287" s="6">
        <v>0</v>
      </c>
      <c r="V287" s="6">
        <f>IF(ISERROR(VLOOKUP($S$287,'TAR FIN'!$A$1:$O$103,15,0)),0,VLOOKUP($S$287,'TAR FIN'!$A$1:$O$103,15,0))</f>
        <v>12.42</v>
      </c>
      <c r="W287" s="6">
        <f>IF(ISERROR(VLOOKUP($T$287,'TAR FIN'!$A$1:$O$103,15,0)),0,VLOOKUP($T$287,'TAR FIN'!$A$1:$O$103,15,0))</f>
        <v>0</v>
      </c>
      <c r="X287" s="6">
        <f>IF(ISERROR(VLOOKUP($U$287,'TAR FIN'!$A$1:$O$103,15,0)),0,VLOOKUP($U$287,'TAR FIN'!$A$1:$O$103,15,0))</f>
        <v>0</v>
      </c>
      <c r="Y287" s="6">
        <f ca="1">('TUSD BE'!$AM$20+'TUSD BF_350'!$AM$20+'TUSD CVA'!$AM$20)*1</f>
        <v>17.579999999999998</v>
      </c>
      <c r="Z287" s="6"/>
      <c r="AA287" s="6"/>
      <c r="AB287" s="6">
        <f>$K$287*$V$287</f>
        <v>61913.7</v>
      </c>
      <c r="AC287" s="6">
        <f>$M$287*$W$287</f>
        <v>0</v>
      </c>
      <c r="AD287" s="6">
        <f>$O$287*$X$287</f>
        <v>0</v>
      </c>
      <c r="AE287" s="6">
        <f ca="1">$K$287*$Y$287</f>
        <v>87636.299999999988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28</v>
      </c>
      <c r="B288" s="4" t="s">
        <v>33</v>
      </c>
      <c r="C288" s="4" t="s">
        <v>34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44621</v>
      </c>
      <c r="J288" s="6">
        <v>558</v>
      </c>
      <c r="K288" s="6">
        <v>558</v>
      </c>
      <c r="L288" s="6">
        <v>0</v>
      </c>
      <c r="M288" s="6">
        <v>0</v>
      </c>
      <c r="N288" s="6">
        <v>0</v>
      </c>
      <c r="O288" s="6">
        <v>0</v>
      </c>
      <c r="P288" s="6">
        <v>5</v>
      </c>
      <c r="Q288" s="4" t="s">
        <v>26</v>
      </c>
      <c r="R288" s="4">
        <v>0</v>
      </c>
      <c r="S288" s="6">
        <v>18</v>
      </c>
      <c r="T288" s="6">
        <v>0</v>
      </c>
      <c r="U288" s="6">
        <v>0</v>
      </c>
      <c r="V288" s="6">
        <f>IF(ISERROR(VLOOKUP($S$288,'TAR FIN'!$A$1:$O$103,15,0)),0,VLOOKUP($S$288,'TAR FIN'!$A$1:$O$103,15,0))</f>
        <v>12.42</v>
      </c>
      <c r="W288" s="6">
        <f>IF(ISERROR(VLOOKUP($T$288,'TAR FIN'!$A$1:$O$103,15,0)),0,VLOOKUP($T$288,'TAR FIN'!$A$1:$O$103,15,0))</f>
        <v>0</v>
      </c>
      <c r="X288" s="6">
        <f>IF(ISERROR(VLOOKUP($U$288,'TAR FIN'!$A$1:$O$103,15,0)),0,VLOOKUP($U$288,'TAR FIN'!$A$1:$O$103,15,0))</f>
        <v>0</v>
      </c>
      <c r="Y288" s="6">
        <f ca="1">('TUSD BE'!$AM$20+'TUSD BF_350'!$AM$20+'TUSD CVA'!$AM$20)*1</f>
        <v>17.579999999999998</v>
      </c>
      <c r="Z288" s="6"/>
      <c r="AA288" s="6"/>
      <c r="AB288" s="6">
        <f>$K$288*$V$288</f>
        <v>6930.36</v>
      </c>
      <c r="AC288" s="6">
        <f>$M$288*$W$288</f>
        <v>0</v>
      </c>
      <c r="AD288" s="6">
        <f>$O$288*$X$288</f>
        <v>0</v>
      </c>
      <c r="AE288" s="6">
        <f ca="1">$K$288*$Y$288</f>
        <v>9809.64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33</v>
      </c>
      <c r="C289" s="4" t="s">
        <v>34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5113</v>
      </c>
      <c r="K289" s="6">
        <v>5113</v>
      </c>
      <c r="L289" s="6">
        <v>0</v>
      </c>
      <c r="M289" s="6">
        <v>0</v>
      </c>
      <c r="N289" s="6">
        <v>0</v>
      </c>
      <c r="O289" s="6">
        <v>0</v>
      </c>
      <c r="P289" s="6">
        <v>59</v>
      </c>
      <c r="Q289" s="4" t="s">
        <v>26</v>
      </c>
      <c r="R289" s="4">
        <v>0</v>
      </c>
      <c r="S289" s="6">
        <v>18</v>
      </c>
      <c r="T289" s="6">
        <v>0</v>
      </c>
      <c r="U289" s="6">
        <v>0</v>
      </c>
      <c r="V289" s="6">
        <f>IF(ISERROR(VLOOKUP($S$289,'TAR FIN'!$A$1:$O$103,15,0)),0,VLOOKUP($S$289,'TAR FIN'!$A$1:$O$103,15,0))</f>
        <v>12.42</v>
      </c>
      <c r="W289" s="6">
        <f>IF(ISERROR(VLOOKUP($T$289,'TAR FIN'!$A$1:$O$103,15,0)),0,VLOOKUP($T$289,'TAR FIN'!$A$1:$O$103,15,0))</f>
        <v>0</v>
      </c>
      <c r="X289" s="6">
        <f>IF(ISERROR(VLOOKUP($U$289,'TAR FIN'!$A$1:$O$103,15,0)),0,VLOOKUP($U$289,'TAR FIN'!$A$1:$O$103,15,0))</f>
        <v>0</v>
      </c>
      <c r="Y289" s="6">
        <f ca="1">('TUSD BE'!$AM$20+'TUSD BF_350'!$AM$20+'TUSD CVA'!$AM$20)*1</f>
        <v>17.579999999999998</v>
      </c>
      <c r="Z289" s="6"/>
      <c r="AA289" s="6"/>
      <c r="AB289" s="6">
        <f>$K$289*$V$289</f>
        <v>63503.46</v>
      </c>
      <c r="AC289" s="6">
        <f>$M$289*$W$289</f>
        <v>0</v>
      </c>
      <c r="AD289" s="6">
        <f>$O$289*$X$289</f>
        <v>0</v>
      </c>
      <c r="AE289" s="6">
        <f ca="1">$K$289*$Y$289</f>
        <v>89886.54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28</v>
      </c>
      <c r="B290" s="4" t="s">
        <v>33</v>
      </c>
      <c r="C290" s="4" t="s">
        <v>34</v>
      </c>
      <c r="D290" s="4" t="s">
        <v>43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44652</v>
      </c>
      <c r="J290" s="6">
        <v>388</v>
      </c>
      <c r="K290" s="6">
        <v>388</v>
      </c>
      <c r="L290" s="6">
        <v>0</v>
      </c>
      <c r="M290" s="6">
        <v>0</v>
      </c>
      <c r="N290" s="6">
        <v>0</v>
      </c>
      <c r="O290" s="6">
        <v>0</v>
      </c>
      <c r="P290" s="6">
        <v>4</v>
      </c>
      <c r="Q290" s="4" t="s">
        <v>26</v>
      </c>
      <c r="R290" s="4">
        <v>0</v>
      </c>
      <c r="S290" s="6">
        <v>18</v>
      </c>
      <c r="T290" s="6">
        <v>0</v>
      </c>
      <c r="U290" s="6">
        <v>0</v>
      </c>
      <c r="V290" s="6">
        <f>IF(ISERROR(VLOOKUP($S$290,'TAR FIN'!$A$1:$O$103,15,0)),0,VLOOKUP($S$290,'TAR FIN'!$A$1:$O$103,15,0))</f>
        <v>12.42</v>
      </c>
      <c r="W290" s="6">
        <f>IF(ISERROR(VLOOKUP($T$290,'TAR FIN'!$A$1:$O$103,15,0)),0,VLOOKUP($T$290,'TAR FIN'!$A$1:$O$103,15,0))</f>
        <v>0</v>
      </c>
      <c r="X290" s="6">
        <f>IF(ISERROR(VLOOKUP($U$290,'TAR FIN'!$A$1:$O$103,15,0)),0,VLOOKUP($U$290,'TAR FIN'!$A$1:$O$103,15,0))</f>
        <v>0</v>
      </c>
      <c r="Y290" s="6">
        <f ca="1">('TUSD BE'!$AM$20+'TUSD BF_350'!$AM$20+'TUSD CVA'!$AM$20)*1</f>
        <v>17.579999999999998</v>
      </c>
      <c r="Z290" s="6"/>
      <c r="AA290" s="6"/>
      <c r="AB290" s="6">
        <f>$K$290*$V$290</f>
        <v>4818.96</v>
      </c>
      <c r="AC290" s="6">
        <f>$M$290*$W$290</f>
        <v>0</v>
      </c>
      <c r="AD290" s="6">
        <f>$O$290*$X$290</f>
        <v>0</v>
      </c>
      <c r="AE290" s="6">
        <f ca="1">$K$290*$Y$290</f>
        <v>6821.0399999999991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33</v>
      </c>
      <c r="C291" s="4" t="s">
        <v>34</v>
      </c>
      <c r="D291" s="4" t="s">
        <v>43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44682</v>
      </c>
      <c r="J291" s="6">
        <v>4872</v>
      </c>
      <c r="K291" s="6">
        <v>4872</v>
      </c>
      <c r="L291" s="6">
        <v>0</v>
      </c>
      <c r="M291" s="6">
        <v>0</v>
      </c>
      <c r="N291" s="6">
        <v>0</v>
      </c>
      <c r="O291" s="6">
        <v>0</v>
      </c>
      <c r="P291" s="6">
        <v>57</v>
      </c>
      <c r="Q291" s="4" t="s">
        <v>26</v>
      </c>
      <c r="R291" s="4">
        <v>0</v>
      </c>
      <c r="S291" s="6">
        <v>18</v>
      </c>
      <c r="T291" s="6">
        <v>0</v>
      </c>
      <c r="U291" s="6">
        <v>0</v>
      </c>
      <c r="V291" s="6">
        <f>IF(ISERROR(VLOOKUP($S$291,'TAR FIN'!$A$1:$O$103,15,0)),0,VLOOKUP($S$291,'TAR FIN'!$A$1:$O$103,15,0))</f>
        <v>12.42</v>
      </c>
      <c r="W291" s="6">
        <f>IF(ISERROR(VLOOKUP($T$291,'TAR FIN'!$A$1:$O$103,15,0)),0,VLOOKUP($T$291,'TAR FIN'!$A$1:$O$103,15,0))</f>
        <v>0</v>
      </c>
      <c r="X291" s="6">
        <f>IF(ISERROR(VLOOKUP($U$291,'TAR FIN'!$A$1:$O$103,15,0)),0,VLOOKUP($U$291,'TAR FIN'!$A$1:$O$103,15,0))</f>
        <v>0</v>
      </c>
      <c r="Y291" s="6">
        <f ca="1">('TUSD BE'!$AM$20+'TUSD BF_350'!$AM$20+'TUSD CVA'!$AM$20)*1</f>
        <v>17.579999999999998</v>
      </c>
      <c r="Z291" s="6"/>
      <c r="AA291" s="6"/>
      <c r="AB291" s="6">
        <f>$K$291*$V$291</f>
        <v>60510.239999999998</v>
      </c>
      <c r="AC291" s="6">
        <f>$M$291*$W$291</f>
        <v>0</v>
      </c>
      <c r="AD291" s="6">
        <f>$O$291*$X$291</f>
        <v>0</v>
      </c>
      <c r="AE291" s="6">
        <f ca="1">$K$291*$Y$291</f>
        <v>85649.76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28</v>
      </c>
      <c r="B292" s="4" t="s">
        <v>33</v>
      </c>
      <c r="C292" s="4" t="s">
        <v>34</v>
      </c>
      <c r="D292" s="4" t="s">
        <v>43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44682</v>
      </c>
      <c r="J292" s="6">
        <v>558</v>
      </c>
      <c r="K292" s="6">
        <v>558</v>
      </c>
      <c r="L292" s="6">
        <v>0</v>
      </c>
      <c r="M292" s="6">
        <v>0</v>
      </c>
      <c r="N292" s="6">
        <v>0</v>
      </c>
      <c r="O292" s="6">
        <v>0</v>
      </c>
      <c r="P292" s="6">
        <v>5</v>
      </c>
      <c r="Q292" s="4" t="s">
        <v>26</v>
      </c>
      <c r="R292" s="4">
        <v>0</v>
      </c>
      <c r="S292" s="6">
        <v>18</v>
      </c>
      <c r="T292" s="6">
        <v>0</v>
      </c>
      <c r="U292" s="6">
        <v>0</v>
      </c>
      <c r="V292" s="6">
        <f>IF(ISERROR(VLOOKUP($S$292,'TAR FIN'!$A$1:$O$103,15,0)),0,VLOOKUP($S$292,'TAR FIN'!$A$1:$O$103,15,0))</f>
        <v>12.42</v>
      </c>
      <c r="W292" s="6">
        <f>IF(ISERROR(VLOOKUP($T$292,'TAR FIN'!$A$1:$O$103,15,0)),0,VLOOKUP($T$292,'TAR FIN'!$A$1:$O$103,15,0))</f>
        <v>0</v>
      </c>
      <c r="X292" s="6">
        <f>IF(ISERROR(VLOOKUP($U$292,'TAR FIN'!$A$1:$O$103,15,0)),0,VLOOKUP($U$292,'TAR FIN'!$A$1:$O$103,15,0))</f>
        <v>0</v>
      </c>
      <c r="Y292" s="6">
        <f ca="1">('TUSD BE'!$AM$20+'TUSD BF_350'!$AM$20+'TUSD CVA'!$AM$20)*1</f>
        <v>17.579999999999998</v>
      </c>
      <c r="Z292" s="6"/>
      <c r="AA292" s="6"/>
      <c r="AB292" s="6">
        <f>$K$292*$V$292</f>
        <v>6930.36</v>
      </c>
      <c r="AC292" s="6">
        <f>$M$292*$W$292</f>
        <v>0</v>
      </c>
      <c r="AD292" s="6">
        <f>$O$292*$X$292</f>
        <v>0</v>
      </c>
      <c r="AE292" s="6">
        <f ca="1">$K$292*$Y$292</f>
        <v>9809.64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33</v>
      </c>
      <c r="C293" s="4" t="s">
        <v>34</v>
      </c>
      <c r="D293" s="4" t="s">
        <v>43</v>
      </c>
      <c r="E293" s="4" t="s">
        <v>25</v>
      </c>
      <c r="F293" s="4" t="s">
        <v>25</v>
      </c>
      <c r="G293" s="4" t="s">
        <v>25</v>
      </c>
      <c r="H293" s="4" t="s">
        <v>37</v>
      </c>
      <c r="I293" s="5">
        <v>44348</v>
      </c>
      <c r="J293" s="6">
        <v>0</v>
      </c>
      <c r="K293" s="6">
        <v>0</v>
      </c>
      <c r="L293" s="6">
        <v>66.244</v>
      </c>
      <c r="M293" s="6">
        <v>66.244</v>
      </c>
      <c r="N293" s="6">
        <v>66.244</v>
      </c>
      <c r="O293" s="6">
        <v>66.244</v>
      </c>
      <c r="P293" s="6">
        <v>0</v>
      </c>
      <c r="Q293" s="4" t="s">
        <v>26</v>
      </c>
      <c r="R293" s="4">
        <v>0</v>
      </c>
      <c r="S293" s="6">
        <v>0</v>
      </c>
      <c r="T293" s="6">
        <v>19</v>
      </c>
      <c r="U293" s="6">
        <v>65</v>
      </c>
      <c r="V293" s="6">
        <f>IF(ISERROR(VLOOKUP($S$293,'TAR FIN'!$A$1:$O$103,15,0)),0,VLOOKUP($S$293,'TAR FIN'!$A$1:$O$103,15,0))</f>
        <v>0</v>
      </c>
      <c r="W293" s="6">
        <f>IF(ISERROR(VLOOKUP($T$293,'TAR FIN'!$A$1:$O$103,15,0)),0,VLOOKUP($T$293,'TAR FIN'!$A$1:$O$103,15,0))</f>
        <v>842.31</v>
      </c>
      <c r="X293" s="6">
        <f>IF(ISERROR(VLOOKUP($U$293,'TAR FIN'!$A$1:$O$103,15,0)),0,VLOOKUP($U$293,'TAR FIN'!$A$1:$O$103,15,0))</f>
        <v>454.9</v>
      </c>
      <c r="Y293" s="6"/>
      <c r="Z293" s="6">
        <f ca="1">('TUSD BE'!$AM$21+'TUSD BF_350'!$AM$21+'TUSD CVA'!$AM$21)*1</f>
        <v>1027.46</v>
      </c>
      <c r="AA293" s="6">
        <f ca="1">('TE BE'!$AB$8+'TE BF_350'!$AB$8+'TE CVA'!$AB$8)*1</f>
        <v>388.08000000000004</v>
      </c>
      <c r="AB293" s="6">
        <f>$K$293*$V$293</f>
        <v>0</v>
      </c>
      <c r="AC293" s="6">
        <f>$M$293*$W$293</f>
        <v>55797.983639999999</v>
      </c>
      <c r="AD293" s="6">
        <f>$O$293*$X$293</f>
        <v>30134.3956</v>
      </c>
      <c r="AE293" s="6">
        <f>$K$293*$Y$293</f>
        <v>0</v>
      </c>
      <c r="AF293" s="6">
        <f ca="1">$M$293*$Z$293</f>
        <v>68063.060240000006</v>
      </c>
      <c r="AG293" s="6">
        <f ca="1">$O$293*$AA$293</f>
        <v>25707.971520000003</v>
      </c>
    </row>
    <row r="294" spans="1:33" ht="11.25" customHeight="1" x14ac:dyDescent="0.25">
      <c r="A294" s="4" t="s">
        <v>21</v>
      </c>
      <c r="B294" s="4" t="s">
        <v>33</v>
      </c>
      <c r="C294" s="4" t="s">
        <v>34</v>
      </c>
      <c r="D294" s="4" t="s">
        <v>43</v>
      </c>
      <c r="E294" s="4" t="s">
        <v>25</v>
      </c>
      <c r="F294" s="4" t="s">
        <v>25</v>
      </c>
      <c r="G294" s="4" t="s">
        <v>25</v>
      </c>
      <c r="H294" s="4" t="s">
        <v>37</v>
      </c>
      <c r="I294" s="5">
        <v>44378</v>
      </c>
      <c r="J294" s="6">
        <v>0</v>
      </c>
      <c r="K294" s="6">
        <v>0</v>
      </c>
      <c r="L294" s="6">
        <v>71.768000000000001</v>
      </c>
      <c r="M294" s="6">
        <v>71.768000000000001</v>
      </c>
      <c r="N294" s="6">
        <v>71.768000000000001</v>
      </c>
      <c r="O294" s="6">
        <v>71.768000000000001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19</v>
      </c>
      <c r="U294" s="6">
        <v>65</v>
      </c>
      <c r="V294" s="6">
        <f>IF(ISERROR(VLOOKUP($S$294,'TAR FIN'!$A$1:$O$103,15,0)),0,VLOOKUP($S$294,'TAR FIN'!$A$1:$O$103,15,0))</f>
        <v>0</v>
      </c>
      <c r="W294" s="6">
        <f>IF(ISERROR(VLOOKUP($T$294,'TAR FIN'!$A$1:$O$103,15,0)),0,VLOOKUP($T$294,'TAR FIN'!$A$1:$O$103,15,0))</f>
        <v>842.31</v>
      </c>
      <c r="X294" s="6">
        <f>IF(ISERROR(VLOOKUP($U$294,'TAR FIN'!$A$1:$O$103,15,0)),0,VLOOKUP($U$294,'TAR FIN'!$A$1:$O$103,15,0))</f>
        <v>454.9</v>
      </c>
      <c r="Y294" s="6"/>
      <c r="Z294" s="6">
        <f ca="1">('TUSD BE'!$AM$21+'TUSD BF_350'!$AM$21+'TUSD CVA'!$AM$21)*1</f>
        <v>1027.46</v>
      </c>
      <c r="AA294" s="6">
        <f ca="1">('TE BE'!$AB$8+'TE BF_350'!$AB$8+'TE CVA'!$AB$8)*1</f>
        <v>388.08000000000004</v>
      </c>
      <c r="AB294" s="6">
        <f>$K$294*$V$294</f>
        <v>0</v>
      </c>
      <c r="AC294" s="6">
        <f>$M$294*$W$294</f>
        <v>60450.90408</v>
      </c>
      <c r="AD294" s="6">
        <f>$O$294*$X$294</f>
        <v>32647.263199999998</v>
      </c>
      <c r="AE294" s="6">
        <f>$K$294*$Y$294</f>
        <v>0</v>
      </c>
      <c r="AF294" s="6">
        <f ca="1">$M$294*$Z$294</f>
        <v>73738.749280000004</v>
      </c>
      <c r="AG294" s="6">
        <f ca="1">$O$294*$AA$294</f>
        <v>27851.725440000002</v>
      </c>
    </row>
    <row r="295" spans="1:33" ht="11.25" customHeight="1" x14ac:dyDescent="0.25">
      <c r="A295" s="4" t="s">
        <v>28</v>
      </c>
      <c r="B295" s="4" t="s">
        <v>33</v>
      </c>
      <c r="C295" s="4" t="s">
        <v>34</v>
      </c>
      <c r="D295" s="4" t="s">
        <v>43</v>
      </c>
      <c r="E295" s="4" t="s">
        <v>25</v>
      </c>
      <c r="F295" s="4" t="s">
        <v>25</v>
      </c>
      <c r="G295" s="4" t="s">
        <v>25</v>
      </c>
      <c r="H295" s="4" t="s">
        <v>37</v>
      </c>
      <c r="I295" s="5">
        <v>44378</v>
      </c>
      <c r="J295" s="6">
        <v>0</v>
      </c>
      <c r="K295" s="6">
        <v>0</v>
      </c>
      <c r="L295" s="6">
        <v>0.20300000000000001</v>
      </c>
      <c r="M295" s="6">
        <v>0.20300000000000001</v>
      </c>
      <c r="N295" s="6">
        <v>0.20300000000000001</v>
      </c>
      <c r="O295" s="6">
        <v>0.20300000000000001</v>
      </c>
      <c r="P295" s="6">
        <v>0</v>
      </c>
      <c r="Q295" s="4" t="s">
        <v>26</v>
      </c>
      <c r="R295" s="4">
        <v>0</v>
      </c>
      <c r="S295" s="6">
        <v>0</v>
      </c>
      <c r="T295" s="6">
        <v>19</v>
      </c>
      <c r="U295" s="6">
        <v>65</v>
      </c>
      <c r="V295" s="6">
        <f>IF(ISERROR(VLOOKUP($S$295,'TAR FIN'!$A$1:$O$103,15,0)),0,VLOOKUP($S$295,'TAR FIN'!$A$1:$O$103,15,0))</f>
        <v>0</v>
      </c>
      <c r="W295" s="6">
        <f>IF(ISERROR(VLOOKUP($T$295,'TAR FIN'!$A$1:$O$103,15,0)),0,VLOOKUP($T$295,'TAR FIN'!$A$1:$O$103,15,0))</f>
        <v>842.31</v>
      </c>
      <c r="X295" s="6">
        <f>IF(ISERROR(VLOOKUP($U$295,'TAR FIN'!$A$1:$O$103,15,0)),0,VLOOKUP($U$295,'TAR FIN'!$A$1:$O$103,15,0))</f>
        <v>454.9</v>
      </c>
      <c r="Y295" s="6"/>
      <c r="Z295" s="6">
        <f ca="1">('TUSD BE'!$AM$21+'TUSD BF_350'!$AM$21+'TUSD CVA'!$AM$21)*1</f>
        <v>1027.46</v>
      </c>
      <c r="AA295" s="6">
        <f ca="1">('TE BE'!$AB$8+'TE BF_350'!$AB$8+'TE CVA'!$AB$8)*1</f>
        <v>388.08000000000004</v>
      </c>
      <c r="AB295" s="6">
        <f>$K$295*$V$295</f>
        <v>0</v>
      </c>
      <c r="AC295" s="6">
        <f>$M$295*$W$295</f>
        <v>170.98893000000001</v>
      </c>
      <c r="AD295" s="6">
        <f>$O$295*$X$295</f>
        <v>92.344700000000003</v>
      </c>
      <c r="AE295" s="6">
        <f>$K$295*$Y$295</f>
        <v>0</v>
      </c>
      <c r="AF295" s="6">
        <f ca="1">$M$295*$Z$295</f>
        <v>208.57438000000002</v>
      </c>
      <c r="AG295" s="6">
        <f ca="1">$O$295*$AA$295</f>
        <v>78.78024000000002</v>
      </c>
    </row>
    <row r="296" spans="1:33" ht="11.25" customHeight="1" x14ac:dyDescent="0.25">
      <c r="A296" s="4" t="s">
        <v>21</v>
      </c>
      <c r="B296" s="4" t="s">
        <v>33</v>
      </c>
      <c r="C296" s="4" t="s">
        <v>34</v>
      </c>
      <c r="D296" s="4" t="s">
        <v>43</v>
      </c>
      <c r="E296" s="4" t="s">
        <v>25</v>
      </c>
      <c r="F296" s="4" t="s">
        <v>25</v>
      </c>
      <c r="G296" s="4" t="s">
        <v>25</v>
      </c>
      <c r="H296" s="4" t="s">
        <v>37</v>
      </c>
      <c r="I296" s="5">
        <v>44409</v>
      </c>
      <c r="J296" s="6">
        <v>0</v>
      </c>
      <c r="K296" s="6">
        <v>0</v>
      </c>
      <c r="L296" s="6">
        <v>71.180999999999997</v>
      </c>
      <c r="M296" s="6">
        <v>71.180999999999997</v>
      </c>
      <c r="N296" s="6">
        <v>71.180999999999997</v>
      </c>
      <c r="O296" s="6">
        <v>71.180999999999997</v>
      </c>
      <c r="P296" s="6">
        <v>0</v>
      </c>
      <c r="Q296" s="4" t="s">
        <v>26</v>
      </c>
      <c r="R296" s="4">
        <v>0</v>
      </c>
      <c r="S296" s="6">
        <v>0</v>
      </c>
      <c r="T296" s="6">
        <v>19</v>
      </c>
      <c r="U296" s="6">
        <v>65</v>
      </c>
      <c r="V296" s="6">
        <f>IF(ISERROR(VLOOKUP($S$296,'TAR FIN'!$A$1:$O$103,15,0)),0,VLOOKUP($S$296,'TAR FIN'!$A$1:$O$103,15,0))</f>
        <v>0</v>
      </c>
      <c r="W296" s="6">
        <f>IF(ISERROR(VLOOKUP($T$296,'TAR FIN'!$A$1:$O$103,15,0)),0,VLOOKUP($T$296,'TAR FIN'!$A$1:$O$103,15,0))</f>
        <v>842.31</v>
      </c>
      <c r="X296" s="6">
        <f>IF(ISERROR(VLOOKUP($U$296,'TAR FIN'!$A$1:$O$103,15,0)),0,VLOOKUP($U$296,'TAR FIN'!$A$1:$O$103,15,0))</f>
        <v>454.9</v>
      </c>
      <c r="Y296" s="6"/>
      <c r="Z296" s="6">
        <f ca="1">('TUSD BE'!$AM$21+'TUSD BF_350'!$AM$21+'TUSD CVA'!$AM$21)*1</f>
        <v>1027.46</v>
      </c>
      <c r="AA296" s="6">
        <f ca="1">('TE BE'!$AB$8+'TE BF_350'!$AB$8+'TE CVA'!$AB$8)*1</f>
        <v>388.08000000000004</v>
      </c>
      <c r="AB296" s="6">
        <f>$K$296*$V$296</f>
        <v>0</v>
      </c>
      <c r="AC296" s="6">
        <f>$M$296*$W$296</f>
        <v>59956.468109999994</v>
      </c>
      <c r="AD296" s="6">
        <f>$O$296*$X$296</f>
        <v>32380.236899999996</v>
      </c>
      <c r="AE296" s="6">
        <f>$K$296*$Y$296</f>
        <v>0</v>
      </c>
      <c r="AF296" s="6">
        <f ca="1">$M$296*$Z$296</f>
        <v>73135.630260000005</v>
      </c>
      <c r="AG296" s="6">
        <f ca="1">$O$296*$AA$296</f>
        <v>27623.922480000001</v>
      </c>
    </row>
    <row r="297" spans="1:33" ht="11.25" customHeight="1" x14ac:dyDescent="0.25">
      <c r="A297" s="4" t="s">
        <v>28</v>
      </c>
      <c r="B297" s="4" t="s">
        <v>33</v>
      </c>
      <c r="C297" s="4" t="s">
        <v>34</v>
      </c>
      <c r="D297" s="4" t="s">
        <v>43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44409</v>
      </c>
      <c r="J297" s="6">
        <v>0</v>
      </c>
      <c r="K297" s="6">
        <v>0</v>
      </c>
      <c r="L297" s="6">
        <v>0.98799999999999999</v>
      </c>
      <c r="M297" s="6">
        <v>0.98799999999999999</v>
      </c>
      <c r="N297" s="6">
        <v>0.98799999999999999</v>
      </c>
      <c r="O297" s="6">
        <v>0.98799999999999999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19</v>
      </c>
      <c r="U297" s="6">
        <v>65</v>
      </c>
      <c r="V297" s="6">
        <f>IF(ISERROR(VLOOKUP($S$297,'TAR FIN'!$A$1:$O$103,15,0)),0,VLOOKUP($S$297,'TAR FIN'!$A$1:$O$103,15,0))</f>
        <v>0</v>
      </c>
      <c r="W297" s="6">
        <f>IF(ISERROR(VLOOKUP($T$297,'TAR FIN'!$A$1:$O$103,15,0)),0,VLOOKUP($T$297,'TAR FIN'!$A$1:$O$103,15,0))</f>
        <v>842.31</v>
      </c>
      <c r="X297" s="6">
        <f>IF(ISERROR(VLOOKUP($U$297,'TAR FIN'!$A$1:$O$103,15,0)),0,VLOOKUP($U$297,'TAR FIN'!$A$1:$O$103,15,0))</f>
        <v>454.9</v>
      </c>
      <c r="Y297" s="6"/>
      <c r="Z297" s="6">
        <f ca="1">('TUSD BE'!$AM$21+'TUSD BF_350'!$AM$21+'TUSD CVA'!$AM$21)*1</f>
        <v>1027.46</v>
      </c>
      <c r="AA297" s="6">
        <f ca="1">('TE BE'!$AB$8+'TE BF_350'!$AB$8+'TE CVA'!$AB$8)*1</f>
        <v>388.08000000000004</v>
      </c>
      <c r="AB297" s="6">
        <f>$K$297*$V$297</f>
        <v>0</v>
      </c>
      <c r="AC297" s="6">
        <f>$M$297*$W$297</f>
        <v>832.20227999999997</v>
      </c>
      <c r="AD297" s="6">
        <f>$O$297*$X$297</f>
        <v>449.44119999999998</v>
      </c>
      <c r="AE297" s="6">
        <f>$K$297*$Y$297</f>
        <v>0</v>
      </c>
      <c r="AF297" s="6">
        <f ca="1">$M$297*$Z$297</f>
        <v>1015.13048</v>
      </c>
      <c r="AG297" s="6">
        <f ca="1">$O$297*$AA$297</f>
        <v>383.42304000000001</v>
      </c>
    </row>
    <row r="298" spans="1:33" ht="11.25" customHeight="1" x14ac:dyDescent="0.25">
      <c r="A298" s="4" t="s">
        <v>21</v>
      </c>
      <c r="B298" s="4" t="s">
        <v>33</v>
      </c>
      <c r="C298" s="4" t="s">
        <v>34</v>
      </c>
      <c r="D298" s="4" t="s">
        <v>43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44440</v>
      </c>
      <c r="J298" s="6">
        <v>0</v>
      </c>
      <c r="K298" s="6">
        <v>0</v>
      </c>
      <c r="L298" s="6">
        <v>73.046999999999997</v>
      </c>
      <c r="M298" s="6">
        <v>73.046999999999997</v>
      </c>
      <c r="N298" s="6">
        <v>73.046999999999997</v>
      </c>
      <c r="O298" s="6">
        <v>73.046999999999997</v>
      </c>
      <c r="P298" s="6">
        <v>0</v>
      </c>
      <c r="Q298" s="4" t="s">
        <v>26</v>
      </c>
      <c r="R298" s="4">
        <v>0</v>
      </c>
      <c r="S298" s="6">
        <v>0</v>
      </c>
      <c r="T298" s="6">
        <v>19</v>
      </c>
      <c r="U298" s="6">
        <v>65</v>
      </c>
      <c r="V298" s="6">
        <f>IF(ISERROR(VLOOKUP($S$298,'TAR FIN'!$A$1:$O$103,15,0)),0,VLOOKUP($S$298,'TAR FIN'!$A$1:$O$103,15,0))</f>
        <v>0</v>
      </c>
      <c r="W298" s="6">
        <f>IF(ISERROR(VLOOKUP($T$298,'TAR FIN'!$A$1:$O$103,15,0)),0,VLOOKUP($T$298,'TAR FIN'!$A$1:$O$103,15,0))</f>
        <v>842.31</v>
      </c>
      <c r="X298" s="6">
        <f>IF(ISERROR(VLOOKUP($U$298,'TAR FIN'!$A$1:$O$103,15,0)),0,VLOOKUP($U$298,'TAR FIN'!$A$1:$O$103,15,0))</f>
        <v>454.9</v>
      </c>
      <c r="Y298" s="6"/>
      <c r="Z298" s="6">
        <f ca="1">('TUSD BE'!$AM$21+'TUSD BF_350'!$AM$21+'TUSD CVA'!$AM$21)*1</f>
        <v>1027.46</v>
      </c>
      <c r="AA298" s="6">
        <f ca="1">('TE BE'!$AB$8+'TE BF_350'!$AB$8+'TE CVA'!$AB$8)*1</f>
        <v>388.08000000000004</v>
      </c>
      <c r="AB298" s="6">
        <f>$K$298*$V$298</f>
        <v>0</v>
      </c>
      <c r="AC298" s="6">
        <f>$M$298*$W$298</f>
        <v>61528.21856999999</v>
      </c>
      <c r="AD298" s="6">
        <f>$O$298*$X$298</f>
        <v>33229.080299999994</v>
      </c>
      <c r="AE298" s="6">
        <f>$K$298*$Y$298</f>
        <v>0</v>
      </c>
      <c r="AF298" s="6">
        <f ca="1">$M$298*$Z$298</f>
        <v>75052.870620000002</v>
      </c>
      <c r="AG298" s="6">
        <f ca="1">$O$298*$AA$298</f>
        <v>28348.079760000001</v>
      </c>
    </row>
    <row r="299" spans="1:33" ht="11.25" customHeight="1" x14ac:dyDescent="0.25">
      <c r="A299" s="4" t="s">
        <v>27</v>
      </c>
      <c r="B299" s="4" t="s">
        <v>33</v>
      </c>
      <c r="C299" s="4" t="s">
        <v>34</v>
      </c>
      <c r="D299" s="4" t="s">
        <v>43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44440</v>
      </c>
      <c r="J299" s="6">
        <v>0</v>
      </c>
      <c r="K299" s="6">
        <v>0</v>
      </c>
      <c r="L299" s="6">
        <v>9.7200000000000006</v>
      </c>
      <c r="M299" s="6">
        <v>9.7200000000000006</v>
      </c>
      <c r="N299" s="6">
        <v>9.7200000000000006</v>
      </c>
      <c r="O299" s="6">
        <v>9.7200000000000006</v>
      </c>
      <c r="P299" s="6">
        <v>0</v>
      </c>
      <c r="Q299" s="4" t="s">
        <v>26</v>
      </c>
      <c r="R299" s="4">
        <v>0</v>
      </c>
      <c r="S299" s="6">
        <v>0</v>
      </c>
      <c r="T299" s="6">
        <v>19</v>
      </c>
      <c r="U299" s="6">
        <v>65</v>
      </c>
      <c r="V299" s="6">
        <f>IF(ISERROR(VLOOKUP($S$299,'TAR FIN'!$A$1:$O$103,15,0)),0,VLOOKUP($S$299,'TAR FIN'!$A$1:$O$103,15,0))</f>
        <v>0</v>
      </c>
      <c r="W299" s="6">
        <f>IF(ISERROR(VLOOKUP($T$299,'TAR FIN'!$A$1:$O$103,15,0)),0,VLOOKUP($T$299,'TAR FIN'!$A$1:$O$103,15,0))</f>
        <v>842.31</v>
      </c>
      <c r="X299" s="6">
        <f>IF(ISERROR(VLOOKUP($U$299,'TAR FIN'!$A$1:$O$103,15,0)),0,VLOOKUP($U$299,'TAR FIN'!$A$1:$O$103,15,0))</f>
        <v>454.9</v>
      </c>
      <c r="Y299" s="6"/>
      <c r="Z299" s="6">
        <f ca="1">('TUSD BE'!$AM$21+'TUSD BF_350'!$AM$21+'TUSD CVA'!$AM$21)*1</f>
        <v>1027.46</v>
      </c>
      <c r="AA299" s="6">
        <f ca="1">('TE BE'!$AB$8+'TE BF_350'!$AB$8+'TE CVA'!$AB$8)*1</f>
        <v>388.08000000000004</v>
      </c>
      <c r="AB299" s="6">
        <f>$K$299*$V$299</f>
        <v>0</v>
      </c>
      <c r="AC299" s="6">
        <f>$M$299*$W$299</f>
        <v>8187.2532000000001</v>
      </c>
      <c r="AD299" s="6">
        <f>$O$299*$X$299</f>
        <v>4421.6279999999997</v>
      </c>
      <c r="AE299" s="6">
        <f>$K$299*$Y$299</f>
        <v>0</v>
      </c>
      <c r="AF299" s="6">
        <f ca="1">$M$299*$Z$299</f>
        <v>9986.9112000000005</v>
      </c>
      <c r="AG299" s="6">
        <f ca="1">$O$299*$AA$299</f>
        <v>3772.1376000000005</v>
      </c>
    </row>
    <row r="300" spans="1:33" ht="11.25" customHeight="1" x14ac:dyDescent="0.25">
      <c r="A300" s="4" t="s">
        <v>28</v>
      </c>
      <c r="B300" s="4" t="s">
        <v>33</v>
      </c>
      <c r="C300" s="4" t="s">
        <v>34</v>
      </c>
      <c r="D300" s="4" t="s">
        <v>43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44440</v>
      </c>
      <c r="J300" s="6">
        <v>0</v>
      </c>
      <c r="K300" s="6">
        <v>0</v>
      </c>
      <c r="L300" s="6">
        <v>1.278</v>
      </c>
      <c r="M300" s="6">
        <v>1.278</v>
      </c>
      <c r="N300" s="6">
        <v>1.278</v>
      </c>
      <c r="O300" s="6">
        <v>1.278</v>
      </c>
      <c r="P300" s="6">
        <v>0</v>
      </c>
      <c r="Q300" s="4" t="s">
        <v>26</v>
      </c>
      <c r="R300" s="4">
        <v>0</v>
      </c>
      <c r="S300" s="6">
        <v>0</v>
      </c>
      <c r="T300" s="6">
        <v>19</v>
      </c>
      <c r="U300" s="6">
        <v>65</v>
      </c>
      <c r="V300" s="6">
        <f>IF(ISERROR(VLOOKUP($S$300,'TAR FIN'!$A$1:$O$103,15,0)),0,VLOOKUP($S$300,'TAR FIN'!$A$1:$O$103,15,0))</f>
        <v>0</v>
      </c>
      <c r="W300" s="6">
        <f>IF(ISERROR(VLOOKUP($T$300,'TAR FIN'!$A$1:$O$103,15,0)),0,VLOOKUP($T$300,'TAR FIN'!$A$1:$O$103,15,0))</f>
        <v>842.31</v>
      </c>
      <c r="X300" s="6">
        <f>IF(ISERROR(VLOOKUP($U$300,'TAR FIN'!$A$1:$O$103,15,0)),0,VLOOKUP($U$300,'TAR FIN'!$A$1:$O$103,15,0))</f>
        <v>454.9</v>
      </c>
      <c r="Y300" s="6"/>
      <c r="Z300" s="6">
        <f ca="1">('TUSD BE'!$AM$21+'TUSD BF_350'!$AM$21+'TUSD CVA'!$AM$21)*1</f>
        <v>1027.46</v>
      </c>
      <c r="AA300" s="6">
        <f ca="1">('TE BE'!$AB$8+'TE BF_350'!$AB$8+'TE CVA'!$AB$8)*1</f>
        <v>388.08000000000004</v>
      </c>
      <c r="AB300" s="6">
        <f>$K$300*$V$300</f>
        <v>0</v>
      </c>
      <c r="AC300" s="6">
        <f>$M$300*$W$300</f>
        <v>1076.47218</v>
      </c>
      <c r="AD300" s="6">
        <f>$O$300*$X$300</f>
        <v>581.36220000000003</v>
      </c>
      <c r="AE300" s="6">
        <f>$K$300*$Y$300</f>
        <v>0</v>
      </c>
      <c r="AF300" s="6">
        <f ca="1">$M$300*$Z$300</f>
        <v>1313.0938800000001</v>
      </c>
      <c r="AG300" s="6">
        <f ca="1">$O$300*$AA$300</f>
        <v>495.96624000000008</v>
      </c>
    </row>
    <row r="301" spans="1:33" ht="11.25" customHeight="1" x14ac:dyDescent="0.25">
      <c r="A301" s="4" t="s">
        <v>21</v>
      </c>
      <c r="B301" s="4" t="s">
        <v>33</v>
      </c>
      <c r="C301" s="4" t="s">
        <v>34</v>
      </c>
      <c r="D301" s="4" t="s">
        <v>43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44470</v>
      </c>
      <c r="J301" s="6">
        <v>0</v>
      </c>
      <c r="K301" s="6">
        <v>0</v>
      </c>
      <c r="L301" s="6">
        <v>73.611999999999995</v>
      </c>
      <c r="M301" s="6">
        <v>73.611999999999995</v>
      </c>
      <c r="N301" s="6">
        <v>73.611999999999995</v>
      </c>
      <c r="O301" s="6">
        <v>73.611999999999995</v>
      </c>
      <c r="P301" s="6">
        <v>0</v>
      </c>
      <c r="Q301" s="4" t="s">
        <v>26</v>
      </c>
      <c r="R301" s="4">
        <v>0</v>
      </c>
      <c r="S301" s="6">
        <v>0</v>
      </c>
      <c r="T301" s="6">
        <v>19</v>
      </c>
      <c r="U301" s="6">
        <v>65</v>
      </c>
      <c r="V301" s="6">
        <f>IF(ISERROR(VLOOKUP($S$301,'TAR FIN'!$A$1:$O$103,15,0)),0,VLOOKUP($S$301,'TAR FIN'!$A$1:$O$103,15,0))</f>
        <v>0</v>
      </c>
      <c r="W301" s="6">
        <f>IF(ISERROR(VLOOKUP($T$301,'TAR FIN'!$A$1:$O$103,15,0)),0,VLOOKUP($T$301,'TAR FIN'!$A$1:$O$103,15,0))</f>
        <v>842.31</v>
      </c>
      <c r="X301" s="6">
        <f>IF(ISERROR(VLOOKUP($U$301,'TAR FIN'!$A$1:$O$103,15,0)),0,VLOOKUP($U$301,'TAR FIN'!$A$1:$O$103,15,0))</f>
        <v>454.9</v>
      </c>
      <c r="Y301" s="6"/>
      <c r="Z301" s="6">
        <f ca="1">('TUSD BE'!$AM$21+'TUSD BF_350'!$AM$21+'TUSD CVA'!$AM$21)*1</f>
        <v>1027.46</v>
      </c>
      <c r="AA301" s="6">
        <f ca="1">('TE BE'!$AB$8+'TE BF_350'!$AB$8+'TE CVA'!$AB$8)*1</f>
        <v>388.08000000000004</v>
      </c>
      <c r="AB301" s="6">
        <f>$K$301*$V$301</f>
        <v>0</v>
      </c>
      <c r="AC301" s="6">
        <f>$M$301*$W$301</f>
        <v>62004.123719999989</v>
      </c>
      <c r="AD301" s="6">
        <f>$O$301*$X$301</f>
        <v>33486.098799999992</v>
      </c>
      <c r="AE301" s="6">
        <f>$K$301*$Y$301</f>
        <v>0</v>
      </c>
      <c r="AF301" s="6">
        <f ca="1">$M$301*$Z$301</f>
        <v>75633.385519999996</v>
      </c>
      <c r="AG301" s="6">
        <f ca="1">$O$301*$AA$301</f>
        <v>28567.344960000002</v>
      </c>
    </row>
    <row r="302" spans="1:33" ht="11.25" customHeight="1" x14ac:dyDescent="0.25">
      <c r="A302" s="4" t="s">
        <v>28</v>
      </c>
      <c r="B302" s="4" t="s">
        <v>33</v>
      </c>
      <c r="C302" s="4" t="s">
        <v>34</v>
      </c>
      <c r="D302" s="4" t="s">
        <v>43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44470</v>
      </c>
      <c r="J302" s="6">
        <v>0</v>
      </c>
      <c r="K302" s="6">
        <v>0</v>
      </c>
      <c r="L302" s="6">
        <v>1.07</v>
      </c>
      <c r="M302" s="6">
        <v>1.07</v>
      </c>
      <c r="N302" s="6">
        <v>1.07</v>
      </c>
      <c r="O302" s="6">
        <v>1.07</v>
      </c>
      <c r="P302" s="6">
        <v>0</v>
      </c>
      <c r="Q302" s="4" t="s">
        <v>26</v>
      </c>
      <c r="R302" s="4">
        <v>0</v>
      </c>
      <c r="S302" s="6">
        <v>0</v>
      </c>
      <c r="T302" s="6">
        <v>19</v>
      </c>
      <c r="U302" s="6">
        <v>65</v>
      </c>
      <c r="V302" s="6">
        <f>IF(ISERROR(VLOOKUP($S$302,'TAR FIN'!$A$1:$O$103,15,0)),0,VLOOKUP($S$302,'TAR FIN'!$A$1:$O$103,15,0))</f>
        <v>0</v>
      </c>
      <c r="W302" s="6">
        <f>IF(ISERROR(VLOOKUP($T$302,'TAR FIN'!$A$1:$O$103,15,0)),0,VLOOKUP($T$302,'TAR FIN'!$A$1:$O$103,15,0))</f>
        <v>842.31</v>
      </c>
      <c r="X302" s="6">
        <f>IF(ISERROR(VLOOKUP($U$302,'TAR FIN'!$A$1:$O$103,15,0)),0,VLOOKUP($U$302,'TAR FIN'!$A$1:$O$103,15,0))</f>
        <v>454.9</v>
      </c>
      <c r="Y302" s="6"/>
      <c r="Z302" s="6">
        <f ca="1">('TUSD BE'!$AM$21+'TUSD BF_350'!$AM$21+'TUSD CVA'!$AM$21)*1</f>
        <v>1027.46</v>
      </c>
      <c r="AA302" s="6">
        <f ca="1">('TE BE'!$AB$8+'TE BF_350'!$AB$8+'TE CVA'!$AB$8)*1</f>
        <v>388.08000000000004</v>
      </c>
      <c r="AB302" s="6">
        <f>$K$302*$V$302</f>
        <v>0</v>
      </c>
      <c r="AC302" s="6">
        <f>$M$302*$W$302</f>
        <v>901.27170000000001</v>
      </c>
      <c r="AD302" s="6">
        <f>$O$302*$X$302</f>
        <v>486.74299999999999</v>
      </c>
      <c r="AE302" s="6">
        <f>$K$302*$Y$302</f>
        <v>0</v>
      </c>
      <c r="AF302" s="6">
        <f ca="1">$M$302*$Z$302</f>
        <v>1099.3822</v>
      </c>
      <c r="AG302" s="6">
        <f ca="1">$O$302*$AA$302</f>
        <v>415.24560000000008</v>
      </c>
    </row>
    <row r="303" spans="1:33" ht="11.25" customHeight="1" x14ac:dyDescent="0.25">
      <c r="A303" s="4" t="s">
        <v>21</v>
      </c>
      <c r="B303" s="4" t="s">
        <v>33</v>
      </c>
      <c r="C303" s="4" t="s">
        <v>34</v>
      </c>
      <c r="D303" s="4" t="s">
        <v>43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44501</v>
      </c>
      <c r="J303" s="6">
        <v>0</v>
      </c>
      <c r="K303" s="6">
        <v>0</v>
      </c>
      <c r="L303" s="6">
        <v>97.316000000000003</v>
      </c>
      <c r="M303" s="6">
        <v>97.316000000000003</v>
      </c>
      <c r="N303" s="6">
        <v>97.316000000000003</v>
      </c>
      <c r="O303" s="6">
        <v>97.316000000000003</v>
      </c>
      <c r="P303" s="6">
        <v>0</v>
      </c>
      <c r="Q303" s="4" t="s">
        <v>26</v>
      </c>
      <c r="R303" s="4">
        <v>0</v>
      </c>
      <c r="S303" s="6">
        <v>0</v>
      </c>
      <c r="T303" s="6">
        <v>19</v>
      </c>
      <c r="U303" s="6">
        <v>65</v>
      </c>
      <c r="V303" s="6">
        <f>IF(ISERROR(VLOOKUP($S$303,'TAR FIN'!$A$1:$O$103,15,0)),0,VLOOKUP($S$303,'TAR FIN'!$A$1:$O$103,15,0))</f>
        <v>0</v>
      </c>
      <c r="W303" s="6">
        <f>IF(ISERROR(VLOOKUP($T$303,'TAR FIN'!$A$1:$O$103,15,0)),0,VLOOKUP($T$303,'TAR FIN'!$A$1:$O$103,15,0))</f>
        <v>842.31</v>
      </c>
      <c r="X303" s="6">
        <f>IF(ISERROR(VLOOKUP($U$303,'TAR FIN'!$A$1:$O$103,15,0)),0,VLOOKUP($U$303,'TAR FIN'!$A$1:$O$103,15,0))</f>
        <v>454.9</v>
      </c>
      <c r="Y303" s="6"/>
      <c r="Z303" s="6">
        <f ca="1">('TUSD BE'!$AM$21+'TUSD BF_350'!$AM$21+'TUSD CVA'!$AM$21)*1</f>
        <v>1027.46</v>
      </c>
      <c r="AA303" s="6">
        <f ca="1">('TE BE'!$AB$8+'TE BF_350'!$AB$8+'TE CVA'!$AB$8)*1</f>
        <v>388.08000000000004</v>
      </c>
      <c r="AB303" s="6">
        <f>$K$303*$V$303</f>
        <v>0</v>
      </c>
      <c r="AC303" s="6">
        <f>$M$303*$W$303</f>
        <v>81970.239959999992</v>
      </c>
      <c r="AD303" s="6">
        <f>$O$303*$X$303</f>
        <v>44269.0484</v>
      </c>
      <c r="AE303" s="6">
        <f>$K$303*$Y$303</f>
        <v>0</v>
      </c>
      <c r="AF303" s="6">
        <f ca="1">$M$303*$Z$303</f>
        <v>99988.297360000011</v>
      </c>
      <c r="AG303" s="6">
        <f ca="1">$O$303*$AA$303</f>
        <v>37766.393280000004</v>
      </c>
    </row>
    <row r="304" spans="1:33" ht="11.25" customHeight="1" x14ac:dyDescent="0.25">
      <c r="A304" s="4" t="s">
        <v>21</v>
      </c>
      <c r="B304" s="4" t="s">
        <v>33</v>
      </c>
      <c r="C304" s="4" t="s">
        <v>34</v>
      </c>
      <c r="D304" s="4" t="s">
        <v>43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44531</v>
      </c>
      <c r="J304" s="6">
        <v>0</v>
      </c>
      <c r="K304" s="6">
        <v>0</v>
      </c>
      <c r="L304" s="6">
        <v>83.456999999999994</v>
      </c>
      <c r="M304" s="6">
        <v>83.456999999999994</v>
      </c>
      <c r="N304" s="6">
        <v>83.456999999999994</v>
      </c>
      <c r="O304" s="6">
        <v>83.456999999999994</v>
      </c>
      <c r="P304" s="6">
        <v>0</v>
      </c>
      <c r="Q304" s="4" t="s">
        <v>26</v>
      </c>
      <c r="R304" s="4">
        <v>0</v>
      </c>
      <c r="S304" s="6">
        <v>0</v>
      </c>
      <c r="T304" s="6">
        <v>19</v>
      </c>
      <c r="U304" s="6">
        <v>65</v>
      </c>
      <c r="V304" s="6">
        <f>IF(ISERROR(VLOOKUP($S$304,'TAR FIN'!$A$1:$O$103,15,0)),0,VLOOKUP($S$304,'TAR FIN'!$A$1:$O$103,15,0))</f>
        <v>0</v>
      </c>
      <c r="W304" s="6">
        <f>IF(ISERROR(VLOOKUP($T$304,'TAR FIN'!$A$1:$O$103,15,0)),0,VLOOKUP($T$304,'TAR FIN'!$A$1:$O$103,15,0))</f>
        <v>842.31</v>
      </c>
      <c r="X304" s="6">
        <f>IF(ISERROR(VLOOKUP($U$304,'TAR FIN'!$A$1:$O$103,15,0)),0,VLOOKUP($U$304,'TAR FIN'!$A$1:$O$103,15,0))</f>
        <v>454.9</v>
      </c>
      <c r="Y304" s="6"/>
      <c r="Z304" s="6">
        <f ca="1">('TUSD BE'!$AM$21+'TUSD BF_350'!$AM$21+'TUSD CVA'!$AM$21)*1</f>
        <v>1027.46</v>
      </c>
      <c r="AA304" s="6">
        <f ca="1">('TE BE'!$AB$8+'TE BF_350'!$AB$8+'TE CVA'!$AB$8)*1</f>
        <v>388.08000000000004</v>
      </c>
      <c r="AB304" s="6">
        <f>$K$304*$V$304</f>
        <v>0</v>
      </c>
      <c r="AC304" s="6">
        <f>$M$304*$W$304</f>
        <v>70296.665669999988</v>
      </c>
      <c r="AD304" s="6">
        <f>$O$304*$X$304</f>
        <v>37964.589299999992</v>
      </c>
      <c r="AE304" s="6">
        <f>$K$304*$Y$304</f>
        <v>0</v>
      </c>
      <c r="AF304" s="6">
        <f ca="1">$M$304*$Z$304</f>
        <v>85748.729219999994</v>
      </c>
      <c r="AG304" s="6">
        <f ca="1">$O$304*$AA$304</f>
        <v>32387.992560000002</v>
      </c>
    </row>
    <row r="305" spans="1:33" ht="11.25" customHeight="1" x14ac:dyDescent="0.25">
      <c r="A305" s="4" t="s">
        <v>28</v>
      </c>
      <c r="B305" s="4" t="s">
        <v>33</v>
      </c>
      <c r="C305" s="4" t="s">
        <v>34</v>
      </c>
      <c r="D305" s="4" t="s">
        <v>43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44531</v>
      </c>
      <c r="J305" s="6">
        <v>0</v>
      </c>
      <c r="K305" s="6">
        <v>0</v>
      </c>
      <c r="L305" s="6">
        <v>15.183</v>
      </c>
      <c r="M305" s="6">
        <v>15.183</v>
      </c>
      <c r="N305" s="6">
        <v>15.183</v>
      </c>
      <c r="O305" s="6">
        <v>15.183</v>
      </c>
      <c r="P305" s="6">
        <v>0</v>
      </c>
      <c r="Q305" s="4" t="s">
        <v>26</v>
      </c>
      <c r="R305" s="4">
        <v>0</v>
      </c>
      <c r="S305" s="6">
        <v>0</v>
      </c>
      <c r="T305" s="6">
        <v>19</v>
      </c>
      <c r="U305" s="6">
        <v>65</v>
      </c>
      <c r="V305" s="6">
        <f>IF(ISERROR(VLOOKUP($S$305,'TAR FIN'!$A$1:$O$103,15,0)),0,VLOOKUP($S$305,'TAR FIN'!$A$1:$O$103,15,0))</f>
        <v>0</v>
      </c>
      <c r="W305" s="6">
        <f>IF(ISERROR(VLOOKUP($T$305,'TAR FIN'!$A$1:$O$103,15,0)),0,VLOOKUP($T$305,'TAR FIN'!$A$1:$O$103,15,0))</f>
        <v>842.31</v>
      </c>
      <c r="X305" s="6">
        <f>IF(ISERROR(VLOOKUP($U$305,'TAR FIN'!$A$1:$O$103,15,0)),0,VLOOKUP($U$305,'TAR FIN'!$A$1:$O$103,15,0))</f>
        <v>454.9</v>
      </c>
      <c r="Y305" s="6"/>
      <c r="Z305" s="6">
        <f ca="1">('TUSD BE'!$AM$21+'TUSD BF_350'!$AM$21+'TUSD CVA'!$AM$21)*1</f>
        <v>1027.46</v>
      </c>
      <c r="AA305" s="6">
        <f ca="1">('TE BE'!$AB$8+'TE BF_350'!$AB$8+'TE CVA'!$AB$8)*1</f>
        <v>388.08000000000004</v>
      </c>
      <c r="AB305" s="6">
        <f>$K$305*$V$305</f>
        <v>0</v>
      </c>
      <c r="AC305" s="6">
        <f>$M$305*$W$305</f>
        <v>12788.792729999999</v>
      </c>
      <c r="AD305" s="6">
        <f>$O$305*$X$305</f>
        <v>6906.7466999999997</v>
      </c>
      <c r="AE305" s="6">
        <f>$K$305*$Y$305</f>
        <v>0</v>
      </c>
      <c r="AF305" s="6">
        <f ca="1">$M$305*$Z$305</f>
        <v>15599.92518</v>
      </c>
      <c r="AG305" s="6">
        <f ca="1">$O$305*$AA$305</f>
        <v>5892.218640000001</v>
      </c>
    </row>
    <row r="306" spans="1:33" ht="11.25" customHeight="1" x14ac:dyDescent="0.25">
      <c r="A306" s="4" t="s">
        <v>21</v>
      </c>
      <c r="B306" s="4" t="s">
        <v>33</v>
      </c>
      <c r="C306" s="4" t="s">
        <v>34</v>
      </c>
      <c r="D306" s="4" t="s">
        <v>43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44562</v>
      </c>
      <c r="J306" s="6">
        <v>0</v>
      </c>
      <c r="K306" s="6">
        <v>0</v>
      </c>
      <c r="L306" s="6">
        <v>80.004000000000005</v>
      </c>
      <c r="M306" s="6">
        <v>80.004000000000005</v>
      </c>
      <c r="N306" s="6">
        <v>80.004000000000005</v>
      </c>
      <c r="O306" s="6">
        <v>80.004000000000005</v>
      </c>
      <c r="P306" s="6">
        <v>0</v>
      </c>
      <c r="Q306" s="4" t="s">
        <v>26</v>
      </c>
      <c r="R306" s="4">
        <v>0</v>
      </c>
      <c r="S306" s="6">
        <v>0</v>
      </c>
      <c r="T306" s="6">
        <v>19</v>
      </c>
      <c r="U306" s="6">
        <v>65</v>
      </c>
      <c r="V306" s="6">
        <f>IF(ISERROR(VLOOKUP($S$306,'TAR FIN'!$A$1:$O$103,15,0)),0,VLOOKUP($S$306,'TAR FIN'!$A$1:$O$103,15,0))</f>
        <v>0</v>
      </c>
      <c r="W306" s="6">
        <f>IF(ISERROR(VLOOKUP($T$306,'TAR FIN'!$A$1:$O$103,15,0)),0,VLOOKUP($T$306,'TAR FIN'!$A$1:$O$103,15,0))</f>
        <v>842.31</v>
      </c>
      <c r="X306" s="6">
        <f>IF(ISERROR(VLOOKUP($U$306,'TAR FIN'!$A$1:$O$103,15,0)),0,VLOOKUP($U$306,'TAR FIN'!$A$1:$O$103,15,0))</f>
        <v>454.9</v>
      </c>
      <c r="Y306" s="6"/>
      <c r="Z306" s="6">
        <f ca="1">('TUSD BE'!$AM$21+'TUSD BF_350'!$AM$21+'TUSD CVA'!$AM$21)*1</f>
        <v>1027.46</v>
      </c>
      <c r="AA306" s="6">
        <f ca="1">('TE BE'!$AB$8+'TE BF_350'!$AB$8+'TE CVA'!$AB$8)*1</f>
        <v>388.08000000000004</v>
      </c>
      <c r="AB306" s="6">
        <f>$K$306*$V$306</f>
        <v>0</v>
      </c>
      <c r="AC306" s="6">
        <f>$M$306*$W$306</f>
        <v>67388.169240000003</v>
      </c>
      <c r="AD306" s="6">
        <f>$O$306*$X$306</f>
        <v>36393.819600000003</v>
      </c>
      <c r="AE306" s="6">
        <f>$K$306*$Y$306</f>
        <v>0</v>
      </c>
      <c r="AF306" s="6">
        <f ca="1">$M$306*$Z$306</f>
        <v>82200.909840000008</v>
      </c>
      <c r="AG306" s="6">
        <f ca="1">$O$306*$AA$306</f>
        <v>31047.952320000004</v>
      </c>
    </row>
    <row r="307" spans="1:33" ht="11.25" customHeight="1" x14ac:dyDescent="0.25">
      <c r="A307" s="4" t="s">
        <v>21</v>
      </c>
      <c r="B307" s="4" t="s">
        <v>33</v>
      </c>
      <c r="C307" s="4" t="s">
        <v>34</v>
      </c>
      <c r="D307" s="4" t="s">
        <v>43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44593</v>
      </c>
      <c r="J307" s="6">
        <v>0</v>
      </c>
      <c r="K307" s="6">
        <v>0</v>
      </c>
      <c r="L307" s="6">
        <v>75.513000000000005</v>
      </c>
      <c r="M307" s="6">
        <v>75.513000000000005</v>
      </c>
      <c r="N307" s="6">
        <v>75.513000000000005</v>
      </c>
      <c r="O307" s="6">
        <v>75.513000000000005</v>
      </c>
      <c r="P307" s="6">
        <v>0</v>
      </c>
      <c r="Q307" s="4" t="s">
        <v>26</v>
      </c>
      <c r="R307" s="4">
        <v>0</v>
      </c>
      <c r="S307" s="6">
        <v>0</v>
      </c>
      <c r="T307" s="6">
        <v>19</v>
      </c>
      <c r="U307" s="6">
        <v>65</v>
      </c>
      <c r="V307" s="6">
        <f>IF(ISERROR(VLOOKUP($S$307,'TAR FIN'!$A$1:$O$103,15,0)),0,VLOOKUP($S$307,'TAR FIN'!$A$1:$O$103,15,0))</f>
        <v>0</v>
      </c>
      <c r="W307" s="6">
        <f>IF(ISERROR(VLOOKUP($T$307,'TAR FIN'!$A$1:$O$103,15,0)),0,VLOOKUP($T$307,'TAR FIN'!$A$1:$O$103,15,0))</f>
        <v>842.31</v>
      </c>
      <c r="X307" s="6">
        <f>IF(ISERROR(VLOOKUP($U$307,'TAR FIN'!$A$1:$O$103,15,0)),0,VLOOKUP($U$307,'TAR FIN'!$A$1:$O$103,15,0))</f>
        <v>454.9</v>
      </c>
      <c r="Y307" s="6"/>
      <c r="Z307" s="6">
        <f ca="1">('TUSD BE'!$AM$21+'TUSD BF_350'!$AM$21+'TUSD CVA'!$AM$21)*1</f>
        <v>1027.46</v>
      </c>
      <c r="AA307" s="6">
        <f ca="1">('TE BE'!$AB$8+'TE BF_350'!$AB$8+'TE CVA'!$AB$8)*1</f>
        <v>388.08000000000004</v>
      </c>
      <c r="AB307" s="6">
        <f>$K$307*$V$307</f>
        <v>0</v>
      </c>
      <c r="AC307" s="6">
        <f>$M$307*$W$307</f>
        <v>63605.355029999999</v>
      </c>
      <c r="AD307" s="6">
        <f>$O$307*$X$307</f>
        <v>34350.863700000002</v>
      </c>
      <c r="AE307" s="6">
        <f>$K$307*$Y$307</f>
        <v>0</v>
      </c>
      <c r="AF307" s="6">
        <f ca="1">$M$307*$Z$307</f>
        <v>77586.586980000007</v>
      </c>
      <c r="AG307" s="6">
        <f ca="1">$O$307*$AA$307</f>
        <v>29305.085040000005</v>
      </c>
    </row>
    <row r="308" spans="1:33" ht="11.25" customHeight="1" x14ac:dyDescent="0.25">
      <c r="A308" s="4" t="s">
        <v>21</v>
      </c>
      <c r="B308" s="4" t="s">
        <v>33</v>
      </c>
      <c r="C308" s="4" t="s">
        <v>34</v>
      </c>
      <c r="D308" s="4" t="s">
        <v>43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44621</v>
      </c>
      <c r="J308" s="6">
        <v>0</v>
      </c>
      <c r="K308" s="6">
        <v>0</v>
      </c>
      <c r="L308" s="6">
        <v>81.575999999999993</v>
      </c>
      <c r="M308" s="6">
        <v>81.575999999999993</v>
      </c>
      <c r="N308" s="6">
        <v>81.575999999999993</v>
      </c>
      <c r="O308" s="6">
        <v>81.575999999999993</v>
      </c>
      <c r="P308" s="6">
        <v>0</v>
      </c>
      <c r="Q308" s="4" t="s">
        <v>26</v>
      </c>
      <c r="R308" s="4">
        <v>0</v>
      </c>
      <c r="S308" s="6">
        <v>0</v>
      </c>
      <c r="T308" s="6">
        <v>19</v>
      </c>
      <c r="U308" s="6">
        <v>65</v>
      </c>
      <c r="V308" s="6">
        <f>IF(ISERROR(VLOOKUP($S$308,'TAR FIN'!$A$1:$O$103,15,0)),0,VLOOKUP($S$308,'TAR FIN'!$A$1:$O$103,15,0))</f>
        <v>0</v>
      </c>
      <c r="W308" s="6">
        <f>IF(ISERROR(VLOOKUP($T$308,'TAR FIN'!$A$1:$O$103,15,0)),0,VLOOKUP($T$308,'TAR FIN'!$A$1:$O$103,15,0))</f>
        <v>842.31</v>
      </c>
      <c r="X308" s="6">
        <f>IF(ISERROR(VLOOKUP($U$308,'TAR FIN'!$A$1:$O$103,15,0)),0,VLOOKUP($U$308,'TAR FIN'!$A$1:$O$103,15,0))</f>
        <v>454.9</v>
      </c>
      <c r="Y308" s="6"/>
      <c r="Z308" s="6">
        <f ca="1">('TUSD BE'!$AM$21+'TUSD BF_350'!$AM$21+'TUSD CVA'!$AM$21)*1</f>
        <v>1027.46</v>
      </c>
      <c r="AA308" s="6">
        <f ca="1">('TE BE'!$AB$8+'TE BF_350'!$AB$8+'TE CVA'!$AB$8)*1</f>
        <v>388.08000000000004</v>
      </c>
      <c r="AB308" s="6">
        <f>$K$308*$V$308</f>
        <v>0</v>
      </c>
      <c r="AC308" s="6">
        <f>$M$308*$W$308</f>
        <v>68712.280559999985</v>
      </c>
      <c r="AD308" s="6">
        <f>$O$308*$X$308</f>
        <v>37108.922399999996</v>
      </c>
      <c r="AE308" s="6">
        <f>$K$308*$Y$308</f>
        <v>0</v>
      </c>
      <c r="AF308" s="6">
        <f ca="1">$M$308*$Z$308</f>
        <v>83816.076959999991</v>
      </c>
      <c r="AG308" s="6">
        <f ca="1">$O$308*$AA$308</f>
        <v>31658.014080000001</v>
      </c>
    </row>
    <row r="309" spans="1:33" ht="11.25" customHeight="1" x14ac:dyDescent="0.25">
      <c r="A309" s="4" t="s">
        <v>21</v>
      </c>
      <c r="B309" s="4" t="s">
        <v>33</v>
      </c>
      <c r="C309" s="4" t="s">
        <v>34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37</v>
      </c>
      <c r="I309" s="5">
        <v>44652</v>
      </c>
      <c r="J309" s="6">
        <v>0</v>
      </c>
      <c r="K309" s="6">
        <v>0</v>
      </c>
      <c r="L309" s="6">
        <v>63.951999999999998</v>
      </c>
      <c r="M309" s="6">
        <v>63.951999999999998</v>
      </c>
      <c r="N309" s="6">
        <v>63.951999999999998</v>
      </c>
      <c r="O309" s="6">
        <v>63.951999999999998</v>
      </c>
      <c r="P309" s="6">
        <v>0</v>
      </c>
      <c r="Q309" s="4" t="s">
        <v>26</v>
      </c>
      <c r="R309" s="4">
        <v>0</v>
      </c>
      <c r="S309" s="6">
        <v>0</v>
      </c>
      <c r="T309" s="6">
        <v>19</v>
      </c>
      <c r="U309" s="6">
        <v>65</v>
      </c>
      <c r="V309" s="6">
        <f>IF(ISERROR(VLOOKUP($S$309,'TAR FIN'!$A$1:$O$103,15,0)),0,VLOOKUP($S$309,'TAR FIN'!$A$1:$O$103,15,0))</f>
        <v>0</v>
      </c>
      <c r="W309" s="6">
        <f>IF(ISERROR(VLOOKUP($T$309,'TAR FIN'!$A$1:$O$103,15,0)),0,VLOOKUP($T$309,'TAR FIN'!$A$1:$O$103,15,0))</f>
        <v>842.31</v>
      </c>
      <c r="X309" s="6">
        <f>IF(ISERROR(VLOOKUP($U$309,'TAR FIN'!$A$1:$O$103,15,0)),0,VLOOKUP($U$309,'TAR FIN'!$A$1:$O$103,15,0))</f>
        <v>454.9</v>
      </c>
      <c r="Y309" s="6"/>
      <c r="Z309" s="6">
        <f ca="1">('TUSD BE'!$AM$21+'TUSD BF_350'!$AM$21+'TUSD CVA'!$AM$21)*1</f>
        <v>1027.46</v>
      </c>
      <c r="AA309" s="6">
        <f ca="1">('TE BE'!$AB$8+'TE BF_350'!$AB$8+'TE CVA'!$AB$8)*1</f>
        <v>388.08000000000004</v>
      </c>
      <c r="AB309" s="6">
        <f>$K$309*$V$309</f>
        <v>0</v>
      </c>
      <c r="AC309" s="6">
        <f>$M$309*$W$309</f>
        <v>53867.409119999997</v>
      </c>
      <c r="AD309" s="6">
        <f>$O$309*$X$309</f>
        <v>29091.764799999997</v>
      </c>
      <c r="AE309" s="6">
        <f>$K$309*$Y$309</f>
        <v>0</v>
      </c>
      <c r="AF309" s="6">
        <f ca="1">$M$309*$Z$309</f>
        <v>65708.121920000005</v>
      </c>
      <c r="AG309" s="6">
        <f ca="1">$O$309*$AA$309</f>
        <v>24818.492160000002</v>
      </c>
    </row>
    <row r="310" spans="1:33" ht="11.25" customHeight="1" x14ac:dyDescent="0.25">
      <c r="A310" s="4" t="s">
        <v>27</v>
      </c>
      <c r="B310" s="4" t="s">
        <v>33</v>
      </c>
      <c r="C310" s="4" t="s">
        <v>34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37</v>
      </c>
      <c r="I310" s="5">
        <v>44652</v>
      </c>
      <c r="J310" s="6">
        <v>0</v>
      </c>
      <c r="K310" s="6">
        <v>0</v>
      </c>
      <c r="L310" s="6">
        <v>3.145</v>
      </c>
      <c r="M310" s="6">
        <v>3.145</v>
      </c>
      <c r="N310" s="6">
        <v>3.145</v>
      </c>
      <c r="O310" s="6">
        <v>3.145</v>
      </c>
      <c r="P310" s="6">
        <v>0</v>
      </c>
      <c r="Q310" s="4" t="s">
        <v>26</v>
      </c>
      <c r="R310" s="4">
        <v>0</v>
      </c>
      <c r="S310" s="6">
        <v>0</v>
      </c>
      <c r="T310" s="6">
        <v>19</v>
      </c>
      <c r="U310" s="6">
        <v>65</v>
      </c>
      <c r="V310" s="6">
        <f>IF(ISERROR(VLOOKUP($S$310,'TAR FIN'!$A$1:$O$103,15,0)),0,VLOOKUP($S$310,'TAR FIN'!$A$1:$O$103,15,0))</f>
        <v>0</v>
      </c>
      <c r="W310" s="6">
        <f>IF(ISERROR(VLOOKUP($T$310,'TAR FIN'!$A$1:$O$103,15,0)),0,VLOOKUP($T$310,'TAR FIN'!$A$1:$O$103,15,0))</f>
        <v>842.31</v>
      </c>
      <c r="X310" s="6">
        <f>IF(ISERROR(VLOOKUP($U$310,'TAR FIN'!$A$1:$O$103,15,0)),0,VLOOKUP($U$310,'TAR FIN'!$A$1:$O$103,15,0))</f>
        <v>454.9</v>
      </c>
      <c r="Y310" s="6"/>
      <c r="Z310" s="6">
        <f ca="1">('TUSD BE'!$AM$21+'TUSD BF_350'!$AM$21+'TUSD CVA'!$AM$21)*1</f>
        <v>1027.46</v>
      </c>
      <c r="AA310" s="6">
        <f ca="1">('TE BE'!$AB$8+'TE BF_350'!$AB$8+'TE CVA'!$AB$8)*1</f>
        <v>388.08000000000004</v>
      </c>
      <c r="AB310" s="6">
        <f>$K$310*$V$310</f>
        <v>0</v>
      </c>
      <c r="AC310" s="6">
        <f>$M$310*$W$310</f>
        <v>2649.06495</v>
      </c>
      <c r="AD310" s="6">
        <f>$O$310*$X$310</f>
        <v>1430.6605</v>
      </c>
      <c r="AE310" s="6">
        <f>$K$310*$Y$310</f>
        <v>0</v>
      </c>
      <c r="AF310" s="6">
        <f ca="1">$M$310*$Z$310</f>
        <v>3231.3616999999999</v>
      </c>
      <c r="AG310" s="6">
        <f ca="1">$O$310*$AA$310</f>
        <v>1220.5116</v>
      </c>
    </row>
    <row r="311" spans="1:33" ht="11.25" customHeight="1" x14ac:dyDescent="0.25">
      <c r="A311" s="4" t="s">
        <v>21</v>
      </c>
      <c r="B311" s="4" t="s">
        <v>33</v>
      </c>
      <c r="C311" s="4" t="s">
        <v>34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44682</v>
      </c>
      <c r="J311" s="6">
        <v>0</v>
      </c>
      <c r="K311" s="6">
        <v>0</v>
      </c>
      <c r="L311" s="6">
        <v>76.406999999999996</v>
      </c>
      <c r="M311" s="6">
        <v>76.406999999999996</v>
      </c>
      <c r="N311" s="6">
        <v>76.406999999999996</v>
      </c>
      <c r="O311" s="6">
        <v>76.406999999999996</v>
      </c>
      <c r="P311" s="6">
        <v>0</v>
      </c>
      <c r="Q311" s="4" t="s">
        <v>26</v>
      </c>
      <c r="R311" s="4">
        <v>0</v>
      </c>
      <c r="S311" s="6">
        <v>0</v>
      </c>
      <c r="T311" s="6">
        <v>19</v>
      </c>
      <c r="U311" s="6">
        <v>65</v>
      </c>
      <c r="V311" s="6">
        <f>IF(ISERROR(VLOOKUP($S$311,'TAR FIN'!$A$1:$O$103,15,0)),0,VLOOKUP($S$311,'TAR FIN'!$A$1:$O$103,15,0))</f>
        <v>0</v>
      </c>
      <c r="W311" s="6">
        <f>IF(ISERROR(VLOOKUP($T$311,'TAR FIN'!$A$1:$O$103,15,0)),0,VLOOKUP($T$311,'TAR FIN'!$A$1:$O$103,15,0))</f>
        <v>842.31</v>
      </c>
      <c r="X311" s="6">
        <f>IF(ISERROR(VLOOKUP($U$311,'TAR FIN'!$A$1:$O$103,15,0)),0,VLOOKUP($U$311,'TAR FIN'!$A$1:$O$103,15,0))</f>
        <v>454.9</v>
      </c>
      <c r="Y311" s="6"/>
      <c r="Z311" s="6">
        <f ca="1">('TUSD BE'!$AM$21+'TUSD BF_350'!$AM$21+'TUSD CVA'!$AM$21)*1</f>
        <v>1027.46</v>
      </c>
      <c r="AA311" s="6">
        <f ca="1">('TE BE'!$AB$8+'TE BF_350'!$AB$8+'TE CVA'!$AB$8)*1</f>
        <v>388.08000000000004</v>
      </c>
      <c r="AB311" s="6">
        <f>$K$311*$V$311</f>
        <v>0</v>
      </c>
      <c r="AC311" s="6">
        <f>$M$311*$W$311</f>
        <v>64358.380169999989</v>
      </c>
      <c r="AD311" s="6">
        <f>$O$311*$X$311</f>
        <v>34757.544299999994</v>
      </c>
      <c r="AE311" s="6">
        <f>$K$311*$Y$311</f>
        <v>0</v>
      </c>
      <c r="AF311" s="6">
        <f ca="1">$M$311*$Z$311</f>
        <v>78505.13622</v>
      </c>
      <c r="AG311" s="6">
        <f ca="1">$O$311*$AA$311</f>
        <v>29652.028560000002</v>
      </c>
    </row>
    <row r="312" spans="1:33" ht="11.25" customHeight="1" x14ac:dyDescent="0.25">
      <c r="A312" s="4" t="s">
        <v>21</v>
      </c>
      <c r="B312" s="4" t="s">
        <v>33</v>
      </c>
      <c r="C312" s="4" t="s">
        <v>34</v>
      </c>
      <c r="D312" s="4" t="s">
        <v>40</v>
      </c>
      <c r="E312" s="4" t="s">
        <v>25</v>
      </c>
      <c r="F312" s="4" t="s">
        <v>54</v>
      </c>
      <c r="G312" s="4" t="s">
        <v>25</v>
      </c>
      <c r="H312" s="4" t="s">
        <v>35</v>
      </c>
      <c r="I312" s="5">
        <v>44348</v>
      </c>
      <c r="J312" s="6">
        <v>0</v>
      </c>
      <c r="K312" s="6">
        <v>0</v>
      </c>
      <c r="L312" s="6">
        <v>2193.7249999999999</v>
      </c>
      <c r="M312" s="6">
        <v>2193.7249999999999</v>
      </c>
      <c r="N312" s="6">
        <v>0</v>
      </c>
      <c r="O312" s="6">
        <v>0</v>
      </c>
      <c r="P312" s="6">
        <v>0</v>
      </c>
      <c r="Q312" s="4" t="s">
        <v>53</v>
      </c>
      <c r="R312" s="4">
        <v>0</v>
      </c>
      <c r="S312" s="6">
        <v>0</v>
      </c>
      <c r="T312" s="6">
        <v>20</v>
      </c>
      <c r="U312" s="6">
        <v>0</v>
      </c>
      <c r="V312" s="6">
        <f>IF(ISERROR(VLOOKUP($S$312,'TAR FIN'!$A$1:$O$103,15,0)),0,VLOOKUP($S$312,'TAR FIN'!$A$1:$O$103,15,0))</f>
        <v>0</v>
      </c>
      <c r="W312" s="6">
        <f>IF(ISERROR(VLOOKUP($T$312,'TAR FIN'!$A$1:$O$103,15,0)),0,VLOOKUP($T$312,'TAR FIN'!$A$1:$O$103,15,0))</f>
        <v>69.37</v>
      </c>
      <c r="X312" s="6">
        <f>IF(ISERROR(VLOOKUP($U$312,'TAR FIN'!$A$1:$O$103,15,0)),0,VLOOKUP($U$312,'TAR FIN'!$A$1:$O$103,15,0))</f>
        <v>0</v>
      </c>
      <c r="Y312" s="6"/>
      <c r="Z312" s="6">
        <f ca="1">('TUSD BE'!$AM$22+'TUSD BF_350'!$AM$22+'TUSD CVA'!$AM$22)*1</f>
        <v>110.85</v>
      </c>
      <c r="AA312" s="6"/>
      <c r="AB312" s="6">
        <f>$K$312*$V$312</f>
        <v>0</v>
      </c>
      <c r="AC312" s="6">
        <f>$M$312*$W$312</f>
        <v>152178.70324999999</v>
      </c>
      <c r="AD312" s="6">
        <f>$O$312*$X$312</f>
        <v>0</v>
      </c>
      <c r="AE312" s="6">
        <f>$K$312*$Y$312</f>
        <v>0</v>
      </c>
      <c r="AF312" s="6">
        <f ca="1">$M$312*$Z$312</f>
        <v>243174.41624999998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33</v>
      </c>
      <c r="C313" s="4" t="s">
        <v>34</v>
      </c>
      <c r="D313" s="4" t="s">
        <v>40</v>
      </c>
      <c r="E313" s="4" t="s">
        <v>25</v>
      </c>
      <c r="F313" s="4" t="s">
        <v>54</v>
      </c>
      <c r="G313" s="4" t="s">
        <v>25</v>
      </c>
      <c r="H313" s="4" t="s">
        <v>35</v>
      </c>
      <c r="I313" s="5">
        <v>44378</v>
      </c>
      <c r="J313" s="6">
        <v>0</v>
      </c>
      <c r="K313" s="6">
        <v>0</v>
      </c>
      <c r="L313" s="6">
        <v>2078.8359999999998</v>
      </c>
      <c r="M313" s="6">
        <v>2078.8359999999998</v>
      </c>
      <c r="N313" s="6">
        <v>0</v>
      </c>
      <c r="O313" s="6">
        <v>0</v>
      </c>
      <c r="P313" s="6">
        <v>0</v>
      </c>
      <c r="Q313" s="4" t="s">
        <v>53</v>
      </c>
      <c r="R313" s="4">
        <v>0</v>
      </c>
      <c r="S313" s="6">
        <v>0</v>
      </c>
      <c r="T313" s="6">
        <v>20</v>
      </c>
      <c r="U313" s="6">
        <v>0</v>
      </c>
      <c r="V313" s="6">
        <f>IF(ISERROR(VLOOKUP($S$313,'TAR FIN'!$A$1:$O$103,15,0)),0,VLOOKUP($S$313,'TAR FIN'!$A$1:$O$103,15,0))</f>
        <v>0</v>
      </c>
      <c r="W313" s="6">
        <f>IF(ISERROR(VLOOKUP($T$313,'TAR FIN'!$A$1:$O$103,15,0)),0,VLOOKUP($T$313,'TAR FIN'!$A$1:$O$103,15,0))</f>
        <v>69.37</v>
      </c>
      <c r="X313" s="6">
        <f>IF(ISERROR(VLOOKUP($U$313,'TAR FIN'!$A$1:$O$103,15,0)),0,VLOOKUP($U$313,'TAR FIN'!$A$1:$O$103,15,0))</f>
        <v>0</v>
      </c>
      <c r="Y313" s="6"/>
      <c r="Z313" s="6">
        <f ca="1">('TUSD BE'!$AM$22+'TUSD BF_350'!$AM$22+'TUSD CVA'!$AM$22)*1</f>
        <v>110.85</v>
      </c>
      <c r="AA313" s="6"/>
      <c r="AB313" s="6">
        <f>$K$313*$V$313</f>
        <v>0</v>
      </c>
      <c r="AC313" s="6">
        <f>$M$313*$W$313</f>
        <v>144208.85331999999</v>
      </c>
      <c r="AD313" s="6">
        <f>$O$313*$X$313</f>
        <v>0</v>
      </c>
      <c r="AE313" s="6">
        <f>$K$313*$Y$313</f>
        <v>0</v>
      </c>
      <c r="AF313" s="6">
        <f ca="1">$M$313*$Z$313</f>
        <v>230438.97059999997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33</v>
      </c>
      <c r="C314" s="4" t="s">
        <v>34</v>
      </c>
      <c r="D314" s="4" t="s">
        <v>40</v>
      </c>
      <c r="E314" s="4" t="s">
        <v>25</v>
      </c>
      <c r="F314" s="4" t="s">
        <v>54</v>
      </c>
      <c r="G314" s="4" t="s">
        <v>25</v>
      </c>
      <c r="H314" s="4" t="s">
        <v>35</v>
      </c>
      <c r="I314" s="5">
        <v>44409</v>
      </c>
      <c r="J314" s="6">
        <v>0</v>
      </c>
      <c r="K314" s="6">
        <v>0</v>
      </c>
      <c r="L314" s="6">
        <v>2262.5709999999999</v>
      </c>
      <c r="M314" s="6">
        <v>2262.5709999999999</v>
      </c>
      <c r="N314" s="6">
        <v>0</v>
      </c>
      <c r="O314" s="6">
        <v>0</v>
      </c>
      <c r="P314" s="6">
        <v>0</v>
      </c>
      <c r="Q314" s="4" t="s">
        <v>53</v>
      </c>
      <c r="R314" s="4">
        <v>0</v>
      </c>
      <c r="S314" s="6">
        <v>0</v>
      </c>
      <c r="T314" s="6">
        <v>20</v>
      </c>
      <c r="U314" s="6">
        <v>0</v>
      </c>
      <c r="V314" s="6">
        <f>IF(ISERROR(VLOOKUP($S$314,'TAR FIN'!$A$1:$O$103,15,0)),0,VLOOKUP($S$314,'TAR FIN'!$A$1:$O$103,15,0))</f>
        <v>0</v>
      </c>
      <c r="W314" s="6">
        <f>IF(ISERROR(VLOOKUP($T$314,'TAR FIN'!$A$1:$O$103,15,0)),0,VLOOKUP($T$314,'TAR FIN'!$A$1:$O$103,15,0))</f>
        <v>69.37</v>
      </c>
      <c r="X314" s="6">
        <f>IF(ISERROR(VLOOKUP($U$314,'TAR FIN'!$A$1:$O$103,15,0)),0,VLOOKUP($U$314,'TAR FIN'!$A$1:$O$103,15,0))</f>
        <v>0</v>
      </c>
      <c r="Y314" s="6"/>
      <c r="Z314" s="6">
        <f ca="1">('TUSD BE'!$AM$22+'TUSD BF_350'!$AM$22+'TUSD CVA'!$AM$22)*1</f>
        <v>110.85</v>
      </c>
      <c r="AA314" s="6"/>
      <c r="AB314" s="6">
        <f>$K$314*$V$314</f>
        <v>0</v>
      </c>
      <c r="AC314" s="6">
        <f>$M$314*$W$314</f>
        <v>156954.55027000001</v>
      </c>
      <c r="AD314" s="6">
        <f>$O$314*$X$314</f>
        <v>0</v>
      </c>
      <c r="AE314" s="6">
        <f>$K$314*$Y$314</f>
        <v>0</v>
      </c>
      <c r="AF314" s="6">
        <f ca="1">$M$314*$Z$314</f>
        <v>250805.99534999998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33</v>
      </c>
      <c r="C315" s="4" t="s">
        <v>34</v>
      </c>
      <c r="D315" s="4" t="s">
        <v>40</v>
      </c>
      <c r="E315" s="4" t="s">
        <v>25</v>
      </c>
      <c r="F315" s="4" t="s">
        <v>54</v>
      </c>
      <c r="G315" s="4" t="s">
        <v>25</v>
      </c>
      <c r="H315" s="4" t="s">
        <v>35</v>
      </c>
      <c r="I315" s="5">
        <v>44440</v>
      </c>
      <c r="J315" s="6">
        <v>0</v>
      </c>
      <c r="K315" s="6">
        <v>0</v>
      </c>
      <c r="L315" s="6">
        <v>1877.665</v>
      </c>
      <c r="M315" s="6">
        <v>1877.665</v>
      </c>
      <c r="N315" s="6">
        <v>0</v>
      </c>
      <c r="O315" s="6">
        <v>0</v>
      </c>
      <c r="P315" s="6">
        <v>0</v>
      </c>
      <c r="Q315" s="4" t="s">
        <v>53</v>
      </c>
      <c r="R315" s="4">
        <v>0</v>
      </c>
      <c r="S315" s="6">
        <v>0</v>
      </c>
      <c r="T315" s="6">
        <v>20</v>
      </c>
      <c r="U315" s="6">
        <v>0</v>
      </c>
      <c r="V315" s="6">
        <f>IF(ISERROR(VLOOKUP($S$315,'TAR FIN'!$A$1:$O$103,15,0)),0,VLOOKUP($S$315,'TAR FIN'!$A$1:$O$103,15,0))</f>
        <v>0</v>
      </c>
      <c r="W315" s="6">
        <f>IF(ISERROR(VLOOKUP($T$315,'TAR FIN'!$A$1:$O$103,15,0)),0,VLOOKUP($T$315,'TAR FIN'!$A$1:$O$103,15,0))</f>
        <v>69.37</v>
      </c>
      <c r="X315" s="6">
        <f>IF(ISERROR(VLOOKUP($U$315,'TAR FIN'!$A$1:$O$103,15,0)),0,VLOOKUP($U$315,'TAR FIN'!$A$1:$O$103,15,0))</f>
        <v>0</v>
      </c>
      <c r="Y315" s="6"/>
      <c r="Z315" s="6">
        <f ca="1">('TUSD BE'!$AM$22+'TUSD BF_350'!$AM$22+'TUSD CVA'!$AM$22)*1</f>
        <v>110.85</v>
      </c>
      <c r="AA315" s="6"/>
      <c r="AB315" s="6">
        <f>$K$315*$V$315</f>
        <v>0</v>
      </c>
      <c r="AC315" s="6">
        <f>$M$315*$W$315</f>
        <v>130253.62105</v>
      </c>
      <c r="AD315" s="6">
        <f>$O$315*$X$315</f>
        <v>0</v>
      </c>
      <c r="AE315" s="6">
        <f>$K$315*$Y$315</f>
        <v>0</v>
      </c>
      <c r="AF315" s="6">
        <f ca="1">$M$315*$Z$315</f>
        <v>208139.16524999999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33</v>
      </c>
      <c r="C316" s="4" t="s">
        <v>34</v>
      </c>
      <c r="D316" s="4" t="s">
        <v>40</v>
      </c>
      <c r="E316" s="4" t="s">
        <v>25</v>
      </c>
      <c r="F316" s="4" t="s">
        <v>54</v>
      </c>
      <c r="G316" s="4" t="s">
        <v>25</v>
      </c>
      <c r="H316" s="4" t="s">
        <v>35</v>
      </c>
      <c r="I316" s="5">
        <v>44470</v>
      </c>
      <c r="J316" s="6">
        <v>0</v>
      </c>
      <c r="K316" s="6">
        <v>0</v>
      </c>
      <c r="L316" s="6">
        <v>2452.4029999999998</v>
      </c>
      <c r="M316" s="6">
        <v>2452.4029999999998</v>
      </c>
      <c r="N316" s="6">
        <v>0</v>
      </c>
      <c r="O316" s="6">
        <v>0</v>
      </c>
      <c r="P316" s="6">
        <v>0</v>
      </c>
      <c r="Q316" s="4" t="s">
        <v>53</v>
      </c>
      <c r="R316" s="4">
        <v>0</v>
      </c>
      <c r="S316" s="6">
        <v>0</v>
      </c>
      <c r="T316" s="6">
        <v>20</v>
      </c>
      <c r="U316" s="6">
        <v>0</v>
      </c>
      <c r="V316" s="6">
        <f>IF(ISERROR(VLOOKUP($S$316,'TAR FIN'!$A$1:$O$103,15,0)),0,VLOOKUP($S$316,'TAR FIN'!$A$1:$O$103,15,0))</f>
        <v>0</v>
      </c>
      <c r="W316" s="6">
        <f>IF(ISERROR(VLOOKUP($T$316,'TAR FIN'!$A$1:$O$103,15,0)),0,VLOOKUP($T$316,'TAR FIN'!$A$1:$O$103,15,0))</f>
        <v>69.37</v>
      </c>
      <c r="X316" s="6">
        <f>IF(ISERROR(VLOOKUP($U$316,'TAR FIN'!$A$1:$O$103,15,0)),0,VLOOKUP($U$316,'TAR FIN'!$A$1:$O$103,15,0))</f>
        <v>0</v>
      </c>
      <c r="Y316" s="6"/>
      <c r="Z316" s="6">
        <f ca="1">('TUSD BE'!$AM$22+'TUSD BF_350'!$AM$22+'TUSD CVA'!$AM$22)*1</f>
        <v>110.85</v>
      </c>
      <c r="AA316" s="6"/>
      <c r="AB316" s="6">
        <f>$K$316*$V$316</f>
        <v>0</v>
      </c>
      <c r="AC316" s="6">
        <f>$M$316*$W$316</f>
        <v>170123.19610999999</v>
      </c>
      <c r="AD316" s="6">
        <f>$O$316*$X$316</f>
        <v>0</v>
      </c>
      <c r="AE316" s="6">
        <f>$K$316*$Y$316</f>
        <v>0</v>
      </c>
      <c r="AF316" s="6">
        <f ca="1">$M$316*$Z$316</f>
        <v>271848.87254999997</v>
      </c>
      <c r="AG316" s="6">
        <f>$O$316*$AA$316</f>
        <v>0</v>
      </c>
    </row>
    <row r="317" spans="1:33" ht="11.25" customHeight="1" x14ac:dyDescent="0.25">
      <c r="A317" s="4" t="s">
        <v>21</v>
      </c>
      <c r="B317" s="4" t="s">
        <v>33</v>
      </c>
      <c r="C317" s="4" t="s">
        <v>34</v>
      </c>
      <c r="D317" s="4" t="s">
        <v>40</v>
      </c>
      <c r="E317" s="4" t="s">
        <v>25</v>
      </c>
      <c r="F317" s="4" t="s">
        <v>54</v>
      </c>
      <c r="G317" s="4" t="s">
        <v>25</v>
      </c>
      <c r="H317" s="4" t="s">
        <v>35</v>
      </c>
      <c r="I317" s="5">
        <v>44501</v>
      </c>
      <c r="J317" s="6">
        <v>0</v>
      </c>
      <c r="K317" s="6">
        <v>0</v>
      </c>
      <c r="L317" s="6">
        <v>2507.5810000000001</v>
      </c>
      <c r="M317" s="6">
        <v>2507.5810000000001</v>
      </c>
      <c r="N317" s="6">
        <v>0</v>
      </c>
      <c r="O317" s="6">
        <v>0</v>
      </c>
      <c r="P317" s="6">
        <v>0</v>
      </c>
      <c r="Q317" s="4" t="s">
        <v>53</v>
      </c>
      <c r="R317" s="4">
        <v>0</v>
      </c>
      <c r="S317" s="6">
        <v>0</v>
      </c>
      <c r="T317" s="6">
        <v>20</v>
      </c>
      <c r="U317" s="6">
        <v>0</v>
      </c>
      <c r="V317" s="6">
        <f>IF(ISERROR(VLOOKUP($S$317,'TAR FIN'!$A$1:$O$103,15,0)),0,VLOOKUP($S$317,'TAR FIN'!$A$1:$O$103,15,0))</f>
        <v>0</v>
      </c>
      <c r="W317" s="6">
        <f>IF(ISERROR(VLOOKUP($T$317,'TAR FIN'!$A$1:$O$103,15,0)),0,VLOOKUP($T$317,'TAR FIN'!$A$1:$O$103,15,0))</f>
        <v>69.37</v>
      </c>
      <c r="X317" s="6">
        <f>IF(ISERROR(VLOOKUP($U$317,'TAR FIN'!$A$1:$O$103,15,0)),0,VLOOKUP($U$317,'TAR FIN'!$A$1:$O$103,15,0))</f>
        <v>0</v>
      </c>
      <c r="Y317" s="6"/>
      <c r="Z317" s="6">
        <f ca="1">('TUSD BE'!$AM$22+'TUSD BF_350'!$AM$22+'TUSD CVA'!$AM$22)*1</f>
        <v>110.85</v>
      </c>
      <c r="AA317" s="6"/>
      <c r="AB317" s="6">
        <f>$K$317*$V$317</f>
        <v>0</v>
      </c>
      <c r="AC317" s="6">
        <f>$M$317*$W$317</f>
        <v>173950.89397000003</v>
      </c>
      <c r="AD317" s="6">
        <f>$O$317*$X$317</f>
        <v>0</v>
      </c>
      <c r="AE317" s="6">
        <f>$K$317*$Y$317</f>
        <v>0</v>
      </c>
      <c r="AF317" s="6">
        <f ca="1">$M$317*$Z$317</f>
        <v>277965.35385000001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33</v>
      </c>
      <c r="C318" s="4" t="s">
        <v>34</v>
      </c>
      <c r="D318" s="4" t="s">
        <v>40</v>
      </c>
      <c r="E318" s="4" t="s">
        <v>25</v>
      </c>
      <c r="F318" s="4" t="s">
        <v>54</v>
      </c>
      <c r="G318" s="4" t="s">
        <v>25</v>
      </c>
      <c r="H318" s="4" t="s">
        <v>35</v>
      </c>
      <c r="I318" s="5">
        <v>44531</v>
      </c>
      <c r="J318" s="6">
        <v>0</v>
      </c>
      <c r="K318" s="6">
        <v>0</v>
      </c>
      <c r="L318" s="6">
        <v>2568.9499999999998</v>
      </c>
      <c r="M318" s="6">
        <v>2568.9499999999998</v>
      </c>
      <c r="N318" s="6">
        <v>0</v>
      </c>
      <c r="O318" s="6">
        <v>0</v>
      </c>
      <c r="P318" s="6">
        <v>0</v>
      </c>
      <c r="Q318" s="4" t="s">
        <v>53</v>
      </c>
      <c r="R318" s="4">
        <v>0</v>
      </c>
      <c r="S318" s="6">
        <v>0</v>
      </c>
      <c r="T318" s="6">
        <v>20</v>
      </c>
      <c r="U318" s="6">
        <v>0</v>
      </c>
      <c r="V318" s="6">
        <f>IF(ISERROR(VLOOKUP($S$318,'TAR FIN'!$A$1:$O$103,15,0)),0,VLOOKUP($S$318,'TAR FIN'!$A$1:$O$103,15,0))</f>
        <v>0</v>
      </c>
      <c r="W318" s="6">
        <f>IF(ISERROR(VLOOKUP($T$318,'TAR FIN'!$A$1:$O$103,15,0)),0,VLOOKUP($T$318,'TAR FIN'!$A$1:$O$103,15,0))</f>
        <v>69.37</v>
      </c>
      <c r="X318" s="6">
        <f>IF(ISERROR(VLOOKUP($U$318,'TAR FIN'!$A$1:$O$103,15,0)),0,VLOOKUP($U$318,'TAR FIN'!$A$1:$O$103,15,0))</f>
        <v>0</v>
      </c>
      <c r="Y318" s="6"/>
      <c r="Z318" s="6">
        <f ca="1">('TUSD BE'!$AM$22+'TUSD BF_350'!$AM$22+'TUSD CVA'!$AM$22)*1</f>
        <v>110.85</v>
      </c>
      <c r="AA318" s="6"/>
      <c r="AB318" s="6">
        <f>$K$318*$V$318</f>
        <v>0</v>
      </c>
      <c r="AC318" s="6">
        <f>$M$318*$W$318</f>
        <v>178208.06150000001</v>
      </c>
      <c r="AD318" s="6">
        <f>$O$318*$X$318</f>
        <v>0</v>
      </c>
      <c r="AE318" s="6">
        <f>$K$318*$Y$318</f>
        <v>0</v>
      </c>
      <c r="AF318" s="6">
        <f ca="1">$M$318*$Z$318</f>
        <v>284768.10749999998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33</v>
      </c>
      <c r="C319" s="4" t="s">
        <v>34</v>
      </c>
      <c r="D319" s="4" t="s">
        <v>40</v>
      </c>
      <c r="E319" s="4" t="s">
        <v>25</v>
      </c>
      <c r="F319" s="4" t="s">
        <v>54</v>
      </c>
      <c r="G319" s="4" t="s">
        <v>25</v>
      </c>
      <c r="H319" s="4" t="s">
        <v>35</v>
      </c>
      <c r="I319" s="5">
        <v>44562</v>
      </c>
      <c r="J319" s="6">
        <v>0</v>
      </c>
      <c r="K319" s="6">
        <v>0</v>
      </c>
      <c r="L319" s="6">
        <v>2392.5479999999998</v>
      </c>
      <c r="M319" s="6">
        <v>2392.5479999999998</v>
      </c>
      <c r="N319" s="6">
        <v>0</v>
      </c>
      <c r="O319" s="6">
        <v>0</v>
      </c>
      <c r="P319" s="6">
        <v>0</v>
      </c>
      <c r="Q319" s="4" t="s">
        <v>53</v>
      </c>
      <c r="R319" s="4">
        <v>0</v>
      </c>
      <c r="S319" s="6">
        <v>0</v>
      </c>
      <c r="T319" s="6">
        <v>20</v>
      </c>
      <c r="U319" s="6">
        <v>0</v>
      </c>
      <c r="V319" s="6">
        <f>IF(ISERROR(VLOOKUP($S$319,'TAR FIN'!$A$1:$O$103,15,0)),0,VLOOKUP($S$319,'TAR FIN'!$A$1:$O$103,15,0))</f>
        <v>0</v>
      </c>
      <c r="W319" s="6">
        <f>IF(ISERROR(VLOOKUP($T$319,'TAR FIN'!$A$1:$O$103,15,0)),0,VLOOKUP($T$319,'TAR FIN'!$A$1:$O$103,15,0))</f>
        <v>69.37</v>
      </c>
      <c r="X319" s="6">
        <f>IF(ISERROR(VLOOKUP($U$319,'TAR FIN'!$A$1:$O$103,15,0)),0,VLOOKUP($U$319,'TAR FIN'!$A$1:$O$103,15,0))</f>
        <v>0</v>
      </c>
      <c r="Y319" s="6"/>
      <c r="Z319" s="6">
        <f ca="1">('TUSD BE'!$AM$22+'TUSD BF_350'!$AM$22+'TUSD CVA'!$AM$22)*1</f>
        <v>110.85</v>
      </c>
      <c r="AA319" s="6"/>
      <c r="AB319" s="6">
        <f>$K$319*$V$319</f>
        <v>0</v>
      </c>
      <c r="AC319" s="6">
        <f>$M$319*$W$319</f>
        <v>165971.05476</v>
      </c>
      <c r="AD319" s="6">
        <f>$O$319*$X$319</f>
        <v>0</v>
      </c>
      <c r="AE319" s="6">
        <f>$K$319*$Y$319</f>
        <v>0</v>
      </c>
      <c r="AF319" s="6">
        <f ca="1">$M$319*$Z$319</f>
        <v>265213.94579999999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33</v>
      </c>
      <c r="C320" s="4" t="s">
        <v>34</v>
      </c>
      <c r="D320" s="4" t="s">
        <v>40</v>
      </c>
      <c r="E320" s="4" t="s">
        <v>25</v>
      </c>
      <c r="F320" s="4" t="s">
        <v>54</v>
      </c>
      <c r="G320" s="4" t="s">
        <v>25</v>
      </c>
      <c r="H320" s="4" t="s">
        <v>35</v>
      </c>
      <c r="I320" s="5">
        <v>44593</v>
      </c>
      <c r="J320" s="6">
        <v>0</v>
      </c>
      <c r="K320" s="6">
        <v>0</v>
      </c>
      <c r="L320" s="6">
        <v>2477.0079999999998</v>
      </c>
      <c r="M320" s="6">
        <v>2477.0079999999998</v>
      </c>
      <c r="N320" s="6">
        <v>0</v>
      </c>
      <c r="O320" s="6">
        <v>0</v>
      </c>
      <c r="P320" s="6">
        <v>0</v>
      </c>
      <c r="Q320" s="4" t="s">
        <v>53</v>
      </c>
      <c r="R320" s="4">
        <v>0</v>
      </c>
      <c r="S320" s="6">
        <v>0</v>
      </c>
      <c r="T320" s="6">
        <v>20</v>
      </c>
      <c r="U320" s="6">
        <v>0</v>
      </c>
      <c r="V320" s="6">
        <f>IF(ISERROR(VLOOKUP($S$320,'TAR FIN'!$A$1:$O$103,15,0)),0,VLOOKUP($S$320,'TAR FIN'!$A$1:$O$103,15,0))</f>
        <v>0</v>
      </c>
      <c r="W320" s="6">
        <f>IF(ISERROR(VLOOKUP($T$320,'TAR FIN'!$A$1:$O$103,15,0)),0,VLOOKUP($T$320,'TAR FIN'!$A$1:$O$103,15,0))</f>
        <v>69.37</v>
      </c>
      <c r="X320" s="6">
        <f>IF(ISERROR(VLOOKUP($U$320,'TAR FIN'!$A$1:$O$103,15,0)),0,VLOOKUP($U$320,'TAR FIN'!$A$1:$O$103,15,0))</f>
        <v>0</v>
      </c>
      <c r="Y320" s="6"/>
      <c r="Z320" s="6">
        <f ca="1">('TUSD BE'!$AM$22+'TUSD BF_350'!$AM$22+'TUSD CVA'!$AM$22)*1</f>
        <v>110.85</v>
      </c>
      <c r="AA320" s="6"/>
      <c r="AB320" s="6">
        <f>$K$320*$V$320</f>
        <v>0</v>
      </c>
      <c r="AC320" s="6">
        <f>$M$320*$W$320</f>
        <v>171830.04496</v>
      </c>
      <c r="AD320" s="6">
        <f>$O$320*$X$320</f>
        <v>0</v>
      </c>
      <c r="AE320" s="6">
        <f>$K$320*$Y$320</f>
        <v>0</v>
      </c>
      <c r="AF320" s="6">
        <f ca="1">$M$320*$Z$320</f>
        <v>274576.33679999999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33</v>
      </c>
      <c r="C321" s="4" t="s">
        <v>34</v>
      </c>
      <c r="D321" s="4" t="s">
        <v>40</v>
      </c>
      <c r="E321" s="4" t="s">
        <v>25</v>
      </c>
      <c r="F321" s="4" t="s">
        <v>54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2495.9270000000001</v>
      </c>
      <c r="M321" s="6">
        <v>2495.9270000000001</v>
      </c>
      <c r="N321" s="6">
        <v>0</v>
      </c>
      <c r="O321" s="6">
        <v>0</v>
      </c>
      <c r="P321" s="6">
        <v>0</v>
      </c>
      <c r="Q321" s="4" t="s">
        <v>53</v>
      </c>
      <c r="R321" s="4">
        <v>0</v>
      </c>
      <c r="S321" s="6">
        <v>0</v>
      </c>
      <c r="T321" s="6">
        <v>20</v>
      </c>
      <c r="U321" s="6">
        <v>0</v>
      </c>
      <c r="V321" s="6">
        <f>IF(ISERROR(VLOOKUP($S$321,'TAR FIN'!$A$1:$O$103,15,0)),0,VLOOKUP($S$321,'TAR FIN'!$A$1:$O$103,15,0))</f>
        <v>0</v>
      </c>
      <c r="W321" s="6">
        <f>IF(ISERROR(VLOOKUP($T$321,'TAR FIN'!$A$1:$O$103,15,0)),0,VLOOKUP($T$321,'TAR FIN'!$A$1:$O$103,15,0))</f>
        <v>69.37</v>
      </c>
      <c r="X321" s="6">
        <f>IF(ISERROR(VLOOKUP($U$321,'TAR FIN'!$A$1:$O$103,15,0)),0,VLOOKUP($U$321,'TAR FIN'!$A$1:$O$103,15,0))</f>
        <v>0</v>
      </c>
      <c r="Y321" s="6"/>
      <c r="Z321" s="6">
        <f ca="1">('TUSD BE'!$AM$22+'TUSD BF_350'!$AM$22+'TUSD CVA'!$AM$22)*1</f>
        <v>110.85</v>
      </c>
      <c r="AA321" s="6"/>
      <c r="AB321" s="6">
        <f>$K$321*$V$321</f>
        <v>0</v>
      </c>
      <c r="AC321" s="6">
        <f>$M$321*$W$321</f>
        <v>173142.45599000002</v>
      </c>
      <c r="AD321" s="6">
        <f>$O$321*$X$321</f>
        <v>0</v>
      </c>
      <c r="AE321" s="6">
        <f>$K$321*$Y$321</f>
        <v>0</v>
      </c>
      <c r="AF321" s="6">
        <f ca="1">$M$321*$Z$321</f>
        <v>276673.50795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33</v>
      </c>
      <c r="C322" s="4" t="s">
        <v>34</v>
      </c>
      <c r="D322" s="4" t="s">
        <v>40</v>
      </c>
      <c r="E322" s="4" t="s">
        <v>25</v>
      </c>
      <c r="F322" s="4" t="s">
        <v>54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2841.056</v>
      </c>
      <c r="M322" s="6">
        <v>2841.056</v>
      </c>
      <c r="N322" s="6">
        <v>0</v>
      </c>
      <c r="O322" s="6">
        <v>0</v>
      </c>
      <c r="P322" s="6">
        <v>0</v>
      </c>
      <c r="Q322" s="4" t="s">
        <v>53</v>
      </c>
      <c r="R322" s="4">
        <v>0</v>
      </c>
      <c r="S322" s="6">
        <v>0</v>
      </c>
      <c r="T322" s="6">
        <v>20</v>
      </c>
      <c r="U322" s="6">
        <v>0</v>
      </c>
      <c r="V322" s="6">
        <f>IF(ISERROR(VLOOKUP($S$322,'TAR FIN'!$A$1:$O$103,15,0)),0,VLOOKUP($S$322,'TAR FIN'!$A$1:$O$103,15,0))</f>
        <v>0</v>
      </c>
      <c r="W322" s="6">
        <f>IF(ISERROR(VLOOKUP($T$322,'TAR FIN'!$A$1:$O$103,15,0)),0,VLOOKUP($T$322,'TAR FIN'!$A$1:$O$103,15,0))</f>
        <v>69.37</v>
      </c>
      <c r="X322" s="6">
        <f>IF(ISERROR(VLOOKUP($U$322,'TAR FIN'!$A$1:$O$103,15,0)),0,VLOOKUP($U$322,'TAR FIN'!$A$1:$O$103,15,0))</f>
        <v>0</v>
      </c>
      <c r="Y322" s="6"/>
      <c r="Z322" s="6">
        <f ca="1">('TUSD BE'!$AM$22+'TUSD BF_350'!$AM$22+'TUSD CVA'!$AM$22)*1</f>
        <v>110.85</v>
      </c>
      <c r="AA322" s="6"/>
      <c r="AB322" s="6">
        <f>$K$322*$V$322</f>
        <v>0</v>
      </c>
      <c r="AC322" s="6">
        <f>$M$322*$W$322</f>
        <v>197084.05472000001</v>
      </c>
      <c r="AD322" s="6">
        <f>$O$322*$X$322</f>
        <v>0</v>
      </c>
      <c r="AE322" s="6">
        <f>$K$322*$Y$322</f>
        <v>0</v>
      </c>
      <c r="AF322" s="6">
        <f ca="1">$M$322*$Z$322</f>
        <v>314931.0576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33</v>
      </c>
      <c r="C323" s="4" t="s">
        <v>34</v>
      </c>
      <c r="D323" s="4" t="s">
        <v>40</v>
      </c>
      <c r="E323" s="4" t="s">
        <v>25</v>
      </c>
      <c r="F323" s="4" t="s">
        <v>54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1900.19</v>
      </c>
      <c r="M323" s="6">
        <v>1900.19</v>
      </c>
      <c r="N323" s="6">
        <v>0</v>
      </c>
      <c r="O323" s="6">
        <v>0</v>
      </c>
      <c r="P323" s="6">
        <v>0</v>
      </c>
      <c r="Q323" s="4" t="s">
        <v>53</v>
      </c>
      <c r="R323" s="4">
        <v>0</v>
      </c>
      <c r="S323" s="6">
        <v>0</v>
      </c>
      <c r="T323" s="6">
        <v>20</v>
      </c>
      <c r="U323" s="6">
        <v>0</v>
      </c>
      <c r="V323" s="6">
        <f>IF(ISERROR(VLOOKUP($S$323,'TAR FIN'!$A$1:$O$103,15,0)),0,VLOOKUP($S$323,'TAR FIN'!$A$1:$O$103,15,0))</f>
        <v>0</v>
      </c>
      <c r="W323" s="6">
        <f>IF(ISERROR(VLOOKUP($T$323,'TAR FIN'!$A$1:$O$103,15,0)),0,VLOOKUP($T$323,'TAR FIN'!$A$1:$O$103,15,0))</f>
        <v>69.37</v>
      </c>
      <c r="X323" s="6">
        <f>IF(ISERROR(VLOOKUP($U$323,'TAR FIN'!$A$1:$O$103,15,0)),0,VLOOKUP($U$323,'TAR FIN'!$A$1:$O$103,15,0))</f>
        <v>0</v>
      </c>
      <c r="Y323" s="6"/>
      <c r="Z323" s="6">
        <f ca="1">('TUSD BE'!$AM$22+'TUSD BF_350'!$AM$22+'TUSD CVA'!$AM$22)*1</f>
        <v>110.85</v>
      </c>
      <c r="AA323" s="6"/>
      <c r="AB323" s="6">
        <f>$K$323*$V$323</f>
        <v>0</v>
      </c>
      <c r="AC323" s="6">
        <f>$M$323*$W$323</f>
        <v>131816.18030000001</v>
      </c>
      <c r="AD323" s="6">
        <f>$O$323*$X$323</f>
        <v>0</v>
      </c>
      <c r="AE323" s="6">
        <f>$K$323*$Y$323</f>
        <v>0</v>
      </c>
      <c r="AF323" s="6">
        <f ca="1">$M$323*$Z$323</f>
        <v>210636.06149999998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33</v>
      </c>
      <c r="C324" s="4" t="s">
        <v>34</v>
      </c>
      <c r="D324" s="4" t="s">
        <v>40</v>
      </c>
      <c r="E324" s="4" t="s">
        <v>25</v>
      </c>
      <c r="F324" s="4" t="s">
        <v>54</v>
      </c>
      <c r="G324" s="4" t="s">
        <v>25</v>
      </c>
      <c r="H324" s="4" t="s">
        <v>25</v>
      </c>
      <c r="I324" s="5">
        <v>44348</v>
      </c>
      <c r="J324" s="6">
        <v>6743</v>
      </c>
      <c r="K324" s="6">
        <v>3371.5</v>
      </c>
      <c r="L324" s="6">
        <v>0</v>
      </c>
      <c r="M324" s="6">
        <v>0</v>
      </c>
      <c r="N324" s="6">
        <v>0</v>
      </c>
      <c r="O324" s="6">
        <v>0</v>
      </c>
      <c r="P324" s="6">
        <v>10</v>
      </c>
      <c r="Q324" s="4" t="s">
        <v>53</v>
      </c>
      <c r="R324" s="4">
        <v>0</v>
      </c>
      <c r="S324" s="6">
        <v>18</v>
      </c>
      <c r="T324" s="6">
        <v>0</v>
      </c>
      <c r="U324" s="6">
        <v>0</v>
      </c>
      <c r="V324" s="6">
        <f>IF(ISERROR(VLOOKUP($S$324,'TAR FIN'!$A$1:$O$103,15,0)),0,VLOOKUP($S$324,'TAR FIN'!$A$1:$O$103,15,0))</f>
        <v>12.42</v>
      </c>
      <c r="W324" s="6">
        <f>IF(ISERROR(VLOOKUP($T$324,'TAR FIN'!$A$1:$O$103,15,0)),0,VLOOKUP($T$324,'TAR FIN'!$A$1:$O$103,15,0))</f>
        <v>0</v>
      </c>
      <c r="X324" s="6">
        <f>IF(ISERROR(VLOOKUP($U$324,'TAR FIN'!$A$1:$O$103,15,0)),0,VLOOKUP($U$324,'TAR FIN'!$A$1:$O$103,15,0))</f>
        <v>0</v>
      </c>
      <c r="Y324" s="6">
        <f ca="1">('TUSD BE'!$AM$20+'TUSD BF_350'!$AM$20+'TUSD CVA'!$AM$20)*1</f>
        <v>17.579999999999998</v>
      </c>
      <c r="Z324" s="6"/>
      <c r="AA324" s="6"/>
      <c r="AB324" s="6">
        <f>$K$324*$V$324</f>
        <v>41874.03</v>
      </c>
      <c r="AC324" s="6">
        <f>$M$324*$W$324</f>
        <v>0</v>
      </c>
      <c r="AD324" s="6">
        <f>$O$324*$X$324</f>
        <v>0</v>
      </c>
      <c r="AE324" s="6">
        <f ca="1">$K$324*$Y$324</f>
        <v>59270.969999999994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33</v>
      </c>
      <c r="C325" s="4" t="s">
        <v>34</v>
      </c>
      <c r="D325" s="4" t="s">
        <v>40</v>
      </c>
      <c r="E325" s="4" t="s">
        <v>25</v>
      </c>
      <c r="F325" s="4" t="s">
        <v>54</v>
      </c>
      <c r="G325" s="4" t="s">
        <v>25</v>
      </c>
      <c r="H325" s="4" t="s">
        <v>25</v>
      </c>
      <c r="I325" s="5">
        <v>44378</v>
      </c>
      <c r="J325" s="6">
        <v>6840</v>
      </c>
      <c r="K325" s="6">
        <v>3420</v>
      </c>
      <c r="L325" s="6">
        <v>0</v>
      </c>
      <c r="M325" s="6">
        <v>0</v>
      </c>
      <c r="N325" s="6">
        <v>0</v>
      </c>
      <c r="O325" s="6">
        <v>0</v>
      </c>
      <c r="P325" s="6">
        <v>10</v>
      </c>
      <c r="Q325" s="4" t="s">
        <v>53</v>
      </c>
      <c r="R325" s="4">
        <v>0</v>
      </c>
      <c r="S325" s="6">
        <v>18</v>
      </c>
      <c r="T325" s="6">
        <v>0</v>
      </c>
      <c r="U325" s="6">
        <v>0</v>
      </c>
      <c r="V325" s="6">
        <f>IF(ISERROR(VLOOKUP($S$325,'TAR FIN'!$A$1:$O$103,15,0)),0,VLOOKUP($S$325,'TAR FIN'!$A$1:$O$103,15,0))</f>
        <v>12.42</v>
      </c>
      <c r="W325" s="6">
        <f>IF(ISERROR(VLOOKUP($T$325,'TAR FIN'!$A$1:$O$103,15,0)),0,VLOOKUP($T$325,'TAR FIN'!$A$1:$O$103,15,0))</f>
        <v>0</v>
      </c>
      <c r="X325" s="6">
        <f>IF(ISERROR(VLOOKUP($U$325,'TAR FIN'!$A$1:$O$103,15,0)),0,VLOOKUP($U$325,'TAR FIN'!$A$1:$O$103,15,0))</f>
        <v>0</v>
      </c>
      <c r="Y325" s="6">
        <f ca="1">('TUSD BE'!$AM$20+'TUSD BF_350'!$AM$20+'TUSD CVA'!$AM$20)*1</f>
        <v>17.579999999999998</v>
      </c>
      <c r="Z325" s="6"/>
      <c r="AA325" s="6"/>
      <c r="AB325" s="6">
        <f>$K$325*$V$325</f>
        <v>42476.4</v>
      </c>
      <c r="AC325" s="6">
        <f>$M$325*$W$325</f>
        <v>0</v>
      </c>
      <c r="AD325" s="6">
        <f>$O$325*$X$325</f>
        <v>0</v>
      </c>
      <c r="AE325" s="6">
        <f ca="1">$K$325*$Y$325</f>
        <v>60123.599999999991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33</v>
      </c>
      <c r="C326" s="4" t="s">
        <v>34</v>
      </c>
      <c r="D326" s="4" t="s">
        <v>40</v>
      </c>
      <c r="E326" s="4" t="s">
        <v>25</v>
      </c>
      <c r="F326" s="4" t="s">
        <v>54</v>
      </c>
      <c r="G326" s="4" t="s">
        <v>25</v>
      </c>
      <c r="H326" s="4" t="s">
        <v>25</v>
      </c>
      <c r="I326" s="5">
        <v>44409</v>
      </c>
      <c r="J326" s="6">
        <v>6855</v>
      </c>
      <c r="K326" s="6">
        <v>3427.5</v>
      </c>
      <c r="L326" s="6">
        <v>0</v>
      </c>
      <c r="M326" s="6">
        <v>0</v>
      </c>
      <c r="N326" s="6">
        <v>0</v>
      </c>
      <c r="O326" s="6">
        <v>0</v>
      </c>
      <c r="P326" s="6">
        <v>10</v>
      </c>
      <c r="Q326" s="4" t="s">
        <v>53</v>
      </c>
      <c r="R326" s="4">
        <v>0</v>
      </c>
      <c r="S326" s="6">
        <v>18</v>
      </c>
      <c r="T326" s="6">
        <v>0</v>
      </c>
      <c r="U326" s="6">
        <v>0</v>
      </c>
      <c r="V326" s="6">
        <f>IF(ISERROR(VLOOKUP($S$326,'TAR FIN'!$A$1:$O$103,15,0)),0,VLOOKUP($S$326,'TAR FIN'!$A$1:$O$103,15,0))</f>
        <v>12.42</v>
      </c>
      <c r="W326" s="6">
        <f>IF(ISERROR(VLOOKUP($T$326,'TAR FIN'!$A$1:$O$103,15,0)),0,VLOOKUP($T$326,'TAR FIN'!$A$1:$O$103,15,0))</f>
        <v>0</v>
      </c>
      <c r="X326" s="6">
        <f>IF(ISERROR(VLOOKUP($U$326,'TAR FIN'!$A$1:$O$103,15,0)),0,VLOOKUP($U$326,'TAR FIN'!$A$1:$O$103,15,0))</f>
        <v>0</v>
      </c>
      <c r="Y326" s="6">
        <f ca="1">('TUSD BE'!$AM$20+'TUSD BF_350'!$AM$20+'TUSD CVA'!$AM$20)*1</f>
        <v>17.579999999999998</v>
      </c>
      <c r="Z326" s="6"/>
      <c r="AA326" s="6"/>
      <c r="AB326" s="6">
        <f>$K$326*$V$326</f>
        <v>42569.55</v>
      </c>
      <c r="AC326" s="6">
        <f>$M$326*$W$326</f>
        <v>0</v>
      </c>
      <c r="AD326" s="6">
        <f>$O$326*$X$326</f>
        <v>0</v>
      </c>
      <c r="AE326" s="6">
        <f ca="1">$K$326*$Y$326</f>
        <v>60255.45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33</v>
      </c>
      <c r="C327" s="4" t="s">
        <v>34</v>
      </c>
      <c r="D327" s="4" t="s">
        <v>40</v>
      </c>
      <c r="E327" s="4" t="s">
        <v>25</v>
      </c>
      <c r="F327" s="4" t="s">
        <v>54</v>
      </c>
      <c r="G327" s="4" t="s">
        <v>25</v>
      </c>
      <c r="H327" s="4" t="s">
        <v>25</v>
      </c>
      <c r="I327" s="5">
        <v>44440</v>
      </c>
      <c r="J327" s="6">
        <v>5195</v>
      </c>
      <c r="K327" s="6">
        <v>2597.5</v>
      </c>
      <c r="L327" s="6">
        <v>0</v>
      </c>
      <c r="M327" s="6">
        <v>0</v>
      </c>
      <c r="N327" s="6">
        <v>0</v>
      </c>
      <c r="O327" s="6">
        <v>0</v>
      </c>
      <c r="P327" s="6">
        <v>10</v>
      </c>
      <c r="Q327" s="4" t="s">
        <v>53</v>
      </c>
      <c r="R327" s="4">
        <v>0</v>
      </c>
      <c r="S327" s="6">
        <v>18</v>
      </c>
      <c r="T327" s="6">
        <v>0</v>
      </c>
      <c r="U327" s="6">
        <v>0</v>
      </c>
      <c r="V327" s="6">
        <f>IF(ISERROR(VLOOKUP($S$327,'TAR FIN'!$A$1:$O$103,15,0)),0,VLOOKUP($S$327,'TAR FIN'!$A$1:$O$103,15,0))</f>
        <v>12.42</v>
      </c>
      <c r="W327" s="6">
        <f>IF(ISERROR(VLOOKUP($T$327,'TAR FIN'!$A$1:$O$103,15,0)),0,VLOOKUP($T$327,'TAR FIN'!$A$1:$O$103,15,0))</f>
        <v>0</v>
      </c>
      <c r="X327" s="6">
        <f>IF(ISERROR(VLOOKUP($U$327,'TAR FIN'!$A$1:$O$103,15,0)),0,VLOOKUP($U$327,'TAR FIN'!$A$1:$O$103,15,0))</f>
        <v>0</v>
      </c>
      <c r="Y327" s="6">
        <f ca="1">('TUSD BE'!$AM$20+'TUSD BF_350'!$AM$20+'TUSD CVA'!$AM$20)*1</f>
        <v>17.579999999999998</v>
      </c>
      <c r="Z327" s="6"/>
      <c r="AA327" s="6"/>
      <c r="AB327" s="6">
        <f>$K$327*$V$327</f>
        <v>32260.95</v>
      </c>
      <c r="AC327" s="6">
        <f>$M$327*$W$327</f>
        <v>0</v>
      </c>
      <c r="AD327" s="6">
        <f>$O$327*$X$327</f>
        <v>0</v>
      </c>
      <c r="AE327" s="6">
        <f ca="1">$K$327*$Y$327</f>
        <v>45664.049999999996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33</v>
      </c>
      <c r="C328" s="4" t="s">
        <v>34</v>
      </c>
      <c r="D328" s="4" t="s">
        <v>40</v>
      </c>
      <c r="E328" s="4" t="s">
        <v>25</v>
      </c>
      <c r="F328" s="4" t="s">
        <v>54</v>
      </c>
      <c r="G328" s="4" t="s">
        <v>25</v>
      </c>
      <c r="H328" s="4" t="s">
        <v>25</v>
      </c>
      <c r="I328" s="5">
        <v>44470</v>
      </c>
      <c r="J328" s="6">
        <v>6646</v>
      </c>
      <c r="K328" s="6">
        <v>3323</v>
      </c>
      <c r="L328" s="6">
        <v>0</v>
      </c>
      <c r="M328" s="6">
        <v>0</v>
      </c>
      <c r="N328" s="6">
        <v>0</v>
      </c>
      <c r="O328" s="6">
        <v>0</v>
      </c>
      <c r="P328" s="6">
        <v>11</v>
      </c>
      <c r="Q328" s="4" t="s">
        <v>53</v>
      </c>
      <c r="R328" s="4">
        <v>0</v>
      </c>
      <c r="S328" s="6">
        <v>18</v>
      </c>
      <c r="T328" s="6">
        <v>0</v>
      </c>
      <c r="U328" s="6">
        <v>0</v>
      </c>
      <c r="V328" s="6">
        <f>IF(ISERROR(VLOOKUP($S$328,'TAR FIN'!$A$1:$O$103,15,0)),0,VLOOKUP($S$328,'TAR FIN'!$A$1:$O$103,15,0))</f>
        <v>12.42</v>
      </c>
      <c r="W328" s="6">
        <f>IF(ISERROR(VLOOKUP($T$328,'TAR FIN'!$A$1:$O$103,15,0)),0,VLOOKUP($T$328,'TAR FIN'!$A$1:$O$103,15,0))</f>
        <v>0</v>
      </c>
      <c r="X328" s="6">
        <f>IF(ISERROR(VLOOKUP($U$328,'TAR FIN'!$A$1:$O$103,15,0)),0,VLOOKUP($U$328,'TAR FIN'!$A$1:$O$103,15,0))</f>
        <v>0</v>
      </c>
      <c r="Y328" s="6">
        <f ca="1">('TUSD BE'!$AM$20+'TUSD BF_350'!$AM$20+'TUSD CVA'!$AM$20)*1</f>
        <v>17.579999999999998</v>
      </c>
      <c r="Z328" s="6"/>
      <c r="AA328" s="6"/>
      <c r="AB328" s="6">
        <f>$K$328*$V$328</f>
        <v>41271.659999999996</v>
      </c>
      <c r="AC328" s="6">
        <f>$M$328*$W$328</f>
        <v>0</v>
      </c>
      <c r="AD328" s="6">
        <f>$O$328*$X$328</f>
        <v>0</v>
      </c>
      <c r="AE328" s="6">
        <f ca="1">$K$328*$Y$328</f>
        <v>58418.34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33</v>
      </c>
      <c r="C329" s="4" t="s">
        <v>34</v>
      </c>
      <c r="D329" s="4" t="s">
        <v>40</v>
      </c>
      <c r="E329" s="4" t="s">
        <v>25</v>
      </c>
      <c r="F329" s="4" t="s">
        <v>54</v>
      </c>
      <c r="G329" s="4" t="s">
        <v>25</v>
      </c>
      <c r="H329" s="4" t="s">
        <v>25</v>
      </c>
      <c r="I329" s="5">
        <v>44501</v>
      </c>
      <c r="J329" s="6">
        <v>6803</v>
      </c>
      <c r="K329" s="6">
        <v>3401.5</v>
      </c>
      <c r="L329" s="6">
        <v>0</v>
      </c>
      <c r="M329" s="6">
        <v>0</v>
      </c>
      <c r="N329" s="6">
        <v>0</v>
      </c>
      <c r="O329" s="6">
        <v>0</v>
      </c>
      <c r="P329" s="6">
        <v>12</v>
      </c>
      <c r="Q329" s="4" t="s">
        <v>53</v>
      </c>
      <c r="R329" s="4">
        <v>0</v>
      </c>
      <c r="S329" s="6">
        <v>18</v>
      </c>
      <c r="T329" s="6">
        <v>0</v>
      </c>
      <c r="U329" s="6">
        <v>0</v>
      </c>
      <c r="V329" s="6">
        <f>IF(ISERROR(VLOOKUP($S$329,'TAR FIN'!$A$1:$O$103,15,0)),0,VLOOKUP($S$329,'TAR FIN'!$A$1:$O$103,15,0))</f>
        <v>12.42</v>
      </c>
      <c r="W329" s="6">
        <f>IF(ISERROR(VLOOKUP($T$329,'TAR FIN'!$A$1:$O$103,15,0)),0,VLOOKUP($T$329,'TAR FIN'!$A$1:$O$103,15,0))</f>
        <v>0</v>
      </c>
      <c r="X329" s="6">
        <f>IF(ISERROR(VLOOKUP($U$329,'TAR FIN'!$A$1:$O$103,15,0)),0,VLOOKUP($U$329,'TAR FIN'!$A$1:$O$103,15,0))</f>
        <v>0</v>
      </c>
      <c r="Y329" s="6">
        <f ca="1">('TUSD BE'!$AM$20+'TUSD BF_350'!$AM$20+'TUSD CVA'!$AM$20)*1</f>
        <v>17.579999999999998</v>
      </c>
      <c r="Z329" s="6"/>
      <c r="AA329" s="6"/>
      <c r="AB329" s="6">
        <f>$K$329*$V$329</f>
        <v>42246.63</v>
      </c>
      <c r="AC329" s="6">
        <f>$M$329*$W$329</f>
        <v>0</v>
      </c>
      <c r="AD329" s="6">
        <f>$O$329*$X$329</f>
        <v>0</v>
      </c>
      <c r="AE329" s="6">
        <f ca="1">$K$329*$Y$329</f>
        <v>59798.369999999995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33</v>
      </c>
      <c r="C330" s="4" t="s">
        <v>34</v>
      </c>
      <c r="D330" s="4" t="s">
        <v>40</v>
      </c>
      <c r="E330" s="4" t="s">
        <v>25</v>
      </c>
      <c r="F330" s="4" t="s">
        <v>54</v>
      </c>
      <c r="G330" s="4" t="s">
        <v>25</v>
      </c>
      <c r="H330" s="4" t="s">
        <v>25</v>
      </c>
      <c r="I330" s="5">
        <v>44531</v>
      </c>
      <c r="J330" s="6">
        <v>6862</v>
      </c>
      <c r="K330" s="6">
        <v>3431</v>
      </c>
      <c r="L330" s="6">
        <v>0</v>
      </c>
      <c r="M330" s="6">
        <v>0</v>
      </c>
      <c r="N330" s="6">
        <v>0</v>
      </c>
      <c r="O330" s="6">
        <v>0</v>
      </c>
      <c r="P330" s="6">
        <v>12</v>
      </c>
      <c r="Q330" s="4" t="s">
        <v>53</v>
      </c>
      <c r="R330" s="4">
        <v>0</v>
      </c>
      <c r="S330" s="6">
        <v>18</v>
      </c>
      <c r="T330" s="6">
        <v>0</v>
      </c>
      <c r="U330" s="6">
        <v>0</v>
      </c>
      <c r="V330" s="6">
        <f>IF(ISERROR(VLOOKUP($S$330,'TAR FIN'!$A$1:$O$103,15,0)),0,VLOOKUP($S$330,'TAR FIN'!$A$1:$O$103,15,0))</f>
        <v>12.42</v>
      </c>
      <c r="W330" s="6">
        <f>IF(ISERROR(VLOOKUP($T$330,'TAR FIN'!$A$1:$O$103,15,0)),0,VLOOKUP($T$330,'TAR FIN'!$A$1:$O$103,15,0))</f>
        <v>0</v>
      </c>
      <c r="X330" s="6">
        <f>IF(ISERROR(VLOOKUP($U$330,'TAR FIN'!$A$1:$O$103,15,0)),0,VLOOKUP($U$330,'TAR FIN'!$A$1:$O$103,15,0))</f>
        <v>0</v>
      </c>
      <c r="Y330" s="6">
        <f ca="1">('TUSD BE'!$AM$20+'TUSD BF_350'!$AM$20+'TUSD CVA'!$AM$20)*1</f>
        <v>17.579999999999998</v>
      </c>
      <c r="Z330" s="6"/>
      <c r="AA330" s="6"/>
      <c r="AB330" s="6">
        <f>$K$330*$V$330</f>
        <v>42613.02</v>
      </c>
      <c r="AC330" s="6">
        <f>$M$330*$W$330</f>
        <v>0</v>
      </c>
      <c r="AD330" s="6">
        <f>$O$330*$X$330</f>
        <v>0</v>
      </c>
      <c r="AE330" s="6">
        <f ca="1">$K$330*$Y$330</f>
        <v>60316.979999999996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33</v>
      </c>
      <c r="C331" s="4" t="s">
        <v>34</v>
      </c>
      <c r="D331" s="4" t="s">
        <v>40</v>
      </c>
      <c r="E331" s="4" t="s">
        <v>25</v>
      </c>
      <c r="F331" s="4" t="s">
        <v>54</v>
      </c>
      <c r="G331" s="4" t="s">
        <v>25</v>
      </c>
      <c r="H331" s="4" t="s">
        <v>25</v>
      </c>
      <c r="I331" s="5">
        <v>44562</v>
      </c>
      <c r="J331" s="6">
        <v>6817</v>
      </c>
      <c r="K331" s="6">
        <v>3408.5</v>
      </c>
      <c r="L331" s="6">
        <v>0</v>
      </c>
      <c r="M331" s="6">
        <v>0</v>
      </c>
      <c r="N331" s="6">
        <v>0</v>
      </c>
      <c r="O331" s="6">
        <v>0</v>
      </c>
      <c r="P331" s="6">
        <v>12</v>
      </c>
      <c r="Q331" s="4" t="s">
        <v>53</v>
      </c>
      <c r="R331" s="4">
        <v>0</v>
      </c>
      <c r="S331" s="6">
        <v>18</v>
      </c>
      <c r="T331" s="6">
        <v>0</v>
      </c>
      <c r="U331" s="6">
        <v>0</v>
      </c>
      <c r="V331" s="6">
        <f>IF(ISERROR(VLOOKUP($S$331,'TAR FIN'!$A$1:$O$103,15,0)),0,VLOOKUP($S$331,'TAR FIN'!$A$1:$O$103,15,0))</f>
        <v>12.42</v>
      </c>
      <c r="W331" s="6">
        <f>IF(ISERROR(VLOOKUP($T$331,'TAR FIN'!$A$1:$O$103,15,0)),0,VLOOKUP($T$331,'TAR FIN'!$A$1:$O$103,15,0))</f>
        <v>0</v>
      </c>
      <c r="X331" s="6">
        <f>IF(ISERROR(VLOOKUP($U$331,'TAR FIN'!$A$1:$O$103,15,0)),0,VLOOKUP($U$331,'TAR FIN'!$A$1:$O$103,15,0))</f>
        <v>0</v>
      </c>
      <c r="Y331" s="6">
        <f ca="1">('TUSD BE'!$AM$20+'TUSD BF_350'!$AM$20+'TUSD CVA'!$AM$20)*1</f>
        <v>17.579999999999998</v>
      </c>
      <c r="Z331" s="6"/>
      <c r="AA331" s="6"/>
      <c r="AB331" s="6">
        <f>$K$331*$V$331</f>
        <v>42333.57</v>
      </c>
      <c r="AC331" s="6">
        <f>$M$331*$W$331</f>
        <v>0</v>
      </c>
      <c r="AD331" s="6">
        <f>$O$331*$X$331</f>
        <v>0</v>
      </c>
      <c r="AE331" s="6">
        <f ca="1">$K$331*$Y$331</f>
        <v>59921.429999999993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33</v>
      </c>
      <c r="C332" s="4" t="s">
        <v>34</v>
      </c>
      <c r="D332" s="4" t="s">
        <v>40</v>
      </c>
      <c r="E332" s="4" t="s">
        <v>25</v>
      </c>
      <c r="F332" s="4" t="s">
        <v>54</v>
      </c>
      <c r="G332" s="4" t="s">
        <v>25</v>
      </c>
      <c r="H332" s="4" t="s">
        <v>25</v>
      </c>
      <c r="I332" s="5">
        <v>44593</v>
      </c>
      <c r="J332" s="6">
        <v>6956</v>
      </c>
      <c r="K332" s="6">
        <v>3478</v>
      </c>
      <c r="L332" s="6">
        <v>0</v>
      </c>
      <c r="M332" s="6">
        <v>0</v>
      </c>
      <c r="N332" s="6">
        <v>0</v>
      </c>
      <c r="O332" s="6">
        <v>0</v>
      </c>
      <c r="P332" s="6">
        <v>12</v>
      </c>
      <c r="Q332" s="4" t="s">
        <v>53</v>
      </c>
      <c r="R332" s="4">
        <v>0</v>
      </c>
      <c r="S332" s="6">
        <v>18</v>
      </c>
      <c r="T332" s="6">
        <v>0</v>
      </c>
      <c r="U332" s="6">
        <v>0</v>
      </c>
      <c r="V332" s="6">
        <f>IF(ISERROR(VLOOKUP($S$332,'TAR FIN'!$A$1:$O$103,15,0)),0,VLOOKUP($S$332,'TAR FIN'!$A$1:$O$103,15,0))</f>
        <v>12.42</v>
      </c>
      <c r="W332" s="6">
        <f>IF(ISERROR(VLOOKUP($T$332,'TAR FIN'!$A$1:$O$103,15,0)),0,VLOOKUP($T$332,'TAR FIN'!$A$1:$O$103,15,0))</f>
        <v>0</v>
      </c>
      <c r="X332" s="6">
        <f>IF(ISERROR(VLOOKUP($U$332,'TAR FIN'!$A$1:$O$103,15,0)),0,VLOOKUP($U$332,'TAR FIN'!$A$1:$O$103,15,0))</f>
        <v>0</v>
      </c>
      <c r="Y332" s="6">
        <f ca="1">('TUSD BE'!$AM$20+'TUSD BF_350'!$AM$20+'TUSD CVA'!$AM$20)*1</f>
        <v>17.579999999999998</v>
      </c>
      <c r="Z332" s="6"/>
      <c r="AA332" s="6"/>
      <c r="AB332" s="6">
        <f>$K$332*$V$332</f>
        <v>43196.76</v>
      </c>
      <c r="AC332" s="6">
        <f>$M$332*$W$332</f>
        <v>0</v>
      </c>
      <c r="AD332" s="6">
        <f>$O$332*$X$332</f>
        <v>0</v>
      </c>
      <c r="AE332" s="6">
        <f ca="1">$K$332*$Y$332</f>
        <v>61143.239999999991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33</v>
      </c>
      <c r="C333" s="4" t="s">
        <v>34</v>
      </c>
      <c r="D333" s="4" t="s">
        <v>40</v>
      </c>
      <c r="E333" s="4" t="s">
        <v>25</v>
      </c>
      <c r="F333" s="4" t="s">
        <v>54</v>
      </c>
      <c r="G333" s="4" t="s">
        <v>25</v>
      </c>
      <c r="H333" s="4" t="s">
        <v>25</v>
      </c>
      <c r="I333" s="5">
        <v>44621</v>
      </c>
      <c r="J333" s="6">
        <v>6826</v>
      </c>
      <c r="K333" s="6">
        <v>3413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53</v>
      </c>
      <c r="R333" s="4">
        <v>0</v>
      </c>
      <c r="S333" s="6">
        <v>18</v>
      </c>
      <c r="T333" s="6">
        <v>0</v>
      </c>
      <c r="U333" s="6">
        <v>0</v>
      </c>
      <c r="V333" s="6">
        <f>IF(ISERROR(VLOOKUP($S$333,'TAR FIN'!$A$1:$O$103,15,0)),0,VLOOKUP($S$333,'TAR FIN'!$A$1:$O$103,15,0))</f>
        <v>12.42</v>
      </c>
      <c r="W333" s="6">
        <f>IF(ISERROR(VLOOKUP($T$333,'TAR FIN'!$A$1:$O$103,15,0)),0,VLOOKUP($T$333,'TAR FIN'!$A$1:$O$103,15,0))</f>
        <v>0</v>
      </c>
      <c r="X333" s="6">
        <f>IF(ISERROR(VLOOKUP($U$333,'TAR FIN'!$A$1:$O$103,15,0)),0,VLOOKUP($U$333,'TAR FIN'!$A$1:$O$103,15,0))</f>
        <v>0</v>
      </c>
      <c r="Y333" s="6">
        <f ca="1">('TUSD BE'!$AM$20+'TUSD BF_350'!$AM$20+'TUSD CVA'!$AM$20)*1</f>
        <v>17.579999999999998</v>
      </c>
      <c r="Z333" s="6"/>
      <c r="AA333" s="6"/>
      <c r="AB333" s="6">
        <f>$K$333*$V$333</f>
        <v>42389.46</v>
      </c>
      <c r="AC333" s="6">
        <f>$M$333*$W$333</f>
        <v>0</v>
      </c>
      <c r="AD333" s="6">
        <f>$O$333*$X$333</f>
        <v>0</v>
      </c>
      <c r="AE333" s="6">
        <f ca="1">$K$333*$Y$333</f>
        <v>60000.539999999994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33</v>
      </c>
      <c r="C334" s="4" t="s">
        <v>34</v>
      </c>
      <c r="D334" s="4" t="s">
        <v>40</v>
      </c>
      <c r="E334" s="4" t="s">
        <v>25</v>
      </c>
      <c r="F334" s="4" t="s">
        <v>54</v>
      </c>
      <c r="G334" s="4" t="s">
        <v>25</v>
      </c>
      <c r="H334" s="4" t="s">
        <v>25</v>
      </c>
      <c r="I334" s="5">
        <v>44652</v>
      </c>
      <c r="J334" s="6">
        <v>7054</v>
      </c>
      <c r="K334" s="6">
        <v>3527</v>
      </c>
      <c r="L334" s="6">
        <v>0</v>
      </c>
      <c r="M334" s="6">
        <v>0</v>
      </c>
      <c r="N334" s="6">
        <v>0</v>
      </c>
      <c r="O334" s="6">
        <v>0</v>
      </c>
      <c r="P334" s="6">
        <v>12</v>
      </c>
      <c r="Q334" s="4" t="s">
        <v>53</v>
      </c>
      <c r="R334" s="4">
        <v>0</v>
      </c>
      <c r="S334" s="6">
        <v>18</v>
      </c>
      <c r="T334" s="6">
        <v>0</v>
      </c>
      <c r="U334" s="6">
        <v>0</v>
      </c>
      <c r="V334" s="6">
        <f>IF(ISERROR(VLOOKUP($S$334,'TAR FIN'!$A$1:$O$103,15,0)),0,VLOOKUP($S$334,'TAR FIN'!$A$1:$O$103,15,0))</f>
        <v>12.42</v>
      </c>
      <c r="W334" s="6">
        <f>IF(ISERROR(VLOOKUP($T$334,'TAR FIN'!$A$1:$O$103,15,0)),0,VLOOKUP($T$334,'TAR FIN'!$A$1:$O$103,15,0))</f>
        <v>0</v>
      </c>
      <c r="X334" s="6">
        <f>IF(ISERROR(VLOOKUP($U$334,'TAR FIN'!$A$1:$O$103,15,0)),0,VLOOKUP($U$334,'TAR FIN'!$A$1:$O$103,15,0))</f>
        <v>0</v>
      </c>
      <c r="Y334" s="6">
        <f ca="1">('TUSD BE'!$AM$20+'TUSD BF_350'!$AM$20+'TUSD CVA'!$AM$20)*1</f>
        <v>17.579999999999998</v>
      </c>
      <c r="Z334" s="6"/>
      <c r="AA334" s="6"/>
      <c r="AB334" s="6">
        <f>$K$334*$V$334</f>
        <v>43805.34</v>
      </c>
      <c r="AC334" s="6">
        <f>$M$334*$W$334</f>
        <v>0</v>
      </c>
      <c r="AD334" s="6">
        <f>$O$334*$X$334</f>
        <v>0</v>
      </c>
      <c r="AE334" s="6">
        <f ca="1">$K$334*$Y$334</f>
        <v>62004.659999999996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33</v>
      </c>
      <c r="C335" s="4" t="s">
        <v>34</v>
      </c>
      <c r="D335" s="4" t="s">
        <v>40</v>
      </c>
      <c r="E335" s="4" t="s">
        <v>25</v>
      </c>
      <c r="F335" s="4" t="s">
        <v>54</v>
      </c>
      <c r="G335" s="4" t="s">
        <v>25</v>
      </c>
      <c r="H335" s="4" t="s">
        <v>25</v>
      </c>
      <c r="I335" s="5">
        <v>44682</v>
      </c>
      <c r="J335" s="6">
        <v>5327</v>
      </c>
      <c r="K335" s="6">
        <v>2663.5</v>
      </c>
      <c r="L335" s="6">
        <v>0</v>
      </c>
      <c r="M335" s="6">
        <v>0</v>
      </c>
      <c r="N335" s="6">
        <v>0</v>
      </c>
      <c r="O335" s="6">
        <v>0</v>
      </c>
      <c r="P335" s="6">
        <v>11</v>
      </c>
      <c r="Q335" s="4" t="s">
        <v>53</v>
      </c>
      <c r="R335" s="4">
        <v>0</v>
      </c>
      <c r="S335" s="6">
        <v>18</v>
      </c>
      <c r="T335" s="6">
        <v>0</v>
      </c>
      <c r="U335" s="6">
        <v>0</v>
      </c>
      <c r="V335" s="6">
        <f>IF(ISERROR(VLOOKUP($S$335,'TAR FIN'!$A$1:$O$103,15,0)),0,VLOOKUP($S$335,'TAR FIN'!$A$1:$O$103,15,0))</f>
        <v>12.42</v>
      </c>
      <c r="W335" s="6">
        <f>IF(ISERROR(VLOOKUP($T$335,'TAR FIN'!$A$1:$O$103,15,0)),0,VLOOKUP($T$335,'TAR FIN'!$A$1:$O$103,15,0))</f>
        <v>0</v>
      </c>
      <c r="X335" s="6">
        <f>IF(ISERROR(VLOOKUP($U$335,'TAR FIN'!$A$1:$O$103,15,0)),0,VLOOKUP($U$335,'TAR FIN'!$A$1:$O$103,15,0))</f>
        <v>0</v>
      </c>
      <c r="Y335" s="6">
        <f ca="1">('TUSD BE'!$AM$20+'TUSD BF_350'!$AM$20+'TUSD CVA'!$AM$20)*1</f>
        <v>17.579999999999998</v>
      </c>
      <c r="Z335" s="6"/>
      <c r="AA335" s="6"/>
      <c r="AB335" s="6">
        <f>$K$335*$V$335</f>
        <v>33080.67</v>
      </c>
      <c r="AC335" s="6">
        <f>$M$335*$W$335</f>
        <v>0</v>
      </c>
      <c r="AD335" s="6">
        <f>$O$335*$X$335</f>
        <v>0</v>
      </c>
      <c r="AE335" s="6">
        <f ca="1">$K$335*$Y$335</f>
        <v>46824.329999999994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33</v>
      </c>
      <c r="C336" s="4" t="s">
        <v>34</v>
      </c>
      <c r="D336" s="4" t="s">
        <v>40</v>
      </c>
      <c r="E336" s="4" t="s">
        <v>25</v>
      </c>
      <c r="F336" s="4" t="s">
        <v>54</v>
      </c>
      <c r="G336" s="4" t="s">
        <v>25</v>
      </c>
      <c r="H336" s="4" t="s">
        <v>37</v>
      </c>
      <c r="I336" s="5">
        <v>44348</v>
      </c>
      <c r="J336" s="6">
        <v>0</v>
      </c>
      <c r="K336" s="6">
        <v>0</v>
      </c>
      <c r="L336" s="6">
        <v>226.70599999999999</v>
      </c>
      <c r="M336" s="6">
        <v>113.35299999999999</v>
      </c>
      <c r="N336" s="6">
        <v>0</v>
      </c>
      <c r="O336" s="6">
        <v>0</v>
      </c>
      <c r="P336" s="6">
        <v>0</v>
      </c>
      <c r="Q336" s="4" t="s">
        <v>53</v>
      </c>
      <c r="R336" s="4">
        <v>0</v>
      </c>
      <c r="S336" s="6">
        <v>0</v>
      </c>
      <c r="T336" s="6">
        <v>19</v>
      </c>
      <c r="U336" s="6">
        <v>0</v>
      </c>
      <c r="V336" s="6">
        <f>IF(ISERROR(VLOOKUP($S$336,'TAR FIN'!$A$1:$O$103,15,0)),0,VLOOKUP($S$336,'TAR FIN'!$A$1:$O$103,15,0))</f>
        <v>0</v>
      </c>
      <c r="W336" s="6">
        <f>IF(ISERROR(VLOOKUP($T$336,'TAR FIN'!$A$1:$O$103,15,0)),0,VLOOKUP($T$336,'TAR FIN'!$A$1:$O$103,15,0))</f>
        <v>842.31</v>
      </c>
      <c r="X336" s="6">
        <f>IF(ISERROR(VLOOKUP($U$336,'TAR FIN'!$A$1:$O$103,15,0)),0,VLOOKUP($U$336,'TAR FIN'!$A$1:$O$103,15,0))</f>
        <v>0</v>
      </c>
      <c r="Y336" s="6"/>
      <c r="Z336" s="6">
        <f ca="1">('TUSD BE'!$AM$21+'TUSD BF_350'!$AM$21+'TUSD CVA'!$AM$21)*1</f>
        <v>1027.46</v>
      </c>
      <c r="AA336" s="6"/>
      <c r="AB336" s="6">
        <f>$K$336*$V$336</f>
        <v>0</v>
      </c>
      <c r="AC336" s="6">
        <f>$M$336*$W$336</f>
        <v>95478.365429999991</v>
      </c>
      <c r="AD336" s="6">
        <f>$O$336*$X$336</f>
        <v>0</v>
      </c>
      <c r="AE336" s="6">
        <f>$K$336*$Y$336</f>
        <v>0</v>
      </c>
      <c r="AF336" s="6">
        <f ca="1">$M$336*$Z$336</f>
        <v>116465.67337999999</v>
      </c>
      <c r="AG336" s="6">
        <f>$O$336*$AA$336</f>
        <v>0</v>
      </c>
    </row>
    <row r="337" spans="1:33" ht="11.25" customHeight="1" x14ac:dyDescent="0.25">
      <c r="A337" s="4" t="s">
        <v>21</v>
      </c>
      <c r="B337" s="4" t="s">
        <v>33</v>
      </c>
      <c r="C337" s="4" t="s">
        <v>34</v>
      </c>
      <c r="D337" s="4" t="s">
        <v>40</v>
      </c>
      <c r="E337" s="4" t="s">
        <v>25</v>
      </c>
      <c r="F337" s="4" t="s">
        <v>54</v>
      </c>
      <c r="G337" s="4" t="s">
        <v>25</v>
      </c>
      <c r="H337" s="4" t="s">
        <v>37</v>
      </c>
      <c r="I337" s="5">
        <v>44378</v>
      </c>
      <c r="J337" s="6">
        <v>0</v>
      </c>
      <c r="K337" s="6">
        <v>0</v>
      </c>
      <c r="L337" s="6">
        <v>222.68600000000001</v>
      </c>
      <c r="M337" s="6">
        <v>111.343</v>
      </c>
      <c r="N337" s="6">
        <v>0</v>
      </c>
      <c r="O337" s="6">
        <v>0</v>
      </c>
      <c r="P337" s="6">
        <v>0</v>
      </c>
      <c r="Q337" s="4" t="s">
        <v>53</v>
      </c>
      <c r="R337" s="4">
        <v>0</v>
      </c>
      <c r="S337" s="6">
        <v>0</v>
      </c>
      <c r="T337" s="6">
        <v>19</v>
      </c>
      <c r="U337" s="6">
        <v>0</v>
      </c>
      <c r="V337" s="6">
        <f>IF(ISERROR(VLOOKUP($S$337,'TAR FIN'!$A$1:$O$103,15,0)),0,VLOOKUP($S$337,'TAR FIN'!$A$1:$O$103,15,0))</f>
        <v>0</v>
      </c>
      <c r="W337" s="6">
        <f>IF(ISERROR(VLOOKUP($T$337,'TAR FIN'!$A$1:$O$103,15,0)),0,VLOOKUP($T$337,'TAR FIN'!$A$1:$O$103,15,0))</f>
        <v>842.31</v>
      </c>
      <c r="X337" s="6">
        <f>IF(ISERROR(VLOOKUP($U$337,'TAR FIN'!$A$1:$O$103,15,0)),0,VLOOKUP($U$337,'TAR FIN'!$A$1:$O$103,15,0))</f>
        <v>0</v>
      </c>
      <c r="Y337" s="6"/>
      <c r="Z337" s="6">
        <f ca="1">('TUSD BE'!$AM$21+'TUSD BF_350'!$AM$21+'TUSD CVA'!$AM$21)*1</f>
        <v>1027.46</v>
      </c>
      <c r="AA337" s="6"/>
      <c r="AB337" s="6">
        <f>$K$337*$V$337</f>
        <v>0</v>
      </c>
      <c r="AC337" s="6">
        <f>$M$337*$W$337</f>
        <v>93785.322329999995</v>
      </c>
      <c r="AD337" s="6">
        <f>$O$337*$X$337</f>
        <v>0</v>
      </c>
      <c r="AE337" s="6">
        <f>$K$337*$Y$337</f>
        <v>0</v>
      </c>
      <c r="AF337" s="6">
        <f ca="1">$M$337*$Z$337</f>
        <v>114400.47878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33</v>
      </c>
      <c r="C338" s="4" t="s">
        <v>34</v>
      </c>
      <c r="D338" s="4" t="s">
        <v>40</v>
      </c>
      <c r="E338" s="4" t="s">
        <v>25</v>
      </c>
      <c r="F338" s="4" t="s">
        <v>54</v>
      </c>
      <c r="G338" s="4" t="s">
        <v>25</v>
      </c>
      <c r="H338" s="4" t="s">
        <v>37</v>
      </c>
      <c r="I338" s="5">
        <v>44409</v>
      </c>
      <c r="J338" s="6">
        <v>0</v>
      </c>
      <c r="K338" s="6">
        <v>0</v>
      </c>
      <c r="L338" s="6">
        <v>230.55199999999999</v>
      </c>
      <c r="M338" s="6">
        <v>115.276</v>
      </c>
      <c r="N338" s="6">
        <v>0</v>
      </c>
      <c r="O338" s="6">
        <v>0</v>
      </c>
      <c r="P338" s="6">
        <v>0</v>
      </c>
      <c r="Q338" s="4" t="s">
        <v>53</v>
      </c>
      <c r="R338" s="4">
        <v>0</v>
      </c>
      <c r="S338" s="6">
        <v>0</v>
      </c>
      <c r="T338" s="6">
        <v>19</v>
      </c>
      <c r="U338" s="6">
        <v>0</v>
      </c>
      <c r="V338" s="6">
        <f>IF(ISERROR(VLOOKUP($S$338,'TAR FIN'!$A$1:$O$103,15,0)),0,VLOOKUP($S$338,'TAR FIN'!$A$1:$O$103,15,0))</f>
        <v>0</v>
      </c>
      <c r="W338" s="6">
        <f>IF(ISERROR(VLOOKUP($T$338,'TAR FIN'!$A$1:$O$103,15,0)),0,VLOOKUP($T$338,'TAR FIN'!$A$1:$O$103,15,0))</f>
        <v>842.31</v>
      </c>
      <c r="X338" s="6">
        <f>IF(ISERROR(VLOOKUP($U$338,'TAR FIN'!$A$1:$O$103,15,0)),0,VLOOKUP($U$338,'TAR FIN'!$A$1:$O$103,15,0))</f>
        <v>0</v>
      </c>
      <c r="Y338" s="6"/>
      <c r="Z338" s="6">
        <f ca="1">('TUSD BE'!$AM$21+'TUSD BF_350'!$AM$21+'TUSD CVA'!$AM$21)*1</f>
        <v>1027.46</v>
      </c>
      <c r="AA338" s="6"/>
      <c r="AB338" s="6">
        <f>$K$338*$V$338</f>
        <v>0</v>
      </c>
      <c r="AC338" s="6">
        <f>$M$338*$W$338</f>
        <v>97098.127559999994</v>
      </c>
      <c r="AD338" s="6">
        <f>$O$338*$X$338</f>
        <v>0</v>
      </c>
      <c r="AE338" s="6">
        <f>$K$338*$Y$338</f>
        <v>0</v>
      </c>
      <c r="AF338" s="6">
        <f ca="1">$M$338*$Z$338</f>
        <v>118441.47895999999</v>
      </c>
      <c r="AG338" s="6">
        <f>$O$338*$AA$338</f>
        <v>0</v>
      </c>
    </row>
    <row r="339" spans="1:33" ht="11.25" customHeight="1" x14ac:dyDescent="0.25">
      <c r="A339" s="4" t="s">
        <v>21</v>
      </c>
      <c r="B339" s="4" t="s">
        <v>33</v>
      </c>
      <c r="C339" s="4" t="s">
        <v>34</v>
      </c>
      <c r="D339" s="4" t="s">
        <v>40</v>
      </c>
      <c r="E339" s="4" t="s">
        <v>25</v>
      </c>
      <c r="F339" s="4" t="s">
        <v>54</v>
      </c>
      <c r="G339" s="4" t="s">
        <v>25</v>
      </c>
      <c r="H339" s="4" t="s">
        <v>37</v>
      </c>
      <c r="I339" s="5">
        <v>44440</v>
      </c>
      <c r="J339" s="6">
        <v>0</v>
      </c>
      <c r="K339" s="6">
        <v>0</v>
      </c>
      <c r="L339" s="6">
        <v>201.41900000000001</v>
      </c>
      <c r="M339" s="6">
        <v>100.70950000000001</v>
      </c>
      <c r="N339" s="6">
        <v>0</v>
      </c>
      <c r="O339" s="6">
        <v>0</v>
      </c>
      <c r="P339" s="6">
        <v>0</v>
      </c>
      <c r="Q339" s="4" t="s">
        <v>53</v>
      </c>
      <c r="R339" s="4">
        <v>0</v>
      </c>
      <c r="S339" s="6">
        <v>0</v>
      </c>
      <c r="T339" s="6">
        <v>19</v>
      </c>
      <c r="U339" s="6">
        <v>0</v>
      </c>
      <c r="V339" s="6">
        <f>IF(ISERROR(VLOOKUP($S$339,'TAR FIN'!$A$1:$O$103,15,0)),0,VLOOKUP($S$339,'TAR FIN'!$A$1:$O$103,15,0))</f>
        <v>0</v>
      </c>
      <c r="W339" s="6">
        <f>IF(ISERROR(VLOOKUP($T$339,'TAR FIN'!$A$1:$O$103,15,0)),0,VLOOKUP($T$339,'TAR FIN'!$A$1:$O$103,15,0))</f>
        <v>842.31</v>
      </c>
      <c r="X339" s="6">
        <f>IF(ISERROR(VLOOKUP($U$339,'TAR FIN'!$A$1:$O$103,15,0)),0,VLOOKUP($U$339,'TAR FIN'!$A$1:$O$103,15,0))</f>
        <v>0</v>
      </c>
      <c r="Y339" s="6"/>
      <c r="Z339" s="6">
        <f ca="1">('TUSD BE'!$AM$21+'TUSD BF_350'!$AM$21+'TUSD CVA'!$AM$21)*1</f>
        <v>1027.46</v>
      </c>
      <c r="AA339" s="6"/>
      <c r="AB339" s="6">
        <f>$K$339*$V$339</f>
        <v>0</v>
      </c>
      <c r="AC339" s="6">
        <f>$M$339*$W$339</f>
        <v>84828.618944999995</v>
      </c>
      <c r="AD339" s="6">
        <f>$O$339*$X$339</f>
        <v>0</v>
      </c>
      <c r="AE339" s="6">
        <f>$K$339*$Y$339</f>
        <v>0</v>
      </c>
      <c r="AF339" s="6">
        <f ca="1">$M$339*$Z$339</f>
        <v>103474.98287000001</v>
      </c>
      <c r="AG339" s="6">
        <f>$O$339*$AA$339</f>
        <v>0</v>
      </c>
    </row>
    <row r="340" spans="1:33" ht="11.25" customHeight="1" x14ac:dyDescent="0.25">
      <c r="A340" s="4" t="s">
        <v>21</v>
      </c>
      <c r="B340" s="4" t="s">
        <v>33</v>
      </c>
      <c r="C340" s="4" t="s">
        <v>34</v>
      </c>
      <c r="D340" s="4" t="s">
        <v>40</v>
      </c>
      <c r="E340" s="4" t="s">
        <v>25</v>
      </c>
      <c r="F340" s="4" t="s">
        <v>54</v>
      </c>
      <c r="G340" s="4" t="s">
        <v>25</v>
      </c>
      <c r="H340" s="4" t="s">
        <v>37</v>
      </c>
      <c r="I340" s="5">
        <v>44470</v>
      </c>
      <c r="J340" s="6">
        <v>0</v>
      </c>
      <c r="K340" s="6">
        <v>0</v>
      </c>
      <c r="L340" s="6">
        <v>266.76</v>
      </c>
      <c r="M340" s="6">
        <v>133.38</v>
      </c>
      <c r="N340" s="6">
        <v>0</v>
      </c>
      <c r="O340" s="6">
        <v>0</v>
      </c>
      <c r="P340" s="6">
        <v>0</v>
      </c>
      <c r="Q340" s="4" t="s">
        <v>53</v>
      </c>
      <c r="R340" s="4">
        <v>0</v>
      </c>
      <c r="S340" s="6">
        <v>0</v>
      </c>
      <c r="T340" s="6">
        <v>19</v>
      </c>
      <c r="U340" s="6">
        <v>0</v>
      </c>
      <c r="V340" s="6">
        <f>IF(ISERROR(VLOOKUP($S$340,'TAR FIN'!$A$1:$O$103,15,0)),0,VLOOKUP($S$340,'TAR FIN'!$A$1:$O$103,15,0))</f>
        <v>0</v>
      </c>
      <c r="W340" s="6">
        <f>IF(ISERROR(VLOOKUP($T$340,'TAR FIN'!$A$1:$O$103,15,0)),0,VLOOKUP($T$340,'TAR FIN'!$A$1:$O$103,15,0))</f>
        <v>842.31</v>
      </c>
      <c r="X340" s="6">
        <f>IF(ISERROR(VLOOKUP($U$340,'TAR FIN'!$A$1:$O$103,15,0)),0,VLOOKUP($U$340,'TAR FIN'!$A$1:$O$103,15,0))</f>
        <v>0</v>
      </c>
      <c r="Y340" s="6"/>
      <c r="Z340" s="6">
        <f ca="1">('TUSD BE'!$AM$21+'TUSD BF_350'!$AM$21+'TUSD CVA'!$AM$21)*1</f>
        <v>1027.46</v>
      </c>
      <c r="AA340" s="6"/>
      <c r="AB340" s="6">
        <f>$K$340*$V$340</f>
        <v>0</v>
      </c>
      <c r="AC340" s="6">
        <f>$M$340*$W$340</f>
        <v>112347.3078</v>
      </c>
      <c r="AD340" s="6">
        <f>$O$340*$X$340</f>
        <v>0</v>
      </c>
      <c r="AE340" s="6">
        <f>$K$340*$Y$340</f>
        <v>0</v>
      </c>
      <c r="AF340" s="6">
        <f ca="1">$M$340*$Z$340</f>
        <v>137042.61480000001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33</v>
      </c>
      <c r="C341" s="4" t="s">
        <v>34</v>
      </c>
      <c r="D341" s="4" t="s">
        <v>40</v>
      </c>
      <c r="E341" s="4" t="s">
        <v>25</v>
      </c>
      <c r="F341" s="4" t="s">
        <v>54</v>
      </c>
      <c r="G341" s="4" t="s">
        <v>25</v>
      </c>
      <c r="H341" s="4" t="s">
        <v>37</v>
      </c>
      <c r="I341" s="5">
        <v>44501</v>
      </c>
      <c r="J341" s="6">
        <v>0</v>
      </c>
      <c r="K341" s="6">
        <v>0</v>
      </c>
      <c r="L341" s="6">
        <v>257.44299999999998</v>
      </c>
      <c r="M341" s="6">
        <v>128.72149999999999</v>
      </c>
      <c r="N341" s="6">
        <v>0</v>
      </c>
      <c r="O341" s="6">
        <v>0</v>
      </c>
      <c r="P341" s="6">
        <v>0</v>
      </c>
      <c r="Q341" s="4" t="s">
        <v>53</v>
      </c>
      <c r="R341" s="4">
        <v>0</v>
      </c>
      <c r="S341" s="6">
        <v>0</v>
      </c>
      <c r="T341" s="6">
        <v>19</v>
      </c>
      <c r="U341" s="6">
        <v>0</v>
      </c>
      <c r="V341" s="6">
        <f>IF(ISERROR(VLOOKUP($S$341,'TAR FIN'!$A$1:$O$103,15,0)),0,VLOOKUP($S$341,'TAR FIN'!$A$1:$O$103,15,0))</f>
        <v>0</v>
      </c>
      <c r="W341" s="6">
        <f>IF(ISERROR(VLOOKUP($T$341,'TAR FIN'!$A$1:$O$103,15,0)),0,VLOOKUP($T$341,'TAR FIN'!$A$1:$O$103,15,0))</f>
        <v>842.31</v>
      </c>
      <c r="X341" s="6">
        <f>IF(ISERROR(VLOOKUP($U$341,'TAR FIN'!$A$1:$O$103,15,0)),0,VLOOKUP($U$341,'TAR FIN'!$A$1:$O$103,15,0))</f>
        <v>0</v>
      </c>
      <c r="Y341" s="6"/>
      <c r="Z341" s="6">
        <f ca="1">('TUSD BE'!$AM$21+'TUSD BF_350'!$AM$21+'TUSD CVA'!$AM$21)*1</f>
        <v>1027.46</v>
      </c>
      <c r="AA341" s="6"/>
      <c r="AB341" s="6">
        <f>$K$341*$V$341</f>
        <v>0</v>
      </c>
      <c r="AC341" s="6">
        <f>$M$341*$W$341</f>
        <v>108423.40666499999</v>
      </c>
      <c r="AD341" s="6">
        <f>$O$341*$X$341</f>
        <v>0</v>
      </c>
      <c r="AE341" s="6">
        <f>$K$341*$Y$341</f>
        <v>0</v>
      </c>
      <c r="AF341" s="6">
        <f ca="1">$M$341*$Z$341</f>
        <v>132256.19238999998</v>
      </c>
      <c r="AG341" s="6">
        <f>$O$341*$AA$341</f>
        <v>0</v>
      </c>
    </row>
    <row r="342" spans="1:33" ht="11.25" customHeight="1" x14ac:dyDescent="0.25">
      <c r="A342" s="4" t="s">
        <v>21</v>
      </c>
      <c r="B342" s="4" t="s">
        <v>33</v>
      </c>
      <c r="C342" s="4" t="s">
        <v>34</v>
      </c>
      <c r="D342" s="4" t="s">
        <v>40</v>
      </c>
      <c r="E342" s="4" t="s">
        <v>25</v>
      </c>
      <c r="F342" s="4" t="s">
        <v>54</v>
      </c>
      <c r="G342" s="4" t="s">
        <v>25</v>
      </c>
      <c r="H342" s="4" t="s">
        <v>37</v>
      </c>
      <c r="I342" s="5">
        <v>44531</v>
      </c>
      <c r="J342" s="6">
        <v>0</v>
      </c>
      <c r="K342" s="6">
        <v>0</v>
      </c>
      <c r="L342" s="6">
        <v>276.63499999999999</v>
      </c>
      <c r="M342" s="6">
        <v>138.3175</v>
      </c>
      <c r="N342" s="6">
        <v>0</v>
      </c>
      <c r="O342" s="6">
        <v>0</v>
      </c>
      <c r="P342" s="6">
        <v>0</v>
      </c>
      <c r="Q342" s="4" t="s">
        <v>53</v>
      </c>
      <c r="R342" s="4">
        <v>0</v>
      </c>
      <c r="S342" s="6">
        <v>0</v>
      </c>
      <c r="T342" s="6">
        <v>19</v>
      </c>
      <c r="U342" s="6">
        <v>0</v>
      </c>
      <c r="V342" s="6">
        <f>IF(ISERROR(VLOOKUP($S$342,'TAR FIN'!$A$1:$O$103,15,0)),0,VLOOKUP($S$342,'TAR FIN'!$A$1:$O$103,15,0))</f>
        <v>0</v>
      </c>
      <c r="W342" s="6">
        <f>IF(ISERROR(VLOOKUP($T$342,'TAR FIN'!$A$1:$O$103,15,0)),0,VLOOKUP($T$342,'TAR FIN'!$A$1:$O$103,15,0))</f>
        <v>842.31</v>
      </c>
      <c r="X342" s="6">
        <f>IF(ISERROR(VLOOKUP($U$342,'TAR FIN'!$A$1:$O$103,15,0)),0,VLOOKUP($U$342,'TAR FIN'!$A$1:$O$103,15,0))</f>
        <v>0</v>
      </c>
      <c r="Y342" s="6"/>
      <c r="Z342" s="6">
        <f ca="1">('TUSD BE'!$AM$21+'TUSD BF_350'!$AM$21+'TUSD CVA'!$AM$21)*1</f>
        <v>1027.46</v>
      </c>
      <c r="AA342" s="6"/>
      <c r="AB342" s="6">
        <f>$K$342*$V$342</f>
        <v>0</v>
      </c>
      <c r="AC342" s="6">
        <f>$M$342*$W$342</f>
        <v>116506.21342499999</v>
      </c>
      <c r="AD342" s="6">
        <f>$O$342*$X$342</f>
        <v>0</v>
      </c>
      <c r="AE342" s="6">
        <f>$K$342*$Y$342</f>
        <v>0</v>
      </c>
      <c r="AF342" s="6">
        <f ca="1">$M$342*$Z$342</f>
        <v>142115.69855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33</v>
      </c>
      <c r="C343" s="4" t="s">
        <v>34</v>
      </c>
      <c r="D343" s="4" t="s">
        <v>40</v>
      </c>
      <c r="E343" s="4" t="s">
        <v>25</v>
      </c>
      <c r="F343" s="4" t="s">
        <v>54</v>
      </c>
      <c r="G343" s="4" t="s">
        <v>25</v>
      </c>
      <c r="H343" s="4" t="s">
        <v>37</v>
      </c>
      <c r="I343" s="5">
        <v>44562</v>
      </c>
      <c r="J343" s="6">
        <v>0</v>
      </c>
      <c r="K343" s="6">
        <v>0</v>
      </c>
      <c r="L343" s="6">
        <v>262.87700000000001</v>
      </c>
      <c r="M343" s="6">
        <v>131.4385</v>
      </c>
      <c r="N343" s="6">
        <v>0</v>
      </c>
      <c r="O343" s="6">
        <v>0</v>
      </c>
      <c r="P343" s="6">
        <v>0</v>
      </c>
      <c r="Q343" s="4" t="s">
        <v>53</v>
      </c>
      <c r="R343" s="4">
        <v>0</v>
      </c>
      <c r="S343" s="6">
        <v>0</v>
      </c>
      <c r="T343" s="6">
        <v>19</v>
      </c>
      <c r="U343" s="6">
        <v>0</v>
      </c>
      <c r="V343" s="6">
        <f>IF(ISERROR(VLOOKUP($S$343,'TAR FIN'!$A$1:$O$103,15,0)),0,VLOOKUP($S$343,'TAR FIN'!$A$1:$O$103,15,0))</f>
        <v>0</v>
      </c>
      <c r="W343" s="6">
        <f>IF(ISERROR(VLOOKUP($T$343,'TAR FIN'!$A$1:$O$103,15,0)),0,VLOOKUP($T$343,'TAR FIN'!$A$1:$O$103,15,0))</f>
        <v>842.31</v>
      </c>
      <c r="X343" s="6">
        <f>IF(ISERROR(VLOOKUP($U$343,'TAR FIN'!$A$1:$O$103,15,0)),0,VLOOKUP($U$343,'TAR FIN'!$A$1:$O$103,15,0))</f>
        <v>0</v>
      </c>
      <c r="Y343" s="6"/>
      <c r="Z343" s="6">
        <f ca="1">('TUSD BE'!$AM$21+'TUSD BF_350'!$AM$21+'TUSD CVA'!$AM$21)*1</f>
        <v>1027.46</v>
      </c>
      <c r="AA343" s="6"/>
      <c r="AB343" s="6">
        <f>$K$343*$V$343</f>
        <v>0</v>
      </c>
      <c r="AC343" s="6">
        <f>$M$343*$W$343</f>
        <v>110711.962935</v>
      </c>
      <c r="AD343" s="6">
        <f>$O$343*$X$343</f>
        <v>0</v>
      </c>
      <c r="AE343" s="6">
        <f>$K$343*$Y$343</f>
        <v>0</v>
      </c>
      <c r="AF343" s="6">
        <f ca="1">$M$343*$Z$343</f>
        <v>135047.80121000001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33</v>
      </c>
      <c r="C344" s="4" t="s">
        <v>34</v>
      </c>
      <c r="D344" s="4" t="s">
        <v>40</v>
      </c>
      <c r="E344" s="4" t="s">
        <v>25</v>
      </c>
      <c r="F344" s="4" t="s">
        <v>54</v>
      </c>
      <c r="G344" s="4" t="s">
        <v>25</v>
      </c>
      <c r="H344" s="4" t="s">
        <v>37</v>
      </c>
      <c r="I344" s="5">
        <v>44593</v>
      </c>
      <c r="J344" s="6">
        <v>0</v>
      </c>
      <c r="K344" s="6">
        <v>0</v>
      </c>
      <c r="L344" s="6">
        <v>261.62799999999999</v>
      </c>
      <c r="M344" s="6">
        <v>130.81399999999999</v>
      </c>
      <c r="N344" s="6">
        <v>0</v>
      </c>
      <c r="O344" s="6">
        <v>0</v>
      </c>
      <c r="P344" s="6">
        <v>0</v>
      </c>
      <c r="Q344" s="4" t="s">
        <v>53</v>
      </c>
      <c r="R344" s="4">
        <v>0</v>
      </c>
      <c r="S344" s="6">
        <v>0</v>
      </c>
      <c r="T344" s="6">
        <v>19</v>
      </c>
      <c r="U344" s="6">
        <v>0</v>
      </c>
      <c r="V344" s="6">
        <f>IF(ISERROR(VLOOKUP($S$344,'TAR FIN'!$A$1:$O$103,15,0)),0,VLOOKUP($S$344,'TAR FIN'!$A$1:$O$103,15,0))</f>
        <v>0</v>
      </c>
      <c r="W344" s="6">
        <f>IF(ISERROR(VLOOKUP($T$344,'TAR FIN'!$A$1:$O$103,15,0)),0,VLOOKUP($T$344,'TAR FIN'!$A$1:$O$103,15,0))</f>
        <v>842.31</v>
      </c>
      <c r="X344" s="6">
        <f>IF(ISERROR(VLOOKUP($U$344,'TAR FIN'!$A$1:$O$103,15,0)),0,VLOOKUP($U$344,'TAR FIN'!$A$1:$O$103,15,0))</f>
        <v>0</v>
      </c>
      <c r="Y344" s="6"/>
      <c r="Z344" s="6">
        <f ca="1">('TUSD BE'!$AM$21+'TUSD BF_350'!$AM$21+'TUSD CVA'!$AM$21)*1</f>
        <v>1027.46</v>
      </c>
      <c r="AA344" s="6"/>
      <c r="AB344" s="6">
        <f>$K$344*$V$344</f>
        <v>0</v>
      </c>
      <c r="AC344" s="6">
        <f>$M$344*$W$344</f>
        <v>110185.94033999999</v>
      </c>
      <c r="AD344" s="6">
        <f>$O$344*$X$344</f>
        <v>0</v>
      </c>
      <c r="AE344" s="6">
        <f>$K$344*$Y$344</f>
        <v>0</v>
      </c>
      <c r="AF344" s="6">
        <f ca="1">$M$344*$Z$344</f>
        <v>134406.15244000001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33</v>
      </c>
      <c r="C345" s="4" t="s">
        <v>34</v>
      </c>
      <c r="D345" s="4" t="s">
        <v>40</v>
      </c>
      <c r="E345" s="4" t="s">
        <v>25</v>
      </c>
      <c r="F345" s="4" t="s">
        <v>54</v>
      </c>
      <c r="G345" s="4" t="s">
        <v>25</v>
      </c>
      <c r="H345" s="4" t="s">
        <v>37</v>
      </c>
      <c r="I345" s="5">
        <v>44621</v>
      </c>
      <c r="J345" s="6">
        <v>0</v>
      </c>
      <c r="K345" s="6">
        <v>0</v>
      </c>
      <c r="L345" s="6">
        <v>277.09199999999998</v>
      </c>
      <c r="M345" s="6">
        <v>138.54599999999999</v>
      </c>
      <c r="N345" s="6">
        <v>0</v>
      </c>
      <c r="O345" s="6">
        <v>0</v>
      </c>
      <c r="P345" s="6">
        <v>0</v>
      </c>
      <c r="Q345" s="4" t="s">
        <v>53</v>
      </c>
      <c r="R345" s="4">
        <v>0</v>
      </c>
      <c r="S345" s="6">
        <v>0</v>
      </c>
      <c r="T345" s="6">
        <v>19</v>
      </c>
      <c r="U345" s="6">
        <v>0</v>
      </c>
      <c r="V345" s="6">
        <f>IF(ISERROR(VLOOKUP($S$345,'TAR FIN'!$A$1:$O$103,15,0)),0,VLOOKUP($S$345,'TAR FIN'!$A$1:$O$103,15,0))</f>
        <v>0</v>
      </c>
      <c r="W345" s="6">
        <f>IF(ISERROR(VLOOKUP($T$345,'TAR FIN'!$A$1:$O$103,15,0)),0,VLOOKUP($T$345,'TAR FIN'!$A$1:$O$103,15,0))</f>
        <v>842.31</v>
      </c>
      <c r="X345" s="6">
        <f>IF(ISERROR(VLOOKUP($U$345,'TAR FIN'!$A$1:$O$103,15,0)),0,VLOOKUP($U$345,'TAR FIN'!$A$1:$O$103,15,0))</f>
        <v>0</v>
      </c>
      <c r="Y345" s="6"/>
      <c r="Z345" s="6">
        <f ca="1">('TUSD BE'!$AM$21+'TUSD BF_350'!$AM$21+'TUSD CVA'!$AM$21)*1</f>
        <v>1027.46</v>
      </c>
      <c r="AA345" s="6"/>
      <c r="AB345" s="6">
        <f>$K$345*$V$345</f>
        <v>0</v>
      </c>
      <c r="AC345" s="6">
        <f>$M$345*$W$345</f>
        <v>116698.68125999998</v>
      </c>
      <c r="AD345" s="6">
        <f>$O$345*$X$345</f>
        <v>0</v>
      </c>
      <c r="AE345" s="6">
        <f>$K$345*$Y$345</f>
        <v>0</v>
      </c>
      <c r="AF345" s="6">
        <f ca="1">$M$345*$Z$345</f>
        <v>142350.47315999999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33</v>
      </c>
      <c r="C346" s="4" t="s">
        <v>34</v>
      </c>
      <c r="D346" s="4" t="s">
        <v>40</v>
      </c>
      <c r="E346" s="4" t="s">
        <v>25</v>
      </c>
      <c r="F346" s="4" t="s">
        <v>54</v>
      </c>
      <c r="G346" s="4" t="s">
        <v>25</v>
      </c>
      <c r="H346" s="4" t="s">
        <v>37</v>
      </c>
      <c r="I346" s="5">
        <v>44652</v>
      </c>
      <c r="J346" s="6">
        <v>0</v>
      </c>
      <c r="K346" s="6">
        <v>0</v>
      </c>
      <c r="L346" s="6">
        <v>318.57600000000002</v>
      </c>
      <c r="M346" s="6">
        <v>159.28800000000001</v>
      </c>
      <c r="N346" s="6">
        <v>0</v>
      </c>
      <c r="O346" s="6">
        <v>0</v>
      </c>
      <c r="P346" s="6">
        <v>0</v>
      </c>
      <c r="Q346" s="4" t="s">
        <v>53</v>
      </c>
      <c r="R346" s="4">
        <v>0</v>
      </c>
      <c r="S346" s="6">
        <v>0</v>
      </c>
      <c r="T346" s="6">
        <v>19</v>
      </c>
      <c r="U346" s="6">
        <v>0</v>
      </c>
      <c r="V346" s="6">
        <f>IF(ISERROR(VLOOKUP($S$346,'TAR FIN'!$A$1:$O$103,15,0)),0,VLOOKUP($S$346,'TAR FIN'!$A$1:$O$103,15,0))</f>
        <v>0</v>
      </c>
      <c r="W346" s="6">
        <f>IF(ISERROR(VLOOKUP($T$346,'TAR FIN'!$A$1:$O$103,15,0)),0,VLOOKUP($T$346,'TAR FIN'!$A$1:$O$103,15,0))</f>
        <v>842.31</v>
      </c>
      <c r="X346" s="6">
        <f>IF(ISERROR(VLOOKUP($U$346,'TAR FIN'!$A$1:$O$103,15,0)),0,VLOOKUP($U$346,'TAR FIN'!$A$1:$O$103,15,0))</f>
        <v>0</v>
      </c>
      <c r="Y346" s="6"/>
      <c r="Z346" s="6">
        <f ca="1">('TUSD BE'!$AM$21+'TUSD BF_350'!$AM$21+'TUSD CVA'!$AM$21)*1</f>
        <v>1027.46</v>
      </c>
      <c r="AA346" s="6"/>
      <c r="AB346" s="6">
        <f>$K$346*$V$346</f>
        <v>0</v>
      </c>
      <c r="AC346" s="6">
        <f>$M$346*$W$346</f>
        <v>134169.87528000001</v>
      </c>
      <c r="AD346" s="6">
        <f>$O$346*$X$346</f>
        <v>0</v>
      </c>
      <c r="AE346" s="6">
        <f>$K$346*$Y$346</f>
        <v>0</v>
      </c>
      <c r="AF346" s="6">
        <f ca="1">$M$346*$Z$346</f>
        <v>163662.04848000003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33</v>
      </c>
      <c r="C347" s="4" t="s">
        <v>34</v>
      </c>
      <c r="D347" s="4" t="s">
        <v>40</v>
      </c>
      <c r="E347" s="4" t="s">
        <v>25</v>
      </c>
      <c r="F347" s="4" t="s">
        <v>54</v>
      </c>
      <c r="G347" s="4" t="s">
        <v>25</v>
      </c>
      <c r="H347" s="4" t="s">
        <v>37</v>
      </c>
      <c r="I347" s="5">
        <v>44682</v>
      </c>
      <c r="J347" s="6">
        <v>0</v>
      </c>
      <c r="K347" s="6">
        <v>0</v>
      </c>
      <c r="L347" s="6">
        <v>206.87200000000001</v>
      </c>
      <c r="M347" s="6">
        <v>103.43600000000001</v>
      </c>
      <c r="N347" s="6">
        <v>0</v>
      </c>
      <c r="O347" s="6">
        <v>0</v>
      </c>
      <c r="P347" s="6">
        <v>0</v>
      </c>
      <c r="Q347" s="4" t="s">
        <v>53</v>
      </c>
      <c r="R347" s="4">
        <v>0</v>
      </c>
      <c r="S347" s="6">
        <v>0</v>
      </c>
      <c r="T347" s="6">
        <v>19</v>
      </c>
      <c r="U347" s="6">
        <v>0</v>
      </c>
      <c r="V347" s="6">
        <f>IF(ISERROR(VLOOKUP($S$347,'TAR FIN'!$A$1:$O$103,15,0)),0,VLOOKUP($S$347,'TAR FIN'!$A$1:$O$103,15,0))</f>
        <v>0</v>
      </c>
      <c r="W347" s="6">
        <f>IF(ISERROR(VLOOKUP($T$347,'TAR FIN'!$A$1:$O$103,15,0)),0,VLOOKUP($T$347,'TAR FIN'!$A$1:$O$103,15,0))</f>
        <v>842.31</v>
      </c>
      <c r="X347" s="6">
        <f>IF(ISERROR(VLOOKUP($U$347,'TAR FIN'!$A$1:$O$103,15,0)),0,VLOOKUP($U$347,'TAR FIN'!$A$1:$O$103,15,0))</f>
        <v>0</v>
      </c>
      <c r="Y347" s="6"/>
      <c r="Z347" s="6">
        <f ca="1">('TUSD BE'!$AM$21+'TUSD BF_350'!$AM$21+'TUSD CVA'!$AM$21)*1</f>
        <v>1027.46</v>
      </c>
      <c r="AA347" s="6"/>
      <c r="AB347" s="6">
        <f>$K$347*$V$347</f>
        <v>0</v>
      </c>
      <c r="AC347" s="6">
        <f>$M$347*$W$347</f>
        <v>87125.177160000007</v>
      </c>
      <c r="AD347" s="6">
        <f>$O$347*$X$347</f>
        <v>0</v>
      </c>
      <c r="AE347" s="6">
        <f>$K$347*$Y$347</f>
        <v>0</v>
      </c>
      <c r="AF347" s="6">
        <f ca="1">$M$347*$Z$347</f>
        <v>106276.35256000001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33</v>
      </c>
      <c r="C348" s="4" t="s">
        <v>34</v>
      </c>
      <c r="D348" s="4" t="s">
        <v>40</v>
      </c>
      <c r="E348" s="4" t="s">
        <v>25</v>
      </c>
      <c r="F348" s="4" t="s">
        <v>25</v>
      </c>
      <c r="G348" s="4" t="s">
        <v>25</v>
      </c>
      <c r="H348" s="4" t="s">
        <v>35</v>
      </c>
      <c r="I348" s="5">
        <v>44348</v>
      </c>
      <c r="J348" s="6">
        <v>0</v>
      </c>
      <c r="K348" s="6">
        <v>0</v>
      </c>
      <c r="L348" s="6">
        <v>3057.0749999999998</v>
      </c>
      <c r="M348" s="6">
        <v>3057.0749999999998</v>
      </c>
      <c r="N348" s="6">
        <v>3057.0749999999998</v>
      </c>
      <c r="O348" s="6">
        <v>3057.0749999999998</v>
      </c>
      <c r="P348" s="6">
        <v>0</v>
      </c>
      <c r="Q348" s="4" t="s">
        <v>26</v>
      </c>
      <c r="R348" s="4">
        <v>0</v>
      </c>
      <c r="S348" s="6">
        <v>0</v>
      </c>
      <c r="T348" s="6">
        <v>20</v>
      </c>
      <c r="U348" s="6">
        <v>66</v>
      </c>
      <c r="V348" s="6">
        <f>IF(ISERROR(VLOOKUP($S$348,'TAR FIN'!$A$1:$O$103,15,0)),0,VLOOKUP($S$348,'TAR FIN'!$A$1:$O$103,15,0))</f>
        <v>0</v>
      </c>
      <c r="W348" s="6">
        <f>IF(ISERROR(VLOOKUP($T$348,'TAR FIN'!$A$1:$O$103,15,0)),0,VLOOKUP($T$348,'TAR FIN'!$A$1:$O$103,15,0))</f>
        <v>69.37</v>
      </c>
      <c r="X348" s="6">
        <f>IF(ISERROR(VLOOKUP($U$348,'TAR FIN'!$A$1:$O$103,15,0)),0,VLOOKUP($U$348,'TAR FIN'!$A$1:$O$103,15,0))</f>
        <v>284.36</v>
      </c>
      <c r="Y348" s="6"/>
      <c r="Z348" s="6">
        <f ca="1">('TUSD BE'!$AM$22+'TUSD BF_350'!$AM$22+'TUSD CVA'!$AM$22)*1</f>
        <v>110.85</v>
      </c>
      <c r="AA348" s="6">
        <f ca="1">('TE BE'!$AB$9+'TE BF_350'!$AB$9+'TE CVA'!$AB$9)*1</f>
        <v>247.20000000000002</v>
      </c>
      <c r="AB348" s="6">
        <f>$K$348*$V$348</f>
        <v>0</v>
      </c>
      <c r="AC348" s="6">
        <f>$M$348*$W$348</f>
        <v>212069.29274999999</v>
      </c>
      <c r="AD348" s="6">
        <f>$O$348*$X$348</f>
        <v>869309.84699999995</v>
      </c>
      <c r="AE348" s="6">
        <f>$K$348*$Y$348</f>
        <v>0</v>
      </c>
      <c r="AF348" s="6">
        <f ca="1">$M$348*$Z$348</f>
        <v>338876.76374999998</v>
      </c>
      <c r="AG348" s="6">
        <f ca="1">$O$348*$AA$348</f>
        <v>755708.94000000006</v>
      </c>
    </row>
    <row r="349" spans="1:33" ht="11.25" customHeight="1" x14ac:dyDescent="0.25">
      <c r="A349" s="4" t="s">
        <v>21</v>
      </c>
      <c r="B349" s="4" t="s">
        <v>33</v>
      </c>
      <c r="C349" s="4" t="s">
        <v>34</v>
      </c>
      <c r="D349" s="4" t="s">
        <v>40</v>
      </c>
      <c r="E349" s="4" t="s">
        <v>25</v>
      </c>
      <c r="F349" s="4" t="s">
        <v>25</v>
      </c>
      <c r="G349" s="4" t="s">
        <v>25</v>
      </c>
      <c r="H349" s="4" t="s">
        <v>35</v>
      </c>
      <c r="I349" s="5">
        <v>44348</v>
      </c>
      <c r="J349" s="6">
        <v>0</v>
      </c>
      <c r="K349" s="6">
        <v>0</v>
      </c>
      <c r="L349" s="6">
        <v>1102.6579999999999</v>
      </c>
      <c r="M349" s="6">
        <v>1102.6579999999999</v>
      </c>
      <c r="N349" s="6">
        <v>0</v>
      </c>
      <c r="O349" s="6">
        <v>0</v>
      </c>
      <c r="P349" s="6">
        <v>0</v>
      </c>
      <c r="Q349" s="4" t="s">
        <v>53</v>
      </c>
      <c r="R349" s="4">
        <v>0</v>
      </c>
      <c r="S349" s="6">
        <v>0</v>
      </c>
      <c r="T349" s="6">
        <v>20</v>
      </c>
      <c r="U349" s="6">
        <v>0</v>
      </c>
      <c r="V349" s="6">
        <f>IF(ISERROR(VLOOKUP($S$349,'TAR FIN'!$A$1:$O$103,15,0)),0,VLOOKUP($S$349,'TAR FIN'!$A$1:$O$103,15,0))</f>
        <v>0</v>
      </c>
      <c r="W349" s="6">
        <f>IF(ISERROR(VLOOKUP($T$349,'TAR FIN'!$A$1:$O$103,15,0)),0,VLOOKUP($T$349,'TAR FIN'!$A$1:$O$103,15,0))</f>
        <v>69.37</v>
      </c>
      <c r="X349" s="6">
        <f>IF(ISERROR(VLOOKUP($U$349,'TAR FIN'!$A$1:$O$103,15,0)),0,VLOOKUP($U$349,'TAR FIN'!$A$1:$O$103,15,0))</f>
        <v>0</v>
      </c>
      <c r="Y349" s="6"/>
      <c r="Z349" s="6">
        <f ca="1">('TUSD BE'!$AM$22+'TUSD BF_350'!$AM$22+'TUSD CVA'!$AM$22)*1</f>
        <v>110.85</v>
      </c>
      <c r="AA349" s="6"/>
      <c r="AB349" s="6">
        <f>$K$349*$V$349</f>
        <v>0</v>
      </c>
      <c r="AC349" s="6">
        <f>$M$349*$W$349</f>
        <v>76491.385460000005</v>
      </c>
      <c r="AD349" s="6">
        <f>$O$349*$X$349</f>
        <v>0</v>
      </c>
      <c r="AE349" s="6">
        <f>$K$349*$Y$349</f>
        <v>0</v>
      </c>
      <c r="AF349" s="6">
        <f ca="1">$M$349*$Z$349</f>
        <v>122229.63929999998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33</v>
      </c>
      <c r="C350" s="4" t="s">
        <v>34</v>
      </c>
      <c r="D350" s="4" t="s">
        <v>40</v>
      </c>
      <c r="E350" s="4" t="s">
        <v>25</v>
      </c>
      <c r="F350" s="4" t="s">
        <v>25</v>
      </c>
      <c r="G350" s="4" t="s">
        <v>25</v>
      </c>
      <c r="H350" s="4" t="s">
        <v>35</v>
      </c>
      <c r="I350" s="5">
        <v>44378</v>
      </c>
      <c r="J350" s="6">
        <v>0</v>
      </c>
      <c r="K350" s="6">
        <v>0</v>
      </c>
      <c r="L350" s="6">
        <v>3203.6149999999998</v>
      </c>
      <c r="M350" s="6">
        <v>3203.6149999999998</v>
      </c>
      <c r="N350" s="6">
        <v>3203.6149999999998</v>
      </c>
      <c r="O350" s="6">
        <v>3203.6149999999998</v>
      </c>
      <c r="P350" s="6">
        <v>0</v>
      </c>
      <c r="Q350" s="4" t="s">
        <v>26</v>
      </c>
      <c r="R350" s="4">
        <v>0</v>
      </c>
      <c r="S350" s="6">
        <v>0</v>
      </c>
      <c r="T350" s="6">
        <v>20</v>
      </c>
      <c r="U350" s="6">
        <v>66</v>
      </c>
      <c r="V350" s="6">
        <f>IF(ISERROR(VLOOKUP($S$350,'TAR FIN'!$A$1:$O$103,15,0)),0,VLOOKUP($S$350,'TAR FIN'!$A$1:$O$103,15,0))</f>
        <v>0</v>
      </c>
      <c r="W350" s="6">
        <f>IF(ISERROR(VLOOKUP($T$350,'TAR FIN'!$A$1:$O$103,15,0)),0,VLOOKUP($T$350,'TAR FIN'!$A$1:$O$103,15,0))</f>
        <v>69.37</v>
      </c>
      <c r="X350" s="6">
        <f>IF(ISERROR(VLOOKUP($U$350,'TAR FIN'!$A$1:$O$103,15,0)),0,VLOOKUP($U$350,'TAR FIN'!$A$1:$O$103,15,0))</f>
        <v>284.36</v>
      </c>
      <c r="Y350" s="6"/>
      <c r="Z350" s="6">
        <f ca="1">('TUSD BE'!$AM$22+'TUSD BF_350'!$AM$22+'TUSD CVA'!$AM$22)*1</f>
        <v>110.85</v>
      </c>
      <c r="AA350" s="6">
        <f ca="1">('TE BE'!$AB$9+'TE BF_350'!$AB$9+'TE CVA'!$AB$9)*1</f>
        <v>247.20000000000002</v>
      </c>
      <c r="AB350" s="6">
        <f>$K$350*$V$350</f>
        <v>0</v>
      </c>
      <c r="AC350" s="6">
        <f>$M$350*$W$350</f>
        <v>222234.77254999999</v>
      </c>
      <c r="AD350" s="6">
        <f>$O$350*$X$350</f>
        <v>910979.96140000003</v>
      </c>
      <c r="AE350" s="6">
        <f>$K$350*$Y$350</f>
        <v>0</v>
      </c>
      <c r="AF350" s="6">
        <f ca="1">$M$350*$Z$350</f>
        <v>355120.72274999996</v>
      </c>
      <c r="AG350" s="6">
        <f ca="1">$O$350*$AA$350</f>
        <v>791933.62800000003</v>
      </c>
    </row>
    <row r="351" spans="1:33" ht="11.25" customHeight="1" x14ac:dyDescent="0.25">
      <c r="A351" s="4" t="s">
        <v>21</v>
      </c>
      <c r="B351" s="4" t="s">
        <v>33</v>
      </c>
      <c r="C351" s="4" t="s">
        <v>34</v>
      </c>
      <c r="D351" s="4" t="s">
        <v>40</v>
      </c>
      <c r="E351" s="4" t="s">
        <v>25</v>
      </c>
      <c r="F351" s="4" t="s">
        <v>25</v>
      </c>
      <c r="G351" s="4" t="s">
        <v>25</v>
      </c>
      <c r="H351" s="4" t="s">
        <v>35</v>
      </c>
      <c r="I351" s="5">
        <v>44378</v>
      </c>
      <c r="J351" s="6">
        <v>0</v>
      </c>
      <c r="K351" s="6">
        <v>0</v>
      </c>
      <c r="L351" s="6">
        <v>1087.0160000000001</v>
      </c>
      <c r="M351" s="6">
        <v>1087.0160000000001</v>
      </c>
      <c r="N351" s="6">
        <v>0</v>
      </c>
      <c r="O351" s="6">
        <v>0</v>
      </c>
      <c r="P351" s="6">
        <v>0</v>
      </c>
      <c r="Q351" s="4" t="s">
        <v>53</v>
      </c>
      <c r="R351" s="4">
        <v>0</v>
      </c>
      <c r="S351" s="6">
        <v>0</v>
      </c>
      <c r="T351" s="6">
        <v>20</v>
      </c>
      <c r="U351" s="6">
        <v>0</v>
      </c>
      <c r="V351" s="6">
        <f>IF(ISERROR(VLOOKUP($S$351,'TAR FIN'!$A$1:$O$103,15,0)),0,VLOOKUP($S$351,'TAR FIN'!$A$1:$O$103,15,0))</f>
        <v>0</v>
      </c>
      <c r="W351" s="6">
        <f>IF(ISERROR(VLOOKUP($T$351,'TAR FIN'!$A$1:$O$103,15,0)),0,VLOOKUP($T$351,'TAR FIN'!$A$1:$O$103,15,0))</f>
        <v>69.37</v>
      </c>
      <c r="X351" s="6">
        <f>IF(ISERROR(VLOOKUP($U$351,'TAR FIN'!$A$1:$O$103,15,0)),0,VLOOKUP($U$351,'TAR FIN'!$A$1:$O$103,15,0))</f>
        <v>0</v>
      </c>
      <c r="Y351" s="6"/>
      <c r="Z351" s="6">
        <f ca="1">('TUSD BE'!$AM$22+'TUSD BF_350'!$AM$22+'TUSD CVA'!$AM$22)*1</f>
        <v>110.85</v>
      </c>
      <c r="AA351" s="6"/>
      <c r="AB351" s="6">
        <f>$K$351*$V$351</f>
        <v>0</v>
      </c>
      <c r="AC351" s="6">
        <f>$M$351*$W$351</f>
        <v>75406.299920000005</v>
      </c>
      <c r="AD351" s="6">
        <f>$O$351*$X$351</f>
        <v>0</v>
      </c>
      <c r="AE351" s="6">
        <f>$K$351*$Y$351</f>
        <v>0</v>
      </c>
      <c r="AF351" s="6">
        <f ca="1">$M$351*$Z$351</f>
        <v>120495.7236</v>
      </c>
      <c r="AG351" s="6">
        <f>$O$351*$AA$351</f>
        <v>0</v>
      </c>
    </row>
    <row r="352" spans="1:33" ht="11.25" customHeight="1" x14ac:dyDescent="0.25">
      <c r="A352" s="4" t="s">
        <v>21</v>
      </c>
      <c r="B352" s="4" t="s">
        <v>33</v>
      </c>
      <c r="C352" s="4" t="s">
        <v>34</v>
      </c>
      <c r="D352" s="4" t="s">
        <v>40</v>
      </c>
      <c r="E352" s="4" t="s">
        <v>25</v>
      </c>
      <c r="F352" s="4" t="s">
        <v>25</v>
      </c>
      <c r="G352" s="4" t="s">
        <v>25</v>
      </c>
      <c r="H352" s="4" t="s">
        <v>35</v>
      </c>
      <c r="I352" s="5">
        <v>44409</v>
      </c>
      <c r="J352" s="6">
        <v>0</v>
      </c>
      <c r="K352" s="6">
        <v>0</v>
      </c>
      <c r="L352" s="6">
        <v>3170.1239999999998</v>
      </c>
      <c r="M352" s="6">
        <v>3170.1239999999998</v>
      </c>
      <c r="N352" s="6">
        <v>3170.1239999999998</v>
      </c>
      <c r="O352" s="6">
        <v>3170.1239999999998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20</v>
      </c>
      <c r="U352" s="6">
        <v>66</v>
      </c>
      <c r="V352" s="6">
        <f>IF(ISERROR(VLOOKUP($S$352,'TAR FIN'!$A$1:$O$103,15,0)),0,VLOOKUP($S$352,'TAR FIN'!$A$1:$O$103,15,0))</f>
        <v>0</v>
      </c>
      <c r="W352" s="6">
        <f>IF(ISERROR(VLOOKUP($T$352,'TAR FIN'!$A$1:$O$103,15,0)),0,VLOOKUP($T$352,'TAR FIN'!$A$1:$O$103,15,0))</f>
        <v>69.37</v>
      </c>
      <c r="X352" s="6">
        <f>IF(ISERROR(VLOOKUP($U$352,'TAR FIN'!$A$1:$O$103,15,0)),0,VLOOKUP($U$352,'TAR FIN'!$A$1:$O$103,15,0))</f>
        <v>284.36</v>
      </c>
      <c r="Y352" s="6"/>
      <c r="Z352" s="6">
        <f ca="1">('TUSD BE'!$AM$22+'TUSD BF_350'!$AM$22+'TUSD CVA'!$AM$22)*1</f>
        <v>110.85</v>
      </c>
      <c r="AA352" s="6">
        <f ca="1">('TE BE'!$AB$9+'TE BF_350'!$AB$9+'TE CVA'!$AB$9)*1</f>
        <v>247.20000000000002</v>
      </c>
      <c r="AB352" s="6">
        <f>$K$352*$V$352</f>
        <v>0</v>
      </c>
      <c r="AC352" s="6">
        <f>$M$352*$W$352</f>
        <v>219911.50188</v>
      </c>
      <c r="AD352" s="6">
        <f>$O$352*$X$352</f>
        <v>901456.46063999995</v>
      </c>
      <c r="AE352" s="6">
        <f>$K$352*$Y$352</f>
        <v>0</v>
      </c>
      <c r="AF352" s="6">
        <f ca="1">$M$352*$Z$352</f>
        <v>351408.24539999996</v>
      </c>
      <c r="AG352" s="6">
        <f ca="1">$O$352*$AA$352</f>
        <v>783654.65280000004</v>
      </c>
    </row>
    <row r="353" spans="1:33" ht="11.25" customHeight="1" x14ac:dyDescent="0.25">
      <c r="A353" s="4" t="s">
        <v>21</v>
      </c>
      <c r="B353" s="4" t="s">
        <v>33</v>
      </c>
      <c r="C353" s="4" t="s">
        <v>34</v>
      </c>
      <c r="D353" s="4" t="s">
        <v>40</v>
      </c>
      <c r="E353" s="4" t="s">
        <v>25</v>
      </c>
      <c r="F353" s="4" t="s">
        <v>25</v>
      </c>
      <c r="G353" s="4" t="s">
        <v>25</v>
      </c>
      <c r="H353" s="4" t="s">
        <v>35</v>
      </c>
      <c r="I353" s="5">
        <v>44409</v>
      </c>
      <c r="J353" s="6">
        <v>0</v>
      </c>
      <c r="K353" s="6">
        <v>0</v>
      </c>
      <c r="L353" s="6">
        <v>927.79300000000001</v>
      </c>
      <c r="M353" s="6">
        <v>927.79300000000001</v>
      </c>
      <c r="N353" s="6">
        <v>0</v>
      </c>
      <c r="O353" s="6">
        <v>0</v>
      </c>
      <c r="P353" s="6">
        <v>0</v>
      </c>
      <c r="Q353" s="4" t="s">
        <v>53</v>
      </c>
      <c r="R353" s="4">
        <v>0</v>
      </c>
      <c r="S353" s="6">
        <v>0</v>
      </c>
      <c r="T353" s="6">
        <v>20</v>
      </c>
      <c r="U353" s="6">
        <v>0</v>
      </c>
      <c r="V353" s="6">
        <f>IF(ISERROR(VLOOKUP($S$353,'TAR FIN'!$A$1:$O$103,15,0)),0,VLOOKUP($S$353,'TAR FIN'!$A$1:$O$103,15,0))</f>
        <v>0</v>
      </c>
      <c r="W353" s="6">
        <f>IF(ISERROR(VLOOKUP($T$353,'TAR FIN'!$A$1:$O$103,15,0)),0,VLOOKUP($T$353,'TAR FIN'!$A$1:$O$103,15,0))</f>
        <v>69.37</v>
      </c>
      <c r="X353" s="6">
        <f>IF(ISERROR(VLOOKUP($U$353,'TAR FIN'!$A$1:$O$103,15,0)),0,VLOOKUP($U$353,'TAR FIN'!$A$1:$O$103,15,0))</f>
        <v>0</v>
      </c>
      <c r="Y353" s="6"/>
      <c r="Z353" s="6">
        <f ca="1">('TUSD BE'!$AM$22+'TUSD BF_350'!$AM$22+'TUSD CVA'!$AM$22)*1</f>
        <v>110.85</v>
      </c>
      <c r="AA353" s="6"/>
      <c r="AB353" s="6">
        <f>$K$353*$V$353</f>
        <v>0</v>
      </c>
      <c r="AC353" s="6">
        <f>$M$353*$W$353</f>
        <v>64361.000410000008</v>
      </c>
      <c r="AD353" s="6">
        <f>$O$353*$X$353</f>
        <v>0</v>
      </c>
      <c r="AE353" s="6">
        <f>$K$353*$Y$353</f>
        <v>0</v>
      </c>
      <c r="AF353" s="6">
        <f ca="1">$M$353*$Z$353</f>
        <v>102845.85404999999</v>
      </c>
      <c r="AG353" s="6">
        <f>$O$353*$AA$353</f>
        <v>0</v>
      </c>
    </row>
    <row r="354" spans="1:33" ht="11.25" customHeight="1" x14ac:dyDescent="0.25">
      <c r="A354" s="4" t="s">
        <v>21</v>
      </c>
      <c r="B354" s="4" t="s">
        <v>33</v>
      </c>
      <c r="C354" s="4" t="s">
        <v>34</v>
      </c>
      <c r="D354" s="4" t="s">
        <v>40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44440</v>
      </c>
      <c r="J354" s="6">
        <v>0</v>
      </c>
      <c r="K354" s="6">
        <v>0</v>
      </c>
      <c r="L354" s="6">
        <v>2499.0369999999998</v>
      </c>
      <c r="M354" s="6">
        <v>2499.0369999999998</v>
      </c>
      <c r="N354" s="6">
        <v>2499.0369999999998</v>
      </c>
      <c r="O354" s="6">
        <v>2499.0369999999998</v>
      </c>
      <c r="P354" s="6">
        <v>0</v>
      </c>
      <c r="Q354" s="4" t="s">
        <v>26</v>
      </c>
      <c r="R354" s="4">
        <v>0</v>
      </c>
      <c r="S354" s="6">
        <v>0</v>
      </c>
      <c r="T354" s="6">
        <v>20</v>
      </c>
      <c r="U354" s="6">
        <v>66</v>
      </c>
      <c r="V354" s="6">
        <f>IF(ISERROR(VLOOKUP($S$354,'TAR FIN'!$A$1:$O$103,15,0)),0,VLOOKUP($S$354,'TAR FIN'!$A$1:$O$103,15,0))</f>
        <v>0</v>
      </c>
      <c r="W354" s="6">
        <f>IF(ISERROR(VLOOKUP($T$354,'TAR FIN'!$A$1:$O$103,15,0)),0,VLOOKUP($T$354,'TAR FIN'!$A$1:$O$103,15,0))</f>
        <v>69.37</v>
      </c>
      <c r="X354" s="6">
        <f>IF(ISERROR(VLOOKUP($U$354,'TAR FIN'!$A$1:$O$103,15,0)),0,VLOOKUP($U$354,'TAR FIN'!$A$1:$O$103,15,0))</f>
        <v>284.36</v>
      </c>
      <c r="Y354" s="6"/>
      <c r="Z354" s="6">
        <f ca="1">('TUSD BE'!$AM$22+'TUSD BF_350'!$AM$22+'TUSD CVA'!$AM$22)*1</f>
        <v>110.85</v>
      </c>
      <c r="AA354" s="6">
        <f ca="1">('TE BE'!$AB$9+'TE BF_350'!$AB$9+'TE CVA'!$AB$9)*1</f>
        <v>247.20000000000002</v>
      </c>
      <c r="AB354" s="6">
        <f>$K$354*$V$354</f>
        <v>0</v>
      </c>
      <c r="AC354" s="6">
        <f>$M$354*$W$354</f>
        <v>173358.19669000001</v>
      </c>
      <c r="AD354" s="6">
        <f>$O$354*$X$354</f>
        <v>710626.16131999996</v>
      </c>
      <c r="AE354" s="6">
        <f>$K$354*$Y$354</f>
        <v>0</v>
      </c>
      <c r="AF354" s="6">
        <f ca="1">$M$354*$Z$354</f>
        <v>277018.25144999998</v>
      </c>
      <c r="AG354" s="6">
        <f ca="1">$O$354*$AA$354</f>
        <v>617761.94640000002</v>
      </c>
    </row>
    <row r="355" spans="1:33" ht="11.25" customHeight="1" x14ac:dyDescent="0.25">
      <c r="A355" s="4" t="s">
        <v>21</v>
      </c>
      <c r="B355" s="4" t="s">
        <v>33</v>
      </c>
      <c r="C355" s="4" t="s">
        <v>34</v>
      </c>
      <c r="D355" s="4" t="s">
        <v>40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44440</v>
      </c>
      <c r="J355" s="6">
        <v>0</v>
      </c>
      <c r="K355" s="6">
        <v>0</v>
      </c>
      <c r="L355" s="6">
        <v>1500.617</v>
      </c>
      <c r="M355" s="6">
        <v>1500.617</v>
      </c>
      <c r="N355" s="6">
        <v>0</v>
      </c>
      <c r="O355" s="6">
        <v>0</v>
      </c>
      <c r="P355" s="6">
        <v>0</v>
      </c>
      <c r="Q355" s="4" t="s">
        <v>53</v>
      </c>
      <c r="R355" s="4">
        <v>0</v>
      </c>
      <c r="S355" s="6">
        <v>0</v>
      </c>
      <c r="T355" s="6">
        <v>20</v>
      </c>
      <c r="U355" s="6">
        <v>0</v>
      </c>
      <c r="V355" s="6">
        <f>IF(ISERROR(VLOOKUP($S$355,'TAR FIN'!$A$1:$O$103,15,0)),0,VLOOKUP($S$355,'TAR FIN'!$A$1:$O$103,15,0))</f>
        <v>0</v>
      </c>
      <c r="W355" s="6">
        <f>IF(ISERROR(VLOOKUP($T$355,'TAR FIN'!$A$1:$O$103,15,0)),0,VLOOKUP($T$355,'TAR FIN'!$A$1:$O$103,15,0))</f>
        <v>69.37</v>
      </c>
      <c r="X355" s="6">
        <f>IF(ISERROR(VLOOKUP($U$355,'TAR FIN'!$A$1:$O$103,15,0)),0,VLOOKUP($U$355,'TAR FIN'!$A$1:$O$103,15,0))</f>
        <v>0</v>
      </c>
      <c r="Y355" s="6"/>
      <c r="Z355" s="6">
        <f ca="1">('TUSD BE'!$AM$22+'TUSD BF_350'!$AM$22+'TUSD CVA'!$AM$22)*1</f>
        <v>110.85</v>
      </c>
      <c r="AA355" s="6"/>
      <c r="AB355" s="6">
        <f>$K$355*$V$355</f>
        <v>0</v>
      </c>
      <c r="AC355" s="6">
        <f>$M$355*$W$355</f>
        <v>104097.80129</v>
      </c>
      <c r="AD355" s="6">
        <f>$O$355*$X$355</f>
        <v>0</v>
      </c>
      <c r="AE355" s="6">
        <f>$K$355*$Y$355</f>
        <v>0</v>
      </c>
      <c r="AF355" s="6">
        <f ca="1">$M$355*$Z$355</f>
        <v>166343.39444999999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33</v>
      </c>
      <c r="C356" s="4" t="s">
        <v>34</v>
      </c>
      <c r="D356" s="4" t="s">
        <v>40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44470</v>
      </c>
      <c r="J356" s="6">
        <v>0</v>
      </c>
      <c r="K356" s="6">
        <v>0</v>
      </c>
      <c r="L356" s="6">
        <v>2360.2080000000001</v>
      </c>
      <c r="M356" s="6">
        <v>2360.2080000000001</v>
      </c>
      <c r="N356" s="6">
        <v>2360.2080000000001</v>
      </c>
      <c r="O356" s="6">
        <v>2360.2080000000001</v>
      </c>
      <c r="P356" s="6">
        <v>0</v>
      </c>
      <c r="Q356" s="4" t="s">
        <v>26</v>
      </c>
      <c r="R356" s="4">
        <v>0</v>
      </c>
      <c r="S356" s="6">
        <v>0</v>
      </c>
      <c r="T356" s="6">
        <v>20</v>
      </c>
      <c r="U356" s="6">
        <v>66</v>
      </c>
      <c r="V356" s="6">
        <f>IF(ISERROR(VLOOKUP($S$356,'TAR FIN'!$A$1:$O$103,15,0)),0,VLOOKUP($S$356,'TAR FIN'!$A$1:$O$103,15,0))</f>
        <v>0</v>
      </c>
      <c r="W356" s="6">
        <f>IF(ISERROR(VLOOKUP($T$356,'TAR FIN'!$A$1:$O$103,15,0)),0,VLOOKUP($T$356,'TAR FIN'!$A$1:$O$103,15,0))</f>
        <v>69.37</v>
      </c>
      <c r="X356" s="6">
        <f>IF(ISERROR(VLOOKUP($U$356,'TAR FIN'!$A$1:$O$103,15,0)),0,VLOOKUP($U$356,'TAR FIN'!$A$1:$O$103,15,0))</f>
        <v>284.36</v>
      </c>
      <c r="Y356" s="6"/>
      <c r="Z356" s="6">
        <f ca="1">('TUSD BE'!$AM$22+'TUSD BF_350'!$AM$22+'TUSD CVA'!$AM$22)*1</f>
        <v>110.85</v>
      </c>
      <c r="AA356" s="6">
        <f ca="1">('TE BE'!$AB$9+'TE BF_350'!$AB$9+'TE CVA'!$AB$9)*1</f>
        <v>247.20000000000002</v>
      </c>
      <c r="AB356" s="6">
        <f>$K$356*$V$356</f>
        <v>0</v>
      </c>
      <c r="AC356" s="6">
        <f>$M$356*$W$356</f>
        <v>163727.62896000003</v>
      </c>
      <c r="AD356" s="6">
        <f>$O$356*$X$356</f>
        <v>671148.74688000011</v>
      </c>
      <c r="AE356" s="6">
        <f>$K$356*$Y$356</f>
        <v>0</v>
      </c>
      <c r="AF356" s="6">
        <f ca="1">$M$356*$Z$356</f>
        <v>261629.05679999999</v>
      </c>
      <c r="AG356" s="6">
        <f ca="1">$O$356*$AA$356</f>
        <v>583443.41760000004</v>
      </c>
    </row>
    <row r="357" spans="1:33" ht="11.25" customHeight="1" x14ac:dyDescent="0.25">
      <c r="A357" s="4" t="s">
        <v>21</v>
      </c>
      <c r="B357" s="4" t="s">
        <v>33</v>
      </c>
      <c r="C357" s="4" t="s">
        <v>34</v>
      </c>
      <c r="D357" s="4" t="s">
        <v>40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44470</v>
      </c>
      <c r="J357" s="6">
        <v>0</v>
      </c>
      <c r="K357" s="6">
        <v>0</v>
      </c>
      <c r="L357" s="6">
        <v>1505.259</v>
      </c>
      <c r="M357" s="6">
        <v>1505.259</v>
      </c>
      <c r="N357" s="6">
        <v>0</v>
      </c>
      <c r="O357" s="6">
        <v>0</v>
      </c>
      <c r="P357" s="6">
        <v>0</v>
      </c>
      <c r="Q357" s="4" t="s">
        <v>53</v>
      </c>
      <c r="R357" s="4">
        <v>0</v>
      </c>
      <c r="S357" s="6">
        <v>0</v>
      </c>
      <c r="T357" s="6">
        <v>20</v>
      </c>
      <c r="U357" s="6">
        <v>0</v>
      </c>
      <c r="V357" s="6">
        <f>IF(ISERROR(VLOOKUP($S$357,'TAR FIN'!$A$1:$O$103,15,0)),0,VLOOKUP($S$357,'TAR FIN'!$A$1:$O$103,15,0))</f>
        <v>0</v>
      </c>
      <c r="W357" s="6">
        <f>IF(ISERROR(VLOOKUP($T$357,'TAR FIN'!$A$1:$O$103,15,0)),0,VLOOKUP($T$357,'TAR FIN'!$A$1:$O$103,15,0))</f>
        <v>69.37</v>
      </c>
      <c r="X357" s="6">
        <f>IF(ISERROR(VLOOKUP($U$357,'TAR FIN'!$A$1:$O$103,15,0)),0,VLOOKUP($U$357,'TAR FIN'!$A$1:$O$103,15,0))</f>
        <v>0</v>
      </c>
      <c r="Y357" s="6"/>
      <c r="Z357" s="6">
        <f ca="1">('TUSD BE'!$AM$22+'TUSD BF_350'!$AM$22+'TUSD CVA'!$AM$22)*1</f>
        <v>110.85</v>
      </c>
      <c r="AA357" s="6"/>
      <c r="AB357" s="6">
        <f>$K$357*$V$357</f>
        <v>0</v>
      </c>
      <c r="AC357" s="6">
        <f>$M$357*$W$357</f>
        <v>104419.81683000001</v>
      </c>
      <c r="AD357" s="6">
        <f>$O$357*$X$357</f>
        <v>0</v>
      </c>
      <c r="AE357" s="6">
        <f>$K$357*$Y$357</f>
        <v>0</v>
      </c>
      <c r="AF357" s="6">
        <f ca="1">$M$357*$Z$357</f>
        <v>166857.96015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33</v>
      </c>
      <c r="C358" s="4" t="s">
        <v>34</v>
      </c>
      <c r="D358" s="4" t="s">
        <v>40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44501</v>
      </c>
      <c r="J358" s="6">
        <v>0</v>
      </c>
      <c r="K358" s="6">
        <v>0</v>
      </c>
      <c r="L358" s="6">
        <v>2343.73</v>
      </c>
      <c r="M358" s="6">
        <v>2343.73</v>
      </c>
      <c r="N358" s="6">
        <v>2343.73</v>
      </c>
      <c r="O358" s="6">
        <v>2343.73</v>
      </c>
      <c r="P358" s="6">
        <v>0</v>
      </c>
      <c r="Q358" s="4" t="s">
        <v>26</v>
      </c>
      <c r="R358" s="4">
        <v>0</v>
      </c>
      <c r="S358" s="6">
        <v>0</v>
      </c>
      <c r="T358" s="6">
        <v>20</v>
      </c>
      <c r="U358" s="6">
        <v>66</v>
      </c>
      <c r="V358" s="6">
        <f>IF(ISERROR(VLOOKUP($S$358,'TAR FIN'!$A$1:$O$103,15,0)),0,VLOOKUP($S$358,'TAR FIN'!$A$1:$O$103,15,0))</f>
        <v>0</v>
      </c>
      <c r="W358" s="6">
        <f>IF(ISERROR(VLOOKUP($T$358,'TAR FIN'!$A$1:$O$103,15,0)),0,VLOOKUP($T$358,'TAR FIN'!$A$1:$O$103,15,0))</f>
        <v>69.37</v>
      </c>
      <c r="X358" s="6">
        <f>IF(ISERROR(VLOOKUP($U$358,'TAR FIN'!$A$1:$O$103,15,0)),0,VLOOKUP($U$358,'TAR FIN'!$A$1:$O$103,15,0))</f>
        <v>284.36</v>
      </c>
      <c r="Y358" s="6"/>
      <c r="Z358" s="6">
        <f ca="1">('TUSD BE'!$AM$22+'TUSD BF_350'!$AM$22+'TUSD CVA'!$AM$22)*1</f>
        <v>110.85</v>
      </c>
      <c r="AA358" s="6">
        <f ca="1">('TE BE'!$AB$9+'TE BF_350'!$AB$9+'TE CVA'!$AB$9)*1</f>
        <v>247.20000000000002</v>
      </c>
      <c r="AB358" s="6">
        <f>$K$358*$V$358</f>
        <v>0</v>
      </c>
      <c r="AC358" s="6">
        <f>$M$358*$W$358</f>
        <v>162584.55010000002</v>
      </c>
      <c r="AD358" s="6">
        <f>$O$358*$X$358</f>
        <v>666463.06280000007</v>
      </c>
      <c r="AE358" s="6">
        <f>$K$358*$Y$358</f>
        <v>0</v>
      </c>
      <c r="AF358" s="6">
        <f ca="1">$M$358*$Z$358</f>
        <v>259802.4705</v>
      </c>
      <c r="AG358" s="6">
        <f ca="1">$O$358*$AA$358</f>
        <v>579370.0560000001</v>
      </c>
    </row>
    <row r="359" spans="1:33" ht="11.25" customHeight="1" x14ac:dyDescent="0.25">
      <c r="A359" s="4" t="s">
        <v>21</v>
      </c>
      <c r="B359" s="4" t="s">
        <v>33</v>
      </c>
      <c r="C359" s="4" t="s">
        <v>34</v>
      </c>
      <c r="D359" s="4" t="s">
        <v>40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44501</v>
      </c>
      <c r="J359" s="6">
        <v>0</v>
      </c>
      <c r="K359" s="6">
        <v>0</v>
      </c>
      <c r="L359" s="6">
        <v>1210.21</v>
      </c>
      <c r="M359" s="6">
        <v>1210.21</v>
      </c>
      <c r="N359" s="6">
        <v>0</v>
      </c>
      <c r="O359" s="6">
        <v>0</v>
      </c>
      <c r="P359" s="6">
        <v>0</v>
      </c>
      <c r="Q359" s="4" t="s">
        <v>53</v>
      </c>
      <c r="R359" s="4">
        <v>0</v>
      </c>
      <c r="S359" s="6">
        <v>0</v>
      </c>
      <c r="T359" s="6">
        <v>20</v>
      </c>
      <c r="U359" s="6">
        <v>0</v>
      </c>
      <c r="V359" s="6">
        <f>IF(ISERROR(VLOOKUP($S$359,'TAR FIN'!$A$1:$O$103,15,0)),0,VLOOKUP($S$359,'TAR FIN'!$A$1:$O$103,15,0))</f>
        <v>0</v>
      </c>
      <c r="W359" s="6">
        <f>IF(ISERROR(VLOOKUP($T$359,'TAR FIN'!$A$1:$O$103,15,0)),0,VLOOKUP($T$359,'TAR FIN'!$A$1:$O$103,15,0))</f>
        <v>69.37</v>
      </c>
      <c r="X359" s="6">
        <f>IF(ISERROR(VLOOKUP($U$359,'TAR FIN'!$A$1:$O$103,15,0)),0,VLOOKUP($U$359,'TAR FIN'!$A$1:$O$103,15,0))</f>
        <v>0</v>
      </c>
      <c r="Y359" s="6"/>
      <c r="Z359" s="6">
        <f ca="1">('TUSD BE'!$AM$22+'TUSD BF_350'!$AM$22+'TUSD CVA'!$AM$22)*1</f>
        <v>110.85</v>
      </c>
      <c r="AA359" s="6"/>
      <c r="AB359" s="6">
        <f>$K$359*$V$359</f>
        <v>0</v>
      </c>
      <c r="AC359" s="6">
        <f>$M$359*$W$359</f>
        <v>83952.267700000011</v>
      </c>
      <c r="AD359" s="6">
        <f>$O$359*$X$359</f>
        <v>0</v>
      </c>
      <c r="AE359" s="6">
        <f>$K$359*$Y$359</f>
        <v>0</v>
      </c>
      <c r="AF359" s="6">
        <f ca="1">$M$359*$Z$359</f>
        <v>134151.77849999999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33</v>
      </c>
      <c r="C360" s="4" t="s">
        <v>34</v>
      </c>
      <c r="D360" s="4" t="s">
        <v>40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44531</v>
      </c>
      <c r="J360" s="6">
        <v>0</v>
      </c>
      <c r="K360" s="6">
        <v>0</v>
      </c>
      <c r="L360" s="6">
        <v>2227.1109999999999</v>
      </c>
      <c r="M360" s="6">
        <v>2227.1109999999999</v>
      </c>
      <c r="N360" s="6">
        <v>2227.1109999999999</v>
      </c>
      <c r="O360" s="6">
        <v>2227.1109999999999</v>
      </c>
      <c r="P360" s="6">
        <v>0</v>
      </c>
      <c r="Q360" s="4" t="s">
        <v>26</v>
      </c>
      <c r="R360" s="4">
        <v>0</v>
      </c>
      <c r="S360" s="6">
        <v>0</v>
      </c>
      <c r="T360" s="6">
        <v>20</v>
      </c>
      <c r="U360" s="6">
        <v>66</v>
      </c>
      <c r="V360" s="6">
        <f>IF(ISERROR(VLOOKUP($S$360,'TAR FIN'!$A$1:$O$103,15,0)),0,VLOOKUP($S$360,'TAR FIN'!$A$1:$O$103,15,0))</f>
        <v>0</v>
      </c>
      <c r="W360" s="6">
        <f>IF(ISERROR(VLOOKUP($T$360,'TAR FIN'!$A$1:$O$103,15,0)),0,VLOOKUP($T$360,'TAR FIN'!$A$1:$O$103,15,0))</f>
        <v>69.37</v>
      </c>
      <c r="X360" s="6">
        <f>IF(ISERROR(VLOOKUP($U$360,'TAR FIN'!$A$1:$O$103,15,0)),0,VLOOKUP($U$360,'TAR FIN'!$A$1:$O$103,15,0))</f>
        <v>284.36</v>
      </c>
      <c r="Y360" s="6"/>
      <c r="Z360" s="6">
        <f ca="1">('TUSD BE'!$AM$22+'TUSD BF_350'!$AM$22+'TUSD CVA'!$AM$22)*1</f>
        <v>110.85</v>
      </c>
      <c r="AA360" s="6">
        <f ca="1">('TE BE'!$AB$9+'TE BF_350'!$AB$9+'TE CVA'!$AB$9)*1</f>
        <v>247.20000000000002</v>
      </c>
      <c r="AB360" s="6">
        <f>$K$360*$V$360</f>
        <v>0</v>
      </c>
      <c r="AC360" s="6">
        <f>$M$360*$W$360</f>
        <v>154494.69007000001</v>
      </c>
      <c r="AD360" s="6">
        <f>$O$360*$X$360</f>
        <v>633301.28396000003</v>
      </c>
      <c r="AE360" s="6">
        <f>$K$360*$Y$360</f>
        <v>0</v>
      </c>
      <c r="AF360" s="6">
        <f ca="1">$M$360*$Z$360</f>
        <v>246875.25434999997</v>
      </c>
      <c r="AG360" s="6">
        <f ca="1">$O$360*$AA$360</f>
        <v>550541.83920000005</v>
      </c>
    </row>
    <row r="361" spans="1:33" ht="11.25" customHeight="1" x14ac:dyDescent="0.25">
      <c r="A361" s="4" t="s">
        <v>21</v>
      </c>
      <c r="B361" s="4" t="s">
        <v>33</v>
      </c>
      <c r="C361" s="4" t="s">
        <v>34</v>
      </c>
      <c r="D361" s="4" t="s">
        <v>40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44531</v>
      </c>
      <c r="J361" s="6">
        <v>0</v>
      </c>
      <c r="K361" s="6">
        <v>0</v>
      </c>
      <c r="L361" s="6">
        <v>1486.385</v>
      </c>
      <c r="M361" s="6">
        <v>1486.385</v>
      </c>
      <c r="N361" s="6">
        <v>0</v>
      </c>
      <c r="O361" s="6">
        <v>0</v>
      </c>
      <c r="P361" s="6">
        <v>0</v>
      </c>
      <c r="Q361" s="4" t="s">
        <v>53</v>
      </c>
      <c r="R361" s="4">
        <v>0</v>
      </c>
      <c r="S361" s="6">
        <v>0</v>
      </c>
      <c r="T361" s="6">
        <v>20</v>
      </c>
      <c r="U361" s="6">
        <v>0</v>
      </c>
      <c r="V361" s="6">
        <f>IF(ISERROR(VLOOKUP($S$361,'TAR FIN'!$A$1:$O$103,15,0)),0,VLOOKUP($S$361,'TAR FIN'!$A$1:$O$103,15,0))</f>
        <v>0</v>
      </c>
      <c r="W361" s="6">
        <f>IF(ISERROR(VLOOKUP($T$361,'TAR FIN'!$A$1:$O$103,15,0)),0,VLOOKUP($T$361,'TAR FIN'!$A$1:$O$103,15,0))</f>
        <v>69.37</v>
      </c>
      <c r="X361" s="6">
        <f>IF(ISERROR(VLOOKUP($U$361,'TAR FIN'!$A$1:$O$103,15,0)),0,VLOOKUP($U$361,'TAR FIN'!$A$1:$O$103,15,0))</f>
        <v>0</v>
      </c>
      <c r="Y361" s="6"/>
      <c r="Z361" s="6">
        <f ca="1">('TUSD BE'!$AM$22+'TUSD BF_350'!$AM$22+'TUSD CVA'!$AM$22)*1</f>
        <v>110.85</v>
      </c>
      <c r="AA361" s="6"/>
      <c r="AB361" s="6">
        <f>$K$361*$V$361</f>
        <v>0</v>
      </c>
      <c r="AC361" s="6">
        <f>$M$361*$W$361</f>
        <v>103110.52745000001</v>
      </c>
      <c r="AD361" s="6">
        <f>$O$361*$X$361</f>
        <v>0</v>
      </c>
      <c r="AE361" s="6">
        <f>$K$361*$Y$361</f>
        <v>0</v>
      </c>
      <c r="AF361" s="6">
        <f ca="1">$M$361*$Z$361</f>
        <v>164765.77724999998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33</v>
      </c>
      <c r="C362" s="4" t="s">
        <v>34</v>
      </c>
      <c r="D362" s="4" t="s">
        <v>40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44562</v>
      </c>
      <c r="J362" s="6">
        <v>0</v>
      </c>
      <c r="K362" s="6">
        <v>0</v>
      </c>
      <c r="L362" s="6">
        <v>2130.0970000000002</v>
      </c>
      <c r="M362" s="6">
        <v>2130.0970000000002</v>
      </c>
      <c r="N362" s="6">
        <v>2130.0970000000002</v>
      </c>
      <c r="O362" s="6">
        <v>2130.0970000000002</v>
      </c>
      <c r="P362" s="6">
        <v>0</v>
      </c>
      <c r="Q362" s="4" t="s">
        <v>26</v>
      </c>
      <c r="R362" s="4">
        <v>0</v>
      </c>
      <c r="S362" s="6">
        <v>0</v>
      </c>
      <c r="T362" s="6">
        <v>20</v>
      </c>
      <c r="U362" s="6">
        <v>66</v>
      </c>
      <c r="V362" s="6">
        <f>IF(ISERROR(VLOOKUP($S$362,'TAR FIN'!$A$1:$O$103,15,0)),0,VLOOKUP($S$362,'TAR FIN'!$A$1:$O$103,15,0))</f>
        <v>0</v>
      </c>
      <c r="W362" s="6">
        <f>IF(ISERROR(VLOOKUP($T$362,'TAR FIN'!$A$1:$O$103,15,0)),0,VLOOKUP($T$362,'TAR FIN'!$A$1:$O$103,15,0))</f>
        <v>69.37</v>
      </c>
      <c r="X362" s="6">
        <f>IF(ISERROR(VLOOKUP($U$362,'TAR FIN'!$A$1:$O$103,15,0)),0,VLOOKUP($U$362,'TAR FIN'!$A$1:$O$103,15,0))</f>
        <v>284.36</v>
      </c>
      <c r="Y362" s="6"/>
      <c r="Z362" s="6">
        <f ca="1">('TUSD BE'!$AM$22+'TUSD BF_350'!$AM$22+'TUSD CVA'!$AM$22)*1</f>
        <v>110.85</v>
      </c>
      <c r="AA362" s="6">
        <f ca="1">('TE BE'!$AB$9+'TE BF_350'!$AB$9+'TE CVA'!$AB$9)*1</f>
        <v>247.20000000000002</v>
      </c>
      <c r="AB362" s="6">
        <f>$K$362*$V$362</f>
        <v>0</v>
      </c>
      <c r="AC362" s="6">
        <f>$M$362*$W$362</f>
        <v>147764.82889000003</v>
      </c>
      <c r="AD362" s="6">
        <f>$O$362*$X$362</f>
        <v>605714.38292000012</v>
      </c>
      <c r="AE362" s="6">
        <f>$K$362*$Y$362</f>
        <v>0</v>
      </c>
      <c r="AF362" s="6">
        <f ca="1">$M$362*$Z$362</f>
        <v>236121.25245</v>
      </c>
      <c r="AG362" s="6">
        <f ca="1">$O$362*$AA$362</f>
        <v>526559.97840000014</v>
      </c>
    </row>
    <row r="363" spans="1:33" ht="11.25" customHeight="1" x14ac:dyDescent="0.25">
      <c r="A363" s="4" t="s">
        <v>28</v>
      </c>
      <c r="B363" s="4" t="s">
        <v>33</v>
      </c>
      <c r="C363" s="4" t="s">
        <v>34</v>
      </c>
      <c r="D363" s="4" t="s">
        <v>40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44562</v>
      </c>
      <c r="J363" s="6">
        <v>0</v>
      </c>
      <c r="K363" s="6">
        <v>0</v>
      </c>
      <c r="L363" s="6">
        <v>9.0370000000000008</v>
      </c>
      <c r="M363" s="6">
        <v>9.0370000000000008</v>
      </c>
      <c r="N363" s="6">
        <v>9.0370000000000008</v>
      </c>
      <c r="O363" s="6">
        <v>9.0370000000000008</v>
      </c>
      <c r="P363" s="6">
        <v>0</v>
      </c>
      <c r="Q363" s="4" t="s">
        <v>26</v>
      </c>
      <c r="R363" s="4">
        <v>0</v>
      </c>
      <c r="S363" s="6">
        <v>0</v>
      </c>
      <c r="T363" s="6">
        <v>20</v>
      </c>
      <c r="U363" s="6">
        <v>66</v>
      </c>
      <c r="V363" s="6">
        <f>IF(ISERROR(VLOOKUP($S$363,'TAR FIN'!$A$1:$O$103,15,0)),0,VLOOKUP($S$363,'TAR FIN'!$A$1:$O$103,15,0))</f>
        <v>0</v>
      </c>
      <c r="W363" s="6">
        <f>IF(ISERROR(VLOOKUP($T$363,'TAR FIN'!$A$1:$O$103,15,0)),0,VLOOKUP($T$363,'TAR FIN'!$A$1:$O$103,15,0))</f>
        <v>69.37</v>
      </c>
      <c r="X363" s="6">
        <f>IF(ISERROR(VLOOKUP($U$363,'TAR FIN'!$A$1:$O$103,15,0)),0,VLOOKUP($U$363,'TAR FIN'!$A$1:$O$103,15,0))</f>
        <v>284.36</v>
      </c>
      <c r="Y363" s="6"/>
      <c r="Z363" s="6">
        <f ca="1">('TUSD BE'!$AM$22+'TUSD BF_350'!$AM$22+'TUSD CVA'!$AM$22)*1</f>
        <v>110.85</v>
      </c>
      <c r="AA363" s="6">
        <f ca="1">('TE BE'!$AB$9+'TE BF_350'!$AB$9+'TE CVA'!$AB$9)*1</f>
        <v>247.20000000000002</v>
      </c>
      <c r="AB363" s="6">
        <f>$K$363*$V$363</f>
        <v>0</v>
      </c>
      <c r="AC363" s="6">
        <f>$M$363*$W$363</f>
        <v>626.89669000000015</v>
      </c>
      <c r="AD363" s="6">
        <f>$O$363*$X$363</f>
        <v>2569.7613200000005</v>
      </c>
      <c r="AE363" s="6">
        <f>$K$363*$Y$363</f>
        <v>0</v>
      </c>
      <c r="AF363" s="6">
        <f ca="1">$M$363*$Z$363</f>
        <v>1001.7514500000001</v>
      </c>
      <c r="AG363" s="6">
        <f ca="1">$O$363*$AA$363</f>
        <v>2233.9464000000003</v>
      </c>
    </row>
    <row r="364" spans="1:33" ht="11.25" customHeight="1" x14ac:dyDescent="0.25">
      <c r="A364" s="4" t="s">
        <v>21</v>
      </c>
      <c r="B364" s="4" t="s">
        <v>33</v>
      </c>
      <c r="C364" s="4" t="s">
        <v>34</v>
      </c>
      <c r="D364" s="4" t="s">
        <v>40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44562</v>
      </c>
      <c r="J364" s="6">
        <v>0</v>
      </c>
      <c r="K364" s="6">
        <v>0</v>
      </c>
      <c r="L364" s="6">
        <v>1045.3130000000001</v>
      </c>
      <c r="M364" s="6">
        <v>1045.3130000000001</v>
      </c>
      <c r="N364" s="6">
        <v>0</v>
      </c>
      <c r="O364" s="6">
        <v>0</v>
      </c>
      <c r="P364" s="6">
        <v>0</v>
      </c>
      <c r="Q364" s="4" t="s">
        <v>53</v>
      </c>
      <c r="R364" s="4">
        <v>0</v>
      </c>
      <c r="S364" s="6">
        <v>0</v>
      </c>
      <c r="T364" s="6">
        <v>20</v>
      </c>
      <c r="U364" s="6">
        <v>0</v>
      </c>
      <c r="V364" s="6">
        <f>IF(ISERROR(VLOOKUP($S$364,'TAR FIN'!$A$1:$O$103,15,0)),0,VLOOKUP($S$364,'TAR FIN'!$A$1:$O$103,15,0))</f>
        <v>0</v>
      </c>
      <c r="W364" s="6">
        <f>IF(ISERROR(VLOOKUP($T$364,'TAR FIN'!$A$1:$O$103,15,0)),0,VLOOKUP($T$364,'TAR FIN'!$A$1:$O$103,15,0))</f>
        <v>69.37</v>
      </c>
      <c r="X364" s="6">
        <f>IF(ISERROR(VLOOKUP($U$364,'TAR FIN'!$A$1:$O$103,15,0)),0,VLOOKUP($U$364,'TAR FIN'!$A$1:$O$103,15,0))</f>
        <v>0</v>
      </c>
      <c r="Y364" s="6"/>
      <c r="Z364" s="6">
        <f ca="1">('TUSD BE'!$AM$22+'TUSD BF_350'!$AM$22+'TUSD CVA'!$AM$22)*1</f>
        <v>110.85</v>
      </c>
      <c r="AA364" s="6"/>
      <c r="AB364" s="6">
        <f>$K$364*$V$364</f>
        <v>0</v>
      </c>
      <c r="AC364" s="6">
        <f>$M$364*$W$364</f>
        <v>72513.362810000006</v>
      </c>
      <c r="AD364" s="6">
        <f>$O$364*$X$364</f>
        <v>0</v>
      </c>
      <c r="AE364" s="6">
        <f>$K$364*$Y$364</f>
        <v>0</v>
      </c>
      <c r="AF364" s="6">
        <f ca="1">$M$364*$Z$364</f>
        <v>115872.94605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33</v>
      </c>
      <c r="C365" s="4" t="s">
        <v>34</v>
      </c>
      <c r="D365" s="4" t="s">
        <v>40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44593</v>
      </c>
      <c r="J365" s="6">
        <v>0</v>
      </c>
      <c r="K365" s="6">
        <v>0</v>
      </c>
      <c r="L365" s="6">
        <v>2147.5100000000002</v>
      </c>
      <c r="M365" s="6">
        <v>2147.5100000000002</v>
      </c>
      <c r="N365" s="6">
        <v>2147.5100000000002</v>
      </c>
      <c r="O365" s="6">
        <v>2147.5100000000002</v>
      </c>
      <c r="P365" s="6">
        <v>0</v>
      </c>
      <c r="Q365" s="4" t="s">
        <v>26</v>
      </c>
      <c r="R365" s="4">
        <v>0</v>
      </c>
      <c r="S365" s="6">
        <v>0</v>
      </c>
      <c r="T365" s="6">
        <v>20</v>
      </c>
      <c r="U365" s="6">
        <v>66</v>
      </c>
      <c r="V365" s="6">
        <f>IF(ISERROR(VLOOKUP($S$365,'TAR FIN'!$A$1:$O$103,15,0)),0,VLOOKUP($S$365,'TAR FIN'!$A$1:$O$103,15,0))</f>
        <v>0</v>
      </c>
      <c r="W365" s="6">
        <f>IF(ISERROR(VLOOKUP($T$365,'TAR FIN'!$A$1:$O$103,15,0)),0,VLOOKUP($T$365,'TAR FIN'!$A$1:$O$103,15,0))</f>
        <v>69.37</v>
      </c>
      <c r="X365" s="6">
        <f>IF(ISERROR(VLOOKUP($U$365,'TAR FIN'!$A$1:$O$103,15,0)),0,VLOOKUP($U$365,'TAR FIN'!$A$1:$O$103,15,0))</f>
        <v>284.36</v>
      </c>
      <c r="Y365" s="6"/>
      <c r="Z365" s="6">
        <f ca="1">('TUSD BE'!$AM$22+'TUSD BF_350'!$AM$22+'TUSD CVA'!$AM$22)*1</f>
        <v>110.85</v>
      </c>
      <c r="AA365" s="6">
        <f ca="1">('TE BE'!$AB$9+'TE BF_350'!$AB$9+'TE CVA'!$AB$9)*1</f>
        <v>247.20000000000002</v>
      </c>
      <c r="AB365" s="6">
        <f>$K$365*$V$365</f>
        <v>0</v>
      </c>
      <c r="AC365" s="6">
        <f>$M$365*$W$365</f>
        <v>148972.76870000002</v>
      </c>
      <c r="AD365" s="6">
        <f>$O$365*$X$365</f>
        <v>610665.94360000012</v>
      </c>
      <c r="AE365" s="6">
        <f>$K$365*$Y$365</f>
        <v>0</v>
      </c>
      <c r="AF365" s="6">
        <f ca="1">$M$365*$Z$365</f>
        <v>238051.4835</v>
      </c>
      <c r="AG365" s="6">
        <f ca="1">$O$365*$AA$365</f>
        <v>530864.47200000007</v>
      </c>
    </row>
    <row r="366" spans="1:33" ht="11.25" customHeight="1" x14ac:dyDescent="0.25">
      <c r="A366" s="4" t="s">
        <v>28</v>
      </c>
      <c r="B366" s="4" t="s">
        <v>33</v>
      </c>
      <c r="C366" s="4" t="s">
        <v>34</v>
      </c>
      <c r="D366" s="4" t="s">
        <v>40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44593</v>
      </c>
      <c r="J366" s="6">
        <v>0</v>
      </c>
      <c r="K366" s="6">
        <v>0</v>
      </c>
      <c r="L366" s="6">
        <v>15.106</v>
      </c>
      <c r="M366" s="6">
        <v>15.106</v>
      </c>
      <c r="N366" s="6">
        <v>15.106</v>
      </c>
      <c r="O366" s="6">
        <v>15.106</v>
      </c>
      <c r="P366" s="6">
        <v>0</v>
      </c>
      <c r="Q366" s="4" t="s">
        <v>26</v>
      </c>
      <c r="R366" s="4">
        <v>0</v>
      </c>
      <c r="S366" s="6">
        <v>0</v>
      </c>
      <c r="T366" s="6">
        <v>20</v>
      </c>
      <c r="U366" s="6">
        <v>66</v>
      </c>
      <c r="V366" s="6">
        <f>IF(ISERROR(VLOOKUP($S$366,'TAR FIN'!$A$1:$O$103,15,0)),0,VLOOKUP($S$366,'TAR FIN'!$A$1:$O$103,15,0))</f>
        <v>0</v>
      </c>
      <c r="W366" s="6">
        <f>IF(ISERROR(VLOOKUP($T$366,'TAR FIN'!$A$1:$O$103,15,0)),0,VLOOKUP($T$366,'TAR FIN'!$A$1:$O$103,15,0))</f>
        <v>69.37</v>
      </c>
      <c r="X366" s="6">
        <f>IF(ISERROR(VLOOKUP($U$366,'TAR FIN'!$A$1:$O$103,15,0)),0,VLOOKUP($U$366,'TAR FIN'!$A$1:$O$103,15,0))</f>
        <v>284.36</v>
      </c>
      <c r="Y366" s="6"/>
      <c r="Z366" s="6">
        <f ca="1">('TUSD BE'!$AM$22+'TUSD BF_350'!$AM$22+'TUSD CVA'!$AM$22)*1</f>
        <v>110.85</v>
      </c>
      <c r="AA366" s="6">
        <f ca="1">('TE BE'!$AB$9+'TE BF_350'!$AB$9+'TE CVA'!$AB$9)*1</f>
        <v>247.20000000000002</v>
      </c>
      <c r="AB366" s="6">
        <f>$K$366*$V$366</f>
        <v>0</v>
      </c>
      <c r="AC366" s="6">
        <f>$M$366*$W$366</f>
        <v>1047.9032200000001</v>
      </c>
      <c r="AD366" s="6">
        <f>$O$366*$X$366</f>
        <v>4295.54216</v>
      </c>
      <c r="AE366" s="6">
        <f>$K$366*$Y$366</f>
        <v>0</v>
      </c>
      <c r="AF366" s="6">
        <f ca="1">$M$366*$Z$366</f>
        <v>1674.5001</v>
      </c>
      <c r="AG366" s="6">
        <f ca="1">$O$366*$AA$366</f>
        <v>3734.2032000000004</v>
      </c>
    </row>
    <row r="367" spans="1:33" ht="11.25" customHeight="1" x14ac:dyDescent="0.25">
      <c r="A367" s="4" t="s">
        <v>21</v>
      </c>
      <c r="B367" s="4" t="s">
        <v>33</v>
      </c>
      <c r="C367" s="4" t="s">
        <v>34</v>
      </c>
      <c r="D367" s="4" t="s">
        <v>40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44593</v>
      </c>
      <c r="J367" s="6">
        <v>0</v>
      </c>
      <c r="K367" s="6">
        <v>0</v>
      </c>
      <c r="L367" s="6">
        <v>1217.2239999999999</v>
      </c>
      <c r="M367" s="6">
        <v>1217.2239999999999</v>
      </c>
      <c r="N367" s="6">
        <v>0</v>
      </c>
      <c r="O367" s="6">
        <v>0</v>
      </c>
      <c r="P367" s="6">
        <v>0</v>
      </c>
      <c r="Q367" s="4" t="s">
        <v>53</v>
      </c>
      <c r="R367" s="4">
        <v>0</v>
      </c>
      <c r="S367" s="6">
        <v>0</v>
      </c>
      <c r="T367" s="6">
        <v>20</v>
      </c>
      <c r="U367" s="6">
        <v>0</v>
      </c>
      <c r="V367" s="6">
        <f>IF(ISERROR(VLOOKUP($S$367,'TAR FIN'!$A$1:$O$103,15,0)),0,VLOOKUP($S$367,'TAR FIN'!$A$1:$O$103,15,0))</f>
        <v>0</v>
      </c>
      <c r="W367" s="6">
        <f>IF(ISERROR(VLOOKUP($T$367,'TAR FIN'!$A$1:$O$103,15,0)),0,VLOOKUP($T$367,'TAR FIN'!$A$1:$O$103,15,0))</f>
        <v>69.37</v>
      </c>
      <c r="X367" s="6">
        <f>IF(ISERROR(VLOOKUP($U$367,'TAR FIN'!$A$1:$O$103,15,0)),0,VLOOKUP($U$367,'TAR FIN'!$A$1:$O$103,15,0))</f>
        <v>0</v>
      </c>
      <c r="Y367" s="6"/>
      <c r="Z367" s="6">
        <f ca="1">('TUSD BE'!$AM$22+'TUSD BF_350'!$AM$22+'TUSD CVA'!$AM$22)*1</f>
        <v>110.85</v>
      </c>
      <c r="AA367" s="6"/>
      <c r="AB367" s="6">
        <f>$K$367*$V$367</f>
        <v>0</v>
      </c>
      <c r="AC367" s="6">
        <f>$M$367*$W$367</f>
        <v>84438.828880000001</v>
      </c>
      <c r="AD367" s="6">
        <f>$O$367*$X$367</f>
        <v>0</v>
      </c>
      <c r="AE367" s="6">
        <f>$K$367*$Y$367</f>
        <v>0</v>
      </c>
      <c r="AF367" s="6">
        <f ca="1">$M$367*$Z$367</f>
        <v>134929.28039999999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33</v>
      </c>
      <c r="C368" s="4" t="s">
        <v>34</v>
      </c>
      <c r="D368" s="4" t="s">
        <v>40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44621</v>
      </c>
      <c r="J368" s="6">
        <v>0</v>
      </c>
      <c r="K368" s="6">
        <v>0</v>
      </c>
      <c r="L368" s="6">
        <v>2303.9630000000002</v>
      </c>
      <c r="M368" s="6">
        <v>2303.9630000000002</v>
      </c>
      <c r="N368" s="6">
        <v>2303.9630000000002</v>
      </c>
      <c r="O368" s="6">
        <v>2303.9630000000002</v>
      </c>
      <c r="P368" s="6">
        <v>0</v>
      </c>
      <c r="Q368" s="4" t="s">
        <v>26</v>
      </c>
      <c r="R368" s="4">
        <v>0</v>
      </c>
      <c r="S368" s="6">
        <v>0</v>
      </c>
      <c r="T368" s="6">
        <v>20</v>
      </c>
      <c r="U368" s="6">
        <v>66</v>
      </c>
      <c r="V368" s="6">
        <f>IF(ISERROR(VLOOKUP($S$368,'TAR FIN'!$A$1:$O$103,15,0)),0,VLOOKUP($S$368,'TAR FIN'!$A$1:$O$103,15,0))</f>
        <v>0</v>
      </c>
      <c r="W368" s="6">
        <f>IF(ISERROR(VLOOKUP($T$368,'TAR FIN'!$A$1:$O$103,15,0)),0,VLOOKUP($T$368,'TAR FIN'!$A$1:$O$103,15,0))</f>
        <v>69.37</v>
      </c>
      <c r="X368" s="6">
        <f>IF(ISERROR(VLOOKUP($U$368,'TAR FIN'!$A$1:$O$103,15,0)),0,VLOOKUP($U$368,'TAR FIN'!$A$1:$O$103,15,0))</f>
        <v>284.36</v>
      </c>
      <c r="Y368" s="6"/>
      <c r="Z368" s="6">
        <f ca="1">('TUSD BE'!$AM$22+'TUSD BF_350'!$AM$22+'TUSD CVA'!$AM$22)*1</f>
        <v>110.85</v>
      </c>
      <c r="AA368" s="6">
        <f ca="1">('TE BE'!$AB$9+'TE BF_350'!$AB$9+'TE CVA'!$AB$9)*1</f>
        <v>247.20000000000002</v>
      </c>
      <c r="AB368" s="6">
        <f>$K$368*$V$368</f>
        <v>0</v>
      </c>
      <c r="AC368" s="6">
        <f>$M$368*$W$368</f>
        <v>159825.91331000003</v>
      </c>
      <c r="AD368" s="6">
        <f>$O$368*$X$368</f>
        <v>655154.91868000012</v>
      </c>
      <c r="AE368" s="6">
        <f>$K$368*$Y$368</f>
        <v>0</v>
      </c>
      <c r="AF368" s="6">
        <f ca="1">$M$368*$Z$368</f>
        <v>255394.29855000001</v>
      </c>
      <c r="AG368" s="6">
        <f ca="1">$O$368*$AA$368</f>
        <v>569539.65360000008</v>
      </c>
    </row>
    <row r="369" spans="1:33" ht="11.25" customHeight="1" x14ac:dyDescent="0.25">
      <c r="A369" s="4" t="s">
        <v>28</v>
      </c>
      <c r="B369" s="4" t="s">
        <v>33</v>
      </c>
      <c r="C369" s="4" t="s">
        <v>34</v>
      </c>
      <c r="D369" s="4" t="s">
        <v>40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44621</v>
      </c>
      <c r="J369" s="6">
        <v>0</v>
      </c>
      <c r="K369" s="6">
        <v>0</v>
      </c>
      <c r="L369" s="6">
        <v>25.742000000000001</v>
      </c>
      <c r="M369" s="6">
        <v>25.742000000000001</v>
      </c>
      <c r="N369" s="6">
        <v>25.742000000000001</v>
      </c>
      <c r="O369" s="6">
        <v>25.742000000000001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20</v>
      </c>
      <c r="U369" s="6">
        <v>66</v>
      </c>
      <c r="V369" s="6">
        <f>IF(ISERROR(VLOOKUP($S$369,'TAR FIN'!$A$1:$O$103,15,0)),0,VLOOKUP($S$369,'TAR FIN'!$A$1:$O$103,15,0))</f>
        <v>0</v>
      </c>
      <c r="W369" s="6">
        <f>IF(ISERROR(VLOOKUP($T$369,'TAR FIN'!$A$1:$O$103,15,0)),0,VLOOKUP($T$369,'TAR FIN'!$A$1:$O$103,15,0))</f>
        <v>69.37</v>
      </c>
      <c r="X369" s="6">
        <f>IF(ISERROR(VLOOKUP($U$369,'TAR FIN'!$A$1:$O$103,15,0)),0,VLOOKUP($U$369,'TAR FIN'!$A$1:$O$103,15,0))</f>
        <v>284.36</v>
      </c>
      <c r="Y369" s="6"/>
      <c r="Z369" s="6">
        <f ca="1">('TUSD BE'!$AM$22+'TUSD BF_350'!$AM$22+'TUSD CVA'!$AM$22)*1</f>
        <v>110.85</v>
      </c>
      <c r="AA369" s="6">
        <f ca="1">('TE BE'!$AB$9+'TE BF_350'!$AB$9+'TE CVA'!$AB$9)*1</f>
        <v>247.20000000000002</v>
      </c>
      <c r="AB369" s="6">
        <f>$K$369*$V$369</f>
        <v>0</v>
      </c>
      <c r="AC369" s="6">
        <f>$M$369*$W$369</f>
        <v>1785.7225400000002</v>
      </c>
      <c r="AD369" s="6">
        <f>$O$369*$X$369</f>
        <v>7319.9951200000005</v>
      </c>
      <c r="AE369" s="6">
        <f>$K$369*$Y$369</f>
        <v>0</v>
      </c>
      <c r="AF369" s="6">
        <f ca="1">$M$369*$Z$369</f>
        <v>2853.5007000000001</v>
      </c>
      <c r="AG369" s="6">
        <f ca="1">$O$369*$AA$369</f>
        <v>6363.4224000000004</v>
      </c>
    </row>
    <row r="370" spans="1:33" ht="11.25" customHeight="1" x14ac:dyDescent="0.25">
      <c r="A370" s="4" t="s">
        <v>21</v>
      </c>
      <c r="B370" s="4" t="s">
        <v>33</v>
      </c>
      <c r="C370" s="4" t="s">
        <v>34</v>
      </c>
      <c r="D370" s="4" t="s">
        <v>40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1248.2180000000001</v>
      </c>
      <c r="M370" s="6">
        <v>1248.2180000000001</v>
      </c>
      <c r="N370" s="6">
        <v>0</v>
      </c>
      <c r="O370" s="6">
        <v>0</v>
      </c>
      <c r="P370" s="6">
        <v>0</v>
      </c>
      <c r="Q370" s="4" t="s">
        <v>53</v>
      </c>
      <c r="R370" s="4">
        <v>0</v>
      </c>
      <c r="S370" s="6">
        <v>0</v>
      </c>
      <c r="T370" s="6">
        <v>20</v>
      </c>
      <c r="U370" s="6">
        <v>0</v>
      </c>
      <c r="V370" s="6">
        <f>IF(ISERROR(VLOOKUP($S$370,'TAR FIN'!$A$1:$O$103,15,0)),0,VLOOKUP($S$370,'TAR FIN'!$A$1:$O$103,15,0))</f>
        <v>0</v>
      </c>
      <c r="W370" s="6">
        <f>IF(ISERROR(VLOOKUP($T$370,'TAR FIN'!$A$1:$O$103,15,0)),0,VLOOKUP($T$370,'TAR FIN'!$A$1:$O$103,15,0))</f>
        <v>69.37</v>
      </c>
      <c r="X370" s="6">
        <f>IF(ISERROR(VLOOKUP($U$370,'TAR FIN'!$A$1:$O$103,15,0)),0,VLOOKUP($U$370,'TAR FIN'!$A$1:$O$103,15,0))</f>
        <v>0</v>
      </c>
      <c r="Y370" s="6"/>
      <c r="Z370" s="6">
        <f ca="1">('TUSD BE'!$AM$22+'TUSD BF_350'!$AM$22+'TUSD CVA'!$AM$22)*1</f>
        <v>110.85</v>
      </c>
      <c r="AA370" s="6"/>
      <c r="AB370" s="6">
        <f>$K$370*$V$370</f>
        <v>0</v>
      </c>
      <c r="AC370" s="6">
        <f>$M$370*$W$370</f>
        <v>86588.882660000017</v>
      </c>
      <c r="AD370" s="6">
        <f>$O$370*$X$370</f>
        <v>0</v>
      </c>
      <c r="AE370" s="6">
        <f>$K$370*$Y$370</f>
        <v>0</v>
      </c>
      <c r="AF370" s="6">
        <f ca="1">$M$370*$Z$370</f>
        <v>138364.96530000001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33</v>
      </c>
      <c r="C371" s="4" t="s">
        <v>34</v>
      </c>
      <c r="D371" s="4" t="s">
        <v>40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2278.2260000000001</v>
      </c>
      <c r="M371" s="6">
        <v>2278.2260000000001</v>
      </c>
      <c r="N371" s="6">
        <v>2278.2260000000001</v>
      </c>
      <c r="O371" s="6">
        <v>2278.2260000000001</v>
      </c>
      <c r="P371" s="6">
        <v>0</v>
      </c>
      <c r="Q371" s="4" t="s">
        <v>26</v>
      </c>
      <c r="R371" s="4">
        <v>0</v>
      </c>
      <c r="S371" s="6">
        <v>0</v>
      </c>
      <c r="T371" s="6">
        <v>20</v>
      </c>
      <c r="U371" s="6">
        <v>66</v>
      </c>
      <c r="V371" s="6">
        <f>IF(ISERROR(VLOOKUP($S$371,'TAR FIN'!$A$1:$O$103,15,0)),0,VLOOKUP($S$371,'TAR FIN'!$A$1:$O$103,15,0))</f>
        <v>0</v>
      </c>
      <c r="W371" s="6">
        <f>IF(ISERROR(VLOOKUP($T$371,'TAR FIN'!$A$1:$O$103,15,0)),0,VLOOKUP($T$371,'TAR FIN'!$A$1:$O$103,15,0))</f>
        <v>69.37</v>
      </c>
      <c r="X371" s="6">
        <f>IF(ISERROR(VLOOKUP($U$371,'TAR FIN'!$A$1:$O$103,15,0)),0,VLOOKUP($U$371,'TAR FIN'!$A$1:$O$103,15,0))</f>
        <v>284.36</v>
      </c>
      <c r="Y371" s="6"/>
      <c r="Z371" s="6">
        <f ca="1">('TUSD BE'!$AM$22+'TUSD BF_350'!$AM$22+'TUSD CVA'!$AM$22)*1</f>
        <v>110.85</v>
      </c>
      <c r="AA371" s="6">
        <f ca="1">('TE BE'!$AB$9+'TE BF_350'!$AB$9+'TE CVA'!$AB$9)*1</f>
        <v>247.20000000000002</v>
      </c>
      <c r="AB371" s="6">
        <f>$K$371*$V$371</f>
        <v>0</v>
      </c>
      <c r="AC371" s="6">
        <f>$M$371*$W$371</f>
        <v>158040.53762000002</v>
      </c>
      <c r="AD371" s="6">
        <f>$O$371*$X$371</f>
        <v>647836.34536000004</v>
      </c>
      <c r="AE371" s="6">
        <f>$K$371*$Y$371</f>
        <v>0</v>
      </c>
      <c r="AF371" s="6">
        <f ca="1">$M$371*$Z$371</f>
        <v>252541.35209999999</v>
      </c>
      <c r="AG371" s="6">
        <f ca="1">$O$371*$AA$371</f>
        <v>563177.46720000007</v>
      </c>
    </row>
    <row r="372" spans="1:33" ht="11.25" customHeight="1" x14ac:dyDescent="0.25">
      <c r="A372" s="4" t="s">
        <v>28</v>
      </c>
      <c r="B372" s="4" t="s">
        <v>33</v>
      </c>
      <c r="C372" s="4" t="s">
        <v>34</v>
      </c>
      <c r="D372" s="4" t="s">
        <v>40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44652</v>
      </c>
      <c r="J372" s="6">
        <v>0</v>
      </c>
      <c r="K372" s="6">
        <v>0</v>
      </c>
      <c r="L372" s="6">
        <v>19.172000000000001</v>
      </c>
      <c r="M372" s="6">
        <v>19.172000000000001</v>
      </c>
      <c r="N372" s="6">
        <v>19.172000000000001</v>
      </c>
      <c r="O372" s="6">
        <v>19.172000000000001</v>
      </c>
      <c r="P372" s="6">
        <v>0</v>
      </c>
      <c r="Q372" s="4" t="s">
        <v>26</v>
      </c>
      <c r="R372" s="4">
        <v>0</v>
      </c>
      <c r="S372" s="6">
        <v>0</v>
      </c>
      <c r="T372" s="6">
        <v>20</v>
      </c>
      <c r="U372" s="6">
        <v>66</v>
      </c>
      <c r="V372" s="6">
        <f>IF(ISERROR(VLOOKUP($S$372,'TAR FIN'!$A$1:$O$103,15,0)),0,VLOOKUP($S$372,'TAR FIN'!$A$1:$O$103,15,0))</f>
        <v>0</v>
      </c>
      <c r="W372" s="6">
        <f>IF(ISERROR(VLOOKUP($T$372,'TAR FIN'!$A$1:$O$103,15,0)),0,VLOOKUP($T$372,'TAR FIN'!$A$1:$O$103,15,0))</f>
        <v>69.37</v>
      </c>
      <c r="X372" s="6">
        <f>IF(ISERROR(VLOOKUP($U$372,'TAR FIN'!$A$1:$O$103,15,0)),0,VLOOKUP($U$372,'TAR FIN'!$A$1:$O$103,15,0))</f>
        <v>284.36</v>
      </c>
      <c r="Y372" s="6"/>
      <c r="Z372" s="6">
        <f ca="1">('TUSD BE'!$AM$22+'TUSD BF_350'!$AM$22+'TUSD CVA'!$AM$22)*1</f>
        <v>110.85</v>
      </c>
      <c r="AA372" s="6">
        <f ca="1">('TE BE'!$AB$9+'TE BF_350'!$AB$9+'TE CVA'!$AB$9)*1</f>
        <v>247.20000000000002</v>
      </c>
      <c r="AB372" s="6">
        <f>$K$372*$V$372</f>
        <v>0</v>
      </c>
      <c r="AC372" s="6">
        <f>$M$372*$W$372</f>
        <v>1329.9616400000002</v>
      </c>
      <c r="AD372" s="6">
        <f>$O$372*$X$372</f>
        <v>5451.7499200000002</v>
      </c>
      <c r="AE372" s="6">
        <f>$K$372*$Y$372</f>
        <v>0</v>
      </c>
      <c r="AF372" s="6">
        <f ca="1">$M$372*$Z$372</f>
        <v>2125.2161999999998</v>
      </c>
      <c r="AG372" s="6">
        <f ca="1">$O$372*$AA$372</f>
        <v>4739.3184000000001</v>
      </c>
    </row>
    <row r="373" spans="1:33" ht="11.25" customHeight="1" x14ac:dyDescent="0.25">
      <c r="A373" s="4" t="s">
        <v>21</v>
      </c>
      <c r="B373" s="4" t="s">
        <v>33</v>
      </c>
      <c r="C373" s="4" t="s">
        <v>34</v>
      </c>
      <c r="D373" s="4" t="s">
        <v>40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44652</v>
      </c>
      <c r="J373" s="6">
        <v>0</v>
      </c>
      <c r="K373" s="6">
        <v>0</v>
      </c>
      <c r="L373" s="6">
        <v>1454.5050000000001</v>
      </c>
      <c r="M373" s="6">
        <v>1454.5050000000001</v>
      </c>
      <c r="N373" s="6">
        <v>0</v>
      </c>
      <c r="O373" s="6">
        <v>0</v>
      </c>
      <c r="P373" s="6">
        <v>0</v>
      </c>
      <c r="Q373" s="4" t="s">
        <v>53</v>
      </c>
      <c r="R373" s="4">
        <v>0</v>
      </c>
      <c r="S373" s="6">
        <v>0</v>
      </c>
      <c r="T373" s="6">
        <v>20</v>
      </c>
      <c r="U373" s="6">
        <v>0</v>
      </c>
      <c r="V373" s="6">
        <f>IF(ISERROR(VLOOKUP($S$373,'TAR FIN'!$A$1:$O$103,15,0)),0,VLOOKUP($S$373,'TAR FIN'!$A$1:$O$103,15,0))</f>
        <v>0</v>
      </c>
      <c r="W373" s="6">
        <f>IF(ISERROR(VLOOKUP($T$373,'TAR FIN'!$A$1:$O$103,15,0)),0,VLOOKUP($T$373,'TAR FIN'!$A$1:$O$103,15,0))</f>
        <v>69.37</v>
      </c>
      <c r="X373" s="6">
        <f>IF(ISERROR(VLOOKUP($U$373,'TAR FIN'!$A$1:$O$103,15,0)),0,VLOOKUP($U$373,'TAR FIN'!$A$1:$O$103,15,0))</f>
        <v>0</v>
      </c>
      <c r="Y373" s="6"/>
      <c r="Z373" s="6">
        <f ca="1">('TUSD BE'!$AM$22+'TUSD BF_350'!$AM$22+'TUSD CVA'!$AM$22)*1</f>
        <v>110.85</v>
      </c>
      <c r="AA373" s="6"/>
      <c r="AB373" s="6">
        <f>$K$373*$V$373</f>
        <v>0</v>
      </c>
      <c r="AC373" s="6">
        <f>$M$373*$W$373</f>
        <v>100899.01185000001</v>
      </c>
      <c r="AD373" s="6">
        <f>$O$373*$X$373</f>
        <v>0</v>
      </c>
      <c r="AE373" s="6">
        <f>$K$373*$Y$373</f>
        <v>0</v>
      </c>
      <c r="AF373" s="6">
        <f ca="1">$M$373*$Z$373</f>
        <v>161231.87925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33</v>
      </c>
      <c r="C374" s="4" t="s">
        <v>34</v>
      </c>
      <c r="D374" s="4" t="s">
        <v>40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44682</v>
      </c>
      <c r="J374" s="6">
        <v>0</v>
      </c>
      <c r="K374" s="6">
        <v>0</v>
      </c>
      <c r="L374" s="6">
        <v>2448.098</v>
      </c>
      <c r="M374" s="6">
        <v>2448.098</v>
      </c>
      <c r="N374" s="6">
        <v>2448.098</v>
      </c>
      <c r="O374" s="6">
        <v>2448.098</v>
      </c>
      <c r="P374" s="6">
        <v>0</v>
      </c>
      <c r="Q374" s="4" t="s">
        <v>26</v>
      </c>
      <c r="R374" s="4">
        <v>0</v>
      </c>
      <c r="S374" s="6">
        <v>0</v>
      </c>
      <c r="T374" s="6">
        <v>20</v>
      </c>
      <c r="U374" s="6">
        <v>66</v>
      </c>
      <c r="V374" s="6">
        <f>IF(ISERROR(VLOOKUP($S$374,'TAR FIN'!$A$1:$O$103,15,0)),0,VLOOKUP($S$374,'TAR FIN'!$A$1:$O$103,15,0))</f>
        <v>0</v>
      </c>
      <c r="W374" s="6">
        <f>IF(ISERROR(VLOOKUP($T$374,'TAR FIN'!$A$1:$O$103,15,0)),0,VLOOKUP($T$374,'TAR FIN'!$A$1:$O$103,15,0))</f>
        <v>69.37</v>
      </c>
      <c r="X374" s="6">
        <f>IF(ISERROR(VLOOKUP($U$374,'TAR FIN'!$A$1:$O$103,15,0)),0,VLOOKUP($U$374,'TAR FIN'!$A$1:$O$103,15,0))</f>
        <v>284.36</v>
      </c>
      <c r="Y374" s="6"/>
      <c r="Z374" s="6">
        <f ca="1">('TUSD BE'!$AM$22+'TUSD BF_350'!$AM$22+'TUSD CVA'!$AM$22)*1</f>
        <v>110.85</v>
      </c>
      <c r="AA374" s="6">
        <f ca="1">('TE BE'!$AB$9+'TE BF_350'!$AB$9+'TE CVA'!$AB$9)*1</f>
        <v>247.20000000000002</v>
      </c>
      <c r="AB374" s="6">
        <f>$K$374*$V$374</f>
        <v>0</v>
      </c>
      <c r="AC374" s="6">
        <f>$M$374*$W$374</f>
        <v>169824.55826000002</v>
      </c>
      <c r="AD374" s="6">
        <f>$O$374*$X$374</f>
        <v>696141.14728000003</v>
      </c>
      <c r="AE374" s="6">
        <f>$K$374*$Y$374</f>
        <v>0</v>
      </c>
      <c r="AF374" s="6">
        <f ca="1">$M$374*$Z$374</f>
        <v>271371.66329999996</v>
      </c>
      <c r="AG374" s="6">
        <f ca="1">$O$374*$AA$374</f>
        <v>605169.82559999998</v>
      </c>
    </row>
    <row r="375" spans="1:33" ht="11.25" customHeight="1" x14ac:dyDescent="0.25">
      <c r="A375" s="4" t="s">
        <v>28</v>
      </c>
      <c r="B375" s="4" t="s">
        <v>33</v>
      </c>
      <c r="C375" s="4" t="s">
        <v>34</v>
      </c>
      <c r="D375" s="4" t="s">
        <v>40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44682</v>
      </c>
      <c r="J375" s="6">
        <v>0</v>
      </c>
      <c r="K375" s="6">
        <v>0</v>
      </c>
      <c r="L375" s="6">
        <v>21.18</v>
      </c>
      <c r="M375" s="6">
        <v>21.18</v>
      </c>
      <c r="N375" s="6">
        <v>21.18</v>
      </c>
      <c r="O375" s="6">
        <v>21.18</v>
      </c>
      <c r="P375" s="6">
        <v>0</v>
      </c>
      <c r="Q375" s="4" t="s">
        <v>26</v>
      </c>
      <c r="R375" s="4">
        <v>0</v>
      </c>
      <c r="S375" s="6">
        <v>0</v>
      </c>
      <c r="T375" s="6">
        <v>20</v>
      </c>
      <c r="U375" s="6">
        <v>66</v>
      </c>
      <c r="V375" s="6">
        <f>IF(ISERROR(VLOOKUP($S$375,'TAR FIN'!$A$1:$O$103,15,0)),0,VLOOKUP($S$375,'TAR FIN'!$A$1:$O$103,15,0))</f>
        <v>0</v>
      </c>
      <c r="W375" s="6">
        <f>IF(ISERROR(VLOOKUP($T$375,'TAR FIN'!$A$1:$O$103,15,0)),0,VLOOKUP($T$375,'TAR FIN'!$A$1:$O$103,15,0))</f>
        <v>69.37</v>
      </c>
      <c r="X375" s="6">
        <f>IF(ISERROR(VLOOKUP($U$375,'TAR FIN'!$A$1:$O$103,15,0)),0,VLOOKUP($U$375,'TAR FIN'!$A$1:$O$103,15,0))</f>
        <v>284.36</v>
      </c>
      <c r="Y375" s="6"/>
      <c r="Z375" s="6">
        <f ca="1">('TUSD BE'!$AM$22+'TUSD BF_350'!$AM$22+'TUSD CVA'!$AM$22)*1</f>
        <v>110.85</v>
      </c>
      <c r="AA375" s="6">
        <f ca="1">('TE BE'!$AB$9+'TE BF_350'!$AB$9+'TE CVA'!$AB$9)*1</f>
        <v>247.20000000000002</v>
      </c>
      <c r="AB375" s="6">
        <f>$K$375*$V$375</f>
        <v>0</v>
      </c>
      <c r="AC375" s="6">
        <f>$M$375*$W$375</f>
        <v>1469.2566000000002</v>
      </c>
      <c r="AD375" s="6">
        <f>$O$375*$X$375</f>
        <v>6022.7448000000004</v>
      </c>
      <c r="AE375" s="6">
        <f>$K$375*$Y$375</f>
        <v>0</v>
      </c>
      <c r="AF375" s="6">
        <f ca="1">$M$375*$Z$375</f>
        <v>2347.8029999999999</v>
      </c>
      <c r="AG375" s="6">
        <f ca="1">$O$375*$AA$375</f>
        <v>5235.6959999999999</v>
      </c>
    </row>
    <row r="376" spans="1:33" ht="11.25" customHeight="1" x14ac:dyDescent="0.25">
      <c r="A376" s="4" t="s">
        <v>21</v>
      </c>
      <c r="B376" s="4" t="s">
        <v>33</v>
      </c>
      <c r="C376" s="4" t="s">
        <v>34</v>
      </c>
      <c r="D376" s="4" t="s">
        <v>40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44682</v>
      </c>
      <c r="J376" s="6">
        <v>0</v>
      </c>
      <c r="K376" s="6">
        <v>0</v>
      </c>
      <c r="L376" s="6">
        <v>1225.2950000000001</v>
      </c>
      <c r="M376" s="6">
        <v>1225.2950000000001</v>
      </c>
      <c r="N376" s="6">
        <v>0</v>
      </c>
      <c r="O376" s="6">
        <v>0</v>
      </c>
      <c r="P376" s="6">
        <v>0</v>
      </c>
      <c r="Q376" s="4" t="s">
        <v>53</v>
      </c>
      <c r="R376" s="4">
        <v>0</v>
      </c>
      <c r="S376" s="6">
        <v>0</v>
      </c>
      <c r="T376" s="6">
        <v>20</v>
      </c>
      <c r="U376" s="6">
        <v>0</v>
      </c>
      <c r="V376" s="6">
        <f>IF(ISERROR(VLOOKUP($S$376,'TAR FIN'!$A$1:$O$103,15,0)),0,VLOOKUP($S$376,'TAR FIN'!$A$1:$O$103,15,0))</f>
        <v>0</v>
      </c>
      <c r="W376" s="6">
        <f>IF(ISERROR(VLOOKUP($T$376,'TAR FIN'!$A$1:$O$103,15,0)),0,VLOOKUP($T$376,'TAR FIN'!$A$1:$O$103,15,0))</f>
        <v>69.37</v>
      </c>
      <c r="X376" s="6">
        <f>IF(ISERROR(VLOOKUP($U$376,'TAR FIN'!$A$1:$O$103,15,0)),0,VLOOKUP($U$376,'TAR FIN'!$A$1:$O$103,15,0))</f>
        <v>0</v>
      </c>
      <c r="Y376" s="6"/>
      <c r="Z376" s="6">
        <f ca="1">('TUSD BE'!$AM$22+'TUSD BF_350'!$AM$22+'TUSD CVA'!$AM$22)*1</f>
        <v>110.85</v>
      </c>
      <c r="AA376" s="6"/>
      <c r="AB376" s="6">
        <f>$K$376*$V$376</f>
        <v>0</v>
      </c>
      <c r="AC376" s="6">
        <f>$M$376*$W$376</f>
        <v>84998.714150000014</v>
      </c>
      <c r="AD376" s="6">
        <f>$O$376*$X$376</f>
        <v>0</v>
      </c>
      <c r="AE376" s="6">
        <f>$K$376*$Y$376</f>
        <v>0</v>
      </c>
      <c r="AF376" s="6">
        <f ca="1">$M$376*$Z$376</f>
        <v>135823.95074999999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33</v>
      </c>
      <c r="C377" s="4" t="s">
        <v>34</v>
      </c>
      <c r="D377" s="4" t="s">
        <v>40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44348</v>
      </c>
      <c r="J377" s="6">
        <v>15381</v>
      </c>
      <c r="K377" s="6">
        <v>15381</v>
      </c>
      <c r="L377" s="6">
        <v>0</v>
      </c>
      <c r="M377" s="6">
        <v>0</v>
      </c>
      <c r="N377" s="6">
        <v>0</v>
      </c>
      <c r="O377" s="6">
        <v>0</v>
      </c>
      <c r="P377" s="6">
        <v>81</v>
      </c>
      <c r="Q377" s="4" t="s">
        <v>26</v>
      </c>
      <c r="R377" s="4">
        <v>0</v>
      </c>
      <c r="S377" s="6">
        <v>18</v>
      </c>
      <c r="T377" s="6">
        <v>0</v>
      </c>
      <c r="U377" s="6">
        <v>0</v>
      </c>
      <c r="V377" s="6">
        <f>IF(ISERROR(VLOOKUP($S$377,'TAR FIN'!$A$1:$O$103,15,0)),0,VLOOKUP($S$377,'TAR FIN'!$A$1:$O$103,15,0))</f>
        <v>12.42</v>
      </c>
      <c r="W377" s="6">
        <f>IF(ISERROR(VLOOKUP($T$377,'TAR FIN'!$A$1:$O$103,15,0)),0,VLOOKUP($T$377,'TAR FIN'!$A$1:$O$103,15,0))</f>
        <v>0</v>
      </c>
      <c r="X377" s="6">
        <f>IF(ISERROR(VLOOKUP($U$377,'TAR FIN'!$A$1:$O$103,15,0)),0,VLOOKUP($U$377,'TAR FIN'!$A$1:$O$103,15,0))</f>
        <v>0</v>
      </c>
      <c r="Y377" s="6">
        <f ca="1">('TUSD BE'!$AM$20+'TUSD BF_350'!$AM$20+'TUSD CVA'!$AM$20)*1</f>
        <v>17.579999999999998</v>
      </c>
      <c r="Z377" s="6"/>
      <c r="AA377" s="6"/>
      <c r="AB377" s="6">
        <f>$K$377*$V$377</f>
        <v>191032.02</v>
      </c>
      <c r="AC377" s="6">
        <f>$M$377*$W$377</f>
        <v>0</v>
      </c>
      <c r="AD377" s="6">
        <f>$O$377*$X$377</f>
        <v>0</v>
      </c>
      <c r="AE377" s="6">
        <f ca="1">$K$377*$Y$377</f>
        <v>270397.98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33</v>
      </c>
      <c r="C378" s="4" t="s">
        <v>34</v>
      </c>
      <c r="D378" s="4" t="s">
        <v>40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44348</v>
      </c>
      <c r="J378" s="6">
        <v>4750</v>
      </c>
      <c r="K378" s="6">
        <v>4750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4" t="s">
        <v>53</v>
      </c>
      <c r="R378" s="4">
        <v>0</v>
      </c>
      <c r="S378" s="6">
        <v>18</v>
      </c>
      <c r="T378" s="6">
        <v>0</v>
      </c>
      <c r="U378" s="6">
        <v>0</v>
      </c>
      <c r="V378" s="6">
        <f>IF(ISERROR(VLOOKUP($S$378,'TAR FIN'!$A$1:$O$103,15,0)),0,VLOOKUP($S$378,'TAR FIN'!$A$1:$O$103,15,0))</f>
        <v>12.42</v>
      </c>
      <c r="W378" s="6">
        <f>IF(ISERROR(VLOOKUP($T$378,'TAR FIN'!$A$1:$O$103,15,0)),0,VLOOKUP($T$378,'TAR FIN'!$A$1:$O$103,15,0))</f>
        <v>0</v>
      </c>
      <c r="X378" s="6">
        <f>IF(ISERROR(VLOOKUP($U$378,'TAR FIN'!$A$1:$O$103,15,0)),0,VLOOKUP($U$378,'TAR FIN'!$A$1:$O$103,15,0))</f>
        <v>0</v>
      </c>
      <c r="Y378" s="6">
        <f ca="1">('TUSD BE'!$AM$20+'TUSD BF_350'!$AM$20+'TUSD CVA'!$AM$20)*1</f>
        <v>17.579999999999998</v>
      </c>
      <c r="Z378" s="6"/>
      <c r="AA378" s="6"/>
      <c r="AB378" s="6">
        <f>$K$378*$V$378</f>
        <v>58995</v>
      </c>
      <c r="AC378" s="6">
        <f>$M$378*$W$378</f>
        <v>0</v>
      </c>
      <c r="AD378" s="6">
        <f>$O$378*$X$378</f>
        <v>0</v>
      </c>
      <c r="AE378" s="6">
        <f ca="1">$K$378*$Y$378</f>
        <v>83504.999999999985</v>
      </c>
      <c r="AF378" s="6">
        <f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33</v>
      </c>
      <c r="C379" s="4" t="s">
        <v>34</v>
      </c>
      <c r="D379" s="4" t="s">
        <v>40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44378</v>
      </c>
      <c r="J379" s="6">
        <v>15303</v>
      </c>
      <c r="K379" s="6">
        <v>15303</v>
      </c>
      <c r="L379" s="6">
        <v>0</v>
      </c>
      <c r="M379" s="6">
        <v>0</v>
      </c>
      <c r="N379" s="6">
        <v>0</v>
      </c>
      <c r="O379" s="6">
        <v>0</v>
      </c>
      <c r="P379" s="6">
        <v>80</v>
      </c>
      <c r="Q379" s="4" t="s">
        <v>26</v>
      </c>
      <c r="R379" s="4">
        <v>0</v>
      </c>
      <c r="S379" s="6">
        <v>18</v>
      </c>
      <c r="T379" s="6">
        <v>0</v>
      </c>
      <c r="U379" s="6">
        <v>0</v>
      </c>
      <c r="V379" s="6">
        <f>IF(ISERROR(VLOOKUP($S$379,'TAR FIN'!$A$1:$O$103,15,0)),0,VLOOKUP($S$379,'TAR FIN'!$A$1:$O$103,15,0))</f>
        <v>12.42</v>
      </c>
      <c r="W379" s="6">
        <f>IF(ISERROR(VLOOKUP($T$379,'TAR FIN'!$A$1:$O$103,15,0)),0,VLOOKUP($T$379,'TAR FIN'!$A$1:$O$103,15,0))</f>
        <v>0</v>
      </c>
      <c r="X379" s="6">
        <f>IF(ISERROR(VLOOKUP($U$379,'TAR FIN'!$A$1:$O$103,15,0)),0,VLOOKUP($U$379,'TAR FIN'!$A$1:$O$103,15,0))</f>
        <v>0</v>
      </c>
      <c r="Y379" s="6">
        <f ca="1">('TUSD BE'!$AM$20+'TUSD BF_350'!$AM$20+'TUSD CVA'!$AM$20)*1</f>
        <v>17.579999999999998</v>
      </c>
      <c r="Z379" s="6"/>
      <c r="AA379" s="6"/>
      <c r="AB379" s="6">
        <f>$K$379*$V$379</f>
        <v>190063.26</v>
      </c>
      <c r="AC379" s="6">
        <f>$M$379*$W$379</f>
        <v>0</v>
      </c>
      <c r="AD379" s="6">
        <f>$O$379*$X$379</f>
        <v>0</v>
      </c>
      <c r="AE379" s="6">
        <f ca="1">$K$379*$Y$379</f>
        <v>269026.74</v>
      </c>
      <c r="AF379" s="6">
        <f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33</v>
      </c>
      <c r="C380" s="4" t="s">
        <v>34</v>
      </c>
      <c r="D380" s="4" t="s">
        <v>40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44378</v>
      </c>
      <c r="J380" s="6">
        <v>4750</v>
      </c>
      <c r="K380" s="6">
        <v>4750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4" t="s">
        <v>53</v>
      </c>
      <c r="R380" s="4">
        <v>0</v>
      </c>
      <c r="S380" s="6">
        <v>18</v>
      </c>
      <c r="T380" s="6">
        <v>0</v>
      </c>
      <c r="U380" s="6">
        <v>0</v>
      </c>
      <c r="V380" s="6">
        <f>IF(ISERROR(VLOOKUP($S$380,'TAR FIN'!$A$1:$O$103,15,0)),0,VLOOKUP($S$380,'TAR FIN'!$A$1:$O$103,15,0))</f>
        <v>12.42</v>
      </c>
      <c r="W380" s="6">
        <f>IF(ISERROR(VLOOKUP($T$380,'TAR FIN'!$A$1:$O$103,15,0)),0,VLOOKUP($T$380,'TAR FIN'!$A$1:$O$103,15,0))</f>
        <v>0</v>
      </c>
      <c r="X380" s="6">
        <f>IF(ISERROR(VLOOKUP($U$380,'TAR FIN'!$A$1:$O$103,15,0)),0,VLOOKUP($U$380,'TAR FIN'!$A$1:$O$103,15,0))</f>
        <v>0</v>
      </c>
      <c r="Y380" s="6">
        <f ca="1">('TUSD BE'!$AM$20+'TUSD BF_350'!$AM$20+'TUSD CVA'!$AM$20)*1</f>
        <v>17.579999999999998</v>
      </c>
      <c r="Z380" s="6"/>
      <c r="AA380" s="6"/>
      <c r="AB380" s="6">
        <f>$K$380*$V$380</f>
        <v>58995</v>
      </c>
      <c r="AC380" s="6">
        <f>$M$380*$W$380</f>
        <v>0</v>
      </c>
      <c r="AD380" s="6">
        <f>$O$380*$X$380</f>
        <v>0</v>
      </c>
      <c r="AE380" s="6">
        <f ca="1">$K$380*$Y$380</f>
        <v>83504.999999999985</v>
      </c>
      <c r="AF380" s="6">
        <f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33</v>
      </c>
      <c r="C381" s="4" t="s">
        <v>34</v>
      </c>
      <c r="D381" s="4" t="s">
        <v>40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44409</v>
      </c>
      <c r="J381" s="6">
        <v>15329</v>
      </c>
      <c r="K381" s="6">
        <v>15329</v>
      </c>
      <c r="L381" s="6">
        <v>0</v>
      </c>
      <c r="M381" s="6">
        <v>0</v>
      </c>
      <c r="N381" s="6">
        <v>0</v>
      </c>
      <c r="O381" s="6">
        <v>0</v>
      </c>
      <c r="P381" s="6">
        <v>80</v>
      </c>
      <c r="Q381" s="4" t="s">
        <v>26</v>
      </c>
      <c r="R381" s="4">
        <v>0</v>
      </c>
      <c r="S381" s="6">
        <v>18</v>
      </c>
      <c r="T381" s="6">
        <v>0</v>
      </c>
      <c r="U381" s="6">
        <v>0</v>
      </c>
      <c r="V381" s="6">
        <f>IF(ISERROR(VLOOKUP($S$381,'TAR FIN'!$A$1:$O$103,15,0)),0,VLOOKUP($S$381,'TAR FIN'!$A$1:$O$103,15,0))</f>
        <v>12.42</v>
      </c>
      <c r="W381" s="6">
        <f>IF(ISERROR(VLOOKUP($T$381,'TAR FIN'!$A$1:$O$103,15,0)),0,VLOOKUP($T$381,'TAR FIN'!$A$1:$O$103,15,0))</f>
        <v>0</v>
      </c>
      <c r="X381" s="6">
        <f>IF(ISERROR(VLOOKUP($U$381,'TAR FIN'!$A$1:$O$103,15,0)),0,VLOOKUP($U$381,'TAR FIN'!$A$1:$O$103,15,0))</f>
        <v>0</v>
      </c>
      <c r="Y381" s="6">
        <f ca="1">('TUSD BE'!$AM$20+'TUSD BF_350'!$AM$20+'TUSD CVA'!$AM$20)*1</f>
        <v>17.579999999999998</v>
      </c>
      <c r="Z381" s="6"/>
      <c r="AA381" s="6"/>
      <c r="AB381" s="6">
        <f>$K$381*$V$381</f>
        <v>190386.18</v>
      </c>
      <c r="AC381" s="6">
        <f>$M$381*$W$381</f>
        <v>0</v>
      </c>
      <c r="AD381" s="6">
        <f>$O$381*$X$381</f>
        <v>0</v>
      </c>
      <c r="AE381" s="6">
        <f ca="1">$K$381*$Y$381</f>
        <v>269483.81999999995</v>
      </c>
      <c r="AF381" s="6">
        <f>$M$381*$Z$381</f>
        <v>0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33</v>
      </c>
      <c r="C382" s="4" t="s">
        <v>34</v>
      </c>
      <c r="D382" s="4" t="s">
        <v>40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44409</v>
      </c>
      <c r="J382" s="6">
        <v>4750</v>
      </c>
      <c r="K382" s="6">
        <v>4750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4" t="s">
        <v>53</v>
      </c>
      <c r="R382" s="4">
        <v>0</v>
      </c>
      <c r="S382" s="6">
        <v>18</v>
      </c>
      <c r="T382" s="6">
        <v>0</v>
      </c>
      <c r="U382" s="6">
        <v>0</v>
      </c>
      <c r="V382" s="6">
        <f>IF(ISERROR(VLOOKUP($S$382,'TAR FIN'!$A$1:$O$103,15,0)),0,VLOOKUP($S$382,'TAR FIN'!$A$1:$O$103,15,0))</f>
        <v>12.42</v>
      </c>
      <c r="W382" s="6">
        <f>IF(ISERROR(VLOOKUP($T$382,'TAR FIN'!$A$1:$O$103,15,0)),0,VLOOKUP($T$382,'TAR FIN'!$A$1:$O$103,15,0))</f>
        <v>0</v>
      </c>
      <c r="X382" s="6">
        <f>IF(ISERROR(VLOOKUP($U$382,'TAR FIN'!$A$1:$O$103,15,0)),0,VLOOKUP($U$382,'TAR FIN'!$A$1:$O$103,15,0))</f>
        <v>0</v>
      </c>
      <c r="Y382" s="6">
        <f ca="1">('TUSD BE'!$AM$20+'TUSD BF_350'!$AM$20+'TUSD CVA'!$AM$20)*1</f>
        <v>17.579999999999998</v>
      </c>
      <c r="Z382" s="6"/>
      <c r="AA382" s="6"/>
      <c r="AB382" s="6">
        <f>$K$382*$V$382</f>
        <v>58995</v>
      </c>
      <c r="AC382" s="6">
        <f>$M$382*$W$382</f>
        <v>0</v>
      </c>
      <c r="AD382" s="6">
        <f>$O$382*$X$382</f>
        <v>0</v>
      </c>
      <c r="AE382" s="6">
        <f ca="1">$K$382*$Y$382</f>
        <v>83504.999999999985</v>
      </c>
      <c r="AF382" s="6">
        <f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33</v>
      </c>
      <c r="C383" s="4" t="s">
        <v>34</v>
      </c>
      <c r="D383" s="4" t="s">
        <v>40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44440</v>
      </c>
      <c r="J383" s="6">
        <v>13950</v>
      </c>
      <c r="K383" s="6">
        <v>13950</v>
      </c>
      <c r="L383" s="6">
        <v>0</v>
      </c>
      <c r="M383" s="6">
        <v>0</v>
      </c>
      <c r="N383" s="6">
        <v>0</v>
      </c>
      <c r="O383" s="6">
        <v>0</v>
      </c>
      <c r="P383" s="6">
        <v>79</v>
      </c>
      <c r="Q383" s="4" t="s">
        <v>26</v>
      </c>
      <c r="R383" s="4">
        <v>0</v>
      </c>
      <c r="S383" s="6">
        <v>18</v>
      </c>
      <c r="T383" s="6">
        <v>0</v>
      </c>
      <c r="U383" s="6">
        <v>0</v>
      </c>
      <c r="V383" s="6">
        <f>IF(ISERROR(VLOOKUP($S$383,'TAR FIN'!$A$1:$O$103,15,0)),0,VLOOKUP($S$383,'TAR FIN'!$A$1:$O$103,15,0))</f>
        <v>12.42</v>
      </c>
      <c r="W383" s="6">
        <f>IF(ISERROR(VLOOKUP($T$383,'TAR FIN'!$A$1:$O$103,15,0)),0,VLOOKUP($T$383,'TAR FIN'!$A$1:$O$103,15,0))</f>
        <v>0</v>
      </c>
      <c r="X383" s="6">
        <f>IF(ISERROR(VLOOKUP($U$383,'TAR FIN'!$A$1:$O$103,15,0)),0,VLOOKUP($U$383,'TAR FIN'!$A$1:$O$103,15,0))</f>
        <v>0</v>
      </c>
      <c r="Y383" s="6">
        <f ca="1">('TUSD BE'!$AM$20+'TUSD BF_350'!$AM$20+'TUSD CVA'!$AM$20)*1</f>
        <v>17.579999999999998</v>
      </c>
      <c r="Z383" s="6"/>
      <c r="AA383" s="6"/>
      <c r="AB383" s="6">
        <f>$K$383*$V$383</f>
        <v>173259</v>
      </c>
      <c r="AC383" s="6">
        <f>$M$383*$W$383</f>
        <v>0</v>
      </c>
      <c r="AD383" s="6">
        <f>$O$383*$X$383</f>
        <v>0</v>
      </c>
      <c r="AE383" s="6">
        <f ca="1">$K$383*$Y$383</f>
        <v>245240.99999999997</v>
      </c>
      <c r="AF383" s="6">
        <f>$M$383*$Z$383</f>
        <v>0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33</v>
      </c>
      <c r="C384" s="4" t="s">
        <v>34</v>
      </c>
      <c r="D384" s="4" t="s">
        <v>40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44440</v>
      </c>
      <c r="J384" s="6">
        <v>6350</v>
      </c>
      <c r="K384" s="6">
        <v>6350</v>
      </c>
      <c r="L384" s="6">
        <v>0</v>
      </c>
      <c r="M384" s="6">
        <v>0</v>
      </c>
      <c r="N384" s="6">
        <v>0</v>
      </c>
      <c r="O384" s="6">
        <v>0</v>
      </c>
      <c r="P384" s="6">
        <v>2</v>
      </c>
      <c r="Q384" s="4" t="s">
        <v>53</v>
      </c>
      <c r="R384" s="4">
        <v>0</v>
      </c>
      <c r="S384" s="6">
        <v>18</v>
      </c>
      <c r="T384" s="6">
        <v>0</v>
      </c>
      <c r="U384" s="6">
        <v>0</v>
      </c>
      <c r="V384" s="6">
        <f>IF(ISERROR(VLOOKUP($S$384,'TAR FIN'!$A$1:$O$103,15,0)),0,VLOOKUP($S$384,'TAR FIN'!$A$1:$O$103,15,0))</f>
        <v>12.42</v>
      </c>
      <c r="W384" s="6">
        <f>IF(ISERROR(VLOOKUP($T$384,'TAR FIN'!$A$1:$O$103,15,0)),0,VLOOKUP($T$384,'TAR FIN'!$A$1:$O$103,15,0))</f>
        <v>0</v>
      </c>
      <c r="X384" s="6">
        <f>IF(ISERROR(VLOOKUP($U$384,'TAR FIN'!$A$1:$O$103,15,0)),0,VLOOKUP($U$384,'TAR FIN'!$A$1:$O$103,15,0))</f>
        <v>0</v>
      </c>
      <c r="Y384" s="6">
        <f ca="1">('TUSD BE'!$AM$20+'TUSD BF_350'!$AM$20+'TUSD CVA'!$AM$20)*1</f>
        <v>17.579999999999998</v>
      </c>
      <c r="Z384" s="6"/>
      <c r="AA384" s="6"/>
      <c r="AB384" s="6">
        <f>$K$384*$V$384</f>
        <v>78867</v>
      </c>
      <c r="AC384" s="6">
        <f>$M$384*$W$384</f>
        <v>0</v>
      </c>
      <c r="AD384" s="6">
        <f>$O$384*$X$384</f>
        <v>0</v>
      </c>
      <c r="AE384" s="6">
        <f ca="1">$K$384*$Y$384</f>
        <v>111632.99999999999</v>
      </c>
      <c r="AF384" s="6">
        <f>$M$384*$Z$384</f>
        <v>0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33</v>
      </c>
      <c r="C385" s="4" t="s">
        <v>34</v>
      </c>
      <c r="D385" s="4" t="s">
        <v>40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44470</v>
      </c>
      <c r="J385" s="6">
        <v>13821</v>
      </c>
      <c r="K385" s="6">
        <v>13821</v>
      </c>
      <c r="L385" s="6">
        <v>0</v>
      </c>
      <c r="M385" s="6">
        <v>0</v>
      </c>
      <c r="N385" s="6">
        <v>0</v>
      </c>
      <c r="O385" s="6">
        <v>0</v>
      </c>
      <c r="P385" s="6">
        <v>78</v>
      </c>
      <c r="Q385" s="4" t="s">
        <v>26</v>
      </c>
      <c r="R385" s="4">
        <v>0</v>
      </c>
      <c r="S385" s="6">
        <v>18</v>
      </c>
      <c r="T385" s="6">
        <v>0</v>
      </c>
      <c r="U385" s="6">
        <v>0</v>
      </c>
      <c r="V385" s="6">
        <f>IF(ISERROR(VLOOKUP($S$385,'TAR FIN'!$A$1:$O$103,15,0)),0,VLOOKUP($S$385,'TAR FIN'!$A$1:$O$103,15,0))</f>
        <v>12.42</v>
      </c>
      <c r="W385" s="6">
        <f>IF(ISERROR(VLOOKUP($T$385,'TAR FIN'!$A$1:$O$103,15,0)),0,VLOOKUP($T$385,'TAR FIN'!$A$1:$O$103,15,0))</f>
        <v>0</v>
      </c>
      <c r="X385" s="6">
        <f>IF(ISERROR(VLOOKUP($U$385,'TAR FIN'!$A$1:$O$103,15,0)),0,VLOOKUP($U$385,'TAR FIN'!$A$1:$O$103,15,0))</f>
        <v>0</v>
      </c>
      <c r="Y385" s="6">
        <f ca="1">('TUSD BE'!$AM$20+'TUSD BF_350'!$AM$20+'TUSD CVA'!$AM$20)*1</f>
        <v>17.579999999999998</v>
      </c>
      <c r="Z385" s="6"/>
      <c r="AA385" s="6"/>
      <c r="AB385" s="6">
        <f>$K$385*$V$385</f>
        <v>171656.82</v>
      </c>
      <c r="AC385" s="6">
        <f>$M$385*$W$385</f>
        <v>0</v>
      </c>
      <c r="AD385" s="6">
        <f>$O$385*$X$385</f>
        <v>0</v>
      </c>
      <c r="AE385" s="6">
        <f ca="1">$K$385*$Y$385</f>
        <v>242973.17999999996</v>
      </c>
      <c r="AF385" s="6">
        <f>$M$385*$Z$385</f>
        <v>0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33</v>
      </c>
      <c r="C386" s="4" t="s">
        <v>34</v>
      </c>
      <c r="D386" s="4" t="s">
        <v>40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44470</v>
      </c>
      <c r="J386" s="6">
        <v>6350</v>
      </c>
      <c r="K386" s="6">
        <v>6350</v>
      </c>
      <c r="L386" s="6">
        <v>0</v>
      </c>
      <c r="M386" s="6">
        <v>0</v>
      </c>
      <c r="N386" s="6">
        <v>0</v>
      </c>
      <c r="O386" s="6">
        <v>0</v>
      </c>
      <c r="P386" s="6">
        <v>2</v>
      </c>
      <c r="Q386" s="4" t="s">
        <v>53</v>
      </c>
      <c r="R386" s="4">
        <v>0</v>
      </c>
      <c r="S386" s="6">
        <v>18</v>
      </c>
      <c r="T386" s="6">
        <v>0</v>
      </c>
      <c r="U386" s="6">
        <v>0</v>
      </c>
      <c r="V386" s="6">
        <f>IF(ISERROR(VLOOKUP($S$386,'TAR FIN'!$A$1:$O$103,15,0)),0,VLOOKUP($S$386,'TAR FIN'!$A$1:$O$103,15,0))</f>
        <v>12.42</v>
      </c>
      <c r="W386" s="6">
        <f>IF(ISERROR(VLOOKUP($T$386,'TAR FIN'!$A$1:$O$103,15,0)),0,VLOOKUP($T$386,'TAR FIN'!$A$1:$O$103,15,0))</f>
        <v>0</v>
      </c>
      <c r="X386" s="6">
        <f>IF(ISERROR(VLOOKUP($U$386,'TAR FIN'!$A$1:$O$103,15,0)),0,VLOOKUP($U$386,'TAR FIN'!$A$1:$O$103,15,0))</f>
        <v>0</v>
      </c>
      <c r="Y386" s="6">
        <f ca="1">('TUSD BE'!$AM$20+'TUSD BF_350'!$AM$20+'TUSD CVA'!$AM$20)*1</f>
        <v>17.579999999999998</v>
      </c>
      <c r="Z386" s="6"/>
      <c r="AA386" s="6"/>
      <c r="AB386" s="6">
        <f>$K$386*$V$386</f>
        <v>78867</v>
      </c>
      <c r="AC386" s="6">
        <f>$M$386*$W$386</f>
        <v>0</v>
      </c>
      <c r="AD386" s="6">
        <f>$O$386*$X$386</f>
        <v>0</v>
      </c>
      <c r="AE386" s="6">
        <f ca="1">$K$386*$Y$386</f>
        <v>111632.99999999999</v>
      </c>
      <c r="AF386" s="6">
        <f>$M$386*$Z$386</f>
        <v>0</v>
      </c>
      <c r="AG386" s="6">
        <f>$O$386*$AA$386</f>
        <v>0</v>
      </c>
    </row>
    <row r="387" spans="1:33" ht="11.25" customHeight="1" x14ac:dyDescent="0.25">
      <c r="A387" s="4" t="s">
        <v>21</v>
      </c>
      <c r="B387" s="4" t="s">
        <v>33</v>
      </c>
      <c r="C387" s="4" t="s">
        <v>34</v>
      </c>
      <c r="D387" s="4" t="s">
        <v>40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13823</v>
      </c>
      <c r="K387" s="6">
        <v>13823</v>
      </c>
      <c r="L387" s="6">
        <v>0</v>
      </c>
      <c r="M387" s="6">
        <v>0</v>
      </c>
      <c r="N387" s="6">
        <v>0</v>
      </c>
      <c r="O387" s="6">
        <v>0</v>
      </c>
      <c r="P387" s="6">
        <v>78</v>
      </c>
      <c r="Q387" s="4" t="s">
        <v>26</v>
      </c>
      <c r="R387" s="4">
        <v>0</v>
      </c>
      <c r="S387" s="6">
        <v>18</v>
      </c>
      <c r="T387" s="6">
        <v>0</v>
      </c>
      <c r="U387" s="6">
        <v>0</v>
      </c>
      <c r="V387" s="6">
        <f>IF(ISERROR(VLOOKUP($S$387,'TAR FIN'!$A$1:$O$103,15,0)),0,VLOOKUP($S$387,'TAR FIN'!$A$1:$O$103,15,0))</f>
        <v>12.42</v>
      </c>
      <c r="W387" s="6">
        <f>IF(ISERROR(VLOOKUP($T$387,'TAR FIN'!$A$1:$O$103,15,0)),0,VLOOKUP($T$387,'TAR FIN'!$A$1:$O$103,15,0))</f>
        <v>0</v>
      </c>
      <c r="X387" s="6">
        <f>IF(ISERROR(VLOOKUP($U$387,'TAR FIN'!$A$1:$O$103,15,0)),0,VLOOKUP($U$387,'TAR FIN'!$A$1:$O$103,15,0))</f>
        <v>0</v>
      </c>
      <c r="Y387" s="6">
        <f ca="1">('TUSD BE'!$AM$20+'TUSD BF_350'!$AM$20+'TUSD CVA'!$AM$20)*1</f>
        <v>17.579999999999998</v>
      </c>
      <c r="Z387" s="6"/>
      <c r="AA387" s="6"/>
      <c r="AB387" s="6">
        <f>$K$387*$V$387</f>
        <v>171681.66</v>
      </c>
      <c r="AC387" s="6">
        <f>$M$387*$W$387</f>
        <v>0</v>
      </c>
      <c r="AD387" s="6">
        <f>$O$387*$X$387</f>
        <v>0</v>
      </c>
      <c r="AE387" s="6">
        <f ca="1">$K$387*$Y$387</f>
        <v>243008.33999999997</v>
      </c>
      <c r="AF387" s="6">
        <f>$M$387*$Z$387</f>
        <v>0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33</v>
      </c>
      <c r="C388" s="4" t="s">
        <v>34</v>
      </c>
      <c r="D388" s="4" t="s">
        <v>40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6350</v>
      </c>
      <c r="K388" s="6">
        <v>6350</v>
      </c>
      <c r="L388" s="6">
        <v>0</v>
      </c>
      <c r="M388" s="6">
        <v>0</v>
      </c>
      <c r="N388" s="6">
        <v>0</v>
      </c>
      <c r="O388" s="6">
        <v>0</v>
      </c>
      <c r="P388" s="6">
        <v>2</v>
      </c>
      <c r="Q388" s="4" t="s">
        <v>53</v>
      </c>
      <c r="R388" s="4">
        <v>0</v>
      </c>
      <c r="S388" s="6">
        <v>18</v>
      </c>
      <c r="T388" s="6">
        <v>0</v>
      </c>
      <c r="U388" s="6">
        <v>0</v>
      </c>
      <c r="V388" s="6">
        <f>IF(ISERROR(VLOOKUP($S$388,'TAR FIN'!$A$1:$O$103,15,0)),0,VLOOKUP($S$388,'TAR FIN'!$A$1:$O$103,15,0))</f>
        <v>12.42</v>
      </c>
      <c r="W388" s="6">
        <f>IF(ISERROR(VLOOKUP($T$388,'TAR FIN'!$A$1:$O$103,15,0)),0,VLOOKUP($T$388,'TAR FIN'!$A$1:$O$103,15,0))</f>
        <v>0</v>
      </c>
      <c r="X388" s="6">
        <f>IF(ISERROR(VLOOKUP($U$388,'TAR FIN'!$A$1:$O$103,15,0)),0,VLOOKUP($U$388,'TAR FIN'!$A$1:$O$103,15,0))</f>
        <v>0</v>
      </c>
      <c r="Y388" s="6">
        <f ca="1">('TUSD BE'!$AM$20+'TUSD BF_350'!$AM$20+'TUSD CVA'!$AM$20)*1</f>
        <v>17.579999999999998</v>
      </c>
      <c r="Z388" s="6"/>
      <c r="AA388" s="6"/>
      <c r="AB388" s="6">
        <f>$K$388*$V$388</f>
        <v>78867</v>
      </c>
      <c r="AC388" s="6">
        <f>$M$388*$W$388</f>
        <v>0</v>
      </c>
      <c r="AD388" s="6">
        <f>$O$388*$X$388</f>
        <v>0</v>
      </c>
      <c r="AE388" s="6">
        <f ca="1">$K$388*$Y$388</f>
        <v>111632.99999999999</v>
      </c>
      <c r="AF388" s="6">
        <f>$M$388*$Z$388</f>
        <v>0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33</v>
      </c>
      <c r="C389" s="4" t="s">
        <v>34</v>
      </c>
      <c r="D389" s="4" t="s">
        <v>40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13606</v>
      </c>
      <c r="K389" s="6">
        <v>13606</v>
      </c>
      <c r="L389" s="6">
        <v>0</v>
      </c>
      <c r="M389" s="6">
        <v>0</v>
      </c>
      <c r="N389" s="6">
        <v>0</v>
      </c>
      <c r="O389" s="6">
        <v>0</v>
      </c>
      <c r="P389" s="6">
        <v>77</v>
      </c>
      <c r="Q389" s="4" t="s">
        <v>26</v>
      </c>
      <c r="R389" s="4">
        <v>0</v>
      </c>
      <c r="S389" s="6">
        <v>18</v>
      </c>
      <c r="T389" s="6">
        <v>0</v>
      </c>
      <c r="U389" s="6">
        <v>0</v>
      </c>
      <c r="V389" s="6">
        <f>IF(ISERROR(VLOOKUP($S$389,'TAR FIN'!$A$1:$O$103,15,0)),0,VLOOKUP($S$389,'TAR FIN'!$A$1:$O$103,15,0))</f>
        <v>12.42</v>
      </c>
      <c r="W389" s="6">
        <f>IF(ISERROR(VLOOKUP($T$389,'TAR FIN'!$A$1:$O$103,15,0)),0,VLOOKUP($T$389,'TAR FIN'!$A$1:$O$103,15,0))</f>
        <v>0</v>
      </c>
      <c r="X389" s="6">
        <f>IF(ISERROR(VLOOKUP($U$389,'TAR FIN'!$A$1:$O$103,15,0)),0,VLOOKUP($U$389,'TAR FIN'!$A$1:$O$103,15,0))</f>
        <v>0</v>
      </c>
      <c r="Y389" s="6">
        <f ca="1">('TUSD BE'!$AM$20+'TUSD BF_350'!$AM$20+'TUSD CVA'!$AM$20)*1</f>
        <v>17.579999999999998</v>
      </c>
      <c r="Z389" s="6"/>
      <c r="AA389" s="6"/>
      <c r="AB389" s="6">
        <f>$K$389*$V$389</f>
        <v>168986.52</v>
      </c>
      <c r="AC389" s="6">
        <f>$M$389*$W$389</f>
        <v>0</v>
      </c>
      <c r="AD389" s="6">
        <f>$O$389*$X$389</f>
        <v>0</v>
      </c>
      <c r="AE389" s="6">
        <f ca="1">$K$389*$Y$389</f>
        <v>239193.47999999998</v>
      </c>
      <c r="AF389" s="6">
        <f>$M$389*$Z$389</f>
        <v>0</v>
      </c>
      <c r="AG389" s="6">
        <f>$O$389*$AA$389</f>
        <v>0</v>
      </c>
    </row>
    <row r="390" spans="1:33" ht="11.25" customHeight="1" x14ac:dyDescent="0.25">
      <c r="A390" s="4" t="s">
        <v>28</v>
      </c>
      <c r="B390" s="4" t="s">
        <v>33</v>
      </c>
      <c r="C390" s="4" t="s">
        <v>34</v>
      </c>
      <c r="D390" s="4" t="s">
        <v>40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280</v>
      </c>
      <c r="K390" s="6">
        <v>280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26</v>
      </c>
      <c r="R390" s="4">
        <v>0</v>
      </c>
      <c r="S390" s="6">
        <v>18</v>
      </c>
      <c r="T390" s="6">
        <v>0</v>
      </c>
      <c r="U390" s="6">
        <v>0</v>
      </c>
      <c r="V390" s="6">
        <f>IF(ISERROR(VLOOKUP($S$390,'TAR FIN'!$A$1:$O$103,15,0)),0,VLOOKUP($S$390,'TAR FIN'!$A$1:$O$103,15,0))</f>
        <v>12.42</v>
      </c>
      <c r="W390" s="6">
        <f>IF(ISERROR(VLOOKUP($T$390,'TAR FIN'!$A$1:$O$103,15,0)),0,VLOOKUP($T$390,'TAR FIN'!$A$1:$O$103,15,0))</f>
        <v>0</v>
      </c>
      <c r="X390" s="6">
        <f>IF(ISERROR(VLOOKUP($U$390,'TAR FIN'!$A$1:$O$103,15,0)),0,VLOOKUP($U$390,'TAR FIN'!$A$1:$O$103,15,0))</f>
        <v>0</v>
      </c>
      <c r="Y390" s="6">
        <f ca="1">('TUSD BE'!$AM$20+'TUSD BF_350'!$AM$20+'TUSD CVA'!$AM$20)*1</f>
        <v>17.579999999999998</v>
      </c>
      <c r="Z390" s="6"/>
      <c r="AA390" s="6"/>
      <c r="AB390" s="6">
        <f>$K$390*$V$390</f>
        <v>3477.6</v>
      </c>
      <c r="AC390" s="6">
        <f>$M$390*$W$390</f>
        <v>0</v>
      </c>
      <c r="AD390" s="6">
        <f>$O$390*$X$390</f>
        <v>0</v>
      </c>
      <c r="AE390" s="6">
        <f ca="1">$K$390*$Y$390</f>
        <v>4922.3999999999996</v>
      </c>
      <c r="AF390" s="6">
        <f>$M$390*$Z$390</f>
        <v>0</v>
      </c>
      <c r="AG390" s="6">
        <f>$O$390*$AA$390</f>
        <v>0</v>
      </c>
    </row>
    <row r="391" spans="1:33" ht="11.25" customHeight="1" x14ac:dyDescent="0.25">
      <c r="A391" s="4" t="s">
        <v>21</v>
      </c>
      <c r="B391" s="4" t="s">
        <v>33</v>
      </c>
      <c r="C391" s="4" t="s">
        <v>34</v>
      </c>
      <c r="D391" s="4" t="s">
        <v>40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44531</v>
      </c>
      <c r="J391" s="6">
        <v>6350</v>
      </c>
      <c r="K391" s="6">
        <v>6350</v>
      </c>
      <c r="L391" s="6">
        <v>0</v>
      </c>
      <c r="M391" s="6">
        <v>0</v>
      </c>
      <c r="N391" s="6">
        <v>0</v>
      </c>
      <c r="O391" s="6">
        <v>0</v>
      </c>
      <c r="P391" s="6">
        <v>2</v>
      </c>
      <c r="Q391" s="4" t="s">
        <v>53</v>
      </c>
      <c r="R391" s="4">
        <v>0</v>
      </c>
      <c r="S391" s="6">
        <v>18</v>
      </c>
      <c r="T391" s="6">
        <v>0</v>
      </c>
      <c r="U391" s="6">
        <v>0</v>
      </c>
      <c r="V391" s="6">
        <f>IF(ISERROR(VLOOKUP($S$391,'TAR FIN'!$A$1:$O$103,15,0)),0,VLOOKUP($S$391,'TAR FIN'!$A$1:$O$103,15,0))</f>
        <v>12.42</v>
      </c>
      <c r="W391" s="6">
        <f>IF(ISERROR(VLOOKUP($T$391,'TAR FIN'!$A$1:$O$103,15,0)),0,VLOOKUP($T$391,'TAR FIN'!$A$1:$O$103,15,0))</f>
        <v>0</v>
      </c>
      <c r="X391" s="6">
        <f>IF(ISERROR(VLOOKUP($U$391,'TAR FIN'!$A$1:$O$103,15,0)),0,VLOOKUP($U$391,'TAR FIN'!$A$1:$O$103,15,0))</f>
        <v>0</v>
      </c>
      <c r="Y391" s="6">
        <f ca="1">('TUSD BE'!$AM$20+'TUSD BF_350'!$AM$20+'TUSD CVA'!$AM$20)*1</f>
        <v>17.579999999999998</v>
      </c>
      <c r="Z391" s="6"/>
      <c r="AA391" s="6"/>
      <c r="AB391" s="6">
        <f>$K$391*$V$391</f>
        <v>78867</v>
      </c>
      <c r="AC391" s="6">
        <f>$M$391*$W$391</f>
        <v>0</v>
      </c>
      <c r="AD391" s="6">
        <f>$O$391*$X$391</f>
        <v>0</v>
      </c>
      <c r="AE391" s="6">
        <f ca="1">$K$391*$Y$391</f>
        <v>111632.99999999999</v>
      </c>
      <c r="AF391" s="6">
        <f>$M$391*$Z$391</f>
        <v>0</v>
      </c>
      <c r="AG391" s="6">
        <f>$O$391*$AA$391</f>
        <v>0</v>
      </c>
    </row>
    <row r="392" spans="1:33" ht="11.25" customHeight="1" x14ac:dyDescent="0.25">
      <c r="A392" s="4" t="s">
        <v>21</v>
      </c>
      <c r="B392" s="4" t="s">
        <v>33</v>
      </c>
      <c r="C392" s="4" t="s">
        <v>34</v>
      </c>
      <c r="D392" s="4" t="s">
        <v>40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13577</v>
      </c>
      <c r="K392" s="6">
        <v>13577</v>
      </c>
      <c r="L392" s="6">
        <v>0</v>
      </c>
      <c r="M392" s="6">
        <v>0</v>
      </c>
      <c r="N392" s="6">
        <v>0</v>
      </c>
      <c r="O392" s="6">
        <v>0</v>
      </c>
      <c r="P392" s="6">
        <v>76</v>
      </c>
      <c r="Q392" s="4" t="s">
        <v>26</v>
      </c>
      <c r="R392" s="4">
        <v>0</v>
      </c>
      <c r="S392" s="6">
        <v>18</v>
      </c>
      <c r="T392" s="6">
        <v>0</v>
      </c>
      <c r="U392" s="6">
        <v>0</v>
      </c>
      <c r="V392" s="6">
        <f>IF(ISERROR(VLOOKUP($S$392,'TAR FIN'!$A$1:$O$103,15,0)),0,VLOOKUP($S$392,'TAR FIN'!$A$1:$O$103,15,0))</f>
        <v>12.42</v>
      </c>
      <c r="W392" s="6">
        <f>IF(ISERROR(VLOOKUP($T$392,'TAR FIN'!$A$1:$O$103,15,0)),0,VLOOKUP($T$392,'TAR FIN'!$A$1:$O$103,15,0))</f>
        <v>0</v>
      </c>
      <c r="X392" s="6">
        <f>IF(ISERROR(VLOOKUP($U$392,'TAR FIN'!$A$1:$O$103,15,0)),0,VLOOKUP($U$392,'TAR FIN'!$A$1:$O$103,15,0))</f>
        <v>0</v>
      </c>
      <c r="Y392" s="6">
        <f ca="1">('TUSD BE'!$AM$20+'TUSD BF_350'!$AM$20+'TUSD CVA'!$AM$20)*1</f>
        <v>17.579999999999998</v>
      </c>
      <c r="Z392" s="6"/>
      <c r="AA392" s="6"/>
      <c r="AB392" s="6">
        <f>$K$392*$V$392</f>
        <v>168626.34</v>
      </c>
      <c r="AC392" s="6">
        <f>$M$392*$W$392</f>
        <v>0</v>
      </c>
      <c r="AD392" s="6">
        <f>$O$392*$X$392</f>
        <v>0</v>
      </c>
      <c r="AE392" s="6">
        <f ca="1">$K$392*$Y$392</f>
        <v>238683.65999999997</v>
      </c>
      <c r="AF392" s="6">
        <f>$M$392*$Z$392</f>
        <v>0</v>
      </c>
      <c r="AG392" s="6">
        <f>$O$392*$AA$392</f>
        <v>0</v>
      </c>
    </row>
    <row r="393" spans="1:33" ht="11.25" customHeight="1" x14ac:dyDescent="0.25">
      <c r="A393" s="4" t="s">
        <v>28</v>
      </c>
      <c r="B393" s="4" t="s">
        <v>33</v>
      </c>
      <c r="C393" s="4" t="s">
        <v>34</v>
      </c>
      <c r="D393" s="4" t="s">
        <v>40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280</v>
      </c>
      <c r="K393" s="6">
        <v>280</v>
      </c>
      <c r="L393" s="6">
        <v>0</v>
      </c>
      <c r="M393" s="6">
        <v>0</v>
      </c>
      <c r="N393" s="6">
        <v>0</v>
      </c>
      <c r="O393" s="6">
        <v>0</v>
      </c>
      <c r="P393" s="6">
        <v>1</v>
      </c>
      <c r="Q393" s="4" t="s">
        <v>26</v>
      </c>
      <c r="R393" s="4">
        <v>0</v>
      </c>
      <c r="S393" s="6">
        <v>18</v>
      </c>
      <c r="T393" s="6">
        <v>0</v>
      </c>
      <c r="U393" s="6">
        <v>0</v>
      </c>
      <c r="V393" s="6">
        <f>IF(ISERROR(VLOOKUP($S$393,'TAR FIN'!$A$1:$O$103,15,0)),0,VLOOKUP($S$393,'TAR FIN'!$A$1:$O$103,15,0))</f>
        <v>12.42</v>
      </c>
      <c r="W393" s="6">
        <f>IF(ISERROR(VLOOKUP($T$393,'TAR FIN'!$A$1:$O$103,15,0)),0,VLOOKUP($T$393,'TAR FIN'!$A$1:$O$103,15,0))</f>
        <v>0</v>
      </c>
      <c r="X393" s="6">
        <f>IF(ISERROR(VLOOKUP($U$393,'TAR FIN'!$A$1:$O$103,15,0)),0,VLOOKUP($U$393,'TAR FIN'!$A$1:$O$103,15,0))</f>
        <v>0</v>
      </c>
      <c r="Y393" s="6">
        <f ca="1">('TUSD BE'!$AM$20+'TUSD BF_350'!$AM$20+'TUSD CVA'!$AM$20)*1</f>
        <v>17.579999999999998</v>
      </c>
      <c r="Z393" s="6"/>
      <c r="AA393" s="6"/>
      <c r="AB393" s="6">
        <f>$K$393*$V$393</f>
        <v>3477.6</v>
      </c>
      <c r="AC393" s="6">
        <f>$M$393*$W$393</f>
        <v>0</v>
      </c>
      <c r="AD393" s="6">
        <f>$O$393*$X$393</f>
        <v>0</v>
      </c>
      <c r="AE393" s="6">
        <f ca="1">$K$393*$Y$393</f>
        <v>4922.3999999999996</v>
      </c>
      <c r="AF393" s="6">
        <f>$M$393*$Z$393</f>
        <v>0</v>
      </c>
      <c r="AG393" s="6">
        <f>$O$393*$AA$393</f>
        <v>0</v>
      </c>
    </row>
    <row r="394" spans="1:33" ht="11.25" customHeight="1" x14ac:dyDescent="0.25">
      <c r="A394" s="4" t="s">
        <v>21</v>
      </c>
      <c r="B394" s="4" t="s">
        <v>33</v>
      </c>
      <c r="C394" s="4" t="s">
        <v>34</v>
      </c>
      <c r="D394" s="4" t="s">
        <v>40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44562</v>
      </c>
      <c r="J394" s="6">
        <v>6350</v>
      </c>
      <c r="K394" s="6">
        <v>6350</v>
      </c>
      <c r="L394" s="6">
        <v>0</v>
      </c>
      <c r="M394" s="6">
        <v>0</v>
      </c>
      <c r="N394" s="6">
        <v>0</v>
      </c>
      <c r="O394" s="6">
        <v>0</v>
      </c>
      <c r="P394" s="6">
        <v>2</v>
      </c>
      <c r="Q394" s="4" t="s">
        <v>53</v>
      </c>
      <c r="R394" s="4">
        <v>0</v>
      </c>
      <c r="S394" s="6">
        <v>18</v>
      </c>
      <c r="T394" s="6">
        <v>0</v>
      </c>
      <c r="U394" s="6">
        <v>0</v>
      </c>
      <c r="V394" s="6">
        <f>IF(ISERROR(VLOOKUP($S$394,'TAR FIN'!$A$1:$O$103,15,0)),0,VLOOKUP($S$394,'TAR FIN'!$A$1:$O$103,15,0))</f>
        <v>12.42</v>
      </c>
      <c r="W394" s="6">
        <f>IF(ISERROR(VLOOKUP($T$394,'TAR FIN'!$A$1:$O$103,15,0)),0,VLOOKUP($T$394,'TAR FIN'!$A$1:$O$103,15,0))</f>
        <v>0</v>
      </c>
      <c r="X394" s="6">
        <f>IF(ISERROR(VLOOKUP($U$394,'TAR FIN'!$A$1:$O$103,15,0)),0,VLOOKUP($U$394,'TAR FIN'!$A$1:$O$103,15,0))</f>
        <v>0</v>
      </c>
      <c r="Y394" s="6">
        <f ca="1">('TUSD BE'!$AM$20+'TUSD BF_350'!$AM$20+'TUSD CVA'!$AM$20)*1</f>
        <v>17.579999999999998</v>
      </c>
      <c r="Z394" s="6"/>
      <c r="AA394" s="6"/>
      <c r="AB394" s="6">
        <f>$K$394*$V$394</f>
        <v>78867</v>
      </c>
      <c r="AC394" s="6">
        <f>$M$394*$W$394</f>
        <v>0</v>
      </c>
      <c r="AD394" s="6">
        <f>$O$394*$X$394</f>
        <v>0</v>
      </c>
      <c r="AE394" s="6">
        <f ca="1">$K$394*$Y$394</f>
        <v>111632.99999999999</v>
      </c>
      <c r="AF394" s="6">
        <f>$M$394*$Z$394</f>
        <v>0</v>
      </c>
      <c r="AG394" s="6">
        <f>$O$394*$AA$394</f>
        <v>0</v>
      </c>
    </row>
    <row r="395" spans="1:33" ht="11.25" customHeight="1" x14ac:dyDescent="0.25">
      <c r="A395" s="4" t="s">
        <v>21</v>
      </c>
      <c r="B395" s="4" t="s">
        <v>33</v>
      </c>
      <c r="C395" s="4" t="s">
        <v>34</v>
      </c>
      <c r="D395" s="4" t="s">
        <v>40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13674</v>
      </c>
      <c r="K395" s="6">
        <v>13674</v>
      </c>
      <c r="L395" s="6">
        <v>0</v>
      </c>
      <c r="M395" s="6">
        <v>0</v>
      </c>
      <c r="N395" s="6">
        <v>0</v>
      </c>
      <c r="O395" s="6">
        <v>0</v>
      </c>
      <c r="P395" s="6">
        <v>77</v>
      </c>
      <c r="Q395" s="4" t="s">
        <v>26</v>
      </c>
      <c r="R395" s="4">
        <v>0</v>
      </c>
      <c r="S395" s="6">
        <v>18</v>
      </c>
      <c r="T395" s="6">
        <v>0</v>
      </c>
      <c r="U395" s="6">
        <v>0</v>
      </c>
      <c r="V395" s="6">
        <f>IF(ISERROR(VLOOKUP($S$395,'TAR FIN'!$A$1:$O$103,15,0)),0,VLOOKUP($S$395,'TAR FIN'!$A$1:$O$103,15,0))</f>
        <v>12.42</v>
      </c>
      <c r="W395" s="6">
        <f>IF(ISERROR(VLOOKUP($T$395,'TAR FIN'!$A$1:$O$103,15,0)),0,VLOOKUP($T$395,'TAR FIN'!$A$1:$O$103,15,0))</f>
        <v>0</v>
      </c>
      <c r="X395" s="6">
        <f>IF(ISERROR(VLOOKUP($U$395,'TAR FIN'!$A$1:$O$103,15,0)),0,VLOOKUP($U$395,'TAR FIN'!$A$1:$O$103,15,0))</f>
        <v>0</v>
      </c>
      <c r="Y395" s="6">
        <f ca="1">('TUSD BE'!$AM$20+'TUSD BF_350'!$AM$20+'TUSD CVA'!$AM$20)*1</f>
        <v>17.579999999999998</v>
      </c>
      <c r="Z395" s="6"/>
      <c r="AA395" s="6"/>
      <c r="AB395" s="6">
        <f>$K$395*$V$395</f>
        <v>169831.08</v>
      </c>
      <c r="AC395" s="6">
        <f>$M$395*$W$395</f>
        <v>0</v>
      </c>
      <c r="AD395" s="6">
        <f>$O$395*$X$395</f>
        <v>0</v>
      </c>
      <c r="AE395" s="6">
        <f ca="1">$K$395*$Y$395</f>
        <v>240388.91999999998</v>
      </c>
      <c r="AF395" s="6">
        <f>$M$395*$Z$395</f>
        <v>0</v>
      </c>
      <c r="AG395" s="6">
        <f>$O$395*$AA$395</f>
        <v>0</v>
      </c>
    </row>
    <row r="396" spans="1:33" ht="11.25" customHeight="1" x14ac:dyDescent="0.25">
      <c r="A396" s="4" t="s">
        <v>28</v>
      </c>
      <c r="B396" s="4" t="s">
        <v>33</v>
      </c>
      <c r="C396" s="4" t="s">
        <v>34</v>
      </c>
      <c r="D396" s="4" t="s">
        <v>40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44593</v>
      </c>
      <c r="J396" s="6">
        <v>280</v>
      </c>
      <c r="K396" s="6">
        <v>280</v>
      </c>
      <c r="L396" s="6">
        <v>0</v>
      </c>
      <c r="M396" s="6">
        <v>0</v>
      </c>
      <c r="N396" s="6">
        <v>0</v>
      </c>
      <c r="O396" s="6">
        <v>0</v>
      </c>
      <c r="P396" s="6">
        <v>1</v>
      </c>
      <c r="Q396" s="4" t="s">
        <v>26</v>
      </c>
      <c r="R396" s="4">
        <v>0</v>
      </c>
      <c r="S396" s="6">
        <v>18</v>
      </c>
      <c r="T396" s="6">
        <v>0</v>
      </c>
      <c r="U396" s="6">
        <v>0</v>
      </c>
      <c r="V396" s="6">
        <f>IF(ISERROR(VLOOKUP($S$396,'TAR FIN'!$A$1:$O$103,15,0)),0,VLOOKUP($S$396,'TAR FIN'!$A$1:$O$103,15,0))</f>
        <v>12.42</v>
      </c>
      <c r="W396" s="6">
        <f>IF(ISERROR(VLOOKUP($T$396,'TAR FIN'!$A$1:$O$103,15,0)),0,VLOOKUP($T$396,'TAR FIN'!$A$1:$O$103,15,0))</f>
        <v>0</v>
      </c>
      <c r="X396" s="6">
        <f>IF(ISERROR(VLOOKUP($U$396,'TAR FIN'!$A$1:$O$103,15,0)),0,VLOOKUP($U$396,'TAR FIN'!$A$1:$O$103,15,0))</f>
        <v>0</v>
      </c>
      <c r="Y396" s="6">
        <f ca="1">('TUSD BE'!$AM$20+'TUSD BF_350'!$AM$20+'TUSD CVA'!$AM$20)*1</f>
        <v>17.579999999999998</v>
      </c>
      <c r="Z396" s="6"/>
      <c r="AA396" s="6"/>
      <c r="AB396" s="6">
        <f>$K$396*$V$396</f>
        <v>3477.6</v>
      </c>
      <c r="AC396" s="6">
        <f>$M$396*$W$396</f>
        <v>0</v>
      </c>
      <c r="AD396" s="6">
        <f>$O$396*$X$396</f>
        <v>0</v>
      </c>
      <c r="AE396" s="6">
        <f ca="1">$K$396*$Y$396</f>
        <v>4922.3999999999996</v>
      </c>
      <c r="AF396" s="6">
        <f>$M$396*$Z$396</f>
        <v>0</v>
      </c>
      <c r="AG396" s="6">
        <f>$O$396*$AA$396</f>
        <v>0</v>
      </c>
    </row>
    <row r="397" spans="1:33" ht="11.25" customHeight="1" x14ac:dyDescent="0.25">
      <c r="A397" s="4" t="s">
        <v>21</v>
      </c>
      <c r="B397" s="4" t="s">
        <v>33</v>
      </c>
      <c r="C397" s="4" t="s">
        <v>34</v>
      </c>
      <c r="D397" s="4" t="s">
        <v>40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44593</v>
      </c>
      <c r="J397" s="6">
        <v>6350</v>
      </c>
      <c r="K397" s="6">
        <v>6350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53</v>
      </c>
      <c r="R397" s="4">
        <v>0</v>
      </c>
      <c r="S397" s="6">
        <v>18</v>
      </c>
      <c r="T397" s="6">
        <v>0</v>
      </c>
      <c r="U397" s="6">
        <v>0</v>
      </c>
      <c r="V397" s="6">
        <f>IF(ISERROR(VLOOKUP($S$397,'TAR FIN'!$A$1:$O$103,15,0)),0,VLOOKUP($S$397,'TAR FIN'!$A$1:$O$103,15,0))</f>
        <v>12.42</v>
      </c>
      <c r="W397" s="6">
        <f>IF(ISERROR(VLOOKUP($T$397,'TAR FIN'!$A$1:$O$103,15,0)),0,VLOOKUP($T$397,'TAR FIN'!$A$1:$O$103,15,0))</f>
        <v>0</v>
      </c>
      <c r="X397" s="6">
        <f>IF(ISERROR(VLOOKUP($U$397,'TAR FIN'!$A$1:$O$103,15,0)),0,VLOOKUP($U$397,'TAR FIN'!$A$1:$O$103,15,0))</f>
        <v>0</v>
      </c>
      <c r="Y397" s="6">
        <f ca="1">('TUSD BE'!$AM$20+'TUSD BF_350'!$AM$20+'TUSD CVA'!$AM$20)*1</f>
        <v>17.579999999999998</v>
      </c>
      <c r="Z397" s="6"/>
      <c r="AA397" s="6"/>
      <c r="AB397" s="6">
        <f>$K$397*$V$397</f>
        <v>78867</v>
      </c>
      <c r="AC397" s="6">
        <f>$M$397*$W$397</f>
        <v>0</v>
      </c>
      <c r="AD397" s="6">
        <f>$O$397*$X$397</f>
        <v>0</v>
      </c>
      <c r="AE397" s="6">
        <f ca="1">$K$397*$Y$397</f>
        <v>111632.99999999999</v>
      </c>
      <c r="AF397" s="6">
        <f>$M$397*$Z$397</f>
        <v>0</v>
      </c>
      <c r="AG397" s="6">
        <f>$O$397*$AA$397</f>
        <v>0</v>
      </c>
    </row>
    <row r="398" spans="1:33" ht="11.25" customHeight="1" x14ac:dyDescent="0.25">
      <c r="A398" s="4" t="s">
        <v>21</v>
      </c>
      <c r="B398" s="4" t="s">
        <v>33</v>
      </c>
      <c r="C398" s="4" t="s">
        <v>34</v>
      </c>
      <c r="D398" s="4" t="s">
        <v>40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13669</v>
      </c>
      <c r="K398" s="6">
        <v>13669</v>
      </c>
      <c r="L398" s="6">
        <v>0</v>
      </c>
      <c r="M398" s="6">
        <v>0</v>
      </c>
      <c r="N398" s="6">
        <v>0</v>
      </c>
      <c r="O398" s="6">
        <v>0</v>
      </c>
      <c r="P398" s="6">
        <v>76</v>
      </c>
      <c r="Q398" s="4" t="s">
        <v>26</v>
      </c>
      <c r="R398" s="4">
        <v>0</v>
      </c>
      <c r="S398" s="6">
        <v>18</v>
      </c>
      <c r="T398" s="6">
        <v>0</v>
      </c>
      <c r="U398" s="6">
        <v>0</v>
      </c>
      <c r="V398" s="6">
        <f>IF(ISERROR(VLOOKUP($S$398,'TAR FIN'!$A$1:$O$103,15,0)),0,VLOOKUP($S$398,'TAR FIN'!$A$1:$O$103,15,0))</f>
        <v>12.42</v>
      </c>
      <c r="W398" s="6">
        <f>IF(ISERROR(VLOOKUP($T$398,'TAR FIN'!$A$1:$O$103,15,0)),0,VLOOKUP($T$398,'TAR FIN'!$A$1:$O$103,15,0))</f>
        <v>0</v>
      </c>
      <c r="X398" s="6">
        <f>IF(ISERROR(VLOOKUP($U$398,'TAR FIN'!$A$1:$O$103,15,0)),0,VLOOKUP($U$398,'TAR FIN'!$A$1:$O$103,15,0))</f>
        <v>0</v>
      </c>
      <c r="Y398" s="6">
        <f ca="1">('TUSD BE'!$AM$20+'TUSD BF_350'!$AM$20+'TUSD CVA'!$AM$20)*1</f>
        <v>17.579999999999998</v>
      </c>
      <c r="Z398" s="6"/>
      <c r="AA398" s="6"/>
      <c r="AB398" s="6">
        <f>$K$398*$V$398</f>
        <v>169768.98</v>
      </c>
      <c r="AC398" s="6">
        <f>$M$398*$W$398</f>
        <v>0</v>
      </c>
      <c r="AD398" s="6">
        <f>$O$398*$X$398</f>
        <v>0</v>
      </c>
      <c r="AE398" s="6">
        <f ca="1">$K$398*$Y$398</f>
        <v>240301.02</v>
      </c>
      <c r="AF398" s="6">
        <f>$M$398*$Z$398</f>
        <v>0</v>
      </c>
      <c r="AG398" s="6">
        <f>$O$398*$AA$398</f>
        <v>0</v>
      </c>
    </row>
    <row r="399" spans="1:33" ht="11.25" customHeight="1" x14ac:dyDescent="0.25">
      <c r="A399" s="4" t="s">
        <v>28</v>
      </c>
      <c r="B399" s="4" t="s">
        <v>33</v>
      </c>
      <c r="C399" s="4" t="s">
        <v>34</v>
      </c>
      <c r="D399" s="4" t="s">
        <v>40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44621</v>
      </c>
      <c r="J399" s="6">
        <v>281</v>
      </c>
      <c r="K399" s="6">
        <v>281</v>
      </c>
      <c r="L399" s="6">
        <v>0</v>
      </c>
      <c r="M399" s="6">
        <v>0</v>
      </c>
      <c r="N399" s="6">
        <v>0</v>
      </c>
      <c r="O399" s="6">
        <v>0</v>
      </c>
      <c r="P399" s="6">
        <v>1</v>
      </c>
      <c r="Q399" s="4" t="s">
        <v>26</v>
      </c>
      <c r="R399" s="4">
        <v>0</v>
      </c>
      <c r="S399" s="6">
        <v>18</v>
      </c>
      <c r="T399" s="6">
        <v>0</v>
      </c>
      <c r="U399" s="6">
        <v>0</v>
      </c>
      <c r="V399" s="6">
        <f>IF(ISERROR(VLOOKUP($S$399,'TAR FIN'!$A$1:$O$103,15,0)),0,VLOOKUP($S$399,'TAR FIN'!$A$1:$O$103,15,0))</f>
        <v>12.42</v>
      </c>
      <c r="W399" s="6">
        <f>IF(ISERROR(VLOOKUP($T$399,'TAR FIN'!$A$1:$O$103,15,0)),0,VLOOKUP($T$399,'TAR FIN'!$A$1:$O$103,15,0))</f>
        <v>0</v>
      </c>
      <c r="X399" s="6">
        <f>IF(ISERROR(VLOOKUP($U$399,'TAR FIN'!$A$1:$O$103,15,0)),0,VLOOKUP($U$399,'TAR FIN'!$A$1:$O$103,15,0))</f>
        <v>0</v>
      </c>
      <c r="Y399" s="6">
        <f ca="1">('TUSD BE'!$AM$20+'TUSD BF_350'!$AM$20+'TUSD CVA'!$AM$20)*1</f>
        <v>17.579999999999998</v>
      </c>
      <c r="Z399" s="6"/>
      <c r="AA399" s="6"/>
      <c r="AB399" s="6">
        <f>$K$399*$V$399</f>
        <v>3490.02</v>
      </c>
      <c r="AC399" s="6">
        <f>$M$399*$W$399</f>
        <v>0</v>
      </c>
      <c r="AD399" s="6">
        <f>$O$399*$X$399</f>
        <v>0</v>
      </c>
      <c r="AE399" s="6">
        <f ca="1">$K$399*$Y$399</f>
        <v>4939.9799999999996</v>
      </c>
      <c r="AF399" s="6">
        <f>$M$399*$Z$399</f>
        <v>0</v>
      </c>
      <c r="AG399" s="6">
        <f>$O$399*$AA$399</f>
        <v>0</v>
      </c>
    </row>
    <row r="400" spans="1:33" ht="11.25" customHeight="1" x14ac:dyDescent="0.25">
      <c r="A400" s="4" t="s">
        <v>21</v>
      </c>
      <c r="B400" s="4" t="s">
        <v>33</v>
      </c>
      <c r="C400" s="4" t="s">
        <v>34</v>
      </c>
      <c r="D400" s="4" t="s">
        <v>40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44621</v>
      </c>
      <c r="J400" s="6">
        <v>6000</v>
      </c>
      <c r="K400" s="6">
        <v>6000</v>
      </c>
      <c r="L400" s="6">
        <v>0</v>
      </c>
      <c r="M400" s="6">
        <v>0</v>
      </c>
      <c r="N400" s="6">
        <v>0</v>
      </c>
      <c r="O400" s="6">
        <v>0</v>
      </c>
      <c r="P400" s="6">
        <v>2</v>
      </c>
      <c r="Q400" s="4" t="s">
        <v>53</v>
      </c>
      <c r="R400" s="4">
        <v>0</v>
      </c>
      <c r="S400" s="6">
        <v>18</v>
      </c>
      <c r="T400" s="6">
        <v>0</v>
      </c>
      <c r="U400" s="6">
        <v>0</v>
      </c>
      <c r="V400" s="6">
        <f>IF(ISERROR(VLOOKUP($S$400,'TAR FIN'!$A$1:$O$103,15,0)),0,VLOOKUP($S$400,'TAR FIN'!$A$1:$O$103,15,0))</f>
        <v>12.42</v>
      </c>
      <c r="W400" s="6">
        <f>IF(ISERROR(VLOOKUP($T$400,'TAR FIN'!$A$1:$O$103,15,0)),0,VLOOKUP($T$400,'TAR FIN'!$A$1:$O$103,15,0))</f>
        <v>0</v>
      </c>
      <c r="X400" s="6">
        <f>IF(ISERROR(VLOOKUP($U$400,'TAR FIN'!$A$1:$O$103,15,0)),0,VLOOKUP($U$400,'TAR FIN'!$A$1:$O$103,15,0))</f>
        <v>0</v>
      </c>
      <c r="Y400" s="6">
        <f ca="1">('TUSD BE'!$AM$20+'TUSD BF_350'!$AM$20+'TUSD CVA'!$AM$20)*1</f>
        <v>17.579999999999998</v>
      </c>
      <c r="Z400" s="6"/>
      <c r="AA400" s="6"/>
      <c r="AB400" s="6">
        <f>$K$400*$V$400</f>
        <v>74520</v>
      </c>
      <c r="AC400" s="6">
        <f>$M$400*$W$400</f>
        <v>0</v>
      </c>
      <c r="AD400" s="6">
        <f>$O$400*$X$400</f>
        <v>0</v>
      </c>
      <c r="AE400" s="6">
        <f ca="1">$K$400*$Y$400</f>
        <v>105479.99999999999</v>
      </c>
      <c r="AF400" s="6">
        <f>$M$400*$Z$400</f>
        <v>0</v>
      </c>
      <c r="AG400" s="6">
        <f>$O$400*$AA$400</f>
        <v>0</v>
      </c>
    </row>
    <row r="401" spans="1:33" ht="11.25" customHeight="1" x14ac:dyDescent="0.25">
      <c r="A401" s="4" t="s">
        <v>21</v>
      </c>
      <c r="B401" s="4" t="s">
        <v>33</v>
      </c>
      <c r="C401" s="4" t="s">
        <v>34</v>
      </c>
      <c r="D401" s="4" t="s">
        <v>40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13744</v>
      </c>
      <c r="K401" s="6">
        <v>13744</v>
      </c>
      <c r="L401" s="6">
        <v>0</v>
      </c>
      <c r="M401" s="6">
        <v>0</v>
      </c>
      <c r="N401" s="6">
        <v>0</v>
      </c>
      <c r="O401" s="6">
        <v>0</v>
      </c>
      <c r="P401" s="6">
        <v>77</v>
      </c>
      <c r="Q401" s="4" t="s">
        <v>26</v>
      </c>
      <c r="R401" s="4">
        <v>0</v>
      </c>
      <c r="S401" s="6">
        <v>18</v>
      </c>
      <c r="T401" s="6">
        <v>0</v>
      </c>
      <c r="U401" s="6">
        <v>0</v>
      </c>
      <c r="V401" s="6">
        <f>IF(ISERROR(VLOOKUP($S$401,'TAR FIN'!$A$1:$O$103,15,0)),0,VLOOKUP($S$401,'TAR FIN'!$A$1:$O$103,15,0))</f>
        <v>12.42</v>
      </c>
      <c r="W401" s="6">
        <f>IF(ISERROR(VLOOKUP($T$401,'TAR FIN'!$A$1:$O$103,15,0)),0,VLOOKUP($T$401,'TAR FIN'!$A$1:$O$103,15,0))</f>
        <v>0</v>
      </c>
      <c r="X401" s="6">
        <f>IF(ISERROR(VLOOKUP($U$401,'TAR FIN'!$A$1:$O$103,15,0)),0,VLOOKUP($U$401,'TAR FIN'!$A$1:$O$103,15,0))</f>
        <v>0</v>
      </c>
      <c r="Y401" s="6">
        <f ca="1">('TUSD BE'!$AM$20+'TUSD BF_350'!$AM$20+'TUSD CVA'!$AM$20)*1</f>
        <v>17.579999999999998</v>
      </c>
      <c r="Z401" s="6"/>
      <c r="AA401" s="6"/>
      <c r="AB401" s="6">
        <f>$K$401*$V$401</f>
        <v>170700.48</v>
      </c>
      <c r="AC401" s="6">
        <f>$M$401*$W$401</f>
        <v>0</v>
      </c>
      <c r="AD401" s="6">
        <f>$O$401*$X$401</f>
        <v>0</v>
      </c>
      <c r="AE401" s="6">
        <f ca="1">$K$401*$Y$401</f>
        <v>241619.52</v>
      </c>
      <c r="AF401" s="6">
        <f>$M$401*$Z$401</f>
        <v>0</v>
      </c>
      <c r="AG401" s="6">
        <f>$O$401*$AA$401</f>
        <v>0</v>
      </c>
    </row>
    <row r="402" spans="1:33" ht="11.25" customHeight="1" x14ac:dyDescent="0.25">
      <c r="A402" s="4" t="s">
        <v>28</v>
      </c>
      <c r="B402" s="4" t="s">
        <v>33</v>
      </c>
      <c r="C402" s="4" t="s">
        <v>34</v>
      </c>
      <c r="D402" s="4" t="s">
        <v>40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44652</v>
      </c>
      <c r="J402" s="6">
        <v>280</v>
      </c>
      <c r="K402" s="6">
        <v>280</v>
      </c>
      <c r="L402" s="6">
        <v>0</v>
      </c>
      <c r="M402" s="6">
        <v>0</v>
      </c>
      <c r="N402" s="6">
        <v>0</v>
      </c>
      <c r="O402" s="6">
        <v>0</v>
      </c>
      <c r="P402" s="6">
        <v>1</v>
      </c>
      <c r="Q402" s="4" t="s">
        <v>26</v>
      </c>
      <c r="R402" s="4">
        <v>0</v>
      </c>
      <c r="S402" s="6">
        <v>18</v>
      </c>
      <c r="T402" s="6">
        <v>0</v>
      </c>
      <c r="U402" s="6">
        <v>0</v>
      </c>
      <c r="V402" s="6">
        <f>IF(ISERROR(VLOOKUP($S$402,'TAR FIN'!$A$1:$O$103,15,0)),0,VLOOKUP($S$402,'TAR FIN'!$A$1:$O$103,15,0))</f>
        <v>12.42</v>
      </c>
      <c r="W402" s="6">
        <f>IF(ISERROR(VLOOKUP($T$402,'TAR FIN'!$A$1:$O$103,15,0)),0,VLOOKUP($T$402,'TAR FIN'!$A$1:$O$103,15,0))</f>
        <v>0</v>
      </c>
      <c r="X402" s="6">
        <f>IF(ISERROR(VLOOKUP($U$402,'TAR FIN'!$A$1:$O$103,15,0)),0,VLOOKUP($U$402,'TAR FIN'!$A$1:$O$103,15,0))</f>
        <v>0</v>
      </c>
      <c r="Y402" s="6">
        <f ca="1">('TUSD BE'!$AM$20+'TUSD BF_350'!$AM$20+'TUSD CVA'!$AM$20)*1</f>
        <v>17.579999999999998</v>
      </c>
      <c r="Z402" s="6"/>
      <c r="AA402" s="6"/>
      <c r="AB402" s="6">
        <f>$K$402*$V$402</f>
        <v>3477.6</v>
      </c>
      <c r="AC402" s="6">
        <f>$M$402*$W$402</f>
        <v>0</v>
      </c>
      <c r="AD402" s="6">
        <f>$O$402*$X$402</f>
        <v>0</v>
      </c>
      <c r="AE402" s="6">
        <f ca="1">$K$402*$Y$402</f>
        <v>4922.3999999999996</v>
      </c>
      <c r="AF402" s="6">
        <f>$M$402*$Z$402</f>
        <v>0</v>
      </c>
      <c r="AG402" s="6">
        <f>$O$402*$AA$402</f>
        <v>0</v>
      </c>
    </row>
    <row r="403" spans="1:33" ht="11.25" customHeight="1" x14ac:dyDescent="0.25">
      <c r="A403" s="4" t="s">
        <v>21</v>
      </c>
      <c r="B403" s="4" t="s">
        <v>33</v>
      </c>
      <c r="C403" s="4" t="s">
        <v>34</v>
      </c>
      <c r="D403" s="4" t="s">
        <v>40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44652</v>
      </c>
      <c r="J403" s="6">
        <v>6145</v>
      </c>
      <c r="K403" s="6">
        <v>6145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4" t="s">
        <v>53</v>
      </c>
      <c r="R403" s="4">
        <v>0</v>
      </c>
      <c r="S403" s="6">
        <v>18</v>
      </c>
      <c r="T403" s="6">
        <v>0</v>
      </c>
      <c r="U403" s="6">
        <v>0</v>
      </c>
      <c r="V403" s="6">
        <f>IF(ISERROR(VLOOKUP($S$403,'TAR FIN'!$A$1:$O$103,15,0)),0,VLOOKUP($S$403,'TAR FIN'!$A$1:$O$103,15,0))</f>
        <v>12.42</v>
      </c>
      <c r="W403" s="6">
        <f>IF(ISERROR(VLOOKUP($T$403,'TAR FIN'!$A$1:$O$103,15,0)),0,VLOOKUP($T$403,'TAR FIN'!$A$1:$O$103,15,0))</f>
        <v>0</v>
      </c>
      <c r="X403" s="6">
        <f>IF(ISERROR(VLOOKUP($U$403,'TAR FIN'!$A$1:$O$103,15,0)),0,VLOOKUP($U$403,'TAR FIN'!$A$1:$O$103,15,0))</f>
        <v>0</v>
      </c>
      <c r="Y403" s="6">
        <f ca="1">('TUSD BE'!$AM$20+'TUSD BF_350'!$AM$20+'TUSD CVA'!$AM$20)*1</f>
        <v>17.579999999999998</v>
      </c>
      <c r="Z403" s="6"/>
      <c r="AA403" s="6"/>
      <c r="AB403" s="6">
        <f>$K$403*$V$403</f>
        <v>76320.899999999994</v>
      </c>
      <c r="AC403" s="6">
        <f>$M$403*$W$403</f>
        <v>0</v>
      </c>
      <c r="AD403" s="6">
        <f>$O$403*$X$403</f>
        <v>0</v>
      </c>
      <c r="AE403" s="6">
        <f ca="1">$K$403*$Y$403</f>
        <v>108029.09999999999</v>
      </c>
      <c r="AF403" s="6">
        <f>$M$403*$Z$403</f>
        <v>0</v>
      </c>
      <c r="AG403" s="6">
        <f>$O$403*$AA$403</f>
        <v>0</v>
      </c>
    </row>
    <row r="404" spans="1:33" ht="11.25" customHeight="1" x14ac:dyDescent="0.25">
      <c r="A404" s="4" t="s">
        <v>21</v>
      </c>
      <c r="B404" s="4" t="s">
        <v>33</v>
      </c>
      <c r="C404" s="4" t="s">
        <v>34</v>
      </c>
      <c r="D404" s="4" t="s">
        <v>40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13786</v>
      </c>
      <c r="K404" s="6">
        <v>13786</v>
      </c>
      <c r="L404" s="6">
        <v>0</v>
      </c>
      <c r="M404" s="6">
        <v>0</v>
      </c>
      <c r="N404" s="6">
        <v>0</v>
      </c>
      <c r="O404" s="6">
        <v>0</v>
      </c>
      <c r="P404" s="6">
        <v>78</v>
      </c>
      <c r="Q404" s="4" t="s">
        <v>26</v>
      </c>
      <c r="R404" s="4">
        <v>0</v>
      </c>
      <c r="S404" s="6">
        <v>18</v>
      </c>
      <c r="T404" s="6">
        <v>0</v>
      </c>
      <c r="U404" s="6">
        <v>0</v>
      </c>
      <c r="V404" s="6">
        <f>IF(ISERROR(VLOOKUP($S$404,'TAR FIN'!$A$1:$O$103,15,0)),0,VLOOKUP($S$404,'TAR FIN'!$A$1:$O$103,15,0))</f>
        <v>12.42</v>
      </c>
      <c r="W404" s="6">
        <f>IF(ISERROR(VLOOKUP($T$404,'TAR FIN'!$A$1:$O$103,15,0)),0,VLOOKUP($T$404,'TAR FIN'!$A$1:$O$103,15,0))</f>
        <v>0</v>
      </c>
      <c r="X404" s="6">
        <f>IF(ISERROR(VLOOKUP($U$404,'TAR FIN'!$A$1:$O$103,15,0)),0,VLOOKUP($U$404,'TAR FIN'!$A$1:$O$103,15,0))</f>
        <v>0</v>
      </c>
      <c r="Y404" s="6">
        <f ca="1">('TUSD BE'!$AM$20+'TUSD BF_350'!$AM$20+'TUSD CVA'!$AM$20)*1</f>
        <v>17.579999999999998</v>
      </c>
      <c r="Z404" s="6"/>
      <c r="AA404" s="6"/>
      <c r="AB404" s="6">
        <f>$K$404*$V$404</f>
        <v>171222.12</v>
      </c>
      <c r="AC404" s="6">
        <f>$M$404*$W$404</f>
        <v>0</v>
      </c>
      <c r="AD404" s="6">
        <f>$O$404*$X$404</f>
        <v>0</v>
      </c>
      <c r="AE404" s="6">
        <f ca="1">$K$404*$Y$404</f>
        <v>242357.87999999998</v>
      </c>
      <c r="AF404" s="6">
        <f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33</v>
      </c>
      <c r="C405" s="4" t="s">
        <v>34</v>
      </c>
      <c r="D405" s="4" t="s">
        <v>40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44682</v>
      </c>
      <c r="J405" s="6">
        <v>296</v>
      </c>
      <c r="K405" s="6">
        <v>296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4" t="s">
        <v>26</v>
      </c>
      <c r="R405" s="4">
        <v>0</v>
      </c>
      <c r="S405" s="6">
        <v>18</v>
      </c>
      <c r="T405" s="6">
        <v>0</v>
      </c>
      <c r="U405" s="6">
        <v>0</v>
      </c>
      <c r="V405" s="6">
        <f>IF(ISERROR(VLOOKUP($S$405,'TAR FIN'!$A$1:$O$103,15,0)),0,VLOOKUP($S$405,'TAR FIN'!$A$1:$O$103,15,0))</f>
        <v>12.42</v>
      </c>
      <c r="W405" s="6">
        <f>IF(ISERROR(VLOOKUP($T$405,'TAR FIN'!$A$1:$O$103,15,0)),0,VLOOKUP($T$405,'TAR FIN'!$A$1:$O$103,15,0))</f>
        <v>0</v>
      </c>
      <c r="X405" s="6">
        <f>IF(ISERROR(VLOOKUP($U$405,'TAR FIN'!$A$1:$O$103,15,0)),0,VLOOKUP($U$405,'TAR FIN'!$A$1:$O$103,15,0))</f>
        <v>0</v>
      </c>
      <c r="Y405" s="6">
        <f ca="1">('TUSD BE'!$AM$20+'TUSD BF_350'!$AM$20+'TUSD CVA'!$AM$20)*1</f>
        <v>17.579999999999998</v>
      </c>
      <c r="Z405" s="6"/>
      <c r="AA405" s="6"/>
      <c r="AB405" s="6">
        <f>$K$405*$V$405</f>
        <v>3676.32</v>
      </c>
      <c r="AC405" s="6">
        <f>$M$405*$W$405</f>
        <v>0</v>
      </c>
      <c r="AD405" s="6">
        <f>$O$405*$X$405</f>
        <v>0</v>
      </c>
      <c r="AE405" s="6">
        <f ca="1">$K$405*$Y$405</f>
        <v>5203.6799999999994</v>
      </c>
      <c r="AF405" s="6">
        <f>$M$405*$Z$405</f>
        <v>0</v>
      </c>
      <c r="AG405" s="6">
        <f>$O$405*$AA$405</f>
        <v>0</v>
      </c>
    </row>
    <row r="406" spans="1:33" ht="11.25" customHeight="1" x14ac:dyDescent="0.25">
      <c r="A406" s="4" t="s">
        <v>21</v>
      </c>
      <c r="B406" s="4" t="s">
        <v>33</v>
      </c>
      <c r="C406" s="4" t="s">
        <v>34</v>
      </c>
      <c r="D406" s="4" t="s">
        <v>40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6000</v>
      </c>
      <c r="K406" s="6">
        <v>6000</v>
      </c>
      <c r="L406" s="6">
        <v>0</v>
      </c>
      <c r="M406" s="6">
        <v>0</v>
      </c>
      <c r="N406" s="6">
        <v>0</v>
      </c>
      <c r="O406" s="6">
        <v>0</v>
      </c>
      <c r="P406" s="6">
        <v>2</v>
      </c>
      <c r="Q406" s="4" t="s">
        <v>53</v>
      </c>
      <c r="R406" s="4">
        <v>0</v>
      </c>
      <c r="S406" s="6">
        <v>18</v>
      </c>
      <c r="T406" s="6">
        <v>0</v>
      </c>
      <c r="U406" s="6">
        <v>0</v>
      </c>
      <c r="V406" s="6">
        <f>IF(ISERROR(VLOOKUP($S$406,'TAR FIN'!$A$1:$O$103,15,0)),0,VLOOKUP($S$406,'TAR FIN'!$A$1:$O$103,15,0))</f>
        <v>12.42</v>
      </c>
      <c r="W406" s="6">
        <f>IF(ISERROR(VLOOKUP($T$406,'TAR FIN'!$A$1:$O$103,15,0)),0,VLOOKUP($T$406,'TAR FIN'!$A$1:$O$103,15,0))</f>
        <v>0</v>
      </c>
      <c r="X406" s="6">
        <f>IF(ISERROR(VLOOKUP($U$406,'TAR FIN'!$A$1:$O$103,15,0)),0,VLOOKUP($U$406,'TAR FIN'!$A$1:$O$103,15,0))</f>
        <v>0</v>
      </c>
      <c r="Y406" s="6">
        <f ca="1">('TUSD BE'!$AM$20+'TUSD BF_350'!$AM$20+'TUSD CVA'!$AM$20)*1</f>
        <v>17.579999999999998</v>
      </c>
      <c r="Z406" s="6"/>
      <c r="AA406" s="6"/>
      <c r="AB406" s="6">
        <f>$K$406*$V$406</f>
        <v>74520</v>
      </c>
      <c r="AC406" s="6">
        <f>$M$406*$W$406</f>
        <v>0</v>
      </c>
      <c r="AD406" s="6">
        <f>$O$406*$X$406</f>
        <v>0</v>
      </c>
      <c r="AE406" s="6">
        <f ca="1">$K$406*$Y$406</f>
        <v>105479.99999999999</v>
      </c>
      <c r="AF406" s="6">
        <f>$M$406*$Z$406</f>
        <v>0</v>
      </c>
      <c r="AG406" s="6">
        <f>$O$406*$AA$406</f>
        <v>0</v>
      </c>
    </row>
    <row r="407" spans="1:33" ht="11.25" customHeight="1" x14ac:dyDescent="0.25">
      <c r="A407" s="4" t="s">
        <v>21</v>
      </c>
      <c r="B407" s="4" t="s">
        <v>33</v>
      </c>
      <c r="C407" s="4" t="s">
        <v>34</v>
      </c>
      <c r="D407" s="4" t="s">
        <v>40</v>
      </c>
      <c r="E407" s="4" t="s">
        <v>25</v>
      </c>
      <c r="F407" s="4" t="s">
        <v>25</v>
      </c>
      <c r="G407" s="4" t="s">
        <v>25</v>
      </c>
      <c r="H407" s="4" t="s">
        <v>37</v>
      </c>
      <c r="I407" s="5">
        <v>44348</v>
      </c>
      <c r="J407" s="6">
        <v>0</v>
      </c>
      <c r="K407" s="6">
        <v>0</v>
      </c>
      <c r="L407" s="6">
        <v>146.16</v>
      </c>
      <c r="M407" s="6">
        <v>146.16</v>
      </c>
      <c r="N407" s="6">
        <v>146.16</v>
      </c>
      <c r="O407" s="6">
        <v>146.16</v>
      </c>
      <c r="P407" s="6">
        <v>0</v>
      </c>
      <c r="Q407" s="4" t="s">
        <v>26</v>
      </c>
      <c r="R407" s="4">
        <v>0</v>
      </c>
      <c r="S407" s="6">
        <v>0</v>
      </c>
      <c r="T407" s="6">
        <v>19</v>
      </c>
      <c r="U407" s="6">
        <v>65</v>
      </c>
      <c r="V407" s="6">
        <f>IF(ISERROR(VLOOKUP($S$407,'TAR FIN'!$A$1:$O$103,15,0)),0,VLOOKUP($S$407,'TAR FIN'!$A$1:$O$103,15,0))</f>
        <v>0</v>
      </c>
      <c r="W407" s="6">
        <f>IF(ISERROR(VLOOKUP($T$407,'TAR FIN'!$A$1:$O$103,15,0)),0,VLOOKUP($T$407,'TAR FIN'!$A$1:$O$103,15,0))</f>
        <v>842.31</v>
      </c>
      <c r="X407" s="6">
        <f>IF(ISERROR(VLOOKUP($U$407,'TAR FIN'!$A$1:$O$103,15,0)),0,VLOOKUP($U$407,'TAR FIN'!$A$1:$O$103,15,0))</f>
        <v>454.9</v>
      </c>
      <c r="Y407" s="6"/>
      <c r="Z407" s="6">
        <f ca="1">('TUSD BE'!$AM$21+'TUSD BF_350'!$AM$21+'TUSD CVA'!$AM$21)*1</f>
        <v>1027.46</v>
      </c>
      <c r="AA407" s="6">
        <f ca="1">('TE BE'!$AB$8+'TE BF_350'!$AB$8+'TE CVA'!$AB$8)*1</f>
        <v>388.08000000000004</v>
      </c>
      <c r="AB407" s="6">
        <f>$K$407*$V$407</f>
        <v>0</v>
      </c>
      <c r="AC407" s="6">
        <f>$M$407*$W$407</f>
        <v>123112.02959999999</v>
      </c>
      <c r="AD407" s="6">
        <f>$O$407*$X$407</f>
        <v>66488.183999999994</v>
      </c>
      <c r="AE407" s="6">
        <f>$K$407*$Y$407</f>
        <v>0</v>
      </c>
      <c r="AF407" s="6">
        <f ca="1">$M$407*$Z$407</f>
        <v>150173.55360000001</v>
      </c>
      <c r="AG407" s="6">
        <f ca="1">$O$407*$AA$407</f>
        <v>56721.772800000006</v>
      </c>
    </row>
    <row r="408" spans="1:33" ht="11.25" customHeight="1" x14ac:dyDescent="0.25">
      <c r="A408" s="4" t="s">
        <v>21</v>
      </c>
      <c r="B408" s="4" t="s">
        <v>33</v>
      </c>
      <c r="C408" s="4" t="s">
        <v>34</v>
      </c>
      <c r="D408" s="4" t="s">
        <v>40</v>
      </c>
      <c r="E408" s="4" t="s">
        <v>25</v>
      </c>
      <c r="F408" s="4" t="s">
        <v>25</v>
      </c>
      <c r="G408" s="4" t="s">
        <v>25</v>
      </c>
      <c r="H408" s="4" t="s">
        <v>37</v>
      </c>
      <c r="I408" s="5">
        <v>44348</v>
      </c>
      <c r="J408" s="6">
        <v>0</v>
      </c>
      <c r="K408" s="6">
        <v>0</v>
      </c>
      <c r="L408" s="6">
        <v>66.706999999999994</v>
      </c>
      <c r="M408" s="6">
        <v>66.706999999999994</v>
      </c>
      <c r="N408" s="6">
        <v>0</v>
      </c>
      <c r="O408" s="6">
        <v>0</v>
      </c>
      <c r="P408" s="6">
        <v>0</v>
      </c>
      <c r="Q408" s="4" t="s">
        <v>53</v>
      </c>
      <c r="R408" s="4">
        <v>0</v>
      </c>
      <c r="S408" s="6">
        <v>0</v>
      </c>
      <c r="T408" s="6">
        <v>19</v>
      </c>
      <c r="U408" s="6">
        <v>0</v>
      </c>
      <c r="V408" s="6">
        <f>IF(ISERROR(VLOOKUP($S$408,'TAR FIN'!$A$1:$O$103,15,0)),0,VLOOKUP($S$408,'TAR FIN'!$A$1:$O$103,15,0))</f>
        <v>0</v>
      </c>
      <c r="W408" s="6">
        <f>IF(ISERROR(VLOOKUP($T$408,'TAR FIN'!$A$1:$O$103,15,0)),0,VLOOKUP($T$408,'TAR FIN'!$A$1:$O$103,15,0))</f>
        <v>842.31</v>
      </c>
      <c r="X408" s="6">
        <f>IF(ISERROR(VLOOKUP($U$408,'TAR FIN'!$A$1:$O$103,15,0)),0,VLOOKUP($U$408,'TAR FIN'!$A$1:$O$103,15,0))</f>
        <v>0</v>
      </c>
      <c r="Y408" s="6"/>
      <c r="Z408" s="6">
        <f ca="1">('TUSD BE'!$AM$21+'TUSD BF_350'!$AM$21+'TUSD CVA'!$AM$21)*1</f>
        <v>1027.46</v>
      </c>
      <c r="AA408" s="6"/>
      <c r="AB408" s="6">
        <f>$K$408*$V$408</f>
        <v>0</v>
      </c>
      <c r="AC408" s="6">
        <f>$M$408*$W$408</f>
        <v>56187.97316999999</v>
      </c>
      <c r="AD408" s="6">
        <f>$O$408*$X$408</f>
        <v>0</v>
      </c>
      <c r="AE408" s="6">
        <f>$K$408*$Y$408</f>
        <v>0</v>
      </c>
      <c r="AF408" s="6">
        <f ca="1">$M$408*$Z$408</f>
        <v>68538.774219999992</v>
      </c>
      <c r="AG408" s="6">
        <f>$O$408*$AA$408</f>
        <v>0</v>
      </c>
    </row>
    <row r="409" spans="1:33" ht="11.25" customHeight="1" x14ac:dyDescent="0.25">
      <c r="A409" s="4" t="s">
        <v>21</v>
      </c>
      <c r="B409" s="4" t="s">
        <v>33</v>
      </c>
      <c r="C409" s="4" t="s">
        <v>34</v>
      </c>
      <c r="D409" s="4" t="s">
        <v>40</v>
      </c>
      <c r="E409" s="4" t="s">
        <v>25</v>
      </c>
      <c r="F409" s="4" t="s">
        <v>25</v>
      </c>
      <c r="G409" s="4" t="s">
        <v>25</v>
      </c>
      <c r="H409" s="4" t="s">
        <v>37</v>
      </c>
      <c r="I409" s="5">
        <v>44378</v>
      </c>
      <c r="J409" s="6">
        <v>0</v>
      </c>
      <c r="K409" s="6">
        <v>0</v>
      </c>
      <c r="L409" s="6">
        <v>150.155</v>
      </c>
      <c r="M409" s="6">
        <v>150.155</v>
      </c>
      <c r="N409" s="6">
        <v>150.155</v>
      </c>
      <c r="O409" s="6">
        <v>150.155</v>
      </c>
      <c r="P409" s="6">
        <v>0</v>
      </c>
      <c r="Q409" s="4" t="s">
        <v>26</v>
      </c>
      <c r="R409" s="4">
        <v>0</v>
      </c>
      <c r="S409" s="6">
        <v>0</v>
      </c>
      <c r="T409" s="6">
        <v>19</v>
      </c>
      <c r="U409" s="6">
        <v>65</v>
      </c>
      <c r="V409" s="6">
        <f>IF(ISERROR(VLOOKUP($S$409,'TAR FIN'!$A$1:$O$103,15,0)),0,VLOOKUP($S$409,'TAR FIN'!$A$1:$O$103,15,0))</f>
        <v>0</v>
      </c>
      <c r="W409" s="6">
        <f>IF(ISERROR(VLOOKUP($T$409,'TAR FIN'!$A$1:$O$103,15,0)),0,VLOOKUP($T$409,'TAR FIN'!$A$1:$O$103,15,0))</f>
        <v>842.31</v>
      </c>
      <c r="X409" s="6">
        <f>IF(ISERROR(VLOOKUP($U$409,'TAR FIN'!$A$1:$O$103,15,0)),0,VLOOKUP($U$409,'TAR FIN'!$A$1:$O$103,15,0))</f>
        <v>454.9</v>
      </c>
      <c r="Y409" s="6"/>
      <c r="Z409" s="6">
        <f ca="1">('TUSD BE'!$AM$21+'TUSD BF_350'!$AM$21+'TUSD CVA'!$AM$21)*1</f>
        <v>1027.46</v>
      </c>
      <c r="AA409" s="6">
        <f ca="1">('TE BE'!$AB$8+'TE BF_350'!$AB$8+'TE CVA'!$AB$8)*1</f>
        <v>388.08000000000004</v>
      </c>
      <c r="AB409" s="6">
        <f>$K$409*$V$409</f>
        <v>0</v>
      </c>
      <c r="AC409" s="6">
        <f>$M$409*$W$409</f>
        <v>126477.05804999999</v>
      </c>
      <c r="AD409" s="6">
        <f>$O$409*$X$409</f>
        <v>68305.5095</v>
      </c>
      <c r="AE409" s="6">
        <f>$K$409*$Y$409</f>
        <v>0</v>
      </c>
      <c r="AF409" s="6">
        <f ca="1">$M$409*$Z$409</f>
        <v>154278.25630000001</v>
      </c>
      <c r="AG409" s="6">
        <f ca="1">$O$409*$AA$409</f>
        <v>58272.152400000006</v>
      </c>
    </row>
    <row r="410" spans="1:33" ht="11.25" customHeight="1" x14ac:dyDescent="0.25">
      <c r="A410" s="4" t="s">
        <v>21</v>
      </c>
      <c r="B410" s="4" t="s">
        <v>33</v>
      </c>
      <c r="C410" s="4" t="s">
        <v>34</v>
      </c>
      <c r="D410" s="4" t="s">
        <v>40</v>
      </c>
      <c r="E410" s="4" t="s">
        <v>25</v>
      </c>
      <c r="F410" s="4" t="s">
        <v>25</v>
      </c>
      <c r="G410" s="4" t="s">
        <v>25</v>
      </c>
      <c r="H410" s="4" t="s">
        <v>37</v>
      </c>
      <c r="I410" s="5">
        <v>44378</v>
      </c>
      <c r="J410" s="6">
        <v>0</v>
      </c>
      <c r="K410" s="6">
        <v>0</v>
      </c>
      <c r="L410" s="6">
        <v>62.363999999999997</v>
      </c>
      <c r="M410" s="6">
        <v>62.363999999999997</v>
      </c>
      <c r="N410" s="6">
        <v>0</v>
      </c>
      <c r="O410" s="6">
        <v>0</v>
      </c>
      <c r="P410" s="6">
        <v>0</v>
      </c>
      <c r="Q410" s="4" t="s">
        <v>53</v>
      </c>
      <c r="R410" s="4">
        <v>0</v>
      </c>
      <c r="S410" s="6">
        <v>0</v>
      </c>
      <c r="T410" s="6">
        <v>19</v>
      </c>
      <c r="U410" s="6">
        <v>0</v>
      </c>
      <c r="V410" s="6">
        <f>IF(ISERROR(VLOOKUP($S$410,'TAR FIN'!$A$1:$O$103,15,0)),0,VLOOKUP($S$410,'TAR FIN'!$A$1:$O$103,15,0))</f>
        <v>0</v>
      </c>
      <c r="W410" s="6">
        <f>IF(ISERROR(VLOOKUP($T$410,'TAR FIN'!$A$1:$O$103,15,0)),0,VLOOKUP($T$410,'TAR FIN'!$A$1:$O$103,15,0))</f>
        <v>842.31</v>
      </c>
      <c r="X410" s="6">
        <f>IF(ISERROR(VLOOKUP($U$410,'TAR FIN'!$A$1:$O$103,15,0)),0,VLOOKUP($U$410,'TAR FIN'!$A$1:$O$103,15,0))</f>
        <v>0</v>
      </c>
      <c r="Y410" s="6"/>
      <c r="Z410" s="6">
        <f ca="1">('TUSD BE'!$AM$21+'TUSD BF_350'!$AM$21+'TUSD CVA'!$AM$21)*1</f>
        <v>1027.46</v>
      </c>
      <c r="AA410" s="6"/>
      <c r="AB410" s="6">
        <f>$K$410*$V$410</f>
        <v>0</v>
      </c>
      <c r="AC410" s="6">
        <f>$M$410*$W$410</f>
        <v>52529.820839999993</v>
      </c>
      <c r="AD410" s="6">
        <f>$O$410*$X$410</f>
        <v>0</v>
      </c>
      <c r="AE410" s="6">
        <f>$K$410*$Y$410</f>
        <v>0</v>
      </c>
      <c r="AF410" s="6">
        <f ca="1">$M$410*$Z$410</f>
        <v>64076.515440000003</v>
      </c>
      <c r="AG410" s="6">
        <f>$O$410*$AA$410</f>
        <v>0</v>
      </c>
    </row>
    <row r="411" spans="1:33" ht="11.25" customHeight="1" x14ac:dyDescent="0.25">
      <c r="A411" s="4" t="s">
        <v>21</v>
      </c>
      <c r="B411" s="4" t="s">
        <v>33</v>
      </c>
      <c r="C411" s="4" t="s">
        <v>34</v>
      </c>
      <c r="D411" s="4" t="s">
        <v>40</v>
      </c>
      <c r="E411" s="4" t="s">
        <v>25</v>
      </c>
      <c r="F411" s="4" t="s">
        <v>25</v>
      </c>
      <c r="G411" s="4" t="s">
        <v>25</v>
      </c>
      <c r="H411" s="4" t="s">
        <v>37</v>
      </c>
      <c r="I411" s="5">
        <v>44409</v>
      </c>
      <c r="J411" s="6">
        <v>0</v>
      </c>
      <c r="K411" s="6">
        <v>0</v>
      </c>
      <c r="L411" s="6">
        <v>165.23599999999999</v>
      </c>
      <c r="M411" s="6">
        <v>165.23599999999999</v>
      </c>
      <c r="N411" s="6">
        <v>165.23599999999999</v>
      </c>
      <c r="O411" s="6">
        <v>165.23599999999999</v>
      </c>
      <c r="P411" s="6">
        <v>0</v>
      </c>
      <c r="Q411" s="4" t="s">
        <v>26</v>
      </c>
      <c r="R411" s="4">
        <v>0</v>
      </c>
      <c r="S411" s="6">
        <v>0</v>
      </c>
      <c r="T411" s="6">
        <v>19</v>
      </c>
      <c r="U411" s="6">
        <v>65</v>
      </c>
      <c r="V411" s="6">
        <f>IF(ISERROR(VLOOKUP($S$411,'TAR FIN'!$A$1:$O$103,15,0)),0,VLOOKUP($S$411,'TAR FIN'!$A$1:$O$103,15,0))</f>
        <v>0</v>
      </c>
      <c r="W411" s="6">
        <f>IF(ISERROR(VLOOKUP($T$411,'TAR FIN'!$A$1:$O$103,15,0)),0,VLOOKUP($T$411,'TAR FIN'!$A$1:$O$103,15,0))</f>
        <v>842.31</v>
      </c>
      <c r="X411" s="6">
        <f>IF(ISERROR(VLOOKUP($U$411,'TAR FIN'!$A$1:$O$103,15,0)),0,VLOOKUP($U$411,'TAR FIN'!$A$1:$O$103,15,0))</f>
        <v>454.9</v>
      </c>
      <c r="Y411" s="6"/>
      <c r="Z411" s="6">
        <f ca="1">('TUSD BE'!$AM$21+'TUSD BF_350'!$AM$21+'TUSD CVA'!$AM$21)*1</f>
        <v>1027.46</v>
      </c>
      <c r="AA411" s="6">
        <f ca="1">('TE BE'!$AB$8+'TE BF_350'!$AB$8+'TE CVA'!$AB$8)*1</f>
        <v>388.08000000000004</v>
      </c>
      <c r="AB411" s="6">
        <f>$K$411*$V$411</f>
        <v>0</v>
      </c>
      <c r="AC411" s="6">
        <f>$M$411*$W$411</f>
        <v>139179.93515999999</v>
      </c>
      <c r="AD411" s="6">
        <f>$O$411*$X$411</f>
        <v>75165.85639999999</v>
      </c>
      <c r="AE411" s="6">
        <f>$K$411*$Y$411</f>
        <v>0</v>
      </c>
      <c r="AF411" s="6">
        <f ca="1">$M$411*$Z$411</f>
        <v>169773.38055999999</v>
      </c>
      <c r="AG411" s="6">
        <f ca="1">$O$411*$AA$411</f>
        <v>64124.78688</v>
      </c>
    </row>
    <row r="412" spans="1:33" ht="11.25" customHeight="1" x14ac:dyDescent="0.25">
      <c r="A412" s="4" t="s">
        <v>21</v>
      </c>
      <c r="B412" s="4" t="s">
        <v>33</v>
      </c>
      <c r="C412" s="4" t="s">
        <v>34</v>
      </c>
      <c r="D412" s="4" t="s">
        <v>40</v>
      </c>
      <c r="E412" s="4" t="s">
        <v>25</v>
      </c>
      <c r="F412" s="4" t="s">
        <v>25</v>
      </c>
      <c r="G412" s="4" t="s">
        <v>25</v>
      </c>
      <c r="H412" s="4" t="s">
        <v>37</v>
      </c>
      <c r="I412" s="5">
        <v>44409</v>
      </c>
      <c r="J412" s="6">
        <v>0</v>
      </c>
      <c r="K412" s="6">
        <v>0</v>
      </c>
      <c r="L412" s="6">
        <v>54.103999999999999</v>
      </c>
      <c r="M412" s="6">
        <v>54.103999999999999</v>
      </c>
      <c r="N412" s="6">
        <v>0</v>
      </c>
      <c r="O412" s="6">
        <v>0</v>
      </c>
      <c r="P412" s="6">
        <v>0</v>
      </c>
      <c r="Q412" s="4" t="s">
        <v>53</v>
      </c>
      <c r="R412" s="4">
        <v>0</v>
      </c>
      <c r="S412" s="6">
        <v>0</v>
      </c>
      <c r="T412" s="6">
        <v>19</v>
      </c>
      <c r="U412" s="6">
        <v>0</v>
      </c>
      <c r="V412" s="6">
        <f>IF(ISERROR(VLOOKUP($S$412,'TAR FIN'!$A$1:$O$103,15,0)),0,VLOOKUP($S$412,'TAR FIN'!$A$1:$O$103,15,0))</f>
        <v>0</v>
      </c>
      <c r="W412" s="6">
        <f>IF(ISERROR(VLOOKUP($T$412,'TAR FIN'!$A$1:$O$103,15,0)),0,VLOOKUP($T$412,'TAR FIN'!$A$1:$O$103,15,0))</f>
        <v>842.31</v>
      </c>
      <c r="X412" s="6">
        <f>IF(ISERROR(VLOOKUP($U$412,'TAR FIN'!$A$1:$O$103,15,0)),0,VLOOKUP($U$412,'TAR FIN'!$A$1:$O$103,15,0))</f>
        <v>0</v>
      </c>
      <c r="Y412" s="6"/>
      <c r="Z412" s="6">
        <f ca="1">('TUSD BE'!$AM$21+'TUSD BF_350'!$AM$21+'TUSD CVA'!$AM$21)*1</f>
        <v>1027.46</v>
      </c>
      <c r="AA412" s="6"/>
      <c r="AB412" s="6">
        <f>$K$412*$V$412</f>
        <v>0</v>
      </c>
      <c r="AC412" s="6">
        <f>$M$412*$W$412</f>
        <v>45572.340239999998</v>
      </c>
      <c r="AD412" s="6">
        <f>$O$412*$X$412</f>
        <v>0</v>
      </c>
      <c r="AE412" s="6">
        <f>$K$412*$Y$412</f>
        <v>0</v>
      </c>
      <c r="AF412" s="6">
        <f ca="1">$M$412*$Z$412</f>
        <v>55589.69584</v>
      </c>
      <c r="AG412" s="6">
        <f>$O$412*$AA$412</f>
        <v>0</v>
      </c>
    </row>
    <row r="413" spans="1:33" ht="11.25" customHeight="1" x14ac:dyDescent="0.25">
      <c r="A413" s="4" t="s">
        <v>21</v>
      </c>
      <c r="B413" s="4" t="s">
        <v>33</v>
      </c>
      <c r="C413" s="4" t="s">
        <v>34</v>
      </c>
      <c r="D413" s="4" t="s">
        <v>40</v>
      </c>
      <c r="E413" s="4" t="s">
        <v>25</v>
      </c>
      <c r="F413" s="4" t="s">
        <v>25</v>
      </c>
      <c r="G413" s="4" t="s">
        <v>25</v>
      </c>
      <c r="H413" s="4" t="s">
        <v>37</v>
      </c>
      <c r="I413" s="5">
        <v>44440</v>
      </c>
      <c r="J413" s="6">
        <v>0</v>
      </c>
      <c r="K413" s="6">
        <v>0</v>
      </c>
      <c r="L413" s="6">
        <v>146.303</v>
      </c>
      <c r="M413" s="6">
        <v>146.303</v>
      </c>
      <c r="N413" s="6">
        <v>146.303</v>
      </c>
      <c r="O413" s="6">
        <v>146.303</v>
      </c>
      <c r="P413" s="6">
        <v>0</v>
      </c>
      <c r="Q413" s="4" t="s">
        <v>26</v>
      </c>
      <c r="R413" s="4">
        <v>0</v>
      </c>
      <c r="S413" s="6">
        <v>0</v>
      </c>
      <c r="T413" s="6">
        <v>19</v>
      </c>
      <c r="U413" s="6">
        <v>65</v>
      </c>
      <c r="V413" s="6">
        <f>IF(ISERROR(VLOOKUP($S$413,'TAR FIN'!$A$1:$O$103,15,0)),0,VLOOKUP($S$413,'TAR FIN'!$A$1:$O$103,15,0))</f>
        <v>0</v>
      </c>
      <c r="W413" s="6">
        <f>IF(ISERROR(VLOOKUP($T$413,'TAR FIN'!$A$1:$O$103,15,0)),0,VLOOKUP($T$413,'TAR FIN'!$A$1:$O$103,15,0))</f>
        <v>842.31</v>
      </c>
      <c r="X413" s="6">
        <f>IF(ISERROR(VLOOKUP($U$413,'TAR FIN'!$A$1:$O$103,15,0)),0,VLOOKUP($U$413,'TAR FIN'!$A$1:$O$103,15,0))</f>
        <v>454.9</v>
      </c>
      <c r="Y413" s="6"/>
      <c r="Z413" s="6">
        <f ca="1">('TUSD BE'!$AM$21+'TUSD BF_350'!$AM$21+'TUSD CVA'!$AM$21)*1</f>
        <v>1027.46</v>
      </c>
      <c r="AA413" s="6">
        <f ca="1">('TE BE'!$AB$8+'TE BF_350'!$AB$8+'TE CVA'!$AB$8)*1</f>
        <v>388.08000000000004</v>
      </c>
      <c r="AB413" s="6">
        <f>$K$413*$V$413</f>
        <v>0</v>
      </c>
      <c r="AC413" s="6">
        <f>$M$413*$W$413</f>
        <v>123232.47992999999</v>
      </c>
      <c r="AD413" s="6">
        <f>$O$413*$X$413</f>
        <v>66553.234700000001</v>
      </c>
      <c r="AE413" s="6">
        <f>$K$413*$Y$413</f>
        <v>0</v>
      </c>
      <c r="AF413" s="6">
        <f ca="1">$M$413*$Z$413</f>
        <v>150320.48037999999</v>
      </c>
      <c r="AG413" s="6">
        <f ca="1">$O$413*$AA$413</f>
        <v>56777.268240000005</v>
      </c>
    </row>
    <row r="414" spans="1:33" ht="11.25" customHeight="1" x14ac:dyDescent="0.25">
      <c r="A414" s="4" t="s">
        <v>21</v>
      </c>
      <c r="B414" s="4" t="s">
        <v>33</v>
      </c>
      <c r="C414" s="4" t="s">
        <v>34</v>
      </c>
      <c r="D414" s="4" t="s">
        <v>40</v>
      </c>
      <c r="E414" s="4" t="s">
        <v>25</v>
      </c>
      <c r="F414" s="4" t="s">
        <v>25</v>
      </c>
      <c r="G414" s="4" t="s">
        <v>25</v>
      </c>
      <c r="H414" s="4" t="s">
        <v>37</v>
      </c>
      <c r="I414" s="5">
        <v>44440</v>
      </c>
      <c r="J414" s="6">
        <v>0</v>
      </c>
      <c r="K414" s="6">
        <v>0</v>
      </c>
      <c r="L414" s="6">
        <v>129.36799999999999</v>
      </c>
      <c r="M414" s="6">
        <v>129.36799999999999</v>
      </c>
      <c r="N414" s="6">
        <v>0</v>
      </c>
      <c r="O414" s="6">
        <v>0</v>
      </c>
      <c r="P414" s="6">
        <v>0</v>
      </c>
      <c r="Q414" s="4" t="s">
        <v>53</v>
      </c>
      <c r="R414" s="4">
        <v>0</v>
      </c>
      <c r="S414" s="6">
        <v>0</v>
      </c>
      <c r="T414" s="6">
        <v>19</v>
      </c>
      <c r="U414" s="6">
        <v>0</v>
      </c>
      <c r="V414" s="6">
        <f>IF(ISERROR(VLOOKUP($S$414,'TAR FIN'!$A$1:$O$103,15,0)),0,VLOOKUP($S$414,'TAR FIN'!$A$1:$O$103,15,0))</f>
        <v>0</v>
      </c>
      <c r="W414" s="6">
        <f>IF(ISERROR(VLOOKUP($T$414,'TAR FIN'!$A$1:$O$103,15,0)),0,VLOOKUP($T$414,'TAR FIN'!$A$1:$O$103,15,0))</f>
        <v>842.31</v>
      </c>
      <c r="X414" s="6">
        <f>IF(ISERROR(VLOOKUP($U$414,'TAR FIN'!$A$1:$O$103,15,0)),0,VLOOKUP($U$414,'TAR FIN'!$A$1:$O$103,15,0))</f>
        <v>0</v>
      </c>
      <c r="Y414" s="6"/>
      <c r="Z414" s="6">
        <f ca="1">('TUSD BE'!$AM$21+'TUSD BF_350'!$AM$21+'TUSD CVA'!$AM$21)*1</f>
        <v>1027.46</v>
      </c>
      <c r="AA414" s="6"/>
      <c r="AB414" s="6">
        <f>$K$414*$V$414</f>
        <v>0</v>
      </c>
      <c r="AC414" s="6">
        <f>$M$414*$W$414</f>
        <v>108967.96007999999</v>
      </c>
      <c r="AD414" s="6">
        <f>$O$414*$X$414</f>
        <v>0</v>
      </c>
      <c r="AE414" s="6">
        <f>$K$414*$Y$414</f>
        <v>0</v>
      </c>
      <c r="AF414" s="6">
        <f ca="1">$M$414*$Z$414</f>
        <v>132920.44527999999</v>
      </c>
      <c r="AG414" s="6">
        <f>$O$414*$AA$414</f>
        <v>0</v>
      </c>
    </row>
    <row r="415" spans="1:33" ht="11.25" customHeight="1" x14ac:dyDescent="0.25">
      <c r="A415" s="4" t="s">
        <v>21</v>
      </c>
      <c r="B415" s="4" t="s">
        <v>33</v>
      </c>
      <c r="C415" s="4" t="s">
        <v>34</v>
      </c>
      <c r="D415" s="4" t="s">
        <v>40</v>
      </c>
      <c r="E415" s="4" t="s">
        <v>25</v>
      </c>
      <c r="F415" s="4" t="s">
        <v>25</v>
      </c>
      <c r="G415" s="4" t="s">
        <v>25</v>
      </c>
      <c r="H415" s="4" t="s">
        <v>37</v>
      </c>
      <c r="I415" s="5">
        <v>44470</v>
      </c>
      <c r="J415" s="6">
        <v>0</v>
      </c>
      <c r="K415" s="6">
        <v>0</v>
      </c>
      <c r="L415" s="6">
        <v>131.60599999999999</v>
      </c>
      <c r="M415" s="6">
        <v>131.60599999999999</v>
      </c>
      <c r="N415" s="6">
        <v>131.60599999999999</v>
      </c>
      <c r="O415" s="6">
        <v>131.60599999999999</v>
      </c>
      <c r="P415" s="6">
        <v>0</v>
      </c>
      <c r="Q415" s="4" t="s">
        <v>26</v>
      </c>
      <c r="R415" s="4">
        <v>0</v>
      </c>
      <c r="S415" s="6">
        <v>0</v>
      </c>
      <c r="T415" s="6">
        <v>19</v>
      </c>
      <c r="U415" s="6">
        <v>65</v>
      </c>
      <c r="V415" s="6">
        <f>IF(ISERROR(VLOOKUP($S$415,'TAR FIN'!$A$1:$O$103,15,0)),0,VLOOKUP($S$415,'TAR FIN'!$A$1:$O$103,15,0))</f>
        <v>0</v>
      </c>
      <c r="W415" s="6">
        <f>IF(ISERROR(VLOOKUP($T$415,'TAR FIN'!$A$1:$O$103,15,0)),0,VLOOKUP($T$415,'TAR FIN'!$A$1:$O$103,15,0))</f>
        <v>842.31</v>
      </c>
      <c r="X415" s="6">
        <f>IF(ISERROR(VLOOKUP($U$415,'TAR FIN'!$A$1:$O$103,15,0)),0,VLOOKUP($U$415,'TAR FIN'!$A$1:$O$103,15,0))</f>
        <v>454.9</v>
      </c>
      <c r="Y415" s="6"/>
      <c r="Z415" s="6">
        <f ca="1">('TUSD BE'!$AM$21+'TUSD BF_350'!$AM$21+'TUSD CVA'!$AM$21)*1</f>
        <v>1027.46</v>
      </c>
      <c r="AA415" s="6">
        <f ca="1">('TE BE'!$AB$8+'TE BF_350'!$AB$8+'TE CVA'!$AB$8)*1</f>
        <v>388.08000000000004</v>
      </c>
      <c r="AB415" s="6">
        <f>$K$415*$V$415</f>
        <v>0</v>
      </c>
      <c r="AC415" s="6">
        <f>$M$415*$W$415</f>
        <v>110853.04985999998</v>
      </c>
      <c r="AD415" s="6">
        <f>$O$415*$X$415</f>
        <v>59867.569399999993</v>
      </c>
      <c r="AE415" s="6">
        <f>$K$415*$Y$415</f>
        <v>0</v>
      </c>
      <c r="AF415" s="6">
        <f ca="1">$M$415*$Z$415</f>
        <v>135219.90075999999</v>
      </c>
      <c r="AG415" s="6">
        <f ca="1">$O$415*$AA$415</f>
        <v>51073.656480000005</v>
      </c>
    </row>
    <row r="416" spans="1:33" ht="11.25" customHeight="1" x14ac:dyDescent="0.25">
      <c r="A416" s="4" t="s">
        <v>21</v>
      </c>
      <c r="B416" s="4" t="s">
        <v>33</v>
      </c>
      <c r="C416" s="4" t="s">
        <v>34</v>
      </c>
      <c r="D416" s="4" t="s">
        <v>40</v>
      </c>
      <c r="E416" s="4" t="s">
        <v>25</v>
      </c>
      <c r="F416" s="4" t="s">
        <v>25</v>
      </c>
      <c r="G416" s="4" t="s">
        <v>25</v>
      </c>
      <c r="H416" s="4" t="s">
        <v>37</v>
      </c>
      <c r="I416" s="5">
        <v>44470</v>
      </c>
      <c r="J416" s="6">
        <v>0</v>
      </c>
      <c r="K416" s="6">
        <v>0</v>
      </c>
      <c r="L416" s="6">
        <v>120.376</v>
      </c>
      <c r="M416" s="6">
        <v>120.376</v>
      </c>
      <c r="N416" s="6">
        <v>0</v>
      </c>
      <c r="O416" s="6">
        <v>0</v>
      </c>
      <c r="P416" s="6">
        <v>0</v>
      </c>
      <c r="Q416" s="4" t="s">
        <v>53</v>
      </c>
      <c r="R416" s="4">
        <v>0</v>
      </c>
      <c r="S416" s="6">
        <v>0</v>
      </c>
      <c r="T416" s="6">
        <v>19</v>
      </c>
      <c r="U416" s="6">
        <v>0</v>
      </c>
      <c r="V416" s="6">
        <f>IF(ISERROR(VLOOKUP($S$416,'TAR FIN'!$A$1:$O$103,15,0)),0,VLOOKUP($S$416,'TAR FIN'!$A$1:$O$103,15,0))</f>
        <v>0</v>
      </c>
      <c r="W416" s="6">
        <f>IF(ISERROR(VLOOKUP($T$416,'TAR FIN'!$A$1:$O$103,15,0)),0,VLOOKUP($T$416,'TAR FIN'!$A$1:$O$103,15,0))</f>
        <v>842.31</v>
      </c>
      <c r="X416" s="6">
        <f>IF(ISERROR(VLOOKUP($U$416,'TAR FIN'!$A$1:$O$103,15,0)),0,VLOOKUP($U$416,'TAR FIN'!$A$1:$O$103,15,0))</f>
        <v>0</v>
      </c>
      <c r="Y416" s="6"/>
      <c r="Z416" s="6">
        <f ca="1">('TUSD BE'!$AM$21+'TUSD BF_350'!$AM$21+'TUSD CVA'!$AM$21)*1</f>
        <v>1027.46</v>
      </c>
      <c r="AA416" s="6"/>
      <c r="AB416" s="6">
        <f>$K$416*$V$416</f>
        <v>0</v>
      </c>
      <c r="AC416" s="6">
        <f>$M$416*$W$416</f>
        <v>101393.90856</v>
      </c>
      <c r="AD416" s="6">
        <f>$O$416*$X$416</f>
        <v>0</v>
      </c>
      <c r="AE416" s="6">
        <f>$K$416*$Y$416</f>
        <v>0</v>
      </c>
      <c r="AF416" s="6">
        <f ca="1">$M$416*$Z$416</f>
        <v>123681.52496000001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33</v>
      </c>
      <c r="C417" s="4" t="s">
        <v>34</v>
      </c>
      <c r="D417" s="4" t="s">
        <v>40</v>
      </c>
      <c r="E417" s="4" t="s">
        <v>25</v>
      </c>
      <c r="F417" s="4" t="s">
        <v>25</v>
      </c>
      <c r="G417" s="4" t="s">
        <v>25</v>
      </c>
      <c r="H417" s="4" t="s">
        <v>37</v>
      </c>
      <c r="I417" s="5">
        <v>44501</v>
      </c>
      <c r="J417" s="6">
        <v>0</v>
      </c>
      <c r="K417" s="6">
        <v>0</v>
      </c>
      <c r="L417" s="6">
        <v>133.28399999999999</v>
      </c>
      <c r="M417" s="6">
        <v>133.28399999999999</v>
      </c>
      <c r="N417" s="6">
        <v>133.28399999999999</v>
      </c>
      <c r="O417" s="6">
        <v>133.28399999999999</v>
      </c>
      <c r="P417" s="6">
        <v>0</v>
      </c>
      <c r="Q417" s="4" t="s">
        <v>26</v>
      </c>
      <c r="R417" s="4">
        <v>0</v>
      </c>
      <c r="S417" s="6">
        <v>0</v>
      </c>
      <c r="T417" s="6">
        <v>19</v>
      </c>
      <c r="U417" s="6">
        <v>65</v>
      </c>
      <c r="V417" s="6">
        <f>IF(ISERROR(VLOOKUP($S$417,'TAR FIN'!$A$1:$O$103,15,0)),0,VLOOKUP($S$417,'TAR FIN'!$A$1:$O$103,15,0))</f>
        <v>0</v>
      </c>
      <c r="W417" s="6">
        <f>IF(ISERROR(VLOOKUP($T$417,'TAR FIN'!$A$1:$O$103,15,0)),0,VLOOKUP($T$417,'TAR FIN'!$A$1:$O$103,15,0))</f>
        <v>842.31</v>
      </c>
      <c r="X417" s="6">
        <f>IF(ISERROR(VLOOKUP($U$417,'TAR FIN'!$A$1:$O$103,15,0)),0,VLOOKUP($U$417,'TAR FIN'!$A$1:$O$103,15,0))</f>
        <v>454.9</v>
      </c>
      <c r="Y417" s="6"/>
      <c r="Z417" s="6">
        <f ca="1">('TUSD BE'!$AM$21+'TUSD BF_350'!$AM$21+'TUSD CVA'!$AM$21)*1</f>
        <v>1027.46</v>
      </c>
      <c r="AA417" s="6">
        <f ca="1">('TE BE'!$AB$8+'TE BF_350'!$AB$8+'TE CVA'!$AB$8)*1</f>
        <v>388.08000000000004</v>
      </c>
      <c r="AB417" s="6">
        <f>$K$417*$V$417</f>
        <v>0</v>
      </c>
      <c r="AC417" s="6">
        <f>$M$417*$W$417</f>
        <v>112266.44603999998</v>
      </c>
      <c r="AD417" s="6">
        <f>$O$417*$X$417</f>
        <v>60630.891599999995</v>
      </c>
      <c r="AE417" s="6">
        <f>$K$417*$Y$417</f>
        <v>0</v>
      </c>
      <c r="AF417" s="6">
        <f ca="1">$M$417*$Z$417</f>
        <v>136943.97863999999</v>
      </c>
      <c r="AG417" s="6">
        <f ca="1">$O$417*$AA$417</f>
        <v>51724.854720000003</v>
      </c>
    </row>
    <row r="418" spans="1:33" ht="11.25" customHeight="1" x14ac:dyDescent="0.25">
      <c r="A418" s="4" t="s">
        <v>21</v>
      </c>
      <c r="B418" s="4" t="s">
        <v>33</v>
      </c>
      <c r="C418" s="4" t="s">
        <v>34</v>
      </c>
      <c r="D418" s="4" t="s">
        <v>40</v>
      </c>
      <c r="E418" s="4" t="s">
        <v>25</v>
      </c>
      <c r="F418" s="4" t="s">
        <v>25</v>
      </c>
      <c r="G418" s="4" t="s">
        <v>25</v>
      </c>
      <c r="H418" s="4" t="s">
        <v>37</v>
      </c>
      <c r="I418" s="5">
        <v>44501</v>
      </c>
      <c r="J418" s="6">
        <v>0</v>
      </c>
      <c r="K418" s="6">
        <v>0</v>
      </c>
      <c r="L418" s="6">
        <v>100.55800000000001</v>
      </c>
      <c r="M418" s="6">
        <v>100.55800000000001</v>
      </c>
      <c r="N418" s="6">
        <v>0</v>
      </c>
      <c r="O418" s="6">
        <v>0</v>
      </c>
      <c r="P418" s="6">
        <v>0</v>
      </c>
      <c r="Q418" s="4" t="s">
        <v>53</v>
      </c>
      <c r="R418" s="4">
        <v>0</v>
      </c>
      <c r="S418" s="6">
        <v>0</v>
      </c>
      <c r="T418" s="6">
        <v>19</v>
      </c>
      <c r="U418" s="6">
        <v>0</v>
      </c>
      <c r="V418" s="6">
        <f>IF(ISERROR(VLOOKUP($S$418,'TAR FIN'!$A$1:$O$103,15,0)),0,VLOOKUP($S$418,'TAR FIN'!$A$1:$O$103,15,0))</f>
        <v>0</v>
      </c>
      <c r="W418" s="6">
        <f>IF(ISERROR(VLOOKUP($T$418,'TAR FIN'!$A$1:$O$103,15,0)),0,VLOOKUP($T$418,'TAR FIN'!$A$1:$O$103,15,0))</f>
        <v>842.31</v>
      </c>
      <c r="X418" s="6">
        <f>IF(ISERROR(VLOOKUP($U$418,'TAR FIN'!$A$1:$O$103,15,0)),0,VLOOKUP($U$418,'TAR FIN'!$A$1:$O$103,15,0))</f>
        <v>0</v>
      </c>
      <c r="Y418" s="6"/>
      <c r="Z418" s="6">
        <f ca="1">('TUSD BE'!$AM$21+'TUSD BF_350'!$AM$21+'TUSD CVA'!$AM$21)*1</f>
        <v>1027.46</v>
      </c>
      <c r="AA418" s="6"/>
      <c r="AB418" s="6">
        <f>$K$418*$V$418</f>
        <v>0</v>
      </c>
      <c r="AC418" s="6">
        <f>$M$418*$W$418</f>
        <v>84701.008979999999</v>
      </c>
      <c r="AD418" s="6">
        <f>$O$418*$X$418</f>
        <v>0</v>
      </c>
      <c r="AE418" s="6">
        <f>$K$418*$Y$418</f>
        <v>0</v>
      </c>
      <c r="AF418" s="6">
        <f ca="1">$M$418*$Z$418</f>
        <v>103319.32268000001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33</v>
      </c>
      <c r="C419" s="4" t="s">
        <v>34</v>
      </c>
      <c r="D419" s="4" t="s">
        <v>40</v>
      </c>
      <c r="E419" s="4" t="s">
        <v>25</v>
      </c>
      <c r="F419" s="4" t="s">
        <v>25</v>
      </c>
      <c r="G419" s="4" t="s">
        <v>25</v>
      </c>
      <c r="H419" s="4" t="s">
        <v>37</v>
      </c>
      <c r="I419" s="5">
        <v>44531</v>
      </c>
      <c r="J419" s="6">
        <v>0</v>
      </c>
      <c r="K419" s="6">
        <v>0</v>
      </c>
      <c r="L419" s="6">
        <v>127.95399999999999</v>
      </c>
      <c r="M419" s="6">
        <v>127.95399999999999</v>
      </c>
      <c r="N419" s="6">
        <v>127.95399999999999</v>
      </c>
      <c r="O419" s="6">
        <v>127.95399999999999</v>
      </c>
      <c r="P419" s="6">
        <v>0</v>
      </c>
      <c r="Q419" s="4" t="s">
        <v>26</v>
      </c>
      <c r="R419" s="4">
        <v>0</v>
      </c>
      <c r="S419" s="6">
        <v>0</v>
      </c>
      <c r="T419" s="6">
        <v>19</v>
      </c>
      <c r="U419" s="6">
        <v>65</v>
      </c>
      <c r="V419" s="6">
        <f>IF(ISERROR(VLOOKUP($S$419,'TAR FIN'!$A$1:$O$103,15,0)),0,VLOOKUP($S$419,'TAR FIN'!$A$1:$O$103,15,0))</f>
        <v>0</v>
      </c>
      <c r="W419" s="6">
        <f>IF(ISERROR(VLOOKUP($T$419,'TAR FIN'!$A$1:$O$103,15,0)),0,VLOOKUP($T$419,'TAR FIN'!$A$1:$O$103,15,0))</f>
        <v>842.31</v>
      </c>
      <c r="X419" s="6">
        <f>IF(ISERROR(VLOOKUP($U$419,'TAR FIN'!$A$1:$O$103,15,0)),0,VLOOKUP($U$419,'TAR FIN'!$A$1:$O$103,15,0))</f>
        <v>454.9</v>
      </c>
      <c r="Y419" s="6"/>
      <c r="Z419" s="6">
        <f ca="1">('TUSD BE'!$AM$21+'TUSD BF_350'!$AM$21+'TUSD CVA'!$AM$21)*1</f>
        <v>1027.46</v>
      </c>
      <c r="AA419" s="6">
        <f ca="1">('TE BE'!$AB$8+'TE BF_350'!$AB$8+'TE CVA'!$AB$8)*1</f>
        <v>388.08000000000004</v>
      </c>
      <c r="AB419" s="6">
        <f>$K$419*$V$419</f>
        <v>0</v>
      </c>
      <c r="AC419" s="6">
        <f>$M$419*$W$419</f>
        <v>107776.93373999999</v>
      </c>
      <c r="AD419" s="6">
        <f>$O$419*$X$419</f>
        <v>58206.274599999997</v>
      </c>
      <c r="AE419" s="6">
        <f>$K$419*$Y$419</f>
        <v>0</v>
      </c>
      <c r="AF419" s="6">
        <f ca="1">$M$419*$Z$419</f>
        <v>131467.61684</v>
      </c>
      <c r="AG419" s="6">
        <f ca="1">$O$419*$AA$419</f>
        <v>49656.388320000005</v>
      </c>
    </row>
    <row r="420" spans="1:33" ht="11.25" customHeight="1" x14ac:dyDescent="0.25">
      <c r="A420" s="4" t="s">
        <v>28</v>
      </c>
      <c r="B420" s="4" t="s">
        <v>33</v>
      </c>
      <c r="C420" s="4" t="s">
        <v>34</v>
      </c>
      <c r="D420" s="4" t="s">
        <v>40</v>
      </c>
      <c r="E420" s="4" t="s">
        <v>25</v>
      </c>
      <c r="F420" s="4" t="s">
        <v>25</v>
      </c>
      <c r="G420" s="4" t="s">
        <v>25</v>
      </c>
      <c r="H420" s="4" t="s">
        <v>37</v>
      </c>
      <c r="I420" s="5">
        <v>44531</v>
      </c>
      <c r="J420" s="6">
        <v>0</v>
      </c>
      <c r="K420" s="6">
        <v>0</v>
      </c>
      <c r="L420" s="6">
        <v>0.70799999999999996</v>
      </c>
      <c r="M420" s="6">
        <v>0.70799999999999996</v>
      </c>
      <c r="N420" s="6">
        <v>0.70799999999999996</v>
      </c>
      <c r="O420" s="6">
        <v>0.70799999999999996</v>
      </c>
      <c r="P420" s="6">
        <v>0</v>
      </c>
      <c r="Q420" s="4" t="s">
        <v>26</v>
      </c>
      <c r="R420" s="4">
        <v>0</v>
      </c>
      <c r="S420" s="6">
        <v>0</v>
      </c>
      <c r="T420" s="6">
        <v>19</v>
      </c>
      <c r="U420" s="6">
        <v>65</v>
      </c>
      <c r="V420" s="6">
        <f>IF(ISERROR(VLOOKUP($S$420,'TAR FIN'!$A$1:$O$103,15,0)),0,VLOOKUP($S$420,'TAR FIN'!$A$1:$O$103,15,0))</f>
        <v>0</v>
      </c>
      <c r="W420" s="6">
        <f>IF(ISERROR(VLOOKUP($T$420,'TAR FIN'!$A$1:$O$103,15,0)),0,VLOOKUP($T$420,'TAR FIN'!$A$1:$O$103,15,0))</f>
        <v>842.31</v>
      </c>
      <c r="X420" s="6">
        <f>IF(ISERROR(VLOOKUP($U$420,'TAR FIN'!$A$1:$O$103,15,0)),0,VLOOKUP($U$420,'TAR FIN'!$A$1:$O$103,15,0))</f>
        <v>454.9</v>
      </c>
      <c r="Y420" s="6"/>
      <c r="Z420" s="6">
        <f ca="1">('TUSD BE'!$AM$21+'TUSD BF_350'!$AM$21+'TUSD CVA'!$AM$21)*1</f>
        <v>1027.46</v>
      </c>
      <c r="AA420" s="6">
        <f ca="1">('TE BE'!$AB$8+'TE BF_350'!$AB$8+'TE CVA'!$AB$8)*1</f>
        <v>388.08000000000004</v>
      </c>
      <c r="AB420" s="6">
        <f>$K$420*$V$420</f>
        <v>0</v>
      </c>
      <c r="AC420" s="6">
        <f>$M$420*$W$420</f>
        <v>596.35547999999994</v>
      </c>
      <c r="AD420" s="6">
        <f>$O$420*$X$420</f>
        <v>322.06919999999997</v>
      </c>
      <c r="AE420" s="6">
        <f>$K$420*$Y$420</f>
        <v>0</v>
      </c>
      <c r="AF420" s="6">
        <f ca="1">$M$420*$Z$420</f>
        <v>727.44168000000002</v>
      </c>
      <c r="AG420" s="6">
        <f ca="1">$O$420*$AA$420</f>
        <v>274.76064000000002</v>
      </c>
    </row>
    <row r="421" spans="1:33" ht="11.25" customHeight="1" x14ac:dyDescent="0.25">
      <c r="A421" s="4" t="s">
        <v>21</v>
      </c>
      <c r="B421" s="4" t="s">
        <v>33</v>
      </c>
      <c r="C421" s="4" t="s">
        <v>34</v>
      </c>
      <c r="D421" s="4" t="s">
        <v>40</v>
      </c>
      <c r="E421" s="4" t="s">
        <v>25</v>
      </c>
      <c r="F421" s="4" t="s">
        <v>25</v>
      </c>
      <c r="G421" s="4" t="s">
        <v>25</v>
      </c>
      <c r="H421" s="4" t="s">
        <v>37</v>
      </c>
      <c r="I421" s="5">
        <v>44531</v>
      </c>
      <c r="J421" s="6">
        <v>0</v>
      </c>
      <c r="K421" s="6">
        <v>0</v>
      </c>
      <c r="L421" s="6">
        <v>135.91800000000001</v>
      </c>
      <c r="M421" s="6">
        <v>135.91800000000001</v>
      </c>
      <c r="N421" s="6">
        <v>0</v>
      </c>
      <c r="O421" s="6">
        <v>0</v>
      </c>
      <c r="P421" s="6">
        <v>0</v>
      </c>
      <c r="Q421" s="4" t="s">
        <v>53</v>
      </c>
      <c r="R421" s="4">
        <v>0</v>
      </c>
      <c r="S421" s="6">
        <v>0</v>
      </c>
      <c r="T421" s="6">
        <v>19</v>
      </c>
      <c r="U421" s="6">
        <v>0</v>
      </c>
      <c r="V421" s="6">
        <f>IF(ISERROR(VLOOKUP($S$421,'TAR FIN'!$A$1:$O$103,15,0)),0,VLOOKUP($S$421,'TAR FIN'!$A$1:$O$103,15,0))</f>
        <v>0</v>
      </c>
      <c r="W421" s="6">
        <f>IF(ISERROR(VLOOKUP($T$421,'TAR FIN'!$A$1:$O$103,15,0)),0,VLOOKUP($T$421,'TAR FIN'!$A$1:$O$103,15,0))</f>
        <v>842.31</v>
      </c>
      <c r="X421" s="6">
        <f>IF(ISERROR(VLOOKUP($U$421,'TAR FIN'!$A$1:$O$103,15,0)),0,VLOOKUP($U$421,'TAR FIN'!$A$1:$O$103,15,0))</f>
        <v>0</v>
      </c>
      <c r="Y421" s="6"/>
      <c r="Z421" s="6">
        <f ca="1">('TUSD BE'!$AM$21+'TUSD BF_350'!$AM$21+'TUSD CVA'!$AM$21)*1</f>
        <v>1027.46</v>
      </c>
      <c r="AA421" s="6"/>
      <c r="AB421" s="6">
        <f>$K$421*$V$421</f>
        <v>0</v>
      </c>
      <c r="AC421" s="6">
        <f>$M$421*$W$421</f>
        <v>114485.09058</v>
      </c>
      <c r="AD421" s="6">
        <f>$O$421*$X$421</f>
        <v>0</v>
      </c>
      <c r="AE421" s="6">
        <f>$K$421*$Y$421</f>
        <v>0</v>
      </c>
      <c r="AF421" s="6">
        <f ca="1">$M$421*$Z$421</f>
        <v>139650.30828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33</v>
      </c>
      <c r="C422" s="4" t="s">
        <v>34</v>
      </c>
      <c r="D422" s="4" t="s">
        <v>40</v>
      </c>
      <c r="E422" s="4" t="s">
        <v>25</v>
      </c>
      <c r="F422" s="4" t="s">
        <v>25</v>
      </c>
      <c r="G422" s="4" t="s">
        <v>25</v>
      </c>
      <c r="H422" s="4" t="s">
        <v>37</v>
      </c>
      <c r="I422" s="5">
        <v>44562</v>
      </c>
      <c r="J422" s="6">
        <v>0</v>
      </c>
      <c r="K422" s="6">
        <v>0</v>
      </c>
      <c r="L422" s="6">
        <v>127.07299999999999</v>
      </c>
      <c r="M422" s="6">
        <v>127.07299999999999</v>
      </c>
      <c r="N422" s="6">
        <v>127.07299999999999</v>
      </c>
      <c r="O422" s="6">
        <v>127.07299999999999</v>
      </c>
      <c r="P422" s="6">
        <v>0</v>
      </c>
      <c r="Q422" s="4" t="s">
        <v>26</v>
      </c>
      <c r="R422" s="4">
        <v>0</v>
      </c>
      <c r="S422" s="6">
        <v>0</v>
      </c>
      <c r="T422" s="6">
        <v>19</v>
      </c>
      <c r="U422" s="6">
        <v>65</v>
      </c>
      <c r="V422" s="6">
        <f>IF(ISERROR(VLOOKUP($S$422,'TAR FIN'!$A$1:$O$103,15,0)),0,VLOOKUP($S$422,'TAR FIN'!$A$1:$O$103,15,0))</f>
        <v>0</v>
      </c>
      <c r="W422" s="6">
        <f>IF(ISERROR(VLOOKUP($T$422,'TAR FIN'!$A$1:$O$103,15,0)),0,VLOOKUP($T$422,'TAR FIN'!$A$1:$O$103,15,0))</f>
        <v>842.31</v>
      </c>
      <c r="X422" s="6">
        <f>IF(ISERROR(VLOOKUP($U$422,'TAR FIN'!$A$1:$O$103,15,0)),0,VLOOKUP($U$422,'TAR FIN'!$A$1:$O$103,15,0))</f>
        <v>454.9</v>
      </c>
      <c r="Y422" s="6"/>
      <c r="Z422" s="6">
        <f ca="1">('TUSD BE'!$AM$21+'TUSD BF_350'!$AM$21+'TUSD CVA'!$AM$21)*1</f>
        <v>1027.46</v>
      </c>
      <c r="AA422" s="6">
        <f ca="1">('TE BE'!$AB$8+'TE BF_350'!$AB$8+'TE CVA'!$AB$8)*1</f>
        <v>388.08000000000004</v>
      </c>
      <c r="AB422" s="6">
        <f>$K$422*$V$422</f>
        <v>0</v>
      </c>
      <c r="AC422" s="6">
        <f>$M$422*$W$422</f>
        <v>107034.85862999999</v>
      </c>
      <c r="AD422" s="6">
        <f>$O$422*$X$422</f>
        <v>57805.507699999995</v>
      </c>
      <c r="AE422" s="6">
        <f>$K$422*$Y$422</f>
        <v>0</v>
      </c>
      <c r="AF422" s="6">
        <f ca="1">$M$422*$Z$422</f>
        <v>130562.42457999999</v>
      </c>
      <c r="AG422" s="6">
        <f ca="1">$O$422*$AA$422</f>
        <v>49314.489840000002</v>
      </c>
    </row>
    <row r="423" spans="1:33" ht="11.25" customHeight="1" x14ac:dyDescent="0.25">
      <c r="A423" s="4" t="s">
        <v>28</v>
      </c>
      <c r="B423" s="4" t="s">
        <v>33</v>
      </c>
      <c r="C423" s="4" t="s">
        <v>34</v>
      </c>
      <c r="D423" s="4" t="s">
        <v>40</v>
      </c>
      <c r="E423" s="4" t="s">
        <v>25</v>
      </c>
      <c r="F423" s="4" t="s">
        <v>25</v>
      </c>
      <c r="G423" s="4" t="s">
        <v>25</v>
      </c>
      <c r="H423" s="4" t="s">
        <v>37</v>
      </c>
      <c r="I423" s="5">
        <v>44562</v>
      </c>
      <c r="J423" s="6">
        <v>0</v>
      </c>
      <c r="K423" s="6">
        <v>0</v>
      </c>
      <c r="L423" s="6">
        <v>0.40100000000000002</v>
      </c>
      <c r="M423" s="6">
        <v>0.40100000000000002</v>
      </c>
      <c r="N423" s="6">
        <v>0.40100000000000002</v>
      </c>
      <c r="O423" s="6">
        <v>0.40100000000000002</v>
      </c>
      <c r="P423" s="6">
        <v>0</v>
      </c>
      <c r="Q423" s="4" t="s">
        <v>26</v>
      </c>
      <c r="R423" s="4">
        <v>0</v>
      </c>
      <c r="S423" s="6">
        <v>0</v>
      </c>
      <c r="T423" s="6">
        <v>19</v>
      </c>
      <c r="U423" s="6">
        <v>65</v>
      </c>
      <c r="V423" s="6">
        <f>IF(ISERROR(VLOOKUP($S$423,'TAR FIN'!$A$1:$O$103,15,0)),0,VLOOKUP($S$423,'TAR FIN'!$A$1:$O$103,15,0))</f>
        <v>0</v>
      </c>
      <c r="W423" s="6">
        <f>IF(ISERROR(VLOOKUP($T$423,'TAR FIN'!$A$1:$O$103,15,0)),0,VLOOKUP($T$423,'TAR FIN'!$A$1:$O$103,15,0))</f>
        <v>842.31</v>
      </c>
      <c r="X423" s="6">
        <f>IF(ISERROR(VLOOKUP($U$423,'TAR FIN'!$A$1:$O$103,15,0)),0,VLOOKUP($U$423,'TAR FIN'!$A$1:$O$103,15,0))</f>
        <v>454.9</v>
      </c>
      <c r="Y423" s="6"/>
      <c r="Z423" s="6">
        <f ca="1">('TUSD BE'!$AM$21+'TUSD BF_350'!$AM$21+'TUSD CVA'!$AM$21)*1</f>
        <v>1027.46</v>
      </c>
      <c r="AA423" s="6">
        <f ca="1">('TE BE'!$AB$8+'TE BF_350'!$AB$8+'TE CVA'!$AB$8)*1</f>
        <v>388.08000000000004</v>
      </c>
      <c r="AB423" s="6">
        <f>$K$423*$V$423</f>
        <v>0</v>
      </c>
      <c r="AC423" s="6">
        <f>$M$423*$W$423</f>
        <v>337.76630999999998</v>
      </c>
      <c r="AD423" s="6">
        <f>$O$423*$X$423</f>
        <v>182.41489999999999</v>
      </c>
      <c r="AE423" s="6">
        <f>$K$423*$Y$423</f>
        <v>0</v>
      </c>
      <c r="AF423" s="6">
        <f ca="1">$M$423*$Z$423</f>
        <v>412.01146000000006</v>
      </c>
      <c r="AG423" s="6">
        <f ca="1">$O$423*$AA$423</f>
        <v>155.62008000000003</v>
      </c>
    </row>
    <row r="424" spans="1:33" ht="11.25" customHeight="1" x14ac:dyDescent="0.25">
      <c r="A424" s="4" t="s">
        <v>21</v>
      </c>
      <c r="B424" s="4" t="s">
        <v>33</v>
      </c>
      <c r="C424" s="4" t="s">
        <v>34</v>
      </c>
      <c r="D424" s="4" t="s">
        <v>40</v>
      </c>
      <c r="E424" s="4" t="s">
        <v>25</v>
      </c>
      <c r="F424" s="4" t="s">
        <v>25</v>
      </c>
      <c r="G424" s="4" t="s">
        <v>25</v>
      </c>
      <c r="H424" s="4" t="s">
        <v>37</v>
      </c>
      <c r="I424" s="5">
        <v>44562</v>
      </c>
      <c r="J424" s="6">
        <v>0</v>
      </c>
      <c r="K424" s="6">
        <v>0</v>
      </c>
      <c r="L424" s="6">
        <v>90.295000000000002</v>
      </c>
      <c r="M424" s="6">
        <v>90.295000000000002</v>
      </c>
      <c r="N424" s="6">
        <v>0</v>
      </c>
      <c r="O424" s="6">
        <v>0</v>
      </c>
      <c r="P424" s="6">
        <v>0</v>
      </c>
      <c r="Q424" s="4" t="s">
        <v>53</v>
      </c>
      <c r="R424" s="4">
        <v>0</v>
      </c>
      <c r="S424" s="6">
        <v>0</v>
      </c>
      <c r="T424" s="6">
        <v>19</v>
      </c>
      <c r="U424" s="6">
        <v>0</v>
      </c>
      <c r="V424" s="6">
        <f>IF(ISERROR(VLOOKUP($S$424,'TAR FIN'!$A$1:$O$103,15,0)),0,VLOOKUP($S$424,'TAR FIN'!$A$1:$O$103,15,0))</f>
        <v>0</v>
      </c>
      <c r="W424" s="6">
        <f>IF(ISERROR(VLOOKUP($T$424,'TAR FIN'!$A$1:$O$103,15,0)),0,VLOOKUP($T$424,'TAR FIN'!$A$1:$O$103,15,0))</f>
        <v>842.31</v>
      </c>
      <c r="X424" s="6">
        <f>IF(ISERROR(VLOOKUP($U$424,'TAR FIN'!$A$1:$O$103,15,0)),0,VLOOKUP($U$424,'TAR FIN'!$A$1:$O$103,15,0))</f>
        <v>0</v>
      </c>
      <c r="Y424" s="6"/>
      <c r="Z424" s="6">
        <f ca="1">('TUSD BE'!$AM$21+'TUSD BF_350'!$AM$21+'TUSD CVA'!$AM$21)*1</f>
        <v>1027.46</v>
      </c>
      <c r="AA424" s="6"/>
      <c r="AB424" s="6">
        <f>$K$424*$V$424</f>
        <v>0</v>
      </c>
      <c r="AC424" s="6">
        <f>$M$424*$W$424</f>
        <v>76056.381450000001</v>
      </c>
      <c r="AD424" s="6">
        <f>$O$424*$X$424</f>
        <v>0</v>
      </c>
      <c r="AE424" s="6">
        <f>$K$424*$Y$424</f>
        <v>0</v>
      </c>
      <c r="AF424" s="6">
        <f ca="1">$M$424*$Z$424</f>
        <v>92774.500700000004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33</v>
      </c>
      <c r="C425" s="4" t="s">
        <v>34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44593</v>
      </c>
      <c r="J425" s="6">
        <v>0</v>
      </c>
      <c r="K425" s="6">
        <v>0</v>
      </c>
      <c r="L425" s="6">
        <v>125.185</v>
      </c>
      <c r="M425" s="6">
        <v>125.185</v>
      </c>
      <c r="N425" s="6">
        <v>125.185</v>
      </c>
      <c r="O425" s="6">
        <v>125.185</v>
      </c>
      <c r="P425" s="6">
        <v>0</v>
      </c>
      <c r="Q425" s="4" t="s">
        <v>26</v>
      </c>
      <c r="R425" s="4">
        <v>0</v>
      </c>
      <c r="S425" s="6">
        <v>0</v>
      </c>
      <c r="T425" s="6">
        <v>19</v>
      </c>
      <c r="U425" s="6">
        <v>65</v>
      </c>
      <c r="V425" s="6">
        <f>IF(ISERROR(VLOOKUP($S$425,'TAR FIN'!$A$1:$O$103,15,0)),0,VLOOKUP($S$425,'TAR FIN'!$A$1:$O$103,15,0))</f>
        <v>0</v>
      </c>
      <c r="W425" s="6">
        <f>IF(ISERROR(VLOOKUP($T$425,'TAR FIN'!$A$1:$O$103,15,0)),0,VLOOKUP($T$425,'TAR FIN'!$A$1:$O$103,15,0))</f>
        <v>842.31</v>
      </c>
      <c r="X425" s="6">
        <f>IF(ISERROR(VLOOKUP($U$425,'TAR FIN'!$A$1:$O$103,15,0)),0,VLOOKUP($U$425,'TAR FIN'!$A$1:$O$103,15,0))</f>
        <v>454.9</v>
      </c>
      <c r="Y425" s="6"/>
      <c r="Z425" s="6">
        <f ca="1">('TUSD BE'!$AM$21+'TUSD BF_350'!$AM$21+'TUSD CVA'!$AM$21)*1</f>
        <v>1027.46</v>
      </c>
      <c r="AA425" s="6">
        <f ca="1">('TE BE'!$AB$8+'TE BF_350'!$AB$8+'TE CVA'!$AB$8)*1</f>
        <v>388.08000000000004</v>
      </c>
      <c r="AB425" s="6">
        <f>$K$425*$V$425</f>
        <v>0</v>
      </c>
      <c r="AC425" s="6">
        <f>$M$425*$W$425</f>
        <v>105444.57734999999</v>
      </c>
      <c r="AD425" s="6">
        <f>$O$425*$X$425</f>
        <v>56946.656499999997</v>
      </c>
      <c r="AE425" s="6">
        <f>$K$425*$Y$425</f>
        <v>0</v>
      </c>
      <c r="AF425" s="6">
        <f ca="1">$M$425*$Z$425</f>
        <v>128622.58010000001</v>
      </c>
      <c r="AG425" s="6">
        <f ca="1">$O$425*$AA$425</f>
        <v>48581.794800000003</v>
      </c>
    </row>
    <row r="426" spans="1:33" ht="11.25" customHeight="1" x14ac:dyDescent="0.25">
      <c r="A426" s="4" t="s">
        <v>28</v>
      </c>
      <c r="B426" s="4" t="s">
        <v>33</v>
      </c>
      <c r="C426" s="4" t="s">
        <v>34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44593</v>
      </c>
      <c r="J426" s="6">
        <v>0</v>
      </c>
      <c r="K426" s="6">
        <v>0</v>
      </c>
      <c r="L426" s="6">
        <v>0.34399999999999997</v>
      </c>
      <c r="M426" s="6">
        <v>0.34399999999999997</v>
      </c>
      <c r="N426" s="6">
        <v>0.34399999999999997</v>
      </c>
      <c r="O426" s="6">
        <v>0.34399999999999997</v>
      </c>
      <c r="P426" s="6">
        <v>0</v>
      </c>
      <c r="Q426" s="4" t="s">
        <v>26</v>
      </c>
      <c r="R426" s="4">
        <v>0</v>
      </c>
      <c r="S426" s="6">
        <v>0</v>
      </c>
      <c r="T426" s="6">
        <v>19</v>
      </c>
      <c r="U426" s="6">
        <v>65</v>
      </c>
      <c r="V426" s="6">
        <f>IF(ISERROR(VLOOKUP($S$426,'TAR FIN'!$A$1:$O$103,15,0)),0,VLOOKUP($S$426,'TAR FIN'!$A$1:$O$103,15,0))</f>
        <v>0</v>
      </c>
      <c r="W426" s="6">
        <f>IF(ISERROR(VLOOKUP($T$426,'TAR FIN'!$A$1:$O$103,15,0)),0,VLOOKUP($T$426,'TAR FIN'!$A$1:$O$103,15,0))</f>
        <v>842.31</v>
      </c>
      <c r="X426" s="6">
        <f>IF(ISERROR(VLOOKUP($U$426,'TAR FIN'!$A$1:$O$103,15,0)),0,VLOOKUP($U$426,'TAR FIN'!$A$1:$O$103,15,0))</f>
        <v>454.9</v>
      </c>
      <c r="Y426" s="6"/>
      <c r="Z426" s="6">
        <f ca="1">('TUSD BE'!$AM$21+'TUSD BF_350'!$AM$21+'TUSD CVA'!$AM$21)*1</f>
        <v>1027.46</v>
      </c>
      <c r="AA426" s="6">
        <f ca="1">('TE BE'!$AB$8+'TE BF_350'!$AB$8+'TE CVA'!$AB$8)*1</f>
        <v>388.08000000000004</v>
      </c>
      <c r="AB426" s="6">
        <f>$K$426*$V$426</f>
        <v>0</v>
      </c>
      <c r="AC426" s="6">
        <f>$M$426*$W$426</f>
        <v>289.75463999999994</v>
      </c>
      <c r="AD426" s="6">
        <f>$O$426*$X$426</f>
        <v>156.48559999999998</v>
      </c>
      <c r="AE426" s="6">
        <f>$K$426*$Y$426</f>
        <v>0</v>
      </c>
      <c r="AF426" s="6">
        <f ca="1">$M$426*$Z$426</f>
        <v>353.44623999999999</v>
      </c>
      <c r="AG426" s="6">
        <f ca="1">$O$426*$AA$426</f>
        <v>133.49951999999999</v>
      </c>
    </row>
    <row r="427" spans="1:33" ht="11.25" customHeight="1" x14ac:dyDescent="0.25">
      <c r="A427" s="4" t="s">
        <v>21</v>
      </c>
      <c r="B427" s="4" t="s">
        <v>33</v>
      </c>
      <c r="C427" s="4" t="s">
        <v>34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44593</v>
      </c>
      <c r="J427" s="6">
        <v>0</v>
      </c>
      <c r="K427" s="6">
        <v>0</v>
      </c>
      <c r="L427" s="6">
        <v>80.036000000000001</v>
      </c>
      <c r="M427" s="6">
        <v>80.036000000000001</v>
      </c>
      <c r="N427" s="6">
        <v>0</v>
      </c>
      <c r="O427" s="6">
        <v>0</v>
      </c>
      <c r="P427" s="6">
        <v>0</v>
      </c>
      <c r="Q427" s="4" t="s">
        <v>53</v>
      </c>
      <c r="R427" s="4">
        <v>0</v>
      </c>
      <c r="S427" s="6">
        <v>0</v>
      </c>
      <c r="T427" s="6">
        <v>19</v>
      </c>
      <c r="U427" s="6">
        <v>0</v>
      </c>
      <c r="V427" s="6">
        <f>IF(ISERROR(VLOOKUP($S$427,'TAR FIN'!$A$1:$O$103,15,0)),0,VLOOKUP($S$427,'TAR FIN'!$A$1:$O$103,15,0))</f>
        <v>0</v>
      </c>
      <c r="W427" s="6">
        <f>IF(ISERROR(VLOOKUP($T$427,'TAR FIN'!$A$1:$O$103,15,0)),0,VLOOKUP($T$427,'TAR FIN'!$A$1:$O$103,15,0))</f>
        <v>842.31</v>
      </c>
      <c r="X427" s="6">
        <f>IF(ISERROR(VLOOKUP($U$427,'TAR FIN'!$A$1:$O$103,15,0)),0,VLOOKUP($U$427,'TAR FIN'!$A$1:$O$103,15,0))</f>
        <v>0</v>
      </c>
      <c r="Y427" s="6"/>
      <c r="Z427" s="6">
        <f ca="1">('TUSD BE'!$AM$21+'TUSD BF_350'!$AM$21+'TUSD CVA'!$AM$21)*1</f>
        <v>1027.46</v>
      </c>
      <c r="AA427" s="6"/>
      <c r="AB427" s="6">
        <f>$K$427*$V$427</f>
        <v>0</v>
      </c>
      <c r="AC427" s="6">
        <f>$M$427*$W$427</f>
        <v>67415.123160000003</v>
      </c>
      <c r="AD427" s="6">
        <f>$O$427*$X$427</f>
        <v>0</v>
      </c>
      <c r="AE427" s="6">
        <f>$K$427*$Y$427</f>
        <v>0</v>
      </c>
      <c r="AF427" s="6">
        <f ca="1">$M$427*$Z$427</f>
        <v>82233.788560000001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33</v>
      </c>
      <c r="C428" s="4" t="s">
        <v>34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44621</v>
      </c>
      <c r="J428" s="6">
        <v>0</v>
      </c>
      <c r="K428" s="6">
        <v>0</v>
      </c>
      <c r="L428" s="6">
        <v>133.631</v>
      </c>
      <c r="M428" s="6">
        <v>133.631</v>
      </c>
      <c r="N428" s="6">
        <v>133.631</v>
      </c>
      <c r="O428" s="6">
        <v>133.631</v>
      </c>
      <c r="P428" s="6">
        <v>0</v>
      </c>
      <c r="Q428" s="4" t="s">
        <v>26</v>
      </c>
      <c r="R428" s="4">
        <v>0</v>
      </c>
      <c r="S428" s="6">
        <v>0</v>
      </c>
      <c r="T428" s="6">
        <v>19</v>
      </c>
      <c r="U428" s="6">
        <v>65</v>
      </c>
      <c r="V428" s="6">
        <f>IF(ISERROR(VLOOKUP($S$428,'TAR FIN'!$A$1:$O$103,15,0)),0,VLOOKUP($S$428,'TAR FIN'!$A$1:$O$103,15,0))</f>
        <v>0</v>
      </c>
      <c r="W428" s="6">
        <f>IF(ISERROR(VLOOKUP($T$428,'TAR FIN'!$A$1:$O$103,15,0)),0,VLOOKUP($T$428,'TAR FIN'!$A$1:$O$103,15,0))</f>
        <v>842.31</v>
      </c>
      <c r="X428" s="6">
        <f>IF(ISERROR(VLOOKUP($U$428,'TAR FIN'!$A$1:$O$103,15,0)),0,VLOOKUP($U$428,'TAR FIN'!$A$1:$O$103,15,0))</f>
        <v>454.9</v>
      </c>
      <c r="Y428" s="6"/>
      <c r="Z428" s="6">
        <f ca="1">('TUSD BE'!$AM$21+'TUSD BF_350'!$AM$21+'TUSD CVA'!$AM$21)*1</f>
        <v>1027.46</v>
      </c>
      <c r="AA428" s="6">
        <f ca="1">('TE BE'!$AB$8+'TE BF_350'!$AB$8+'TE CVA'!$AB$8)*1</f>
        <v>388.08000000000004</v>
      </c>
      <c r="AB428" s="6">
        <f>$K$428*$V$428</f>
        <v>0</v>
      </c>
      <c r="AC428" s="6">
        <f>$M$428*$W$428</f>
        <v>112558.72760999999</v>
      </c>
      <c r="AD428" s="6">
        <f>$O$428*$X$428</f>
        <v>60788.741899999994</v>
      </c>
      <c r="AE428" s="6">
        <f>$K$428*$Y$428</f>
        <v>0</v>
      </c>
      <c r="AF428" s="6">
        <f ca="1">$M$428*$Z$428</f>
        <v>137300.50726000001</v>
      </c>
      <c r="AG428" s="6">
        <f ca="1">$O$428*$AA$428</f>
        <v>51859.518480000006</v>
      </c>
    </row>
    <row r="429" spans="1:33" ht="11.25" customHeight="1" x14ac:dyDescent="0.25">
      <c r="A429" s="4" t="s">
        <v>28</v>
      </c>
      <c r="B429" s="4" t="s">
        <v>33</v>
      </c>
      <c r="C429" s="4" t="s">
        <v>34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44621</v>
      </c>
      <c r="J429" s="6">
        <v>0</v>
      </c>
      <c r="K429" s="6">
        <v>0</v>
      </c>
      <c r="L429" s="6">
        <v>0.746</v>
      </c>
      <c r="M429" s="6">
        <v>0.746</v>
      </c>
      <c r="N429" s="6">
        <v>0.746</v>
      </c>
      <c r="O429" s="6">
        <v>0.746</v>
      </c>
      <c r="P429" s="6">
        <v>0</v>
      </c>
      <c r="Q429" s="4" t="s">
        <v>26</v>
      </c>
      <c r="R429" s="4">
        <v>0</v>
      </c>
      <c r="S429" s="6">
        <v>0</v>
      </c>
      <c r="T429" s="6">
        <v>19</v>
      </c>
      <c r="U429" s="6">
        <v>65</v>
      </c>
      <c r="V429" s="6">
        <f>IF(ISERROR(VLOOKUP($S$429,'TAR FIN'!$A$1:$O$103,15,0)),0,VLOOKUP($S$429,'TAR FIN'!$A$1:$O$103,15,0))</f>
        <v>0</v>
      </c>
      <c r="W429" s="6">
        <f>IF(ISERROR(VLOOKUP($T$429,'TAR FIN'!$A$1:$O$103,15,0)),0,VLOOKUP($T$429,'TAR FIN'!$A$1:$O$103,15,0))</f>
        <v>842.31</v>
      </c>
      <c r="X429" s="6">
        <f>IF(ISERROR(VLOOKUP($U$429,'TAR FIN'!$A$1:$O$103,15,0)),0,VLOOKUP($U$429,'TAR FIN'!$A$1:$O$103,15,0))</f>
        <v>454.9</v>
      </c>
      <c r="Y429" s="6"/>
      <c r="Z429" s="6">
        <f ca="1">('TUSD BE'!$AM$21+'TUSD BF_350'!$AM$21+'TUSD CVA'!$AM$21)*1</f>
        <v>1027.46</v>
      </c>
      <c r="AA429" s="6">
        <f ca="1">('TE BE'!$AB$8+'TE BF_350'!$AB$8+'TE CVA'!$AB$8)*1</f>
        <v>388.08000000000004</v>
      </c>
      <c r="AB429" s="6">
        <f>$K$429*$V$429</f>
        <v>0</v>
      </c>
      <c r="AC429" s="6">
        <f>$M$429*$W$429</f>
        <v>628.36325999999997</v>
      </c>
      <c r="AD429" s="6">
        <f>$O$429*$X$429</f>
        <v>339.35539999999997</v>
      </c>
      <c r="AE429" s="6">
        <f>$K$429*$Y$429</f>
        <v>0</v>
      </c>
      <c r="AF429" s="6">
        <f ca="1">$M$429*$Z$429</f>
        <v>766.48516000000006</v>
      </c>
      <c r="AG429" s="6">
        <f ca="1">$O$429*$AA$429</f>
        <v>289.50768000000005</v>
      </c>
    </row>
    <row r="430" spans="1:33" ht="11.25" customHeight="1" x14ac:dyDescent="0.25">
      <c r="A430" s="4" t="s">
        <v>21</v>
      </c>
      <c r="B430" s="4" t="s">
        <v>33</v>
      </c>
      <c r="C430" s="4" t="s">
        <v>34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44621</v>
      </c>
      <c r="J430" s="6">
        <v>0</v>
      </c>
      <c r="K430" s="6">
        <v>0</v>
      </c>
      <c r="L430" s="6">
        <v>82.472999999999999</v>
      </c>
      <c r="M430" s="6">
        <v>82.472999999999999</v>
      </c>
      <c r="N430" s="6">
        <v>0</v>
      </c>
      <c r="O430" s="6">
        <v>0</v>
      </c>
      <c r="P430" s="6">
        <v>0</v>
      </c>
      <c r="Q430" s="4" t="s">
        <v>53</v>
      </c>
      <c r="R430" s="4">
        <v>0</v>
      </c>
      <c r="S430" s="6">
        <v>0</v>
      </c>
      <c r="T430" s="6">
        <v>19</v>
      </c>
      <c r="U430" s="6">
        <v>0</v>
      </c>
      <c r="V430" s="6">
        <f>IF(ISERROR(VLOOKUP($S$430,'TAR FIN'!$A$1:$O$103,15,0)),0,VLOOKUP($S$430,'TAR FIN'!$A$1:$O$103,15,0))</f>
        <v>0</v>
      </c>
      <c r="W430" s="6">
        <f>IF(ISERROR(VLOOKUP($T$430,'TAR FIN'!$A$1:$O$103,15,0)),0,VLOOKUP($T$430,'TAR FIN'!$A$1:$O$103,15,0))</f>
        <v>842.31</v>
      </c>
      <c r="X430" s="6">
        <f>IF(ISERROR(VLOOKUP($U$430,'TAR FIN'!$A$1:$O$103,15,0)),0,VLOOKUP($U$430,'TAR FIN'!$A$1:$O$103,15,0))</f>
        <v>0</v>
      </c>
      <c r="Y430" s="6"/>
      <c r="Z430" s="6">
        <f ca="1">('TUSD BE'!$AM$21+'TUSD BF_350'!$AM$21+'TUSD CVA'!$AM$21)*1</f>
        <v>1027.46</v>
      </c>
      <c r="AA430" s="6"/>
      <c r="AB430" s="6">
        <f>$K$430*$V$430</f>
        <v>0</v>
      </c>
      <c r="AC430" s="6">
        <f>$M$430*$W$430</f>
        <v>69467.83262999999</v>
      </c>
      <c r="AD430" s="6">
        <f>$O$430*$X$430</f>
        <v>0</v>
      </c>
      <c r="AE430" s="6">
        <f>$K$430*$Y$430</f>
        <v>0</v>
      </c>
      <c r="AF430" s="6">
        <f ca="1">$M$430*$Z$430</f>
        <v>84737.708580000006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33</v>
      </c>
      <c r="C431" s="4" t="s">
        <v>34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44652</v>
      </c>
      <c r="J431" s="6">
        <v>0</v>
      </c>
      <c r="K431" s="6">
        <v>0</v>
      </c>
      <c r="L431" s="6">
        <v>139.10300000000001</v>
      </c>
      <c r="M431" s="6">
        <v>139.10300000000001</v>
      </c>
      <c r="N431" s="6">
        <v>139.10300000000001</v>
      </c>
      <c r="O431" s="6">
        <v>139.10300000000001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19</v>
      </c>
      <c r="U431" s="6">
        <v>65</v>
      </c>
      <c r="V431" s="6">
        <f>IF(ISERROR(VLOOKUP($S$431,'TAR FIN'!$A$1:$O$103,15,0)),0,VLOOKUP($S$431,'TAR FIN'!$A$1:$O$103,15,0))</f>
        <v>0</v>
      </c>
      <c r="W431" s="6">
        <f>IF(ISERROR(VLOOKUP($T$431,'TAR FIN'!$A$1:$O$103,15,0)),0,VLOOKUP($T$431,'TAR FIN'!$A$1:$O$103,15,0))</f>
        <v>842.31</v>
      </c>
      <c r="X431" s="6">
        <f>IF(ISERROR(VLOOKUP($U$431,'TAR FIN'!$A$1:$O$103,15,0)),0,VLOOKUP($U$431,'TAR FIN'!$A$1:$O$103,15,0))</f>
        <v>454.9</v>
      </c>
      <c r="Y431" s="6"/>
      <c r="Z431" s="6">
        <f ca="1">('TUSD BE'!$AM$21+'TUSD BF_350'!$AM$21+'TUSD CVA'!$AM$21)*1</f>
        <v>1027.46</v>
      </c>
      <c r="AA431" s="6">
        <f ca="1">('TE BE'!$AB$8+'TE BF_350'!$AB$8+'TE CVA'!$AB$8)*1</f>
        <v>388.08000000000004</v>
      </c>
      <c r="AB431" s="6">
        <f>$K$431*$V$431</f>
        <v>0</v>
      </c>
      <c r="AC431" s="6">
        <f>$M$431*$W$431</f>
        <v>117167.84793</v>
      </c>
      <c r="AD431" s="6">
        <f>$O$431*$X$431</f>
        <v>63277.954700000002</v>
      </c>
      <c r="AE431" s="6">
        <f>$K$431*$Y$431</f>
        <v>0</v>
      </c>
      <c r="AF431" s="6">
        <f ca="1">$M$431*$Z$431</f>
        <v>142922.76838000002</v>
      </c>
      <c r="AG431" s="6">
        <f ca="1">$O$431*$AA$431</f>
        <v>53983.092240000013</v>
      </c>
    </row>
    <row r="432" spans="1:33" ht="11.25" customHeight="1" x14ac:dyDescent="0.25">
      <c r="A432" s="4" t="s">
        <v>28</v>
      </c>
      <c r="B432" s="4" t="s">
        <v>33</v>
      </c>
      <c r="C432" s="4" t="s">
        <v>34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44652</v>
      </c>
      <c r="J432" s="6">
        <v>0</v>
      </c>
      <c r="K432" s="6">
        <v>0</v>
      </c>
      <c r="L432" s="6">
        <v>0.57599999999999996</v>
      </c>
      <c r="M432" s="6">
        <v>0.57599999999999996</v>
      </c>
      <c r="N432" s="6">
        <v>0.57599999999999996</v>
      </c>
      <c r="O432" s="6">
        <v>0.57599999999999996</v>
      </c>
      <c r="P432" s="6">
        <v>0</v>
      </c>
      <c r="Q432" s="4" t="s">
        <v>26</v>
      </c>
      <c r="R432" s="4">
        <v>0</v>
      </c>
      <c r="S432" s="6">
        <v>0</v>
      </c>
      <c r="T432" s="6">
        <v>19</v>
      </c>
      <c r="U432" s="6">
        <v>65</v>
      </c>
      <c r="V432" s="6">
        <f>IF(ISERROR(VLOOKUP($S$432,'TAR FIN'!$A$1:$O$103,15,0)),0,VLOOKUP($S$432,'TAR FIN'!$A$1:$O$103,15,0))</f>
        <v>0</v>
      </c>
      <c r="W432" s="6">
        <f>IF(ISERROR(VLOOKUP($T$432,'TAR FIN'!$A$1:$O$103,15,0)),0,VLOOKUP($T$432,'TAR FIN'!$A$1:$O$103,15,0))</f>
        <v>842.31</v>
      </c>
      <c r="X432" s="6">
        <f>IF(ISERROR(VLOOKUP($U$432,'TAR FIN'!$A$1:$O$103,15,0)),0,VLOOKUP($U$432,'TAR FIN'!$A$1:$O$103,15,0))</f>
        <v>454.9</v>
      </c>
      <c r="Y432" s="6"/>
      <c r="Z432" s="6">
        <f ca="1">('TUSD BE'!$AM$21+'TUSD BF_350'!$AM$21+'TUSD CVA'!$AM$21)*1</f>
        <v>1027.46</v>
      </c>
      <c r="AA432" s="6">
        <f ca="1">('TE BE'!$AB$8+'TE BF_350'!$AB$8+'TE CVA'!$AB$8)*1</f>
        <v>388.08000000000004</v>
      </c>
      <c r="AB432" s="6">
        <f>$K$432*$V$432</f>
        <v>0</v>
      </c>
      <c r="AC432" s="6">
        <f>$M$432*$W$432</f>
        <v>485.17055999999991</v>
      </c>
      <c r="AD432" s="6">
        <f>$O$432*$X$432</f>
        <v>262.02239999999995</v>
      </c>
      <c r="AE432" s="6">
        <f>$K$432*$Y$432</f>
        <v>0</v>
      </c>
      <c r="AF432" s="6">
        <f ca="1">$M$432*$Z$432</f>
        <v>591.81695999999999</v>
      </c>
      <c r="AG432" s="6">
        <f ca="1">$O$432*$AA$432</f>
        <v>223.53408000000002</v>
      </c>
    </row>
    <row r="433" spans="1:33" ht="11.25" customHeight="1" x14ac:dyDescent="0.25">
      <c r="A433" s="4" t="s">
        <v>21</v>
      </c>
      <c r="B433" s="4" t="s">
        <v>33</v>
      </c>
      <c r="C433" s="4" t="s">
        <v>34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98.531000000000006</v>
      </c>
      <c r="M433" s="6">
        <v>98.531000000000006</v>
      </c>
      <c r="N433" s="6">
        <v>0</v>
      </c>
      <c r="O433" s="6">
        <v>0</v>
      </c>
      <c r="P433" s="6">
        <v>0</v>
      </c>
      <c r="Q433" s="4" t="s">
        <v>53</v>
      </c>
      <c r="R433" s="4">
        <v>0</v>
      </c>
      <c r="S433" s="6">
        <v>0</v>
      </c>
      <c r="T433" s="6">
        <v>19</v>
      </c>
      <c r="U433" s="6">
        <v>0</v>
      </c>
      <c r="V433" s="6">
        <f>IF(ISERROR(VLOOKUP($S$433,'TAR FIN'!$A$1:$O$103,15,0)),0,VLOOKUP($S$433,'TAR FIN'!$A$1:$O$103,15,0))</f>
        <v>0</v>
      </c>
      <c r="W433" s="6">
        <f>IF(ISERROR(VLOOKUP($T$433,'TAR FIN'!$A$1:$O$103,15,0)),0,VLOOKUP($T$433,'TAR FIN'!$A$1:$O$103,15,0))</f>
        <v>842.31</v>
      </c>
      <c r="X433" s="6">
        <f>IF(ISERROR(VLOOKUP($U$433,'TAR FIN'!$A$1:$O$103,15,0)),0,VLOOKUP($U$433,'TAR FIN'!$A$1:$O$103,15,0))</f>
        <v>0</v>
      </c>
      <c r="Y433" s="6"/>
      <c r="Z433" s="6">
        <f ca="1">('TUSD BE'!$AM$21+'TUSD BF_350'!$AM$21+'TUSD CVA'!$AM$21)*1</f>
        <v>1027.46</v>
      </c>
      <c r="AA433" s="6"/>
      <c r="AB433" s="6">
        <f>$K$433*$V$433</f>
        <v>0</v>
      </c>
      <c r="AC433" s="6">
        <f>$M$433*$W$433</f>
        <v>82993.646609999996</v>
      </c>
      <c r="AD433" s="6">
        <f>$O$433*$X$433</f>
        <v>0</v>
      </c>
      <c r="AE433" s="6">
        <f>$K$433*$Y$433</f>
        <v>0</v>
      </c>
      <c r="AF433" s="6">
        <f ca="1">$M$433*$Z$433</f>
        <v>101236.66126000001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33</v>
      </c>
      <c r="C434" s="4" t="s">
        <v>34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146.923</v>
      </c>
      <c r="M434" s="6">
        <v>146.923</v>
      </c>
      <c r="N434" s="6">
        <v>146.923</v>
      </c>
      <c r="O434" s="6">
        <v>146.923</v>
      </c>
      <c r="P434" s="6">
        <v>0</v>
      </c>
      <c r="Q434" s="4" t="s">
        <v>26</v>
      </c>
      <c r="R434" s="4">
        <v>0</v>
      </c>
      <c r="S434" s="6">
        <v>0</v>
      </c>
      <c r="T434" s="6">
        <v>19</v>
      </c>
      <c r="U434" s="6">
        <v>65</v>
      </c>
      <c r="V434" s="6">
        <f>IF(ISERROR(VLOOKUP($S$434,'TAR FIN'!$A$1:$O$103,15,0)),0,VLOOKUP($S$434,'TAR FIN'!$A$1:$O$103,15,0))</f>
        <v>0</v>
      </c>
      <c r="W434" s="6">
        <f>IF(ISERROR(VLOOKUP($T$434,'TAR FIN'!$A$1:$O$103,15,0)),0,VLOOKUP($T$434,'TAR FIN'!$A$1:$O$103,15,0))</f>
        <v>842.31</v>
      </c>
      <c r="X434" s="6">
        <f>IF(ISERROR(VLOOKUP($U$434,'TAR FIN'!$A$1:$O$103,15,0)),0,VLOOKUP($U$434,'TAR FIN'!$A$1:$O$103,15,0))</f>
        <v>454.9</v>
      </c>
      <c r="Y434" s="6"/>
      <c r="Z434" s="6">
        <f ca="1">('TUSD BE'!$AM$21+'TUSD BF_350'!$AM$21+'TUSD CVA'!$AM$21)*1</f>
        <v>1027.46</v>
      </c>
      <c r="AA434" s="6">
        <f ca="1">('TE BE'!$AB$8+'TE BF_350'!$AB$8+'TE CVA'!$AB$8)*1</f>
        <v>388.08000000000004</v>
      </c>
      <c r="AB434" s="6">
        <f>$K$434*$V$434</f>
        <v>0</v>
      </c>
      <c r="AC434" s="6">
        <f>$M$434*$W$434</f>
        <v>123754.71213</v>
      </c>
      <c r="AD434" s="6">
        <f>$O$434*$X$434</f>
        <v>66835.272700000001</v>
      </c>
      <c r="AE434" s="6">
        <f>$K$434*$Y$434</f>
        <v>0</v>
      </c>
      <c r="AF434" s="6">
        <f ca="1">$M$434*$Z$434</f>
        <v>150957.50558</v>
      </c>
      <c r="AG434" s="6">
        <f ca="1">$O$434*$AA$434</f>
        <v>57017.877840000008</v>
      </c>
    </row>
    <row r="435" spans="1:33" ht="11.25" customHeight="1" x14ac:dyDescent="0.25">
      <c r="A435" s="4" t="s">
        <v>28</v>
      </c>
      <c r="B435" s="4" t="s">
        <v>33</v>
      </c>
      <c r="C435" s="4" t="s">
        <v>34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44682</v>
      </c>
      <c r="J435" s="6">
        <v>0</v>
      </c>
      <c r="K435" s="6">
        <v>0</v>
      </c>
      <c r="L435" s="6">
        <v>0.75800000000000001</v>
      </c>
      <c r="M435" s="6">
        <v>0.75800000000000001</v>
      </c>
      <c r="N435" s="6">
        <v>0.75800000000000001</v>
      </c>
      <c r="O435" s="6">
        <v>0.75800000000000001</v>
      </c>
      <c r="P435" s="6">
        <v>0</v>
      </c>
      <c r="Q435" s="4" t="s">
        <v>26</v>
      </c>
      <c r="R435" s="4">
        <v>0</v>
      </c>
      <c r="S435" s="6">
        <v>0</v>
      </c>
      <c r="T435" s="6">
        <v>19</v>
      </c>
      <c r="U435" s="6">
        <v>65</v>
      </c>
      <c r="V435" s="6">
        <f>IF(ISERROR(VLOOKUP($S$435,'TAR FIN'!$A$1:$O$103,15,0)),0,VLOOKUP($S$435,'TAR FIN'!$A$1:$O$103,15,0))</f>
        <v>0</v>
      </c>
      <c r="W435" s="6">
        <f>IF(ISERROR(VLOOKUP($T$435,'TAR FIN'!$A$1:$O$103,15,0)),0,VLOOKUP($T$435,'TAR FIN'!$A$1:$O$103,15,0))</f>
        <v>842.31</v>
      </c>
      <c r="X435" s="6">
        <f>IF(ISERROR(VLOOKUP($U$435,'TAR FIN'!$A$1:$O$103,15,0)),0,VLOOKUP($U$435,'TAR FIN'!$A$1:$O$103,15,0))</f>
        <v>454.9</v>
      </c>
      <c r="Y435" s="6"/>
      <c r="Z435" s="6">
        <f ca="1">('TUSD BE'!$AM$21+'TUSD BF_350'!$AM$21+'TUSD CVA'!$AM$21)*1</f>
        <v>1027.46</v>
      </c>
      <c r="AA435" s="6">
        <f ca="1">('TE BE'!$AB$8+'TE BF_350'!$AB$8+'TE CVA'!$AB$8)*1</f>
        <v>388.08000000000004</v>
      </c>
      <c r="AB435" s="6">
        <f>$K$435*$V$435</f>
        <v>0</v>
      </c>
      <c r="AC435" s="6">
        <f>$M$435*$W$435</f>
        <v>638.47097999999994</v>
      </c>
      <c r="AD435" s="6">
        <f>$O$435*$X$435</f>
        <v>344.81419999999997</v>
      </c>
      <c r="AE435" s="6">
        <f>$K$435*$Y$435</f>
        <v>0</v>
      </c>
      <c r="AF435" s="6">
        <f ca="1">$M$435*$Z$435</f>
        <v>778.81468000000007</v>
      </c>
      <c r="AG435" s="6">
        <f ca="1">$O$435*$AA$435</f>
        <v>294.16464000000002</v>
      </c>
    </row>
    <row r="436" spans="1:33" ht="11.25" customHeight="1" x14ac:dyDescent="0.25">
      <c r="A436" s="4" t="s">
        <v>21</v>
      </c>
      <c r="B436" s="4" t="s">
        <v>33</v>
      </c>
      <c r="C436" s="4" t="s">
        <v>34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44682</v>
      </c>
      <c r="J436" s="6">
        <v>0</v>
      </c>
      <c r="K436" s="6">
        <v>0</v>
      </c>
      <c r="L436" s="6">
        <v>87.602000000000004</v>
      </c>
      <c r="M436" s="6">
        <v>87.602000000000004</v>
      </c>
      <c r="N436" s="6">
        <v>0</v>
      </c>
      <c r="O436" s="6">
        <v>0</v>
      </c>
      <c r="P436" s="6">
        <v>0</v>
      </c>
      <c r="Q436" s="4" t="s">
        <v>53</v>
      </c>
      <c r="R436" s="4">
        <v>0</v>
      </c>
      <c r="S436" s="6">
        <v>0</v>
      </c>
      <c r="T436" s="6">
        <v>19</v>
      </c>
      <c r="U436" s="6">
        <v>0</v>
      </c>
      <c r="V436" s="6">
        <f>IF(ISERROR(VLOOKUP($S$436,'TAR FIN'!$A$1:$O$103,15,0)),0,VLOOKUP($S$436,'TAR FIN'!$A$1:$O$103,15,0))</f>
        <v>0</v>
      </c>
      <c r="W436" s="6">
        <f>IF(ISERROR(VLOOKUP($T$436,'TAR FIN'!$A$1:$O$103,15,0)),0,VLOOKUP($T$436,'TAR FIN'!$A$1:$O$103,15,0))</f>
        <v>842.31</v>
      </c>
      <c r="X436" s="6">
        <f>IF(ISERROR(VLOOKUP($U$436,'TAR FIN'!$A$1:$O$103,15,0)),0,VLOOKUP($U$436,'TAR FIN'!$A$1:$O$103,15,0))</f>
        <v>0</v>
      </c>
      <c r="Y436" s="6"/>
      <c r="Z436" s="6">
        <f ca="1">('TUSD BE'!$AM$21+'TUSD BF_350'!$AM$21+'TUSD CVA'!$AM$21)*1</f>
        <v>1027.46</v>
      </c>
      <c r="AA436" s="6"/>
      <c r="AB436" s="6">
        <f>$K$436*$V$436</f>
        <v>0</v>
      </c>
      <c r="AC436" s="6">
        <f>$M$436*$W$436</f>
        <v>73788.04062</v>
      </c>
      <c r="AD436" s="6">
        <f>$O$436*$X$436</f>
        <v>0</v>
      </c>
      <c r="AE436" s="6">
        <f>$K$436*$Y$436</f>
        <v>0</v>
      </c>
      <c r="AF436" s="6">
        <f ca="1">$M$436*$Z$436</f>
        <v>90007.550920000009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33</v>
      </c>
      <c r="C437" s="4" t="s">
        <v>34</v>
      </c>
      <c r="D437" s="4" t="s">
        <v>46</v>
      </c>
      <c r="E437" s="4" t="s">
        <v>25</v>
      </c>
      <c r="F437" s="4" t="s">
        <v>25</v>
      </c>
      <c r="G437" s="4" t="s">
        <v>25</v>
      </c>
      <c r="H437" s="4" t="s">
        <v>35</v>
      </c>
      <c r="I437" s="5">
        <v>44348</v>
      </c>
      <c r="J437" s="6">
        <v>0</v>
      </c>
      <c r="K437" s="6">
        <v>0</v>
      </c>
      <c r="L437" s="6">
        <v>54.496000000000002</v>
      </c>
      <c r="M437" s="6">
        <v>54.496000000000002</v>
      </c>
      <c r="N437" s="6">
        <v>54.496000000000002</v>
      </c>
      <c r="O437" s="6">
        <v>54.496000000000002</v>
      </c>
      <c r="P437" s="6">
        <v>0</v>
      </c>
      <c r="Q437" s="4" t="s">
        <v>26</v>
      </c>
      <c r="R437" s="4">
        <v>0</v>
      </c>
      <c r="S437" s="6">
        <v>0</v>
      </c>
      <c r="T437" s="6">
        <v>20</v>
      </c>
      <c r="U437" s="6">
        <v>66</v>
      </c>
      <c r="V437" s="6">
        <f>IF(ISERROR(VLOOKUP($S$437,'TAR FIN'!$A$1:$O$103,15,0)),0,VLOOKUP($S$437,'TAR FIN'!$A$1:$O$103,15,0))</f>
        <v>0</v>
      </c>
      <c r="W437" s="6">
        <f>IF(ISERROR(VLOOKUP($T$437,'TAR FIN'!$A$1:$O$103,15,0)),0,VLOOKUP($T$437,'TAR FIN'!$A$1:$O$103,15,0))</f>
        <v>69.37</v>
      </c>
      <c r="X437" s="6">
        <f>IF(ISERROR(VLOOKUP($U$437,'TAR FIN'!$A$1:$O$103,15,0)),0,VLOOKUP($U$437,'TAR FIN'!$A$1:$O$103,15,0))</f>
        <v>284.36</v>
      </c>
      <c r="Y437" s="6"/>
      <c r="Z437" s="6">
        <f ca="1">('TUSD BE'!$AM$22+'TUSD BF_350'!$AM$22+'TUSD CVA'!$AM$22)*1</f>
        <v>110.85</v>
      </c>
      <c r="AA437" s="6">
        <f ca="1">('TE BE'!$AB$9+'TE BF_350'!$AB$9+'TE CVA'!$AB$9)*1</f>
        <v>247.20000000000002</v>
      </c>
      <c r="AB437" s="6">
        <f>$K$437*$V$437</f>
        <v>0</v>
      </c>
      <c r="AC437" s="6">
        <f>$M$437*$W$437</f>
        <v>3780.3875200000002</v>
      </c>
      <c r="AD437" s="6">
        <f>$O$437*$X$437</f>
        <v>15496.482560000002</v>
      </c>
      <c r="AE437" s="6">
        <f>$K$437*$Y$437</f>
        <v>0</v>
      </c>
      <c r="AF437" s="6">
        <f ca="1">$M$437*$Z$437</f>
        <v>6040.8815999999997</v>
      </c>
      <c r="AG437" s="6">
        <f ca="1">$O$437*$AA$437</f>
        <v>13471.411200000002</v>
      </c>
    </row>
    <row r="438" spans="1:33" ht="11.25" customHeight="1" x14ac:dyDescent="0.25">
      <c r="A438" s="4" t="s">
        <v>28</v>
      </c>
      <c r="B438" s="4" t="s">
        <v>33</v>
      </c>
      <c r="C438" s="4" t="s">
        <v>34</v>
      </c>
      <c r="D438" s="4" t="s">
        <v>46</v>
      </c>
      <c r="E438" s="4" t="s">
        <v>25</v>
      </c>
      <c r="F438" s="4" t="s">
        <v>25</v>
      </c>
      <c r="G438" s="4" t="s">
        <v>25</v>
      </c>
      <c r="H438" s="4" t="s">
        <v>35</v>
      </c>
      <c r="I438" s="5">
        <v>44348</v>
      </c>
      <c r="J438" s="6">
        <v>0</v>
      </c>
      <c r="K438" s="6">
        <v>0</v>
      </c>
      <c r="L438" s="6">
        <v>2.1139999999999999</v>
      </c>
      <c r="M438" s="6">
        <v>2.1139999999999999</v>
      </c>
      <c r="N438" s="6">
        <v>2.1139999999999999</v>
      </c>
      <c r="O438" s="6">
        <v>2.1139999999999999</v>
      </c>
      <c r="P438" s="6">
        <v>0</v>
      </c>
      <c r="Q438" s="4" t="s">
        <v>26</v>
      </c>
      <c r="R438" s="4">
        <v>0</v>
      </c>
      <c r="S438" s="6">
        <v>0</v>
      </c>
      <c r="T438" s="6">
        <v>20</v>
      </c>
      <c r="U438" s="6">
        <v>66</v>
      </c>
      <c r="V438" s="6">
        <f>IF(ISERROR(VLOOKUP($S$438,'TAR FIN'!$A$1:$O$103,15,0)),0,VLOOKUP($S$438,'TAR FIN'!$A$1:$O$103,15,0))</f>
        <v>0</v>
      </c>
      <c r="W438" s="6">
        <f>IF(ISERROR(VLOOKUP($T$438,'TAR FIN'!$A$1:$O$103,15,0)),0,VLOOKUP($T$438,'TAR FIN'!$A$1:$O$103,15,0))</f>
        <v>69.37</v>
      </c>
      <c r="X438" s="6">
        <f>IF(ISERROR(VLOOKUP($U$438,'TAR FIN'!$A$1:$O$103,15,0)),0,VLOOKUP($U$438,'TAR FIN'!$A$1:$O$103,15,0))</f>
        <v>284.36</v>
      </c>
      <c r="Y438" s="6"/>
      <c r="Z438" s="6">
        <f ca="1">('TUSD BE'!$AM$22+'TUSD BF_350'!$AM$22+'TUSD CVA'!$AM$22)*1</f>
        <v>110.85</v>
      </c>
      <c r="AA438" s="6">
        <f ca="1">('TE BE'!$AB$9+'TE BF_350'!$AB$9+'TE CVA'!$AB$9)*1</f>
        <v>247.20000000000002</v>
      </c>
      <c r="AB438" s="6">
        <f>$K$438*$V$438</f>
        <v>0</v>
      </c>
      <c r="AC438" s="6">
        <f>$M$438*$W$438</f>
        <v>146.64818</v>
      </c>
      <c r="AD438" s="6">
        <f>$O$438*$X$438</f>
        <v>601.13703999999996</v>
      </c>
      <c r="AE438" s="6">
        <f>$K$438*$Y$438</f>
        <v>0</v>
      </c>
      <c r="AF438" s="6">
        <f ca="1">$M$438*$Z$438</f>
        <v>234.33689999999999</v>
      </c>
      <c r="AG438" s="6">
        <f ca="1">$O$438*$AA$438</f>
        <v>522.58079999999995</v>
      </c>
    </row>
    <row r="439" spans="1:33" ht="11.25" customHeight="1" x14ac:dyDescent="0.25">
      <c r="A439" s="4" t="s">
        <v>21</v>
      </c>
      <c r="B439" s="4" t="s">
        <v>33</v>
      </c>
      <c r="C439" s="4" t="s">
        <v>34</v>
      </c>
      <c r="D439" s="4" t="s">
        <v>46</v>
      </c>
      <c r="E439" s="4" t="s">
        <v>25</v>
      </c>
      <c r="F439" s="4" t="s">
        <v>25</v>
      </c>
      <c r="G439" s="4" t="s">
        <v>25</v>
      </c>
      <c r="H439" s="4" t="s">
        <v>35</v>
      </c>
      <c r="I439" s="5">
        <v>44378</v>
      </c>
      <c r="J439" s="6">
        <v>0</v>
      </c>
      <c r="K439" s="6">
        <v>0</v>
      </c>
      <c r="L439" s="6">
        <v>58.798999999999999</v>
      </c>
      <c r="M439" s="6">
        <v>58.798999999999999</v>
      </c>
      <c r="N439" s="6">
        <v>58.798999999999999</v>
      </c>
      <c r="O439" s="6">
        <v>58.798999999999999</v>
      </c>
      <c r="P439" s="6">
        <v>0</v>
      </c>
      <c r="Q439" s="4" t="s">
        <v>26</v>
      </c>
      <c r="R439" s="4">
        <v>0</v>
      </c>
      <c r="S439" s="6">
        <v>0</v>
      </c>
      <c r="T439" s="6">
        <v>20</v>
      </c>
      <c r="U439" s="6">
        <v>66</v>
      </c>
      <c r="V439" s="6">
        <f>IF(ISERROR(VLOOKUP($S$439,'TAR FIN'!$A$1:$O$103,15,0)),0,VLOOKUP($S$439,'TAR FIN'!$A$1:$O$103,15,0))</f>
        <v>0</v>
      </c>
      <c r="W439" s="6">
        <f>IF(ISERROR(VLOOKUP($T$439,'TAR FIN'!$A$1:$O$103,15,0)),0,VLOOKUP($T$439,'TAR FIN'!$A$1:$O$103,15,0))</f>
        <v>69.37</v>
      </c>
      <c r="X439" s="6">
        <f>IF(ISERROR(VLOOKUP($U$439,'TAR FIN'!$A$1:$O$103,15,0)),0,VLOOKUP($U$439,'TAR FIN'!$A$1:$O$103,15,0))</f>
        <v>284.36</v>
      </c>
      <c r="Y439" s="6"/>
      <c r="Z439" s="6">
        <f ca="1">('TUSD BE'!$AM$22+'TUSD BF_350'!$AM$22+'TUSD CVA'!$AM$22)*1</f>
        <v>110.85</v>
      </c>
      <c r="AA439" s="6">
        <f ca="1">('TE BE'!$AB$9+'TE BF_350'!$AB$9+'TE CVA'!$AB$9)*1</f>
        <v>247.20000000000002</v>
      </c>
      <c r="AB439" s="6">
        <f>$K$439*$V$439</f>
        <v>0</v>
      </c>
      <c r="AC439" s="6">
        <f>$M$439*$W$439</f>
        <v>4078.8866300000004</v>
      </c>
      <c r="AD439" s="6">
        <f>$O$439*$X$439</f>
        <v>16720.083640000001</v>
      </c>
      <c r="AE439" s="6">
        <f>$K$439*$Y$439</f>
        <v>0</v>
      </c>
      <c r="AF439" s="6">
        <f ca="1">$M$439*$Z$439</f>
        <v>6517.8691499999995</v>
      </c>
      <c r="AG439" s="6">
        <f ca="1">$O$439*$AA$439</f>
        <v>14535.112800000001</v>
      </c>
    </row>
    <row r="440" spans="1:33" ht="11.25" customHeight="1" x14ac:dyDescent="0.25">
      <c r="A440" s="4" t="s">
        <v>28</v>
      </c>
      <c r="B440" s="4" t="s">
        <v>33</v>
      </c>
      <c r="C440" s="4" t="s">
        <v>34</v>
      </c>
      <c r="D440" s="4" t="s">
        <v>46</v>
      </c>
      <c r="E440" s="4" t="s">
        <v>25</v>
      </c>
      <c r="F440" s="4" t="s">
        <v>25</v>
      </c>
      <c r="G440" s="4" t="s">
        <v>25</v>
      </c>
      <c r="H440" s="4" t="s">
        <v>35</v>
      </c>
      <c r="I440" s="5">
        <v>44378</v>
      </c>
      <c r="J440" s="6">
        <v>0</v>
      </c>
      <c r="K440" s="6">
        <v>0</v>
      </c>
      <c r="L440" s="6">
        <v>1.413</v>
      </c>
      <c r="M440" s="6">
        <v>1.413</v>
      </c>
      <c r="N440" s="6">
        <v>1.413</v>
      </c>
      <c r="O440" s="6">
        <v>1.413</v>
      </c>
      <c r="P440" s="6">
        <v>0</v>
      </c>
      <c r="Q440" s="4" t="s">
        <v>26</v>
      </c>
      <c r="R440" s="4">
        <v>0</v>
      </c>
      <c r="S440" s="6">
        <v>0</v>
      </c>
      <c r="T440" s="6">
        <v>20</v>
      </c>
      <c r="U440" s="6">
        <v>66</v>
      </c>
      <c r="V440" s="6">
        <f>IF(ISERROR(VLOOKUP($S$440,'TAR FIN'!$A$1:$O$103,15,0)),0,VLOOKUP($S$440,'TAR FIN'!$A$1:$O$103,15,0))</f>
        <v>0</v>
      </c>
      <c r="W440" s="6">
        <f>IF(ISERROR(VLOOKUP($T$440,'TAR FIN'!$A$1:$O$103,15,0)),0,VLOOKUP($T$440,'TAR FIN'!$A$1:$O$103,15,0))</f>
        <v>69.37</v>
      </c>
      <c r="X440" s="6">
        <f>IF(ISERROR(VLOOKUP($U$440,'TAR FIN'!$A$1:$O$103,15,0)),0,VLOOKUP($U$440,'TAR FIN'!$A$1:$O$103,15,0))</f>
        <v>284.36</v>
      </c>
      <c r="Y440" s="6"/>
      <c r="Z440" s="6">
        <f ca="1">('TUSD BE'!$AM$22+'TUSD BF_350'!$AM$22+'TUSD CVA'!$AM$22)*1</f>
        <v>110.85</v>
      </c>
      <c r="AA440" s="6">
        <f ca="1">('TE BE'!$AB$9+'TE BF_350'!$AB$9+'TE CVA'!$AB$9)*1</f>
        <v>247.20000000000002</v>
      </c>
      <c r="AB440" s="6">
        <f>$K$440*$V$440</f>
        <v>0</v>
      </c>
      <c r="AC440" s="6">
        <f>$M$440*$W$440</f>
        <v>98.019810000000007</v>
      </c>
      <c r="AD440" s="6">
        <f>$O$440*$X$440</f>
        <v>401.80068000000006</v>
      </c>
      <c r="AE440" s="6">
        <f>$K$440*$Y$440</f>
        <v>0</v>
      </c>
      <c r="AF440" s="6">
        <f ca="1">$M$440*$Z$440</f>
        <v>156.63104999999999</v>
      </c>
      <c r="AG440" s="6">
        <f ca="1">$O$440*$AA$440</f>
        <v>349.29360000000003</v>
      </c>
    </row>
    <row r="441" spans="1:33" ht="11.25" customHeight="1" x14ac:dyDescent="0.25">
      <c r="A441" s="4" t="s">
        <v>21</v>
      </c>
      <c r="B441" s="4" t="s">
        <v>33</v>
      </c>
      <c r="C441" s="4" t="s">
        <v>34</v>
      </c>
      <c r="D441" s="4" t="s">
        <v>46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44409</v>
      </c>
      <c r="J441" s="6">
        <v>0</v>
      </c>
      <c r="K441" s="6">
        <v>0</v>
      </c>
      <c r="L441" s="6">
        <v>55.762</v>
      </c>
      <c r="M441" s="6">
        <v>55.762</v>
      </c>
      <c r="N441" s="6">
        <v>55.762</v>
      </c>
      <c r="O441" s="6">
        <v>55.762</v>
      </c>
      <c r="P441" s="6">
        <v>0</v>
      </c>
      <c r="Q441" s="4" t="s">
        <v>26</v>
      </c>
      <c r="R441" s="4">
        <v>0</v>
      </c>
      <c r="S441" s="6">
        <v>0</v>
      </c>
      <c r="T441" s="6">
        <v>20</v>
      </c>
      <c r="U441" s="6">
        <v>66</v>
      </c>
      <c r="V441" s="6">
        <f>IF(ISERROR(VLOOKUP($S$441,'TAR FIN'!$A$1:$O$103,15,0)),0,VLOOKUP($S$441,'TAR FIN'!$A$1:$O$103,15,0))</f>
        <v>0</v>
      </c>
      <c r="W441" s="6">
        <f>IF(ISERROR(VLOOKUP($T$441,'TAR FIN'!$A$1:$O$103,15,0)),0,VLOOKUP($T$441,'TAR FIN'!$A$1:$O$103,15,0))</f>
        <v>69.37</v>
      </c>
      <c r="X441" s="6">
        <f>IF(ISERROR(VLOOKUP($U$441,'TAR FIN'!$A$1:$O$103,15,0)),0,VLOOKUP($U$441,'TAR FIN'!$A$1:$O$103,15,0))</f>
        <v>284.36</v>
      </c>
      <c r="Y441" s="6"/>
      <c r="Z441" s="6">
        <f ca="1">('TUSD BE'!$AM$22+'TUSD BF_350'!$AM$22+'TUSD CVA'!$AM$22)*1</f>
        <v>110.85</v>
      </c>
      <c r="AA441" s="6">
        <f ca="1">('TE BE'!$AB$9+'TE BF_350'!$AB$9+'TE CVA'!$AB$9)*1</f>
        <v>247.20000000000002</v>
      </c>
      <c r="AB441" s="6">
        <f>$K$441*$V$441</f>
        <v>0</v>
      </c>
      <c r="AC441" s="6">
        <f>$M$441*$W$441</f>
        <v>3868.2099400000002</v>
      </c>
      <c r="AD441" s="6">
        <f>$O$441*$X$441</f>
        <v>15856.482320000001</v>
      </c>
      <c r="AE441" s="6">
        <f>$K$441*$Y$441</f>
        <v>0</v>
      </c>
      <c r="AF441" s="6">
        <f ca="1">$M$441*$Z$441</f>
        <v>6181.2177000000001</v>
      </c>
      <c r="AG441" s="6">
        <f ca="1">$O$441*$AA$441</f>
        <v>13784.366400000001</v>
      </c>
    </row>
    <row r="442" spans="1:33" ht="11.25" customHeight="1" x14ac:dyDescent="0.25">
      <c r="A442" s="4" t="s">
        <v>28</v>
      </c>
      <c r="B442" s="4" t="s">
        <v>33</v>
      </c>
      <c r="C442" s="4" t="s">
        <v>34</v>
      </c>
      <c r="D442" s="4" t="s">
        <v>46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44409</v>
      </c>
      <c r="J442" s="6">
        <v>0</v>
      </c>
      <c r="K442" s="6">
        <v>0</v>
      </c>
      <c r="L442" s="6">
        <v>1.7689999999999999</v>
      </c>
      <c r="M442" s="6">
        <v>1.7689999999999999</v>
      </c>
      <c r="N442" s="6">
        <v>1.7689999999999999</v>
      </c>
      <c r="O442" s="6">
        <v>1.7689999999999999</v>
      </c>
      <c r="P442" s="6">
        <v>0</v>
      </c>
      <c r="Q442" s="4" t="s">
        <v>26</v>
      </c>
      <c r="R442" s="4">
        <v>0</v>
      </c>
      <c r="S442" s="6">
        <v>0</v>
      </c>
      <c r="T442" s="6">
        <v>20</v>
      </c>
      <c r="U442" s="6">
        <v>66</v>
      </c>
      <c r="V442" s="6">
        <f>IF(ISERROR(VLOOKUP($S$442,'TAR FIN'!$A$1:$O$103,15,0)),0,VLOOKUP($S$442,'TAR FIN'!$A$1:$O$103,15,0))</f>
        <v>0</v>
      </c>
      <c r="W442" s="6">
        <f>IF(ISERROR(VLOOKUP($T$442,'TAR FIN'!$A$1:$O$103,15,0)),0,VLOOKUP($T$442,'TAR FIN'!$A$1:$O$103,15,0))</f>
        <v>69.37</v>
      </c>
      <c r="X442" s="6">
        <f>IF(ISERROR(VLOOKUP($U$442,'TAR FIN'!$A$1:$O$103,15,0)),0,VLOOKUP($U$442,'TAR FIN'!$A$1:$O$103,15,0))</f>
        <v>284.36</v>
      </c>
      <c r="Y442" s="6"/>
      <c r="Z442" s="6">
        <f ca="1">('TUSD BE'!$AM$22+'TUSD BF_350'!$AM$22+'TUSD CVA'!$AM$22)*1</f>
        <v>110.85</v>
      </c>
      <c r="AA442" s="6">
        <f ca="1">('TE BE'!$AB$9+'TE BF_350'!$AB$9+'TE CVA'!$AB$9)*1</f>
        <v>247.20000000000002</v>
      </c>
      <c r="AB442" s="6">
        <f>$K$442*$V$442</f>
        <v>0</v>
      </c>
      <c r="AC442" s="6">
        <f>$M$442*$W$442</f>
        <v>122.71553</v>
      </c>
      <c r="AD442" s="6">
        <f>$O$442*$X$442</f>
        <v>503.03284000000002</v>
      </c>
      <c r="AE442" s="6">
        <f>$K$442*$Y$442</f>
        <v>0</v>
      </c>
      <c r="AF442" s="6">
        <f ca="1">$M$442*$Z$442</f>
        <v>196.09364999999997</v>
      </c>
      <c r="AG442" s="6">
        <f ca="1">$O$442*$AA$442</f>
        <v>437.29680000000002</v>
      </c>
    </row>
    <row r="443" spans="1:33" ht="11.25" customHeight="1" x14ac:dyDescent="0.25">
      <c r="A443" s="4" t="s">
        <v>21</v>
      </c>
      <c r="B443" s="4" t="s">
        <v>33</v>
      </c>
      <c r="C443" s="4" t="s">
        <v>34</v>
      </c>
      <c r="D443" s="4" t="s">
        <v>46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44440</v>
      </c>
      <c r="J443" s="6">
        <v>0</v>
      </c>
      <c r="K443" s="6">
        <v>0</v>
      </c>
      <c r="L443" s="6">
        <v>49.957000000000001</v>
      </c>
      <c r="M443" s="6">
        <v>49.957000000000001</v>
      </c>
      <c r="N443" s="6">
        <v>49.957000000000001</v>
      </c>
      <c r="O443" s="6">
        <v>49.957000000000001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20</v>
      </c>
      <c r="U443" s="6">
        <v>66</v>
      </c>
      <c r="V443" s="6">
        <f>IF(ISERROR(VLOOKUP($S$443,'TAR FIN'!$A$1:$O$103,15,0)),0,VLOOKUP($S$443,'TAR FIN'!$A$1:$O$103,15,0))</f>
        <v>0</v>
      </c>
      <c r="W443" s="6">
        <f>IF(ISERROR(VLOOKUP($T$443,'TAR FIN'!$A$1:$O$103,15,0)),0,VLOOKUP($T$443,'TAR FIN'!$A$1:$O$103,15,0))</f>
        <v>69.37</v>
      </c>
      <c r="X443" s="6">
        <f>IF(ISERROR(VLOOKUP($U$443,'TAR FIN'!$A$1:$O$103,15,0)),0,VLOOKUP($U$443,'TAR FIN'!$A$1:$O$103,15,0))</f>
        <v>284.36</v>
      </c>
      <c r="Y443" s="6"/>
      <c r="Z443" s="6">
        <f ca="1">('TUSD BE'!$AM$22+'TUSD BF_350'!$AM$22+'TUSD CVA'!$AM$22)*1</f>
        <v>110.85</v>
      </c>
      <c r="AA443" s="6">
        <f ca="1">('TE BE'!$AB$9+'TE BF_350'!$AB$9+'TE CVA'!$AB$9)*1</f>
        <v>247.20000000000002</v>
      </c>
      <c r="AB443" s="6">
        <f>$K$443*$V$443</f>
        <v>0</v>
      </c>
      <c r="AC443" s="6">
        <f>$M$443*$W$443</f>
        <v>3465.5170900000003</v>
      </c>
      <c r="AD443" s="6">
        <f>$O$443*$X$443</f>
        <v>14205.77252</v>
      </c>
      <c r="AE443" s="6">
        <f>$K$443*$Y$443</f>
        <v>0</v>
      </c>
      <c r="AF443" s="6">
        <f ca="1">$M$443*$Z$443</f>
        <v>5537.7334499999997</v>
      </c>
      <c r="AG443" s="6">
        <f ca="1">$O$443*$AA$443</f>
        <v>12349.370400000002</v>
      </c>
    </row>
    <row r="444" spans="1:33" ht="11.25" customHeight="1" x14ac:dyDescent="0.25">
      <c r="A444" s="4" t="s">
        <v>28</v>
      </c>
      <c r="B444" s="4" t="s">
        <v>33</v>
      </c>
      <c r="C444" s="4" t="s">
        <v>34</v>
      </c>
      <c r="D444" s="4" t="s">
        <v>46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44440</v>
      </c>
      <c r="J444" s="6">
        <v>0</v>
      </c>
      <c r="K444" s="6">
        <v>0</v>
      </c>
      <c r="L444" s="6">
        <v>1.742</v>
      </c>
      <c r="M444" s="6">
        <v>1.742</v>
      </c>
      <c r="N444" s="6">
        <v>1.742</v>
      </c>
      <c r="O444" s="6">
        <v>1.742</v>
      </c>
      <c r="P444" s="6">
        <v>0</v>
      </c>
      <c r="Q444" s="4" t="s">
        <v>26</v>
      </c>
      <c r="R444" s="4">
        <v>0</v>
      </c>
      <c r="S444" s="6">
        <v>0</v>
      </c>
      <c r="T444" s="6">
        <v>20</v>
      </c>
      <c r="U444" s="6">
        <v>66</v>
      </c>
      <c r="V444" s="6">
        <f>IF(ISERROR(VLOOKUP($S$444,'TAR FIN'!$A$1:$O$103,15,0)),0,VLOOKUP($S$444,'TAR FIN'!$A$1:$O$103,15,0))</f>
        <v>0</v>
      </c>
      <c r="W444" s="6">
        <f>IF(ISERROR(VLOOKUP($T$444,'TAR FIN'!$A$1:$O$103,15,0)),0,VLOOKUP($T$444,'TAR FIN'!$A$1:$O$103,15,0))</f>
        <v>69.37</v>
      </c>
      <c r="X444" s="6">
        <f>IF(ISERROR(VLOOKUP($U$444,'TAR FIN'!$A$1:$O$103,15,0)),0,VLOOKUP($U$444,'TAR FIN'!$A$1:$O$103,15,0))</f>
        <v>284.36</v>
      </c>
      <c r="Y444" s="6"/>
      <c r="Z444" s="6">
        <f ca="1">('TUSD BE'!$AM$22+'TUSD BF_350'!$AM$22+'TUSD CVA'!$AM$22)*1</f>
        <v>110.85</v>
      </c>
      <c r="AA444" s="6">
        <f ca="1">('TE BE'!$AB$9+'TE BF_350'!$AB$9+'TE CVA'!$AB$9)*1</f>
        <v>247.20000000000002</v>
      </c>
      <c r="AB444" s="6">
        <f>$K$444*$V$444</f>
        <v>0</v>
      </c>
      <c r="AC444" s="6">
        <f>$M$444*$W$444</f>
        <v>120.84254000000001</v>
      </c>
      <c r="AD444" s="6">
        <f>$O$444*$X$444</f>
        <v>495.35512</v>
      </c>
      <c r="AE444" s="6">
        <f>$K$444*$Y$444</f>
        <v>0</v>
      </c>
      <c r="AF444" s="6">
        <f ca="1">$M$444*$Z$444</f>
        <v>193.10069999999999</v>
      </c>
      <c r="AG444" s="6">
        <f ca="1">$O$444*$AA$444</f>
        <v>430.62240000000003</v>
      </c>
    </row>
    <row r="445" spans="1:33" ht="11.25" customHeight="1" x14ac:dyDescent="0.25">
      <c r="A445" s="4" t="s">
        <v>21</v>
      </c>
      <c r="B445" s="4" t="s">
        <v>33</v>
      </c>
      <c r="C445" s="4" t="s">
        <v>34</v>
      </c>
      <c r="D445" s="4" t="s">
        <v>46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44470</v>
      </c>
      <c r="J445" s="6">
        <v>0</v>
      </c>
      <c r="K445" s="6">
        <v>0</v>
      </c>
      <c r="L445" s="6">
        <v>49.451999999999998</v>
      </c>
      <c r="M445" s="6">
        <v>49.451999999999998</v>
      </c>
      <c r="N445" s="6">
        <v>49.451999999999998</v>
      </c>
      <c r="O445" s="6">
        <v>49.451999999999998</v>
      </c>
      <c r="P445" s="6">
        <v>0</v>
      </c>
      <c r="Q445" s="4" t="s">
        <v>26</v>
      </c>
      <c r="R445" s="4">
        <v>0</v>
      </c>
      <c r="S445" s="6">
        <v>0</v>
      </c>
      <c r="T445" s="6">
        <v>20</v>
      </c>
      <c r="U445" s="6">
        <v>66</v>
      </c>
      <c r="V445" s="6">
        <f>IF(ISERROR(VLOOKUP($S$445,'TAR FIN'!$A$1:$O$103,15,0)),0,VLOOKUP($S$445,'TAR FIN'!$A$1:$O$103,15,0))</f>
        <v>0</v>
      </c>
      <c r="W445" s="6">
        <f>IF(ISERROR(VLOOKUP($T$445,'TAR FIN'!$A$1:$O$103,15,0)),0,VLOOKUP($T$445,'TAR FIN'!$A$1:$O$103,15,0))</f>
        <v>69.37</v>
      </c>
      <c r="X445" s="6">
        <f>IF(ISERROR(VLOOKUP($U$445,'TAR FIN'!$A$1:$O$103,15,0)),0,VLOOKUP($U$445,'TAR FIN'!$A$1:$O$103,15,0))</f>
        <v>284.36</v>
      </c>
      <c r="Y445" s="6"/>
      <c r="Z445" s="6">
        <f ca="1">('TUSD BE'!$AM$22+'TUSD BF_350'!$AM$22+'TUSD CVA'!$AM$22)*1</f>
        <v>110.85</v>
      </c>
      <c r="AA445" s="6">
        <f ca="1">('TE BE'!$AB$9+'TE BF_350'!$AB$9+'TE CVA'!$AB$9)*1</f>
        <v>247.20000000000002</v>
      </c>
      <c r="AB445" s="6">
        <f>$K$445*$V$445</f>
        <v>0</v>
      </c>
      <c r="AC445" s="6">
        <f>$M$445*$W$445</f>
        <v>3430.48524</v>
      </c>
      <c r="AD445" s="6">
        <f>$O$445*$X$445</f>
        <v>14062.17072</v>
      </c>
      <c r="AE445" s="6">
        <f>$K$445*$Y$445</f>
        <v>0</v>
      </c>
      <c r="AF445" s="6">
        <f ca="1">$M$445*$Z$445</f>
        <v>5481.7541999999994</v>
      </c>
      <c r="AG445" s="6">
        <f ca="1">$O$445*$AA$445</f>
        <v>12224.5344</v>
      </c>
    </row>
    <row r="446" spans="1:33" ht="11.25" customHeight="1" x14ac:dyDescent="0.25">
      <c r="A446" s="4" t="s">
        <v>28</v>
      </c>
      <c r="B446" s="4" t="s">
        <v>33</v>
      </c>
      <c r="C446" s="4" t="s">
        <v>34</v>
      </c>
      <c r="D446" s="4" t="s">
        <v>46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44470</v>
      </c>
      <c r="J446" s="6">
        <v>0</v>
      </c>
      <c r="K446" s="6">
        <v>0</v>
      </c>
      <c r="L446" s="6">
        <v>2.2709999999999999</v>
      </c>
      <c r="M446" s="6">
        <v>2.2709999999999999</v>
      </c>
      <c r="N446" s="6">
        <v>2.2709999999999999</v>
      </c>
      <c r="O446" s="6">
        <v>2.2709999999999999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20</v>
      </c>
      <c r="U446" s="6">
        <v>66</v>
      </c>
      <c r="V446" s="6">
        <f>IF(ISERROR(VLOOKUP($S$446,'TAR FIN'!$A$1:$O$103,15,0)),0,VLOOKUP($S$446,'TAR FIN'!$A$1:$O$103,15,0))</f>
        <v>0</v>
      </c>
      <c r="W446" s="6">
        <f>IF(ISERROR(VLOOKUP($T$446,'TAR FIN'!$A$1:$O$103,15,0)),0,VLOOKUP($T$446,'TAR FIN'!$A$1:$O$103,15,0))</f>
        <v>69.37</v>
      </c>
      <c r="X446" s="6">
        <f>IF(ISERROR(VLOOKUP($U$446,'TAR FIN'!$A$1:$O$103,15,0)),0,VLOOKUP($U$446,'TAR FIN'!$A$1:$O$103,15,0))</f>
        <v>284.36</v>
      </c>
      <c r="Y446" s="6"/>
      <c r="Z446" s="6">
        <f ca="1">('TUSD BE'!$AM$22+'TUSD BF_350'!$AM$22+'TUSD CVA'!$AM$22)*1</f>
        <v>110.85</v>
      </c>
      <c r="AA446" s="6">
        <f ca="1">('TE BE'!$AB$9+'TE BF_350'!$AB$9+'TE CVA'!$AB$9)*1</f>
        <v>247.20000000000002</v>
      </c>
      <c r="AB446" s="6">
        <f>$K$446*$V$446</f>
        <v>0</v>
      </c>
      <c r="AC446" s="6">
        <f>$M$446*$W$446</f>
        <v>157.53927000000002</v>
      </c>
      <c r="AD446" s="6">
        <f>$O$446*$X$446</f>
        <v>645.78156000000001</v>
      </c>
      <c r="AE446" s="6">
        <f>$K$446*$Y$446</f>
        <v>0</v>
      </c>
      <c r="AF446" s="6">
        <f ca="1">$M$446*$Z$446</f>
        <v>251.74034999999998</v>
      </c>
      <c r="AG446" s="6">
        <f ca="1">$O$446*$AA$446</f>
        <v>561.39120000000003</v>
      </c>
    </row>
    <row r="447" spans="1:33" ht="11.25" customHeight="1" x14ac:dyDescent="0.25">
      <c r="A447" s="4" t="s">
        <v>21</v>
      </c>
      <c r="B447" s="4" t="s">
        <v>33</v>
      </c>
      <c r="C447" s="4" t="s">
        <v>34</v>
      </c>
      <c r="D447" s="4" t="s">
        <v>46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44501</v>
      </c>
      <c r="J447" s="6">
        <v>0</v>
      </c>
      <c r="K447" s="6">
        <v>0</v>
      </c>
      <c r="L447" s="6">
        <v>53.615000000000002</v>
      </c>
      <c r="M447" s="6">
        <v>53.615000000000002</v>
      </c>
      <c r="N447" s="6">
        <v>53.615000000000002</v>
      </c>
      <c r="O447" s="6">
        <v>53.615000000000002</v>
      </c>
      <c r="P447" s="6">
        <v>0</v>
      </c>
      <c r="Q447" s="4" t="s">
        <v>26</v>
      </c>
      <c r="R447" s="4">
        <v>0</v>
      </c>
      <c r="S447" s="6">
        <v>0</v>
      </c>
      <c r="T447" s="6">
        <v>20</v>
      </c>
      <c r="U447" s="6">
        <v>66</v>
      </c>
      <c r="V447" s="6">
        <f>IF(ISERROR(VLOOKUP($S$447,'TAR FIN'!$A$1:$O$103,15,0)),0,VLOOKUP($S$447,'TAR FIN'!$A$1:$O$103,15,0))</f>
        <v>0</v>
      </c>
      <c r="W447" s="6">
        <f>IF(ISERROR(VLOOKUP($T$447,'TAR FIN'!$A$1:$O$103,15,0)),0,VLOOKUP($T$447,'TAR FIN'!$A$1:$O$103,15,0))</f>
        <v>69.37</v>
      </c>
      <c r="X447" s="6">
        <f>IF(ISERROR(VLOOKUP($U$447,'TAR FIN'!$A$1:$O$103,15,0)),0,VLOOKUP($U$447,'TAR FIN'!$A$1:$O$103,15,0))</f>
        <v>284.36</v>
      </c>
      <c r="Y447" s="6"/>
      <c r="Z447" s="6">
        <f ca="1">('TUSD BE'!$AM$22+'TUSD BF_350'!$AM$22+'TUSD CVA'!$AM$22)*1</f>
        <v>110.85</v>
      </c>
      <c r="AA447" s="6">
        <f ca="1">('TE BE'!$AB$9+'TE BF_350'!$AB$9+'TE CVA'!$AB$9)*1</f>
        <v>247.20000000000002</v>
      </c>
      <c r="AB447" s="6">
        <f>$K$447*$V$447</f>
        <v>0</v>
      </c>
      <c r="AC447" s="6">
        <f>$M$447*$W$447</f>
        <v>3719.2725500000006</v>
      </c>
      <c r="AD447" s="6">
        <f>$O$447*$X$447</f>
        <v>15245.961400000002</v>
      </c>
      <c r="AE447" s="6">
        <f>$K$447*$Y$447</f>
        <v>0</v>
      </c>
      <c r="AF447" s="6">
        <f ca="1">$M$447*$Z$447</f>
        <v>5943.2227499999999</v>
      </c>
      <c r="AG447" s="6">
        <f ca="1">$O$447*$AA$447</f>
        <v>13253.628000000001</v>
      </c>
    </row>
    <row r="448" spans="1:33" ht="11.25" customHeight="1" x14ac:dyDescent="0.25">
      <c r="A448" s="4" t="s">
        <v>28</v>
      </c>
      <c r="B448" s="4" t="s">
        <v>33</v>
      </c>
      <c r="C448" s="4" t="s">
        <v>34</v>
      </c>
      <c r="D448" s="4" t="s">
        <v>46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44501</v>
      </c>
      <c r="J448" s="6">
        <v>0</v>
      </c>
      <c r="K448" s="6">
        <v>0</v>
      </c>
      <c r="L448" s="6">
        <v>2.242</v>
      </c>
      <c r="M448" s="6">
        <v>2.242</v>
      </c>
      <c r="N448" s="6">
        <v>2.242</v>
      </c>
      <c r="O448" s="6">
        <v>2.242</v>
      </c>
      <c r="P448" s="6">
        <v>0</v>
      </c>
      <c r="Q448" s="4" t="s">
        <v>26</v>
      </c>
      <c r="R448" s="4">
        <v>0</v>
      </c>
      <c r="S448" s="6">
        <v>0</v>
      </c>
      <c r="T448" s="6">
        <v>20</v>
      </c>
      <c r="U448" s="6">
        <v>66</v>
      </c>
      <c r="V448" s="6">
        <f>IF(ISERROR(VLOOKUP($S$448,'TAR FIN'!$A$1:$O$103,15,0)),0,VLOOKUP($S$448,'TAR FIN'!$A$1:$O$103,15,0))</f>
        <v>0</v>
      </c>
      <c r="W448" s="6">
        <f>IF(ISERROR(VLOOKUP($T$448,'TAR FIN'!$A$1:$O$103,15,0)),0,VLOOKUP($T$448,'TAR FIN'!$A$1:$O$103,15,0))</f>
        <v>69.37</v>
      </c>
      <c r="X448" s="6">
        <f>IF(ISERROR(VLOOKUP($U$448,'TAR FIN'!$A$1:$O$103,15,0)),0,VLOOKUP($U$448,'TAR FIN'!$A$1:$O$103,15,0))</f>
        <v>284.36</v>
      </c>
      <c r="Y448" s="6"/>
      <c r="Z448" s="6">
        <f ca="1">('TUSD BE'!$AM$22+'TUSD BF_350'!$AM$22+'TUSD CVA'!$AM$22)*1</f>
        <v>110.85</v>
      </c>
      <c r="AA448" s="6">
        <f ca="1">('TE BE'!$AB$9+'TE BF_350'!$AB$9+'TE CVA'!$AB$9)*1</f>
        <v>247.20000000000002</v>
      </c>
      <c r="AB448" s="6">
        <f>$K$448*$V$448</f>
        <v>0</v>
      </c>
      <c r="AC448" s="6">
        <f>$M$448*$W$448</f>
        <v>155.52754000000002</v>
      </c>
      <c r="AD448" s="6">
        <f>$O$448*$X$448</f>
        <v>637.53512000000001</v>
      </c>
      <c r="AE448" s="6">
        <f>$K$448*$Y$448</f>
        <v>0</v>
      </c>
      <c r="AF448" s="6">
        <f ca="1">$M$448*$Z$448</f>
        <v>248.5257</v>
      </c>
      <c r="AG448" s="6">
        <f ca="1">$O$448*$AA$448</f>
        <v>554.22239999999999</v>
      </c>
    </row>
    <row r="449" spans="1:33" ht="11.25" customHeight="1" x14ac:dyDescent="0.25">
      <c r="A449" s="4" t="s">
        <v>21</v>
      </c>
      <c r="B449" s="4" t="s">
        <v>33</v>
      </c>
      <c r="C449" s="4" t="s">
        <v>34</v>
      </c>
      <c r="D449" s="4" t="s">
        <v>46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44531</v>
      </c>
      <c r="J449" s="6">
        <v>0</v>
      </c>
      <c r="K449" s="6">
        <v>0</v>
      </c>
      <c r="L449" s="6">
        <v>52.048000000000002</v>
      </c>
      <c r="M449" s="6">
        <v>52.048000000000002</v>
      </c>
      <c r="N449" s="6">
        <v>52.048000000000002</v>
      </c>
      <c r="O449" s="6">
        <v>52.048000000000002</v>
      </c>
      <c r="P449" s="6">
        <v>0</v>
      </c>
      <c r="Q449" s="4" t="s">
        <v>26</v>
      </c>
      <c r="R449" s="4">
        <v>0</v>
      </c>
      <c r="S449" s="6">
        <v>0</v>
      </c>
      <c r="T449" s="6">
        <v>20</v>
      </c>
      <c r="U449" s="6">
        <v>66</v>
      </c>
      <c r="V449" s="6">
        <f>IF(ISERROR(VLOOKUP($S$449,'TAR FIN'!$A$1:$O$103,15,0)),0,VLOOKUP($S$449,'TAR FIN'!$A$1:$O$103,15,0))</f>
        <v>0</v>
      </c>
      <c r="W449" s="6">
        <f>IF(ISERROR(VLOOKUP($T$449,'TAR FIN'!$A$1:$O$103,15,0)),0,VLOOKUP($T$449,'TAR FIN'!$A$1:$O$103,15,0))</f>
        <v>69.37</v>
      </c>
      <c r="X449" s="6">
        <f>IF(ISERROR(VLOOKUP($U$449,'TAR FIN'!$A$1:$O$103,15,0)),0,VLOOKUP($U$449,'TAR FIN'!$A$1:$O$103,15,0))</f>
        <v>284.36</v>
      </c>
      <c r="Y449" s="6"/>
      <c r="Z449" s="6">
        <f ca="1">('TUSD BE'!$AM$22+'TUSD BF_350'!$AM$22+'TUSD CVA'!$AM$22)*1</f>
        <v>110.85</v>
      </c>
      <c r="AA449" s="6">
        <f ca="1">('TE BE'!$AB$9+'TE BF_350'!$AB$9+'TE CVA'!$AB$9)*1</f>
        <v>247.20000000000002</v>
      </c>
      <c r="AB449" s="6">
        <f>$K$449*$V$449</f>
        <v>0</v>
      </c>
      <c r="AC449" s="6">
        <f>$M$449*$W$449</f>
        <v>3610.5697600000003</v>
      </c>
      <c r="AD449" s="6">
        <f>$O$449*$X$449</f>
        <v>14800.369280000001</v>
      </c>
      <c r="AE449" s="6">
        <f>$K$449*$Y$449</f>
        <v>0</v>
      </c>
      <c r="AF449" s="6">
        <f ca="1">$M$449*$Z$449</f>
        <v>5769.5208000000002</v>
      </c>
      <c r="AG449" s="6">
        <f ca="1">$O$449*$AA$449</f>
        <v>12866.265600000001</v>
      </c>
    </row>
    <row r="450" spans="1:33" ht="11.25" customHeight="1" x14ac:dyDescent="0.25">
      <c r="A450" s="4" t="s">
        <v>28</v>
      </c>
      <c r="B450" s="4" t="s">
        <v>33</v>
      </c>
      <c r="C450" s="4" t="s">
        <v>34</v>
      </c>
      <c r="D450" s="4" t="s">
        <v>46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44531</v>
      </c>
      <c r="J450" s="6">
        <v>0</v>
      </c>
      <c r="K450" s="6">
        <v>0</v>
      </c>
      <c r="L450" s="6">
        <v>2.5059999999999998</v>
      </c>
      <c r="M450" s="6">
        <v>2.5059999999999998</v>
      </c>
      <c r="N450" s="6">
        <v>2.5059999999999998</v>
      </c>
      <c r="O450" s="6">
        <v>2.5059999999999998</v>
      </c>
      <c r="P450" s="6">
        <v>0</v>
      </c>
      <c r="Q450" s="4" t="s">
        <v>26</v>
      </c>
      <c r="R450" s="4">
        <v>0</v>
      </c>
      <c r="S450" s="6">
        <v>0</v>
      </c>
      <c r="T450" s="6">
        <v>20</v>
      </c>
      <c r="U450" s="6">
        <v>66</v>
      </c>
      <c r="V450" s="6">
        <f>IF(ISERROR(VLOOKUP($S$450,'TAR FIN'!$A$1:$O$103,15,0)),0,VLOOKUP($S$450,'TAR FIN'!$A$1:$O$103,15,0))</f>
        <v>0</v>
      </c>
      <c r="W450" s="6">
        <f>IF(ISERROR(VLOOKUP($T$450,'TAR FIN'!$A$1:$O$103,15,0)),0,VLOOKUP($T$450,'TAR FIN'!$A$1:$O$103,15,0))</f>
        <v>69.37</v>
      </c>
      <c r="X450" s="6">
        <f>IF(ISERROR(VLOOKUP($U$450,'TAR FIN'!$A$1:$O$103,15,0)),0,VLOOKUP($U$450,'TAR FIN'!$A$1:$O$103,15,0))</f>
        <v>284.36</v>
      </c>
      <c r="Y450" s="6"/>
      <c r="Z450" s="6">
        <f ca="1">('TUSD BE'!$AM$22+'TUSD BF_350'!$AM$22+'TUSD CVA'!$AM$22)*1</f>
        <v>110.85</v>
      </c>
      <c r="AA450" s="6">
        <f ca="1">('TE BE'!$AB$9+'TE BF_350'!$AB$9+'TE CVA'!$AB$9)*1</f>
        <v>247.20000000000002</v>
      </c>
      <c r="AB450" s="6">
        <f>$K$450*$V$450</f>
        <v>0</v>
      </c>
      <c r="AC450" s="6">
        <f>$M$450*$W$450</f>
        <v>173.84121999999999</v>
      </c>
      <c r="AD450" s="6">
        <f>$O$450*$X$450</f>
        <v>712.60615999999993</v>
      </c>
      <c r="AE450" s="6">
        <f>$K$450*$Y$450</f>
        <v>0</v>
      </c>
      <c r="AF450" s="6">
        <f ca="1">$M$450*$Z$450</f>
        <v>277.79009999999994</v>
      </c>
      <c r="AG450" s="6">
        <f ca="1">$O$450*$AA$450</f>
        <v>619.48320000000001</v>
      </c>
    </row>
    <row r="451" spans="1:33" ht="11.25" customHeight="1" x14ac:dyDescent="0.25">
      <c r="A451" s="4" t="s">
        <v>21</v>
      </c>
      <c r="B451" s="4" t="s">
        <v>33</v>
      </c>
      <c r="C451" s="4" t="s">
        <v>34</v>
      </c>
      <c r="D451" s="4" t="s">
        <v>46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44562</v>
      </c>
      <c r="J451" s="6">
        <v>0</v>
      </c>
      <c r="K451" s="6">
        <v>0</v>
      </c>
      <c r="L451" s="6">
        <v>56.295999999999999</v>
      </c>
      <c r="M451" s="6">
        <v>56.295999999999999</v>
      </c>
      <c r="N451" s="6">
        <v>56.295999999999999</v>
      </c>
      <c r="O451" s="6">
        <v>56.295999999999999</v>
      </c>
      <c r="P451" s="6">
        <v>0</v>
      </c>
      <c r="Q451" s="4" t="s">
        <v>26</v>
      </c>
      <c r="R451" s="4">
        <v>0</v>
      </c>
      <c r="S451" s="6">
        <v>0</v>
      </c>
      <c r="T451" s="6">
        <v>20</v>
      </c>
      <c r="U451" s="6">
        <v>66</v>
      </c>
      <c r="V451" s="6">
        <f>IF(ISERROR(VLOOKUP($S$451,'TAR FIN'!$A$1:$O$103,15,0)),0,VLOOKUP($S$451,'TAR FIN'!$A$1:$O$103,15,0))</f>
        <v>0</v>
      </c>
      <c r="W451" s="6">
        <f>IF(ISERROR(VLOOKUP($T$451,'TAR FIN'!$A$1:$O$103,15,0)),0,VLOOKUP($T$451,'TAR FIN'!$A$1:$O$103,15,0))</f>
        <v>69.37</v>
      </c>
      <c r="X451" s="6">
        <f>IF(ISERROR(VLOOKUP($U$451,'TAR FIN'!$A$1:$O$103,15,0)),0,VLOOKUP($U$451,'TAR FIN'!$A$1:$O$103,15,0))</f>
        <v>284.36</v>
      </c>
      <c r="Y451" s="6"/>
      <c r="Z451" s="6">
        <f ca="1">('TUSD BE'!$AM$22+'TUSD BF_350'!$AM$22+'TUSD CVA'!$AM$22)*1</f>
        <v>110.85</v>
      </c>
      <c r="AA451" s="6">
        <f ca="1">('TE BE'!$AB$9+'TE BF_350'!$AB$9+'TE CVA'!$AB$9)*1</f>
        <v>247.20000000000002</v>
      </c>
      <c r="AB451" s="6">
        <f>$K$451*$V$451</f>
        <v>0</v>
      </c>
      <c r="AC451" s="6">
        <f>$M$451*$W$451</f>
        <v>3905.2535200000002</v>
      </c>
      <c r="AD451" s="6">
        <f>$O$451*$X$451</f>
        <v>16008.33056</v>
      </c>
      <c r="AE451" s="6">
        <f>$K$451*$Y$451</f>
        <v>0</v>
      </c>
      <c r="AF451" s="6">
        <f ca="1">$M$451*$Z$451</f>
        <v>6240.4115999999995</v>
      </c>
      <c r="AG451" s="6">
        <f ca="1">$O$451*$AA$451</f>
        <v>13916.371200000001</v>
      </c>
    </row>
    <row r="452" spans="1:33" ht="11.25" customHeight="1" x14ac:dyDescent="0.25">
      <c r="A452" s="4" t="s">
        <v>28</v>
      </c>
      <c r="B452" s="4" t="s">
        <v>33</v>
      </c>
      <c r="C452" s="4" t="s">
        <v>34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44562</v>
      </c>
      <c r="J452" s="6">
        <v>0</v>
      </c>
      <c r="K452" s="6">
        <v>0</v>
      </c>
      <c r="L452" s="6">
        <v>2.1160000000000001</v>
      </c>
      <c r="M452" s="6">
        <v>2.1160000000000001</v>
      </c>
      <c r="N452" s="6">
        <v>2.1160000000000001</v>
      </c>
      <c r="O452" s="6">
        <v>2.1160000000000001</v>
      </c>
      <c r="P452" s="6">
        <v>0</v>
      </c>
      <c r="Q452" s="4" t="s">
        <v>26</v>
      </c>
      <c r="R452" s="4">
        <v>0</v>
      </c>
      <c r="S452" s="6">
        <v>0</v>
      </c>
      <c r="T452" s="6">
        <v>20</v>
      </c>
      <c r="U452" s="6">
        <v>66</v>
      </c>
      <c r="V452" s="6">
        <f>IF(ISERROR(VLOOKUP($S$452,'TAR FIN'!$A$1:$O$103,15,0)),0,VLOOKUP($S$452,'TAR FIN'!$A$1:$O$103,15,0))</f>
        <v>0</v>
      </c>
      <c r="W452" s="6">
        <f>IF(ISERROR(VLOOKUP($T$452,'TAR FIN'!$A$1:$O$103,15,0)),0,VLOOKUP($T$452,'TAR FIN'!$A$1:$O$103,15,0))</f>
        <v>69.37</v>
      </c>
      <c r="X452" s="6">
        <f>IF(ISERROR(VLOOKUP($U$452,'TAR FIN'!$A$1:$O$103,15,0)),0,VLOOKUP($U$452,'TAR FIN'!$A$1:$O$103,15,0))</f>
        <v>284.36</v>
      </c>
      <c r="Y452" s="6"/>
      <c r="Z452" s="6">
        <f ca="1">('TUSD BE'!$AM$22+'TUSD BF_350'!$AM$22+'TUSD CVA'!$AM$22)*1</f>
        <v>110.85</v>
      </c>
      <c r="AA452" s="6">
        <f ca="1">('TE BE'!$AB$9+'TE BF_350'!$AB$9+'TE CVA'!$AB$9)*1</f>
        <v>247.20000000000002</v>
      </c>
      <c r="AB452" s="6">
        <f>$K$452*$V$452</f>
        <v>0</v>
      </c>
      <c r="AC452" s="6">
        <f>$M$452*$W$452</f>
        <v>146.78692000000001</v>
      </c>
      <c r="AD452" s="6">
        <f>$O$452*$X$452</f>
        <v>601.70576000000005</v>
      </c>
      <c r="AE452" s="6">
        <f>$K$452*$Y$452</f>
        <v>0</v>
      </c>
      <c r="AF452" s="6">
        <f ca="1">$M$452*$Z$452</f>
        <v>234.55860000000001</v>
      </c>
      <c r="AG452" s="6">
        <f ca="1">$O$452*$AA$452</f>
        <v>523.07520000000011</v>
      </c>
    </row>
    <row r="453" spans="1:33" ht="11.25" customHeight="1" x14ac:dyDescent="0.25">
      <c r="A453" s="4" t="s">
        <v>21</v>
      </c>
      <c r="B453" s="4" t="s">
        <v>33</v>
      </c>
      <c r="C453" s="4" t="s">
        <v>34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44593</v>
      </c>
      <c r="J453" s="6">
        <v>0</v>
      </c>
      <c r="K453" s="6">
        <v>0</v>
      </c>
      <c r="L453" s="6">
        <v>59.365000000000002</v>
      </c>
      <c r="M453" s="6">
        <v>59.365000000000002</v>
      </c>
      <c r="N453" s="6">
        <v>59.365000000000002</v>
      </c>
      <c r="O453" s="6">
        <v>59.365000000000002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20</v>
      </c>
      <c r="U453" s="6">
        <v>66</v>
      </c>
      <c r="V453" s="6">
        <f>IF(ISERROR(VLOOKUP($S$453,'TAR FIN'!$A$1:$O$103,15,0)),0,VLOOKUP($S$453,'TAR FIN'!$A$1:$O$103,15,0))</f>
        <v>0</v>
      </c>
      <c r="W453" s="6">
        <f>IF(ISERROR(VLOOKUP($T$453,'TAR FIN'!$A$1:$O$103,15,0)),0,VLOOKUP($T$453,'TAR FIN'!$A$1:$O$103,15,0))</f>
        <v>69.37</v>
      </c>
      <c r="X453" s="6">
        <f>IF(ISERROR(VLOOKUP($U$453,'TAR FIN'!$A$1:$O$103,15,0)),0,VLOOKUP($U$453,'TAR FIN'!$A$1:$O$103,15,0))</f>
        <v>284.36</v>
      </c>
      <c r="Y453" s="6"/>
      <c r="Z453" s="6">
        <f ca="1">('TUSD BE'!$AM$22+'TUSD BF_350'!$AM$22+'TUSD CVA'!$AM$22)*1</f>
        <v>110.85</v>
      </c>
      <c r="AA453" s="6">
        <f ca="1">('TE BE'!$AB$9+'TE BF_350'!$AB$9+'TE CVA'!$AB$9)*1</f>
        <v>247.20000000000002</v>
      </c>
      <c r="AB453" s="6">
        <f>$K$453*$V$453</f>
        <v>0</v>
      </c>
      <c r="AC453" s="6">
        <f>$M$453*$W$453</f>
        <v>4118.1500500000002</v>
      </c>
      <c r="AD453" s="6">
        <f>$O$453*$X$453</f>
        <v>16881.0314</v>
      </c>
      <c r="AE453" s="6">
        <f>$K$453*$Y$453</f>
        <v>0</v>
      </c>
      <c r="AF453" s="6">
        <f ca="1">$M$453*$Z$453</f>
        <v>6580.6102499999997</v>
      </c>
      <c r="AG453" s="6">
        <f ca="1">$O$453*$AA$453</f>
        <v>14675.028000000002</v>
      </c>
    </row>
    <row r="454" spans="1:33" ht="11.25" customHeight="1" x14ac:dyDescent="0.25">
      <c r="A454" s="4" t="s">
        <v>21</v>
      </c>
      <c r="B454" s="4" t="s">
        <v>33</v>
      </c>
      <c r="C454" s="4" t="s">
        <v>34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44621</v>
      </c>
      <c r="J454" s="6">
        <v>0</v>
      </c>
      <c r="K454" s="6">
        <v>0</v>
      </c>
      <c r="L454" s="6">
        <v>66.935000000000002</v>
      </c>
      <c r="M454" s="6">
        <v>66.935000000000002</v>
      </c>
      <c r="N454" s="6">
        <v>66.935000000000002</v>
      </c>
      <c r="O454" s="6">
        <v>66.935000000000002</v>
      </c>
      <c r="P454" s="6">
        <v>0</v>
      </c>
      <c r="Q454" s="4" t="s">
        <v>26</v>
      </c>
      <c r="R454" s="4">
        <v>0</v>
      </c>
      <c r="S454" s="6">
        <v>0</v>
      </c>
      <c r="T454" s="6">
        <v>20</v>
      </c>
      <c r="U454" s="6">
        <v>66</v>
      </c>
      <c r="V454" s="6">
        <f>IF(ISERROR(VLOOKUP($S$454,'TAR FIN'!$A$1:$O$103,15,0)),0,VLOOKUP($S$454,'TAR FIN'!$A$1:$O$103,15,0))</f>
        <v>0</v>
      </c>
      <c r="W454" s="6">
        <f>IF(ISERROR(VLOOKUP($T$454,'TAR FIN'!$A$1:$O$103,15,0)),0,VLOOKUP($T$454,'TAR FIN'!$A$1:$O$103,15,0))</f>
        <v>69.37</v>
      </c>
      <c r="X454" s="6">
        <f>IF(ISERROR(VLOOKUP($U$454,'TAR FIN'!$A$1:$O$103,15,0)),0,VLOOKUP($U$454,'TAR FIN'!$A$1:$O$103,15,0))</f>
        <v>284.36</v>
      </c>
      <c r="Y454" s="6"/>
      <c r="Z454" s="6">
        <f ca="1">('TUSD BE'!$AM$22+'TUSD BF_350'!$AM$22+'TUSD CVA'!$AM$22)*1</f>
        <v>110.85</v>
      </c>
      <c r="AA454" s="6">
        <f ca="1">('TE BE'!$AB$9+'TE BF_350'!$AB$9+'TE CVA'!$AB$9)*1</f>
        <v>247.20000000000002</v>
      </c>
      <c r="AB454" s="6">
        <f>$K$454*$V$454</f>
        <v>0</v>
      </c>
      <c r="AC454" s="6">
        <f>$M$454*$W$454</f>
        <v>4643.2809500000003</v>
      </c>
      <c r="AD454" s="6">
        <f>$O$454*$X$454</f>
        <v>19033.636600000002</v>
      </c>
      <c r="AE454" s="6">
        <f>$K$454*$Y$454</f>
        <v>0</v>
      </c>
      <c r="AF454" s="6">
        <f ca="1">$M$454*$Z$454</f>
        <v>7419.7447499999998</v>
      </c>
      <c r="AG454" s="6">
        <f ca="1">$O$454*$AA$454</f>
        <v>16546.332000000002</v>
      </c>
    </row>
    <row r="455" spans="1:33" ht="11.25" customHeight="1" x14ac:dyDescent="0.25">
      <c r="A455" s="4" t="s">
        <v>28</v>
      </c>
      <c r="B455" s="4" t="s">
        <v>33</v>
      </c>
      <c r="C455" s="4" t="s">
        <v>34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44621</v>
      </c>
      <c r="J455" s="6">
        <v>0</v>
      </c>
      <c r="K455" s="6">
        <v>0</v>
      </c>
      <c r="L455" s="6">
        <v>7.3609999999999998</v>
      </c>
      <c r="M455" s="6">
        <v>7.3609999999999998</v>
      </c>
      <c r="N455" s="6">
        <v>7.3609999999999998</v>
      </c>
      <c r="O455" s="6">
        <v>7.3609999999999998</v>
      </c>
      <c r="P455" s="6">
        <v>0</v>
      </c>
      <c r="Q455" s="4" t="s">
        <v>26</v>
      </c>
      <c r="R455" s="4">
        <v>0</v>
      </c>
      <c r="S455" s="6">
        <v>0</v>
      </c>
      <c r="T455" s="6">
        <v>20</v>
      </c>
      <c r="U455" s="6">
        <v>66</v>
      </c>
      <c r="V455" s="6">
        <f>IF(ISERROR(VLOOKUP($S$455,'TAR FIN'!$A$1:$O$103,15,0)),0,VLOOKUP($S$455,'TAR FIN'!$A$1:$O$103,15,0))</f>
        <v>0</v>
      </c>
      <c r="W455" s="6">
        <f>IF(ISERROR(VLOOKUP($T$455,'TAR FIN'!$A$1:$O$103,15,0)),0,VLOOKUP($T$455,'TAR FIN'!$A$1:$O$103,15,0))</f>
        <v>69.37</v>
      </c>
      <c r="X455" s="6">
        <f>IF(ISERROR(VLOOKUP($U$455,'TAR FIN'!$A$1:$O$103,15,0)),0,VLOOKUP($U$455,'TAR FIN'!$A$1:$O$103,15,0))</f>
        <v>284.36</v>
      </c>
      <c r="Y455" s="6"/>
      <c r="Z455" s="6">
        <f ca="1">('TUSD BE'!$AM$22+'TUSD BF_350'!$AM$22+'TUSD CVA'!$AM$22)*1</f>
        <v>110.85</v>
      </c>
      <c r="AA455" s="6">
        <f ca="1">('TE BE'!$AB$9+'TE BF_350'!$AB$9+'TE CVA'!$AB$9)*1</f>
        <v>247.20000000000002</v>
      </c>
      <c r="AB455" s="6">
        <f>$K$455*$V$455</f>
        <v>0</v>
      </c>
      <c r="AC455" s="6">
        <f>$M$455*$W$455</f>
        <v>510.63257000000004</v>
      </c>
      <c r="AD455" s="6">
        <f>$O$455*$X$455</f>
        <v>2093.1739600000001</v>
      </c>
      <c r="AE455" s="6">
        <f>$K$455*$Y$455</f>
        <v>0</v>
      </c>
      <c r="AF455" s="6">
        <f ca="1">$M$455*$Z$455</f>
        <v>815.96684999999991</v>
      </c>
      <c r="AG455" s="6">
        <f ca="1">$O$455*$AA$455</f>
        <v>1819.6392000000001</v>
      </c>
    </row>
    <row r="456" spans="1:33" ht="11.25" customHeight="1" x14ac:dyDescent="0.25">
      <c r="A456" s="4" t="s">
        <v>21</v>
      </c>
      <c r="B456" s="4" t="s">
        <v>33</v>
      </c>
      <c r="C456" s="4" t="s">
        <v>34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44652</v>
      </c>
      <c r="J456" s="6">
        <v>0</v>
      </c>
      <c r="K456" s="6">
        <v>0</v>
      </c>
      <c r="L456" s="6">
        <v>49.951000000000001</v>
      </c>
      <c r="M456" s="6">
        <v>49.951000000000001</v>
      </c>
      <c r="N456" s="6">
        <v>49.951000000000001</v>
      </c>
      <c r="O456" s="6">
        <v>49.951000000000001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20</v>
      </c>
      <c r="U456" s="6">
        <v>66</v>
      </c>
      <c r="V456" s="6">
        <f>IF(ISERROR(VLOOKUP($S$456,'TAR FIN'!$A$1:$O$103,15,0)),0,VLOOKUP($S$456,'TAR FIN'!$A$1:$O$103,15,0))</f>
        <v>0</v>
      </c>
      <c r="W456" s="6">
        <f>IF(ISERROR(VLOOKUP($T$456,'TAR FIN'!$A$1:$O$103,15,0)),0,VLOOKUP($T$456,'TAR FIN'!$A$1:$O$103,15,0))</f>
        <v>69.37</v>
      </c>
      <c r="X456" s="6">
        <f>IF(ISERROR(VLOOKUP($U$456,'TAR FIN'!$A$1:$O$103,15,0)),0,VLOOKUP($U$456,'TAR FIN'!$A$1:$O$103,15,0))</f>
        <v>284.36</v>
      </c>
      <c r="Y456" s="6"/>
      <c r="Z456" s="6">
        <f ca="1">('TUSD BE'!$AM$22+'TUSD BF_350'!$AM$22+'TUSD CVA'!$AM$22)*1</f>
        <v>110.85</v>
      </c>
      <c r="AA456" s="6">
        <f ca="1">('TE BE'!$AB$9+'TE BF_350'!$AB$9+'TE CVA'!$AB$9)*1</f>
        <v>247.20000000000002</v>
      </c>
      <c r="AB456" s="6">
        <f>$K$456*$V$456</f>
        <v>0</v>
      </c>
      <c r="AC456" s="6">
        <f>$M$456*$W$456</f>
        <v>3465.1008700000002</v>
      </c>
      <c r="AD456" s="6">
        <f>$O$456*$X$456</f>
        <v>14204.066360000001</v>
      </c>
      <c r="AE456" s="6">
        <f>$K$456*$Y$456</f>
        <v>0</v>
      </c>
      <c r="AF456" s="6">
        <f ca="1">$M$456*$Z$456</f>
        <v>5537.0683499999996</v>
      </c>
      <c r="AG456" s="6">
        <f ca="1">$O$456*$AA$456</f>
        <v>12347.887200000001</v>
      </c>
    </row>
    <row r="457" spans="1:33" ht="11.25" customHeight="1" x14ac:dyDescent="0.25">
      <c r="A457" s="4" t="s">
        <v>28</v>
      </c>
      <c r="B457" s="4" t="s">
        <v>33</v>
      </c>
      <c r="C457" s="4" t="s">
        <v>34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44652</v>
      </c>
      <c r="J457" s="6">
        <v>0</v>
      </c>
      <c r="K457" s="6">
        <v>0</v>
      </c>
      <c r="L457" s="6">
        <v>6.6920000000000002</v>
      </c>
      <c r="M457" s="6">
        <v>6.6920000000000002</v>
      </c>
      <c r="N457" s="6">
        <v>6.6920000000000002</v>
      </c>
      <c r="O457" s="6">
        <v>6.6920000000000002</v>
      </c>
      <c r="P457" s="6">
        <v>0</v>
      </c>
      <c r="Q457" s="4" t="s">
        <v>26</v>
      </c>
      <c r="R457" s="4">
        <v>0</v>
      </c>
      <c r="S457" s="6">
        <v>0</v>
      </c>
      <c r="T457" s="6">
        <v>20</v>
      </c>
      <c r="U457" s="6">
        <v>66</v>
      </c>
      <c r="V457" s="6">
        <f>IF(ISERROR(VLOOKUP($S$457,'TAR FIN'!$A$1:$O$103,15,0)),0,VLOOKUP($S$457,'TAR FIN'!$A$1:$O$103,15,0))</f>
        <v>0</v>
      </c>
      <c r="W457" s="6">
        <f>IF(ISERROR(VLOOKUP($T$457,'TAR FIN'!$A$1:$O$103,15,0)),0,VLOOKUP($T$457,'TAR FIN'!$A$1:$O$103,15,0))</f>
        <v>69.37</v>
      </c>
      <c r="X457" s="6">
        <f>IF(ISERROR(VLOOKUP($U$457,'TAR FIN'!$A$1:$O$103,15,0)),0,VLOOKUP($U$457,'TAR FIN'!$A$1:$O$103,15,0))</f>
        <v>284.36</v>
      </c>
      <c r="Y457" s="6"/>
      <c r="Z457" s="6">
        <f ca="1">('TUSD BE'!$AM$22+'TUSD BF_350'!$AM$22+'TUSD CVA'!$AM$22)*1</f>
        <v>110.85</v>
      </c>
      <c r="AA457" s="6">
        <f ca="1">('TE BE'!$AB$9+'TE BF_350'!$AB$9+'TE CVA'!$AB$9)*1</f>
        <v>247.20000000000002</v>
      </c>
      <c r="AB457" s="6">
        <f>$K$457*$V$457</f>
        <v>0</v>
      </c>
      <c r="AC457" s="6">
        <f>$M$457*$W$457</f>
        <v>464.22404000000006</v>
      </c>
      <c r="AD457" s="6">
        <f>$O$457*$X$457</f>
        <v>1902.93712</v>
      </c>
      <c r="AE457" s="6">
        <f>$K$457*$Y$457</f>
        <v>0</v>
      </c>
      <c r="AF457" s="6">
        <f ca="1">$M$457*$Z$457</f>
        <v>741.80819999999994</v>
      </c>
      <c r="AG457" s="6">
        <f ca="1">$O$457*$AA$457</f>
        <v>1654.2624000000001</v>
      </c>
    </row>
    <row r="458" spans="1:33" ht="11.25" customHeight="1" x14ac:dyDescent="0.25">
      <c r="A458" s="4" t="s">
        <v>21</v>
      </c>
      <c r="B458" s="4" t="s">
        <v>33</v>
      </c>
      <c r="C458" s="4" t="s">
        <v>34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44682</v>
      </c>
      <c r="J458" s="6">
        <v>0</v>
      </c>
      <c r="K458" s="6">
        <v>0</v>
      </c>
      <c r="L458" s="6">
        <v>60.122</v>
      </c>
      <c r="M458" s="6">
        <v>60.122</v>
      </c>
      <c r="N458" s="6">
        <v>60.122</v>
      </c>
      <c r="O458" s="6">
        <v>60.122</v>
      </c>
      <c r="P458" s="6">
        <v>0</v>
      </c>
      <c r="Q458" s="4" t="s">
        <v>26</v>
      </c>
      <c r="R458" s="4">
        <v>0</v>
      </c>
      <c r="S458" s="6">
        <v>0</v>
      </c>
      <c r="T458" s="6">
        <v>20</v>
      </c>
      <c r="U458" s="6">
        <v>66</v>
      </c>
      <c r="V458" s="6">
        <f>IF(ISERROR(VLOOKUP($S$458,'TAR FIN'!$A$1:$O$103,15,0)),0,VLOOKUP($S$458,'TAR FIN'!$A$1:$O$103,15,0))</f>
        <v>0</v>
      </c>
      <c r="W458" s="6">
        <f>IF(ISERROR(VLOOKUP($T$458,'TAR FIN'!$A$1:$O$103,15,0)),0,VLOOKUP($T$458,'TAR FIN'!$A$1:$O$103,15,0))</f>
        <v>69.37</v>
      </c>
      <c r="X458" s="6">
        <f>IF(ISERROR(VLOOKUP($U$458,'TAR FIN'!$A$1:$O$103,15,0)),0,VLOOKUP($U$458,'TAR FIN'!$A$1:$O$103,15,0))</f>
        <v>284.36</v>
      </c>
      <c r="Y458" s="6"/>
      <c r="Z458" s="6">
        <f ca="1">('TUSD BE'!$AM$22+'TUSD BF_350'!$AM$22+'TUSD CVA'!$AM$22)*1</f>
        <v>110.85</v>
      </c>
      <c r="AA458" s="6">
        <f ca="1">('TE BE'!$AB$9+'TE BF_350'!$AB$9+'TE CVA'!$AB$9)*1</f>
        <v>247.20000000000002</v>
      </c>
      <c r="AB458" s="6">
        <f>$K$458*$V$458</f>
        <v>0</v>
      </c>
      <c r="AC458" s="6">
        <f>$M$458*$W$458</f>
        <v>4170.6631400000006</v>
      </c>
      <c r="AD458" s="6">
        <f>$O$458*$X$458</f>
        <v>17096.29192</v>
      </c>
      <c r="AE458" s="6">
        <f>$K$458*$Y$458</f>
        <v>0</v>
      </c>
      <c r="AF458" s="6">
        <f ca="1">$M$458*$Z$458</f>
        <v>6664.5236999999997</v>
      </c>
      <c r="AG458" s="6">
        <f ca="1">$O$458*$AA$458</f>
        <v>14862.1584</v>
      </c>
    </row>
    <row r="459" spans="1:33" ht="11.25" customHeight="1" x14ac:dyDescent="0.25">
      <c r="A459" s="4" t="s">
        <v>28</v>
      </c>
      <c r="B459" s="4" t="s">
        <v>33</v>
      </c>
      <c r="C459" s="4" t="s">
        <v>34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8.782</v>
      </c>
      <c r="M459" s="6">
        <v>8.782</v>
      </c>
      <c r="N459" s="6">
        <v>8.782</v>
      </c>
      <c r="O459" s="6">
        <v>8.782</v>
      </c>
      <c r="P459" s="6">
        <v>0</v>
      </c>
      <c r="Q459" s="4" t="s">
        <v>26</v>
      </c>
      <c r="R459" s="4">
        <v>0</v>
      </c>
      <c r="S459" s="6">
        <v>0</v>
      </c>
      <c r="T459" s="6">
        <v>20</v>
      </c>
      <c r="U459" s="6">
        <v>66</v>
      </c>
      <c r="V459" s="6">
        <f>IF(ISERROR(VLOOKUP($S$459,'TAR FIN'!$A$1:$O$103,15,0)),0,VLOOKUP($S$459,'TAR FIN'!$A$1:$O$103,15,0))</f>
        <v>0</v>
      </c>
      <c r="W459" s="6">
        <f>IF(ISERROR(VLOOKUP($T$459,'TAR FIN'!$A$1:$O$103,15,0)),0,VLOOKUP($T$459,'TAR FIN'!$A$1:$O$103,15,0))</f>
        <v>69.37</v>
      </c>
      <c r="X459" s="6">
        <f>IF(ISERROR(VLOOKUP($U$459,'TAR FIN'!$A$1:$O$103,15,0)),0,VLOOKUP($U$459,'TAR FIN'!$A$1:$O$103,15,0))</f>
        <v>284.36</v>
      </c>
      <c r="Y459" s="6"/>
      <c r="Z459" s="6">
        <f ca="1">('TUSD BE'!$AM$22+'TUSD BF_350'!$AM$22+'TUSD CVA'!$AM$22)*1</f>
        <v>110.85</v>
      </c>
      <c r="AA459" s="6">
        <f ca="1">('TE BE'!$AB$9+'TE BF_350'!$AB$9+'TE CVA'!$AB$9)*1</f>
        <v>247.20000000000002</v>
      </c>
      <c r="AB459" s="6">
        <f>$K$459*$V$459</f>
        <v>0</v>
      </c>
      <c r="AC459" s="6">
        <f>$M$459*$W$459</f>
        <v>609.20734000000004</v>
      </c>
      <c r="AD459" s="6">
        <f>$O$459*$X$459</f>
        <v>2497.2495200000003</v>
      </c>
      <c r="AE459" s="6">
        <f>$K$459*$Y$459</f>
        <v>0</v>
      </c>
      <c r="AF459" s="6">
        <f ca="1">$M$459*$Z$459</f>
        <v>973.48469999999998</v>
      </c>
      <c r="AG459" s="6">
        <f ca="1">$O$459*$AA$459</f>
        <v>2170.9104000000002</v>
      </c>
    </row>
    <row r="460" spans="1:33" ht="11.25" customHeight="1" x14ac:dyDescent="0.25">
      <c r="A460" s="4" t="s">
        <v>21</v>
      </c>
      <c r="B460" s="4" t="s">
        <v>33</v>
      </c>
      <c r="C460" s="4" t="s">
        <v>34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44348</v>
      </c>
      <c r="J460" s="6">
        <v>595</v>
      </c>
      <c r="K460" s="6">
        <v>595</v>
      </c>
      <c r="L460" s="6">
        <v>0</v>
      </c>
      <c r="M460" s="6">
        <v>0</v>
      </c>
      <c r="N460" s="6">
        <v>0</v>
      </c>
      <c r="O460" s="6">
        <v>0</v>
      </c>
      <c r="P460" s="6">
        <v>9</v>
      </c>
      <c r="Q460" s="4" t="s">
        <v>26</v>
      </c>
      <c r="R460" s="4">
        <v>0</v>
      </c>
      <c r="S460" s="6">
        <v>18</v>
      </c>
      <c r="T460" s="6">
        <v>0</v>
      </c>
      <c r="U460" s="6">
        <v>0</v>
      </c>
      <c r="V460" s="6">
        <f>IF(ISERROR(VLOOKUP($S$460,'TAR FIN'!$A$1:$O$103,15,0)),0,VLOOKUP($S$460,'TAR FIN'!$A$1:$O$103,15,0))</f>
        <v>12.42</v>
      </c>
      <c r="W460" s="6">
        <f>IF(ISERROR(VLOOKUP($T$460,'TAR FIN'!$A$1:$O$103,15,0)),0,VLOOKUP($T$460,'TAR FIN'!$A$1:$O$103,15,0))</f>
        <v>0</v>
      </c>
      <c r="X460" s="6">
        <f>IF(ISERROR(VLOOKUP($U$460,'TAR FIN'!$A$1:$O$103,15,0)),0,VLOOKUP($U$460,'TAR FIN'!$A$1:$O$103,15,0))</f>
        <v>0</v>
      </c>
      <c r="Y460" s="6">
        <f ca="1">('TUSD BE'!$AM$20+'TUSD BF_350'!$AM$20+'TUSD CVA'!$AM$20)*1</f>
        <v>17.579999999999998</v>
      </c>
      <c r="Z460" s="6"/>
      <c r="AA460" s="6"/>
      <c r="AB460" s="6">
        <f>$K$460*$V$460</f>
        <v>7389.9</v>
      </c>
      <c r="AC460" s="6">
        <f>$M$460*$W$460</f>
        <v>0</v>
      </c>
      <c r="AD460" s="6">
        <f>$O$460*$X$460</f>
        <v>0</v>
      </c>
      <c r="AE460" s="6">
        <f ca="1">$K$460*$Y$460</f>
        <v>10460.099999999999</v>
      </c>
      <c r="AF460" s="6">
        <f>$M$460*$Z$460</f>
        <v>0</v>
      </c>
      <c r="AG460" s="6">
        <f>$O$460*$AA$460</f>
        <v>0</v>
      </c>
    </row>
    <row r="461" spans="1:33" ht="11.25" customHeight="1" x14ac:dyDescent="0.25">
      <c r="A461" s="4" t="s">
        <v>28</v>
      </c>
      <c r="B461" s="4" t="s">
        <v>33</v>
      </c>
      <c r="C461" s="4" t="s">
        <v>34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44348</v>
      </c>
      <c r="J461" s="6">
        <v>40</v>
      </c>
      <c r="K461" s="6">
        <v>40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4" t="s">
        <v>26</v>
      </c>
      <c r="R461" s="4">
        <v>0</v>
      </c>
      <c r="S461" s="6">
        <v>18</v>
      </c>
      <c r="T461" s="6">
        <v>0</v>
      </c>
      <c r="U461" s="6">
        <v>0</v>
      </c>
      <c r="V461" s="6">
        <f>IF(ISERROR(VLOOKUP($S$461,'TAR FIN'!$A$1:$O$103,15,0)),0,VLOOKUP($S$461,'TAR FIN'!$A$1:$O$103,15,0))</f>
        <v>12.42</v>
      </c>
      <c r="W461" s="6">
        <f>IF(ISERROR(VLOOKUP($T$461,'TAR FIN'!$A$1:$O$103,15,0)),0,VLOOKUP($T$461,'TAR FIN'!$A$1:$O$103,15,0))</f>
        <v>0</v>
      </c>
      <c r="X461" s="6">
        <f>IF(ISERROR(VLOOKUP($U$461,'TAR FIN'!$A$1:$O$103,15,0)),0,VLOOKUP($U$461,'TAR FIN'!$A$1:$O$103,15,0))</f>
        <v>0</v>
      </c>
      <c r="Y461" s="6">
        <f ca="1">('TUSD BE'!$AM$20+'TUSD BF_350'!$AM$20+'TUSD CVA'!$AM$20)*1</f>
        <v>17.579999999999998</v>
      </c>
      <c r="Z461" s="6"/>
      <c r="AA461" s="6"/>
      <c r="AB461" s="6">
        <f>$K$461*$V$461</f>
        <v>496.8</v>
      </c>
      <c r="AC461" s="6">
        <f>$M$461*$W$461</f>
        <v>0</v>
      </c>
      <c r="AD461" s="6">
        <f>$O$461*$X$461</f>
        <v>0</v>
      </c>
      <c r="AE461" s="6">
        <f ca="1">$K$461*$Y$461</f>
        <v>703.19999999999993</v>
      </c>
      <c r="AF461" s="6">
        <f>$M$461*$Z$461</f>
        <v>0</v>
      </c>
      <c r="AG461" s="6">
        <f>$O$461*$AA$461</f>
        <v>0</v>
      </c>
    </row>
    <row r="462" spans="1:33" ht="11.25" customHeight="1" x14ac:dyDescent="0.25">
      <c r="A462" s="4" t="s">
        <v>21</v>
      </c>
      <c r="B462" s="4" t="s">
        <v>33</v>
      </c>
      <c r="C462" s="4" t="s">
        <v>34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44378</v>
      </c>
      <c r="J462" s="6">
        <v>591</v>
      </c>
      <c r="K462" s="6">
        <v>591</v>
      </c>
      <c r="L462" s="6">
        <v>0</v>
      </c>
      <c r="M462" s="6">
        <v>0</v>
      </c>
      <c r="N462" s="6">
        <v>0</v>
      </c>
      <c r="O462" s="6">
        <v>0</v>
      </c>
      <c r="P462" s="6">
        <v>9</v>
      </c>
      <c r="Q462" s="4" t="s">
        <v>26</v>
      </c>
      <c r="R462" s="4">
        <v>0</v>
      </c>
      <c r="S462" s="6">
        <v>18</v>
      </c>
      <c r="T462" s="6">
        <v>0</v>
      </c>
      <c r="U462" s="6">
        <v>0</v>
      </c>
      <c r="V462" s="6">
        <f>IF(ISERROR(VLOOKUP($S$462,'TAR FIN'!$A$1:$O$103,15,0)),0,VLOOKUP($S$462,'TAR FIN'!$A$1:$O$103,15,0))</f>
        <v>12.42</v>
      </c>
      <c r="W462" s="6">
        <f>IF(ISERROR(VLOOKUP($T$462,'TAR FIN'!$A$1:$O$103,15,0)),0,VLOOKUP($T$462,'TAR FIN'!$A$1:$O$103,15,0))</f>
        <v>0</v>
      </c>
      <c r="X462" s="6">
        <f>IF(ISERROR(VLOOKUP($U$462,'TAR FIN'!$A$1:$O$103,15,0)),0,VLOOKUP($U$462,'TAR FIN'!$A$1:$O$103,15,0))</f>
        <v>0</v>
      </c>
      <c r="Y462" s="6">
        <f ca="1">('TUSD BE'!$AM$20+'TUSD BF_350'!$AM$20+'TUSD CVA'!$AM$20)*1</f>
        <v>17.579999999999998</v>
      </c>
      <c r="Z462" s="6"/>
      <c r="AA462" s="6"/>
      <c r="AB462" s="6">
        <f>$K$462*$V$462</f>
        <v>7340.22</v>
      </c>
      <c r="AC462" s="6">
        <f>$M$462*$W$462</f>
        <v>0</v>
      </c>
      <c r="AD462" s="6">
        <f>$O$462*$X$462</f>
        <v>0</v>
      </c>
      <c r="AE462" s="6">
        <f ca="1">$K$462*$Y$462</f>
        <v>10389.779999999999</v>
      </c>
      <c r="AF462" s="6">
        <f>$M$462*$Z$462</f>
        <v>0</v>
      </c>
      <c r="AG462" s="6">
        <f>$O$462*$AA$462</f>
        <v>0</v>
      </c>
    </row>
    <row r="463" spans="1:33" ht="11.25" customHeight="1" x14ac:dyDescent="0.25">
      <c r="A463" s="4" t="s">
        <v>28</v>
      </c>
      <c r="B463" s="4" t="s">
        <v>33</v>
      </c>
      <c r="C463" s="4" t="s">
        <v>34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44378</v>
      </c>
      <c r="J463" s="6">
        <v>40</v>
      </c>
      <c r="K463" s="6">
        <v>40</v>
      </c>
      <c r="L463" s="6">
        <v>0</v>
      </c>
      <c r="M463" s="6">
        <v>0</v>
      </c>
      <c r="N463" s="6">
        <v>0</v>
      </c>
      <c r="O463" s="6">
        <v>0</v>
      </c>
      <c r="P463" s="6">
        <v>1</v>
      </c>
      <c r="Q463" s="4" t="s">
        <v>26</v>
      </c>
      <c r="R463" s="4">
        <v>0</v>
      </c>
      <c r="S463" s="6">
        <v>18</v>
      </c>
      <c r="T463" s="6">
        <v>0</v>
      </c>
      <c r="U463" s="6">
        <v>0</v>
      </c>
      <c r="V463" s="6">
        <f>IF(ISERROR(VLOOKUP($S$463,'TAR FIN'!$A$1:$O$103,15,0)),0,VLOOKUP($S$463,'TAR FIN'!$A$1:$O$103,15,0))</f>
        <v>12.42</v>
      </c>
      <c r="W463" s="6">
        <f>IF(ISERROR(VLOOKUP($T$463,'TAR FIN'!$A$1:$O$103,15,0)),0,VLOOKUP($T$463,'TAR FIN'!$A$1:$O$103,15,0))</f>
        <v>0</v>
      </c>
      <c r="X463" s="6">
        <f>IF(ISERROR(VLOOKUP($U$463,'TAR FIN'!$A$1:$O$103,15,0)),0,VLOOKUP($U$463,'TAR FIN'!$A$1:$O$103,15,0))</f>
        <v>0</v>
      </c>
      <c r="Y463" s="6">
        <f ca="1">('TUSD BE'!$AM$20+'TUSD BF_350'!$AM$20+'TUSD CVA'!$AM$20)*1</f>
        <v>17.579999999999998</v>
      </c>
      <c r="Z463" s="6"/>
      <c r="AA463" s="6"/>
      <c r="AB463" s="6">
        <f>$K$463*$V$463</f>
        <v>496.8</v>
      </c>
      <c r="AC463" s="6">
        <f>$M$463*$W$463</f>
        <v>0</v>
      </c>
      <c r="AD463" s="6">
        <f>$O$463*$X$463</f>
        <v>0</v>
      </c>
      <c r="AE463" s="6">
        <f ca="1">$K$463*$Y$463</f>
        <v>703.19999999999993</v>
      </c>
      <c r="AF463" s="6">
        <f>$M$463*$Z$463</f>
        <v>0</v>
      </c>
      <c r="AG463" s="6">
        <f>$O$463*$AA$463</f>
        <v>0</v>
      </c>
    </row>
    <row r="464" spans="1:33" ht="11.25" customHeight="1" x14ac:dyDescent="0.25">
      <c r="A464" s="4" t="s">
        <v>21</v>
      </c>
      <c r="B464" s="4" t="s">
        <v>33</v>
      </c>
      <c r="C464" s="4" t="s">
        <v>34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44409</v>
      </c>
      <c r="J464" s="6">
        <v>577</v>
      </c>
      <c r="K464" s="6">
        <v>577</v>
      </c>
      <c r="L464" s="6">
        <v>0</v>
      </c>
      <c r="M464" s="6">
        <v>0</v>
      </c>
      <c r="N464" s="6">
        <v>0</v>
      </c>
      <c r="O464" s="6">
        <v>0</v>
      </c>
      <c r="P464" s="6">
        <v>9</v>
      </c>
      <c r="Q464" s="4" t="s">
        <v>26</v>
      </c>
      <c r="R464" s="4">
        <v>0</v>
      </c>
      <c r="S464" s="6">
        <v>18</v>
      </c>
      <c r="T464" s="6">
        <v>0</v>
      </c>
      <c r="U464" s="6">
        <v>0</v>
      </c>
      <c r="V464" s="6">
        <f>IF(ISERROR(VLOOKUP($S$464,'TAR FIN'!$A$1:$O$103,15,0)),0,VLOOKUP($S$464,'TAR FIN'!$A$1:$O$103,15,0))</f>
        <v>12.42</v>
      </c>
      <c r="W464" s="6">
        <f>IF(ISERROR(VLOOKUP($T$464,'TAR FIN'!$A$1:$O$103,15,0)),0,VLOOKUP($T$464,'TAR FIN'!$A$1:$O$103,15,0))</f>
        <v>0</v>
      </c>
      <c r="X464" s="6">
        <f>IF(ISERROR(VLOOKUP($U$464,'TAR FIN'!$A$1:$O$103,15,0)),0,VLOOKUP($U$464,'TAR FIN'!$A$1:$O$103,15,0))</f>
        <v>0</v>
      </c>
      <c r="Y464" s="6">
        <f ca="1">('TUSD BE'!$AM$20+'TUSD BF_350'!$AM$20+'TUSD CVA'!$AM$20)*1</f>
        <v>17.579999999999998</v>
      </c>
      <c r="Z464" s="6"/>
      <c r="AA464" s="6"/>
      <c r="AB464" s="6">
        <f>$K$464*$V$464</f>
        <v>7166.34</v>
      </c>
      <c r="AC464" s="6">
        <f>$M$464*$W$464</f>
        <v>0</v>
      </c>
      <c r="AD464" s="6">
        <f>$O$464*$X$464</f>
        <v>0</v>
      </c>
      <c r="AE464" s="6">
        <f ca="1">$K$464*$Y$464</f>
        <v>10143.66</v>
      </c>
      <c r="AF464" s="6">
        <f>$M$464*$Z$464</f>
        <v>0</v>
      </c>
      <c r="AG464" s="6">
        <f>$O$464*$AA$464</f>
        <v>0</v>
      </c>
    </row>
    <row r="465" spans="1:33" ht="11.25" customHeight="1" x14ac:dyDescent="0.25">
      <c r="A465" s="4" t="s">
        <v>28</v>
      </c>
      <c r="B465" s="4" t="s">
        <v>33</v>
      </c>
      <c r="C465" s="4" t="s">
        <v>34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40</v>
      </c>
      <c r="K465" s="6">
        <v>40</v>
      </c>
      <c r="L465" s="6">
        <v>0</v>
      </c>
      <c r="M465" s="6">
        <v>0</v>
      </c>
      <c r="N465" s="6">
        <v>0</v>
      </c>
      <c r="O465" s="6">
        <v>0</v>
      </c>
      <c r="P465" s="6">
        <v>1</v>
      </c>
      <c r="Q465" s="4" t="s">
        <v>26</v>
      </c>
      <c r="R465" s="4">
        <v>0</v>
      </c>
      <c r="S465" s="6">
        <v>18</v>
      </c>
      <c r="T465" s="6">
        <v>0</v>
      </c>
      <c r="U465" s="6">
        <v>0</v>
      </c>
      <c r="V465" s="6">
        <f>IF(ISERROR(VLOOKUP($S$465,'TAR FIN'!$A$1:$O$103,15,0)),0,VLOOKUP($S$465,'TAR FIN'!$A$1:$O$103,15,0))</f>
        <v>12.42</v>
      </c>
      <c r="W465" s="6">
        <f>IF(ISERROR(VLOOKUP($T$465,'TAR FIN'!$A$1:$O$103,15,0)),0,VLOOKUP($T$465,'TAR FIN'!$A$1:$O$103,15,0))</f>
        <v>0</v>
      </c>
      <c r="X465" s="6">
        <f>IF(ISERROR(VLOOKUP($U$465,'TAR FIN'!$A$1:$O$103,15,0)),0,VLOOKUP($U$465,'TAR FIN'!$A$1:$O$103,15,0))</f>
        <v>0</v>
      </c>
      <c r="Y465" s="6">
        <f ca="1">('TUSD BE'!$AM$20+'TUSD BF_350'!$AM$20+'TUSD CVA'!$AM$20)*1</f>
        <v>17.579999999999998</v>
      </c>
      <c r="Z465" s="6"/>
      <c r="AA465" s="6"/>
      <c r="AB465" s="6">
        <f>$K$465*$V$465</f>
        <v>496.8</v>
      </c>
      <c r="AC465" s="6">
        <f>$M$465*$W$465</f>
        <v>0</v>
      </c>
      <c r="AD465" s="6">
        <f>$O$465*$X$465</f>
        <v>0</v>
      </c>
      <c r="AE465" s="6">
        <f ca="1">$K$465*$Y$465</f>
        <v>703.19999999999993</v>
      </c>
      <c r="AF465" s="6">
        <f>$M$465*$Z$465</f>
        <v>0</v>
      </c>
      <c r="AG465" s="6">
        <f>$O$465*$AA$465</f>
        <v>0</v>
      </c>
    </row>
    <row r="466" spans="1:33" ht="11.25" customHeight="1" x14ac:dyDescent="0.25">
      <c r="A466" s="4" t="s">
        <v>21</v>
      </c>
      <c r="B466" s="4" t="s">
        <v>33</v>
      </c>
      <c r="C466" s="4" t="s">
        <v>34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44440</v>
      </c>
      <c r="J466" s="6">
        <v>575</v>
      </c>
      <c r="K466" s="6">
        <v>575</v>
      </c>
      <c r="L466" s="6">
        <v>0</v>
      </c>
      <c r="M466" s="6">
        <v>0</v>
      </c>
      <c r="N466" s="6">
        <v>0</v>
      </c>
      <c r="O466" s="6">
        <v>0</v>
      </c>
      <c r="P466" s="6">
        <v>9</v>
      </c>
      <c r="Q466" s="4" t="s">
        <v>26</v>
      </c>
      <c r="R466" s="4">
        <v>0</v>
      </c>
      <c r="S466" s="6">
        <v>18</v>
      </c>
      <c r="T466" s="6">
        <v>0</v>
      </c>
      <c r="U466" s="6">
        <v>0</v>
      </c>
      <c r="V466" s="6">
        <f>IF(ISERROR(VLOOKUP($S$466,'TAR FIN'!$A$1:$O$103,15,0)),0,VLOOKUP($S$466,'TAR FIN'!$A$1:$O$103,15,0))</f>
        <v>12.42</v>
      </c>
      <c r="W466" s="6">
        <f>IF(ISERROR(VLOOKUP($T$466,'TAR FIN'!$A$1:$O$103,15,0)),0,VLOOKUP($T$466,'TAR FIN'!$A$1:$O$103,15,0))</f>
        <v>0</v>
      </c>
      <c r="X466" s="6">
        <f>IF(ISERROR(VLOOKUP($U$466,'TAR FIN'!$A$1:$O$103,15,0)),0,VLOOKUP($U$466,'TAR FIN'!$A$1:$O$103,15,0))</f>
        <v>0</v>
      </c>
      <c r="Y466" s="6">
        <f ca="1">('TUSD BE'!$AM$20+'TUSD BF_350'!$AM$20+'TUSD CVA'!$AM$20)*1</f>
        <v>17.579999999999998</v>
      </c>
      <c r="Z466" s="6"/>
      <c r="AA466" s="6"/>
      <c r="AB466" s="6">
        <f>$K$466*$V$466</f>
        <v>7141.5</v>
      </c>
      <c r="AC466" s="6">
        <f>$M$466*$W$466</f>
        <v>0</v>
      </c>
      <c r="AD466" s="6">
        <f>$O$466*$X$466</f>
        <v>0</v>
      </c>
      <c r="AE466" s="6">
        <f ca="1">$K$466*$Y$466</f>
        <v>10108.499999999998</v>
      </c>
      <c r="AF466" s="6">
        <f>$M$466*$Z$466</f>
        <v>0</v>
      </c>
      <c r="AG466" s="6">
        <f>$O$466*$AA$466</f>
        <v>0</v>
      </c>
    </row>
    <row r="467" spans="1:33" ht="11.25" customHeight="1" x14ac:dyDescent="0.25">
      <c r="A467" s="4" t="s">
        <v>28</v>
      </c>
      <c r="B467" s="4" t="s">
        <v>33</v>
      </c>
      <c r="C467" s="4" t="s">
        <v>34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44440</v>
      </c>
      <c r="J467" s="6">
        <v>40</v>
      </c>
      <c r="K467" s="6">
        <v>40</v>
      </c>
      <c r="L467" s="6">
        <v>0</v>
      </c>
      <c r="M467" s="6">
        <v>0</v>
      </c>
      <c r="N467" s="6">
        <v>0</v>
      </c>
      <c r="O467" s="6">
        <v>0</v>
      </c>
      <c r="P467" s="6">
        <v>1</v>
      </c>
      <c r="Q467" s="4" t="s">
        <v>26</v>
      </c>
      <c r="R467" s="4">
        <v>0</v>
      </c>
      <c r="S467" s="6">
        <v>18</v>
      </c>
      <c r="T467" s="6">
        <v>0</v>
      </c>
      <c r="U467" s="6">
        <v>0</v>
      </c>
      <c r="V467" s="6">
        <f>IF(ISERROR(VLOOKUP($S$467,'TAR FIN'!$A$1:$O$103,15,0)),0,VLOOKUP($S$467,'TAR FIN'!$A$1:$O$103,15,0))</f>
        <v>12.42</v>
      </c>
      <c r="W467" s="6">
        <f>IF(ISERROR(VLOOKUP($T$467,'TAR FIN'!$A$1:$O$103,15,0)),0,VLOOKUP($T$467,'TAR FIN'!$A$1:$O$103,15,0))</f>
        <v>0</v>
      </c>
      <c r="X467" s="6">
        <f>IF(ISERROR(VLOOKUP($U$467,'TAR FIN'!$A$1:$O$103,15,0)),0,VLOOKUP($U$467,'TAR FIN'!$A$1:$O$103,15,0))</f>
        <v>0</v>
      </c>
      <c r="Y467" s="6">
        <f ca="1">('TUSD BE'!$AM$20+'TUSD BF_350'!$AM$20+'TUSD CVA'!$AM$20)*1</f>
        <v>17.579999999999998</v>
      </c>
      <c r="Z467" s="6"/>
      <c r="AA467" s="6"/>
      <c r="AB467" s="6">
        <f>$K$467*$V$467</f>
        <v>496.8</v>
      </c>
      <c r="AC467" s="6">
        <f>$M$467*$W$467</f>
        <v>0</v>
      </c>
      <c r="AD467" s="6">
        <f>$O$467*$X$467</f>
        <v>0</v>
      </c>
      <c r="AE467" s="6">
        <f ca="1">$K$467*$Y$467</f>
        <v>703.19999999999993</v>
      </c>
      <c r="AF467" s="6">
        <f>$M$467*$Z$467</f>
        <v>0</v>
      </c>
      <c r="AG467" s="6">
        <f>$O$467*$AA$467</f>
        <v>0</v>
      </c>
    </row>
    <row r="468" spans="1:33" ht="11.25" customHeight="1" x14ac:dyDescent="0.25">
      <c r="A468" s="4" t="s">
        <v>21</v>
      </c>
      <c r="B468" s="4" t="s">
        <v>33</v>
      </c>
      <c r="C468" s="4" t="s">
        <v>34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44470</v>
      </c>
      <c r="J468" s="6">
        <v>575</v>
      </c>
      <c r="K468" s="6">
        <v>575</v>
      </c>
      <c r="L468" s="6">
        <v>0</v>
      </c>
      <c r="M468" s="6">
        <v>0</v>
      </c>
      <c r="N468" s="6">
        <v>0</v>
      </c>
      <c r="O468" s="6">
        <v>0</v>
      </c>
      <c r="P468" s="6">
        <v>9</v>
      </c>
      <c r="Q468" s="4" t="s">
        <v>26</v>
      </c>
      <c r="R468" s="4">
        <v>0</v>
      </c>
      <c r="S468" s="6">
        <v>18</v>
      </c>
      <c r="T468" s="6">
        <v>0</v>
      </c>
      <c r="U468" s="6">
        <v>0</v>
      </c>
      <c r="V468" s="6">
        <f>IF(ISERROR(VLOOKUP($S$468,'TAR FIN'!$A$1:$O$103,15,0)),0,VLOOKUP($S$468,'TAR FIN'!$A$1:$O$103,15,0))</f>
        <v>12.42</v>
      </c>
      <c r="W468" s="6">
        <f>IF(ISERROR(VLOOKUP($T$468,'TAR FIN'!$A$1:$O$103,15,0)),0,VLOOKUP($T$468,'TAR FIN'!$A$1:$O$103,15,0))</f>
        <v>0</v>
      </c>
      <c r="X468" s="6">
        <f>IF(ISERROR(VLOOKUP($U$468,'TAR FIN'!$A$1:$O$103,15,0)),0,VLOOKUP($U$468,'TAR FIN'!$A$1:$O$103,15,0))</f>
        <v>0</v>
      </c>
      <c r="Y468" s="6">
        <f ca="1">('TUSD BE'!$AM$20+'TUSD BF_350'!$AM$20+'TUSD CVA'!$AM$20)*1</f>
        <v>17.579999999999998</v>
      </c>
      <c r="Z468" s="6"/>
      <c r="AA468" s="6"/>
      <c r="AB468" s="6">
        <f>$K$468*$V$468</f>
        <v>7141.5</v>
      </c>
      <c r="AC468" s="6">
        <f>$M$468*$W$468</f>
        <v>0</v>
      </c>
      <c r="AD468" s="6">
        <f>$O$468*$X$468</f>
        <v>0</v>
      </c>
      <c r="AE468" s="6">
        <f ca="1">$K$468*$Y$468</f>
        <v>10108.499999999998</v>
      </c>
      <c r="AF468" s="6">
        <f>$M$468*$Z$468</f>
        <v>0</v>
      </c>
      <c r="AG468" s="6">
        <f>$O$468*$AA$468</f>
        <v>0</v>
      </c>
    </row>
    <row r="469" spans="1:33" ht="11.25" customHeight="1" x14ac:dyDescent="0.25">
      <c r="A469" s="4" t="s">
        <v>28</v>
      </c>
      <c r="B469" s="4" t="s">
        <v>33</v>
      </c>
      <c r="C469" s="4" t="s">
        <v>34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40</v>
      </c>
      <c r="K469" s="6">
        <v>40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4" t="s">
        <v>26</v>
      </c>
      <c r="R469" s="4">
        <v>0</v>
      </c>
      <c r="S469" s="6">
        <v>18</v>
      </c>
      <c r="T469" s="6">
        <v>0</v>
      </c>
      <c r="U469" s="6">
        <v>0</v>
      </c>
      <c r="V469" s="6">
        <f>IF(ISERROR(VLOOKUP($S$469,'TAR FIN'!$A$1:$O$103,15,0)),0,VLOOKUP($S$469,'TAR FIN'!$A$1:$O$103,15,0))</f>
        <v>12.42</v>
      </c>
      <c r="W469" s="6">
        <f>IF(ISERROR(VLOOKUP($T$469,'TAR FIN'!$A$1:$O$103,15,0)),0,VLOOKUP($T$469,'TAR FIN'!$A$1:$O$103,15,0))</f>
        <v>0</v>
      </c>
      <c r="X469" s="6">
        <f>IF(ISERROR(VLOOKUP($U$469,'TAR FIN'!$A$1:$O$103,15,0)),0,VLOOKUP($U$469,'TAR FIN'!$A$1:$O$103,15,0))</f>
        <v>0</v>
      </c>
      <c r="Y469" s="6">
        <f ca="1">('TUSD BE'!$AM$20+'TUSD BF_350'!$AM$20+'TUSD CVA'!$AM$20)*1</f>
        <v>17.579999999999998</v>
      </c>
      <c r="Z469" s="6"/>
      <c r="AA469" s="6"/>
      <c r="AB469" s="6">
        <f>$K$469*$V$469</f>
        <v>496.8</v>
      </c>
      <c r="AC469" s="6">
        <f>$M$469*$W$469</f>
        <v>0</v>
      </c>
      <c r="AD469" s="6">
        <f>$O$469*$X$469</f>
        <v>0</v>
      </c>
      <c r="AE469" s="6">
        <f ca="1">$K$469*$Y$469</f>
        <v>703.19999999999993</v>
      </c>
      <c r="AF469" s="6">
        <f>$M$469*$Z$469</f>
        <v>0</v>
      </c>
      <c r="AG469" s="6">
        <f>$O$469*$AA$469</f>
        <v>0</v>
      </c>
    </row>
    <row r="470" spans="1:33" ht="11.25" customHeight="1" x14ac:dyDescent="0.25">
      <c r="A470" s="4" t="s">
        <v>21</v>
      </c>
      <c r="B470" s="4" t="s">
        <v>33</v>
      </c>
      <c r="C470" s="4" t="s">
        <v>34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588</v>
      </c>
      <c r="K470" s="6">
        <v>588</v>
      </c>
      <c r="L470" s="6">
        <v>0</v>
      </c>
      <c r="M470" s="6">
        <v>0</v>
      </c>
      <c r="N470" s="6">
        <v>0</v>
      </c>
      <c r="O470" s="6">
        <v>0</v>
      </c>
      <c r="P470" s="6">
        <v>9</v>
      </c>
      <c r="Q470" s="4" t="s">
        <v>26</v>
      </c>
      <c r="R470" s="4">
        <v>0</v>
      </c>
      <c r="S470" s="6">
        <v>18</v>
      </c>
      <c r="T470" s="6">
        <v>0</v>
      </c>
      <c r="U470" s="6">
        <v>0</v>
      </c>
      <c r="V470" s="6">
        <f>IF(ISERROR(VLOOKUP($S$470,'TAR FIN'!$A$1:$O$103,15,0)),0,VLOOKUP($S$470,'TAR FIN'!$A$1:$O$103,15,0))</f>
        <v>12.42</v>
      </c>
      <c r="W470" s="6">
        <f>IF(ISERROR(VLOOKUP($T$470,'TAR FIN'!$A$1:$O$103,15,0)),0,VLOOKUP($T$470,'TAR FIN'!$A$1:$O$103,15,0))</f>
        <v>0</v>
      </c>
      <c r="X470" s="6">
        <f>IF(ISERROR(VLOOKUP($U$470,'TAR FIN'!$A$1:$O$103,15,0)),0,VLOOKUP($U$470,'TAR FIN'!$A$1:$O$103,15,0))</f>
        <v>0</v>
      </c>
      <c r="Y470" s="6">
        <f ca="1">('TUSD BE'!$AM$20+'TUSD BF_350'!$AM$20+'TUSD CVA'!$AM$20)*1</f>
        <v>17.579999999999998</v>
      </c>
      <c r="Z470" s="6"/>
      <c r="AA470" s="6"/>
      <c r="AB470" s="6">
        <f>$K$470*$V$470</f>
        <v>7302.96</v>
      </c>
      <c r="AC470" s="6">
        <f>$M$470*$W$470</f>
        <v>0</v>
      </c>
      <c r="AD470" s="6">
        <f>$O$470*$X$470</f>
        <v>0</v>
      </c>
      <c r="AE470" s="6">
        <f ca="1">$K$470*$Y$470</f>
        <v>10337.039999999999</v>
      </c>
      <c r="AF470" s="6">
        <f>$M$470*$Z$470</f>
        <v>0</v>
      </c>
      <c r="AG470" s="6">
        <f>$O$470*$AA$470</f>
        <v>0</v>
      </c>
    </row>
    <row r="471" spans="1:33" ht="11.25" customHeight="1" x14ac:dyDescent="0.25">
      <c r="A471" s="4" t="s">
        <v>28</v>
      </c>
      <c r="B471" s="4" t="s">
        <v>33</v>
      </c>
      <c r="C471" s="4" t="s">
        <v>34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44501</v>
      </c>
      <c r="J471" s="6">
        <v>40</v>
      </c>
      <c r="K471" s="6">
        <v>40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26</v>
      </c>
      <c r="R471" s="4">
        <v>0</v>
      </c>
      <c r="S471" s="6">
        <v>18</v>
      </c>
      <c r="T471" s="6">
        <v>0</v>
      </c>
      <c r="U471" s="6">
        <v>0</v>
      </c>
      <c r="V471" s="6">
        <f>IF(ISERROR(VLOOKUP($S$471,'TAR FIN'!$A$1:$O$103,15,0)),0,VLOOKUP($S$471,'TAR FIN'!$A$1:$O$103,15,0))</f>
        <v>12.42</v>
      </c>
      <c r="W471" s="6">
        <f>IF(ISERROR(VLOOKUP($T$471,'TAR FIN'!$A$1:$O$103,15,0)),0,VLOOKUP($T$471,'TAR FIN'!$A$1:$O$103,15,0))</f>
        <v>0</v>
      </c>
      <c r="X471" s="6">
        <f>IF(ISERROR(VLOOKUP($U$471,'TAR FIN'!$A$1:$O$103,15,0)),0,VLOOKUP($U$471,'TAR FIN'!$A$1:$O$103,15,0))</f>
        <v>0</v>
      </c>
      <c r="Y471" s="6">
        <f ca="1">('TUSD BE'!$AM$20+'TUSD BF_350'!$AM$20+'TUSD CVA'!$AM$20)*1</f>
        <v>17.579999999999998</v>
      </c>
      <c r="Z471" s="6"/>
      <c r="AA471" s="6"/>
      <c r="AB471" s="6">
        <f>$K$471*$V$471</f>
        <v>496.8</v>
      </c>
      <c r="AC471" s="6">
        <f>$M$471*$W$471</f>
        <v>0</v>
      </c>
      <c r="AD471" s="6">
        <f>$O$471*$X$471</f>
        <v>0</v>
      </c>
      <c r="AE471" s="6">
        <f ca="1">$K$471*$Y$471</f>
        <v>703.19999999999993</v>
      </c>
      <c r="AF471" s="6">
        <f>$M$471*$Z$471</f>
        <v>0</v>
      </c>
      <c r="AG471" s="6">
        <f>$O$471*$AA$471</f>
        <v>0</v>
      </c>
    </row>
    <row r="472" spans="1:33" ht="11.25" customHeight="1" x14ac:dyDescent="0.25">
      <c r="A472" s="4" t="s">
        <v>21</v>
      </c>
      <c r="B472" s="4" t="s">
        <v>33</v>
      </c>
      <c r="C472" s="4" t="s">
        <v>34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44531</v>
      </c>
      <c r="J472" s="6">
        <v>607</v>
      </c>
      <c r="K472" s="6">
        <v>607</v>
      </c>
      <c r="L472" s="6">
        <v>0</v>
      </c>
      <c r="M472" s="6">
        <v>0</v>
      </c>
      <c r="N472" s="6">
        <v>0</v>
      </c>
      <c r="O472" s="6">
        <v>0</v>
      </c>
      <c r="P472" s="6">
        <v>9</v>
      </c>
      <c r="Q472" s="4" t="s">
        <v>26</v>
      </c>
      <c r="R472" s="4">
        <v>0</v>
      </c>
      <c r="S472" s="6">
        <v>18</v>
      </c>
      <c r="T472" s="6">
        <v>0</v>
      </c>
      <c r="U472" s="6">
        <v>0</v>
      </c>
      <c r="V472" s="6">
        <f>IF(ISERROR(VLOOKUP($S$472,'TAR FIN'!$A$1:$O$103,15,0)),0,VLOOKUP($S$472,'TAR FIN'!$A$1:$O$103,15,0))</f>
        <v>12.42</v>
      </c>
      <c r="W472" s="6">
        <f>IF(ISERROR(VLOOKUP($T$472,'TAR FIN'!$A$1:$O$103,15,0)),0,VLOOKUP($T$472,'TAR FIN'!$A$1:$O$103,15,0))</f>
        <v>0</v>
      </c>
      <c r="X472" s="6">
        <f>IF(ISERROR(VLOOKUP($U$472,'TAR FIN'!$A$1:$O$103,15,0)),0,VLOOKUP($U$472,'TAR FIN'!$A$1:$O$103,15,0))</f>
        <v>0</v>
      </c>
      <c r="Y472" s="6">
        <f ca="1">('TUSD BE'!$AM$20+'TUSD BF_350'!$AM$20+'TUSD CVA'!$AM$20)*1</f>
        <v>17.579999999999998</v>
      </c>
      <c r="Z472" s="6"/>
      <c r="AA472" s="6"/>
      <c r="AB472" s="6">
        <f>$K$472*$V$472</f>
        <v>7538.94</v>
      </c>
      <c r="AC472" s="6">
        <f>$M$472*$W$472</f>
        <v>0</v>
      </c>
      <c r="AD472" s="6">
        <f>$O$472*$X$472</f>
        <v>0</v>
      </c>
      <c r="AE472" s="6">
        <f ca="1">$K$472*$Y$472</f>
        <v>10671.06</v>
      </c>
      <c r="AF472" s="6">
        <f>$M$472*$Z$472</f>
        <v>0</v>
      </c>
      <c r="AG472" s="6">
        <f>$O$472*$AA$472</f>
        <v>0</v>
      </c>
    </row>
    <row r="473" spans="1:33" ht="11.25" customHeight="1" x14ac:dyDescent="0.25">
      <c r="A473" s="4" t="s">
        <v>28</v>
      </c>
      <c r="B473" s="4" t="s">
        <v>33</v>
      </c>
      <c r="C473" s="4" t="s">
        <v>34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44531</v>
      </c>
      <c r="J473" s="6">
        <v>40</v>
      </c>
      <c r="K473" s="6">
        <v>40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4" t="s">
        <v>26</v>
      </c>
      <c r="R473" s="4">
        <v>0</v>
      </c>
      <c r="S473" s="6">
        <v>18</v>
      </c>
      <c r="T473" s="6">
        <v>0</v>
      </c>
      <c r="U473" s="6">
        <v>0</v>
      </c>
      <c r="V473" s="6">
        <f>IF(ISERROR(VLOOKUP($S$473,'TAR FIN'!$A$1:$O$103,15,0)),0,VLOOKUP($S$473,'TAR FIN'!$A$1:$O$103,15,0))</f>
        <v>12.42</v>
      </c>
      <c r="W473" s="6">
        <f>IF(ISERROR(VLOOKUP($T$473,'TAR FIN'!$A$1:$O$103,15,0)),0,VLOOKUP($T$473,'TAR FIN'!$A$1:$O$103,15,0))</f>
        <v>0</v>
      </c>
      <c r="X473" s="6">
        <f>IF(ISERROR(VLOOKUP($U$473,'TAR FIN'!$A$1:$O$103,15,0)),0,VLOOKUP($U$473,'TAR FIN'!$A$1:$O$103,15,0))</f>
        <v>0</v>
      </c>
      <c r="Y473" s="6">
        <f ca="1">('TUSD BE'!$AM$20+'TUSD BF_350'!$AM$20+'TUSD CVA'!$AM$20)*1</f>
        <v>17.579999999999998</v>
      </c>
      <c r="Z473" s="6"/>
      <c r="AA473" s="6"/>
      <c r="AB473" s="6">
        <f>$K$473*$V$473</f>
        <v>496.8</v>
      </c>
      <c r="AC473" s="6">
        <f>$M$473*$W$473</f>
        <v>0</v>
      </c>
      <c r="AD473" s="6">
        <f>$O$473*$X$473</f>
        <v>0</v>
      </c>
      <c r="AE473" s="6">
        <f ca="1">$K$473*$Y$473</f>
        <v>703.19999999999993</v>
      </c>
      <c r="AF473" s="6">
        <f>$M$473*$Z$473</f>
        <v>0</v>
      </c>
      <c r="AG473" s="6">
        <f>$O$473*$AA$473</f>
        <v>0</v>
      </c>
    </row>
    <row r="474" spans="1:33" ht="11.25" customHeight="1" x14ac:dyDescent="0.25">
      <c r="A474" s="4" t="s">
        <v>21</v>
      </c>
      <c r="B474" s="4" t="s">
        <v>33</v>
      </c>
      <c r="C474" s="4" t="s">
        <v>34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44562</v>
      </c>
      <c r="J474" s="6">
        <v>599</v>
      </c>
      <c r="K474" s="6">
        <v>599</v>
      </c>
      <c r="L474" s="6">
        <v>0</v>
      </c>
      <c r="M474" s="6">
        <v>0</v>
      </c>
      <c r="N474" s="6">
        <v>0</v>
      </c>
      <c r="O474" s="6">
        <v>0</v>
      </c>
      <c r="P474" s="6">
        <v>9</v>
      </c>
      <c r="Q474" s="4" t="s">
        <v>26</v>
      </c>
      <c r="R474" s="4">
        <v>0</v>
      </c>
      <c r="S474" s="6">
        <v>18</v>
      </c>
      <c r="T474" s="6">
        <v>0</v>
      </c>
      <c r="U474" s="6">
        <v>0</v>
      </c>
      <c r="V474" s="6">
        <f>IF(ISERROR(VLOOKUP($S$474,'TAR FIN'!$A$1:$O$103,15,0)),0,VLOOKUP($S$474,'TAR FIN'!$A$1:$O$103,15,0))</f>
        <v>12.42</v>
      </c>
      <c r="W474" s="6">
        <f>IF(ISERROR(VLOOKUP($T$474,'TAR FIN'!$A$1:$O$103,15,0)),0,VLOOKUP($T$474,'TAR FIN'!$A$1:$O$103,15,0))</f>
        <v>0</v>
      </c>
      <c r="X474" s="6">
        <f>IF(ISERROR(VLOOKUP($U$474,'TAR FIN'!$A$1:$O$103,15,0)),0,VLOOKUP($U$474,'TAR FIN'!$A$1:$O$103,15,0))</f>
        <v>0</v>
      </c>
      <c r="Y474" s="6">
        <f ca="1">('TUSD BE'!$AM$20+'TUSD BF_350'!$AM$20+'TUSD CVA'!$AM$20)*1</f>
        <v>17.579999999999998</v>
      </c>
      <c r="Z474" s="6"/>
      <c r="AA474" s="6"/>
      <c r="AB474" s="6">
        <f>$K$474*$V$474</f>
        <v>7439.58</v>
      </c>
      <c r="AC474" s="6">
        <f>$M$474*$W$474</f>
        <v>0</v>
      </c>
      <c r="AD474" s="6">
        <f>$O$474*$X$474</f>
        <v>0</v>
      </c>
      <c r="AE474" s="6">
        <f ca="1">$K$474*$Y$474</f>
        <v>10530.419999999998</v>
      </c>
      <c r="AF474" s="6">
        <f>$M$474*$Z$474</f>
        <v>0</v>
      </c>
      <c r="AG474" s="6">
        <f>$O$474*$AA$474</f>
        <v>0</v>
      </c>
    </row>
    <row r="475" spans="1:33" ht="11.25" customHeight="1" x14ac:dyDescent="0.25">
      <c r="A475" s="4" t="s">
        <v>28</v>
      </c>
      <c r="B475" s="4" t="s">
        <v>33</v>
      </c>
      <c r="C475" s="4" t="s">
        <v>34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44562</v>
      </c>
      <c r="J475" s="6">
        <v>40</v>
      </c>
      <c r="K475" s="6">
        <v>40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4" t="s">
        <v>26</v>
      </c>
      <c r="R475" s="4">
        <v>0</v>
      </c>
      <c r="S475" s="6">
        <v>18</v>
      </c>
      <c r="T475" s="6">
        <v>0</v>
      </c>
      <c r="U475" s="6">
        <v>0</v>
      </c>
      <c r="V475" s="6">
        <f>IF(ISERROR(VLOOKUP($S$475,'TAR FIN'!$A$1:$O$103,15,0)),0,VLOOKUP($S$475,'TAR FIN'!$A$1:$O$103,15,0))</f>
        <v>12.42</v>
      </c>
      <c r="W475" s="6">
        <f>IF(ISERROR(VLOOKUP($T$475,'TAR FIN'!$A$1:$O$103,15,0)),0,VLOOKUP($T$475,'TAR FIN'!$A$1:$O$103,15,0))</f>
        <v>0</v>
      </c>
      <c r="X475" s="6">
        <f>IF(ISERROR(VLOOKUP($U$475,'TAR FIN'!$A$1:$O$103,15,0)),0,VLOOKUP($U$475,'TAR FIN'!$A$1:$O$103,15,0))</f>
        <v>0</v>
      </c>
      <c r="Y475" s="6">
        <f ca="1">('TUSD BE'!$AM$20+'TUSD BF_350'!$AM$20+'TUSD CVA'!$AM$20)*1</f>
        <v>17.579999999999998</v>
      </c>
      <c r="Z475" s="6"/>
      <c r="AA475" s="6"/>
      <c r="AB475" s="6">
        <f>$K$475*$V$475</f>
        <v>496.8</v>
      </c>
      <c r="AC475" s="6">
        <f>$M$475*$W$475</f>
        <v>0</v>
      </c>
      <c r="AD475" s="6">
        <f>$O$475*$X$475</f>
        <v>0</v>
      </c>
      <c r="AE475" s="6">
        <f ca="1">$K$475*$Y$475</f>
        <v>703.19999999999993</v>
      </c>
      <c r="AF475" s="6">
        <f>$M$475*$Z$475</f>
        <v>0</v>
      </c>
      <c r="AG475" s="6">
        <f>$O$475*$AA$475</f>
        <v>0</v>
      </c>
    </row>
    <row r="476" spans="1:33" ht="11.25" customHeight="1" x14ac:dyDescent="0.25">
      <c r="A476" s="4" t="s">
        <v>21</v>
      </c>
      <c r="B476" s="4" t="s">
        <v>33</v>
      </c>
      <c r="C476" s="4" t="s">
        <v>34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44593</v>
      </c>
      <c r="J476" s="6">
        <v>610</v>
      </c>
      <c r="K476" s="6">
        <v>610</v>
      </c>
      <c r="L476" s="6">
        <v>0</v>
      </c>
      <c r="M476" s="6">
        <v>0</v>
      </c>
      <c r="N476" s="6">
        <v>0</v>
      </c>
      <c r="O476" s="6">
        <v>0</v>
      </c>
      <c r="P476" s="6">
        <v>9</v>
      </c>
      <c r="Q476" s="4" t="s">
        <v>26</v>
      </c>
      <c r="R476" s="4">
        <v>0</v>
      </c>
      <c r="S476" s="6">
        <v>18</v>
      </c>
      <c r="T476" s="6">
        <v>0</v>
      </c>
      <c r="U476" s="6">
        <v>0</v>
      </c>
      <c r="V476" s="6">
        <f>IF(ISERROR(VLOOKUP($S$476,'TAR FIN'!$A$1:$O$103,15,0)),0,VLOOKUP($S$476,'TAR FIN'!$A$1:$O$103,15,0))</f>
        <v>12.42</v>
      </c>
      <c r="W476" s="6">
        <f>IF(ISERROR(VLOOKUP($T$476,'TAR FIN'!$A$1:$O$103,15,0)),0,VLOOKUP($T$476,'TAR FIN'!$A$1:$O$103,15,0))</f>
        <v>0</v>
      </c>
      <c r="X476" s="6">
        <f>IF(ISERROR(VLOOKUP($U$476,'TAR FIN'!$A$1:$O$103,15,0)),0,VLOOKUP($U$476,'TAR FIN'!$A$1:$O$103,15,0))</f>
        <v>0</v>
      </c>
      <c r="Y476" s="6">
        <f ca="1">('TUSD BE'!$AM$20+'TUSD BF_350'!$AM$20+'TUSD CVA'!$AM$20)*1</f>
        <v>17.579999999999998</v>
      </c>
      <c r="Z476" s="6"/>
      <c r="AA476" s="6"/>
      <c r="AB476" s="6">
        <f>$K$476*$V$476</f>
        <v>7576.2</v>
      </c>
      <c r="AC476" s="6">
        <f>$M$476*$W$476</f>
        <v>0</v>
      </c>
      <c r="AD476" s="6">
        <f>$O$476*$X$476</f>
        <v>0</v>
      </c>
      <c r="AE476" s="6">
        <f ca="1">$K$476*$Y$476</f>
        <v>10723.8</v>
      </c>
      <c r="AF476" s="6">
        <f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33</v>
      </c>
      <c r="C477" s="4" t="s">
        <v>34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44621</v>
      </c>
      <c r="J477" s="6">
        <v>627</v>
      </c>
      <c r="K477" s="6">
        <v>627</v>
      </c>
      <c r="L477" s="6">
        <v>0</v>
      </c>
      <c r="M477" s="6">
        <v>0</v>
      </c>
      <c r="N477" s="6">
        <v>0</v>
      </c>
      <c r="O477" s="6">
        <v>0</v>
      </c>
      <c r="P477" s="6">
        <v>9</v>
      </c>
      <c r="Q477" s="4" t="s">
        <v>26</v>
      </c>
      <c r="R477" s="4">
        <v>0</v>
      </c>
      <c r="S477" s="6">
        <v>18</v>
      </c>
      <c r="T477" s="6">
        <v>0</v>
      </c>
      <c r="U477" s="6">
        <v>0</v>
      </c>
      <c r="V477" s="6">
        <f>IF(ISERROR(VLOOKUP($S$477,'TAR FIN'!$A$1:$O$103,15,0)),0,VLOOKUP($S$477,'TAR FIN'!$A$1:$O$103,15,0))</f>
        <v>12.42</v>
      </c>
      <c r="W477" s="6">
        <f>IF(ISERROR(VLOOKUP($T$477,'TAR FIN'!$A$1:$O$103,15,0)),0,VLOOKUP($T$477,'TAR FIN'!$A$1:$O$103,15,0))</f>
        <v>0</v>
      </c>
      <c r="X477" s="6">
        <f>IF(ISERROR(VLOOKUP($U$477,'TAR FIN'!$A$1:$O$103,15,0)),0,VLOOKUP($U$477,'TAR FIN'!$A$1:$O$103,15,0))</f>
        <v>0</v>
      </c>
      <c r="Y477" s="6">
        <f ca="1">('TUSD BE'!$AM$20+'TUSD BF_350'!$AM$20+'TUSD CVA'!$AM$20)*1</f>
        <v>17.579999999999998</v>
      </c>
      <c r="Z477" s="6"/>
      <c r="AA477" s="6"/>
      <c r="AB477" s="6">
        <f>$K$477*$V$477</f>
        <v>7787.34</v>
      </c>
      <c r="AC477" s="6">
        <f>$M$477*$W$477</f>
        <v>0</v>
      </c>
      <c r="AD477" s="6">
        <f>$O$477*$X$477</f>
        <v>0</v>
      </c>
      <c r="AE477" s="6">
        <f ca="1">$K$477*$Y$477</f>
        <v>11022.659999999998</v>
      </c>
      <c r="AF477" s="6">
        <f>$M$477*$Z$477</f>
        <v>0</v>
      </c>
      <c r="AG477" s="6">
        <f>$O$477*$AA$477</f>
        <v>0</v>
      </c>
    </row>
    <row r="478" spans="1:33" ht="11.25" customHeight="1" x14ac:dyDescent="0.25">
      <c r="A478" s="4" t="s">
        <v>28</v>
      </c>
      <c r="B478" s="4" t="s">
        <v>33</v>
      </c>
      <c r="C478" s="4" t="s">
        <v>34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44621</v>
      </c>
      <c r="J478" s="6">
        <v>42</v>
      </c>
      <c r="K478" s="6">
        <v>42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6">
        <v>18</v>
      </c>
      <c r="T478" s="6">
        <v>0</v>
      </c>
      <c r="U478" s="6">
        <v>0</v>
      </c>
      <c r="V478" s="6">
        <f>IF(ISERROR(VLOOKUP($S$478,'TAR FIN'!$A$1:$O$103,15,0)),0,VLOOKUP($S$478,'TAR FIN'!$A$1:$O$103,15,0))</f>
        <v>12.42</v>
      </c>
      <c r="W478" s="6">
        <f>IF(ISERROR(VLOOKUP($T$478,'TAR FIN'!$A$1:$O$103,15,0)),0,VLOOKUP($T$478,'TAR FIN'!$A$1:$O$103,15,0))</f>
        <v>0</v>
      </c>
      <c r="X478" s="6">
        <f>IF(ISERROR(VLOOKUP($U$478,'TAR FIN'!$A$1:$O$103,15,0)),0,VLOOKUP($U$478,'TAR FIN'!$A$1:$O$103,15,0))</f>
        <v>0</v>
      </c>
      <c r="Y478" s="6">
        <f ca="1">('TUSD BE'!$AM$20+'TUSD BF_350'!$AM$20+'TUSD CVA'!$AM$20)*1</f>
        <v>17.579999999999998</v>
      </c>
      <c r="Z478" s="6"/>
      <c r="AA478" s="6"/>
      <c r="AB478" s="6">
        <f>$K$478*$V$478</f>
        <v>521.64</v>
      </c>
      <c r="AC478" s="6">
        <f>$M$478*$W$478</f>
        <v>0</v>
      </c>
      <c r="AD478" s="6">
        <f>$O$478*$X$478</f>
        <v>0</v>
      </c>
      <c r="AE478" s="6">
        <f ca="1">$K$478*$Y$478</f>
        <v>738.3599999999999</v>
      </c>
      <c r="AF478" s="6">
        <f>$M$478*$Z$478</f>
        <v>0</v>
      </c>
      <c r="AG478" s="6">
        <f>$O$478*$AA$478</f>
        <v>0</v>
      </c>
    </row>
    <row r="479" spans="1:33" ht="11.25" customHeight="1" x14ac:dyDescent="0.25">
      <c r="A479" s="4" t="s">
        <v>21</v>
      </c>
      <c r="B479" s="4" t="s">
        <v>33</v>
      </c>
      <c r="C479" s="4" t="s">
        <v>34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44652</v>
      </c>
      <c r="J479" s="6">
        <v>575</v>
      </c>
      <c r="K479" s="6">
        <v>575</v>
      </c>
      <c r="L479" s="6">
        <v>0</v>
      </c>
      <c r="M479" s="6">
        <v>0</v>
      </c>
      <c r="N479" s="6">
        <v>0</v>
      </c>
      <c r="O479" s="6">
        <v>0</v>
      </c>
      <c r="P479" s="6">
        <v>9</v>
      </c>
      <c r="Q479" s="4" t="s">
        <v>26</v>
      </c>
      <c r="R479" s="4">
        <v>0</v>
      </c>
      <c r="S479" s="6">
        <v>18</v>
      </c>
      <c r="T479" s="6">
        <v>0</v>
      </c>
      <c r="U479" s="6">
        <v>0</v>
      </c>
      <c r="V479" s="6">
        <f>IF(ISERROR(VLOOKUP($S$479,'TAR FIN'!$A$1:$O$103,15,0)),0,VLOOKUP($S$479,'TAR FIN'!$A$1:$O$103,15,0))</f>
        <v>12.42</v>
      </c>
      <c r="W479" s="6">
        <f>IF(ISERROR(VLOOKUP($T$479,'TAR FIN'!$A$1:$O$103,15,0)),0,VLOOKUP($T$479,'TAR FIN'!$A$1:$O$103,15,0))</f>
        <v>0</v>
      </c>
      <c r="X479" s="6">
        <f>IF(ISERROR(VLOOKUP($U$479,'TAR FIN'!$A$1:$O$103,15,0)),0,VLOOKUP($U$479,'TAR FIN'!$A$1:$O$103,15,0))</f>
        <v>0</v>
      </c>
      <c r="Y479" s="6">
        <f ca="1">('TUSD BE'!$AM$20+'TUSD BF_350'!$AM$20+'TUSD CVA'!$AM$20)*1</f>
        <v>17.579999999999998</v>
      </c>
      <c r="Z479" s="6"/>
      <c r="AA479" s="6"/>
      <c r="AB479" s="6">
        <f>$K$479*$V$479</f>
        <v>7141.5</v>
      </c>
      <c r="AC479" s="6">
        <f>$M$479*$W$479</f>
        <v>0</v>
      </c>
      <c r="AD479" s="6">
        <f>$O$479*$X$479</f>
        <v>0</v>
      </c>
      <c r="AE479" s="6">
        <f ca="1">$K$479*$Y$479</f>
        <v>10108.499999999998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28</v>
      </c>
      <c r="B480" s="4" t="s">
        <v>33</v>
      </c>
      <c r="C480" s="4" t="s">
        <v>34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40</v>
      </c>
      <c r="K480" s="6">
        <v>40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6">
        <v>18</v>
      </c>
      <c r="T480" s="6">
        <v>0</v>
      </c>
      <c r="U480" s="6">
        <v>0</v>
      </c>
      <c r="V480" s="6">
        <f>IF(ISERROR(VLOOKUP($S$480,'TAR FIN'!$A$1:$O$103,15,0)),0,VLOOKUP($S$480,'TAR FIN'!$A$1:$O$103,15,0))</f>
        <v>12.42</v>
      </c>
      <c r="W480" s="6">
        <f>IF(ISERROR(VLOOKUP($T$480,'TAR FIN'!$A$1:$O$103,15,0)),0,VLOOKUP($T$480,'TAR FIN'!$A$1:$O$103,15,0))</f>
        <v>0</v>
      </c>
      <c r="X480" s="6">
        <f>IF(ISERROR(VLOOKUP($U$480,'TAR FIN'!$A$1:$O$103,15,0)),0,VLOOKUP($U$480,'TAR FIN'!$A$1:$O$103,15,0))</f>
        <v>0</v>
      </c>
      <c r="Y480" s="6">
        <f ca="1">('TUSD BE'!$AM$20+'TUSD BF_350'!$AM$20+'TUSD CVA'!$AM$20)*1</f>
        <v>17.579999999999998</v>
      </c>
      <c r="Z480" s="6"/>
      <c r="AA480" s="6"/>
      <c r="AB480" s="6">
        <f>$K$480*$V$480</f>
        <v>496.8</v>
      </c>
      <c r="AC480" s="6">
        <f>$M$480*$W$480</f>
        <v>0</v>
      </c>
      <c r="AD480" s="6">
        <f>$O$480*$X$480</f>
        <v>0</v>
      </c>
      <c r="AE480" s="6">
        <f ca="1">$K$480*$Y$480</f>
        <v>703.19999999999993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33</v>
      </c>
      <c r="C481" s="4" t="s">
        <v>34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579</v>
      </c>
      <c r="K481" s="6">
        <v>579</v>
      </c>
      <c r="L481" s="6">
        <v>0</v>
      </c>
      <c r="M481" s="6">
        <v>0</v>
      </c>
      <c r="N481" s="6">
        <v>0</v>
      </c>
      <c r="O481" s="6">
        <v>0</v>
      </c>
      <c r="P481" s="6">
        <v>9</v>
      </c>
      <c r="Q481" s="4" t="s">
        <v>26</v>
      </c>
      <c r="R481" s="4">
        <v>0</v>
      </c>
      <c r="S481" s="6">
        <v>18</v>
      </c>
      <c r="T481" s="6">
        <v>0</v>
      </c>
      <c r="U481" s="6">
        <v>0</v>
      </c>
      <c r="V481" s="6">
        <f>IF(ISERROR(VLOOKUP($S$481,'TAR FIN'!$A$1:$O$103,15,0)),0,VLOOKUP($S$481,'TAR FIN'!$A$1:$O$103,15,0))</f>
        <v>12.42</v>
      </c>
      <c r="W481" s="6">
        <f>IF(ISERROR(VLOOKUP($T$481,'TAR FIN'!$A$1:$O$103,15,0)),0,VLOOKUP($T$481,'TAR FIN'!$A$1:$O$103,15,0))</f>
        <v>0</v>
      </c>
      <c r="X481" s="6">
        <f>IF(ISERROR(VLOOKUP($U$481,'TAR FIN'!$A$1:$O$103,15,0)),0,VLOOKUP($U$481,'TAR FIN'!$A$1:$O$103,15,0))</f>
        <v>0</v>
      </c>
      <c r="Y481" s="6">
        <f ca="1">('TUSD BE'!$AM$20+'TUSD BF_350'!$AM$20+'TUSD CVA'!$AM$20)*1</f>
        <v>17.579999999999998</v>
      </c>
      <c r="Z481" s="6"/>
      <c r="AA481" s="6"/>
      <c r="AB481" s="6">
        <f>$K$481*$V$481</f>
        <v>7191.18</v>
      </c>
      <c r="AC481" s="6">
        <f>$M$481*$W$481</f>
        <v>0</v>
      </c>
      <c r="AD481" s="6">
        <f>$O$481*$X$481</f>
        <v>0</v>
      </c>
      <c r="AE481" s="6">
        <f ca="1">$K$481*$Y$481</f>
        <v>10178.82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28</v>
      </c>
      <c r="B482" s="4" t="s">
        <v>33</v>
      </c>
      <c r="C482" s="4" t="s">
        <v>34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44682</v>
      </c>
      <c r="J482" s="6">
        <v>53</v>
      </c>
      <c r="K482" s="6">
        <v>53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6">
        <v>18</v>
      </c>
      <c r="T482" s="6">
        <v>0</v>
      </c>
      <c r="U482" s="6">
        <v>0</v>
      </c>
      <c r="V482" s="6">
        <f>IF(ISERROR(VLOOKUP($S$482,'TAR FIN'!$A$1:$O$103,15,0)),0,VLOOKUP($S$482,'TAR FIN'!$A$1:$O$103,15,0))</f>
        <v>12.42</v>
      </c>
      <c r="W482" s="6">
        <f>IF(ISERROR(VLOOKUP($T$482,'TAR FIN'!$A$1:$O$103,15,0)),0,VLOOKUP($T$482,'TAR FIN'!$A$1:$O$103,15,0))</f>
        <v>0</v>
      </c>
      <c r="X482" s="6">
        <f>IF(ISERROR(VLOOKUP($U$482,'TAR FIN'!$A$1:$O$103,15,0)),0,VLOOKUP($U$482,'TAR FIN'!$A$1:$O$103,15,0))</f>
        <v>0</v>
      </c>
      <c r="Y482" s="6">
        <f ca="1">('TUSD BE'!$AM$20+'TUSD BF_350'!$AM$20+'TUSD CVA'!$AM$20)*1</f>
        <v>17.579999999999998</v>
      </c>
      <c r="Z482" s="6"/>
      <c r="AA482" s="6"/>
      <c r="AB482" s="6">
        <f>$K$482*$V$482</f>
        <v>658.26</v>
      </c>
      <c r="AC482" s="6">
        <f>$M$482*$W$482</f>
        <v>0</v>
      </c>
      <c r="AD482" s="6">
        <f>$O$482*$X$482</f>
        <v>0</v>
      </c>
      <c r="AE482" s="6">
        <f ca="1">$K$482*$Y$482</f>
        <v>931.7399999999999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33</v>
      </c>
      <c r="C483" s="4" t="s">
        <v>34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44348</v>
      </c>
      <c r="J483" s="6">
        <v>0</v>
      </c>
      <c r="K483" s="6">
        <v>0</v>
      </c>
      <c r="L483" s="6">
        <v>4.1100000000000003</v>
      </c>
      <c r="M483" s="6">
        <v>4.1100000000000003</v>
      </c>
      <c r="N483" s="6">
        <v>4.1100000000000003</v>
      </c>
      <c r="O483" s="6">
        <v>4.1100000000000003</v>
      </c>
      <c r="P483" s="6">
        <v>0</v>
      </c>
      <c r="Q483" s="4" t="s">
        <v>26</v>
      </c>
      <c r="R483" s="4">
        <v>0</v>
      </c>
      <c r="S483" s="6">
        <v>0</v>
      </c>
      <c r="T483" s="6">
        <v>19</v>
      </c>
      <c r="U483" s="6">
        <v>65</v>
      </c>
      <c r="V483" s="6">
        <f>IF(ISERROR(VLOOKUP($S$483,'TAR FIN'!$A$1:$O$103,15,0)),0,VLOOKUP($S$483,'TAR FIN'!$A$1:$O$103,15,0))</f>
        <v>0</v>
      </c>
      <c r="W483" s="6">
        <f>IF(ISERROR(VLOOKUP($T$483,'TAR FIN'!$A$1:$O$103,15,0)),0,VLOOKUP($T$483,'TAR FIN'!$A$1:$O$103,15,0))</f>
        <v>842.31</v>
      </c>
      <c r="X483" s="6">
        <f>IF(ISERROR(VLOOKUP($U$483,'TAR FIN'!$A$1:$O$103,15,0)),0,VLOOKUP($U$483,'TAR FIN'!$A$1:$O$103,15,0))</f>
        <v>454.9</v>
      </c>
      <c r="Y483" s="6"/>
      <c r="Z483" s="6">
        <f ca="1">('TUSD BE'!$AM$21+'TUSD BF_350'!$AM$21+'TUSD CVA'!$AM$21)*1</f>
        <v>1027.46</v>
      </c>
      <c r="AA483" s="6">
        <f ca="1">('TE BE'!$AB$8+'TE BF_350'!$AB$8+'TE CVA'!$AB$8)*1</f>
        <v>388.08000000000004</v>
      </c>
      <c r="AB483" s="6">
        <f>$K$483*$V$483</f>
        <v>0</v>
      </c>
      <c r="AC483" s="6">
        <f>$M$483*$W$483</f>
        <v>3461.8941</v>
      </c>
      <c r="AD483" s="6">
        <f>$O$483*$X$483</f>
        <v>1869.6390000000001</v>
      </c>
      <c r="AE483" s="6">
        <f>$K$483*$Y$483</f>
        <v>0</v>
      </c>
      <c r="AF483" s="6">
        <f ca="1">$M$483*$Z$483</f>
        <v>4222.8606000000009</v>
      </c>
      <c r="AG483" s="6">
        <f ca="1">$O$483*$AA$483</f>
        <v>1595.0088000000003</v>
      </c>
    </row>
    <row r="484" spans="1:33" ht="11.25" customHeight="1" x14ac:dyDescent="0.25">
      <c r="A484" s="4" t="s">
        <v>28</v>
      </c>
      <c r="B484" s="4" t="s">
        <v>33</v>
      </c>
      <c r="C484" s="4" t="s">
        <v>34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44348</v>
      </c>
      <c r="J484" s="6">
        <v>0</v>
      </c>
      <c r="K484" s="6">
        <v>0</v>
      </c>
      <c r="L484" s="6">
        <v>0.35799999999999998</v>
      </c>
      <c r="M484" s="6">
        <v>0.35799999999999998</v>
      </c>
      <c r="N484" s="6">
        <v>0.35799999999999998</v>
      </c>
      <c r="O484" s="6">
        <v>0.35799999999999998</v>
      </c>
      <c r="P484" s="6">
        <v>0</v>
      </c>
      <c r="Q484" s="4" t="s">
        <v>26</v>
      </c>
      <c r="R484" s="4">
        <v>0</v>
      </c>
      <c r="S484" s="6">
        <v>0</v>
      </c>
      <c r="T484" s="6">
        <v>19</v>
      </c>
      <c r="U484" s="6">
        <v>65</v>
      </c>
      <c r="V484" s="6">
        <f>IF(ISERROR(VLOOKUP($S$484,'TAR FIN'!$A$1:$O$103,15,0)),0,VLOOKUP($S$484,'TAR FIN'!$A$1:$O$103,15,0))</f>
        <v>0</v>
      </c>
      <c r="W484" s="6">
        <f>IF(ISERROR(VLOOKUP($T$484,'TAR FIN'!$A$1:$O$103,15,0)),0,VLOOKUP($T$484,'TAR FIN'!$A$1:$O$103,15,0))</f>
        <v>842.31</v>
      </c>
      <c r="X484" s="6">
        <f>IF(ISERROR(VLOOKUP($U$484,'TAR FIN'!$A$1:$O$103,15,0)),0,VLOOKUP($U$484,'TAR FIN'!$A$1:$O$103,15,0))</f>
        <v>454.9</v>
      </c>
      <c r="Y484" s="6"/>
      <c r="Z484" s="6">
        <f ca="1">('TUSD BE'!$AM$21+'TUSD BF_350'!$AM$21+'TUSD CVA'!$AM$21)*1</f>
        <v>1027.46</v>
      </c>
      <c r="AA484" s="6">
        <f ca="1">('TE BE'!$AB$8+'TE BF_350'!$AB$8+'TE CVA'!$AB$8)*1</f>
        <v>388.08000000000004</v>
      </c>
      <c r="AB484" s="6">
        <f>$K$484*$V$484</f>
        <v>0</v>
      </c>
      <c r="AC484" s="6">
        <f>$M$484*$W$484</f>
        <v>301.54697999999996</v>
      </c>
      <c r="AD484" s="6">
        <f>$O$484*$X$484</f>
        <v>162.85419999999999</v>
      </c>
      <c r="AE484" s="6">
        <f>$K$484*$Y$484</f>
        <v>0</v>
      </c>
      <c r="AF484" s="6">
        <f ca="1">$M$484*$Z$484</f>
        <v>367.83067999999997</v>
      </c>
      <c r="AG484" s="6">
        <f ca="1">$O$484*$AA$484</f>
        <v>138.93264000000002</v>
      </c>
    </row>
    <row r="485" spans="1:33" ht="11.25" customHeight="1" x14ac:dyDescent="0.25">
      <c r="A485" s="4" t="s">
        <v>21</v>
      </c>
      <c r="B485" s="4" t="s">
        <v>33</v>
      </c>
      <c r="C485" s="4" t="s">
        <v>34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44378</v>
      </c>
      <c r="J485" s="6">
        <v>0</v>
      </c>
      <c r="K485" s="6">
        <v>0</v>
      </c>
      <c r="L485" s="6">
        <v>4.3680000000000003</v>
      </c>
      <c r="M485" s="6">
        <v>4.3680000000000003</v>
      </c>
      <c r="N485" s="6">
        <v>4.3680000000000003</v>
      </c>
      <c r="O485" s="6">
        <v>4.3680000000000003</v>
      </c>
      <c r="P485" s="6">
        <v>0</v>
      </c>
      <c r="Q485" s="4" t="s">
        <v>26</v>
      </c>
      <c r="R485" s="4">
        <v>0</v>
      </c>
      <c r="S485" s="6">
        <v>0</v>
      </c>
      <c r="T485" s="6">
        <v>19</v>
      </c>
      <c r="U485" s="6">
        <v>65</v>
      </c>
      <c r="V485" s="6">
        <f>IF(ISERROR(VLOOKUP($S$485,'TAR FIN'!$A$1:$O$103,15,0)),0,VLOOKUP($S$485,'TAR FIN'!$A$1:$O$103,15,0))</f>
        <v>0</v>
      </c>
      <c r="W485" s="6">
        <f>IF(ISERROR(VLOOKUP($T$485,'TAR FIN'!$A$1:$O$103,15,0)),0,VLOOKUP($T$485,'TAR FIN'!$A$1:$O$103,15,0))</f>
        <v>842.31</v>
      </c>
      <c r="X485" s="6">
        <f>IF(ISERROR(VLOOKUP($U$485,'TAR FIN'!$A$1:$O$103,15,0)),0,VLOOKUP($U$485,'TAR FIN'!$A$1:$O$103,15,0))</f>
        <v>454.9</v>
      </c>
      <c r="Y485" s="6"/>
      <c r="Z485" s="6">
        <f ca="1">('TUSD BE'!$AM$21+'TUSD BF_350'!$AM$21+'TUSD CVA'!$AM$21)*1</f>
        <v>1027.46</v>
      </c>
      <c r="AA485" s="6">
        <f ca="1">('TE BE'!$AB$8+'TE BF_350'!$AB$8+'TE CVA'!$AB$8)*1</f>
        <v>388.08000000000004</v>
      </c>
      <c r="AB485" s="6">
        <f>$K$485*$V$485</f>
        <v>0</v>
      </c>
      <c r="AC485" s="6">
        <f>$M$485*$W$485</f>
        <v>3679.2100799999998</v>
      </c>
      <c r="AD485" s="6">
        <f>$O$485*$X$485</f>
        <v>1987.0032000000001</v>
      </c>
      <c r="AE485" s="6">
        <f>$K$485*$Y$485</f>
        <v>0</v>
      </c>
      <c r="AF485" s="6">
        <f ca="1">$M$485*$Z$485</f>
        <v>4487.9452800000008</v>
      </c>
      <c r="AG485" s="6">
        <f ca="1">$O$485*$AA$485</f>
        <v>1695.1334400000003</v>
      </c>
    </row>
    <row r="486" spans="1:33" ht="11.25" customHeight="1" x14ac:dyDescent="0.25">
      <c r="A486" s="4" t="s">
        <v>28</v>
      </c>
      <c r="B486" s="4" t="s">
        <v>33</v>
      </c>
      <c r="C486" s="4" t="s">
        <v>34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44378</v>
      </c>
      <c r="J486" s="6">
        <v>0</v>
      </c>
      <c r="K486" s="6">
        <v>0</v>
      </c>
      <c r="L486" s="6">
        <v>0.35199999999999998</v>
      </c>
      <c r="M486" s="6">
        <v>0.35199999999999998</v>
      </c>
      <c r="N486" s="6">
        <v>0.35199999999999998</v>
      </c>
      <c r="O486" s="6">
        <v>0.35199999999999998</v>
      </c>
      <c r="P486" s="6">
        <v>0</v>
      </c>
      <c r="Q486" s="4" t="s">
        <v>26</v>
      </c>
      <c r="R486" s="4">
        <v>0</v>
      </c>
      <c r="S486" s="6">
        <v>0</v>
      </c>
      <c r="T486" s="6">
        <v>19</v>
      </c>
      <c r="U486" s="6">
        <v>65</v>
      </c>
      <c r="V486" s="6">
        <f>IF(ISERROR(VLOOKUP($S$486,'TAR FIN'!$A$1:$O$103,15,0)),0,VLOOKUP($S$486,'TAR FIN'!$A$1:$O$103,15,0))</f>
        <v>0</v>
      </c>
      <c r="W486" s="6">
        <f>IF(ISERROR(VLOOKUP($T$486,'TAR FIN'!$A$1:$O$103,15,0)),0,VLOOKUP($T$486,'TAR FIN'!$A$1:$O$103,15,0))</f>
        <v>842.31</v>
      </c>
      <c r="X486" s="6">
        <f>IF(ISERROR(VLOOKUP($U$486,'TAR FIN'!$A$1:$O$103,15,0)),0,VLOOKUP($U$486,'TAR FIN'!$A$1:$O$103,15,0))</f>
        <v>454.9</v>
      </c>
      <c r="Y486" s="6"/>
      <c r="Z486" s="6">
        <f ca="1">('TUSD BE'!$AM$21+'TUSD BF_350'!$AM$21+'TUSD CVA'!$AM$21)*1</f>
        <v>1027.46</v>
      </c>
      <c r="AA486" s="6">
        <f ca="1">('TE BE'!$AB$8+'TE BF_350'!$AB$8+'TE CVA'!$AB$8)*1</f>
        <v>388.08000000000004</v>
      </c>
      <c r="AB486" s="6">
        <f>$K$486*$V$486</f>
        <v>0</v>
      </c>
      <c r="AC486" s="6">
        <f>$M$486*$W$486</f>
        <v>296.49311999999998</v>
      </c>
      <c r="AD486" s="6">
        <f>$O$486*$X$486</f>
        <v>160.12479999999999</v>
      </c>
      <c r="AE486" s="6">
        <f>$K$486*$Y$486</f>
        <v>0</v>
      </c>
      <c r="AF486" s="6">
        <f ca="1">$M$486*$Z$486</f>
        <v>361.66591999999997</v>
      </c>
      <c r="AG486" s="6">
        <f ca="1">$O$486*$AA$486</f>
        <v>136.60416000000001</v>
      </c>
    </row>
    <row r="487" spans="1:33" ht="11.25" customHeight="1" x14ac:dyDescent="0.25">
      <c r="A487" s="4" t="s">
        <v>21</v>
      </c>
      <c r="B487" s="4" t="s">
        <v>33</v>
      </c>
      <c r="C487" s="4" t="s">
        <v>34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44409</v>
      </c>
      <c r="J487" s="6">
        <v>0</v>
      </c>
      <c r="K487" s="6">
        <v>0</v>
      </c>
      <c r="L487" s="6">
        <v>4.242</v>
      </c>
      <c r="M487" s="6">
        <v>4.242</v>
      </c>
      <c r="N487" s="6">
        <v>4.242</v>
      </c>
      <c r="O487" s="6">
        <v>4.242</v>
      </c>
      <c r="P487" s="6">
        <v>0</v>
      </c>
      <c r="Q487" s="4" t="s">
        <v>26</v>
      </c>
      <c r="R487" s="4">
        <v>0</v>
      </c>
      <c r="S487" s="6">
        <v>0</v>
      </c>
      <c r="T487" s="6">
        <v>19</v>
      </c>
      <c r="U487" s="6">
        <v>65</v>
      </c>
      <c r="V487" s="6">
        <f>IF(ISERROR(VLOOKUP($S$487,'TAR FIN'!$A$1:$O$103,15,0)),0,VLOOKUP($S$487,'TAR FIN'!$A$1:$O$103,15,0))</f>
        <v>0</v>
      </c>
      <c r="W487" s="6">
        <f>IF(ISERROR(VLOOKUP($T$487,'TAR FIN'!$A$1:$O$103,15,0)),0,VLOOKUP($T$487,'TAR FIN'!$A$1:$O$103,15,0))</f>
        <v>842.31</v>
      </c>
      <c r="X487" s="6">
        <f>IF(ISERROR(VLOOKUP($U$487,'TAR FIN'!$A$1:$O$103,15,0)),0,VLOOKUP($U$487,'TAR FIN'!$A$1:$O$103,15,0))</f>
        <v>454.9</v>
      </c>
      <c r="Y487" s="6"/>
      <c r="Z487" s="6">
        <f ca="1">('TUSD BE'!$AM$21+'TUSD BF_350'!$AM$21+'TUSD CVA'!$AM$21)*1</f>
        <v>1027.46</v>
      </c>
      <c r="AA487" s="6">
        <f ca="1">('TE BE'!$AB$8+'TE BF_350'!$AB$8+'TE CVA'!$AB$8)*1</f>
        <v>388.08000000000004</v>
      </c>
      <c r="AB487" s="6">
        <f>$K$487*$V$487</f>
        <v>0</v>
      </c>
      <c r="AC487" s="6">
        <f>$M$487*$W$487</f>
        <v>3573.0790199999997</v>
      </c>
      <c r="AD487" s="6">
        <f>$O$487*$X$487</f>
        <v>1929.6858</v>
      </c>
      <c r="AE487" s="6">
        <f>$K$487*$Y$487</f>
        <v>0</v>
      </c>
      <c r="AF487" s="6">
        <f ca="1">$M$487*$Z$487</f>
        <v>4358.4853199999998</v>
      </c>
      <c r="AG487" s="6">
        <f ca="1">$O$487*$AA$487</f>
        <v>1646.2353600000001</v>
      </c>
    </row>
    <row r="488" spans="1:33" ht="11.25" customHeight="1" x14ac:dyDescent="0.25">
      <c r="A488" s="4" t="s">
        <v>28</v>
      </c>
      <c r="B488" s="4" t="s">
        <v>33</v>
      </c>
      <c r="C488" s="4" t="s">
        <v>34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44409</v>
      </c>
      <c r="J488" s="6">
        <v>0</v>
      </c>
      <c r="K488" s="6">
        <v>0</v>
      </c>
      <c r="L488" s="6">
        <v>0.39900000000000002</v>
      </c>
      <c r="M488" s="6">
        <v>0.39900000000000002</v>
      </c>
      <c r="N488" s="6">
        <v>0.39900000000000002</v>
      </c>
      <c r="O488" s="6">
        <v>0.39900000000000002</v>
      </c>
      <c r="P488" s="6">
        <v>0</v>
      </c>
      <c r="Q488" s="4" t="s">
        <v>26</v>
      </c>
      <c r="R488" s="4">
        <v>0</v>
      </c>
      <c r="S488" s="6">
        <v>0</v>
      </c>
      <c r="T488" s="6">
        <v>19</v>
      </c>
      <c r="U488" s="6">
        <v>65</v>
      </c>
      <c r="V488" s="6">
        <f>IF(ISERROR(VLOOKUP($S$488,'TAR FIN'!$A$1:$O$103,15,0)),0,VLOOKUP($S$488,'TAR FIN'!$A$1:$O$103,15,0))</f>
        <v>0</v>
      </c>
      <c r="W488" s="6">
        <f>IF(ISERROR(VLOOKUP($T$488,'TAR FIN'!$A$1:$O$103,15,0)),0,VLOOKUP($T$488,'TAR FIN'!$A$1:$O$103,15,0))</f>
        <v>842.31</v>
      </c>
      <c r="X488" s="6">
        <f>IF(ISERROR(VLOOKUP($U$488,'TAR FIN'!$A$1:$O$103,15,0)),0,VLOOKUP($U$488,'TAR FIN'!$A$1:$O$103,15,0))</f>
        <v>454.9</v>
      </c>
      <c r="Y488" s="6"/>
      <c r="Z488" s="6">
        <f ca="1">('TUSD BE'!$AM$21+'TUSD BF_350'!$AM$21+'TUSD CVA'!$AM$21)*1</f>
        <v>1027.46</v>
      </c>
      <c r="AA488" s="6">
        <f ca="1">('TE BE'!$AB$8+'TE BF_350'!$AB$8+'TE CVA'!$AB$8)*1</f>
        <v>388.08000000000004</v>
      </c>
      <c r="AB488" s="6">
        <f>$K$488*$V$488</f>
        <v>0</v>
      </c>
      <c r="AC488" s="6">
        <f>$M$488*$W$488</f>
        <v>336.08168999999998</v>
      </c>
      <c r="AD488" s="6">
        <f>$O$488*$X$488</f>
        <v>181.5051</v>
      </c>
      <c r="AE488" s="6">
        <f>$K$488*$Y$488</f>
        <v>0</v>
      </c>
      <c r="AF488" s="6">
        <f ca="1">$M$488*$Z$488</f>
        <v>409.95654000000002</v>
      </c>
      <c r="AG488" s="6">
        <f ca="1">$O$488*$AA$488</f>
        <v>154.84392000000003</v>
      </c>
    </row>
    <row r="489" spans="1:33" ht="11.25" customHeight="1" x14ac:dyDescent="0.25">
      <c r="A489" s="4" t="s">
        <v>21</v>
      </c>
      <c r="B489" s="4" t="s">
        <v>33</v>
      </c>
      <c r="C489" s="4" t="s">
        <v>34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44440</v>
      </c>
      <c r="J489" s="6">
        <v>0</v>
      </c>
      <c r="K489" s="6">
        <v>0</v>
      </c>
      <c r="L489" s="6">
        <v>3.9380000000000002</v>
      </c>
      <c r="M489" s="6">
        <v>3.9380000000000002</v>
      </c>
      <c r="N489" s="6">
        <v>3.9380000000000002</v>
      </c>
      <c r="O489" s="6">
        <v>3.9380000000000002</v>
      </c>
      <c r="P489" s="6">
        <v>0</v>
      </c>
      <c r="Q489" s="4" t="s">
        <v>26</v>
      </c>
      <c r="R489" s="4">
        <v>0</v>
      </c>
      <c r="S489" s="6">
        <v>0</v>
      </c>
      <c r="T489" s="6">
        <v>19</v>
      </c>
      <c r="U489" s="6">
        <v>65</v>
      </c>
      <c r="V489" s="6">
        <f>IF(ISERROR(VLOOKUP($S$489,'TAR FIN'!$A$1:$O$103,15,0)),0,VLOOKUP($S$489,'TAR FIN'!$A$1:$O$103,15,0))</f>
        <v>0</v>
      </c>
      <c r="W489" s="6">
        <f>IF(ISERROR(VLOOKUP($T$489,'TAR FIN'!$A$1:$O$103,15,0)),0,VLOOKUP($T$489,'TAR FIN'!$A$1:$O$103,15,0))</f>
        <v>842.31</v>
      </c>
      <c r="X489" s="6">
        <f>IF(ISERROR(VLOOKUP($U$489,'TAR FIN'!$A$1:$O$103,15,0)),0,VLOOKUP($U$489,'TAR FIN'!$A$1:$O$103,15,0))</f>
        <v>454.9</v>
      </c>
      <c r="Y489" s="6"/>
      <c r="Z489" s="6">
        <f ca="1">('TUSD BE'!$AM$21+'TUSD BF_350'!$AM$21+'TUSD CVA'!$AM$21)*1</f>
        <v>1027.46</v>
      </c>
      <c r="AA489" s="6">
        <f ca="1">('TE BE'!$AB$8+'TE BF_350'!$AB$8+'TE CVA'!$AB$8)*1</f>
        <v>388.08000000000004</v>
      </c>
      <c r="AB489" s="6">
        <f>$K$489*$V$489</f>
        <v>0</v>
      </c>
      <c r="AC489" s="6">
        <f>$M$489*$W$489</f>
        <v>3317.0167799999999</v>
      </c>
      <c r="AD489" s="6">
        <f>$O$489*$X$489</f>
        <v>1791.3961999999999</v>
      </c>
      <c r="AE489" s="6">
        <f>$K$489*$Y$489</f>
        <v>0</v>
      </c>
      <c r="AF489" s="6">
        <f ca="1">$M$489*$Z$489</f>
        <v>4046.1374800000003</v>
      </c>
      <c r="AG489" s="6">
        <f ca="1">$O$489*$AA$489</f>
        <v>1528.2590400000001</v>
      </c>
    </row>
    <row r="490" spans="1:33" ht="11.25" customHeight="1" x14ac:dyDescent="0.25">
      <c r="A490" s="4" t="s">
        <v>28</v>
      </c>
      <c r="B490" s="4" t="s">
        <v>33</v>
      </c>
      <c r="C490" s="4" t="s">
        <v>34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44440</v>
      </c>
      <c r="J490" s="6">
        <v>0</v>
      </c>
      <c r="K490" s="6">
        <v>0</v>
      </c>
      <c r="L490" s="6">
        <v>0.38</v>
      </c>
      <c r="M490" s="6">
        <v>0.38</v>
      </c>
      <c r="N490" s="6">
        <v>0.38</v>
      </c>
      <c r="O490" s="6">
        <v>0.38</v>
      </c>
      <c r="P490" s="6">
        <v>0</v>
      </c>
      <c r="Q490" s="4" t="s">
        <v>26</v>
      </c>
      <c r="R490" s="4">
        <v>0</v>
      </c>
      <c r="S490" s="6">
        <v>0</v>
      </c>
      <c r="T490" s="6">
        <v>19</v>
      </c>
      <c r="U490" s="6">
        <v>65</v>
      </c>
      <c r="V490" s="6">
        <f>IF(ISERROR(VLOOKUP($S$490,'TAR FIN'!$A$1:$O$103,15,0)),0,VLOOKUP($S$490,'TAR FIN'!$A$1:$O$103,15,0))</f>
        <v>0</v>
      </c>
      <c r="W490" s="6">
        <f>IF(ISERROR(VLOOKUP($T$490,'TAR FIN'!$A$1:$O$103,15,0)),0,VLOOKUP($T$490,'TAR FIN'!$A$1:$O$103,15,0))</f>
        <v>842.31</v>
      </c>
      <c r="X490" s="6">
        <f>IF(ISERROR(VLOOKUP($U$490,'TAR FIN'!$A$1:$O$103,15,0)),0,VLOOKUP($U$490,'TAR FIN'!$A$1:$O$103,15,0))</f>
        <v>454.9</v>
      </c>
      <c r="Y490" s="6"/>
      <c r="Z490" s="6">
        <f ca="1">('TUSD BE'!$AM$21+'TUSD BF_350'!$AM$21+'TUSD CVA'!$AM$21)*1</f>
        <v>1027.46</v>
      </c>
      <c r="AA490" s="6">
        <f ca="1">('TE BE'!$AB$8+'TE BF_350'!$AB$8+'TE CVA'!$AB$8)*1</f>
        <v>388.08000000000004</v>
      </c>
      <c r="AB490" s="6">
        <f>$K$490*$V$490</f>
        <v>0</v>
      </c>
      <c r="AC490" s="6">
        <f>$M$490*$W$490</f>
        <v>320.07779999999997</v>
      </c>
      <c r="AD490" s="6">
        <f>$O$490*$X$490</f>
        <v>172.86199999999999</v>
      </c>
      <c r="AE490" s="6">
        <f>$K$490*$Y$490</f>
        <v>0</v>
      </c>
      <c r="AF490" s="6">
        <f ca="1">$M$490*$Z$490</f>
        <v>390.4348</v>
      </c>
      <c r="AG490" s="6">
        <f ca="1">$O$490*$AA$490</f>
        <v>147.47040000000001</v>
      </c>
    </row>
    <row r="491" spans="1:33" ht="11.25" customHeight="1" x14ac:dyDescent="0.25">
      <c r="A491" s="4" t="s">
        <v>21</v>
      </c>
      <c r="B491" s="4" t="s">
        <v>33</v>
      </c>
      <c r="C491" s="4" t="s">
        <v>34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44470</v>
      </c>
      <c r="J491" s="6">
        <v>0</v>
      </c>
      <c r="K491" s="6">
        <v>0</v>
      </c>
      <c r="L491" s="6">
        <v>3.7810000000000001</v>
      </c>
      <c r="M491" s="6">
        <v>3.7810000000000001</v>
      </c>
      <c r="N491" s="6">
        <v>3.7810000000000001</v>
      </c>
      <c r="O491" s="6">
        <v>3.7810000000000001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19</v>
      </c>
      <c r="U491" s="6">
        <v>65</v>
      </c>
      <c r="V491" s="6">
        <f>IF(ISERROR(VLOOKUP($S$491,'TAR FIN'!$A$1:$O$103,15,0)),0,VLOOKUP($S$491,'TAR FIN'!$A$1:$O$103,15,0))</f>
        <v>0</v>
      </c>
      <c r="W491" s="6">
        <f>IF(ISERROR(VLOOKUP($T$491,'TAR FIN'!$A$1:$O$103,15,0)),0,VLOOKUP($T$491,'TAR FIN'!$A$1:$O$103,15,0))</f>
        <v>842.31</v>
      </c>
      <c r="X491" s="6">
        <f>IF(ISERROR(VLOOKUP($U$491,'TAR FIN'!$A$1:$O$103,15,0)),0,VLOOKUP($U$491,'TAR FIN'!$A$1:$O$103,15,0))</f>
        <v>454.9</v>
      </c>
      <c r="Y491" s="6"/>
      <c r="Z491" s="6">
        <f ca="1">('TUSD BE'!$AM$21+'TUSD BF_350'!$AM$21+'TUSD CVA'!$AM$21)*1</f>
        <v>1027.46</v>
      </c>
      <c r="AA491" s="6">
        <f ca="1">('TE BE'!$AB$8+'TE BF_350'!$AB$8+'TE CVA'!$AB$8)*1</f>
        <v>388.08000000000004</v>
      </c>
      <c r="AB491" s="6">
        <f>$K$491*$V$491</f>
        <v>0</v>
      </c>
      <c r="AC491" s="6">
        <f>$M$491*$W$491</f>
        <v>3184.7741099999998</v>
      </c>
      <c r="AD491" s="6">
        <f>$O$491*$X$491</f>
        <v>1719.9768999999999</v>
      </c>
      <c r="AE491" s="6">
        <f>$K$491*$Y$491</f>
        <v>0</v>
      </c>
      <c r="AF491" s="6">
        <f ca="1">$M$491*$Z$491</f>
        <v>3884.8262600000003</v>
      </c>
      <c r="AG491" s="6">
        <f ca="1">$O$491*$AA$491</f>
        <v>1467.3304800000003</v>
      </c>
    </row>
    <row r="492" spans="1:33" ht="11.25" customHeight="1" x14ac:dyDescent="0.25">
      <c r="A492" s="4" t="s">
        <v>28</v>
      </c>
      <c r="B492" s="4" t="s">
        <v>33</v>
      </c>
      <c r="C492" s="4" t="s">
        <v>34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44470</v>
      </c>
      <c r="J492" s="6">
        <v>0</v>
      </c>
      <c r="K492" s="6">
        <v>0</v>
      </c>
      <c r="L492" s="6">
        <v>0.32600000000000001</v>
      </c>
      <c r="M492" s="6">
        <v>0.32600000000000001</v>
      </c>
      <c r="N492" s="6">
        <v>0.32600000000000001</v>
      </c>
      <c r="O492" s="6">
        <v>0.32600000000000001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19</v>
      </c>
      <c r="U492" s="6">
        <v>65</v>
      </c>
      <c r="V492" s="6">
        <f>IF(ISERROR(VLOOKUP($S$492,'TAR FIN'!$A$1:$O$103,15,0)),0,VLOOKUP($S$492,'TAR FIN'!$A$1:$O$103,15,0))</f>
        <v>0</v>
      </c>
      <c r="W492" s="6">
        <f>IF(ISERROR(VLOOKUP($T$492,'TAR FIN'!$A$1:$O$103,15,0)),0,VLOOKUP($T$492,'TAR FIN'!$A$1:$O$103,15,0))</f>
        <v>842.31</v>
      </c>
      <c r="X492" s="6">
        <f>IF(ISERROR(VLOOKUP($U$492,'TAR FIN'!$A$1:$O$103,15,0)),0,VLOOKUP($U$492,'TAR FIN'!$A$1:$O$103,15,0))</f>
        <v>454.9</v>
      </c>
      <c r="Y492" s="6"/>
      <c r="Z492" s="6">
        <f ca="1">('TUSD BE'!$AM$21+'TUSD BF_350'!$AM$21+'TUSD CVA'!$AM$21)*1</f>
        <v>1027.46</v>
      </c>
      <c r="AA492" s="6">
        <f ca="1">('TE BE'!$AB$8+'TE BF_350'!$AB$8+'TE CVA'!$AB$8)*1</f>
        <v>388.08000000000004</v>
      </c>
      <c r="AB492" s="6">
        <f>$K$492*$V$492</f>
        <v>0</v>
      </c>
      <c r="AC492" s="6">
        <f>$M$492*$W$492</f>
        <v>274.59305999999998</v>
      </c>
      <c r="AD492" s="6">
        <f>$O$492*$X$492</f>
        <v>148.29740000000001</v>
      </c>
      <c r="AE492" s="6">
        <f>$K$492*$Y$492</f>
        <v>0</v>
      </c>
      <c r="AF492" s="6">
        <f ca="1">$M$492*$Z$492</f>
        <v>334.95196000000004</v>
      </c>
      <c r="AG492" s="6">
        <f ca="1">$O$492*$AA$492</f>
        <v>126.51408000000002</v>
      </c>
    </row>
    <row r="493" spans="1:33" ht="11.25" customHeight="1" x14ac:dyDescent="0.25">
      <c r="A493" s="4" t="s">
        <v>21</v>
      </c>
      <c r="B493" s="4" t="s">
        <v>33</v>
      </c>
      <c r="C493" s="4" t="s">
        <v>34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44501</v>
      </c>
      <c r="J493" s="6">
        <v>0</v>
      </c>
      <c r="K493" s="6">
        <v>0</v>
      </c>
      <c r="L493" s="6">
        <v>4.0570000000000004</v>
      </c>
      <c r="M493" s="6">
        <v>4.0570000000000004</v>
      </c>
      <c r="N493" s="6">
        <v>4.0570000000000004</v>
      </c>
      <c r="O493" s="6">
        <v>4.0570000000000004</v>
      </c>
      <c r="P493" s="6">
        <v>0</v>
      </c>
      <c r="Q493" s="4" t="s">
        <v>26</v>
      </c>
      <c r="R493" s="4">
        <v>0</v>
      </c>
      <c r="S493" s="6">
        <v>0</v>
      </c>
      <c r="T493" s="6">
        <v>19</v>
      </c>
      <c r="U493" s="6">
        <v>65</v>
      </c>
      <c r="V493" s="6">
        <f>IF(ISERROR(VLOOKUP($S$493,'TAR FIN'!$A$1:$O$103,15,0)),0,VLOOKUP($S$493,'TAR FIN'!$A$1:$O$103,15,0))</f>
        <v>0</v>
      </c>
      <c r="W493" s="6">
        <f>IF(ISERROR(VLOOKUP($T$493,'TAR FIN'!$A$1:$O$103,15,0)),0,VLOOKUP($T$493,'TAR FIN'!$A$1:$O$103,15,0))</f>
        <v>842.31</v>
      </c>
      <c r="X493" s="6">
        <f>IF(ISERROR(VLOOKUP($U$493,'TAR FIN'!$A$1:$O$103,15,0)),0,VLOOKUP($U$493,'TAR FIN'!$A$1:$O$103,15,0))</f>
        <v>454.9</v>
      </c>
      <c r="Y493" s="6"/>
      <c r="Z493" s="6">
        <f ca="1">('TUSD BE'!$AM$21+'TUSD BF_350'!$AM$21+'TUSD CVA'!$AM$21)*1</f>
        <v>1027.46</v>
      </c>
      <c r="AA493" s="6">
        <f ca="1">('TE BE'!$AB$8+'TE BF_350'!$AB$8+'TE CVA'!$AB$8)*1</f>
        <v>388.08000000000004</v>
      </c>
      <c r="AB493" s="6">
        <f>$K$493*$V$493</f>
        <v>0</v>
      </c>
      <c r="AC493" s="6">
        <f>$M$493*$W$493</f>
        <v>3417.2516700000001</v>
      </c>
      <c r="AD493" s="6">
        <f>$O$493*$X$493</f>
        <v>1845.5293000000001</v>
      </c>
      <c r="AE493" s="6">
        <f>$K$493*$Y$493</f>
        <v>0</v>
      </c>
      <c r="AF493" s="6">
        <f ca="1">$M$493*$Z$493</f>
        <v>4168.4052200000006</v>
      </c>
      <c r="AG493" s="6">
        <f ca="1">$O$493*$AA$493</f>
        <v>1574.4405600000002</v>
      </c>
    </row>
    <row r="494" spans="1:33" ht="11.25" customHeight="1" x14ac:dyDescent="0.25">
      <c r="A494" s="4" t="s">
        <v>28</v>
      </c>
      <c r="B494" s="4" t="s">
        <v>33</v>
      </c>
      <c r="C494" s="4" t="s">
        <v>34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44501</v>
      </c>
      <c r="J494" s="6">
        <v>0</v>
      </c>
      <c r="K494" s="6">
        <v>0</v>
      </c>
      <c r="L494" s="6">
        <v>0.51300000000000001</v>
      </c>
      <c r="M494" s="6">
        <v>0.51300000000000001</v>
      </c>
      <c r="N494" s="6">
        <v>0.51300000000000001</v>
      </c>
      <c r="O494" s="6">
        <v>0.51300000000000001</v>
      </c>
      <c r="P494" s="6">
        <v>0</v>
      </c>
      <c r="Q494" s="4" t="s">
        <v>26</v>
      </c>
      <c r="R494" s="4">
        <v>0</v>
      </c>
      <c r="S494" s="6">
        <v>0</v>
      </c>
      <c r="T494" s="6">
        <v>19</v>
      </c>
      <c r="U494" s="6">
        <v>65</v>
      </c>
      <c r="V494" s="6">
        <f>IF(ISERROR(VLOOKUP($S$494,'TAR FIN'!$A$1:$O$103,15,0)),0,VLOOKUP($S$494,'TAR FIN'!$A$1:$O$103,15,0))</f>
        <v>0</v>
      </c>
      <c r="W494" s="6">
        <f>IF(ISERROR(VLOOKUP($T$494,'TAR FIN'!$A$1:$O$103,15,0)),0,VLOOKUP($T$494,'TAR FIN'!$A$1:$O$103,15,0))</f>
        <v>842.31</v>
      </c>
      <c r="X494" s="6">
        <f>IF(ISERROR(VLOOKUP($U$494,'TAR FIN'!$A$1:$O$103,15,0)),0,VLOOKUP($U$494,'TAR FIN'!$A$1:$O$103,15,0))</f>
        <v>454.9</v>
      </c>
      <c r="Y494" s="6"/>
      <c r="Z494" s="6">
        <f ca="1">('TUSD BE'!$AM$21+'TUSD BF_350'!$AM$21+'TUSD CVA'!$AM$21)*1</f>
        <v>1027.46</v>
      </c>
      <c r="AA494" s="6">
        <f ca="1">('TE BE'!$AB$8+'TE BF_350'!$AB$8+'TE CVA'!$AB$8)*1</f>
        <v>388.08000000000004</v>
      </c>
      <c r="AB494" s="6">
        <f>$K$494*$V$494</f>
        <v>0</v>
      </c>
      <c r="AC494" s="6">
        <f>$M$494*$W$494</f>
        <v>432.10503</v>
      </c>
      <c r="AD494" s="6">
        <f>$O$494*$X$494</f>
        <v>233.36369999999999</v>
      </c>
      <c r="AE494" s="6">
        <f>$K$494*$Y$494</f>
        <v>0</v>
      </c>
      <c r="AF494" s="6">
        <f ca="1">$M$494*$Z$494</f>
        <v>527.08698000000004</v>
      </c>
      <c r="AG494" s="6">
        <f ca="1">$O$494*$AA$494</f>
        <v>199.08504000000002</v>
      </c>
    </row>
    <row r="495" spans="1:33" ht="11.25" customHeight="1" x14ac:dyDescent="0.25">
      <c r="A495" s="4" t="s">
        <v>21</v>
      </c>
      <c r="B495" s="4" t="s">
        <v>33</v>
      </c>
      <c r="C495" s="4" t="s">
        <v>34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44531</v>
      </c>
      <c r="J495" s="6">
        <v>0</v>
      </c>
      <c r="K495" s="6">
        <v>0</v>
      </c>
      <c r="L495" s="6">
        <v>4.41</v>
      </c>
      <c r="M495" s="6">
        <v>4.41</v>
      </c>
      <c r="N495" s="6">
        <v>4.41</v>
      </c>
      <c r="O495" s="6">
        <v>4.41</v>
      </c>
      <c r="P495" s="6">
        <v>0</v>
      </c>
      <c r="Q495" s="4" t="s">
        <v>26</v>
      </c>
      <c r="R495" s="4">
        <v>0</v>
      </c>
      <c r="S495" s="6">
        <v>0</v>
      </c>
      <c r="T495" s="6">
        <v>19</v>
      </c>
      <c r="U495" s="6">
        <v>65</v>
      </c>
      <c r="V495" s="6">
        <f>IF(ISERROR(VLOOKUP($S$495,'TAR FIN'!$A$1:$O$103,15,0)),0,VLOOKUP($S$495,'TAR FIN'!$A$1:$O$103,15,0))</f>
        <v>0</v>
      </c>
      <c r="W495" s="6">
        <f>IF(ISERROR(VLOOKUP($T$495,'TAR FIN'!$A$1:$O$103,15,0)),0,VLOOKUP($T$495,'TAR FIN'!$A$1:$O$103,15,0))</f>
        <v>842.31</v>
      </c>
      <c r="X495" s="6">
        <f>IF(ISERROR(VLOOKUP($U$495,'TAR FIN'!$A$1:$O$103,15,0)),0,VLOOKUP($U$495,'TAR FIN'!$A$1:$O$103,15,0))</f>
        <v>454.9</v>
      </c>
      <c r="Y495" s="6"/>
      <c r="Z495" s="6">
        <f ca="1">('TUSD BE'!$AM$21+'TUSD BF_350'!$AM$21+'TUSD CVA'!$AM$21)*1</f>
        <v>1027.46</v>
      </c>
      <c r="AA495" s="6">
        <f ca="1">('TE BE'!$AB$8+'TE BF_350'!$AB$8+'TE CVA'!$AB$8)*1</f>
        <v>388.08000000000004</v>
      </c>
      <c r="AB495" s="6">
        <f>$K$495*$V$495</f>
        <v>0</v>
      </c>
      <c r="AC495" s="6">
        <f>$M$495*$W$495</f>
        <v>3714.5870999999997</v>
      </c>
      <c r="AD495" s="6">
        <f>$O$495*$X$495</f>
        <v>2006.1089999999999</v>
      </c>
      <c r="AE495" s="6">
        <f>$K$495*$Y$495</f>
        <v>0</v>
      </c>
      <c r="AF495" s="6">
        <f ca="1">$M$495*$Z$495</f>
        <v>4531.0986000000003</v>
      </c>
      <c r="AG495" s="6">
        <f ca="1">$O$495*$AA$495</f>
        <v>1711.4328000000003</v>
      </c>
    </row>
    <row r="496" spans="1:33" ht="11.25" customHeight="1" x14ac:dyDescent="0.25">
      <c r="A496" s="4" t="s">
        <v>28</v>
      </c>
      <c r="B496" s="4" t="s">
        <v>33</v>
      </c>
      <c r="C496" s="4" t="s">
        <v>34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44531</v>
      </c>
      <c r="J496" s="6">
        <v>0</v>
      </c>
      <c r="K496" s="6">
        <v>0</v>
      </c>
      <c r="L496" s="6">
        <v>0.66500000000000004</v>
      </c>
      <c r="M496" s="6">
        <v>0.66500000000000004</v>
      </c>
      <c r="N496" s="6">
        <v>0.66500000000000004</v>
      </c>
      <c r="O496" s="6">
        <v>0.66500000000000004</v>
      </c>
      <c r="P496" s="6">
        <v>0</v>
      </c>
      <c r="Q496" s="4" t="s">
        <v>26</v>
      </c>
      <c r="R496" s="4">
        <v>0</v>
      </c>
      <c r="S496" s="6">
        <v>0</v>
      </c>
      <c r="T496" s="6">
        <v>19</v>
      </c>
      <c r="U496" s="6">
        <v>65</v>
      </c>
      <c r="V496" s="6">
        <f>IF(ISERROR(VLOOKUP($S$496,'TAR FIN'!$A$1:$O$103,15,0)),0,VLOOKUP($S$496,'TAR FIN'!$A$1:$O$103,15,0))</f>
        <v>0</v>
      </c>
      <c r="W496" s="6">
        <f>IF(ISERROR(VLOOKUP($T$496,'TAR FIN'!$A$1:$O$103,15,0)),0,VLOOKUP($T$496,'TAR FIN'!$A$1:$O$103,15,0))</f>
        <v>842.31</v>
      </c>
      <c r="X496" s="6">
        <f>IF(ISERROR(VLOOKUP($U$496,'TAR FIN'!$A$1:$O$103,15,0)),0,VLOOKUP($U$496,'TAR FIN'!$A$1:$O$103,15,0))</f>
        <v>454.9</v>
      </c>
      <c r="Y496" s="6"/>
      <c r="Z496" s="6">
        <f ca="1">('TUSD BE'!$AM$21+'TUSD BF_350'!$AM$21+'TUSD CVA'!$AM$21)*1</f>
        <v>1027.46</v>
      </c>
      <c r="AA496" s="6">
        <f ca="1">('TE BE'!$AB$8+'TE BF_350'!$AB$8+'TE CVA'!$AB$8)*1</f>
        <v>388.08000000000004</v>
      </c>
      <c r="AB496" s="6">
        <f>$K$496*$V$496</f>
        <v>0</v>
      </c>
      <c r="AC496" s="6">
        <f>$M$496*$W$496</f>
        <v>560.13615000000004</v>
      </c>
      <c r="AD496" s="6">
        <f>$O$496*$X$496</f>
        <v>302.50850000000003</v>
      </c>
      <c r="AE496" s="6">
        <f>$K$496*$Y$496</f>
        <v>0</v>
      </c>
      <c r="AF496" s="6">
        <f ca="1">$M$496*$Z$496</f>
        <v>683.26090000000011</v>
      </c>
      <c r="AG496" s="6">
        <f ca="1">$O$496*$AA$496</f>
        <v>258.07320000000004</v>
      </c>
    </row>
    <row r="497" spans="1:33" ht="11.25" customHeight="1" x14ac:dyDescent="0.25">
      <c r="A497" s="4" t="s">
        <v>21</v>
      </c>
      <c r="B497" s="4" t="s">
        <v>33</v>
      </c>
      <c r="C497" s="4" t="s">
        <v>34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44562</v>
      </c>
      <c r="J497" s="6">
        <v>0</v>
      </c>
      <c r="K497" s="6">
        <v>0</v>
      </c>
      <c r="L497" s="6">
        <v>4.3259999999999996</v>
      </c>
      <c r="M497" s="6">
        <v>4.3259999999999996</v>
      </c>
      <c r="N497" s="6">
        <v>4.3259999999999996</v>
      </c>
      <c r="O497" s="6">
        <v>4.3259999999999996</v>
      </c>
      <c r="P497" s="6">
        <v>0</v>
      </c>
      <c r="Q497" s="4" t="s">
        <v>26</v>
      </c>
      <c r="R497" s="4">
        <v>0</v>
      </c>
      <c r="S497" s="6">
        <v>0</v>
      </c>
      <c r="T497" s="6">
        <v>19</v>
      </c>
      <c r="U497" s="6">
        <v>65</v>
      </c>
      <c r="V497" s="6">
        <f>IF(ISERROR(VLOOKUP($S$497,'TAR FIN'!$A$1:$O$103,15,0)),0,VLOOKUP($S$497,'TAR FIN'!$A$1:$O$103,15,0))</f>
        <v>0</v>
      </c>
      <c r="W497" s="6">
        <f>IF(ISERROR(VLOOKUP($T$497,'TAR FIN'!$A$1:$O$103,15,0)),0,VLOOKUP($T$497,'TAR FIN'!$A$1:$O$103,15,0))</f>
        <v>842.31</v>
      </c>
      <c r="X497" s="6">
        <f>IF(ISERROR(VLOOKUP($U$497,'TAR FIN'!$A$1:$O$103,15,0)),0,VLOOKUP($U$497,'TAR FIN'!$A$1:$O$103,15,0))</f>
        <v>454.9</v>
      </c>
      <c r="Y497" s="6"/>
      <c r="Z497" s="6">
        <f ca="1">('TUSD BE'!$AM$21+'TUSD BF_350'!$AM$21+'TUSD CVA'!$AM$21)*1</f>
        <v>1027.46</v>
      </c>
      <c r="AA497" s="6">
        <f ca="1">('TE BE'!$AB$8+'TE BF_350'!$AB$8+'TE CVA'!$AB$8)*1</f>
        <v>388.08000000000004</v>
      </c>
      <c r="AB497" s="6">
        <f>$K$497*$V$497</f>
        <v>0</v>
      </c>
      <c r="AC497" s="6">
        <f>$M$497*$W$497</f>
        <v>3643.8330599999995</v>
      </c>
      <c r="AD497" s="6">
        <f>$O$497*$X$497</f>
        <v>1967.8973999999998</v>
      </c>
      <c r="AE497" s="6">
        <f>$K$497*$Y$497</f>
        <v>0</v>
      </c>
      <c r="AF497" s="6">
        <f ca="1">$M$497*$Z$497</f>
        <v>4444.7919599999996</v>
      </c>
      <c r="AG497" s="6">
        <f ca="1">$O$497*$AA$497</f>
        <v>1678.8340800000001</v>
      </c>
    </row>
    <row r="498" spans="1:33" ht="11.25" customHeight="1" x14ac:dyDescent="0.25">
      <c r="A498" s="4" t="s">
        <v>28</v>
      </c>
      <c r="B498" s="4" t="s">
        <v>33</v>
      </c>
      <c r="C498" s="4" t="s">
        <v>34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44562</v>
      </c>
      <c r="J498" s="6">
        <v>0</v>
      </c>
      <c r="K498" s="6">
        <v>0</v>
      </c>
      <c r="L498" s="6">
        <v>0.35299999999999998</v>
      </c>
      <c r="M498" s="6">
        <v>0.35299999999999998</v>
      </c>
      <c r="N498" s="6">
        <v>0.35299999999999998</v>
      </c>
      <c r="O498" s="6">
        <v>0.35299999999999998</v>
      </c>
      <c r="P498" s="6">
        <v>0</v>
      </c>
      <c r="Q498" s="4" t="s">
        <v>26</v>
      </c>
      <c r="R498" s="4">
        <v>0</v>
      </c>
      <c r="S498" s="6">
        <v>0</v>
      </c>
      <c r="T498" s="6">
        <v>19</v>
      </c>
      <c r="U498" s="6">
        <v>65</v>
      </c>
      <c r="V498" s="6">
        <f>IF(ISERROR(VLOOKUP($S$498,'TAR FIN'!$A$1:$O$103,15,0)),0,VLOOKUP($S$498,'TAR FIN'!$A$1:$O$103,15,0))</f>
        <v>0</v>
      </c>
      <c r="W498" s="6">
        <f>IF(ISERROR(VLOOKUP($T$498,'TAR FIN'!$A$1:$O$103,15,0)),0,VLOOKUP($T$498,'TAR FIN'!$A$1:$O$103,15,0))</f>
        <v>842.31</v>
      </c>
      <c r="X498" s="6">
        <f>IF(ISERROR(VLOOKUP($U$498,'TAR FIN'!$A$1:$O$103,15,0)),0,VLOOKUP($U$498,'TAR FIN'!$A$1:$O$103,15,0))</f>
        <v>454.9</v>
      </c>
      <c r="Y498" s="6"/>
      <c r="Z498" s="6">
        <f ca="1">('TUSD BE'!$AM$21+'TUSD BF_350'!$AM$21+'TUSD CVA'!$AM$21)*1</f>
        <v>1027.46</v>
      </c>
      <c r="AA498" s="6">
        <f ca="1">('TE BE'!$AB$8+'TE BF_350'!$AB$8+'TE CVA'!$AB$8)*1</f>
        <v>388.08000000000004</v>
      </c>
      <c r="AB498" s="6">
        <f>$K$498*$V$498</f>
        <v>0</v>
      </c>
      <c r="AC498" s="6">
        <f>$M$498*$W$498</f>
        <v>297.33542999999997</v>
      </c>
      <c r="AD498" s="6">
        <f>$O$498*$X$498</f>
        <v>160.57969999999997</v>
      </c>
      <c r="AE498" s="6">
        <f>$K$498*$Y$498</f>
        <v>0</v>
      </c>
      <c r="AF498" s="6">
        <f ca="1">$M$498*$Z$498</f>
        <v>362.69337999999999</v>
      </c>
      <c r="AG498" s="6">
        <f ca="1">$O$498*$AA$498</f>
        <v>136.99224000000001</v>
      </c>
    </row>
    <row r="499" spans="1:33" ht="11.25" customHeight="1" x14ac:dyDescent="0.25">
      <c r="A499" s="4" t="s">
        <v>21</v>
      </c>
      <c r="B499" s="4" t="s">
        <v>33</v>
      </c>
      <c r="C499" s="4" t="s">
        <v>34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44593</v>
      </c>
      <c r="J499" s="6">
        <v>0</v>
      </c>
      <c r="K499" s="6">
        <v>0</v>
      </c>
      <c r="L499" s="6">
        <v>4.3650000000000002</v>
      </c>
      <c r="M499" s="6">
        <v>4.3650000000000002</v>
      </c>
      <c r="N499" s="6">
        <v>4.3650000000000002</v>
      </c>
      <c r="O499" s="6">
        <v>4.3650000000000002</v>
      </c>
      <c r="P499" s="6">
        <v>0</v>
      </c>
      <c r="Q499" s="4" t="s">
        <v>26</v>
      </c>
      <c r="R499" s="4">
        <v>0</v>
      </c>
      <c r="S499" s="6">
        <v>0</v>
      </c>
      <c r="T499" s="6">
        <v>19</v>
      </c>
      <c r="U499" s="6">
        <v>65</v>
      </c>
      <c r="V499" s="6">
        <f>IF(ISERROR(VLOOKUP($S$499,'TAR FIN'!$A$1:$O$103,15,0)),0,VLOOKUP($S$499,'TAR FIN'!$A$1:$O$103,15,0))</f>
        <v>0</v>
      </c>
      <c r="W499" s="6">
        <f>IF(ISERROR(VLOOKUP($T$499,'TAR FIN'!$A$1:$O$103,15,0)),0,VLOOKUP($T$499,'TAR FIN'!$A$1:$O$103,15,0))</f>
        <v>842.31</v>
      </c>
      <c r="X499" s="6">
        <f>IF(ISERROR(VLOOKUP($U$499,'TAR FIN'!$A$1:$O$103,15,0)),0,VLOOKUP($U$499,'TAR FIN'!$A$1:$O$103,15,0))</f>
        <v>454.9</v>
      </c>
      <c r="Y499" s="6"/>
      <c r="Z499" s="6">
        <f ca="1">('TUSD BE'!$AM$21+'TUSD BF_350'!$AM$21+'TUSD CVA'!$AM$21)*1</f>
        <v>1027.46</v>
      </c>
      <c r="AA499" s="6">
        <f ca="1">('TE BE'!$AB$8+'TE BF_350'!$AB$8+'TE CVA'!$AB$8)*1</f>
        <v>388.08000000000004</v>
      </c>
      <c r="AB499" s="6">
        <f>$K$499*$V$499</f>
        <v>0</v>
      </c>
      <c r="AC499" s="6">
        <f>$M$499*$W$499</f>
        <v>3676.6831499999998</v>
      </c>
      <c r="AD499" s="6">
        <f>$O$499*$X$499</f>
        <v>1985.6385</v>
      </c>
      <c r="AE499" s="6">
        <f>$K$499*$Y$499</f>
        <v>0</v>
      </c>
      <c r="AF499" s="6">
        <f ca="1">$M$499*$Z$499</f>
        <v>4484.8629000000001</v>
      </c>
      <c r="AG499" s="6">
        <f ca="1">$O$499*$AA$499</f>
        <v>1693.9692000000002</v>
      </c>
    </row>
    <row r="500" spans="1:33" ht="11.25" customHeight="1" x14ac:dyDescent="0.25">
      <c r="A500" s="4" t="s">
        <v>21</v>
      </c>
      <c r="B500" s="4" t="s">
        <v>33</v>
      </c>
      <c r="C500" s="4" t="s">
        <v>34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44621</v>
      </c>
      <c r="J500" s="6">
        <v>0</v>
      </c>
      <c r="K500" s="6">
        <v>0</v>
      </c>
      <c r="L500" s="6">
        <v>4.7930000000000001</v>
      </c>
      <c r="M500" s="6">
        <v>4.7930000000000001</v>
      </c>
      <c r="N500" s="6">
        <v>4.7930000000000001</v>
      </c>
      <c r="O500" s="6">
        <v>4.7930000000000001</v>
      </c>
      <c r="P500" s="6">
        <v>0</v>
      </c>
      <c r="Q500" s="4" t="s">
        <v>26</v>
      </c>
      <c r="R500" s="4">
        <v>0</v>
      </c>
      <c r="S500" s="6">
        <v>0</v>
      </c>
      <c r="T500" s="6">
        <v>19</v>
      </c>
      <c r="U500" s="6">
        <v>65</v>
      </c>
      <c r="V500" s="6">
        <f>IF(ISERROR(VLOOKUP($S$500,'TAR FIN'!$A$1:$O$103,15,0)),0,VLOOKUP($S$500,'TAR FIN'!$A$1:$O$103,15,0))</f>
        <v>0</v>
      </c>
      <c r="W500" s="6">
        <f>IF(ISERROR(VLOOKUP($T$500,'TAR FIN'!$A$1:$O$103,15,0)),0,VLOOKUP($T$500,'TAR FIN'!$A$1:$O$103,15,0))</f>
        <v>842.31</v>
      </c>
      <c r="X500" s="6">
        <f>IF(ISERROR(VLOOKUP($U$500,'TAR FIN'!$A$1:$O$103,15,0)),0,VLOOKUP($U$500,'TAR FIN'!$A$1:$O$103,15,0))</f>
        <v>454.9</v>
      </c>
      <c r="Y500" s="6"/>
      <c r="Z500" s="6">
        <f ca="1">('TUSD BE'!$AM$21+'TUSD BF_350'!$AM$21+'TUSD CVA'!$AM$21)*1</f>
        <v>1027.46</v>
      </c>
      <c r="AA500" s="6">
        <f ca="1">('TE BE'!$AB$8+'TE BF_350'!$AB$8+'TE CVA'!$AB$8)*1</f>
        <v>388.08000000000004</v>
      </c>
      <c r="AB500" s="6">
        <f>$K$500*$V$500</f>
        <v>0</v>
      </c>
      <c r="AC500" s="6">
        <f>$M$500*$W$500</f>
        <v>4037.1918299999998</v>
      </c>
      <c r="AD500" s="6">
        <f>$O$500*$X$500</f>
        <v>2180.3357000000001</v>
      </c>
      <c r="AE500" s="6">
        <f>$K$500*$Y$500</f>
        <v>0</v>
      </c>
      <c r="AF500" s="6">
        <f ca="1">$M$500*$Z$500</f>
        <v>4924.6157800000001</v>
      </c>
      <c r="AG500" s="6">
        <f ca="1">$O$500*$AA$500</f>
        <v>1860.0674400000003</v>
      </c>
    </row>
    <row r="501" spans="1:33" ht="11.25" customHeight="1" x14ac:dyDescent="0.25">
      <c r="A501" s="4" t="s">
        <v>28</v>
      </c>
      <c r="B501" s="4" t="s">
        <v>33</v>
      </c>
      <c r="C501" s="4" t="s">
        <v>34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44621</v>
      </c>
      <c r="J501" s="6">
        <v>0</v>
      </c>
      <c r="K501" s="6">
        <v>0</v>
      </c>
      <c r="L501" s="6">
        <v>1.859</v>
      </c>
      <c r="M501" s="6">
        <v>1.859</v>
      </c>
      <c r="N501" s="6">
        <v>1.859</v>
      </c>
      <c r="O501" s="6">
        <v>1.859</v>
      </c>
      <c r="P501" s="6">
        <v>0</v>
      </c>
      <c r="Q501" s="4" t="s">
        <v>26</v>
      </c>
      <c r="R501" s="4">
        <v>0</v>
      </c>
      <c r="S501" s="6">
        <v>0</v>
      </c>
      <c r="T501" s="6">
        <v>19</v>
      </c>
      <c r="U501" s="6">
        <v>65</v>
      </c>
      <c r="V501" s="6">
        <f>IF(ISERROR(VLOOKUP($S$501,'TAR FIN'!$A$1:$O$103,15,0)),0,VLOOKUP($S$501,'TAR FIN'!$A$1:$O$103,15,0))</f>
        <v>0</v>
      </c>
      <c r="W501" s="6">
        <f>IF(ISERROR(VLOOKUP($T$501,'TAR FIN'!$A$1:$O$103,15,0)),0,VLOOKUP($T$501,'TAR FIN'!$A$1:$O$103,15,0))</f>
        <v>842.31</v>
      </c>
      <c r="X501" s="6">
        <f>IF(ISERROR(VLOOKUP($U$501,'TAR FIN'!$A$1:$O$103,15,0)),0,VLOOKUP($U$501,'TAR FIN'!$A$1:$O$103,15,0))</f>
        <v>454.9</v>
      </c>
      <c r="Y501" s="6"/>
      <c r="Z501" s="6">
        <f ca="1">('TUSD BE'!$AM$21+'TUSD BF_350'!$AM$21+'TUSD CVA'!$AM$21)*1</f>
        <v>1027.46</v>
      </c>
      <c r="AA501" s="6">
        <f ca="1">('TE BE'!$AB$8+'TE BF_350'!$AB$8+'TE CVA'!$AB$8)*1</f>
        <v>388.08000000000004</v>
      </c>
      <c r="AB501" s="6">
        <f>$K$501*$V$501</f>
        <v>0</v>
      </c>
      <c r="AC501" s="6">
        <f>$M$501*$W$501</f>
        <v>1565.85429</v>
      </c>
      <c r="AD501" s="6">
        <f>$O$501*$X$501</f>
        <v>845.65909999999997</v>
      </c>
      <c r="AE501" s="6">
        <f>$K$501*$Y$501</f>
        <v>0</v>
      </c>
      <c r="AF501" s="6">
        <f ca="1">$M$501*$Z$501</f>
        <v>1910.0481400000001</v>
      </c>
      <c r="AG501" s="6">
        <f ca="1">$O$501*$AA$501</f>
        <v>721.44072000000006</v>
      </c>
    </row>
    <row r="502" spans="1:33" ht="11.25" customHeight="1" x14ac:dyDescent="0.25">
      <c r="A502" s="4" t="s">
        <v>21</v>
      </c>
      <c r="B502" s="4" t="s">
        <v>33</v>
      </c>
      <c r="C502" s="4" t="s">
        <v>34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44652</v>
      </c>
      <c r="J502" s="6">
        <v>0</v>
      </c>
      <c r="K502" s="6">
        <v>0</v>
      </c>
      <c r="L502" s="6">
        <v>3.782</v>
      </c>
      <c r="M502" s="6">
        <v>3.782</v>
      </c>
      <c r="N502" s="6">
        <v>3.782</v>
      </c>
      <c r="O502" s="6">
        <v>3.782</v>
      </c>
      <c r="P502" s="6">
        <v>0</v>
      </c>
      <c r="Q502" s="4" t="s">
        <v>26</v>
      </c>
      <c r="R502" s="4">
        <v>0</v>
      </c>
      <c r="S502" s="6">
        <v>0</v>
      </c>
      <c r="T502" s="6">
        <v>19</v>
      </c>
      <c r="U502" s="6">
        <v>65</v>
      </c>
      <c r="V502" s="6">
        <f>IF(ISERROR(VLOOKUP($S$502,'TAR FIN'!$A$1:$O$103,15,0)),0,VLOOKUP($S$502,'TAR FIN'!$A$1:$O$103,15,0))</f>
        <v>0</v>
      </c>
      <c r="W502" s="6">
        <f>IF(ISERROR(VLOOKUP($T$502,'TAR FIN'!$A$1:$O$103,15,0)),0,VLOOKUP($T$502,'TAR FIN'!$A$1:$O$103,15,0))</f>
        <v>842.31</v>
      </c>
      <c r="X502" s="6">
        <f>IF(ISERROR(VLOOKUP($U$502,'TAR FIN'!$A$1:$O$103,15,0)),0,VLOOKUP($U$502,'TAR FIN'!$A$1:$O$103,15,0))</f>
        <v>454.9</v>
      </c>
      <c r="Y502" s="6"/>
      <c r="Z502" s="6">
        <f ca="1">('TUSD BE'!$AM$21+'TUSD BF_350'!$AM$21+'TUSD CVA'!$AM$21)*1</f>
        <v>1027.46</v>
      </c>
      <c r="AA502" s="6">
        <f ca="1">('TE BE'!$AB$8+'TE BF_350'!$AB$8+'TE CVA'!$AB$8)*1</f>
        <v>388.08000000000004</v>
      </c>
      <c r="AB502" s="6">
        <f>$K$502*$V$502</f>
        <v>0</v>
      </c>
      <c r="AC502" s="6">
        <f>$M$502*$W$502</f>
        <v>3185.6164199999998</v>
      </c>
      <c r="AD502" s="6">
        <f>$O$502*$X$502</f>
        <v>1720.4317999999998</v>
      </c>
      <c r="AE502" s="6">
        <f>$K$502*$Y$502</f>
        <v>0</v>
      </c>
      <c r="AF502" s="6">
        <f ca="1">$M$502*$Z$502</f>
        <v>3885.8537200000001</v>
      </c>
      <c r="AG502" s="6">
        <f ca="1">$O$502*$AA$502</f>
        <v>1467.7185600000003</v>
      </c>
    </row>
    <row r="503" spans="1:33" ht="11.25" customHeight="1" x14ac:dyDescent="0.25">
      <c r="A503" s="4" t="s">
        <v>28</v>
      </c>
      <c r="B503" s="4" t="s">
        <v>33</v>
      </c>
      <c r="C503" s="4" t="s">
        <v>34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44652</v>
      </c>
      <c r="J503" s="6">
        <v>0</v>
      </c>
      <c r="K503" s="6">
        <v>0</v>
      </c>
      <c r="L503" s="6">
        <v>1.6759999999999999</v>
      </c>
      <c r="M503" s="6">
        <v>1.6759999999999999</v>
      </c>
      <c r="N503" s="6">
        <v>1.6759999999999999</v>
      </c>
      <c r="O503" s="6">
        <v>1.6759999999999999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19</v>
      </c>
      <c r="U503" s="6">
        <v>65</v>
      </c>
      <c r="V503" s="6">
        <f>IF(ISERROR(VLOOKUP($S$503,'TAR FIN'!$A$1:$O$103,15,0)),0,VLOOKUP($S$503,'TAR FIN'!$A$1:$O$103,15,0))</f>
        <v>0</v>
      </c>
      <c r="W503" s="6">
        <f>IF(ISERROR(VLOOKUP($T$503,'TAR FIN'!$A$1:$O$103,15,0)),0,VLOOKUP($T$503,'TAR FIN'!$A$1:$O$103,15,0))</f>
        <v>842.31</v>
      </c>
      <c r="X503" s="6">
        <f>IF(ISERROR(VLOOKUP($U$503,'TAR FIN'!$A$1:$O$103,15,0)),0,VLOOKUP($U$503,'TAR FIN'!$A$1:$O$103,15,0))</f>
        <v>454.9</v>
      </c>
      <c r="Y503" s="6"/>
      <c r="Z503" s="6">
        <f ca="1">('TUSD BE'!$AM$21+'TUSD BF_350'!$AM$21+'TUSD CVA'!$AM$21)*1</f>
        <v>1027.46</v>
      </c>
      <c r="AA503" s="6">
        <f ca="1">('TE BE'!$AB$8+'TE BF_350'!$AB$8+'TE CVA'!$AB$8)*1</f>
        <v>388.08000000000004</v>
      </c>
      <c r="AB503" s="6">
        <f>$K$503*$V$503</f>
        <v>0</v>
      </c>
      <c r="AC503" s="6">
        <f>$M$503*$W$503</f>
        <v>1411.71156</v>
      </c>
      <c r="AD503" s="6">
        <f>$O$503*$X$503</f>
        <v>762.41239999999993</v>
      </c>
      <c r="AE503" s="6">
        <f>$K$503*$Y$503</f>
        <v>0</v>
      </c>
      <c r="AF503" s="6">
        <f ca="1">$M$503*$Z$503</f>
        <v>1722.02296</v>
      </c>
      <c r="AG503" s="6">
        <f ca="1">$O$503*$AA$503</f>
        <v>650.42208000000005</v>
      </c>
    </row>
    <row r="504" spans="1:33" ht="11.25" customHeight="1" x14ac:dyDescent="0.25">
      <c r="A504" s="4" t="s">
        <v>21</v>
      </c>
      <c r="B504" s="4" t="s">
        <v>33</v>
      </c>
      <c r="C504" s="4" t="s">
        <v>34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44682</v>
      </c>
      <c r="J504" s="6">
        <v>0</v>
      </c>
      <c r="K504" s="6">
        <v>0</v>
      </c>
      <c r="L504" s="6">
        <v>4.5629999999999997</v>
      </c>
      <c r="M504" s="6">
        <v>4.5629999999999997</v>
      </c>
      <c r="N504" s="6">
        <v>4.5629999999999997</v>
      </c>
      <c r="O504" s="6">
        <v>4.5629999999999997</v>
      </c>
      <c r="P504" s="6">
        <v>0</v>
      </c>
      <c r="Q504" s="4" t="s">
        <v>26</v>
      </c>
      <c r="R504" s="4">
        <v>0</v>
      </c>
      <c r="S504" s="6">
        <v>0</v>
      </c>
      <c r="T504" s="6">
        <v>19</v>
      </c>
      <c r="U504" s="6">
        <v>65</v>
      </c>
      <c r="V504" s="6">
        <f>IF(ISERROR(VLOOKUP($S$504,'TAR FIN'!$A$1:$O$103,15,0)),0,VLOOKUP($S$504,'TAR FIN'!$A$1:$O$103,15,0))</f>
        <v>0</v>
      </c>
      <c r="W504" s="6">
        <f>IF(ISERROR(VLOOKUP($T$504,'TAR FIN'!$A$1:$O$103,15,0)),0,VLOOKUP($T$504,'TAR FIN'!$A$1:$O$103,15,0))</f>
        <v>842.31</v>
      </c>
      <c r="X504" s="6">
        <f>IF(ISERROR(VLOOKUP($U$504,'TAR FIN'!$A$1:$O$103,15,0)),0,VLOOKUP($U$504,'TAR FIN'!$A$1:$O$103,15,0))</f>
        <v>454.9</v>
      </c>
      <c r="Y504" s="6"/>
      <c r="Z504" s="6">
        <f ca="1">('TUSD BE'!$AM$21+'TUSD BF_350'!$AM$21+'TUSD CVA'!$AM$21)*1</f>
        <v>1027.46</v>
      </c>
      <c r="AA504" s="6">
        <f ca="1">('TE BE'!$AB$8+'TE BF_350'!$AB$8+'TE CVA'!$AB$8)*1</f>
        <v>388.08000000000004</v>
      </c>
      <c r="AB504" s="6">
        <f>$K$504*$V$504</f>
        <v>0</v>
      </c>
      <c r="AC504" s="6">
        <f>$M$504*$W$504</f>
        <v>3843.4605299999994</v>
      </c>
      <c r="AD504" s="6">
        <f>$O$504*$X$504</f>
        <v>2075.7086999999997</v>
      </c>
      <c r="AE504" s="6">
        <f>$K$504*$Y$504</f>
        <v>0</v>
      </c>
      <c r="AF504" s="6">
        <f ca="1">$M$504*$Z$504</f>
        <v>4688.2999799999998</v>
      </c>
      <c r="AG504" s="6">
        <f ca="1">$O$504*$AA$504</f>
        <v>1770.8090400000001</v>
      </c>
    </row>
    <row r="505" spans="1:33" ht="11.25" customHeight="1" x14ac:dyDescent="0.25">
      <c r="A505" s="4" t="s">
        <v>28</v>
      </c>
      <c r="B505" s="4" t="s">
        <v>33</v>
      </c>
      <c r="C505" s="4" t="s">
        <v>34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44682</v>
      </c>
      <c r="J505" s="6">
        <v>0</v>
      </c>
      <c r="K505" s="6">
        <v>0</v>
      </c>
      <c r="L505" s="6">
        <v>2.444</v>
      </c>
      <c r="M505" s="6">
        <v>2.444</v>
      </c>
      <c r="N505" s="6">
        <v>2.444</v>
      </c>
      <c r="O505" s="6">
        <v>2.444</v>
      </c>
      <c r="P505" s="6">
        <v>0</v>
      </c>
      <c r="Q505" s="4" t="s">
        <v>26</v>
      </c>
      <c r="R505" s="4">
        <v>0</v>
      </c>
      <c r="S505" s="6">
        <v>0</v>
      </c>
      <c r="T505" s="6">
        <v>19</v>
      </c>
      <c r="U505" s="6">
        <v>65</v>
      </c>
      <c r="V505" s="6">
        <f>IF(ISERROR(VLOOKUP($S$505,'TAR FIN'!$A$1:$O$103,15,0)),0,VLOOKUP($S$505,'TAR FIN'!$A$1:$O$103,15,0))</f>
        <v>0</v>
      </c>
      <c r="W505" s="6">
        <f>IF(ISERROR(VLOOKUP($T$505,'TAR FIN'!$A$1:$O$103,15,0)),0,VLOOKUP($T$505,'TAR FIN'!$A$1:$O$103,15,0))</f>
        <v>842.31</v>
      </c>
      <c r="X505" s="6">
        <f>IF(ISERROR(VLOOKUP($U$505,'TAR FIN'!$A$1:$O$103,15,0)),0,VLOOKUP($U$505,'TAR FIN'!$A$1:$O$103,15,0))</f>
        <v>454.9</v>
      </c>
      <c r="Y505" s="6"/>
      <c r="Z505" s="6">
        <f ca="1">('TUSD BE'!$AM$21+'TUSD BF_350'!$AM$21+'TUSD CVA'!$AM$21)*1</f>
        <v>1027.46</v>
      </c>
      <c r="AA505" s="6">
        <f ca="1">('TE BE'!$AB$8+'TE BF_350'!$AB$8+'TE CVA'!$AB$8)*1</f>
        <v>388.08000000000004</v>
      </c>
      <c r="AB505" s="6">
        <f>$K$505*$V$505</f>
        <v>0</v>
      </c>
      <c r="AC505" s="6">
        <f>$M$505*$W$505</f>
        <v>2058.6056399999998</v>
      </c>
      <c r="AD505" s="6">
        <f>$O$505*$X$505</f>
        <v>1111.7755999999999</v>
      </c>
      <c r="AE505" s="6">
        <f>$K$505*$Y$505</f>
        <v>0</v>
      </c>
      <c r="AF505" s="6">
        <f ca="1">$M$505*$Z$505</f>
        <v>2511.1122399999999</v>
      </c>
      <c r="AG505" s="6">
        <f ca="1">$O$505*$AA$505</f>
        <v>948.46752000000004</v>
      </c>
    </row>
    <row r="506" spans="1:33" ht="11.25" customHeight="1" x14ac:dyDescent="0.25">
      <c r="A506" s="4" t="s">
        <v>21</v>
      </c>
      <c r="B506" s="4" t="s">
        <v>33</v>
      </c>
      <c r="C506" s="4" t="s">
        <v>34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35</v>
      </c>
      <c r="I506" s="5">
        <v>44348</v>
      </c>
      <c r="J506" s="6">
        <v>0</v>
      </c>
      <c r="K506" s="6">
        <v>0</v>
      </c>
      <c r="L506" s="6">
        <v>1.1679999999999999</v>
      </c>
      <c r="M506" s="6">
        <v>1.1679999999999999</v>
      </c>
      <c r="N506" s="6">
        <v>1.1679999999999999</v>
      </c>
      <c r="O506" s="6">
        <v>1.1679999999999999</v>
      </c>
      <c r="P506" s="6">
        <v>0</v>
      </c>
      <c r="Q506" s="4" t="s">
        <v>26</v>
      </c>
      <c r="R506" s="4">
        <v>0</v>
      </c>
      <c r="S506" s="6">
        <v>0</v>
      </c>
      <c r="T506" s="6">
        <v>20</v>
      </c>
      <c r="U506" s="6">
        <v>66</v>
      </c>
      <c r="V506" s="6">
        <f>IF(ISERROR(VLOOKUP($S$506,'TAR FIN'!$A$1:$O$103,15,0)),0,VLOOKUP($S$506,'TAR FIN'!$A$1:$O$103,15,0))</f>
        <v>0</v>
      </c>
      <c r="W506" s="6">
        <f>IF(ISERROR(VLOOKUP($T$506,'TAR FIN'!$A$1:$O$103,15,0)),0,VLOOKUP($T$506,'TAR FIN'!$A$1:$O$103,15,0))</f>
        <v>69.37</v>
      </c>
      <c r="X506" s="6">
        <f>IF(ISERROR(VLOOKUP($U$506,'TAR FIN'!$A$1:$O$103,15,0)),0,VLOOKUP($U$506,'TAR FIN'!$A$1:$O$103,15,0))</f>
        <v>284.36</v>
      </c>
      <c r="Y506" s="6"/>
      <c r="Z506" s="6">
        <f ca="1">('TUSD BE'!$AM$22+'TUSD BF_350'!$AM$22+'TUSD CVA'!$AM$22)*1</f>
        <v>110.85</v>
      </c>
      <c r="AA506" s="6">
        <f ca="1">('TE BE'!$AB$9+'TE BF_350'!$AB$9+'TE CVA'!$AB$9)*1</f>
        <v>247.20000000000002</v>
      </c>
      <c r="AB506" s="6">
        <f>$K$506*$V$506</f>
        <v>0</v>
      </c>
      <c r="AC506" s="6">
        <f>$M$506*$W$506</f>
        <v>81.024159999999995</v>
      </c>
      <c r="AD506" s="6">
        <f>$O$506*$X$506</f>
        <v>332.13247999999999</v>
      </c>
      <c r="AE506" s="6">
        <f>$K$506*$Y$506</f>
        <v>0</v>
      </c>
      <c r="AF506" s="6">
        <f ca="1">$M$506*$Z$506</f>
        <v>129.47279999999998</v>
      </c>
      <c r="AG506" s="6">
        <f ca="1">$O$506*$AA$506</f>
        <v>288.7296</v>
      </c>
    </row>
    <row r="507" spans="1:33" ht="11.25" customHeight="1" x14ac:dyDescent="0.25">
      <c r="A507" s="4" t="s">
        <v>21</v>
      </c>
      <c r="B507" s="4" t="s">
        <v>33</v>
      </c>
      <c r="C507" s="4" t="s">
        <v>34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35</v>
      </c>
      <c r="I507" s="5">
        <v>44378</v>
      </c>
      <c r="J507" s="6">
        <v>0</v>
      </c>
      <c r="K507" s="6">
        <v>0</v>
      </c>
      <c r="L507" s="6">
        <v>1.3240000000000001</v>
      </c>
      <c r="M507" s="6">
        <v>1.3240000000000001</v>
      </c>
      <c r="N507" s="6">
        <v>1.3240000000000001</v>
      </c>
      <c r="O507" s="6">
        <v>1.3240000000000001</v>
      </c>
      <c r="P507" s="6">
        <v>0</v>
      </c>
      <c r="Q507" s="4" t="s">
        <v>26</v>
      </c>
      <c r="R507" s="4">
        <v>0</v>
      </c>
      <c r="S507" s="6">
        <v>0</v>
      </c>
      <c r="T507" s="6">
        <v>20</v>
      </c>
      <c r="U507" s="6">
        <v>66</v>
      </c>
      <c r="V507" s="6">
        <f>IF(ISERROR(VLOOKUP($S$507,'TAR FIN'!$A$1:$O$103,15,0)),0,VLOOKUP($S$507,'TAR FIN'!$A$1:$O$103,15,0))</f>
        <v>0</v>
      </c>
      <c r="W507" s="6">
        <f>IF(ISERROR(VLOOKUP($T$507,'TAR FIN'!$A$1:$O$103,15,0)),0,VLOOKUP($T$507,'TAR FIN'!$A$1:$O$103,15,0))</f>
        <v>69.37</v>
      </c>
      <c r="X507" s="6">
        <f>IF(ISERROR(VLOOKUP($U$507,'TAR FIN'!$A$1:$O$103,15,0)),0,VLOOKUP($U$507,'TAR FIN'!$A$1:$O$103,15,0))</f>
        <v>284.36</v>
      </c>
      <c r="Y507" s="6"/>
      <c r="Z507" s="6">
        <f ca="1">('TUSD BE'!$AM$22+'TUSD BF_350'!$AM$22+'TUSD CVA'!$AM$22)*1</f>
        <v>110.85</v>
      </c>
      <c r="AA507" s="6">
        <f ca="1">('TE BE'!$AB$9+'TE BF_350'!$AB$9+'TE CVA'!$AB$9)*1</f>
        <v>247.20000000000002</v>
      </c>
      <c r="AB507" s="6">
        <f>$K$507*$V$507</f>
        <v>0</v>
      </c>
      <c r="AC507" s="6">
        <f>$M$507*$W$507</f>
        <v>91.845880000000008</v>
      </c>
      <c r="AD507" s="6">
        <f>$O$507*$X$507</f>
        <v>376.49264000000005</v>
      </c>
      <c r="AE507" s="6">
        <f>$K$507*$Y$507</f>
        <v>0</v>
      </c>
      <c r="AF507" s="6">
        <f ca="1">$M$507*$Z$507</f>
        <v>146.7654</v>
      </c>
      <c r="AG507" s="6">
        <f ca="1">$O$507*$AA$507</f>
        <v>327.29280000000006</v>
      </c>
    </row>
    <row r="508" spans="1:33" ht="11.25" customHeight="1" x14ac:dyDescent="0.25">
      <c r="A508" s="4" t="s">
        <v>21</v>
      </c>
      <c r="B508" s="4" t="s">
        <v>33</v>
      </c>
      <c r="C508" s="4" t="s">
        <v>34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35</v>
      </c>
      <c r="I508" s="5">
        <v>44409</v>
      </c>
      <c r="J508" s="6">
        <v>0</v>
      </c>
      <c r="K508" s="6">
        <v>0</v>
      </c>
      <c r="L508" s="6">
        <v>1.2330000000000001</v>
      </c>
      <c r="M508" s="6">
        <v>1.2330000000000001</v>
      </c>
      <c r="N508" s="6">
        <v>1.2330000000000001</v>
      </c>
      <c r="O508" s="6">
        <v>1.2330000000000001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20</v>
      </c>
      <c r="U508" s="6">
        <v>66</v>
      </c>
      <c r="V508" s="6">
        <f>IF(ISERROR(VLOOKUP($S$508,'TAR FIN'!$A$1:$O$103,15,0)),0,VLOOKUP($S$508,'TAR FIN'!$A$1:$O$103,15,0))</f>
        <v>0</v>
      </c>
      <c r="W508" s="6">
        <f>IF(ISERROR(VLOOKUP($T$508,'TAR FIN'!$A$1:$O$103,15,0)),0,VLOOKUP($T$508,'TAR FIN'!$A$1:$O$103,15,0))</f>
        <v>69.37</v>
      </c>
      <c r="X508" s="6">
        <f>IF(ISERROR(VLOOKUP($U$508,'TAR FIN'!$A$1:$O$103,15,0)),0,VLOOKUP($U$508,'TAR FIN'!$A$1:$O$103,15,0))</f>
        <v>284.36</v>
      </c>
      <c r="Y508" s="6"/>
      <c r="Z508" s="6">
        <f ca="1">('TUSD BE'!$AM$22+'TUSD BF_350'!$AM$22+'TUSD CVA'!$AM$22)*1</f>
        <v>110.85</v>
      </c>
      <c r="AA508" s="6">
        <f ca="1">('TE BE'!$AB$9+'TE BF_350'!$AB$9+'TE CVA'!$AB$9)*1</f>
        <v>247.20000000000002</v>
      </c>
      <c r="AB508" s="6">
        <f>$K$508*$V$508</f>
        <v>0</v>
      </c>
      <c r="AC508" s="6">
        <f>$M$508*$W$508</f>
        <v>85.533210000000011</v>
      </c>
      <c r="AD508" s="6">
        <f>$O$508*$X$508</f>
        <v>350.61588000000006</v>
      </c>
      <c r="AE508" s="6">
        <f>$K$508*$Y$508</f>
        <v>0</v>
      </c>
      <c r="AF508" s="6">
        <f ca="1">$M$508*$Z$508</f>
        <v>136.67805000000001</v>
      </c>
      <c r="AG508" s="6">
        <f ca="1">$O$508*$AA$508</f>
        <v>304.79760000000005</v>
      </c>
    </row>
    <row r="509" spans="1:33" ht="11.25" customHeight="1" x14ac:dyDescent="0.25">
      <c r="A509" s="4" t="s">
        <v>21</v>
      </c>
      <c r="B509" s="4" t="s">
        <v>33</v>
      </c>
      <c r="C509" s="4" t="s">
        <v>34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35</v>
      </c>
      <c r="I509" s="5">
        <v>44440</v>
      </c>
      <c r="J509" s="6">
        <v>0</v>
      </c>
      <c r="K509" s="6">
        <v>0</v>
      </c>
      <c r="L509" s="6">
        <v>1.385</v>
      </c>
      <c r="M509" s="6">
        <v>1.385</v>
      </c>
      <c r="N509" s="6">
        <v>1.385</v>
      </c>
      <c r="O509" s="6">
        <v>1.385</v>
      </c>
      <c r="P509" s="6">
        <v>0</v>
      </c>
      <c r="Q509" s="4" t="s">
        <v>26</v>
      </c>
      <c r="R509" s="4">
        <v>0</v>
      </c>
      <c r="S509" s="6">
        <v>0</v>
      </c>
      <c r="T509" s="6">
        <v>20</v>
      </c>
      <c r="U509" s="6">
        <v>66</v>
      </c>
      <c r="V509" s="6">
        <f>IF(ISERROR(VLOOKUP($S$509,'TAR FIN'!$A$1:$O$103,15,0)),0,VLOOKUP($S$509,'TAR FIN'!$A$1:$O$103,15,0))</f>
        <v>0</v>
      </c>
      <c r="W509" s="6">
        <f>IF(ISERROR(VLOOKUP($T$509,'TAR FIN'!$A$1:$O$103,15,0)),0,VLOOKUP($T$509,'TAR FIN'!$A$1:$O$103,15,0))</f>
        <v>69.37</v>
      </c>
      <c r="X509" s="6">
        <f>IF(ISERROR(VLOOKUP($U$509,'TAR FIN'!$A$1:$O$103,15,0)),0,VLOOKUP($U$509,'TAR FIN'!$A$1:$O$103,15,0))</f>
        <v>284.36</v>
      </c>
      <c r="Y509" s="6"/>
      <c r="Z509" s="6">
        <f ca="1">('TUSD BE'!$AM$22+'TUSD BF_350'!$AM$22+'TUSD CVA'!$AM$22)*1</f>
        <v>110.85</v>
      </c>
      <c r="AA509" s="6">
        <f ca="1">('TE BE'!$AB$9+'TE BF_350'!$AB$9+'TE CVA'!$AB$9)*1</f>
        <v>247.20000000000002</v>
      </c>
      <c r="AB509" s="6">
        <f>$K$509*$V$509</f>
        <v>0</v>
      </c>
      <c r="AC509" s="6">
        <f>$M$509*$W$509</f>
        <v>96.077450000000013</v>
      </c>
      <c r="AD509" s="6">
        <f>$O$509*$X$509</f>
        <v>393.83860000000004</v>
      </c>
      <c r="AE509" s="6">
        <f>$K$509*$Y$509</f>
        <v>0</v>
      </c>
      <c r="AF509" s="6">
        <f ca="1">$M$509*$Z$509</f>
        <v>153.52724999999998</v>
      </c>
      <c r="AG509" s="6">
        <f ca="1">$O$509*$AA$509</f>
        <v>342.37200000000001</v>
      </c>
    </row>
    <row r="510" spans="1:33" ht="11.25" customHeight="1" x14ac:dyDescent="0.25">
      <c r="A510" s="4" t="s">
        <v>21</v>
      </c>
      <c r="B510" s="4" t="s">
        <v>33</v>
      </c>
      <c r="C510" s="4" t="s">
        <v>34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35</v>
      </c>
      <c r="I510" s="5">
        <v>44470</v>
      </c>
      <c r="J510" s="6">
        <v>0</v>
      </c>
      <c r="K510" s="6">
        <v>0</v>
      </c>
      <c r="L510" s="6">
        <v>1.3320000000000001</v>
      </c>
      <c r="M510" s="6">
        <v>1.3320000000000001</v>
      </c>
      <c r="N510" s="6">
        <v>1.3320000000000001</v>
      </c>
      <c r="O510" s="6">
        <v>1.3320000000000001</v>
      </c>
      <c r="P510" s="6">
        <v>0</v>
      </c>
      <c r="Q510" s="4" t="s">
        <v>26</v>
      </c>
      <c r="R510" s="4">
        <v>0</v>
      </c>
      <c r="S510" s="6">
        <v>0</v>
      </c>
      <c r="T510" s="6">
        <v>20</v>
      </c>
      <c r="U510" s="6">
        <v>66</v>
      </c>
      <c r="V510" s="6">
        <f>IF(ISERROR(VLOOKUP($S$510,'TAR FIN'!$A$1:$O$103,15,0)),0,VLOOKUP($S$510,'TAR FIN'!$A$1:$O$103,15,0))</f>
        <v>0</v>
      </c>
      <c r="W510" s="6">
        <f>IF(ISERROR(VLOOKUP($T$510,'TAR FIN'!$A$1:$O$103,15,0)),0,VLOOKUP($T$510,'TAR FIN'!$A$1:$O$103,15,0))</f>
        <v>69.37</v>
      </c>
      <c r="X510" s="6">
        <f>IF(ISERROR(VLOOKUP($U$510,'TAR FIN'!$A$1:$O$103,15,0)),0,VLOOKUP($U$510,'TAR FIN'!$A$1:$O$103,15,0))</f>
        <v>284.36</v>
      </c>
      <c r="Y510" s="6"/>
      <c r="Z510" s="6">
        <f ca="1">('TUSD BE'!$AM$22+'TUSD BF_350'!$AM$22+'TUSD CVA'!$AM$22)*1</f>
        <v>110.85</v>
      </c>
      <c r="AA510" s="6">
        <f ca="1">('TE BE'!$AB$9+'TE BF_350'!$AB$9+'TE CVA'!$AB$9)*1</f>
        <v>247.20000000000002</v>
      </c>
      <c r="AB510" s="6">
        <f>$K$510*$V$510</f>
        <v>0</v>
      </c>
      <c r="AC510" s="6">
        <f>$M$510*$W$510</f>
        <v>92.400840000000017</v>
      </c>
      <c r="AD510" s="6">
        <f>$O$510*$X$510</f>
        <v>378.76752000000005</v>
      </c>
      <c r="AE510" s="6">
        <f>$K$510*$Y$510</f>
        <v>0</v>
      </c>
      <c r="AF510" s="6">
        <f ca="1">$M$510*$Z$510</f>
        <v>147.65219999999999</v>
      </c>
      <c r="AG510" s="6">
        <f ca="1">$O$510*$AA$510</f>
        <v>329.27040000000005</v>
      </c>
    </row>
    <row r="511" spans="1:33" ht="11.25" customHeight="1" x14ac:dyDescent="0.25">
      <c r="A511" s="4" t="s">
        <v>21</v>
      </c>
      <c r="B511" s="4" t="s">
        <v>33</v>
      </c>
      <c r="C511" s="4" t="s">
        <v>34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35</v>
      </c>
      <c r="I511" s="5">
        <v>44501</v>
      </c>
      <c r="J511" s="6">
        <v>0</v>
      </c>
      <c r="K511" s="6">
        <v>0</v>
      </c>
      <c r="L511" s="6">
        <v>1.327</v>
      </c>
      <c r="M511" s="6">
        <v>1.327</v>
      </c>
      <c r="N511" s="6">
        <v>1.327</v>
      </c>
      <c r="O511" s="6">
        <v>1.327</v>
      </c>
      <c r="P511" s="6">
        <v>0</v>
      </c>
      <c r="Q511" s="4" t="s">
        <v>26</v>
      </c>
      <c r="R511" s="4">
        <v>0</v>
      </c>
      <c r="S511" s="6">
        <v>0</v>
      </c>
      <c r="T511" s="6">
        <v>20</v>
      </c>
      <c r="U511" s="6">
        <v>66</v>
      </c>
      <c r="V511" s="6">
        <f>IF(ISERROR(VLOOKUP($S$511,'TAR FIN'!$A$1:$O$103,15,0)),0,VLOOKUP($S$511,'TAR FIN'!$A$1:$O$103,15,0))</f>
        <v>0</v>
      </c>
      <c r="W511" s="6">
        <f>IF(ISERROR(VLOOKUP($T$511,'TAR FIN'!$A$1:$O$103,15,0)),0,VLOOKUP($T$511,'TAR FIN'!$A$1:$O$103,15,0))</f>
        <v>69.37</v>
      </c>
      <c r="X511" s="6">
        <f>IF(ISERROR(VLOOKUP($U$511,'TAR FIN'!$A$1:$O$103,15,0)),0,VLOOKUP($U$511,'TAR FIN'!$A$1:$O$103,15,0))</f>
        <v>284.36</v>
      </c>
      <c r="Y511" s="6"/>
      <c r="Z511" s="6">
        <f ca="1">('TUSD BE'!$AM$22+'TUSD BF_350'!$AM$22+'TUSD CVA'!$AM$22)*1</f>
        <v>110.85</v>
      </c>
      <c r="AA511" s="6">
        <f ca="1">('TE BE'!$AB$9+'TE BF_350'!$AB$9+'TE CVA'!$AB$9)*1</f>
        <v>247.20000000000002</v>
      </c>
      <c r="AB511" s="6">
        <f>$K$511*$V$511</f>
        <v>0</v>
      </c>
      <c r="AC511" s="6">
        <f>$M$511*$W$511</f>
        <v>92.053989999999999</v>
      </c>
      <c r="AD511" s="6">
        <f>$O$511*$X$511</f>
        <v>377.34572000000003</v>
      </c>
      <c r="AE511" s="6">
        <f>$K$511*$Y$511</f>
        <v>0</v>
      </c>
      <c r="AF511" s="6">
        <f ca="1">$M$511*$Z$511</f>
        <v>147.09795</v>
      </c>
      <c r="AG511" s="6">
        <f ca="1">$O$511*$AA$511</f>
        <v>328.03440000000001</v>
      </c>
    </row>
    <row r="512" spans="1:33" ht="11.25" customHeight="1" x14ac:dyDescent="0.25">
      <c r="A512" s="4" t="s">
        <v>21</v>
      </c>
      <c r="B512" s="4" t="s">
        <v>33</v>
      </c>
      <c r="C512" s="4" t="s">
        <v>34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35</v>
      </c>
      <c r="I512" s="5">
        <v>44531</v>
      </c>
      <c r="J512" s="6">
        <v>0</v>
      </c>
      <c r="K512" s="6">
        <v>0</v>
      </c>
      <c r="L512" s="6">
        <v>2.3889999999999998</v>
      </c>
      <c r="M512" s="6">
        <v>2.3889999999999998</v>
      </c>
      <c r="N512" s="6">
        <v>2.3889999999999998</v>
      </c>
      <c r="O512" s="6">
        <v>2.3889999999999998</v>
      </c>
      <c r="P512" s="6">
        <v>0</v>
      </c>
      <c r="Q512" s="4" t="s">
        <v>26</v>
      </c>
      <c r="R512" s="4">
        <v>0</v>
      </c>
      <c r="S512" s="6">
        <v>0</v>
      </c>
      <c r="T512" s="6">
        <v>20</v>
      </c>
      <c r="U512" s="6">
        <v>66</v>
      </c>
      <c r="V512" s="6">
        <f>IF(ISERROR(VLOOKUP($S$512,'TAR FIN'!$A$1:$O$103,15,0)),0,VLOOKUP($S$512,'TAR FIN'!$A$1:$O$103,15,0))</f>
        <v>0</v>
      </c>
      <c r="W512" s="6">
        <f>IF(ISERROR(VLOOKUP($T$512,'TAR FIN'!$A$1:$O$103,15,0)),0,VLOOKUP($T$512,'TAR FIN'!$A$1:$O$103,15,0))</f>
        <v>69.37</v>
      </c>
      <c r="X512" s="6">
        <f>IF(ISERROR(VLOOKUP($U$512,'TAR FIN'!$A$1:$O$103,15,0)),0,VLOOKUP($U$512,'TAR FIN'!$A$1:$O$103,15,0))</f>
        <v>284.36</v>
      </c>
      <c r="Y512" s="6"/>
      <c r="Z512" s="6">
        <f ca="1">('TUSD BE'!$AM$22+'TUSD BF_350'!$AM$22+'TUSD CVA'!$AM$22)*1</f>
        <v>110.85</v>
      </c>
      <c r="AA512" s="6">
        <f ca="1">('TE BE'!$AB$9+'TE BF_350'!$AB$9+'TE CVA'!$AB$9)*1</f>
        <v>247.20000000000002</v>
      </c>
      <c r="AB512" s="6">
        <f>$K$512*$V$512</f>
        <v>0</v>
      </c>
      <c r="AC512" s="6">
        <f>$M$512*$W$512</f>
        <v>165.72493</v>
      </c>
      <c r="AD512" s="6">
        <f>$O$512*$X$512</f>
        <v>679.33604000000003</v>
      </c>
      <c r="AE512" s="6">
        <f>$K$512*$Y$512</f>
        <v>0</v>
      </c>
      <c r="AF512" s="6">
        <f ca="1">$M$512*$Z$512</f>
        <v>264.82064999999994</v>
      </c>
      <c r="AG512" s="6">
        <f ca="1">$O$512*$AA$512</f>
        <v>590.56079999999997</v>
      </c>
    </row>
    <row r="513" spans="1:33" ht="11.25" customHeight="1" x14ac:dyDescent="0.25">
      <c r="A513" s="4" t="s">
        <v>21</v>
      </c>
      <c r="B513" s="4" t="s">
        <v>33</v>
      </c>
      <c r="C513" s="4" t="s">
        <v>34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35</v>
      </c>
      <c r="I513" s="5">
        <v>44562</v>
      </c>
      <c r="J513" s="6">
        <v>0</v>
      </c>
      <c r="K513" s="6">
        <v>0</v>
      </c>
      <c r="L513" s="6">
        <v>1.429</v>
      </c>
      <c r="M513" s="6">
        <v>1.429</v>
      </c>
      <c r="N513" s="6">
        <v>1.429</v>
      </c>
      <c r="O513" s="6">
        <v>1.429</v>
      </c>
      <c r="P513" s="6">
        <v>0</v>
      </c>
      <c r="Q513" s="4" t="s">
        <v>26</v>
      </c>
      <c r="R513" s="4">
        <v>0</v>
      </c>
      <c r="S513" s="6">
        <v>0</v>
      </c>
      <c r="T513" s="6">
        <v>20</v>
      </c>
      <c r="U513" s="6">
        <v>66</v>
      </c>
      <c r="V513" s="6">
        <f>IF(ISERROR(VLOOKUP($S$513,'TAR FIN'!$A$1:$O$103,15,0)),0,VLOOKUP($S$513,'TAR FIN'!$A$1:$O$103,15,0))</f>
        <v>0</v>
      </c>
      <c r="W513" s="6">
        <f>IF(ISERROR(VLOOKUP($T$513,'TAR FIN'!$A$1:$O$103,15,0)),0,VLOOKUP($T$513,'TAR FIN'!$A$1:$O$103,15,0))</f>
        <v>69.37</v>
      </c>
      <c r="X513" s="6">
        <f>IF(ISERROR(VLOOKUP($U$513,'TAR FIN'!$A$1:$O$103,15,0)),0,VLOOKUP($U$513,'TAR FIN'!$A$1:$O$103,15,0))</f>
        <v>284.36</v>
      </c>
      <c r="Y513" s="6"/>
      <c r="Z513" s="6">
        <f ca="1">('TUSD BE'!$AM$22+'TUSD BF_350'!$AM$22+'TUSD CVA'!$AM$22)*1</f>
        <v>110.85</v>
      </c>
      <c r="AA513" s="6">
        <f ca="1">('TE BE'!$AB$9+'TE BF_350'!$AB$9+'TE CVA'!$AB$9)*1</f>
        <v>247.20000000000002</v>
      </c>
      <c r="AB513" s="6">
        <f>$K$513*$V$513</f>
        <v>0</v>
      </c>
      <c r="AC513" s="6">
        <f>$M$513*$W$513</f>
        <v>99.129730000000009</v>
      </c>
      <c r="AD513" s="6">
        <f>$O$513*$X$513</f>
        <v>406.35044000000005</v>
      </c>
      <c r="AE513" s="6">
        <f>$K$513*$Y$513</f>
        <v>0</v>
      </c>
      <c r="AF513" s="6">
        <f ca="1">$M$513*$Z$513</f>
        <v>158.40465</v>
      </c>
      <c r="AG513" s="6">
        <f ca="1">$O$513*$AA$513</f>
        <v>353.24880000000002</v>
      </c>
    </row>
    <row r="514" spans="1:33" ht="11.25" customHeight="1" x14ac:dyDescent="0.25">
      <c r="A514" s="4" t="s">
        <v>21</v>
      </c>
      <c r="B514" s="4" t="s">
        <v>33</v>
      </c>
      <c r="C514" s="4" t="s">
        <v>34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35</v>
      </c>
      <c r="I514" s="5">
        <v>44593</v>
      </c>
      <c r="J514" s="6">
        <v>0</v>
      </c>
      <c r="K514" s="6">
        <v>0</v>
      </c>
      <c r="L514" s="6">
        <v>1.653</v>
      </c>
      <c r="M514" s="6">
        <v>1.653</v>
      </c>
      <c r="N514" s="6">
        <v>1.653</v>
      </c>
      <c r="O514" s="6">
        <v>1.653</v>
      </c>
      <c r="P514" s="6">
        <v>0</v>
      </c>
      <c r="Q514" s="4" t="s">
        <v>26</v>
      </c>
      <c r="R514" s="4">
        <v>0</v>
      </c>
      <c r="S514" s="6">
        <v>0</v>
      </c>
      <c r="T514" s="6">
        <v>20</v>
      </c>
      <c r="U514" s="6">
        <v>66</v>
      </c>
      <c r="V514" s="6">
        <f>IF(ISERROR(VLOOKUP($S$514,'TAR FIN'!$A$1:$O$103,15,0)),0,VLOOKUP($S$514,'TAR FIN'!$A$1:$O$103,15,0))</f>
        <v>0</v>
      </c>
      <c r="W514" s="6">
        <f>IF(ISERROR(VLOOKUP($T$514,'TAR FIN'!$A$1:$O$103,15,0)),0,VLOOKUP($T$514,'TAR FIN'!$A$1:$O$103,15,0))</f>
        <v>69.37</v>
      </c>
      <c r="X514" s="6">
        <f>IF(ISERROR(VLOOKUP($U$514,'TAR FIN'!$A$1:$O$103,15,0)),0,VLOOKUP($U$514,'TAR FIN'!$A$1:$O$103,15,0))</f>
        <v>284.36</v>
      </c>
      <c r="Y514" s="6"/>
      <c r="Z514" s="6">
        <f ca="1">('TUSD BE'!$AM$22+'TUSD BF_350'!$AM$22+'TUSD CVA'!$AM$22)*1</f>
        <v>110.85</v>
      </c>
      <c r="AA514" s="6">
        <f ca="1">('TE BE'!$AB$9+'TE BF_350'!$AB$9+'TE CVA'!$AB$9)*1</f>
        <v>247.20000000000002</v>
      </c>
      <c r="AB514" s="6">
        <f>$K$514*$V$514</f>
        <v>0</v>
      </c>
      <c r="AC514" s="6">
        <f>$M$514*$W$514</f>
        <v>114.66861000000002</v>
      </c>
      <c r="AD514" s="6">
        <f>$O$514*$X$514</f>
        <v>470.04708000000005</v>
      </c>
      <c r="AE514" s="6">
        <f>$K$514*$Y$514</f>
        <v>0</v>
      </c>
      <c r="AF514" s="6">
        <f ca="1">$M$514*$Z$514</f>
        <v>183.23505</v>
      </c>
      <c r="AG514" s="6">
        <f ca="1">$O$514*$AA$514</f>
        <v>408.62160000000006</v>
      </c>
    </row>
    <row r="515" spans="1:33" ht="11.25" customHeight="1" x14ac:dyDescent="0.25">
      <c r="A515" s="4" t="s">
        <v>21</v>
      </c>
      <c r="B515" s="4" t="s">
        <v>33</v>
      </c>
      <c r="C515" s="4" t="s">
        <v>34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35</v>
      </c>
      <c r="I515" s="5">
        <v>44621</v>
      </c>
      <c r="J515" s="6">
        <v>0</v>
      </c>
      <c r="K515" s="6">
        <v>0</v>
      </c>
      <c r="L515" s="6">
        <v>1.2490000000000001</v>
      </c>
      <c r="M515" s="6">
        <v>1.2490000000000001</v>
      </c>
      <c r="N515" s="6">
        <v>1.2490000000000001</v>
      </c>
      <c r="O515" s="6">
        <v>1.2490000000000001</v>
      </c>
      <c r="P515" s="6">
        <v>0</v>
      </c>
      <c r="Q515" s="4" t="s">
        <v>26</v>
      </c>
      <c r="R515" s="4">
        <v>0</v>
      </c>
      <c r="S515" s="6">
        <v>0</v>
      </c>
      <c r="T515" s="6">
        <v>20</v>
      </c>
      <c r="U515" s="6">
        <v>66</v>
      </c>
      <c r="V515" s="6">
        <f>IF(ISERROR(VLOOKUP($S$515,'TAR FIN'!$A$1:$O$103,15,0)),0,VLOOKUP($S$515,'TAR FIN'!$A$1:$O$103,15,0))</f>
        <v>0</v>
      </c>
      <c r="W515" s="6">
        <f>IF(ISERROR(VLOOKUP($T$515,'TAR FIN'!$A$1:$O$103,15,0)),0,VLOOKUP($T$515,'TAR FIN'!$A$1:$O$103,15,0))</f>
        <v>69.37</v>
      </c>
      <c r="X515" s="6">
        <f>IF(ISERROR(VLOOKUP($U$515,'TAR FIN'!$A$1:$O$103,15,0)),0,VLOOKUP($U$515,'TAR FIN'!$A$1:$O$103,15,0))</f>
        <v>284.36</v>
      </c>
      <c r="Y515" s="6"/>
      <c r="Z515" s="6">
        <f ca="1">('TUSD BE'!$AM$22+'TUSD BF_350'!$AM$22+'TUSD CVA'!$AM$22)*1</f>
        <v>110.85</v>
      </c>
      <c r="AA515" s="6">
        <f ca="1">('TE BE'!$AB$9+'TE BF_350'!$AB$9+'TE CVA'!$AB$9)*1</f>
        <v>247.20000000000002</v>
      </c>
      <c r="AB515" s="6">
        <f>$K$515*$V$515</f>
        <v>0</v>
      </c>
      <c r="AC515" s="6">
        <f>$M$515*$W$515</f>
        <v>86.643130000000014</v>
      </c>
      <c r="AD515" s="6">
        <f>$O$515*$X$515</f>
        <v>355.16564000000005</v>
      </c>
      <c r="AE515" s="6">
        <f>$K$515*$Y$515</f>
        <v>0</v>
      </c>
      <c r="AF515" s="6">
        <f ca="1">$M$515*$Z$515</f>
        <v>138.45165</v>
      </c>
      <c r="AG515" s="6">
        <f ca="1">$O$515*$AA$515</f>
        <v>308.75280000000004</v>
      </c>
    </row>
    <row r="516" spans="1:33" ht="11.25" customHeight="1" x14ac:dyDescent="0.25">
      <c r="A516" s="4" t="s">
        <v>21</v>
      </c>
      <c r="B516" s="4" t="s">
        <v>33</v>
      </c>
      <c r="C516" s="4" t="s">
        <v>34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35</v>
      </c>
      <c r="I516" s="5">
        <v>44652</v>
      </c>
      <c r="J516" s="6">
        <v>0</v>
      </c>
      <c r="K516" s="6">
        <v>0</v>
      </c>
      <c r="L516" s="6">
        <v>1.2390000000000001</v>
      </c>
      <c r="M516" s="6">
        <v>1.2390000000000001</v>
      </c>
      <c r="N516" s="6">
        <v>1.2390000000000001</v>
      </c>
      <c r="O516" s="6">
        <v>1.2390000000000001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20</v>
      </c>
      <c r="U516" s="6">
        <v>66</v>
      </c>
      <c r="V516" s="6">
        <f>IF(ISERROR(VLOOKUP($S$516,'TAR FIN'!$A$1:$O$103,15,0)),0,VLOOKUP($S$516,'TAR FIN'!$A$1:$O$103,15,0))</f>
        <v>0</v>
      </c>
      <c r="W516" s="6">
        <f>IF(ISERROR(VLOOKUP($T$516,'TAR FIN'!$A$1:$O$103,15,0)),0,VLOOKUP($T$516,'TAR FIN'!$A$1:$O$103,15,0))</f>
        <v>69.37</v>
      </c>
      <c r="X516" s="6">
        <f>IF(ISERROR(VLOOKUP($U$516,'TAR FIN'!$A$1:$O$103,15,0)),0,VLOOKUP($U$516,'TAR FIN'!$A$1:$O$103,15,0))</f>
        <v>284.36</v>
      </c>
      <c r="Y516" s="6"/>
      <c r="Z516" s="6">
        <f ca="1">('TUSD BE'!$AM$22+'TUSD BF_350'!$AM$22+'TUSD CVA'!$AM$22)*1</f>
        <v>110.85</v>
      </c>
      <c r="AA516" s="6">
        <f ca="1">('TE BE'!$AB$9+'TE BF_350'!$AB$9+'TE CVA'!$AB$9)*1</f>
        <v>247.20000000000002</v>
      </c>
      <c r="AB516" s="6">
        <f>$K$516*$V$516</f>
        <v>0</v>
      </c>
      <c r="AC516" s="6">
        <f>$M$516*$W$516</f>
        <v>85.949430000000007</v>
      </c>
      <c r="AD516" s="6">
        <f>$O$516*$X$516</f>
        <v>352.32204000000007</v>
      </c>
      <c r="AE516" s="6">
        <f>$K$516*$Y$516</f>
        <v>0</v>
      </c>
      <c r="AF516" s="6">
        <f ca="1">$M$516*$Z$516</f>
        <v>137.34315000000001</v>
      </c>
      <c r="AG516" s="6">
        <f ca="1">$O$516*$AA$516</f>
        <v>306.28080000000006</v>
      </c>
    </row>
    <row r="517" spans="1:33" ht="11.25" customHeight="1" x14ac:dyDescent="0.25">
      <c r="A517" s="4" t="s">
        <v>21</v>
      </c>
      <c r="B517" s="4" t="s">
        <v>33</v>
      </c>
      <c r="C517" s="4" t="s">
        <v>34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35</v>
      </c>
      <c r="I517" s="5">
        <v>44682</v>
      </c>
      <c r="J517" s="6">
        <v>0</v>
      </c>
      <c r="K517" s="6">
        <v>0</v>
      </c>
      <c r="L517" s="6">
        <v>1.054</v>
      </c>
      <c r="M517" s="6">
        <v>1.054</v>
      </c>
      <c r="N517" s="6">
        <v>1.054</v>
      </c>
      <c r="O517" s="6">
        <v>1.054</v>
      </c>
      <c r="P517" s="6">
        <v>0</v>
      </c>
      <c r="Q517" s="4" t="s">
        <v>26</v>
      </c>
      <c r="R517" s="4">
        <v>0</v>
      </c>
      <c r="S517" s="6">
        <v>0</v>
      </c>
      <c r="T517" s="6">
        <v>20</v>
      </c>
      <c r="U517" s="6">
        <v>66</v>
      </c>
      <c r="V517" s="6">
        <f>IF(ISERROR(VLOOKUP($S$517,'TAR FIN'!$A$1:$O$103,15,0)),0,VLOOKUP($S$517,'TAR FIN'!$A$1:$O$103,15,0))</f>
        <v>0</v>
      </c>
      <c r="W517" s="6">
        <f>IF(ISERROR(VLOOKUP($T$517,'TAR FIN'!$A$1:$O$103,15,0)),0,VLOOKUP($T$517,'TAR FIN'!$A$1:$O$103,15,0))</f>
        <v>69.37</v>
      </c>
      <c r="X517" s="6">
        <f>IF(ISERROR(VLOOKUP($U$517,'TAR FIN'!$A$1:$O$103,15,0)),0,VLOOKUP($U$517,'TAR FIN'!$A$1:$O$103,15,0))</f>
        <v>284.36</v>
      </c>
      <c r="Y517" s="6"/>
      <c r="Z517" s="6">
        <f ca="1">('TUSD BE'!$AM$22+'TUSD BF_350'!$AM$22+'TUSD CVA'!$AM$22)*1</f>
        <v>110.85</v>
      </c>
      <c r="AA517" s="6">
        <f ca="1">('TE BE'!$AB$9+'TE BF_350'!$AB$9+'TE CVA'!$AB$9)*1</f>
        <v>247.20000000000002</v>
      </c>
      <c r="AB517" s="6">
        <f>$K$517*$V$517</f>
        <v>0</v>
      </c>
      <c r="AC517" s="6">
        <f>$M$517*$W$517</f>
        <v>73.115980000000008</v>
      </c>
      <c r="AD517" s="6">
        <f>$O$517*$X$517</f>
        <v>299.71544</v>
      </c>
      <c r="AE517" s="6">
        <f>$K$517*$Y$517</f>
        <v>0</v>
      </c>
      <c r="AF517" s="6">
        <f ca="1">$M$517*$Z$517</f>
        <v>116.8359</v>
      </c>
      <c r="AG517" s="6">
        <f ca="1">$O$517*$AA$517</f>
        <v>260.54880000000003</v>
      </c>
    </row>
    <row r="518" spans="1:33" ht="11.25" customHeight="1" x14ac:dyDescent="0.25">
      <c r="A518" s="4" t="s">
        <v>21</v>
      </c>
      <c r="B518" s="4" t="s">
        <v>33</v>
      </c>
      <c r="C518" s="4" t="s">
        <v>34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25</v>
      </c>
      <c r="I518" s="5">
        <v>44348</v>
      </c>
      <c r="J518" s="6">
        <v>30</v>
      </c>
      <c r="K518" s="6">
        <v>30</v>
      </c>
      <c r="L518" s="6">
        <v>0</v>
      </c>
      <c r="M518" s="6">
        <v>0</v>
      </c>
      <c r="N518" s="6">
        <v>0</v>
      </c>
      <c r="O518" s="6">
        <v>0</v>
      </c>
      <c r="P518" s="6">
        <v>1</v>
      </c>
      <c r="Q518" s="4" t="s">
        <v>26</v>
      </c>
      <c r="R518" s="4">
        <v>0</v>
      </c>
      <c r="S518" s="6">
        <v>18</v>
      </c>
      <c r="T518" s="6">
        <v>0</v>
      </c>
      <c r="U518" s="6">
        <v>0</v>
      </c>
      <c r="V518" s="6">
        <f>IF(ISERROR(VLOOKUP($S$518,'TAR FIN'!$A$1:$O$103,15,0)),0,VLOOKUP($S$518,'TAR FIN'!$A$1:$O$103,15,0))</f>
        <v>12.42</v>
      </c>
      <c r="W518" s="6">
        <f>IF(ISERROR(VLOOKUP($T$518,'TAR FIN'!$A$1:$O$103,15,0)),0,VLOOKUP($T$518,'TAR FIN'!$A$1:$O$103,15,0))</f>
        <v>0</v>
      </c>
      <c r="X518" s="6">
        <f>IF(ISERROR(VLOOKUP($U$518,'TAR FIN'!$A$1:$O$103,15,0)),0,VLOOKUP($U$518,'TAR FIN'!$A$1:$O$103,15,0))</f>
        <v>0</v>
      </c>
      <c r="Y518" s="6">
        <f ca="1">('TUSD BE'!$AM$20+'TUSD BF_350'!$AM$20+'TUSD CVA'!$AM$20)*1</f>
        <v>17.579999999999998</v>
      </c>
      <c r="Z518" s="6"/>
      <c r="AA518" s="6"/>
      <c r="AB518" s="6">
        <f>$K$518*$V$518</f>
        <v>372.6</v>
      </c>
      <c r="AC518" s="6">
        <f>$M$518*$W$518</f>
        <v>0</v>
      </c>
      <c r="AD518" s="6">
        <f>$O$518*$X$518</f>
        <v>0</v>
      </c>
      <c r="AE518" s="6">
        <f ca="1">$K$518*$Y$518</f>
        <v>527.4</v>
      </c>
      <c r="AF518" s="6">
        <f>$M$518*$Z$518</f>
        <v>0</v>
      </c>
      <c r="AG518" s="6">
        <f>$O$518*$AA$518</f>
        <v>0</v>
      </c>
    </row>
    <row r="519" spans="1:33" ht="11.25" customHeight="1" x14ac:dyDescent="0.25">
      <c r="A519" s="4" t="s">
        <v>21</v>
      </c>
      <c r="B519" s="4" t="s">
        <v>33</v>
      </c>
      <c r="C519" s="4" t="s">
        <v>34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25</v>
      </c>
      <c r="I519" s="5">
        <v>44378</v>
      </c>
      <c r="J519" s="6">
        <v>30</v>
      </c>
      <c r="K519" s="6">
        <v>30</v>
      </c>
      <c r="L519" s="6">
        <v>0</v>
      </c>
      <c r="M519" s="6">
        <v>0</v>
      </c>
      <c r="N519" s="6">
        <v>0</v>
      </c>
      <c r="O519" s="6">
        <v>0</v>
      </c>
      <c r="P519" s="6">
        <v>1</v>
      </c>
      <c r="Q519" s="4" t="s">
        <v>26</v>
      </c>
      <c r="R519" s="4">
        <v>0</v>
      </c>
      <c r="S519" s="6">
        <v>18</v>
      </c>
      <c r="T519" s="6">
        <v>0</v>
      </c>
      <c r="U519" s="6">
        <v>0</v>
      </c>
      <c r="V519" s="6">
        <f>IF(ISERROR(VLOOKUP($S$519,'TAR FIN'!$A$1:$O$103,15,0)),0,VLOOKUP($S$519,'TAR FIN'!$A$1:$O$103,15,0))</f>
        <v>12.42</v>
      </c>
      <c r="W519" s="6">
        <f>IF(ISERROR(VLOOKUP($T$519,'TAR FIN'!$A$1:$O$103,15,0)),0,VLOOKUP($T$519,'TAR FIN'!$A$1:$O$103,15,0))</f>
        <v>0</v>
      </c>
      <c r="X519" s="6">
        <f>IF(ISERROR(VLOOKUP($U$519,'TAR FIN'!$A$1:$O$103,15,0)),0,VLOOKUP($U$519,'TAR FIN'!$A$1:$O$103,15,0))</f>
        <v>0</v>
      </c>
      <c r="Y519" s="6">
        <f ca="1">('TUSD BE'!$AM$20+'TUSD BF_350'!$AM$20+'TUSD CVA'!$AM$20)*1</f>
        <v>17.579999999999998</v>
      </c>
      <c r="Z519" s="6"/>
      <c r="AA519" s="6"/>
      <c r="AB519" s="6">
        <f>$K$519*$V$519</f>
        <v>372.6</v>
      </c>
      <c r="AC519" s="6">
        <f>$M$519*$W$519</f>
        <v>0</v>
      </c>
      <c r="AD519" s="6">
        <f>$O$519*$X$519</f>
        <v>0</v>
      </c>
      <c r="AE519" s="6">
        <f ca="1">$K$519*$Y$519</f>
        <v>527.4</v>
      </c>
      <c r="AF519" s="6">
        <f>$M$519*$Z$519</f>
        <v>0</v>
      </c>
      <c r="AG519" s="6">
        <f>$O$519*$AA$519</f>
        <v>0</v>
      </c>
    </row>
    <row r="520" spans="1:33" ht="11.25" customHeight="1" x14ac:dyDescent="0.25">
      <c r="A520" s="4" t="s">
        <v>21</v>
      </c>
      <c r="B520" s="4" t="s">
        <v>33</v>
      </c>
      <c r="C520" s="4" t="s">
        <v>34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25</v>
      </c>
      <c r="I520" s="5">
        <v>44409</v>
      </c>
      <c r="J520" s="6">
        <v>30</v>
      </c>
      <c r="K520" s="6">
        <v>30</v>
      </c>
      <c r="L520" s="6">
        <v>0</v>
      </c>
      <c r="M520" s="6">
        <v>0</v>
      </c>
      <c r="N520" s="6">
        <v>0</v>
      </c>
      <c r="O520" s="6">
        <v>0</v>
      </c>
      <c r="P520" s="6">
        <v>1</v>
      </c>
      <c r="Q520" s="4" t="s">
        <v>26</v>
      </c>
      <c r="R520" s="4">
        <v>0</v>
      </c>
      <c r="S520" s="6">
        <v>18</v>
      </c>
      <c r="T520" s="6">
        <v>0</v>
      </c>
      <c r="U520" s="6">
        <v>0</v>
      </c>
      <c r="V520" s="6">
        <f>IF(ISERROR(VLOOKUP($S$520,'TAR FIN'!$A$1:$O$103,15,0)),0,VLOOKUP($S$520,'TAR FIN'!$A$1:$O$103,15,0))</f>
        <v>12.42</v>
      </c>
      <c r="W520" s="6">
        <f>IF(ISERROR(VLOOKUP($T$520,'TAR FIN'!$A$1:$O$103,15,0)),0,VLOOKUP($T$520,'TAR FIN'!$A$1:$O$103,15,0))</f>
        <v>0</v>
      </c>
      <c r="X520" s="6">
        <f>IF(ISERROR(VLOOKUP($U$520,'TAR FIN'!$A$1:$O$103,15,0)),0,VLOOKUP($U$520,'TAR FIN'!$A$1:$O$103,15,0))</f>
        <v>0</v>
      </c>
      <c r="Y520" s="6">
        <f ca="1">('TUSD BE'!$AM$20+'TUSD BF_350'!$AM$20+'TUSD CVA'!$AM$20)*1</f>
        <v>17.579999999999998</v>
      </c>
      <c r="Z520" s="6"/>
      <c r="AA520" s="6"/>
      <c r="AB520" s="6">
        <f>$K$520*$V$520</f>
        <v>372.6</v>
      </c>
      <c r="AC520" s="6">
        <f>$M$520*$W$520</f>
        <v>0</v>
      </c>
      <c r="AD520" s="6">
        <f>$O$520*$X$520</f>
        <v>0</v>
      </c>
      <c r="AE520" s="6">
        <f ca="1">$K$520*$Y$520</f>
        <v>527.4</v>
      </c>
      <c r="AF520" s="6">
        <f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33</v>
      </c>
      <c r="C521" s="4" t="s">
        <v>34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25</v>
      </c>
      <c r="I521" s="5">
        <v>44440</v>
      </c>
      <c r="J521" s="6">
        <v>30</v>
      </c>
      <c r="K521" s="6">
        <v>30</v>
      </c>
      <c r="L521" s="6">
        <v>0</v>
      </c>
      <c r="M521" s="6">
        <v>0</v>
      </c>
      <c r="N521" s="6">
        <v>0</v>
      </c>
      <c r="O521" s="6">
        <v>0</v>
      </c>
      <c r="P521" s="6">
        <v>1</v>
      </c>
      <c r="Q521" s="4" t="s">
        <v>26</v>
      </c>
      <c r="R521" s="4">
        <v>0</v>
      </c>
      <c r="S521" s="6">
        <v>18</v>
      </c>
      <c r="T521" s="6">
        <v>0</v>
      </c>
      <c r="U521" s="6">
        <v>0</v>
      </c>
      <c r="V521" s="6">
        <f>IF(ISERROR(VLOOKUP($S$521,'TAR FIN'!$A$1:$O$103,15,0)),0,VLOOKUP($S$521,'TAR FIN'!$A$1:$O$103,15,0))</f>
        <v>12.42</v>
      </c>
      <c r="W521" s="6">
        <f>IF(ISERROR(VLOOKUP($T$521,'TAR FIN'!$A$1:$O$103,15,0)),0,VLOOKUP($T$521,'TAR FIN'!$A$1:$O$103,15,0))</f>
        <v>0</v>
      </c>
      <c r="X521" s="6">
        <f>IF(ISERROR(VLOOKUP($U$521,'TAR FIN'!$A$1:$O$103,15,0)),0,VLOOKUP($U$521,'TAR FIN'!$A$1:$O$103,15,0))</f>
        <v>0</v>
      </c>
      <c r="Y521" s="6">
        <f ca="1">('TUSD BE'!$AM$20+'TUSD BF_350'!$AM$20+'TUSD CVA'!$AM$20)*1</f>
        <v>17.579999999999998</v>
      </c>
      <c r="Z521" s="6"/>
      <c r="AA521" s="6"/>
      <c r="AB521" s="6">
        <f>$K$521*$V$521</f>
        <v>372.6</v>
      </c>
      <c r="AC521" s="6">
        <f>$M$521*$W$521</f>
        <v>0</v>
      </c>
      <c r="AD521" s="6">
        <f>$O$521*$X$521</f>
        <v>0</v>
      </c>
      <c r="AE521" s="6">
        <f ca="1">$K$521*$Y$521</f>
        <v>527.4</v>
      </c>
      <c r="AF521" s="6">
        <f>$M$521*$Z$521</f>
        <v>0</v>
      </c>
      <c r="AG521" s="6">
        <f>$O$521*$AA$521</f>
        <v>0</v>
      </c>
    </row>
    <row r="522" spans="1:33" ht="11.25" customHeight="1" x14ac:dyDescent="0.25">
      <c r="A522" s="4" t="s">
        <v>21</v>
      </c>
      <c r="B522" s="4" t="s">
        <v>33</v>
      </c>
      <c r="C522" s="4" t="s">
        <v>34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25</v>
      </c>
      <c r="I522" s="5">
        <v>44470</v>
      </c>
      <c r="J522" s="6">
        <v>30</v>
      </c>
      <c r="K522" s="6">
        <v>30</v>
      </c>
      <c r="L522" s="6">
        <v>0</v>
      </c>
      <c r="M522" s="6">
        <v>0</v>
      </c>
      <c r="N522" s="6">
        <v>0</v>
      </c>
      <c r="O522" s="6">
        <v>0</v>
      </c>
      <c r="P522" s="6">
        <v>1</v>
      </c>
      <c r="Q522" s="4" t="s">
        <v>26</v>
      </c>
      <c r="R522" s="4">
        <v>0</v>
      </c>
      <c r="S522" s="6">
        <v>18</v>
      </c>
      <c r="T522" s="6">
        <v>0</v>
      </c>
      <c r="U522" s="6">
        <v>0</v>
      </c>
      <c r="V522" s="6">
        <f>IF(ISERROR(VLOOKUP($S$522,'TAR FIN'!$A$1:$O$103,15,0)),0,VLOOKUP($S$522,'TAR FIN'!$A$1:$O$103,15,0))</f>
        <v>12.42</v>
      </c>
      <c r="W522" s="6">
        <f>IF(ISERROR(VLOOKUP($T$522,'TAR FIN'!$A$1:$O$103,15,0)),0,VLOOKUP($T$522,'TAR FIN'!$A$1:$O$103,15,0))</f>
        <v>0</v>
      </c>
      <c r="X522" s="6">
        <f>IF(ISERROR(VLOOKUP($U$522,'TAR FIN'!$A$1:$O$103,15,0)),0,VLOOKUP($U$522,'TAR FIN'!$A$1:$O$103,15,0))</f>
        <v>0</v>
      </c>
      <c r="Y522" s="6">
        <f ca="1">('TUSD BE'!$AM$20+'TUSD BF_350'!$AM$20+'TUSD CVA'!$AM$20)*1</f>
        <v>17.579999999999998</v>
      </c>
      <c r="Z522" s="6"/>
      <c r="AA522" s="6"/>
      <c r="AB522" s="6">
        <f>$K$522*$V$522</f>
        <v>372.6</v>
      </c>
      <c r="AC522" s="6">
        <f>$M$522*$W$522</f>
        <v>0</v>
      </c>
      <c r="AD522" s="6">
        <f>$O$522*$X$522</f>
        <v>0</v>
      </c>
      <c r="AE522" s="6">
        <f ca="1">$K$522*$Y$522</f>
        <v>527.4</v>
      </c>
      <c r="AF522" s="6">
        <f>$M$522*$Z$522</f>
        <v>0</v>
      </c>
      <c r="AG522" s="6">
        <f>$O$522*$AA$522</f>
        <v>0</v>
      </c>
    </row>
    <row r="523" spans="1:33" ht="11.25" customHeight="1" x14ac:dyDescent="0.25">
      <c r="A523" s="4" t="s">
        <v>21</v>
      </c>
      <c r="B523" s="4" t="s">
        <v>33</v>
      </c>
      <c r="C523" s="4" t="s">
        <v>34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25</v>
      </c>
      <c r="I523" s="5">
        <v>44501</v>
      </c>
      <c r="J523" s="6">
        <v>30</v>
      </c>
      <c r="K523" s="6">
        <v>30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4" t="s">
        <v>26</v>
      </c>
      <c r="R523" s="4">
        <v>0</v>
      </c>
      <c r="S523" s="6">
        <v>18</v>
      </c>
      <c r="T523" s="6">
        <v>0</v>
      </c>
      <c r="U523" s="6">
        <v>0</v>
      </c>
      <c r="V523" s="6">
        <f>IF(ISERROR(VLOOKUP($S$523,'TAR FIN'!$A$1:$O$103,15,0)),0,VLOOKUP($S$523,'TAR FIN'!$A$1:$O$103,15,0))</f>
        <v>12.42</v>
      </c>
      <c r="W523" s="6">
        <f>IF(ISERROR(VLOOKUP($T$523,'TAR FIN'!$A$1:$O$103,15,0)),0,VLOOKUP($T$523,'TAR FIN'!$A$1:$O$103,15,0))</f>
        <v>0</v>
      </c>
      <c r="X523" s="6">
        <f>IF(ISERROR(VLOOKUP($U$523,'TAR FIN'!$A$1:$O$103,15,0)),0,VLOOKUP($U$523,'TAR FIN'!$A$1:$O$103,15,0))</f>
        <v>0</v>
      </c>
      <c r="Y523" s="6">
        <f ca="1">('TUSD BE'!$AM$20+'TUSD BF_350'!$AM$20+'TUSD CVA'!$AM$20)*1</f>
        <v>17.579999999999998</v>
      </c>
      <c r="Z523" s="6"/>
      <c r="AA523" s="6"/>
      <c r="AB523" s="6">
        <f>$K$523*$V$523</f>
        <v>372.6</v>
      </c>
      <c r="AC523" s="6">
        <f>$M$523*$W$523</f>
        <v>0</v>
      </c>
      <c r="AD523" s="6">
        <f>$O$523*$X$523</f>
        <v>0</v>
      </c>
      <c r="AE523" s="6">
        <f ca="1">$K$523*$Y$523</f>
        <v>527.4</v>
      </c>
      <c r="AF523" s="6">
        <f>$M$523*$Z$523</f>
        <v>0</v>
      </c>
      <c r="AG523" s="6">
        <f>$O$523*$AA$523</f>
        <v>0</v>
      </c>
    </row>
    <row r="524" spans="1:33" ht="11.25" customHeight="1" x14ac:dyDescent="0.25">
      <c r="A524" s="4" t="s">
        <v>21</v>
      </c>
      <c r="B524" s="4" t="s">
        <v>33</v>
      </c>
      <c r="C524" s="4" t="s">
        <v>34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25</v>
      </c>
      <c r="I524" s="5">
        <v>44531</v>
      </c>
      <c r="J524" s="6">
        <v>30</v>
      </c>
      <c r="K524" s="6">
        <v>30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4" t="s">
        <v>26</v>
      </c>
      <c r="R524" s="4">
        <v>0</v>
      </c>
      <c r="S524" s="6">
        <v>18</v>
      </c>
      <c r="T524" s="6">
        <v>0</v>
      </c>
      <c r="U524" s="6">
        <v>0</v>
      </c>
      <c r="V524" s="6">
        <f>IF(ISERROR(VLOOKUP($S$524,'TAR FIN'!$A$1:$O$103,15,0)),0,VLOOKUP($S$524,'TAR FIN'!$A$1:$O$103,15,0))</f>
        <v>12.42</v>
      </c>
      <c r="W524" s="6">
        <f>IF(ISERROR(VLOOKUP($T$524,'TAR FIN'!$A$1:$O$103,15,0)),0,VLOOKUP($T$524,'TAR FIN'!$A$1:$O$103,15,0))</f>
        <v>0</v>
      </c>
      <c r="X524" s="6">
        <f>IF(ISERROR(VLOOKUP($U$524,'TAR FIN'!$A$1:$O$103,15,0)),0,VLOOKUP($U$524,'TAR FIN'!$A$1:$O$103,15,0))</f>
        <v>0</v>
      </c>
      <c r="Y524" s="6">
        <f ca="1">('TUSD BE'!$AM$20+'TUSD BF_350'!$AM$20+'TUSD CVA'!$AM$20)*1</f>
        <v>17.579999999999998</v>
      </c>
      <c r="Z524" s="6"/>
      <c r="AA524" s="6"/>
      <c r="AB524" s="6">
        <f>$K$524*$V$524</f>
        <v>372.6</v>
      </c>
      <c r="AC524" s="6">
        <f>$M$524*$W$524</f>
        <v>0</v>
      </c>
      <c r="AD524" s="6">
        <f>$O$524*$X$524</f>
        <v>0</v>
      </c>
      <c r="AE524" s="6">
        <f ca="1">$K$524*$Y$524</f>
        <v>527.4</v>
      </c>
      <c r="AF524" s="6">
        <f>$M$524*$Z$524</f>
        <v>0</v>
      </c>
      <c r="AG524" s="6">
        <f>$O$524*$AA$524</f>
        <v>0</v>
      </c>
    </row>
    <row r="525" spans="1:33" ht="11.25" customHeight="1" x14ac:dyDescent="0.25">
      <c r="A525" s="4" t="s">
        <v>21</v>
      </c>
      <c r="B525" s="4" t="s">
        <v>33</v>
      </c>
      <c r="C525" s="4" t="s">
        <v>34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44562</v>
      </c>
      <c r="J525" s="6">
        <v>30</v>
      </c>
      <c r="K525" s="6">
        <v>30</v>
      </c>
      <c r="L525" s="6">
        <v>0</v>
      </c>
      <c r="M525" s="6">
        <v>0</v>
      </c>
      <c r="N525" s="6">
        <v>0</v>
      </c>
      <c r="O525" s="6">
        <v>0</v>
      </c>
      <c r="P525" s="6">
        <v>1</v>
      </c>
      <c r="Q525" s="4" t="s">
        <v>26</v>
      </c>
      <c r="R525" s="4">
        <v>0</v>
      </c>
      <c r="S525" s="6">
        <v>18</v>
      </c>
      <c r="T525" s="6">
        <v>0</v>
      </c>
      <c r="U525" s="6">
        <v>0</v>
      </c>
      <c r="V525" s="6">
        <f>IF(ISERROR(VLOOKUP($S$525,'TAR FIN'!$A$1:$O$103,15,0)),0,VLOOKUP($S$525,'TAR FIN'!$A$1:$O$103,15,0))</f>
        <v>12.42</v>
      </c>
      <c r="W525" s="6">
        <f>IF(ISERROR(VLOOKUP($T$525,'TAR FIN'!$A$1:$O$103,15,0)),0,VLOOKUP($T$525,'TAR FIN'!$A$1:$O$103,15,0))</f>
        <v>0</v>
      </c>
      <c r="X525" s="6">
        <f>IF(ISERROR(VLOOKUP($U$525,'TAR FIN'!$A$1:$O$103,15,0)),0,VLOOKUP($U$525,'TAR FIN'!$A$1:$O$103,15,0))</f>
        <v>0</v>
      </c>
      <c r="Y525" s="6">
        <f ca="1">('TUSD BE'!$AM$20+'TUSD BF_350'!$AM$20+'TUSD CVA'!$AM$20)*1</f>
        <v>17.579999999999998</v>
      </c>
      <c r="Z525" s="6"/>
      <c r="AA525" s="6"/>
      <c r="AB525" s="6">
        <f>$K$525*$V$525</f>
        <v>372.6</v>
      </c>
      <c r="AC525" s="6">
        <f>$M$525*$W$525</f>
        <v>0</v>
      </c>
      <c r="AD525" s="6">
        <f>$O$525*$X$525</f>
        <v>0</v>
      </c>
      <c r="AE525" s="6">
        <f ca="1">$K$525*$Y$525</f>
        <v>527.4</v>
      </c>
      <c r="AF525" s="6">
        <f>$M$525*$Z$525</f>
        <v>0</v>
      </c>
      <c r="AG525" s="6">
        <f>$O$525*$AA$525</f>
        <v>0</v>
      </c>
    </row>
    <row r="526" spans="1:33" ht="11.25" customHeight="1" x14ac:dyDescent="0.25">
      <c r="A526" s="4" t="s">
        <v>21</v>
      </c>
      <c r="B526" s="4" t="s">
        <v>33</v>
      </c>
      <c r="C526" s="4" t="s">
        <v>34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44593</v>
      </c>
      <c r="J526" s="6">
        <v>30</v>
      </c>
      <c r="K526" s="6">
        <v>30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4" t="s">
        <v>26</v>
      </c>
      <c r="R526" s="4">
        <v>0</v>
      </c>
      <c r="S526" s="6">
        <v>18</v>
      </c>
      <c r="T526" s="6">
        <v>0</v>
      </c>
      <c r="U526" s="6">
        <v>0</v>
      </c>
      <c r="V526" s="6">
        <f>IF(ISERROR(VLOOKUP($S$526,'TAR FIN'!$A$1:$O$103,15,0)),0,VLOOKUP($S$526,'TAR FIN'!$A$1:$O$103,15,0))</f>
        <v>12.42</v>
      </c>
      <c r="W526" s="6">
        <f>IF(ISERROR(VLOOKUP($T$526,'TAR FIN'!$A$1:$O$103,15,0)),0,VLOOKUP($T$526,'TAR FIN'!$A$1:$O$103,15,0))</f>
        <v>0</v>
      </c>
      <c r="X526" s="6">
        <f>IF(ISERROR(VLOOKUP($U$526,'TAR FIN'!$A$1:$O$103,15,0)),0,VLOOKUP($U$526,'TAR FIN'!$A$1:$O$103,15,0))</f>
        <v>0</v>
      </c>
      <c r="Y526" s="6">
        <f ca="1">('TUSD BE'!$AM$20+'TUSD BF_350'!$AM$20+'TUSD CVA'!$AM$20)*1</f>
        <v>17.579999999999998</v>
      </c>
      <c r="Z526" s="6"/>
      <c r="AA526" s="6"/>
      <c r="AB526" s="6">
        <f>$K$526*$V$526</f>
        <v>372.6</v>
      </c>
      <c r="AC526" s="6">
        <f>$M$526*$W$526</f>
        <v>0</v>
      </c>
      <c r="AD526" s="6">
        <f>$O$526*$X$526</f>
        <v>0</v>
      </c>
      <c r="AE526" s="6">
        <f ca="1">$K$526*$Y$526</f>
        <v>527.4</v>
      </c>
      <c r="AF526" s="6">
        <f>$M$526*$Z$526</f>
        <v>0</v>
      </c>
      <c r="AG526" s="6">
        <f>$O$526*$AA$526</f>
        <v>0</v>
      </c>
    </row>
    <row r="527" spans="1:33" ht="11.25" customHeight="1" x14ac:dyDescent="0.25">
      <c r="A527" s="4" t="s">
        <v>21</v>
      </c>
      <c r="B527" s="4" t="s">
        <v>33</v>
      </c>
      <c r="C527" s="4" t="s">
        <v>34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44621</v>
      </c>
      <c r="J527" s="6">
        <v>30</v>
      </c>
      <c r="K527" s="6">
        <v>30</v>
      </c>
      <c r="L527" s="6">
        <v>0</v>
      </c>
      <c r="M527" s="6">
        <v>0</v>
      </c>
      <c r="N527" s="6">
        <v>0</v>
      </c>
      <c r="O527" s="6">
        <v>0</v>
      </c>
      <c r="P527" s="6">
        <v>1</v>
      </c>
      <c r="Q527" s="4" t="s">
        <v>26</v>
      </c>
      <c r="R527" s="4">
        <v>0</v>
      </c>
      <c r="S527" s="6">
        <v>18</v>
      </c>
      <c r="T527" s="6">
        <v>0</v>
      </c>
      <c r="U527" s="6">
        <v>0</v>
      </c>
      <c r="V527" s="6">
        <f>IF(ISERROR(VLOOKUP($S$527,'TAR FIN'!$A$1:$O$103,15,0)),0,VLOOKUP($S$527,'TAR FIN'!$A$1:$O$103,15,0))</f>
        <v>12.42</v>
      </c>
      <c r="W527" s="6">
        <f>IF(ISERROR(VLOOKUP($T$527,'TAR FIN'!$A$1:$O$103,15,0)),0,VLOOKUP($T$527,'TAR FIN'!$A$1:$O$103,15,0))</f>
        <v>0</v>
      </c>
      <c r="X527" s="6">
        <f>IF(ISERROR(VLOOKUP($U$527,'TAR FIN'!$A$1:$O$103,15,0)),0,VLOOKUP($U$527,'TAR FIN'!$A$1:$O$103,15,0))</f>
        <v>0</v>
      </c>
      <c r="Y527" s="6">
        <f ca="1">('TUSD BE'!$AM$20+'TUSD BF_350'!$AM$20+'TUSD CVA'!$AM$20)*1</f>
        <v>17.579999999999998</v>
      </c>
      <c r="Z527" s="6"/>
      <c r="AA527" s="6"/>
      <c r="AB527" s="6">
        <f>$K$527*$V$527</f>
        <v>372.6</v>
      </c>
      <c r="AC527" s="6">
        <f>$M$527*$W$527</f>
        <v>0</v>
      </c>
      <c r="AD527" s="6">
        <f>$O$527*$X$527</f>
        <v>0</v>
      </c>
      <c r="AE527" s="6">
        <f ca="1">$K$527*$Y$527</f>
        <v>527.4</v>
      </c>
      <c r="AF527" s="6">
        <f>$M$527*$Z$527</f>
        <v>0</v>
      </c>
      <c r="AG527" s="6">
        <f>$O$527*$AA$527</f>
        <v>0</v>
      </c>
    </row>
    <row r="528" spans="1:33" ht="11.25" customHeight="1" x14ac:dyDescent="0.25">
      <c r="A528" s="4" t="s">
        <v>21</v>
      </c>
      <c r="B528" s="4" t="s">
        <v>33</v>
      </c>
      <c r="C528" s="4" t="s">
        <v>34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44652</v>
      </c>
      <c r="J528" s="6">
        <v>30</v>
      </c>
      <c r="K528" s="6">
        <v>30</v>
      </c>
      <c r="L528" s="6">
        <v>0</v>
      </c>
      <c r="M528" s="6">
        <v>0</v>
      </c>
      <c r="N528" s="6">
        <v>0</v>
      </c>
      <c r="O528" s="6">
        <v>0</v>
      </c>
      <c r="P528" s="6">
        <v>1</v>
      </c>
      <c r="Q528" s="4" t="s">
        <v>26</v>
      </c>
      <c r="R528" s="4">
        <v>0</v>
      </c>
      <c r="S528" s="6">
        <v>18</v>
      </c>
      <c r="T528" s="6">
        <v>0</v>
      </c>
      <c r="U528" s="6">
        <v>0</v>
      </c>
      <c r="V528" s="6">
        <f>IF(ISERROR(VLOOKUP($S$528,'TAR FIN'!$A$1:$O$103,15,0)),0,VLOOKUP($S$528,'TAR FIN'!$A$1:$O$103,15,0))</f>
        <v>12.42</v>
      </c>
      <c r="W528" s="6">
        <f>IF(ISERROR(VLOOKUP($T$528,'TAR FIN'!$A$1:$O$103,15,0)),0,VLOOKUP($T$528,'TAR FIN'!$A$1:$O$103,15,0))</f>
        <v>0</v>
      </c>
      <c r="X528" s="6">
        <f>IF(ISERROR(VLOOKUP($U$528,'TAR FIN'!$A$1:$O$103,15,0)),0,VLOOKUP($U$528,'TAR FIN'!$A$1:$O$103,15,0))</f>
        <v>0</v>
      </c>
      <c r="Y528" s="6">
        <f ca="1">('TUSD BE'!$AM$20+'TUSD BF_350'!$AM$20+'TUSD CVA'!$AM$20)*1</f>
        <v>17.579999999999998</v>
      </c>
      <c r="Z528" s="6"/>
      <c r="AA528" s="6"/>
      <c r="AB528" s="6">
        <f>$K$528*$V$528</f>
        <v>372.6</v>
      </c>
      <c r="AC528" s="6">
        <f>$M$528*$W$528</f>
        <v>0</v>
      </c>
      <c r="AD528" s="6">
        <f>$O$528*$X$528</f>
        <v>0</v>
      </c>
      <c r="AE528" s="6">
        <f ca="1">$K$528*$Y$528</f>
        <v>527.4</v>
      </c>
      <c r="AF528" s="6">
        <f>$M$528*$Z$528</f>
        <v>0</v>
      </c>
      <c r="AG528" s="6">
        <f>$O$528*$AA$528</f>
        <v>0</v>
      </c>
    </row>
    <row r="529" spans="1:33" ht="11.25" customHeight="1" x14ac:dyDescent="0.25">
      <c r="A529" s="4" t="s">
        <v>21</v>
      </c>
      <c r="B529" s="4" t="s">
        <v>33</v>
      </c>
      <c r="C529" s="4" t="s">
        <v>34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44682</v>
      </c>
      <c r="J529" s="6">
        <v>30</v>
      </c>
      <c r="K529" s="6">
        <v>30</v>
      </c>
      <c r="L529" s="6">
        <v>0</v>
      </c>
      <c r="M529" s="6">
        <v>0</v>
      </c>
      <c r="N529" s="6">
        <v>0</v>
      </c>
      <c r="O529" s="6">
        <v>0</v>
      </c>
      <c r="P529" s="6">
        <v>1</v>
      </c>
      <c r="Q529" s="4" t="s">
        <v>26</v>
      </c>
      <c r="R529" s="4">
        <v>0</v>
      </c>
      <c r="S529" s="6">
        <v>18</v>
      </c>
      <c r="T529" s="6">
        <v>0</v>
      </c>
      <c r="U529" s="6">
        <v>0</v>
      </c>
      <c r="V529" s="6">
        <f>IF(ISERROR(VLOOKUP($S$529,'TAR FIN'!$A$1:$O$103,15,0)),0,VLOOKUP($S$529,'TAR FIN'!$A$1:$O$103,15,0))</f>
        <v>12.42</v>
      </c>
      <c r="W529" s="6">
        <f>IF(ISERROR(VLOOKUP($T$529,'TAR FIN'!$A$1:$O$103,15,0)),0,VLOOKUP($T$529,'TAR FIN'!$A$1:$O$103,15,0))</f>
        <v>0</v>
      </c>
      <c r="X529" s="6">
        <f>IF(ISERROR(VLOOKUP($U$529,'TAR FIN'!$A$1:$O$103,15,0)),0,VLOOKUP($U$529,'TAR FIN'!$A$1:$O$103,15,0))</f>
        <v>0</v>
      </c>
      <c r="Y529" s="6">
        <f ca="1">('TUSD BE'!$AM$20+'TUSD BF_350'!$AM$20+'TUSD CVA'!$AM$20)*1</f>
        <v>17.579999999999998</v>
      </c>
      <c r="Z529" s="6"/>
      <c r="AA529" s="6"/>
      <c r="AB529" s="6">
        <f>$K$529*$V$529</f>
        <v>372.6</v>
      </c>
      <c r="AC529" s="6">
        <f>$M$529*$W$529</f>
        <v>0</v>
      </c>
      <c r="AD529" s="6">
        <f>$O$529*$X$529</f>
        <v>0</v>
      </c>
      <c r="AE529" s="6">
        <f ca="1">$K$529*$Y$529</f>
        <v>527.4</v>
      </c>
      <c r="AF529" s="6">
        <f>$M$529*$Z$529</f>
        <v>0</v>
      </c>
      <c r="AG529" s="6">
        <f>$O$529*$AA$529</f>
        <v>0</v>
      </c>
    </row>
    <row r="530" spans="1:33" ht="11.25" customHeight="1" x14ac:dyDescent="0.25">
      <c r="A530" s="4" t="s">
        <v>21</v>
      </c>
      <c r="B530" s="4" t="s">
        <v>33</v>
      </c>
      <c r="C530" s="4" t="s">
        <v>34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37</v>
      </c>
      <c r="I530" s="5">
        <v>44378</v>
      </c>
      <c r="J530" s="6">
        <v>0</v>
      </c>
      <c r="K530" s="6">
        <v>0</v>
      </c>
      <c r="L530" s="6">
        <v>8.8999999999999996E-2</v>
      </c>
      <c r="M530" s="6">
        <v>8.8999999999999996E-2</v>
      </c>
      <c r="N530" s="6">
        <v>8.8999999999999996E-2</v>
      </c>
      <c r="O530" s="6">
        <v>8.8999999999999996E-2</v>
      </c>
      <c r="P530" s="6">
        <v>0</v>
      </c>
      <c r="Q530" s="4" t="s">
        <v>26</v>
      </c>
      <c r="R530" s="4">
        <v>0</v>
      </c>
      <c r="S530" s="6">
        <v>0</v>
      </c>
      <c r="T530" s="6">
        <v>19</v>
      </c>
      <c r="U530" s="6">
        <v>65</v>
      </c>
      <c r="V530" s="6">
        <f>IF(ISERROR(VLOOKUP($S$530,'TAR FIN'!$A$1:$O$103,15,0)),0,VLOOKUP($S$530,'TAR FIN'!$A$1:$O$103,15,0))</f>
        <v>0</v>
      </c>
      <c r="W530" s="6">
        <f>IF(ISERROR(VLOOKUP($T$530,'TAR FIN'!$A$1:$O$103,15,0)),0,VLOOKUP($T$530,'TAR FIN'!$A$1:$O$103,15,0))</f>
        <v>842.31</v>
      </c>
      <c r="X530" s="6">
        <f>IF(ISERROR(VLOOKUP($U$530,'TAR FIN'!$A$1:$O$103,15,0)),0,VLOOKUP($U$530,'TAR FIN'!$A$1:$O$103,15,0))</f>
        <v>454.9</v>
      </c>
      <c r="Y530" s="6"/>
      <c r="Z530" s="6">
        <f ca="1">('TUSD BE'!$AM$21+'TUSD BF_350'!$AM$21+'TUSD CVA'!$AM$21)*1</f>
        <v>1027.46</v>
      </c>
      <c r="AA530" s="6">
        <f ca="1">('TE BE'!$AB$8+'TE BF_350'!$AB$8+'TE CVA'!$AB$8)*1</f>
        <v>388.08000000000004</v>
      </c>
      <c r="AB530" s="6">
        <f>$K$530*$V$530</f>
        <v>0</v>
      </c>
      <c r="AC530" s="6">
        <f>$M$530*$W$530</f>
        <v>74.965589999999992</v>
      </c>
      <c r="AD530" s="6">
        <f>$O$530*$X$530</f>
        <v>40.486099999999993</v>
      </c>
      <c r="AE530" s="6">
        <f>$K$530*$Y$530</f>
        <v>0</v>
      </c>
      <c r="AF530" s="6">
        <f ca="1">$M$530*$Z$530</f>
        <v>91.443939999999998</v>
      </c>
      <c r="AG530" s="6">
        <f ca="1">$O$530*$AA$530</f>
        <v>34.539120000000004</v>
      </c>
    </row>
    <row r="531" spans="1:33" ht="11.25" customHeight="1" x14ac:dyDescent="0.25">
      <c r="A531" s="4" t="s">
        <v>21</v>
      </c>
      <c r="B531" s="4" t="s">
        <v>33</v>
      </c>
      <c r="C531" s="4" t="s">
        <v>34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37</v>
      </c>
      <c r="I531" s="5">
        <v>44409</v>
      </c>
      <c r="J531" s="6">
        <v>0</v>
      </c>
      <c r="K531" s="6">
        <v>0</v>
      </c>
      <c r="L531" s="6">
        <v>5.6000000000000001E-2</v>
      </c>
      <c r="M531" s="6">
        <v>5.6000000000000001E-2</v>
      </c>
      <c r="N531" s="6">
        <v>5.6000000000000001E-2</v>
      </c>
      <c r="O531" s="6">
        <v>5.6000000000000001E-2</v>
      </c>
      <c r="P531" s="6">
        <v>0</v>
      </c>
      <c r="Q531" s="4" t="s">
        <v>26</v>
      </c>
      <c r="R531" s="4">
        <v>0</v>
      </c>
      <c r="S531" s="6">
        <v>0</v>
      </c>
      <c r="T531" s="6">
        <v>19</v>
      </c>
      <c r="U531" s="6">
        <v>65</v>
      </c>
      <c r="V531" s="6">
        <f>IF(ISERROR(VLOOKUP($S$531,'TAR FIN'!$A$1:$O$103,15,0)),0,VLOOKUP($S$531,'TAR FIN'!$A$1:$O$103,15,0))</f>
        <v>0</v>
      </c>
      <c r="W531" s="6">
        <f>IF(ISERROR(VLOOKUP($T$531,'TAR FIN'!$A$1:$O$103,15,0)),0,VLOOKUP($T$531,'TAR FIN'!$A$1:$O$103,15,0))</f>
        <v>842.31</v>
      </c>
      <c r="X531" s="6">
        <f>IF(ISERROR(VLOOKUP($U$531,'TAR FIN'!$A$1:$O$103,15,0)),0,VLOOKUP($U$531,'TAR FIN'!$A$1:$O$103,15,0))</f>
        <v>454.9</v>
      </c>
      <c r="Y531" s="6"/>
      <c r="Z531" s="6">
        <f ca="1">('TUSD BE'!$AM$21+'TUSD BF_350'!$AM$21+'TUSD CVA'!$AM$21)*1</f>
        <v>1027.46</v>
      </c>
      <c r="AA531" s="6">
        <f ca="1">('TE BE'!$AB$8+'TE BF_350'!$AB$8+'TE CVA'!$AB$8)*1</f>
        <v>388.08000000000004</v>
      </c>
      <c r="AB531" s="6">
        <f>$K$531*$V$531</f>
        <v>0</v>
      </c>
      <c r="AC531" s="6">
        <f>$M$531*$W$531</f>
        <v>47.169359999999998</v>
      </c>
      <c r="AD531" s="6">
        <f>$O$531*$X$531</f>
        <v>25.474399999999999</v>
      </c>
      <c r="AE531" s="6">
        <f>$K$531*$Y$531</f>
        <v>0</v>
      </c>
      <c r="AF531" s="6">
        <f ca="1">$M$531*$Z$531</f>
        <v>57.537760000000006</v>
      </c>
      <c r="AG531" s="6">
        <f ca="1">$O$531*$AA$531</f>
        <v>21.732480000000002</v>
      </c>
    </row>
    <row r="532" spans="1:33" ht="11.25" customHeight="1" x14ac:dyDescent="0.25">
      <c r="A532" s="4" t="s">
        <v>21</v>
      </c>
      <c r="B532" s="4" t="s">
        <v>33</v>
      </c>
      <c r="C532" s="4" t="s">
        <v>34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37</v>
      </c>
      <c r="I532" s="5">
        <v>44440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6">
        <v>0</v>
      </c>
      <c r="T532" s="6">
        <v>19</v>
      </c>
      <c r="U532" s="6">
        <v>65</v>
      </c>
      <c r="V532" s="6">
        <f>IF(ISERROR(VLOOKUP($S$532,'TAR FIN'!$A$1:$O$103,15,0)),0,VLOOKUP($S$532,'TAR FIN'!$A$1:$O$103,15,0))</f>
        <v>0</v>
      </c>
      <c r="W532" s="6">
        <f>IF(ISERROR(VLOOKUP($T$532,'TAR FIN'!$A$1:$O$103,15,0)),0,VLOOKUP($T$532,'TAR FIN'!$A$1:$O$103,15,0))</f>
        <v>842.31</v>
      </c>
      <c r="X532" s="6">
        <f>IF(ISERROR(VLOOKUP($U$532,'TAR FIN'!$A$1:$O$103,15,0)),0,VLOOKUP($U$532,'TAR FIN'!$A$1:$O$103,15,0))</f>
        <v>454.9</v>
      </c>
      <c r="Y532" s="6"/>
      <c r="Z532" s="6">
        <f ca="1">('TUSD BE'!$AM$21+'TUSD BF_350'!$AM$21+'TUSD CVA'!$AM$21)*1</f>
        <v>1027.46</v>
      </c>
      <c r="AA532" s="6">
        <f ca="1">('TE BE'!$AB$8+'TE BF_350'!$AB$8+'TE CVA'!$AB$8)*1</f>
        <v>388.08000000000004</v>
      </c>
      <c r="AB532" s="6">
        <f>$K$532*$V$532</f>
        <v>0</v>
      </c>
      <c r="AC532" s="6">
        <f>$M$532*$W$532</f>
        <v>64.857869999999991</v>
      </c>
      <c r="AD532" s="6">
        <f>$O$532*$X$532</f>
        <v>35.027299999999997</v>
      </c>
      <c r="AE532" s="6">
        <f>$K$532*$Y$532</f>
        <v>0</v>
      </c>
      <c r="AF532" s="6">
        <f ca="1">$M$532*$Z$532</f>
        <v>79.114419999999996</v>
      </c>
      <c r="AG532" s="6">
        <f ca="1">$O$532*$AA$532</f>
        <v>29.882160000000002</v>
      </c>
    </row>
    <row r="533" spans="1:33" ht="11.25" customHeight="1" x14ac:dyDescent="0.25">
      <c r="A533" s="4" t="s">
        <v>21</v>
      </c>
      <c r="B533" s="4" t="s">
        <v>33</v>
      </c>
      <c r="C533" s="4" t="s">
        <v>34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37</v>
      </c>
      <c r="I533" s="5">
        <v>44470</v>
      </c>
      <c r="J533" s="6">
        <v>0</v>
      </c>
      <c r="K533" s="6">
        <v>0</v>
      </c>
      <c r="L533" s="6">
        <v>5.6000000000000001E-2</v>
      </c>
      <c r="M533" s="6">
        <v>5.6000000000000001E-2</v>
      </c>
      <c r="N533" s="6">
        <v>5.6000000000000001E-2</v>
      </c>
      <c r="O533" s="6">
        <v>5.6000000000000001E-2</v>
      </c>
      <c r="P533" s="6">
        <v>0</v>
      </c>
      <c r="Q533" s="4" t="s">
        <v>26</v>
      </c>
      <c r="R533" s="4">
        <v>0</v>
      </c>
      <c r="S533" s="6">
        <v>0</v>
      </c>
      <c r="T533" s="6">
        <v>19</v>
      </c>
      <c r="U533" s="6">
        <v>65</v>
      </c>
      <c r="V533" s="6">
        <f>IF(ISERROR(VLOOKUP($S$533,'TAR FIN'!$A$1:$O$103,15,0)),0,VLOOKUP($S$533,'TAR FIN'!$A$1:$O$103,15,0))</f>
        <v>0</v>
      </c>
      <c r="W533" s="6">
        <f>IF(ISERROR(VLOOKUP($T$533,'TAR FIN'!$A$1:$O$103,15,0)),0,VLOOKUP($T$533,'TAR FIN'!$A$1:$O$103,15,0))</f>
        <v>842.31</v>
      </c>
      <c r="X533" s="6">
        <f>IF(ISERROR(VLOOKUP($U$533,'TAR FIN'!$A$1:$O$103,15,0)),0,VLOOKUP($U$533,'TAR FIN'!$A$1:$O$103,15,0))</f>
        <v>454.9</v>
      </c>
      <c r="Y533" s="6"/>
      <c r="Z533" s="6">
        <f ca="1">('TUSD BE'!$AM$21+'TUSD BF_350'!$AM$21+'TUSD CVA'!$AM$21)*1</f>
        <v>1027.46</v>
      </c>
      <c r="AA533" s="6">
        <f ca="1">('TE BE'!$AB$8+'TE BF_350'!$AB$8+'TE CVA'!$AB$8)*1</f>
        <v>388.08000000000004</v>
      </c>
      <c r="AB533" s="6">
        <f>$K$533*$V$533</f>
        <v>0</v>
      </c>
      <c r="AC533" s="6">
        <f>$M$533*$W$533</f>
        <v>47.169359999999998</v>
      </c>
      <c r="AD533" s="6">
        <f>$O$533*$X$533</f>
        <v>25.474399999999999</v>
      </c>
      <c r="AE533" s="6">
        <f>$K$533*$Y$533</f>
        <v>0</v>
      </c>
      <c r="AF533" s="6">
        <f ca="1">$M$533*$Z$533</f>
        <v>57.537760000000006</v>
      </c>
      <c r="AG533" s="6">
        <f ca="1">$O$533*$AA$533</f>
        <v>21.732480000000002</v>
      </c>
    </row>
    <row r="534" spans="1:33" ht="11.25" customHeight="1" x14ac:dyDescent="0.25">
      <c r="A534" s="4" t="s">
        <v>21</v>
      </c>
      <c r="B534" s="4" t="s">
        <v>33</v>
      </c>
      <c r="C534" s="4" t="s">
        <v>34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37</v>
      </c>
      <c r="I534" s="5">
        <v>44501</v>
      </c>
      <c r="J534" s="6">
        <v>0</v>
      </c>
      <c r="K534" s="6">
        <v>0</v>
      </c>
      <c r="L534" s="6">
        <v>8.6999999999999994E-2</v>
      </c>
      <c r="M534" s="6">
        <v>8.6999999999999994E-2</v>
      </c>
      <c r="N534" s="6">
        <v>8.6999999999999994E-2</v>
      </c>
      <c r="O534" s="6">
        <v>8.6999999999999994E-2</v>
      </c>
      <c r="P534" s="6">
        <v>0</v>
      </c>
      <c r="Q534" s="4" t="s">
        <v>26</v>
      </c>
      <c r="R534" s="4">
        <v>0</v>
      </c>
      <c r="S534" s="6">
        <v>0</v>
      </c>
      <c r="T534" s="6">
        <v>19</v>
      </c>
      <c r="U534" s="6">
        <v>65</v>
      </c>
      <c r="V534" s="6">
        <f>IF(ISERROR(VLOOKUP($S$534,'TAR FIN'!$A$1:$O$103,15,0)),0,VLOOKUP($S$534,'TAR FIN'!$A$1:$O$103,15,0))</f>
        <v>0</v>
      </c>
      <c r="W534" s="6">
        <f>IF(ISERROR(VLOOKUP($T$534,'TAR FIN'!$A$1:$O$103,15,0)),0,VLOOKUP($T$534,'TAR FIN'!$A$1:$O$103,15,0))</f>
        <v>842.31</v>
      </c>
      <c r="X534" s="6">
        <f>IF(ISERROR(VLOOKUP($U$534,'TAR FIN'!$A$1:$O$103,15,0)),0,VLOOKUP($U$534,'TAR FIN'!$A$1:$O$103,15,0))</f>
        <v>454.9</v>
      </c>
      <c r="Y534" s="6"/>
      <c r="Z534" s="6">
        <f ca="1">('TUSD BE'!$AM$21+'TUSD BF_350'!$AM$21+'TUSD CVA'!$AM$21)*1</f>
        <v>1027.46</v>
      </c>
      <c r="AA534" s="6">
        <f ca="1">('TE BE'!$AB$8+'TE BF_350'!$AB$8+'TE CVA'!$AB$8)*1</f>
        <v>388.08000000000004</v>
      </c>
      <c r="AB534" s="6">
        <f>$K$534*$V$534</f>
        <v>0</v>
      </c>
      <c r="AC534" s="6">
        <f>$M$534*$W$534</f>
        <v>73.280969999999996</v>
      </c>
      <c r="AD534" s="6">
        <f>$O$534*$X$534</f>
        <v>39.576299999999996</v>
      </c>
      <c r="AE534" s="6">
        <f>$K$534*$Y$534</f>
        <v>0</v>
      </c>
      <c r="AF534" s="6">
        <f ca="1">$M$534*$Z$534</f>
        <v>89.389020000000002</v>
      </c>
      <c r="AG534" s="6">
        <f ca="1">$O$534*$AA$534</f>
        <v>33.76296</v>
      </c>
    </row>
    <row r="535" spans="1:33" ht="11.25" customHeight="1" x14ac:dyDescent="0.25">
      <c r="A535" s="4" t="s">
        <v>21</v>
      </c>
      <c r="B535" s="4" t="s">
        <v>33</v>
      </c>
      <c r="C535" s="4" t="s">
        <v>34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37</v>
      </c>
      <c r="I535" s="5">
        <v>44531</v>
      </c>
      <c r="J535" s="6">
        <v>0</v>
      </c>
      <c r="K535" s="6">
        <v>0</v>
      </c>
      <c r="L535" s="6">
        <v>0.22</v>
      </c>
      <c r="M535" s="6">
        <v>0.22</v>
      </c>
      <c r="N535" s="6">
        <v>0.22</v>
      </c>
      <c r="O535" s="6">
        <v>0.22</v>
      </c>
      <c r="P535" s="6">
        <v>0</v>
      </c>
      <c r="Q535" s="4" t="s">
        <v>26</v>
      </c>
      <c r="R535" s="4">
        <v>0</v>
      </c>
      <c r="S535" s="6">
        <v>0</v>
      </c>
      <c r="T535" s="6">
        <v>19</v>
      </c>
      <c r="U535" s="6">
        <v>65</v>
      </c>
      <c r="V535" s="6">
        <f>IF(ISERROR(VLOOKUP($S$535,'TAR FIN'!$A$1:$O$103,15,0)),0,VLOOKUP($S$535,'TAR FIN'!$A$1:$O$103,15,0))</f>
        <v>0</v>
      </c>
      <c r="W535" s="6">
        <f>IF(ISERROR(VLOOKUP($T$535,'TAR FIN'!$A$1:$O$103,15,0)),0,VLOOKUP($T$535,'TAR FIN'!$A$1:$O$103,15,0))</f>
        <v>842.31</v>
      </c>
      <c r="X535" s="6">
        <f>IF(ISERROR(VLOOKUP($U$535,'TAR FIN'!$A$1:$O$103,15,0)),0,VLOOKUP($U$535,'TAR FIN'!$A$1:$O$103,15,0))</f>
        <v>454.9</v>
      </c>
      <c r="Y535" s="6"/>
      <c r="Z535" s="6">
        <f ca="1">('TUSD BE'!$AM$21+'TUSD BF_350'!$AM$21+'TUSD CVA'!$AM$21)*1</f>
        <v>1027.46</v>
      </c>
      <c r="AA535" s="6">
        <f ca="1">('TE BE'!$AB$8+'TE BF_350'!$AB$8+'TE CVA'!$AB$8)*1</f>
        <v>388.08000000000004</v>
      </c>
      <c r="AB535" s="6">
        <f>$K$535*$V$535</f>
        <v>0</v>
      </c>
      <c r="AC535" s="6">
        <f>$M$535*$W$535</f>
        <v>185.3082</v>
      </c>
      <c r="AD535" s="6">
        <f>$O$535*$X$535</f>
        <v>100.07799999999999</v>
      </c>
      <c r="AE535" s="6">
        <f>$K$535*$Y$535</f>
        <v>0</v>
      </c>
      <c r="AF535" s="6">
        <f ca="1">$M$535*$Z$535</f>
        <v>226.0412</v>
      </c>
      <c r="AG535" s="6">
        <f ca="1">$O$535*$AA$535</f>
        <v>85.377600000000015</v>
      </c>
    </row>
    <row r="536" spans="1:33" ht="11.25" customHeight="1" x14ac:dyDescent="0.25">
      <c r="A536" s="4" t="s">
        <v>21</v>
      </c>
      <c r="B536" s="4" t="s">
        <v>33</v>
      </c>
      <c r="C536" s="4" t="s">
        <v>34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37</v>
      </c>
      <c r="I536" s="5">
        <v>44562</v>
      </c>
      <c r="J536" s="6">
        <v>0</v>
      </c>
      <c r="K536" s="6">
        <v>0</v>
      </c>
      <c r="L536" s="6">
        <v>0.128</v>
      </c>
      <c r="M536" s="6">
        <v>0.128</v>
      </c>
      <c r="N536" s="6">
        <v>0.128</v>
      </c>
      <c r="O536" s="6">
        <v>0.128</v>
      </c>
      <c r="P536" s="6">
        <v>0</v>
      </c>
      <c r="Q536" s="4" t="s">
        <v>26</v>
      </c>
      <c r="R536" s="4">
        <v>0</v>
      </c>
      <c r="S536" s="6">
        <v>0</v>
      </c>
      <c r="T536" s="6">
        <v>19</v>
      </c>
      <c r="U536" s="6">
        <v>65</v>
      </c>
      <c r="V536" s="6">
        <f>IF(ISERROR(VLOOKUP($S$536,'TAR FIN'!$A$1:$O$103,15,0)),0,VLOOKUP($S$536,'TAR FIN'!$A$1:$O$103,15,0))</f>
        <v>0</v>
      </c>
      <c r="W536" s="6">
        <f>IF(ISERROR(VLOOKUP($T$536,'TAR FIN'!$A$1:$O$103,15,0)),0,VLOOKUP($T$536,'TAR FIN'!$A$1:$O$103,15,0))</f>
        <v>842.31</v>
      </c>
      <c r="X536" s="6">
        <f>IF(ISERROR(VLOOKUP($U$536,'TAR FIN'!$A$1:$O$103,15,0)),0,VLOOKUP($U$536,'TAR FIN'!$A$1:$O$103,15,0))</f>
        <v>454.9</v>
      </c>
      <c r="Y536" s="6"/>
      <c r="Z536" s="6">
        <f ca="1">('TUSD BE'!$AM$21+'TUSD BF_350'!$AM$21+'TUSD CVA'!$AM$21)*1</f>
        <v>1027.46</v>
      </c>
      <c r="AA536" s="6">
        <f ca="1">('TE BE'!$AB$8+'TE BF_350'!$AB$8+'TE CVA'!$AB$8)*1</f>
        <v>388.08000000000004</v>
      </c>
      <c r="AB536" s="6">
        <f>$K$536*$V$536</f>
        <v>0</v>
      </c>
      <c r="AC536" s="6">
        <f>$M$536*$W$536</f>
        <v>107.81568</v>
      </c>
      <c r="AD536" s="6">
        <f>$O$536*$X$536</f>
        <v>58.227199999999996</v>
      </c>
      <c r="AE536" s="6">
        <f>$K$536*$Y$536</f>
        <v>0</v>
      </c>
      <c r="AF536" s="6">
        <f ca="1">$M$536*$Z$536</f>
        <v>131.51488000000001</v>
      </c>
      <c r="AG536" s="6">
        <f ca="1">$O$536*$AA$536</f>
        <v>49.674240000000005</v>
      </c>
    </row>
    <row r="537" spans="1:33" ht="11.25" customHeight="1" x14ac:dyDescent="0.25">
      <c r="A537" s="4" t="s">
        <v>21</v>
      </c>
      <c r="B537" s="4" t="s">
        <v>33</v>
      </c>
      <c r="C537" s="4" t="s">
        <v>34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37</v>
      </c>
      <c r="I537" s="5">
        <v>44593</v>
      </c>
      <c r="J537" s="6">
        <v>0</v>
      </c>
      <c r="K537" s="6">
        <v>0</v>
      </c>
      <c r="L537" s="6">
        <v>0.13700000000000001</v>
      </c>
      <c r="M537" s="6">
        <v>0.13700000000000001</v>
      </c>
      <c r="N537" s="6">
        <v>0.13700000000000001</v>
      </c>
      <c r="O537" s="6">
        <v>0.13700000000000001</v>
      </c>
      <c r="P537" s="6">
        <v>0</v>
      </c>
      <c r="Q537" s="4" t="s">
        <v>26</v>
      </c>
      <c r="R537" s="4">
        <v>0</v>
      </c>
      <c r="S537" s="6">
        <v>0</v>
      </c>
      <c r="T537" s="6">
        <v>19</v>
      </c>
      <c r="U537" s="6">
        <v>65</v>
      </c>
      <c r="V537" s="6">
        <f>IF(ISERROR(VLOOKUP($S$537,'TAR FIN'!$A$1:$O$103,15,0)),0,VLOOKUP($S$537,'TAR FIN'!$A$1:$O$103,15,0))</f>
        <v>0</v>
      </c>
      <c r="W537" s="6">
        <f>IF(ISERROR(VLOOKUP($T$537,'TAR FIN'!$A$1:$O$103,15,0)),0,VLOOKUP($T$537,'TAR FIN'!$A$1:$O$103,15,0))</f>
        <v>842.31</v>
      </c>
      <c r="X537" s="6">
        <f>IF(ISERROR(VLOOKUP($U$537,'TAR FIN'!$A$1:$O$103,15,0)),0,VLOOKUP($U$537,'TAR FIN'!$A$1:$O$103,15,0))</f>
        <v>454.9</v>
      </c>
      <c r="Y537" s="6"/>
      <c r="Z537" s="6">
        <f ca="1">('TUSD BE'!$AM$21+'TUSD BF_350'!$AM$21+'TUSD CVA'!$AM$21)*1</f>
        <v>1027.46</v>
      </c>
      <c r="AA537" s="6">
        <f ca="1">('TE BE'!$AB$8+'TE BF_350'!$AB$8+'TE CVA'!$AB$8)*1</f>
        <v>388.08000000000004</v>
      </c>
      <c r="AB537" s="6">
        <f>$K$537*$V$537</f>
        <v>0</v>
      </c>
      <c r="AC537" s="6">
        <f>$M$537*$W$537</f>
        <v>115.39647000000001</v>
      </c>
      <c r="AD537" s="6">
        <f>$O$537*$X$537</f>
        <v>62.321300000000001</v>
      </c>
      <c r="AE537" s="6">
        <f>$K$537*$Y$537</f>
        <v>0</v>
      </c>
      <c r="AF537" s="6">
        <f ca="1">$M$537*$Z$537</f>
        <v>140.76202000000001</v>
      </c>
      <c r="AG537" s="6">
        <f ca="1">$O$537*$AA$537</f>
        <v>53.16696000000001</v>
      </c>
    </row>
    <row r="538" spans="1:33" ht="11.25" customHeight="1" x14ac:dyDescent="0.25">
      <c r="A538" s="4" t="s">
        <v>21</v>
      </c>
      <c r="B538" s="4" t="s">
        <v>33</v>
      </c>
      <c r="C538" s="4" t="s">
        <v>34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37</v>
      </c>
      <c r="I538" s="5">
        <v>44621</v>
      </c>
      <c r="J538" s="6">
        <v>0</v>
      </c>
      <c r="K538" s="6">
        <v>0</v>
      </c>
      <c r="L538" s="6">
        <v>0.112</v>
      </c>
      <c r="M538" s="6">
        <v>0.112</v>
      </c>
      <c r="N538" s="6">
        <v>0.112</v>
      </c>
      <c r="O538" s="6">
        <v>0.112</v>
      </c>
      <c r="P538" s="6">
        <v>0</v>
      </c>
      <c r="Q538" s="4" t="s">
        <v>26</v>
      </c>
      <c r="R538" s="4">
        <v>0</v>
      </c>
      <c r="S538" s="6">
        <v>0</v>
      </c>
      <c r="T538" s="6">
        <v>19</v>
      </c>
      <c r="U538" s="6">
        <v>65</v>
      </c>
      <c r="V538" s="6">
        <f>IF(ISERROR(VLOOKUP($S$538,'TAR FIN'!$A$1:$O$103,15,0)),0,VLOOKUP($S$538,'TAR FIN'!$A$1:$O$103,15,0))</f>
        <v>0</v>
      </c>
      <c r="W538" s="6">
        <f>IF(ISERROR(VLOOKUP($T$538,'TAR FIN'!$A$1:$O$103,15,0)),0,VLOOKUP($T$538,'TAR FIN'!$A$1:$O$103,15,0))</f>
        <v>842.31</v>
      </c>
      <c r="X538" s="6">
        <f>IF(ISERROR(VLOOKUP($U$538,'TAR FIN'!$A$1:$O$103,15,0)),0,VLOOKUP($U$538,'TAR FIN'!$A$1:$O$103,15,0))</f>
        <v>454.9</v>
      </c>
      <c r="Y538" s="6"/>
      <c r="Z538" s="6">
        <f ca="1">('TUSD BE'!$AM$21+'TUSD BF_350'!$AM$21+'TUSD CVA'!$AM$21)*1</f>
        <v>1027.46</v>
      </c>
      <c r="AA538" s="6">
        <f ca="1">('TE BE'!$AB$8+'TE BF_350'!$AB$8+'TE CVA'!$AB$8)*1</f>
        <v>388.08000000000004</v>
      </c>
      <c r="AB538" s="6">
        <f>$K$538*$V$538</f>
        <v>0</v>
      </c>
      <c r="AC538" s="6">
        <f>$M$538*$W$538</f>
        <v>94.338719999999995</v>
      </c>
      <c r="AD538" s="6">
        <f>$O$538*$X$538</f>
        <v>50.948799999999999</v>
      </c>
      <c r="AE538" s="6">
        <f>$K$538*$Y$538</f>
        <v>0</v>
      </c>
      <c r="AF538" s="6">
        <f ca="1">$M$538*$Z$538</f>
        <v>115.07552000000001</v>
      </c>
      <c r="AG538" s="6">
        <f ca="1">$O$538*$AA$538</f>
        <v>43.464960000000005</v>
      </c>
    </row>
    <row r="539" spans="1:33" ht="11.25" customHeight="1" x14ac:dyDescent="0.25">
      <c r="A539" s="4" t="s">
        <v>21</v>
      </c>
      <c r="B539" s="4" t="s">
        <v>33</v>
      </c>
      <c r="C539" s="4" t="s">
        <v>34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37</v>
      </c>
      <c r="I539" s="5">
        <v>44652</v>
      </c>
      <c r="J539" s="6">
        <v>0</v>
      </c>
      <c r="K539" s="6">
        <v>0</v>
      </c>
      <c r="L539" s="6">
        <v>4.5999999999999999E-2</v>
      </c>
      <c r="M539" s="6">
        <v>4.5999999999999999E-2</v>
      </c>
      <c r="N539" s="6">
        <v>4.5999999999999999E-2</v>
      </c>
      <c r="O539" s="6">
        <v>4.5999999999999999E-2</v>
      </c>
      <c r="P539" s="6">
        <v>0</v>
      </c>
      <c r="Q539" s="4" t="s">
        <v>26</v>
      </c>
      <c r="R539" s="4">
        <v>0</v>
      </c>
      <c r="S539" s="6">
        <v>0</v>
      </c>
      <c r="T539" s="6">
        <v>19</v>
      </c>
      <c r="U539" s="6">
        <v>65</v>
      </c>
      <c r="V539" s="6">
        <f>IF(ISERROR(VLOOKUP($S$539,'TAR FIN'!$A$1:$O$103,15,0)),0,VLOOKUP($S$539,'TAR FIN'!$A$1:$O$103,15,0))</f>
        <v>0</v>
      </c>
      <c r="W539" s="6">
        <f>IF(ISERROR(VLOOKUP($T$539,'TAR FIN'!$A$1:$O$103,15,0)),0,VLOOKUP($T$539,'TAR FIN'!$A$1:$O$103,15,0))</f>
        <v>842.31</v>
      </c>
      <c r="X539" s="6">
        <f>IF(ISERROR(VLOOKUP($U$539,'TAR FIN'!$A$1:$O$103,15,0)),0,VLOOKUP($U$539,'TAR FIN'!$A$1:$O$103,15,0))</f>
        <v>454.9</v>
      </c>
      <c r="Y539" s="6"/>
      <c r="Z539" s="6">
        <f ca="1">('TUSD BE'!$AM$21+'TUSD BF_350'!$AM$21+'TUSD CVA'!$AM$21)*1</f>
        <v>1027.46</v>
      </c>
      <c r="AA539" s="6">
        <f ca="1">('TE BE'!$AB$8+'TE BF_350'!$AB$8+'TE CVA'!$AB$8)*1</f>
        <v>388.08000000000004</v>
      </c>
      <c r="AB539" s="6">
        <f>$K$539*$V$539</f>
        <v>0</v>
      </c>
      <c r="AC539" s="6">
        <f>$M$539*$W$539</f>
        <v>38.746259999999999</v>
      </c>
      <c r="AD539" s="6">
        <f>$O$539*$X$539</f>
        <v>20.9254</v>
      </c>
      <c r="AE539" s="6">
        <f>$K$539*$Y$539</f>
        <v>0</v>
      </c>
      <c r="AF539" s="6">
        <f ca="1">$M$539*$Z$539</f>
        <v>47.263159999999999</v>
      </c>
      <c r="AG539" s="6">
        <f ca="1">$O$539*$AA$539</f>
        <v>17.851680000000002</v>
      </c>
    </row>
    <row r="540" spans="1:33" ht="11.25" customHeight="1" x14ac:dyDescent="0.25">
      <c r="A540" s="4" t="s">
        <v>21</v>
      </c>
      <c r="B540" s="4" t="s">
        <v>33</v>
      </c>
      <c r="C540" s="4" t="s">
        <v>34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37</v>
      </c>
      <c r="I540" s="5">
        <v>44682</v>
      </c>
      <c r="J540" s="6">
        <v>0</v>
      </c>
      <c r="K540" s="6">
        <v>0</v>
      </c>
      <c r="L540" s="6">
        <v>0.13100000000000001</v>
      </c>
      <c r="M540" s="6">
        <v>0.13100000000000001</v>
      </c>
      <c r="N540" s="6">
        <v>0.13100000000000001</v>
      </c>
      <c r="O540" s="6">
        <v>0.13100000000000001</v>
      </c>
      <c r="P540" s="6">
        <v>0</v>
      </c>
      <c r="Q540" s="4" t="s">
        <v>26</v>
      </c>
      <c r="R540" s="4">
        <v>0</v>
      </c>
      <c r="S540" s="6">
        <v>0</v>
      </c>
      <c r="T540" s="6">
        <v>19</v>
      </c>
      <c r="U540" s="6">
        <v>65</v>
      </c>
      <c r="V540" s="6">
        <f>IF(ISERROR(VLOOKUP($S$540,'TAR FIN'!$A$1:$O$103,15,0)),0,VLOOKUP($S$540,'TAR FIN'!$A$1:$O$103,15,0))</f>
        <v>0</v>
      </c>
      <c r="W540" s="6">
        <f>IF(ISERROR(VLOOKUP($T$540,'TAR FIN'!$A$1:$O$103,15,0)),0,VLOOKUP($T$540,'TAR FIN'!$A$1:$O$103,15,0))</f>
        <v>842.31</v>
      </c>
      <c r="X540" s="6">
        <f>IF(ISERROR(VLOOKUP($U$540,'TAR FIN'!$A$1:$O$103,15,0)),0,VLOOKUP($U$540,'TAR FIN'!$A$1:$O$103,15,0))</f>
        <v>454.9</v>
      </c>
      <c r="Y540" s="6"/>
      <c r="Z540" s="6">
        <f ca="1">('TUSD BE'!$AM$21+'TUSD BF_350'!$AM$21+'TUSD CVA'!$AM$21)*1</f>
        <v>1027.46</v>
      </c>
      <c r="AA540" s="6">
        <f ca="1">('TE BE'!$AB$8+'TE BF_350'!$AB$8+'TE CVA'!$AB$8)*1</f>
        <v>388.08000000000004</v>
      </c>
      <c r="AB540" s="6">
        <f>$K$540*$V$540</f>
        <v>0</v>
      </c>
      <c r="AC540" s="6">
        <f>$M$540*$W$540</f>
        <v>110.34260999999999</v>
      </c>
      <c r="AD540" s="6">
        <f>$O$540*$X$540</f>
        <v>59.591900000000003</v>
      </c>
      <c r="AE540" s="6">
        <f>$K$540*$Y$540</f>
        <v>0</v>
      </c>
      <c r="AF540" s="6">
        <f ca="1">$M$540*$Z$540</f>
        <v>134.59726000000001</v>
      </c>
      <c r="AG540" s="6">
        <f ca="1">$O$540*$AA$540</f>
        <v>50.838480000000004</v>
      </c>
    </row>
    <row r="541" spans="1:33" ht="11.25" customHeight="1" x14ac:dyDescent="0.25">
      <c r="A541" s="4" t="s">
        <v>21</v>
      </c>
      <c r="B541" s="4" t="s">
        <v>33</v>
      </c>
      <c r="C541" s="4" t="s">
        <v>34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35</v>
      </c>
      <c r="I541" s="5">
        <v>44348</v>
      </c>
      <c r="J541" s="6">
        <v>0</v>
      </c>
      <c r="K541" s="53">
        <v>0</v>
      </c>
      <c r="L541" s="6">
        <v>5.0549999999999997</v>
      </c>
      <c r="M541" s="53">
        <v>5.0549999999999997</v>
      </c>
      <c r="N541" s="6">
        <v>5.0549999999999997</v>
      </c>
      <c r="O541" s="53">
        <v>5.0549999999999997</v>
      </c>
      <c r="P541" s="6">
        <v>0</v>
      </c>
      <c r="Q541" s="4" t="s">
        <v>26</v>
      </c>
      <c r="R541" s="4">
        <v>0</v>
      </c>
      <c r="S541" s="6">
        <v>0</v>
      </c>
      <c r="T541" s="6">
        <v>20</v>
      </c>
      <c r="U541" s="6">
        <v>66</v>
      </c>
      <c r="V541" s="53">
        <f>IF(ISERROR(VLOOKUP($S$541,'TAR FIN'!$A$1:$O$103,15,0)),0,VLOOKUP($S$541,'TAR FIN'!$A$1:$O$103,15,0))</f>
        <v>0</v>
      </c>
      <c r="W541" s="53">
        <f>IF(ISERROR(VLOOKUP($T$541,'TAR FIN'!$A$1:$O$103,15,0)),0,VLOOKUP($T$541,'TAR FIN'!$A$1:$O$103,15,0))*(1-0.04)</f>
        <v>66.595200000000006</v>
      </c>
      <c r="X541" s="53">
        <f>IF(ISERROR(VLOOKUP($U$541,'TAR FIN'!$A$1:$O$103,15,0)),0,VLOOKUP($U$541,'TAR FIN'!$A$1:$O$103,15,0))*(1-0.04)</f>
        <v>272.98559999999998</v>
      </c>
      <c r="Y541" s="53"/>
      <c r="Z541" s="53">
        <f ca="1">('TUSD BE'!$AM$22+'TUSD BF_350'!$AM$22+'TUSD CVA'!$AM$22)*1*(1-0.02)</f>
        <v>108.633</v>
      </c>
      <c r="AA541" s="53">
        <f ca="1">('TE BE'!$AB$9+'TE BF_350'!$AB$9+'TE CVA'!$AB$9)*1*(1-0.02)</f>
        <v>242.256</v>
      </c>
      <c r="AB541" s="6">
        <f>$K$541*$V$541</f>
        <v>0</v>
      </c>
      <c r="AC541" s="6">
        <f>$M$541*$W$541</f>
        <v>336.63873599999999</v>
      </c>
      <c r="AD541" s="6">
        <f>$O$541*$X$541</f>
        <v>1379.9422079999997</v>
      </c>
      <c r="AE541" s="6">
        <f>$K$541*$Y$541</f>
        <v>0</v>
      </c>
      <c r="AF541" s="6">
        <f ca="1">$M$541*$Z$541</f>
        <v>549.139815</v>
      </c>
      <c r="AG541" s="6">
        <f ca="1">$O$541*$AA$541</f>
        <v>1224.6040799999998</v>
      </c>
    </row>
    <row r="542" spans="1:33" ht="11.25" customHeight="1" x14ac:dyDescent="0.25">
      <c r="A542" s="4" t="s">
        <v>21</v>
      </c>
      <c r="B542" s="4" t="s">
        <v>33</v>
      </c>
      <c r="C542" s="4" t="s">
        <v>34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35</v>
      </c>
      <c r="I542" s="5">
        <v>44378</v>
      </c>
      <c r="J542" s="6">
        <v>0</v>
      </c>
      <c r="K542" s="53">
        <v>0</v>
      </c>
      <c r="L542" s="6">
        <v>3.0209999999999999</v>
      </c>
      <c r="M542" s="53">
        <v>3.0209999999999999</v>
      </c>
      <c r="N542" s="6">
        <v>3.0209999999999999</v>
      </c>
      <c r="O542" s="53">
        <v>3.0209999999999999</v>
      </c>
      <c r="P542" s="6">
        <v>0</v>
      </c>
      <c r="Q542" s="4" t="s">
        <v>26</v>
      </c>
      <c r="R542" s="4">
        <v>0</v>
      </c>
      <c r="S542" s="6">
        <v>0</v>
      </c>
      <c r="T542" s="6">
        <v>20</v>
      </c>
      <c r="U542" s="6">
        <v>66</v>
      </c>
      <c r="V542" s="53">
        <f>IF(ISERROR(VLOOKUP($S$542,'TAR FIN'!$A$1:$O$103,15,0)),0,VLOOKUP($S$542,'TAR FIN'!$A$1:$O$103,15,0))</f>
        <v>0</v>
      </c>
      <c r="W542" s="53">
        <f>IF(ISERROR(VLOOKUP($T$542,'TAR FIN'!$A$1:$O$103,15,0)),0,VLOOKUP($T$542,'TAR FIN'!$A$1:$O$103,15,0))*(1-0.04)</f>
        <v>66.595200000000006</v>
      </c>
      <c r="X542" s="53">
        <f>IF(ISERROR(VLOOKUP($U$542,'TAR FIN'!$A$1:$O$103,15,0)),0,VLOOKUP($U$542,'TAR FIN'!$A$1:$O$103,15,0))*(1-0.04)</f>
        <v>272.98559999999998</v>
      </c>
      <c r="Y542" s="53"/>
      <c r="Z542" s="53">
        <f ca="1">('TUSD BE'!$AM$22+'TUSD BF_350'!$AM$22+'TUSD CVA'!$AM$22)*1*(1-0.02)</f>
        <v>108.633</v>
      </c>
      <c r="AA542" s="53">
        <f ca="1">('TE BE'!$AB$9+'TE BF_350'!$AB$9+'TE CVA'!$AB$9)*1*(1-0.02)</f>
        <v>242.256</v>
      </c>
      <c r="AB542" s="6">
        <f>$K$542*$V$542</f>
        <v>0</v>
      </c>
      <c r="AC542" s="6">
        <f>$M$542*$W$542</f>
        <v>201.18409920000002</v>
      </c>
      <c r="AD542" s="6">
        <f>$O$542*$X$542</f>
        <v>824.68949759999987</v>
      </c>
      <c r="AE542" s="6">
        <f>$K$542*$Y$542</f>
        <v>0</v>
      </c>
      <c r="AF542" s="6">
        <f ca="1">$M$542*$Z$542</f>
        <v>328.18029299999995</v>
      </c>
      <c r="AG542" s="6">
        <f ca="1">$O$542*$AA$542</f>
        <v>731.85537599999998</v>
      </c>
    </row>
    <row r="543" spans="1:33" ht="11.25" customHeight="1" x14ac:dyDescent="0.25">
      <c r="A543" s="4" t="s">
        <v>21</v>
      </c>
      <c r="B543" s="4" t="s">
        <v>33</v>
      </c>
      <c r="C543" s="4" t="s">
        <v>34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35</v>
      </c>
      <c r="I543" s="5">
        <v>44409</v>
      </c>
      <c r="J543" s="6">
        <v>0</v>
      </c>
      <c r="K543" s="53">
        <v>0</v>
      </c>
      <c r="L543" s="6">
        <v>2.4289999999999998</v>
      </c>
      <c r="M543" s="53">
        <v>2.4289999999999998</v>
      </c>
      <c r="N543" s="6">
        <v>2.4289999999999998</v>
      </c>
      <c r="O543" s="53">
        <v>2.4289999999999998</v>
      </c>
      <c r="P543" s="6">
        <v>0</v>
      </c>
      <c r="Q543" s="4" t="s">
        <v>26</v>
      </c>
      <c r="R543" s="4">
        <v>0</v>
      </c>
      <c r="S543" s="6">
        <v>0</v>
      </c>
      <c r="T543" s="6">
        <v>20</v>
      </c>
      <c r="U543" s="6">
        <v>66</v>
      </c>
      <c r="V543" s="53">
        <f>IF(ISERROR(VLOOKUP($S$543,'TAR FIN'!$A$1:$O$103,15,0)),0,VLOOKUP($S$543,'TAR FIN'!$A$1:$O$103,15,0))</f>
        <v>0</v>
      </c>
      <c r="W543" s="53">
        <f>IF(ISERROR(VLOOKUP($T$543,'TAR FIN'!$A$1:$O$103,15,0)),0,VLOOKUP($T$543,'TAR FIN'!$A$1:$O$103,15,0))*(1-0.04)</f>
        <v>66.595200000000006</v>
      </c>
      <c r="X543" s="53">
        <f>IF(ISERROR(VLOOKUP($U$543,'TAR FIN'!$A$1:$O$103,15,0)),0,VLOOKUP($U$543,'TAR FIN'!$A$1:$O$103,15,0))*(1-0.04)</f>
        <v>272.98559999999998</v>
      </c>
      <c r="Y543" s="53"/>
      <c r="Z543" s="53">
        <f ca="1">('TUSD BE'!$AM$22+'TUSD BF_350'!$AM$22+'TUSD CVA'!$AM$22)*1*(1-0.02)</f>
        <v>108.633</v>
      </c>
      <c r="AA543" s="53">
        <f ca="1">('TE BE'!$AB$9+'TE BF_350'!$AB$9+'TE CVA'!$AB$9)*1*(1-0.02)</f>
        <v>242.256</v>
      </c>
      <c r="AB543" s="6">
        <f>$K$543*$V$543</f>
        <v>0</v>
      </c>
      <c r="AC543" s="6">
        <f>$M$543*$W$543</f>
        <v>161.7597408</v>
      </c>
      <c r="AD543" s="6">
        <f>$O$543*$X$543</f>
        <v>663.08202239999991</v>
      </c>
      <c r="AE543" s="6">
        <f>$K$543*$Y$543</f>
        <v>0</v>
      </c>
      <c r="AF543" s="6">
        <f ca="1">$M$543*$Z$543</f>
        <v>263.86955699999999</v>
      </c>
      <c r="AG543" s="6">
        <f ca="1">$O$543*$AA$543</f>
        <v>588.43982399999993</v>
      </c>
    </row>
    <row r="544" spans="1:33" ht="11.25" customHeight="1" x14ac:dyDescent="0.25">
      <c r="A544" s="4" t="s">
        <v>21</v>
      </c>
      <c r="B544" s="4" t="s">
        <v>33</v>
      </c>
      <c r="C544" s="4" t="s">
        <v>34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44440</v>
      </c>
      <c r="J544" s="6">
        <v>0</v>
      </c>
      <c r="K544" s="53">
        <v>0</v>
      </c>
      <c r="L544" s="6">
        <v>2.7210000000000001</v>
      </c>
      <c r="M544" s="53">
        <v>2.7210000000000001</v>
      </c>
      <c r="N544" s="6">
        <v>2.7210000000000001</v>
      </c>
      <c r="O544" s="53">
        <v>2.7210000000000001</v>
      </c>
      <c r="P544" s="6">
        <v>0</v>
      </c>
      <c r="Q544" s="4" t="s">
        <v>26</v>
      </c>
      <c r="R544" s="4">
        <v>0</v>
      </c>
      <c r="S544" s="6">
        <v>0</v>
      </c>
      <c r="T544" s="6">
        <v>20</v>
      </c>
      <c r="U544" s="6">
        <v>66</v>
      </c>
      <c r="V544" s="53">
        <f>IF(ISERROR(VLOOKUP($S$544,'TAR FIN'!$A$1:$O$103,15,0)),0,VLOOKUP($S$544,'TAR FIN'!$A$1:$O$103,15,0))</f>
        <v>0</v>
      </c>
      <c r="W544" s="53">
        <f>IF(ISERROR(VLOOKUP($T$544,'TAR FIN'!$A$1:$O$103,15,0)),0,VLOOKUP($T$544,'TAR FIN'!$A$1:$O$103,15,0))*(1-0.04)</f>
        <v>66.595200000000006</v>
      </c>
      <c r="X544" s="53">
        <f>IF(ISERROR(VLOOKUP($U$544,'TAR FIN'!$A$1:$O$103,15,0)),0,VLOOKUP($U$544,'TAR FIN'!$A$1:$O$103,15,0))*(1-0.04)</f>
        <v>272.98559999999998</v>
      </c>
      <c r="Y544" s="53"/>
      <c r="Z544" s="53">
        <f ca="1">('TUSD BE'!$AM$22+'TUSD BF_350'!$AM$22+'TUSD CVA'!$AM$22)*1*(1-0.02)</f>
        <v>108.633</v>
      </c>
      <c r="AA544" s="53">
        <f ca="1">('TE BE'!$AB$9+'TE BF_350'!$AB$9+'TE CVA'!$AB$9)*1*(1-0.02)</f>
        <v>242.256</v>
      </c>
      <c r="AB544" s="6">
        <f>$K$544*$V$544</f>
        <v>0</v>
      </c>
      <c r="AC544" s="6">
        <f>$M$544*$W$544</f>
        <v>181.20553920000003</v>
      </c>
      <c r="AD544" s="6">
        <f>$O$544*$X$544</f>
        <v>742.79381760000001</v>
      </c>
      <c r="AE544" s="6">
        <f>$K$544*$Y$544</f>
        <v>0</v>
      </c>
      <c r="AF544" s="6">
        <f ca="1">$M$544*$Z$544</f>
        <v>295.59039300000001</v>
      </c>
      <c r="AG544" s="6">
        <f ca="1">$O$544*$AA$544</f>
        <v>659.17857600000002</v>
      </c>
    </row>
    <row r="545" spans="1:33" ht="11.25" customHeight="1" x14ac:dyDescent="0.25">
      <c r="A545" s="4" t="s">
        <v>21</v>
      </c>
      <c r="B545" s="4" t="s">
        <v>33</v>
      </c>
      <c r="C545" s="4" t="s">
        <v>34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44470</v>
      </c>
      <c r="J545" s="6">
        <v>0</v>
      </c>
      <c r="K545" s="53">
        <v>0</v>
      </c>
      <c r="L545" s="6">
        <v>2.7639999999999998</v>
      </c>
      <c r="M545" s="53">
        <v>2.7639999999999998</v>
      </c>
      <c r="N545" s="6">
        <v>2.7639999999999998</v>
      </c>
      <c r="O545" s="53">
        <v>2.7639999999999998</v>
      </c>
      <c r="P545" s="6">
        <v>0</v>
      </c>
      <c r="Q545" s="4" t="s">
        <v>26</v>
      </c>
      <c r="R545" s="4">
        <v>0</v>
      </c>
      <c r="S545" s="6">
        <v>0</v>
      </c>
      <c r="T545" s="6">
        <v>20</v>
      </c>
      <c r="U545" s="6">
        <v>66</v>
      </c>
      <c r="V545" s="53">
        <f>IF(ISERROR(VLOOKUP($S$545,'TAR FIN'!$A$1:$O$103,15,0)),0,VLOOKUP($S$545,'TAR FIN'!$A$1:$O$103,15,0))</f>
        <v>0</v>
      </c>
      <c r="W545" s="53">
        <f>IF(ISERROR(VLOOKUP($T$545,'TAR FIN'!$A$1:$O$103,15,0)),0,VLOOKUP($T$545,'TAR FIN'!$A$1:$O$103,15,0))*(1-0.04)</f>
        <v>66.595200000000006</v>
      </c>
      <c r="X545" s="53">
        <f>IF(ISERROR(VLOOKUP($U$545,'TAR FIN'!$A$1:$O$103,15,0)),0,VLOOKUP($U$545,'TAR FIN'!$A$1:$O$103,15,0))*(1-0.04)</f>
        <v>272.98559999999998</v>
      </c>
      <c r="Y545" s="53"/>
      <c r="Z545" s="53">
        <f ca="1">('TUSD BE'!$AM$22+'TUSD BF_350'!$AM$22+'TUSD CVA'!$AM$22)*1*(1-0.02)</f>
        <v>108.633</v>
      </c>
      <c r="AA545" s="53">
        <f ca="1">('TE BE'!$AB$9+'TE BF_350'!$AB$9+'TE CVA'!$AB$9)*1*(1-0.02)</f>
        <v>242.256</v>
      </c>
      <c r="AB545" s="6">
        <f>$K$545*$V$545</f>
        <v>0</v>
      </c>
      <c r="AC545" s="6">
        <f>$M$545*$W$545</f>
        <v>184.06913280000001</v>
      </c>
      <c r="AD545" s="6">
        <f>$O$545*$X$545</f>
        <v>754.53219839999986</v>
      </c>
      <c r="AE545" s="6">
        <f>$K$545*$Y$545</f>
        <v>0</v>
      </c>
      <c r="AF545" s="6">
        <f ca="1">$M$545*$Z$545</f>
        <v>300.26161199999996</v>
      </c>
      <c r="AG545" s="6">
        <f ca="1">$O$545*$AA$545</f>
        <v>669.59558399999992</v>
      </c>
    </row>
    <row r="546" spans="1:33" ht="11.25" customHeight="1" x14ac:dyDescent="0.25">
      <c r="A546" s="4" t="s">
        <v>21</v>
      </c>
      <c r="B546" s="4" t="s">
        <v>33</v>
      </c>
      <c r="C546" s="4" t="s">
        <v>34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44501</v>
      </c>
      <c r="J546" s="6">
        <v>0</v>
      </c>
      <c r="K546" s="53">
        <v>0</v>
      </c>
      <c r="L546" s="6">
        <v>2.819</v>
      </c>
      <c r="M546" s="53">
        <v>2.819</v>
      </c>
      <c r="N546" s="6">
        <v>2.819</v>
      </c>
      <c r="O546" s="53">
        <v>2.819</v>
      </c>
      <c r="P546" s="6">
        <v>0</v>
      </c>
      <c r="Q546" s="4" t="s">
        <v>26</v>
      </c>
      <c r="R546" s="4">
        <v>0</v>
      </c>
      <c r="S546" s="6">
        <v>0</v>
      </c>
      <c r="T546" s="6">
        <v>20</v>
      </c>
      <c r="U546" s="6">
        <v>66</v>
      </c>
      <c r="V546" s="53">
        <f>IF(ISERROR(VLOOKUP($S$546,'TAR FIN'!$A$1:$O$103,15,0)),0,VLOOKUP($S$546,'TAR FIN'!$A$1:$O$103,15,0))</f>
        <v>0</v>
      </c>
      <c r="W546" s="53">
        <f>IF(ISERROR(VLOOKUP($T$546,'TAR FIN'!$A$1:$O$103,15,0)),0,VLOOKUP($T$546,'TAR FIN'!$A$1:$O$103,15,0))*(1-0.04)</f>
        <v>66.595200000000006</v>
      </c>
      <c r="X546" s="53">
        <f>IF(ISERROR(VLOOKUP($U$546,'TAR FIN'!$A$1:$O$103,15,0)),0,VLOOKUP($U$546,'TAR FIN'!$A$1:$O$103,15,0))*(1-0.04)</f>
        <v>272.98559999999998</v>
      </c>
      <c r="Y546" s="53"/>
      <c r="Z546" s="53">
        <f ca="1">('TUSD BE'!$AM$22+'TUSD BF_350'!$AM$22+'TUSD CVA'!$AM$22)*1*(1-0.02)</f>
        <v>108.633</v>
      </c>
      <c r="AA546" s="53">
        <f ca="1">('TE BE'!$AB$9+'TE BF_350'!$AB$9+'TE CVA'!$AB$9)*1*(1-0.02)</f>
        <v>242.256</v>
      </c>
      <c r="AB546" s="6">
        <f>$K$546*$V$546</f>
        <v>0</v>
      </c>
      <c r="AC546" s="6">
        <f>$M$546*$W$546</f>
        <v>187.7318688</v>
      </c>
      <c r="AD546" s="6">
        <f>$O$546*$X$546</f>
        <v>769.54640639999991</v>
      </c>
      <c r="AE546" s="6">
        <f>$K$546*$Y$546</f>
        <v>0</v>
      </c>
      <c r="AF546" s="6">
        <f ca="1">$M$546*$Z$546</f>
        <v>306.23642699999999</v>
      </c>
      <c r="AG546" s="6">
        <f ca="1">$O$546*$AA$546</f>
        <v>682.91966400000001</v>
      </c>
    </row>
    <row r="547" spans="1:33" ht="11.25" customHeight="1" x14ac:dyDescent="0.25">
      <c r="A547" s="4" t="s">
        <v>21</v>
      </c>
      <c r="B547" s="4" t="s">
        <v>33</v>
      </c>
      <c r="C547" s="4" t="s">
        <v>34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44531</v>
      </c>
      <c r="J547" s="6">
        <v>0</v>
      </c>
      <c r="K547" s="53">
        <v>0</v>
      </c>
      <c r="L547" s="6">
        <v>2.294</v>
      </c>
      <c r="M547" s="53">
        <v>2.294</v>
      </c>
      <c r="N547" s="6">
        <v>2.294</v>
      </c>
      <c r="O547" s="53">
        <v>2.294</v>
      </c>
      <c r="P547" s="6">
        <v>0</v>
      </c>
      <c r="Q547" s="4" t="s">
        <v>26</v>
      </c>
      <c r="R547" s="4">
        <v>0</v>
      </c>
      <c r="S547" s="6">
        <v>0</v>
      </c>
      <c r="T547" s="6">
        <v>20</v>
      </c>
      <c r="U547" s="6">
        <v>66</v>
      </c>
      <c r="V547" s="53">
        <f>IF(ISERROR(VLOOKUP($S$547,'TAR FIN'!$A$1:$O$103,15,0)),0,VLOOKUP($S$547,'TAR FIN'!$A$1:$O$103,15,0))</f>
        <v>0</v>
      </c>
      <c r="W547" s="53">
        <f>IF(ISERROR(VLOOKUP($T$547,'TAR FIN'!$A$1:$O$103,15,0)),0,VLOOKUP($T$547,'TAR FIN'!$A$1:$O$103,15,0))*(1-0.04)</f>
        <v>66.595200000000006</v>
      </c>
      <c r="X547" s="53">
        <f>IF(ISERROR(VLOOKUP($U$547,'TAR FIN'!$A$1:$O$103,15,0)),0,VLOOKUP($U$547,'TAR FIN'!$A$1:$O$103,15,0))*(1-0.04)</f>
        <v>272.98559999999998</v>
      </c>
      <c r="Y547" s="53"/>
      <c r="Z547" s="53">
        <f ca="1">('TUSD BE'!$AM$22+'TUSD BF_350'!$AM$22+'TUSD CVA'!$AM$22)*1*(1-0.02)</f>
        <v>108.633</v>
      </c>
      <c r="AA547" s="53">
        <f ca="1">('TE BE'!$AB$9+'TE BF_350'!$AB$9+'TE CVA'!$AB$9)*1*(1-0.02)</f>
        <v>242.256</v>
      </c>
      <c r="AB547" s="6">
        <f>$K$547*$V$547</f>
        <v>0</v>
      </c>
      <c r="AC547" s="6">
        <f>$M$547*$W$547</f>
        <v>152.7693888</v>
      </c>
      <c r="AD547" s="6">
        <f>$O$547*$X$547</f>
        <v>626.22896639999999</v>
      </c>
      <c r="AE547" s="6">
        <f>$K$547*$Y$547</f>
        <v>0</v>
      </c>
      <c r="AF547" s="6">
        <f ca="1">$M$547*$Z$547</f>
        <v>249.20410200000001</v>
      </c>
      <c r="AG547" s="6">
        <f ca="1">$O$547*$AA$547</f>
        <v>555.73526400000003</v>
      </c>
    </row>
    <row r="548" spans="1:33" ht="11.25" customHeight="1" x14ac:dyDescent="0.25">
      <c r="A548" s="4" t="s">
        <v>21</v>
      </c>
      <c r="B548" s="4" t="s">
        <v>33</v>
      </c>
      <c r="C548" s="4" t="s">
        <v>34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44593</v>
      </c>
      <c r="J548" s="6">
        <v>0</v>
      </c>
      <c r="K548" s="53">
        <v>0</v>
      </c>
      <c r="L548" s="6">
        <v>3.8010000000000002</v>
      </c>
      <c r="M548" s="53">
        <v>3.8010000000000002</v>
      </c>
      <c r="N548" s="6">
        <v>3.8010000000000002</v>
      </c>
      <c r="O548" s="53">
        <v>3.8010000000000002</v>
      </c>
      <c r="P548" s="6">
        <v>0</v>
      </c>
      <c r="Q548" s="4" t="s">
        <v>26</v>
      </c>
      <c r="R548" s="4">
        <v>0</v>
      </c>
      <c r="S548" s="6">
        <v>0</v>
      </c>
      <c r="T548" s="6">
        <v>20</v>
      </c>
      <c r="U548" s="6">
        <v>66</v>
      </c>
      <c r="V548" s="53">
        <f>IF(ISERROR(VLOOKUP($S$548,'TAR FIN'!$A$1:$O$103,15,0)),0,VLOOKUP($S$548,'TAR FIN'!$A$1:$O$103,15,0))</f>
        <v>0</v>
      </c>
      <c r="W548" s="53">
        <f>IF(ISERROR(VLOOKUP($T$548,'TAR FIN'!$A$1:$O$103,15,0)),0,VLOOKUP($T$548,'TAR FIN'!$A$1:$O$103,15,0))*(1-0.04)</f>
        <v>66.595200000000006</v>
      </c>
      <c r="X548" s="53">
        <f>IF(ISERROR(VLOOKUP($U$548,'TAR FIN'!$A$1:$O$103,15,0)),0,VLOOKUP($U$548,'TAR FIN'!$A$1:$O$103,15,0))*(1-0.04)</f>
        <v>272.98559999999998</v>
      </c>
      <c r="Y548" s="53"/>
      <c r="Z548" s="53">
        <f ca="1">('TUSD BE'!$AM$22+'TUSD BF_350'!$AM$22+'TUSD CVA'!$AM$22)*1*(1-0.02)</f>
        <v>108.633</v>
      </c>
      <c r="AA548" s="53">
        <f ca="1">('TE BE'!$AB$9+'TE BF_350'!$AB$9+'TE CVA'!$AB$9)*1*(1-0.02)</f>
        <v>242.256</v>
      </c>
      <c r="AB548" s="6">
        <f>$K$548*$V$548</f>
        <v>0</v>
      </c>
      <c r="AC548" s="6">
        <f>$M$548*$W$548</f>
        <v>253.12835520000004</v>
      </c>
      <c r="AD548" s="6">
        <f>$O$548*$X$548</f>
        <v>1037.6182655999999</v>
      </c>
      <c r="AE548" s="6">
        <f>$K$548*$Y$548</f>
        <v>0</v>
      </c>
      <c r="AF548" s="6">
        <f ca="1">$M$548*$Z$548</f>
        <v>412.91403300000002</v>
      </c>
      <c r="AG548" s="6">
        <f ca="1">$O$548*$AA$548</f>
        <v>920.81505600000003</v>
      </c>
    </row>
    <row r="549" spans="1:33" ht="11.25" customHeight="1" x14ac:dyDescent="0.25">
      <c r="A549" s="4" t="s">
        <v>21</v>
      </c>
      <c r="B549" s="4" t="s">
        <v>33</v>
      </c>
      <c r="C549" s="4" t="s">
        <v>34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44621</v>
      </c>
      <c r="J549" s="6">
        <v>0</v>
      </c>
      <c r="K549" s="53">
        <v>0</v>
      </c>
      <c r="L549" s="6">
        <v>3.0979999999999999</v>
      </c>
      <c r="M549" s="53">
        <v>3.0979999999999999</v>
      </c>
      <c r="N549" s="6">
        <v>3.0979999999999999</v>
      </c>
      <c r="O549" s="53">
        <v>3.0979999999999999</v>
      </c>
      <c r="P549" s="6">
        <v>0</v>
      </c>
      <c r="Q549" s="4" t="s">
        <v>26</v>
      </c>
      <c r="R549" s="4">
        <v>0</v>
      </c>
      <c r="S549" s="6">
        <v>0</v>
      </c>
      <c r="T549" s="6">
        <v>20</v>
      </c>
      <c r="U549" s="6">
        <v>66</v>
      </c>
      <c r="V549" s="53">
        <f>IF(ISERROR(VLOOKUP($S$549,'TAR FIN'!$A$1:$O$103,15,0)),0,VLOOKUP($S$549,'TAR FIN'!$A$1:$O$103,15,0))</f>
        <v>0</v>
      </c>
      <c r="W549" s="53">
        <f>IF(ISERROR(VLOOKUP($T$549,'TAR FIN'!$A$1:$O$103,15,0)),0,VLOOKUP($T$549,'TAR FIN'!$A$1:$O$103,15,0))*(1-0.04)</f>
        <v>66.595200000000006</v>
      </c>
      <c r="X549" s="53">
        <f>IF(ISERROR(VLOOKUP($U$549,'TAR FIN'!$A$1:$O$103,15,0)),0,VLOOKUP($U$549,'TAR FIN'!$A$1:$O$103,15,0))*(1-0.04)</f>
        <v>272.98559999999998</v>
      </c>
      <c r="Y549" s="53"/>
      <c r="Z549" s="53">
        <f ca="1">('TUSD BE'!$AM$22+'TUSD BF_350'!$AM$22+'TUSD CVA'!$AM$22)*1*(1-0.02)</f>
        <v>108.633</v>
      </c>
      <c r="AA549" s="53">
        <f ca="1">('TE BE'!$AB$9+'TE BF_350'!$AB$9+'TE CVA'!$AB$9)*1*(1-0.02)</f>
        <v>242.256</v>
      </c>
      <c r="AB549" s="6">
        <f>$K$549*$V$549</f>
        <v>0</v>
      </c>
      <c r="AC549" s="6">
        <f>$M$549*$W$549</f>
        <v>206.31192960000001</v>
      </c>
      <c r="AD549" s="6">
        <f>$O$549*$X$549</f>
        <v>845.70938879999994</v>
      </c>
      <c r="AE549" s="6">
        <f>$K$549*$Y$549</f>
        <v>0</v>
      </c>
      <c r="AF549" s="6">
        <f ca="1">$M$549*$Z$549</f>
        <v>336.54503399999999</v>
      </c>
      <c r="AG549" s="6">
        <f ca="1">$O$549*$AA$549</f>
        <v>750.50908800000002</v>
      </c>
    </row>
    <row r="550" spans="1:33" ht="11.25" customHeight="1" x14ac:dyDescent="0.25">
      <c r="A550" s="4" t="s">
        <v>21</v>
      </c>
      <c r="B550" s="4" t="s">
        <v>33</v>
      </c>
      <c r="C550" s="4" t="s">
        <v>34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44652</v>
      </c>
      <c r="J550" s="6">
        <v>0</v>
      </c>
      <c r="K550" s="53">
        <v>0</v>
      </c>
      <c r="L550" s="6">
        <v>2.2429999999999999</v>
      </c>
      <c r="M550" s="53">
        <v>2.2429999999999999</v>
      </c>
      <c r="N550" s="6">
        <v>2.2429999999999999</v>
      </c>
      <c r="O550" s="53">
        <v>2.2429999999999999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20</v>
      </c>
      <c r="U550" s="6">
        <v>66</v>
      </c>
      <c r="V550" s="53">
        <f>IF(ISERROR(VLOOKUP($S$550,'TAR FIN'!$A$1:$O$103,15,0)),0,VLOOKUP($S$550,'TAR FIN'!$A$1:$O$103,15,0))</f>
        <v>0</v>
      </c>
      <c r="W550" s="53">
        <f>IF(ISERROR(VLOOKUP($T$550,'TAR FIN'!$A$1:$O$103,15,0)),0,VLOOKUP($T$550,'TAR FIN'!$A$1:$O$103,15,0))*(1-0.04)</f>
        <v>66.595200000000006</v>
      </c>
      <c r="X550" s="53">
        <f>IF(ISERROR(VLOOKUP($U$550,'TAR FIN'!$A$1:$O$103,15,0)),0,VLOOKUP($U$550,'TAR FIN'!$A$1:$O$103,15,0))*(1-0.04)</f>
        <v>272.98559999999998</v>
      </c>
      <c r="Y550" s="53"/>
      <c r="Z550" s="53">
        <f ca="1">('TUSD BE'!$AM$22+'TUSD BF_350'!$AM$22+'TUSD CVA'!$AM$22)*1*(1-0.02)</f>
        <v>108.633</v>
      </c>
      <c r="AA550" s="53">
        <f ca="1">('TE BE'!$AB$9+'TE BF_350'!$AB$9+'TE CVA'!$AB$9)*1*(1-0.02)</f>
        <v>242.256</v>
      </c>
      <c r="AB550" s="6">
        <f>$K$550*$V$550</f>
        <v>0</v>
      </c>
      <c r="AC550" s="6">
        <f>$M$550*$W$550</f>
        <v>149.37303360000001</v>
      </c>
      <c r="AD550" s="6">
        <f>$O$550*$X$550</f>
        <v>612.30670079999993</v>
      </c>
      <c r="AE550" s="6">
        <f>$K$550*$Y$550</f>
        <v>0</v>
      </c>
      <c r="AF550" s="6">
        <f ca="1">$M$550*$Z$550</f>
        <v>243.66381899999999</v>
      </c>
      <c r="AG550" s="6">
        <f ca="1">$O$550*$AA$550</f>
        <v>543.38020799999993</v>
      </c>
    </row>
    <row r="551" spans="1:33" ht="11.25" customHeight="1" x14ac:dyDescent="0.25">
      <c r="A551" s="4" t="s">
        <v>21</v>
      </c>
      <c r="B551" s="4" t="s">
        <v>33</v>
      </c>
      <c r="C551" s="4" t="s">
        <v>34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44682</v>
      </c>
      <c r="J551" s="6">
        <v>0</v>
      </c>
      <c r="K551" s="53">
        <v>0</v>
      </c>
      <c r="L551" s="6">
        <v>2.492</v>
      </c>
      <c r="M551" s="53">
        <v>2.492</v>
      </c>
      <c r="N551" s="6">
        <v>2.492</v>
      </c>
      <c r="O551" s="53">
        <v>2.492</v>
      </c>
      <c r="P551" s="6">
        <v>0</v>
      </c>
      <c r="Q551" s="4" t="s">
        <v>26</v>
      </c>
      <c r="R551" s="4">
        <v>0</v>
      </c>
      <c r="S551" s="6">
        <v>0</v>
      </c>
      <c r="T551" s="6">
        <v>20</v>
      </c>
      <c r="U551" s="6">
        <v>66</v>
      </c>
      <c r="V551" s="53">
        <f>IF(ISERROR(VLOOKUP($S$551,'TAR FIN'!$A$1:$O$103,15,0)),0,VLOOKUP($S$551,'TAR FIN'!$A$1:$O$103,15,0))</f>
        <v>0</v>
      </c>
      <c r="W551" s="53">
        <f>IF(ISERROR(VLOOKUP($T$551,'TAR FIN'!$A$1:$O$103,15,0)),0,VLOOKUP($T$551,'TAR FIN'!$A$1:$O$103,15,0))*(1-0.04)</f>
        <v>66.595200000000006</v>
      </c>
      <c r="X551" s="53">
        <f>IF(ISERROR(VLOOKUP($U$551,'TAR FIN'!$A$1:$O$103,15,0)),0,VLOOKUP($U$551,'TAR FIN'!$A$1:$O$103,15,0))*(1-0.04)</f>
        <v>272.98559999999998</v>
      </c>
      <c r="Y551" s="53"/>
      <c r="Z551" s="53">
        <f ca="1">('TUSD BE'!$AM$22+'TUSD BF_350'!$AM$22+'TUSD CVA'!$AM$22)*1*(1-0.02)</f>
        <v>108.633</v>
      </c>
      <c r="AA551" s="53">
        <f ca="1">('TE BE'!$AB$9+'TE BF_350'!$AB$9+'TE CVA'!$AB$9)*1*(1-0.02)</f>
        <v>242.256</v>
      </c>
      <c r="AB551" s="6">
        <f>$K$551*$V$551</f>
        <v>0</v>
      </c>
      <c r="AC551" s="6">
        <f>$M$551*$W$551</f>
        <v>165.95523840000001</v>
      </c>
      <c r="AD551" s="6">
        <f>$O$551*$X$551</f>
        <v>680.28011519999995</v>
      </c>
      <c r="AE551" s="6">
        <f>$K$551*$Y$551</f>
        <v>0</v>
      </c>
      <c r="AF551" s="6">
        <f ca="1">$M$551*$Z$551</f>
        <v>270.713436</v>
      </c>
      <c r="AG551" s="6">
        <f ca="1">$O$551*$AA$551</f>
        <v>603.70195200000001</v>
      </c>
    </row>
    <row r="552" spans="1:33" ht="11.25" customHeight="1" x14ac:dyDescent="0.25">
      <c r="A552" s="4" t="s">
        <v>21</v>
      </c>
      <c r="B552" s="4" t="s">
        <v>33</v>
      </c>
      <c r="C552" s="4" t="s">
        <v>34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44348</v>
      </c>
      <c r="J552" s="6">
        <v>98</v>
      </c>
      <c r="K552" s="53">
        <v>98</v>
      </c>
      <c r="L552" s="6">
        <v>0</v>
      </c>
      <c r="M552" s="53">
        <v>0</v>
      </c>
      <c r="N552" s="6">
        <v>0</v>
      </c>
      <c r="O552" s="53">
        <v>0</v>
      </c>
      <c r="P552" s="6">
        <v>2</v>
      </c>
      <c r="Q552" s="4" t="s">
        <v>26</v>
      </c>
      <c r="R552" s="4">
        <v>0</v>
      </c>
      <c r="S552" s="6">
        <v>18</v>
      </c>
      <c r="T552" s="6">
        <v>0</v>
      </c>
      <c r="U552" s="6">
        <v>0</v>
      </c>
      <c r="V552" s="53">
        <f>IF(ISERROR(VLOOKUP($S$552,'TAR FIN'!$A$1:$O$103,15,0)),0,VLOOKUP($S$552,'TAR FIN'!$A$1:$O$103,15,0))*(1-0.04)</f>
        <v>11.9232</v>
      </c>
      <c r="W552" s="53">
        <f>IF(ISERROR(VLOOKUP($T$552,'TAR FIN'!$A$1:$O$103,15,0)),0,VLOOKUP($T$552,'TAR FIN'!$A$1:$O$103,15,0))</f>
        <v>0</v>
      </c>
      <c r="X552" s="53">
        <f>IF(ISERROR(VLOOKUP($U$552,'TAR FIN'!$A$1:$O$103,15,0)),0,VLOOKUP($U$552,'TAR FIN'!$A$1:$O$103,15,0))</f>
        <v>0</v>
      </c>
      <c r="Y552" s="53">
        <f ca="1">('TUSD BE'!$AM$20+'TUSD BF_350'!$AM$20+'TUSD CVA'!$AM$20)*1*(1-0.02)</f>
        <v>17.228399999999997</v>
      </c>
      <c r="Z552" s="53"/>
      <c r="AA552" s="53"/>
      <c r="AB552" s="6">
        <f>$K$552*$V$552</f>
        <v>1168.4736</v>
      </c>
      <c r="AC552" s="6">
        <f>$M$552*$W$552</f>
        <v>0</v>
      </c>
      <c r="AD552" s="6">
        <f>$O$552*$X$552</f>
        <v>0</v>
      </c>
      <c r="AE552" s="6">
        <f ca="1">$K$552*$Y$552</f>
        <v>1688.3831999999998</v>
      </c>
      <c r="AF552" s="6">
        <f>$M$552*$Z$552</f>
        <v>0</v>
      </c>
      <c r="AG552" s="6">
        <f>$O$552*$AA$552</f>
        <v>0</v>
      </c>
    </row>
    <row r="553" spans="1:33" ht="11.25" customHeight="1" x14ac:dyDescent="0.25">
      <c r="A553" s="4" t="s">
        <v>21</v>
      </c>
      <c r="B553" s="4" t="s">
        <v>33</v>
      </c>
      <c r="C553" s="4" t="s">
        <v>34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44378</v>
      </c>
      <c r="J553" s="6">
        <v>37</v>
      </c>
      <c r="K553" s="53">
        <v>37</v>
      </c>
      <c r="L553" s="6">
        <v>0</v>
      </c>
      <c r="M553" s="53">
        <v>0</v>
      </c>
      <c r="N553" s="6">
        <v>0</v>
      </c>
      <c r="O553" s="53">
        <v>0</v>
      </c>
      <c r="P553" s="6">
        <v>2</v>
      </c>
      <c r="Q553" s="4" t="s">
        <v>26</v>
      </c>
      <c r="R553" s="4">
        <v>0</v>
      </c>
      <c r="S553" s="6">
        <v>18</v>
      </c>
      <c r="T553" s="6">
        <v>0</v>
      </c>
      <c r="U553" s="6">
        <v>0</v>
      </c>
      <c r="V553" s="53">
        <f>IF(ISERROR(VLOOKUP($S$553,'TAR FIN'!$A$1:$O$103,15,0)),0,VLOOKUP($S$553,'TAR FIN'!$A$1:$O$103,15,0))*(1-0.04)</f>
        <v>11.9232</v>
      </c>
      <c r="W553" s="53">
        <f>IF(ISERROR(VLOOKUP($T$553,'TAR FIN'!$A$1:$O$103,15,0)),0,VLOOKUP($T$553,'TAR FIN'!$A$1:$O$103,15,0))</f>
        <v>0</v>
      </c>
      <c r="X553" s="53">
        <f>IF(ISERROR(VLOOKUP($U$553,'TAR FIN'!$A$1:$O$103,15,0)),0,VLOOKUP($U$553,'TAR FIN'!$A$1:$O$103,15,0))</f>
        <v>0</v>
      </c>
      <c r="Y553" s="53">
        <f ca="1">('TUSD BE'!$AM$20+'TUSD BF_350'!$AM$20+'TUSD CVA'!$AM$20)*1*(1-0.02)</f>
        <v>17.228399999999997</v>
      </c>
      <c r="Z553" s="53"/>
      <c r="AA553" s="53"/>
      <c r="AB553" s="6">
        <f>$K$553*$V$553</f>
        <v>441.15839999999997</v>
      </c>
      <c r="AC553" s="6">
        <f>$M$553*$W$553</f>
        <v>0</v>
      </c>
      <c r="AD553" s="6">
        <f>$O$553*$X$553</f>
        <v>0</v>
      </c>
      <c r="AE553" s="6">
        <f ca="1">$K$553*$Y$553</f>
        <v>637.45079999999984</v>
      </c>
      <c r="AF553" s="6">
        <f>$M$553*$Z$553</f>
        <v>0</v>
      </c>
      <c r="AG553" s="6">
        <f>$O$553*$AA$553</f>
        <v>0</v>
      </c>
    </row>
    <row r="554" spans="1:33" ht="11.25" customHeight="1" x14ac:dyDescent="0.25">
      <c r="A554" s="4" t="s">
        <v>21</v>
      </c>
      <c r="B554" s="4" t="s">
        <v>33</v>
      </c>
      <c r="C554" s="4" t="s">
        <v>34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44409</v>
      </c>
      <c r="J554" s="6">
        <v>37</v>
      </c>
      <c r="K554" s="53">
        <v>37</v>
      </c>
      <c r="L554" s="6">
        <v>0</v>
      </c>
      <c r="M554" s="53">
        <v>0</v>
      </c>
      <c r="N554" s="6">
        <v>0</v>
      </c>
      <c r="O554" s="53">
        <v>0</v>
      </c>
      <c r="P554" s="6">
        <v>2</v>
      </c>
      <c r="Q554" s="4" t="s">
        <v>26</v>
      </c>
      <c r="R554" s="4">
        <v>0</v>
      </c>
      <c r="S554" s="6">
        <v>18</v>
      </c>
      <c r="T554" s="6">
        <v>0</v>
      </c>
      <c r="U554" s="6">
        <v>0</v>
      </c>
      <c r="V554" s="53">
        <f>IF(ISERROR(VLOOKUP($S$554,'TAR FIN'!$A$1:$O$103,15,0)),0,VLOOKUP($S$554,'TAR FIN'!$A$1:$O$103,15,0))*(1-0.04)</f>
        <v>11.9232</v>
      </c>
      <c r="W554" s="53">
        <f>IF(ISERROR(VLOOKUP($T$554,'TAR FIN'!$A$1:$O$103,15,0)),0,VLOOKUP($T$554,'TAR FIN'!$A$1:$O$103,15,0))</f>
        <v>0</v>
      </c>
      <c r="X554" s="53">
        <f>IF(ISERROR(VLOOKUP($U$554,'TAR FIN'!$A$1:$O$103,15,0)),0,VLOOKUP($U$554,'TAR FIN'!$A$1:$O$103,15,0))</f>
        <v>0</v>
      </c>
      <c r="Y554" s="53">
        <f ca="1">('TUSD BE'!$AM$20+'TUSD BF_350'!$AM$20+'TUSD CVA'!$AM$20)*1*(1-0.02)</f>
        <v>17.228399999999997</v>
      </c>
      <c r="Z554" s="53"/>
      <c r="AA554" s="53"/>
      <c r="AB554" s="6">
        <f>$K$554*$V$554</f>
        <v>441.15839999999997</v>
      </c>
      <c r="AC554" s="6">
        <f>$M$554*$W$554</f>
        <v>0</v>
      </c>
      <c r="AD554" s="6">
        <f>$O$554*$X$554</f>
        <v>0</v>
      </c>
      <c r="AE554" s="6">
        <f ca="1">$K$554*$Y$554</f>
        <v>637.45079999999984</v>
      </c>
      <c r="AF554" s="6">
        <f>$M$554*$Z$554</f>
        <v>0</v>
      </c>
      <c r="AG554" s="6">
        <f>$O$554*$AA$554</f>
        <v>0</v>
      </c>
    </row>
    <row r="555" spans="1:33" ht="11.25" customHeight="1" x14ac:dyDescent="0.25">
      <c r="A555" s="4" t="s">
        <v>21</v>
      </c>
      <c r="B555" s="4" t="s">
        <v>33</v>
      </c>
      <c r="C555" s="4" t="s">
        <v>34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44440</v>
      </c>
      <c r="J555" s="6">
        <v>37</v>
      </c>
      <c r="K555" s="53">
        <v>37</v>
      </c>
      <c r="L555" s="6">
        <v>0</v>
      </c>
      <c r="M555" s="53">
        <v>0</v>
      </c>
      <c r="N555" s="6">
        <v>0</v>
      </c>
      <c r="O555" s="53">
        <v>0</v>
      </c>
      <c r="P555" s="6">
        <v>2</v>
      </c>
      <c r="Q555" s="4" t="s">
        <v>26</v>
      </c>
      <c r="R555" s="4">
        <v>0</v>
      </c>
      <c r="S555" s="6">
        <v>18</v>
      </c>
      <c r="T555" s="6">
        <v>0</v>
      </c>
      <c r="U555" s="6">
        <v>0</v>
      </c>
      <c r="V555" s="53">
        <f>IF(ISERROR(VLOOKUP($S$555,'TAR FIN'!$A$1:$O$103,15,0)),0,VLOOKUP($S$555,'TAR FIN'!$A$1:$O$103,15,0))*(1-0.04)</f>
        <v>11.9232</v>
      </c>
      <c r="W555" s="53">
        <f>IF(ISERROR(VLOOKUP($T$555,'TAR FIN'!$A$1:$O$103,15,0)),0,VLOOKUP($T$555,'TAR FIN'!$A$1:$O$103,15,0))</f>
        <v>0</v>
      </c>
      <c r="X555" s="53">
        <f>IF(ISERROR(VLOOKUP($U$555,'TAR FIN'!$A$1:$O$103,15,0)),0,VLOOKUP($U$555,'TAR FIN'!$A$1:$O$103,15,0))</f>
        <v>0</v>
      </c>
      <c r="Y555" s="53">
        <f ca="1">('TUSD BE'!$AM$20+'TUSD BF_350'!$AM$20+'TUSD CVA'!$AM$20)*1*(1-0.02)</f>
        <v>17.228399999999997</v>
      </c>
      <c r="Z555" s="53"/>
      <c r="AA555" s="53"/>
      <c r="AB555" s="6">
        <f>$K$555*$V$555</f>
        <v>441.15839999999997</v>
      </c>
      <c r="AC555" s="6">
        <f>$M$555*$W$555</f>
        <v>0</v>
      </c>
      <c r="AD555" s="6">
        <f>$O$555*$X$555</f>
        <v>0</v>
      </c>
      <c r="AE555" s="6">
        <f ca="1">$K$555*$Y$555</f>
        <v>637.45079999999984</v>
      </c>
      <c r="AF555" s="6">
        <f>$M$555*$Z$555</f>
        <v>0</v>
      </c>
      <c r="AG555" s="6">
        <f>$O$555*$AA$555</f>
        <v>0</v>
      </c>
    </row>
    <row r="556" spans="1:33" ht="11.25" customHeight="1" x14ac:dyDescent="0.25">
      <c r="A556" s="4" t="s">
        <v>21</v>
      </c>
      <c r="B556" s="4" t="s">
        <v>33</v>
      </c>
      <c r="C556" s="4" t="s">
        <v>34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44470</v>
      </c>
      <c r="J556" s="6">
        <v>37</v>
      </c>
      <c r="K556" s="53">
        <v>37</v>
      </c>
      <c r="L556" s="6">
        <v>0</v>
      </c>
      <c r="M556" s="53">
        <v>0</v>
      </c>
      <c r="N556" s="6">
        <v>0</v>
      </c>
      <c r="O556" s="53">
        <v>0</v>
      </c>
      <c r="P556" s="6">
        <v>2</v>
      </c>
      <c r="Q556" s="4" t="s">
        <v>26</v>
      </c>
      <c r="R556" s="4">
        <v>0</v>
      </c>
      <c r="S556" s="6">
        <v>18</v>
      </c>
      <c r="T556" s="6">
        <v>0</v>
      </c>
      <c r="U556" s="6">
        <v>0</v>
      </c>
      <c r="V556" s="53">
        <f>IF(ISERROR(VLOOKUP($S$556,'TAR FIN'!$A$1:$O$103,15,0)),0,VLOOKUP($S$556,'TAR FIN'!$A$1:$O$103,15,0))*(1-0.04)</f>
        <v>11.9232</v>
      </c>
      <c r="W556" s="53">
        <f>IF(ISERROR(VLOOKUP($T$556,'TAR FIN'!$A$1:$O$103,15,0)),0,VLOOKUP($T$556,'TAR FIN'!$A$1:$O$103,15,0))</f>
        <v>0</v>
      </c>
      <c r="X556" s="53">
        <f>IF(ISERROR(VLOOKUP($U$556,'TAR FIN'!$A$1:$O$103,15,0)),0,VLOOKUP($U$556,'TAR FIN'!$A$1:$O$103,15,0))</f>
        <v>0</v>
      </c>
      <c r="Y556" s="53">
        <f ca="1">('TUSD BE'!$AM$20+'TUSD BF_350'!$AM$20+'TUSD CVA'!$AM$20)*1*(1-0.02)</f>
        <v>17.228399999999997</v>
      </c>
      <c r="Z556" s="53"/>
      <c r="AA556" s="53"/>
      <c r="AB556" s="6">
        <f>$K$556*$V$556</f>
        <v>441.15839999999997</v>
      </c>
      <c r="AC556" s="6">
        <f>$M$556*$W$556</f>
        <v>0</v>
      </c>
      <c r="AD556" s="6">
        <f>$O$556*$X$556</f>
        <v>0</v>
      </c>
      <c r="AE556" s="6">
        <f ca="1">$K$556*$Y$556</f>
        <v>637.45079999999984</v>
      </c>
      <c r="AF556" s="6">
        <f>$M$556*$Z$556</f>
        <v>0</v>
      </c>
      <c r="AG556" s="6">
        <f>$O$556*$AA$556</f>
        <v>0</v>
      </c>
    </row>
    <row r="557" spans="1:33" ht="11.25" customHeight="1" x14ac:dyDescent="0.25">
      <c r="A557" s="4" t="s">
        <v>21</v>
      </c>
      <c r="B557" s="4" t="s">
        <v>33</v>
      </c>
      <c r="C557" s="4" t="s">
        <v>34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44501</v>
      </c>
      <c r="J557" s="6">
        <v>37</v>
      </c>
      <c r="K557" s="53">
        <v>37</v>
      </c>
      <c r="L557" s="6">
        <v>0</v>
      </c>
      <c r="M557" s="53">
        <v>0</v>
      </c>
      <c r="N557" s="6">
        <v>0</v>
      </c>
      <c r="O557" s="53">
        <v>0</v>
      </c>
      <c r="P557" s="6">
        <v>2</v>
      </c>
      <c r="Q557" s="4" t="s">
        <v>26</v>
      </c>
      <c r="R557" s="4">
        <v>0</v>
      </c>
      <c r="S557" s="6">
        <v>18</v>
      </c>
      <c r="T557" s="6">
        <v>0</v>
      </c>
      <c r="U557" s="6">
        <v>0</v>
      </c>
      <c r="V557" s="53">
        <f>IF(ISERROR(VLOOKUP($S$557,'TAR FIN'!$A$1:$O$103,15,0)),0,VLOOKUP($S$557,'TAR FIN'!$A$1:$O$103,15,0))*(1-0.04)</f>
        <v>11.9232</v>
      </c>
      <c r="W557" s="53">
        <f>IF(ISERROR(VLOOKUP($T$557,'TAR FIN'!$A$1:$O$103,15,0)),0,VLOOKUP($T$557,'TAR FIN'!$A$1:$O$103,15,0))</f>
        <v>0</v>
      </c>
      <c r="X557" s="53">
        <f>IF(ISERROR(VLOOKUP($U$557,'TAR FIN'!$A$1:$O$103,15,0)),0,VLOOKUP($U$557,'TAR FIN'!$A$1:$O$103,15,0))</f>
        <v>0</v>
      </c>
      <c r="Y557" s="53">
        <f ca="1">('TUSD BE'!$AM$20+'TUSD BF_350'!$AM$20+'TUSD CVA'!$AM$20)*1*(1-0.02)</f>
        <v>17.228399999999997</v>
      </c>
      <c r="Z557" s="53"/>
      <c r="AA557" s="53"/>
      <c r="AB557" s="6">
        <f>$K$557*$V$557</f>
        <v>441.15839999999997</v>
      </c>
      <c r="AC557" s="6">
        <f>$M$557*$W$557</f>
        <v>0</v>
      </c>
      <c r="AD557" s="6">
        <f>$O$557*$X$557</f>
        <v>0</v>
      </c>
      <c r="AE557" s="6">
        <f ca="1">$K$557*$Y$557</f>
        <v>637.45079999999984</v>
      </c>
      <c r="AF557" s="6">
        <f>$M$557*$Z$557</f>
        <v>0</v>
      </c>
      <c r="AG557" s="6">
        <f>$O$557*$AA$557</f>
        <v>0</v>
      </c>
    </row>
    <row r="558" spans="1:33" ht="11.25" customHeight="1" x14ac:dyDescent="0.25">
      <c r="A558" s="4" t="s">
        <v>21</v>
      </c>
      <c r="B558" s="4" t="s">
        <v>33</v>
      </c>
      <c r="C558" s="4" t="s">
        <v>34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44531</v>
      </c>
      <c r="J558" s="6">
        <v>37</v>
      </c>
      <c r="K558" s="53">
        <v>37</v>
      </c>
      <c r="L558" s="6">
        <v>0</v>
      </c>
      <c r="M558" s="53">
        <v>0</v>
      </c>
      <c r="N558" s="6">
        <v>0</v>
      </c>
      <c r="O558" s="53">
        <v>0</v>
      </c>
      <c r="P558" s="6">
        <v>2</v>
      </c>
      <c r="Q558" s="4" t="s">
        <v>26</v>
      </c>
      <c r="R558" s="4">
        <v>0</v>
      </c>
      <c r="S558" s="6">
        <v>18</v>
      </c>
      <c r="T558" s="6">
        <v>0</v>
      </c>
      <c r="U558" s="6">
        <v>0</v>
      </c>
      <c r="V558" s="53">
        <f>IF(ISERROR(VLOOKUP($S$558,'TAR FIN'!$A$1:$O$103,15,0)),0,VLOOKUP($S$558,'TAR FIN'!$A$1:$O$103,15,0))*(1-0.04)</f>
        <v>11.9232</v>
      </c>
      <c r="W558" s="53">
        <f>IF(ISERROR(VLOOKUP($T$558,'TAR FIN'!$A$1:$O$103,15,0)),0,VLOOKUP($T$558,'TAR FIN'!$A$1:$O$103,15,0))</f>
        <v>0</v>
      </c>
      <c r="X558" s="53">
        <f>IF(ISERROR(VLOOKUP($U$558,'TAR FIN'!$A$1:$O$103,15,0)),0,VLOOKUP($U$558,'TAR FIN'!$A$1:$O$103,15,0))</f>
        <v>0</v>
      </c>
      <c r="Y558" s="53">
        <f ca="1">('TUSD BE'!$AM$20+'TUSD BF_350'!$AM$20+'TUSD CVA'!$AM$20)*1*(1-0.02)</f>
        <v>17.228399999999997</v>
      </c>
      <c r="Z558" s="53"/>
      <c r="AA558" s="53"/>
      <c r="AB558" s="6">
        <f>$K$558*$V$558</f>
        <v>441.15839999999997</v>
      </c>
      <c r="AC558" s="6">
        <f>$M$558*$W$558</f>
        <v>0</v>
      </c>
      <c r="AD558" s="6">
        <f>$O$558*$X$558</f>
        <v>0</v>
      </c>
      <c r="AE558" s="6">
        <f ca="1">$K$558*$Y$558</f>
        <v>637.45079999999984</v>
      </c>
      <c r="AF558" s="6">
        <f>$M$558*$Z$558</f>
        <v>0</v>
      </c>
      <c r="AG558" s="6">
        <f>$O$558*$AA$558</f>
        <v>0</v>
      </c>
    </row>
    <row r="559" spans="1:33" ht="11.25" customHeight="1" x14ac:dyDescent="0.25">
      <c r="A559" s="4" t="s">
        <v>21</v>
      </c>
      <c r="B559" s="4" t="s">
        <v>33</v>
      </c>
      <c r="C559" s="4" t="s">
        <v>34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44593</v>
      </c>
      <c r="J559" s="6">
        <v>30</v>
      </c>
      <c r="K559" s="53">
        <v>30</v>
      </c>
      <c r="L559" s="6">
        <v>0</v>
      </c>
      <c r="M559" s="53">
        <v>0</v>
      </c>
      <c r="N559" s="6">
        <v>0</v>
      </c>
      <c r="O559" s="53">
        <v>0</v>
      </c>
      <c r="P559" s="6">
        <v>1</v>
      </c>
      <c r="Q559" s="4" t="s">
        <v>26</v>
      </c>
      <c r="R559" s="4">
        <v>0</v>
      </c>
      <c r="S559" s="6">
        <v>18</v>
      </c>
      <c r="T559" s="6">
        <v>0</v>
      </c>
      <c r="U559" s="6">
        <v>0</v>
      </c>
      <c r="V559" s="53">
        <f>IF(ISERROR(VLOOKUP($S$559,'TAR FIN'!$A$1:$O$103,15,0)),0,VLOOKUP($S$559,'TAR FIN'!$A$1:$O$103,15,0))*(1-0.04)</f>
        <v>11.9232</v>
      </c>
      <c r="W559" s="53">
        <f>IF(ISERROR(VLOOKUP($T$559,'TAR FIN'!$A$1:$O$103,15,0)),0,VLOOKUP($T$559,'TAR FIN'!$A$1:$O$103,15,0))</f>
        <v>0</v>
      </c>
      <c r="X559" s="53">
        <f>IF(ISERROR(VLOOKUP($U$559,'TAR FIN'!$A$1:$O$103,15,0)),0,VLOOKUP($U$559,'TAR FIN'!$A$1:$O$103,15,0))</f>
        <v>0</v>
      </c>
      <c r="Y559" s="53">
        <f ca="1">('TUSD BE'!$AM$20+'TUSD BF_350'!$AM$20+'TUSD CVA'!$AM$20)*1*(1-0.02)</f>
        <v>17.228399999999997</v>
      </c>
      <c r="Z559" s="53"/>
      <c r="AA559" s="53"/>
      <c r="AB559" s="6">
        <f>$K$559*$V$559</f>
        <v>357.69599999999997</v>
      </c>
      <c r="AC559" s="6">
        <f>$M$559*$W$559</f>
        <v>0</v>
      </c>
      <c r="AD559" s="6">
        <f>$O$559*$X$559</f>
        <v>0</v>
      </c>
      <c r="AE559" s="6">
        <f ca="1">$K$559*$Y$559</f>
        <v>516.85199999999986</v>
      </c>
      <c r="AF559" s="6">
        <f>$M$559*$Z$559</f>
        <v>0</v>
      </c>
      <c r="AG559" s="6">
        <f>$O$559*$AA$559</f>
        <v>0</v>
      </c>
    </row>
    <row r="560" spans="1:33" ht="11.25" customHeight="1" x14ac:dyDescent="0.25">
      <c r="A560" s="4" t="s">
        <v>21</v>
      </c>
      <c r="B560" s="4" t="s">
        <v>33</v>
      </c>
      <c r="C560" s="4" t="s">
        <v>34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44621</v>
      </c>
      <c r="J560" s="6">
        <v>30</v>
      </c>
      <c r="K560" s="53">
        <v>30</v>
      </c>
      <c r="L560" s="6">
        <v>0</v>
      </c>
      <c r="M560" s="53">
        <v>0</v>
      </c>
      <c r="N560" s="6">
        <v>0</v>
      </c>
      <c r="O560" s="53">
        <v>0</v>
      </c>
      <c r="P560" s="6">
        <v>1</v>
      </c>
      <c r="Q560" s="4" t="s">
        <v>26</v>
      </c>
      <c r="R560" s="4">
        <v>0</v>
      </c>
      <c r="S560" s="6">
        <v>18</v>
      </c>
      <c r="T560" s="6">
        <v>0</v>
      </c>
      <c r="U560" s="6">
        <v>0</v>
      </c>
      <c r="V560" s="53">
        <f>IF(ISERROR(VLOOKUP($S$560,'TAR FIN'!$A$1:$O$103,15,0)),0,VLOOKUP($S$560,'TAR FIN'!$A$1:$O$103,15,0))*(1-0.04)</f>
        <v>11.9232</v>
      </c>
      <c r="W560" s="53">
        <f>IF(ISERROR(VLOOKUP($T$560,'TAR FIN'!$A$1:$O$103,15,0)),0,VLOOKUP($T$560,'TAR FIN'!$A$1:$O$103,15,0))</f>
        <v>0</v>
      </c>
      <c r="X560" s="53">
        <f>IF(ISERROR(VLOOKUP($U$560,'TAR FIN'!$A$1:$O$103,15,0)),0,VLOOKUP($U$560,'TAR FIN'!$A$1:$O$103,15,0))</f>
        <v>0</v>
      </c>
      <c r="Y560" s="53">
        <f ca="1">('TUSD BE'!$AM$20+'TUSD BF_350'!$AM$20+'TUSD CVA'!$AM$20)*1*(1-0.02)</f>
        <v>17.228399999999997</v>
      </c>
      <c r="Z560" s="53"/>
      <c r="AA560" s="53"/>
      <c r="AB560" s="6">
        <f>$K$560*$V$560</f>
        <v>357.69599999999997</v>
      </c>
      <c r="AC560" s="6">
        <f>$M$560*$W$560</f>
        <v>0</v>
      </c>
      <c r="AD560" s="6">
        <f>$O$560*$X$560</f>
        <v>0</v>
      </c>
      <c r="AE560" s="6">
        <f ca="1">$K$560*$Y$560</f>
        <v>516.85199999999986</v>
      </c>
      <c r="AF560" s="6">
        <f>$M$560*$Z$560</f>
        <v>0</v>
      </c>
      <c r="AG560" s="6">
        <f>$O$560*$AA$560</f>
        <v>0</v>
      </c>
    </row>
    <row r="561" spans="1:33" ht="11.25" customHeight="1" x14ac:dyDescent="0.25">
      <c r="A561" s="4" t="s">
        <v>21</v>
      </c>
      <c r="B561" s="4" t="s">
        <v>33</v>
      </c>
      <c r="C561" s="4" t="s">
        <v>34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44652</v>
      </c>
      <c r="J561" s="6">
        <v>30</v>
      </c>
      <c r="K561" s="53">
        <v>30</v>
      </c>
      <c r="L561" s="6">
        <v>0</v>
      </c>
      <c r="M561" s="53">
        <v>0</v>
      </c>
      <c r="N561" s="6">
        <v>0</v>
      </c>
      <c r="O561" s="53">
        <v>0</v>
      </c>
      <c r="P561" s="6">
        <v>1</v>
      </c>
      <c r="Q561" s="4" t="s">
        <v>26</v>
      </c>
      <c r="R561" s="4">
        <v>0</v>
      </c>
      <c r="S561" s="6">
        <v>18</v>
      </c>
      <c r="T561" s="6">
        <v>0</v>
      </c>
      <c r="U561" s="6">
        <v>0</v>
      </c>
      <c r="V561" s="53">
        <f>IF(ISERROR(VLOOKUP($S$561,'TAR FIN'!$A$1:$O$103,15,0)),0,VLOOKUP($S$561,'TAR FIN'!$A$1:$O$103,15,0))*(1-0.04)</f>
        <v>11.9232</v>
      </c>
      <c r="W561" s="53">
        <f>IF(ISERROR(VLOOKUP($T$561,'TAR FIN'!$A$1:$O$103,15,0)),0,VLOOKUP($T$561,'TAR FIN'!$A$1:$O$103,15,0))</f>
        <v>0</v>
      </c>
      <c r="X561" s="53">
        <f>IF(ISERROR(VLOOKUP($U$561,'TAR FIN'!$A$1:$O$103,15,0)),0,VLOOKUP($U$561,'TAR FIN'!$A$1:$O$103,15,0))</f>
        <v>0</v>
      </c>
      <c r="Y561" s="53">
        <f ca="1">('TUSD BE'!$AM$20+'TUSD BF_350'!$AM$20+'TUSD CVA'!$AM$20)*1*(1-0.02)</f>
        <v>17.228399999999997</v>
      </c>
      <c r="Z561" s="53"/>
      <c r="AA561" s="53"/>
      <c r="AB561" s="6">
        <f>$K$561*$V$561</f>
        <v>357.69599999999997</v>
      </c>
      <c r="AC561" s="6">
        <f>$M$561*$W$561</f>
        <v>0</v>
      </c>
      <c r="AD561" s="6">
        <f>$O$561*$X$561</f>
        <v>0</v>
      </c>
      <c r="AE561" s="6">
        <f ca="1">$K$561*$Y$561</f>
        <v>516.85199999999986</v>
      </c>
      <c r="AF561" s="6">
        <f>$M$561*$Z$561</f>
        <v>0</v>
      </c>
      <c r="AG561" s="6">
        <f>$O$561*$AA$561</f>
        <v>0</v>
      </c>
    </row>
    <row r="562" spans="1:33" ht="11.25" customHeight="1" x14ac:dyDescent="0.25">
      <c r="A562" s="4" t="s">
        <v>21</v>
      </c>
      <c r="B562" s="4" t="s">
        <v>33</v>
      </c>
      <c r="C562" s="4" t="s">
        <v>34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30</v>
      </c>
      <c r="K562" s="53">
        <v>30</v>
      </c>
      <c r="L562" s="6">
        <v>0</v>
      </c>
      <c r="M562" s="53">
        <v>0</v>
      </c>
      <c r="N562" s="6">
        <v>0</v>
      </c>
      <c r="O562" s="53">
        <v>0</v>
      </c>
      <c r="P562" s="6">
        <v>1</v>
      </c>
      <c r="Q562" s="4" t="s">
        <v>26</v>
      </c>
      <c r="R562" s="4">
        <v>0</v>
      </c>
      <c r="S562" s="6">
        <v>18</v>
      </c>
      <c r="T562" s="6">
        <v>0</v>
      </c>
      <c r="U562" s="6">
        <v>0</v>
      </c>
      <c r="V562" s="53">
        <f>IF(ISERROR(VLOOKUP($S$562,'TAR FIN'!$A$1:$O$103,15,0)),0,VLOOKUP($S$562,'TAR FIN'!$A$1:$O$103,15,0))*(1-0.04)</f>
        <v>11.9232</v>
      </c>
      <c r="W562" s="53">
        <f>IF(ISERROR(VLOOKUP($T$562,'TAR FIN'!$A$1:$O$103,15,0)),0,VLOOKUP($T$562,'TAR FIN'!$A$1:$O$103,15,0))</f>
        <v>0</v>
      </c>
      <c r="X562" s="53">
        <f>IF(ISERROR(VLOOKUP($U$562,'TAR FIN'!$A$1:$O$103,15,0)),0,VLOOKUP($U$562,'TAR FIN'!$A$1:$O$103,15,0))</f>
        <v>0</v>
      </c>
      <c r="Y562" s="53">
        <f ca="1">('TUSD BE'!$AM$20+'TUSD BF_350'!$AM$20+'TUSD CVA'!$AM$20)*1*(1-0.02)</f>
        <v>17.228399999999997</v>
      </c>
      <c r="Z562" s="53"/>
      <c r="AA562" s="53"/>
      <c r="AB562" s="6">
        <f>$K$562*$V$562</f>
        <v>357.69599999999997</v>
      </c>
      <c r="AC562" s="6">
        <f>$M$562*$W$562</f>
        <v>0</v>
      </c>
      <c r="AD562" s="6">
        <f>$O$562*$X$562</f>
        <v>0</v>
      </c>
      <c r="AE562" s="6">
        <f ca="1">$K$562*$Y$562</f>
        <v>516.85199999999986</v>
      </c>
      <c r="AF562" s="6">
        <f>$M$562*$Z$562</f>
        <v>0</v>
      </c>
      <c r="AG562" s="6">
        <f>$O$562*$AA$562</f>
        <v>0</v>
      </c>
    </row>
    <row r="563" spans="1:33" ht="11.25" customHeight="1" x14ac:dyDescent="0.25">
      <c r="A563" s="4" t="s">
        <v>21</v>
      </c>
      <c r="B563" s="4" t="s">
        <v>33</v>
      </c>
      <c r="C563" s="4" t="s">
        <v>34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37</v>
      </c>
      <c r="I563" s="5">
        <v>44348</v>
      </c>
      <c r="J563" s="6">
        <v>0</v>
      </c>
      <c r="K563" s="53">
        <v>0</v>
      </c>
      <c r="L563" s="6">
        <v>0.33300000000000002</v>
      </c>
      <c r="M563" s="53">
        <v>0.33300000000000002</v>
      </c>
      <c r="N563" s="6">
        <v>0.33300000000000002</v>
      </c>
      <c r="O563" s="53">
        <v>0.33300000000000002</v>
      </c>
      <c r="P563" s="6">
        <v>0</v>
      </c>
      <c r="Q563" s="4" t="s">
        <v>26</v>
      </c>
      <c r="R563" s="4">
        <v>0</v>
      </c>
      <c r="S563" s="6">
        <v>0</v>
      </c>
      <c r="T563" s="6">
        <v>19</v>
      </c>
      <c r="U563" s="6">
        <v>65</v>
      </c>
      <c r="V563" s="53">
        <f>IF(ISERROR(VLOOKUP($S$563,'TAR FIN'!$A$1:$O$103,15,0)),0,VLOOKUP($S$563,'TAR FIN'!$A$1:$O$103,15,0))</f>
        <v>0</v>
      </c>
      <c r="W563" s="53">
        <f>IF(ISERROR(VLOOKUP($T$563,'TAR FIN'!$A$1:$O$103,15,0)),0,VLOOKUP($T$563,'TAR FIN'!$A$1:$O$103,15,0))*(1-0.04)</f>
        <v>808.61759999999992</v>
      </c>
      <c r="X563" s="53">
        <f>IF(ISERROR(VLOOKUP($U$563,'TAR FIN'!$A$1:$O$103,15,0)),0,VLOOKUP($U$563,'TAR FIN'!$A$1:$O$103,15,0))*(1-0.04)</f>
        <v>436.70399999999995</v>
      </c>
      <c r="Y563" s="53"/>
      <c r="Z563" s="53">
        <f ca="1">('TUSD BE'!$AM$21+'TUSD BF_350'!$AM$21+'TUSD CVA'!$AM$21)*1*(1-0.02)</f>
        <v>1006.9108</v>
      </c>
      <c r="AA563" s="53">
        <f ca="1">('TE BE'!$AB$8+'TE BF_350'!$AB$8+'TE CVA'!$AB$8)*1*(1-0.02)</f>
        <v>380.31840000000005</v>
      </c>
      <c r="AB563" s="6">
        <f>$K$563*$V$563</f>
        <v>0</v>
      </c>
      <c r="AC563" s="6">
        <f>$M$563*$W$563</f>
        <v>269.2696608</v>
      </c>
      <c r="AD563" s="6">
        <f>$O$563*$X$563</f>
        <v>145.42243199999999</v>
      </c>
      <c r="AE563" s="6">
        <f>$K$563*$Y$563</f>
        <v>0</v>
      </c>
      <c r="AF563" s="6">
        <f ca="1">$M$563*$Z$563</f>
        <v>335.30129640000001</v>
      </c>
      <c r="AG563" s="6">
        <f ca="1">$O$563*$AA$563</f>
        <v>126.64602720000002</v>
      </c>
    </row>
    <row r="564" spans="1:33" ht="11.25" customHeight="1" x14ac:dyDescent="0.25">
      <c r="A564" s="4" t="s">
        <v>21</v>
      </c>
      <c r="B564" s="4" t="s">
        <v>33</v>
      </c>
      <c r="C564" s="4" t="s">
        <v>34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37</v>
      </c>
      <c r="I564" s="5">
        <v>44378</v>
      </c>
      <c r="J564" s="6">
        <v>0</v>
      </c>
      <c r="K564" s="53">
        <v>0</v>
      </c>
      <c r="L564" s="6">
        <v>0.39800000000000002</v>
      </c>
      <c r="M564" s="53">
        <v>0.39800000000000002</v>
      </c>
      <c r="N564" s="6">
        <v>0.39800000000000002</v>
      </c>
      <c r="O564" s="53">
        <v>0.39800000000000002</v>
      </c>
      <c r="P564" s="6">
        <v>0</v>
      </c>
      <c r="Q564" s="4" t="s">
        <v>26</v>
      </c>
      <c r="R564" s="4">
        <v>0</v>
      </c>
      <c r="S564" s="6">
        <v>0</v>
      </c>
      <c r="T564" s="6">
        <v>19</v>
      </c>
      <c r="U564" s="6">
        <v>65</v>
      </c>
      <c r="V564" s="53">
        <f>IF(ISERROR(VLOOKUP($S$564,'TAR FIN'!$A$1:$O$103,15,0)),0,VLOOKUP($S$564,'TAR FIN'!$A$1:$O$103,15,0))</f>
        <v>0</v>
      </c>
      <c r="W564" s="53">
        <f>IF(ISERROR(VLOOKUP($T$564,'TAR FIN'!$A$1:$O$103,15,0)),0,VLOOKUP($T$564,'TAR FIN'!$A$1:$O$103,15,0))*(1-0.04)</f>
        <v>808.61759999999992</v>
      </c>
      <c r="X564" s="53">
        <f>IF(ISERROR(VLOOKUP($U$564,'TAR FIN'!$A$1:$O$103,15,0)),0,VLOOKUP($U$564,'TAR FIN'!$A$1:$O$103,15,0))*(1-0.04)</f>
        <v>436.70399999999995</v>
      </c>
      <c r="Y564" s="53"/>
      <c r="Z564" s="53">
        <f ca="1">('TUSD BE'!$AM$21+'TUSD BF_350'!$AM$21+'TUSD CVA'!$AM$21)*1*(1-0.02)</f>
        <v>1006.9108</v>
      </c>
      <c r="AA564" s="53">
        <f ca="1">('TE BE'!$AB$8+'TE BF_350'!$AB$8+'TE CVA'!$AB$8)*1*(1-0.02)</f>
        <v>380.31840000000005</v>
      </c>
      <c r="AB564" s="6">
        <f>$K$564*$V$564</f>
        <v>0</v>
      </c>
      <c r="AC564" s="6">
        <f>$M$564*$W$564</f>
        <v>321.82980479999998</v>
      </c>
      <c r="AD564" s="6">
        <f>$O$564*$X$564</f>
        <v>173.80819199999999</v>
      </c>
      <c r="AE564" s="6">
        <f>$K$564*$Y$564</f>
        <v>0</v>
      </c>
      <c r="AF564" s="6">
        <f ca="1">$M$564*$Z$564</f>
        <v>400.75049840000003</v>
      </c>
      <c r="AG564" s="6">
        <f ca="1">$O$564*$AA$564</f>
        <v>151.36672320000002</v>
      </c>
    </row>
    <row r="565" spans="1:33" ht="11.25" customHeight="1" x14ac:dyDescent="0.25">
      <c r="A565" s="4" t="s">
        <v>21</v>
      </c>
      <c r="B565" s="4" t="s">
        <v>33</v>
      </c>
      <c r="C565" s="4" t="s">
        <v>34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37</v>
      </c>
      <c r="I565" s="5">
        <v>44409</v>
      </c>
      <c r="J565" s="6">
        <v>0</v>
      </c>
      <c r="K565" s="53">
        <v>0</v>
      </c>
      <c r="L565" s="6">
        <v>0.35799999999999998</v>
      </c>
      <c r="M565" s="53">
        <v>0.35799999999999998</v>
      </c>
      <c r="N565" s="6">
        <v>0.35799999999999998</v>
      </c>
      <c r="O565" s="53">
        <v>0.35799999999999998</v>
      </c>
      <c r="P565" s="6">
        <v>0</v>
      </c>
      <c r="Q565" s="4" t="s">
        <v>26</v>
      </c>
      <c r="R565" s="4">
        <v>0</v>
      </c>
      <c r="S565" s="6">
        <v>0</v>
      </c>
      <c r="T565" s="6">
        <v>19</v>
      </c>
      <c r="U565" s="6">
        <v>65</v>
      </c>
      <c r="V565" s="53">
        <f>IF(ISERROR(VLOOKUP($S$565,'TAR FIN'!$A$1:$O$103,15,0)),0,VLOOKUP($S$565,'TAR FIN'!$A$1:$O$103,15,0))</f>
        <v>0</v>
      </c>
      <c r="W565" s="53">
        <f>IF(ISERROR(VLOOKUP($T$565,'TAR FIN'!$A$1:$O$103,15,0)),0,VLOOKUP($T$565,'TAR FIN'!$A$1:$O$103,15,0))*(1-0.04)</f>
        <v>808.61759999999992</v>
      </c>
      <c r="X565" s="53">
        <f>IF(ISERROR(VLOOKUP($U$565,'TAR FIN'!$A$1:$O$103,15,0)),0,VLOOKUP($U$565,'TAR FIN'!$A$1:$O$103,15,0))*(1-0.04)</f>
        <v>436.70399999999995</v>
      </c>
      <c r="Y565" s="53"/>
      <c r="Z565" s="53">
        <f ca="1">('TUSD BE'!$AM$21+'TUSD BF_350'!$AM$21+'TUSD CVA'!$AM$21)*1*(1-0.02)</f>
        <v>1006.9108</v>
      </c>
      <c r="AA565" s="53">
        <f ca="1">('TE BE'!$AB$8+'TE BF_350'!$AB$8+'TE CVA'!$AB$8)*1*(1-0.02)</f>
        <v>380.31840000000005</v>
      </c>
      <c r="AB565" s="6">
        <f>$K$565*$V$565</f>
        <v>0</v>
      </c>
      <c r="AC565" s="6">
        <f>$M$565*$W$565</f>
        <v>289.48510079999994</v>
      </c>
      <c r="AD565" s="6">
        <f>$O$565*$X$565</f>
        <v>156.34003199999998</v>
      </c>
      <c r="AE565" s="6">
        <f>$K$565*$Y$565</f>
        <v>0</v>
      </c>
      <c r="AF565" s="6">
        <f ca="1">$M$565*$Z$565</f>
        <v>360.47406639999997</v>
      </c>
      <c r="AG565" s="6">
        <f ca="1">$O$565*$AA$565</f>
        <v>136.15398720000002</v>
      </c>
    </row>
    <row r="566" spans="1:33" ht="11.25" customHeight="1" x14ac:dyDescent="0.25">
      <c r="A566" s="4" t="s">
        <v>21</v>
      </c>
      <c r="B566" s="4" t="s">
        <v>33</v>
      </c>
      <c r="C566" s="4" t="s">
        <v>34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37</v>
      </c>
      <c r="I566" s="5">
        <v>44440</v>
      </c>
      <c r="J566" s="6">
        <v>0</v>
      </c>
      <c r="K566" s="53">
        <v>0</v>
      </c>
      <c r="L566" s="6">
        <v>0.371</v>
      </c>
      <c r="M566" s="53">
        <v>0.371</v>
      </c>
      <c r="N566" s="6">
        <v>0.371</v>
      </c>
      <c r="O566" s="53">
        <v>0.371</v>
      </c>
      <c r="P566" s="6">
        <v>0</v>
      </c>
      <c r="Q566" s="4" t="s">
        <v>26</v>
      </c>
      <c r="R566" s="4">
        <v>0</v>
      </c>
      <c r="S566" s="6">
        <v>0</v>
      </c>
      <c r="T566" s="6">
        <v>19</v>
      </c>
      <c r="U566" s="6">
        <v>65</v>
      </c>
      <c r="V566" s="53">
        <f>IF(ISERROR(VLOOKUP($S$566,'TAR FIN'!$A$1:$O$103,15,0)),0,VLOOKUP($S$566,'TAR FIN'!$A$1:$O$103,15,0))</f>
        <v>0</v>
      </c>
      <c r="W566" s="53">
        <f>IF(ISERROR(VLOOKUP($T$566,'TAR FIN'!$A$1:$O$103,15,0)),0,VLOOKUP($T$566,'TAR FIN'!$A$1:$O$103,15,0))*(1-0.04)</f>
        <v>808.61759999999992</v>
      </c>
      <c r="X566" s="53">
        <f>IF(ISERROR(VLOOKUP($U$566,'TAR FIN'!$A$1:$O$103,15,0)),0,VLOOKUP($U$566,'TAR FIN'!$A$1:$O$103,15,0))*(1-0.04)</f>
        <v>436.70399999999995</v>
      </c>
      <c r="Y566" s="53"/>
      <c r="Z566" s="53">
        <f ca="1">('TUSD BE'!$AM$21+'TUSD BF_350'!$AM$21+'TUSD CVA'!$AM$21)*1*(1-0.02)</f>
        <v>1006.9108</v>
      </c>
      <c r="AA566" s="53">
        <f ca="1">('TE BE'!$AB$8+'TE BF_350'!$AB$8+'TE CVA'!$AB$8)*1*(1-0.02)</f>
        <v>380.31840000000005</v>
      </c>
      <c r="AB566" s="6">
        <f>$K$566*$V$566</f>
        <v>0</v>
      </c>
      <c r="AC566" s="6">
        <f>$M$566*$W$566</f>
        <v>299.99712959999999</v>
      </c>
      <c r="AD566" s="6">
        <f>$O$566*$X$566</f>
        <v>162.01718399999999</v>
      </c>
      <c r="AE566" s="6">
        <f>$K$566*$Y$566</f>
        <v>0</v>
      </c>
      <c r="AF566" s="6">
        <f ca="1">$M$566*$Z$566</f>
        <v>373.56390679999998</v>
      </c>
      <c r="AG566" s="6">
        <f ca="1">$O$566*$AA$566</f>
        <v>141.09812640000001</v>
      </c>
    </row>
    <row r="567" spans="1:33" ht="11.25" customHeight="1" x14ac:dyDescent="0.25">
      <c r="A567" s="4" t="s">
        <v>21</v>
      </c>
      <c r="B567" s="4" t="s">
        <v>33</v>
      </c>
      <c r="C567" s="4" t="s">
        <v>34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37</v>
      </c>
      <c r="I567" s="5">
        <v>44470</v>
      </c>
      <c r="J567" s="6">
        <v>0</v>
      </c>
      <c r="K567" s="53">
        <v>0</v>
      </c>
      <c r="L567" s="6">
        <v>0.34499999999999997</v>
      </c>
      <c r="M567" s="53">
        <v>0.34499999999999997</v>
      </c>
      <c r="N567" s="6">
        <v>0.34499999999999997</v>
      </c>
      <c r="O567" s="53">
        <v>0.34499999999999997</v>
      </c>
      <c r="P567" s="6">
        <v>0</v>
      </c>
      <c r="Q567" s="4" t="s">
        <v>26</v>
      </c>
      <c r="R567" s="4">
        <v>0</v>
      </c>
      <c r="S567" s="6">
        <v>0</v>
      </c>
      <c r="T567" s="6">
        <v>19</v>
      </c>
      <c r="U567" s="6">
        <v>65</v>
      </c>
      <c r="V567" s="53">
        <f>IF(ISERROR(VLOOKUP($S$567,'TAR FIN'!$A$1:$O$103,15,0)),0,VLOOKUP($S$567,'TAR FIN'!$A$1:$O$103,15,0))</f>
        <v>0</v>
      </c>
      <c r="W567" s="53">
        <f>IF(ISERROR(VLOOKUP($T$567,'TAR FIN'!$A$1:$O$103,15,0)),0,VLOOKUP($T$567,'TAR FIN'!$A$1:$O$103,15,0))*(1-0.04)</f>
        <v>808.61759999999992</v>
      </c>
      <c r="X567" s="53">
        <f>IF(ISERROR(VLOOKUP($U$567,'TAR FIN'!$A$1:$O$103,15,0)),0,VLOOKUP($U$567,'TAR FIN'!$A$1:$O$103,15,0))*(1-0.04)</f>
        <v>436.70399999999995</v>
      </c>
      <c r="Y567" s="53"/>
      <c r="Z567" s="53">
        <f ca="1">('TUSD BE'!$AM$21+'TUSD BF_350'!$AM$21+'TUSD CVA'!$AM$21)*1*(1-0.02)</f>
        <v>1006.9108</v>
      </c>
      <c r="AA567" s="53">
        <f ca="1">('TE BE'!$AB$8+'TE BF_350'!$AB$8+'TE CVA'!$AB$8)*1*(1-0.02)</f>
        <v>380.31840000000005</v>
      </c>
      <c r="AB567" s="6">
        <f>$K$567*$V$567</f>
        <v>0</v>
      </c>
      <c r="AC567" s="6">
        <f>$M$567*$W$567</f>
        <v>278.97307199999995</v>
      </c>
      <c r="AD567" s="6">
        <f>$O$567*$X$567</f>
        <v>150.66287999999997</v>
      </c>
      <c r="AE567" s="6">
        <f>$K$567*$Y$567</f>
        <v>0</v>
      </c>
      <c r="AF567" s="6">
        <f ca="1">$M$567*$Z$567</f>
        <v>347.38422599999996</v>
      </c>
      <c r="AG567" s="6">
        <f ca="1">$O$567*$AA$567</f>
        <v>131.20984800000002</v>
      </c>
    </row>
    <row r="568" spans="1:33" ht="11.25" customHeight="1" x14ac:dyDescent="0.25">
      <c r="A568" s="4" t="s">
        <v>21</v>
      </c>
      <c r="B568" s="4" t="s">
        <v>33</v>
      </c>
      <c r="C568" s="4" t="s">
        <v>34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37</v>
      </c>
      <c r="I568" s="5">
        <v>44501</v>
      </c>
      <c r="J568" s="6">
        <v>0</v>
      </c>
      <c r="K568" s="53">
        <v>0</v>
      </c>
      <c r="L568" s="6">
        <v>0.34399999999999997</v>
      </c>
      <c r="M568" s="53">
        <v>0.34399999999999997</v>
      </c>
      <c r="N568" s="6">
        <v>0.34399999999999997</v>
      </c>
      <c r="O568" s="53">
        <v>0.34399999999999997</v>
      </c>
      <c r="P568" s="6">
        <v>0</v>
      </c>
      <c r="Q568" s="4" t="s">
        <v>26</v>
      </c>
      <c r="R568" s="4">
        <v>0</v>
      </c>
      <c r="S568" s="6">
        <v>0</v>
      </c>
      <c r="T568" s="6">
        <v>19</v>
      </c>
      <c r="U568" s="6">
        <v>65</v>
      </c>
      <c r="V568" s="53">
        <f>IF(ISERROR(VLOOKUP($S$568,'TAR FIN'!$A$1:$O$103,15,0)),0,VLOOKUP($S$568,'TAR FIN'!$A$1:$O$103,15,0))</f>
        <v>0</v>
      </c>
      <c r="W568" s="53">
        <f>IF(ISERROR(VLOOKUP($T$568,'TAR FIN'!$A$1:$O$103,15,0)),0,VLOOKUP($T$568,'TAR FIN'!$A$1:$O$103,15,0))*(1-0.04)</f>
        <v>808.61759999999992</v>
      </c>
      <c r="X568" s="53">
        <f>IF(ISERROR(VLOOKUP($U$568,'TAR FIN'!$A$1:$O$103,15,0)),0,VLOOKUP($U$568,'TAR FIN'!$A$1:$O$103,15,0))*(1-0.04)</f>
        <v>436.70399999999995</v>
      </c>
      <c r="Y568" s="53"/>
      <c r="Z568" s="53">
        <f ca="1">('TUSD BE'!$AM$21+'TUSD BF_350'!$AM$21+'TUSD CVA'!$AM$21)*1*(1-0.02)</f>
        <v>1006.9108</v>
      </c>
      <c r="AA568" s="53">
        <f ca="1">('TE BE'!$AB$8+'TE BF_350'!$AB$8+'TE CVA'!$AB$8)*1*(1-0.02)</f>
        <v>380.31840000000005</v>
      </c>
      <c r="AB568" s="6">
        <f>$K$568*$V$568</f>
        <v>0</v>
      </c>
      <c r="AC568" s="6">
        <f>$M$568*$W$568</f>
        <v>278.16445439999995</v>
      </c>
      <c r="AD568" s="6">
        <f>$O$568*$X$568</f>
        <v>150.22617599999998</v>
      </c>
      <c r="AE568" s="6">
        <f>$K$568*$Y$568</f>
        <v>0</v>
      </c>
      <c r="AF568" s="6">
        <f ca="1">$M$568*$Z$568</f>
        <v>346.3773152</v>
      </c>
      <c r="AG568" s="6">
        <f ca="1">$O$568*$AA$568</f>
        <v>130.8295296</v>
      </c>
    </row>
    <row r="569" spans="1:33" ht="11.25" customHeight="1" x14ac:dyDescent="0.25">
      <c r="A569" s="4" t="s">
        <v>21</v>
      </c>
      <c r="B569" s="4" t="s">
        <v>33</v>
      </c>
      <c r="C569" s="4" t="s">
        <v>34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37</v>
      </c>
      <c r="I569" s="5">
        <v>44531</v>
      </c>
      <c r="J569" s="6">
        <v>0</v>
      </c>
      <c r="K569" s="53">
        <v>0</v>
      </c>
      <c r="L569" s="6">
        <v>0.31</v>
      </c>
      <c r="M569" s="53">
        <v>0.31</v>
      </c>
      <c r="N569" s="6">
        <v>0.31</v>
      </c>
      <c r="O569" s="53">
        <v>0.31</v>
      </c>
      <c r="P569" s="6">
        <v>0</v>
      </c>
      <c r="Q569" s="4" t="s">
        <v>26</v>
      </c>
      <c r="R569" s="4">
        <v>0</v>
      </c>
      <c r="S569" s="6">
        <v>0</v>
      </c>
      <c r="T569" s="6">
        <v>19</v>
      </c>
      <c r="U569" s="6">
        <v>65</v>
      </c>
      <c r="V569" s="53">
        <f>IF(ISERROR(VLOOKUP($S$569,'TAR FIN'!$A$1:$O$103,15,0)),0,VLOOKUP($S$569,'TAR FIN'!$A$1:$O$103,15,0))</f>
        <v>0</v>
      </c>
      <c r="W569" s="53">
        <f>IF(ISERROR(VLOOKUP($T$569,'TAR FIN'!$A$1:$O$103,15,0)),0,VLOOKUP($T$569,'TAR FIN'!$A$1:$O$103,15,0))*(1-0.04)</f>
        <v>808.61759999999992</v>
      </c>
      <c r="X569" s="53">
        <f>IF(ISERROR(VLOOKUP($U$569,'TAR FIN'!$A$1:$O$103,15,0)),0,VLOOKUP($U$569,'TAR FIN'!$A$1:$O$103,15,0))*(1-0.04)</f>
        <v>436.70399999999995</v>
      </c>
      <c r="Y569" s="53"/>
      <c r="Z569" s="53">
        <f ca="1">('TUSD BE'!$AM$21+'TUSD BF_350'!$AM$21+'TUSD CVA'!$AM$21)*1*(1-0.02)</f>
        <v>1006.9108</v>
      </c>
      <c r="AA569" s="53">
        <f ca="1">('TE BE'!$AB$8+'TE BF_350'!$AB$8+'TE CVA'!$AB$8)*1*(1-0.02)</f>
        <v>380.31840000000005</v>
      </c>
      <c r="AB569" s="6">
        <f>$K$569*$V$569</f>
        <v>0</v>
      </c>
      <c r="AC569" s="6">
        <f>$M$569*$W$569</f>
        <v>250.67145599999998</v>
      </c>
      <c r="AD569" s="6">
        <f>$O$569*$X$569</f>
        <v>135.37823999999998</v>
      </c>
      <c r="AE569" s="6">
        <f>$K$569*$Y$569</f>
        <v>0</v>
      </c>
      <c r="AF569" s="6">
        <f ca="1">$M$569*$Z$569</f>
        <v>312.14234799999997</v>
      </c>
      <c r="AG569" s="6">
        <f ca="1">$O$569*$AA$569</f>
        <v>117.89870400000001</v>
      </c>
    </row>
    <row r="570" spans="1:33" ht="11.25" customHeight="1" x14ac:dyDescent="0.25">
      <c r="A570" s="4" t="s">
        <v>21</v>
      </c>
      <c r="B570" s="4" t="s">
        <v>33</v>
      </c>
      <c r="C570" s="4" t="s">
        <v>34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37</v>
      </c>
      <c r="I570" s="5">
        <v>44593</v>
      </c>
      <c r="J570" s="6">
        <v>0</v>
      </c>
      <c r="K570" s="53">
        <v>0</v>
      </c>
      <c r="L570" s="6">
        <v>0.49299999999999999</v>
      </c>
      <c r="M570" s="53">
        <v>0.49299999999999999</v>
      </c>
      <c r="N570" s="6">
        <v>0.49299999999999999</v>
      </c>
      <c r="O570" s="53">
        <v>0.49299999999999999</v>
      </c>
      <c r="P570" s="6">
        <v>0</v>
      </c>
      <c r="Q570" s="4" t="s">
        <v>26</v>
      </c>
      <c r="R570" s="4">
        <v>0</v>
      </c>
      <c r="S570" s="6">
        <v>0</v>
      </c>
      <c r="T570" s="6">
        <v>19</v>
      </c>
      <c r="U570" s="6">
        <v>65</v>
      </c>
      <c r="V570" s="53">
        <f>IF(ISERROR(VLOOKUP($S$570,'TAR FIN'!$A$1:$O$103,15,0)),0,VLOOKUP($S$570,'TAR FIN'!$A$1:$O$103,15,0))</f>
        <v>0</v>
      </c>
      <c r="W570" s="53">
        <f>IF(ISERROR(VLOOKUP($T$570,'TAR FIN'!$A$1:$O$103,15,0)),0,VLOOKUP($T$570,'TAR FIN'!$A$1:$O$103,15,0))*(1-0.04)</f>
        <v>808.61759999999992</v>
      </c>
      <c r="X570" s="53">
        <f>IF(ISERROR(VLOOKUP($U$570,'TAR FIN'!$A$1:$O$103,15,0)),0,VLOOKUP($U$570,'TAR FIN'!$A$1:$O$103,15,0))*(1-0.04)</f>
        <v>436.70399999999995</v>
      </c>
      <c r="Y570" s="53"/>
      <c r="Z570" s="53">
        <f ca="1">('TUSD BE'!$AM$21+'TUSD BF_350'!$AM$21+'TUSD CVA'!$AM$21)*1*(1-0.02)</f>
        <v>1006.9108</v>
      </c>
      <c r="AA570" s="53">
        <f ca="1">('TE BE'!$AB$8+'TE BF_350'!$AB$8+'TE CVA'!$AB$8)*1*(1-0.02)</f>
        <v>380.31840000000005</v>
      </c>
      <c r="AB570" s="6">
        <f>$K$570*$V$570</f>
        <v>0</v>
      </c>
      <c r="AC570" s="6">
        <f>$M$570*$W$570</f>
        <v>398.64847679999997</v>
      </c>
      <c r="AD570" s="6">
        <f>$O$570*$X$570</f>
        <v>215.29507199999998</v>
      </c>
      <c r="AE570" s="6">
        <f>$K$570*$Y$570</f>
        <v>0</v>
      </c>
      <c r="AF570" s="6">
        <f ca="1">$M$570*$Z$570</f>
        <v>496.40702440000001</v>
      </c>
      <c r="AG570" s="6">
        <f ca="1">$O$570*$AA$570</f>
        <v>187.49697120000002</v>
      </c>
    </row>
    <row r="571" spans="1:33" ht="11.25" customHeight="1" x14ac:dyDescent="0.25">
      <c r="A571" s="4" t="s">
        <v>21</v>
      </c>
      <c r="B571" s="4" t="s">
        <v>33</v>
      </c>
      <c r="C571" s="4" t="s">
        <v>34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37</v>
      </c>
      <c r="I571" s="5">
        <v>44621</v>
      </c>
      <c r="J571" s="6">
        <v>0</v>
      </c>
      <c r="K571" s="53">
        <v>0</v>
      </c>
      <c r="L571" s="6">
        <v>0.34200000000000003</v>
      </c>
      <c r="M571" s="53">
        <v>0.34200000000000003</v>
      </c>
      <c r="N571" s="6">
        <v>0.34200000000000003</v>
      </c>
      <c r="O571" s="53">
        <v>0.34200000000000003</v>
      </c>
      <c r="P571" s="6">
        <v>0</v>
      </c>
      <c r="Q571" s="4" t="s">
        <v>26</v>
      </c>
      <c r="R571" s="4">
        <v>0</v>
      </c>
      <c r="S571" s="6">
        <v>0</v>
      </c>
      <c r="T571" s="6">
        <v>19</v>
      </c>
      <c r="U571" s="6">
        <v>65</v>
      </c>
      <c r="V571" s="53">
        <f>IF(ISERROR(VLOOKUP($S$571,'TAR FIN'!$A$1:$O$103,15,0)),0,VLOOKUP($S$571,'TAR FIN'!$A$1:$O$103,15,0))</f>
        <v>0</v>
      </c>
      <c r="W571" s="53">
        <f>IF(ISERROR(VLOOKUP($T$571,'TAR FIN'!$A$1:$O$103,15,0)),0,VLOOKUP($T$571,'TAR FIN'!$A$1:$O$103,15,0))*(1-0.04)</f>
        <v>808.61759999999992</v>
      </c>
      <c r="X571" s="53">
        <f>IF(ISERROR(VLOOKUP($U$571,'TAR FIN'!$A$1:$O$103,15,0)),0,VLOOKUP($U$571,'TAR FIN'!$A$1:$O$103,15,0))*(1-0.04)</f>
        <v>436.70399999999995</v>
      </c>
      <c r="Y571" s="53"/>
      <c r="Z571" s="53">
        <f ca="1">('TUSD BE'!$AM$21+'TUSD BF_350'!$AM$21+'TUSD CVA'!$AM$21)*1*(1-0.02)</f>
        <v>1006.9108</v>
      </c>
      <c r="AA571" s="53">
        <f ca="1">('TE BE'!$AB$8+'TE BF_350'!$AB$8+'TE CVA'!$AB$8)*1*(1-0.02)</f>
        <v>380.31840000000005</v>
      </c>
      <c r="AB571" s="6">
        <f>$K$571*$V$571</f>
        <v>0</v>
      </c>
      <c r="AC571" s="6">
        <f>$M$571*$W$571</f>
        <v>276.54721919999997</v>
      </c>
      <c r="AD571" s="6">
        <f>$O$571*$X$571</f>
        <v>149.352768</v>
      </c>
      <c r="AE571" s="6">
        <f>$K$571*$Y$571</f>
        <v>0</v>
      </c>
      <c r="AF571" s="6">
        <f ca="1">$M$571*$Z$571</f>
        <v>344.36349360000003</v>
      </c>
      <c r="AG571" s="6">
        <f ca="1">$O$571*$AA$571</f>
        <v>130.06889280000001</v>
      </c>
    </row>
    <row r="572" spans="1:33" ht="11.25" customHeight="1" x14ac:dyDescent="0.25">
      <c r="A572" s="4" t="s">
        <v>21</v>
      </c>
      <c r="B572" s="4" t="s">
        <v>33</v>
      </c>
      <c r="C572" s="4" t="s">
        <v>34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37</v>
      </c>
      <c r="I572" s="5">
        <v>44652</v>
      </c>
      <c r="J572" s="6">
        <v>0</v>
      </c>
      <c r="K572" s="53">
        <v>0</v>
      </c>
      <c r="L572" s="6">
        <v>0.27100000000000002</v>
      </c>
      <c r="M572" s="53">
        <v>0.27100000000000002</v>
      </c>
      <c r="N572" s="6">
        <v>0.27100000000000002</v>
      </c>
      <c r="O572" s="53">
        <v>0.27100000000000002</v>
      </c>
      <c r="P572" s="6">
        <v>0</v>
      </c>
      <c r="Q572" s="4" t="s">
        <v>26</v>
      </c>
      <c r="R572" s="4">
        <v>0</v>
      </c>
      <c r="S572" s="6">
        <v>0</v>
      </c>
      <c r="T572" s="6">
        <v>19</v>
      </c>
      <c r="U572" s="6">
        <v>65</v>
      </c>
      <c r="V572" s="53">
        <f>IF(ISERROR(VLOOKUP($S$572,'TAR FIN'!$A$1:$O$103,15,0)),0,VLOOKUP($S$572,'TAR FIN'!$A$1:$O$103,15,0))</f>
        <v>0</v>
      </c>
      <c r="W572" s="53">
        <f>IF(ISERROR(VLOOKUP($T$572,'TAR FIN'!$A$1:$O$103,15,0)),0,VLOOKUP($T$572,'TAR FIN'!$A$1:$O$103,15,0))*(1-0.04)</f>
        <v>808.61759999999992</v>
      </c>
      <c r="X572" s="53">
        <f>IF(ISERROR(VLOOKUP($U$572,'TAR FIN'!$A$1:$O$103,15,0)),0,VLOOKUP($U$572,'TAR FIN'!$A$1:$O$103,15,0))*(1-0.04)</f>
        <v>436.70399999999995</v>
      </c>
      <c r="Y572" s="53"/>
      <c r="Z572" s="53">
        <f ca="1">('TUSD BE'!$AM$21+'TUSD BF_350'!$AM$21+'TUSD CVA'!$AM$21)*1*(1-0.02)</f>
        <v>1006.9108</v>
      </c>
      <c r="AA572" s="53">
        <f ca="1">('TE BE'!$AB$8+'TE BF_350'!$AB$8+'TE CVA'!$AB$8)*1*(1-0.02)</f>
        <v>380.31840000000005</v>
      </c>
      <c r="AB572" s="6">
        <f>$K$572*$V$572</f>
        <v>0</v>
      </c>
      <c r="AC572" s="6">
        <f>$M$572*$W$572</f>
        <v>219.13536959999999</v>
      </c>
      <c r="AD572" s="6">
        <f>$O$572*$X$572</f>
        <v>118.346784</v>
      </c>
      <c r="AE572" s="6">
        <f>$K$572*$Y$572</f>
        <v>0</v>
      </c>
      <c r="AF572" s="6">
        <f ca="1">$M$572*$Z$572</f>
        <v>272.87282680000004</v>
      </c>
      <c r="AG572" s="6">
        <f ca="1">$O$572*$AA$572</f>
        <v>103.06628640000002</v>
      </c>
    </row>
    <row r="573" spans="1:33" ht="11.25" customHeight="1" x14ac:dyDescent="0.25">
      <c r="A573" s="4" t="s">
        <v>21</v>
      </c>
      <c r="B573" s="4" t="s">
        <v>33</v>
      </c>
      <c r="C573" s="4" t="s">
        <v>34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37</v>
      </c>
      <c r="I573" s="5">
        <v>44682</v>
      </c>
      <c r="J573" s="6">
        <v>0</v>
      </c>
      <c r="K573" s="53">
        <v>0</v>
      </c>
      <c r="L573" s="6">
        <v>0.33300000000000002</v>
      </c>
      <c r="M573" s="53">
        <v>0.33300000000000002</v>
      </c>
      <c r="N573" s="6">
        <v>0.33300000000000002</v>
      </c>
      <c r="O573" s="53">
        <v>0.33300000000000002</v>
      </c>
      <c r="P573" s="6">
        <v>0</v>
      </c>
      <c r="Q573" s="4" t="s">
        <v>26</v>
      </c>
      <c r="R573" s="4">
        <v>0</v>
      </c>
      <c r="S573" s="6">
        <v>0</v>
      </c>
      <c r="T573" s="6">
        <v>19</v>
      </c>
      <c r="U573" s="6">
        <v>65</v>
      </c>
      <c r="V573" s="53">
        <f>IF(ISERROR(VLOOKUP($S$573,'TAR FIN'!$A$1:$O$103,15,0)),0,VLOOKUP($S$573,'TAR FIN'!$A$1:$O$103,15,0))</f>
        <v>0</v>
      </c>
      <c r="W573" s="53">
        <f>IF(ISERROR(VLOOKUP($T$573,'TAR FIN'!$A$1:$O$103,15,0)),0,VLOOKUP($T$573,'TAR FIN'!$A$1:$O$103,15,0))*(1-0.04)</f>
        <v>808.61759999999992</v>
      </c>
      <c r="X573" s="53">
        <f>IF(ISERROR(VLOOKUP($U$573,'TAR FIN'!$A$1:$O$103,15,0)),0,VLOOKUP($U$573,'TAR FIN'!$A$1:$O$103,15,0))*(1-0.04)</f>
        <v>436.70399999999995</v>
      </c>
      <c r="Y573" s="53"/>
      <c r="Z573" s="53">
        <f ca="1">('TUSD BE'!$AM$21+'TUSD BF_350'!$AM$21+'TUSD CVA'!$AM$21)*1*(1-0.02)</f>
        <v>1006.9108</v>
      </c>
      <c r="AA573" s="53">
        <f ca="1">('TE BE'!$AB$8+'TE BF_350'!$AB$8+'TE CVA'!$AB$8)*1*(1-0.02)</f>
        <v>380.31840000000005</v>
      </c>
      <c r="AB573" s="6">
        <f>$K$573*$V$573</f>
        <v>0</v>
      </c>
      <c r="AC573" s="6">
        <f>$M$573*$W$573</f>
        <v>269.2696608</v>
      </c>
      <c r="AD573" s="6">
        <f>$O$573*$X$573</f>
        <v>145.42243199999999</v>
      </c>
      <c r="AE573" s="6">
        <f>$K$573*$Y$573</f>
        <v>0</v>
      </c>
      <c r="AF573" s="6">
        <f ca="1">$M$573*$Z$573</f>
        <v>335.30129640000001</v>
      </c>
      <c r="AG573" s="6">
        <f ca="1">$O$573*$AA$573</f>
        <v>126.64602720000002</v>
      </c>
    </row>
    <row r="574" spans="1:33" ht="11.25" customHeight="1" x14ac:dyDescent="0.25">
      <c r="A574" s="4" t="s">
        <v>21</v>
      </c>
      <c r="B574" s="4" t="s">
        <v>33</v>
      </c>
      <c r="C574" s="4" t="s">
        <v>34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35</v>
      </c>
      <c r="I574" s="5">
        <v>44348</v>
      </c>
      <c r="J574" s="6">
        <v>0</v>
      </c>
      <c r="K574" s="53">
        <v>0</v>
      </c>
      <c r="L574" s="6">
        <v>392.327</v>
      </c>
      <c r="M574" s="53">
        <v>392.327</v>
      </c>
      <c r="N574" s="6">
        <v>392.327</v>
      </c>
      <c r="O574" s="53">
        <v>392.327</v>
      </c>
      <c r="P574" s="6">
        <v>0</v>
      </c>
      <c r="Q574" s="4" t="s">
        <v>26</v>
      </c>
      <c r="R574" s="4">
        <v>0</v>
      </c>
      <c r="S574" s="6">
        <v>0</v>
      </c>
      <c r="T574" s="6">
        <v>20</v>
      </c>
      <c r="U574" s="6">
        <v>66</v>
      </c>
      <c r="V574" s="53">
        <f>IF(ISERROR(VLOOKUP($S$574,'TAR FIN'!$A$1:$O$103,15,0)),0,VLOOKUP($S$574,'TAR FIN'!$A$1:$O$103,15,0))</f>
        <v>0</v>
      </c>
      <c r="W574" s="53">
        <f>IF(ISERROR(VLOOKUP($T$574,'TAR FIN'!$A$1:$O$103,15,0)),0,VLOOKUP($T$574,'TAR FIN'!$A$1:$O$103,15,0))*(1-0.06)</f>
        <v>65.207800000000006</v>
      </c>
      <c r="X574" s="53">
        <f>IF(ISERROR(VLOOKUP($U$574,'TAR FIN'!$A$1:$O$103,15,0)),0,VLOOKUP($U$574,'TAR FIN'!$A$1:$O$103,15,0))*(1-0.06)</f>
        <v>267.29840000000002</v>
      </c>
      <c r="Y574" s="53"/>
      <c r="Z574" s="53">
        <f ca="1">('TUSD BE'!$AM$22+'TUSD BF_350'!$AM$22+'TUSD CVA'!$AM$22)*1*(1-0.03)</f>
        <v>107.52449999999999</v>
      </c>
      <c r="AA574" s="53">
        <f ca="1">('TE BE'!$AB$9+'TE BF_350'!$AB$9+'TE CVA'!$AB$9)*1*(1-0.03)</f>
        <v>239.78400000000002</v>
      </c>
      <c r="AB574" s="6">
        <f>$K$574*$V$574</f>
        <v>0</v>
      </c>
      <c r="AC574" s="6">
        <f>$M$574*$W$574</f>
        <v>25582.7805506</v>
      </c>
      <c r="AD574" s="6">
        <f>$O$574*$X$574</f>
        <v>104868.3793768</v>
      </c>
      <c r="AE574" s="6">
        <f>$K$574*$Y$574</f>
        <v>0</v>
      </c>
      <c r="AF574" s="6">
        <f ca="1">$M$574*$Z$574</f>
        <v>42184.764511499998</v>
      </c>
      <c r="AG574" s="6">
        <f ca="1">$O$574*$AA$574</f>
        <v>94073.737368000002</v>
      </c>
    </row>
    <row r="575" spans="1:33" ht="11.25" customHeight="1" x14ac:dyDescent="0.25">
      <c r="A575" s="4" t="s">
        <v>21</v>
      </c>
      <c r="B575" s="4" t="s">
        <v>33</v>
      </c>
      <c r="C575" s="4" t="s">
        <v>34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35</v>
      </c>
      <c r="I575" s="5">
        <v>44378</v>
      </c>
      <c r="J575" s="6">
        <v>0</v>
      </c>
      <c r="K575" s="53">
        <v>0</v>
      </c>
      <c r="L575" s="6">
        <v>387.32</v>
      </c>
      <c r="M575" s="53">
        <v>387.32</v>
      </c>
      <c r="N575" s="6">
        <v>387.32</v>
      </c>
      <c r="O575" s="53">
        <v>387.32</v>
      </c>
      <c r="P575" s="6">
        <v>0</v>
      </c>
      <c r="Q575" s="4" t="s">
        <v>26</v>
      </c>
      <c r="R575" s="4">
        <v>0</v>
      </c>
      <c r="S575" s="6">
        <v>0</v>
      </c>
      <c r="T575" s="6">
        <v>20</v>
      </c>
      <c r="U575" s="6">
        <v>66</v>
      </c>
      <c r="V575" s="53">
        <f>IF(ISERROR(VLOOKUP($S$575,'TAR FIN'!$A$1:$O$103,15,0)),0,VLOOKUP($S$575,'TAR FIN'!$A$1:$O$103,15,0))</f>
        <v>0</v>
      </c>
      <c r="W575" s="53">
        <f>IF(ISERROR(VLOOKUP($T$575,'TAR FIN'!$A$1:$O$103,15,0)),0,VLOOKUP($T$575,'TAR FIN'!$A$1:$O$103,15,0))*(1-0.06)</f>
        <v>65.207800000000006</v>
      </c>
      <c r="X575" s="53">
        <f>IF(ISERROR(VLOOKUP($U$575,'TAR FIN'!$A$1:$O$103,15,0)),0,VLOOKUP($U$575,'TAR FIN'!$A$1:$O$103,15,0))*(1-0.06)</f>
        <v>267.29840000000002</v>
      </c>
      <c r="Y575" s="53"/>
      <c r="Z575" s="53">
        <f ca="1">('TUSD BE'!$AM$22+'TUSD BF_350'!$AM$22+'TUSD CVA'!$AM$22)*1*(1-0.03)</f>
        <v>107.52449999999999</v>
      </c>
      <c r="AA575" s="53">
        <f ca="1">('TE BE'!$AB$9+'TE BF_350'!$AB$9+'TE CVA'!$AB$9)*1*(1-0.03)</f>
        <v>239.78400000000002</v>
      </c>
      <c r="AB575" s="6">
        <f>$K$575*$V$575</f>
        <v>0</v>
      </c>
      <c r="AC575" s="6">
        <f>$M$575*$W$575</f>
        <v>25256.285096000003</v>
      </c>
      <c r="AD575" s="6">
        <f>$O$575*$X$575</f>
        <v>103530.016288</v>
      </c>
      <c r="AE575" s="6">
        <f>$K$575*$Y$575</f>
        <v>0</v>
      </c>
      <c r="AF575" s="6">
        <f ca="1">$M$575*$Z$575</f>
        <v>41646.389339999994</v>
      </c>
      <c r="AG575" s="6">
        <f ca="1">$O$575*$AA$575</f>
        <v>92873.138880000013</v>
      </c>
    </row>
    <row r="576" spans="1:33" ht="11.25" customHeight="1" x14ac:dyDescent="0.25">
      <c r="A576" s="4" t="s">
        <v>21</v>
      </c>
      <c r="B576" s="4" t="s">
        <v>33</v>
      </c>
      <c r="C576" s="4" t="s">
        <v>34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35</v>
      </c>
      <c r="I576" s="5">
        <v>44409</v>
      </c>
      <c r="J576" s="6">
        <v>0</v>
      </c>
      <c r="K576" s="53">
        <v>0</v>
      </c>
      <c r="L576" s="6">
        <v>393.12599999999998</v>
      </c>
      <c r="M576" s="53">
        <v>393.12599999999998</v>
      </c>
      <c r="N576" s="6">
        <v>393.12599999999998</v>
      </c>
      <c r="O576" s="53">
        <v>393.12599999999998</v>
      </c>
      <c r="P576" s="6">
        <v>0</v>
      </c>
      <c r="Q576" s="4" t="s">
        <v>26</v>
      </c>
      <c r="R576" s="4">
        <v>0</v>
      </c>
      <c r="S576" s="6">
        <v>0</v>
      </c>
      <c r="T576" s="6">
        <v>20</v>
      </c>
      <c r="U576" s="6">
        <v>66</v>
      </c>
      <c r="V576" s="53">
        <f>IF(ISERROR(VLOOKUP($S$576,'TAR FIN'!$A$1:$O$103,15,0)),0,VLOOKUP($S$576,'TAR FIN'!$A$1:$O$103,15,0))</f>
        <v>0</v>
      </c>
      <c r="W576" s="53">
        <f>IF(ISERROR(VLOOKUP($T$576,'TAR FIN'!$A$1:$O$103,15,0)),0,VLOOKUP($T$576,'TAR FIN'!$A$1:$O$103,15,0))*(1-0.06)</f>
        <v>65.207800000000006</v>
      </c>
      <c r="X576" s="53">
        <f>IF(ISERROR(VLOOKUP($U$576,'TAR FIN'!$A$1:$O$103,15,0)),0,VLOOKUP($U$576,'TAR FIN'!$A$1:$O$103,15,0))*(1-0.06)</f>
        <v>267.29840000000002</v>
      </c>
      <c r="Y576" s="53"/>
      <c r="Z576" s="53">
        <f ca="1">('TUSD BE'!$AM$22+'TUSD BF_350'!$AM$22+'TUSD CVA'!$AM$22)*1*(1-0.03)</f>
        <v>107.52449999999999</v>
      </c>
      <c r="AA576" s="53">
        <f ca="1">('TE BE'!$AB$9+'TE BF_350'!$AB$9+'TE CVA'!$AB$9)*1*(1-0.03)</f>
        <v>239.78400000000002</v>
      </c>
      <c r="AB576" s="6">
        <f>$K$576*$V$576</f>
        <v>0</v>
      </c>
      <c r="AC576" s="6">
        <f>$M$576*$W$576</f>
        <v>25634.881582800001</v>
      </c>
      <c r="AD576" s="6">
        <f>$O$576*$X$576</f>
        <v>105081.95079839999</v>
      </c>
      <c r="AE576" s="6">
        <f>$K$576*$Y$576</f>
        <v>0</v>
      </c>
      <c r="AF576" s="6">
        <f ca="1">$M$576*$Z$576</f>
        <v>42270.676586999994</v>
      </c>
      <c r="AG576" s="6">
        <f ca="1">$O$576*$AA$576</f>
        <v>94265.324783999997</v>
      </c>
    </row>
    <row r="577" spans="1:33" ht="11.25" customHeight="1" x14ac:dyDescent="0.25">
      <c r="A577" s="4" t="s">
        <v>21</v>
      </c>
      <c r="B577" s="4" t="s">
        <v>33</v>
      </c>
      <c r="C577" s="4" t="s">
        <v>34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35</v>
      </c>
      <c r="I577" s="5">
        <v>44440</v>
      </c>
      <c r="J577" s="6">
        <v>0</v>
      </c>
      <c r="K577" s="53">
        <v>0</v>
      </c>
      <c r="L577" s="6">
        <v>388.779</v>
      </c>
      <c r="M577" s="53">
        <v>388.779</v>
      </c>
      <c r="N577" s="6">
        <v>388.779</v>
      </c>
      <c r="O577" s="53">
        <v>388.779</v>
      </c>
      <c r="P577" s="6">
        <v>0</v>
      </c>
      <c r="Q577" s="4" t="s">
        <v>26</v>
      </c>
      <c r="R577" s="4">
        <v>0</v>
      </c>
      <c r="S577" s="6">
        <v>0</v>
      </c>
      <c r="T577" s="6">
        <v>20</v>
      </c>
      <c r="U577" s="6">
        <v>66</v>
      </c>
      <c r="V577" s="53">
        <f>IF(ISERROR(VLOOKUP($S$577,'TAR FIN'!$A$1:$O$103,15,0)),0,VLOOKUP($S$577,'TAR FIN'!$A$1:$O$103,15,0))</f>
        <v>0</v>
      </c>
      <c r="W577" s="53">
        <f>IF(ISERROR(VLOOKUP($T$577,'TAR FIN'!$A$1:$O$103,15,0)),0,VLOOKUP($T$577,'TAR FIN'!$A$1:$O$103,15,0))*(1-0.06)</f>
        <v>65.207800000000006</v>
      </c>
      <c r="X577" s="53">
        <f>IF(ISERROR(VLOOKUP($U$577,'TAR FIN'!$A$1:$O$103,15,0)),0,VLOOKUP($U$577,'TAR FIN'!$A$1:$O$103,15,0))*(1-0.06)</f>
        <v>267.29840000000002</v>
      </c>
      <c r="Y577" s="53"/>
      <c r="Z577" s="53">
        <f ca="1">('TUSD BE'!$AM$22+'TUSD BF_350'!$AM$22+'TUSD CVA'!$AM$22)*1*(1-0.03)</f>
        <v>107.52449999999999</v>
      </c>
      <c r="AA577" s="53">
        <f ca="1">('TE BE'!$AB$9+'TE BF_350'!$AB$9+'TE CVA'!$AB$9)*1*(1-0.03)</f>
        <v>239.78400000000002</v>
      </c>
      <c r="AB577" s="6">
        <f>$K$577*$V$577</f>
        <v>0</v>
      </c>
      <c r="AC577" s="6">
        <f>$M$577*$W$577</f>
        <v>25351.423276200003</v>
      </c>
      <c r="AD577" s="6">
        <f>$O$577*$X$577</f>
        <v>103920.0046536</v>
      </c>
      <c r="AE577" s="6">
        <f>$K$577*$Y$577</f>
        <v>0</v>
      </c>
      <c r="AF577" s="6">
        <f ca="1">$M$577*$Z$577</f>
        <v>41803.267585499998</v>
      </c>
      <c r="AG577" s="6">
        <f ca="1">$O$577*$AA$577</f>
        <v>93222.983736000009</v>
      </c>
    </row>
    <row r="578" spans="1:33" ht="11.25" customHeight="1" x14ac:dyDescent="0.25">
      <c r="A578" s="4" t="s">
        <v>21</v>
      </c>
      <c r="B578" s="4" t="s">
        <v>33</v>
      </c>
      <c r="C578" s="4" t="s">
        <v>34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35</v>
      </c>
      <c r="I578" s="5">
        <v>44470</v>
      </c>
      <c r="J578" s="6">
        <v>0</v>
      </c>
      <c r="K578" s="53">
        <v>0</v>
      </c>
      <c r="L578" s="6">
        <v>389.73399999999998</v>
      </c>
      <c r="M578" s="53">
        <v>389.73399999999998</v>
      </c>
      <c r="N578" s="6">
        <v>389.73399999999998</v>
      </c>
      <c r="O578" s="53">
        <v>389.73399999999998</v>
      </c>
      <c r="P578" s="6">
        <v>0</v>
      </c>
      <c r="Q578" s="4" t="s">
        <v>26</v>
      </c>
      <c r="R578" s="4">
        <v>0</v>
      </c>
      <c r="S578" s="6">
        <v>0</v>
      </c>
      <c r="T578" s="6">
        <v>20</v>
      </c>
      <c r="U578" s="6">
        <v>66</v>
      </c>
      <c r="V578" s="53">
        <f>IF(ISERROR(VLOOKUP($S$578,'TAR FIN'!$A$1:$O$103,15,0)),0,VLOOKUP($S$578,'TAR FIN'!$A$1:$O$103,15,0))</f>
        <v>0</v>
      </c>
      <c r="W578" s="53">
        <f>IF(ISERROR(VLOOKUP($T$578,'TAR FIN'!$A$1:$O$103,15,0)),0,VLOOKUP($T$578,'TAR FIN'!$A$1:$O$103,15,0))*(1-0.06)</f>
        <v>65.207800000000006</v>
      </c>
      <c r="X578" s="53">
        <f>IF(ISERROR(VLOOKUP($U$578,'TAR FIN'!$A$1:$O$103,15,0)),0,VLOOKUP($U$578,'TAR FIN'!$A$1:$O$103,15,0))*(1-0.06)</f>
        <v>267.29840000000002</v>
      </c>
      <c r="Y578" s="53"/>
      <c r="Z578" s="53">
        <f ca="1">('TUSD BE'!$AM$22+'TUSD BF_350'!$AM$22+'TUSD CVA'!$AM$22)*1*(1-0.03)</f>
        <v>107.52449999999999</v>
      </c>
      <c r="AA578" s="53">
        <f ca="1">('TE BE'!$AB$9+'TE BF_350'!$AB$9+'TE CVA'!$AB$9)*1*(1-0.03)</f>
        <v>239.78400000000002</v>
      </c>
      <c r="AB578" s="6">
        <f>$K$578*$V$578</f>
        <v>0</v>
      </c>
      <c r="AC578" s="6">
        <f>$M$578*$W$578</f>
        <v>25413.696725199999</v>
      </c>
      <c r="AD578" s="6">
        <f>$O$578*$X$578</f>
        <v>104175.2746256</v>
      </c>
      <c r="AE578" s="6">
        <f>$K$578*$Y$578</f>
        <v>0</v>
      </c>
      <c r="AF578" s="6">
        <f ca="1">$M$578*$Z$578</f>
        <v>41905.95348299999</v>
      </c>
      <c r="AG578" s="6">
        <f ca="1">$O$578*$AA$578</f>
        <v>93451.977456000008</v>
      </c>
    </row>
    <row r="579" spans="1:33" ht="11.25" customHeight="1" x14ac:dyDescent="0.25">
      <c r="A579" s="4" t="s">
        <v>21</v>
      </c>
      <c r="B579" s="4" t="s">
        <v>33</v>
      </c>
      <c r="C579" s="4" t="s">
        <v>34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35</v>
      </c>
      <c r="I579" s="5">
        <v>44501</v>
      </c>
      <c r="J579" s="6">
        <v>0</v>
      </c>
      <c r="K579" s="53">
        <v>0</v>
      </c>
      <c r="L579" s="6">
        <v>397.99599999999998</v>
      </c>
      <c r="M579" s="53">
        <v>397.99599999999998</v>
      </c>
      <c r="N579" s="6">
        <v>397.99599999999998</v>
      </c>
      <c r="O579" s="53">
        <v>397.99599999999998</v>
      </c>
      <c r="P579" s="6">
        <v>0</v>
      </c>
      <c r="Q579" s="4" t="s">
        <v>26</v>
      </c>
      <c r="R579" s="4">
        <v>0</v>
      </c>
      <c r="S579" s="6">
        <v>0</v>
      </c>
      <c r="T579" s="6">
        <v>20</v>
      </c>
      <c r="U579" s="6">
        <v>66</v>
      </c>
      <c r="V579" s="53">
        <f>IF(ISERROR(VLOOKUP($S$579,'TAR FIN'!$A$1:$O$103,15,0)),0,VLOOKUP($S$579,'TAR FIN'!$A$1:$O$103,15,0))</f>
        <v>0</v>
      </c>
      <c r="W579" s="53">
        <f>IF(ISERROR(VLOOKUP($T$579,'TAR FIN'!$A$1:$O$103,15,0)),0,VLOOKUP($T$579,'TAR FIN'!$A$1:$O$103,15,0))*(1-0.06)</f>
        <v>65.207800000000006</v>
      </c>
      <c r="X579" s="53">
        <f>IF(ISERROR(VLOOKUP($U$579,'TAR FIN'!$A$1:$O$103,15,0)),0,VLOOKUP($U$579,'TAR FIN'!$A$1:$O$103,15,0))*(1-0.06)</f>
        <v>267.29840000000002</v>
      </c>
      <c r="Y579" s="53"/>
      <c r="Z579" s="53">
        <f ca="1">('TUSD BE'!$AM$22+'TUSD BF_350'!$AM$22+'TUSD CVA'!$AM$22)*1*(1-0.03)</f>
        <v>107.52449999999999</v>
      </c>
      <c r="AA579" s="53">
        <f ca="1">('TE BE'!$AB$9+'TE BF_350'!$AB$9+'TE CVA'!$AB$9)*1*(1-0.03)</f>
        <v>239.78400000000002</v>
      </c>
      <c r="AB579" s="6">
        <f>$K$579*$V$579</f>
        <v>0</v>
      </c>
      <c r="AC579" s="6">
        <f>$M$579*$W$579</f>
        <v>25952.443568800001</v>
      </c>
      <c r="AD579" s="6">
        <f>$O$579*$X$579</f>
        <v>106383.69400639999</v>
      </c>
      <c r="AE579" s="6">
        <f>$K$579*$Y$579</f>
        <v>0</v>
      </c>
      <c r="AF579" s="6">
        <f ca="1">$M$579*$Z$579</f>
        <v>42794.320901999992</v>
      </c>
      <c r="AG579" s="6">
        <f ca="1">$O$579*$AA$579</f>
        <v>95433.072864000002</v>
      </c>
    </row>
    <row r="580" spans="1:33" ht="11.25" customHeight="1" x14ac:dyDescent="0.25">
      <c r="A580" s="4" t="s">
        <v>21</v>
      </c>
      <c r="B580" s="4" t="s">
        <v>33</v>
      </c>
      <c r="C580" s="4" t="s">
        <v>34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35</v>
      </c>
      <c r="I580" s="5">
        <v>44531</v>
      </c>
      <c r="J580" s="6">
        <v>0</v>
      </c>
      <c r="K580" s="53">
        <v>0</v>
      </c>
      <c r="L580" s="6">
        <v>428.596</v>
      </c>
      <c r="M580" s="53">
        <v>428.596</v>
      </c>
      <c r="N580" s="6">
        <v>428.596</v>
      </c>
      <c r="O580" s="53">
        <v>428.596</v>
      </c>
      <c r="P580" s="6">
        <v>0</v>
      </c>
      <c r="Q580" s="4" t="s">
        <v>26</v>
      </c>
      <c r="R580" s="4">
        <v>0</v>
      </c>
      <c r="S580" s="6">
        <v>0</v>
      </c>
      <c r="T580" s="6">
        <v>20</v>
      </c>
      <c r="U580" s="6">
        <v>66</v>
      </c>
      <c r="V580" s="53">
        <f>IF(ISERROR(VLOOKUP($S$580,'TAR FIN'!$A$1:$O$103,15,0)),0,VLOOKUP($S$580,'TAR FIN'!$A$1:$O$103,15,0))</f>
        <v>0</v>
      </c>
      <c r="W580" s="53">
        <f>IF(ISERROR(VLOOKUP($T$580,'TAR FIN'!$A$1:$O$103,15,0)),0,VLOOKUP($T$580,'TAR FIN'!$A$1:$O$103,15,0))*(1-0.06)</f>
        <v>65.207800000000006</v>
      </c>
      <c r="X580" s="53">
        <f>IF(ISERROR(VLOOKUP($U$580,'TAR FIN'!$A$1:$O$103,15,0)),0,VLOOKUP($U$580,'TAR FIN'!$A$1:$O$103,15,0))*(1-0.06)</f>
        <v>267.29840000000002</v>
      </c>
      <c r="Y580" s="53"/>
      <c r="Z580" s="53">
        <f ca="1">('TUSD BE'!$AM$22+'TUSD BF_350'!$AM$22+'TUSD CVA'!$AM$22)*1*(1-0.03)</f>
        <v>107.52449999999999</v>
      </c>
      <c r="AA580" s="53">
        <f ca="1">('TE BE'!$AB$9+'TE BF_350'!$AB$9+'TE CVA'!$AB$9)*1*(1-0.03)</f>
        <v>239.78400000000002</v>
      </c>
      <c r="AB580" s="6">
        <f>$K$580*$V$580</f>
        <v>0</v>
      </c>
      <c r="AC580" s="6">
        <f>$M$580*$W$580</f>
        <v>27947.802248800002</v>
      </c>
      <c r="AD580" s="6">
        <f>$O$580*$X$580</f>
        <v>114563.02504640001</v>
      </c>
      <c r="AE580" s="6">
        <f>$K$580*$Y$580</f>
        <v>0</v>
      </c>
      <c r="AF580" s="6">
        <f ca="1">$M$580*$Z$580</f>
        <v>46084.570601999993</v>
      </c>
      <c r="AG580" s="6">
        <f ca="1">$O$580*$AA$580</f>
        <v>102770.46326400001</v>
      </c>
    </row>
    <row r="581" spans="1:33" ht="11.25" customHeight="1" x14ac:dyDescent="0.25">
      <c r="A581" s="4" t="s">
        <v>21</v>
      </c>
      <c r="B581" s="4" t="s">
        <v>33</v>
      </c>
      <c r="C581" s="4" t="s">
        <v>34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35</v>
      </c>
      <c r="I581" s="5">
        <v>44562</v>
      </c>
      <c r="J581" s="6">
        <v>0</v>
      </c>
      <c r="K581" s="53">
        <v>0</v>
      </c>
      <c r="L581" s="6">
        <v>447.78</v>
      </c>
      <c r="M581" s="53">
        <v>447.78</v>
      </c>
      <c r="N581" s="6">
        <v>447.78</v>
      </c>
      <c r="O581" s="53">
        <v>447.78</v>
      </c>
      <c r="P581" s="6">
        <v>0</v>
      </c>
      <c r="Q581" s="4" t="s">
        <v>26</v>
      </c>
      <c r="R581" s="4">
        <v>0</v>
      </c>
      <c r="S581" s="6">
        <v>0</v>
      </c>
      <c r="T581" s="6">
        <v>20</v>
      </c>
      <c r="U581" s="6">
        <v>66</v>
      </c>
      <c r="V581" s="53">
        <f>IF(ISERROR(VLOOKUP($S$581,'TAR FIN'!$A$1:$O$103,15,0)),0,VLOOKUP($S$581,'TAR FIN'!$A$1:$O$103,15,0))</f>
        <v>0</v>
      </c>
      <c r="W581" s="53">
        <f>IF(ISERROR(VLOOKUP($T$581,'TAR FIN'!$A$1:$O$103,15,0)),0,VLOOKUP($T$581,'TAR FIN'!$A$1:$O$103,15,0))*(1-0.06)</f>
        <v>65.207800000000006</v>
      </c>
      <c r="X581" s="53">
        <f>IF(ISERROR(VLOOKUP($U$581,'TAR FIN'!$A$1:$O$103,15,0)),0,VLOOKUP($U$581,'TAR FIN'!$A$1:$O$103,15,0))*(1-0.06)</f>
        <v>267.29840000000002</v>
      </c>
      <c r="Y581" s="53"/>
      <c r="Z581" s="53">
        <f ca="1">('TUSD BE'!$AM$22+'TUSD BF_350'!$AM$22+'TUSD CVA'!$AM$22)*1*(1-0.03)</f>
        <v>107.52449999999999</v>
      </c>
      <c r="AA581" s="53">
        <f ca="1">('TE BE'!$AB$9+'TE BF_350'!$AB$9+'TE CVA'!$AB$9)*1*(1-0.03)</f>
        <v>239.78400000000002</v>
      </c>
      <c r="AB581" s="6">
        <f>$K$581*$V$581</f>
        <v>0</v>
      </c>
      <c r="AC581" s="6">
        <f>$M$581*$W$581</f>
        <v>29198.748684000002</v>
      </c>
      <c r="AD581" s="6">
        <f>$O$581*$X$581</f>
        <v>119690.87755200001</v>
      </c>
      <c r="AE581" s="6">
        <f>$K$581*$Y$581</f>
        <v>0</v>
      </c>
      <c r="AF581" s="6">
        <f ca="1">$M$581*$Z$581</f>
        <v>48147.320609999995</v>
      </c>
      <c r="AG581" s="6">
        <f ca="1">$O$581*$AA$581</f>
        <v>107370.47952000001</v>
      </c>
    </row>
    <row r="582" spans="1:33" ht="11.25" customHeight="1" x14ac:dyDescent="0.25">
      <c r="A582" s="4" t="s">
        <v>21</v>
      </c>
      <c r="B582" s="4" t="s">
        <v>33</v>
      </c>
      <c r="C582" s="4" t="s">
        <v>34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35</v>
      </c>
      <c r="I582" s="5">
        <v>44593</v>
      </c>
      <c r="J582" s="6">
        <v>0</v>
      </c>
      <c r="K582" s="53">
        <v>0</v>
      </c>
      <c r="L582" s="6">
        <v>417.27699999999999</v>
      </c>
      <c r="M582" s="53">
        <v>417.27699999999999</v>
      </c>
      <c r="N582" s="6">
        <v>417.27699999999999</v>
      </c>
      <c r="O582" s="53">
        <v>417.27699999999999</v>
      </c>
      <c r="P582" s="6">
        <v>0</v>
      </c>
      <c r="Q582" s="4" t="s">
        <v>26</v>
      </c>
      <c r="R582" s="4">
        <v>0</v>
      </c>
      <c r="S582" s="6">
        <v>0</v>
      </c>
      <c r="T582" s="6">
        <v>20</v>
      </c>
      <c r="U582" s="6">
        <v>66</v>
      </c>
      <c r="V582" s="53">
        <f>IF(ISERROR(VLOOKUP($S$582,'TAR FIN'!$A$1:$O$103,15,0)),0,VLOOKUP($S$582,'TAR FIN'!$A$1:$O$103,15,0))</f>
        <v>0</v>
      </c>
      <c r="W582" s="53">
        <f>IF(ISERROR(VLOOKUP($T$582,'TAR FIN'!$A$1:$O$103,15,0)),0,VLOOKUP($T$582,'TAR FIN'!$A$1:$O$103,15,0))*(1-0.06)</f>
        <v>65.207800000000006</v>
      </c>
      <c r="X582" s="53">
        <f>IF(ISERROR(VLOOKUP($U$582,'TAR FIN'!$A$1:$O$103,15,0)),0,VLOOKUP($U$582,'TAR FIN'!$A$1:$O$103,15,0))*(1-0.06)</f>
        <v>267.29840000000002</v>
      </c>
      <c r="Y582" s="53"/>
      <c r="Z582" s="53">
        <f ca="1">('TUSD BE'!$AM$22+'TUSD BF_350'!$AM$22+'TUSD CVA'!$AM$22)*1*(1-0.03)</f>
        <v>107.52449999999999</v>
      </c>
      <c r="AA582" s="53">
        <f ca="1">('TE BE'!$AB$9+'TE BF_350'!$AB$9+'TE CVA'!$AB$9)*1*(1-0.03)</f>
        <v>239.78400000000002</v>
      </c>
      <c r="AB582" s="6">
        <f>$K$582*$V$582</f>
        <v>0</v>
      </c>
      <c r="AC582" s="6">
        <f>$M$582*$W$582</f>
        <v>27209.715160600001</v>
      </c>
      <c r="AD582" s="6">
        <f>$O$582*$X$582</f>
        <v>111537.4744568</v>
      </c>
      <c r="AE582" s="6">
        <f>$K$582*$Y$582</f>
        <v>0</v>
      </c>
      <c r="AF582" s="6">
        <f ca="1">$M$582*$Z$582</f>
        <v>44867.500786499993</v>
      </c>
      <c r="AG582" s="6">
        <f ca="1">$O$582*$AA$582</f>
        <v>100056.34816800001</v>
      </c>
    </row>
    <row r="583" spans="1:33" ht="11.25" customHeight="1" x14ac:dyDescent="0.25">
      <c r="A583" s="4" t="s">
        <v>21</v>
      </c>
      <c r="B583" s="4" t="s">
        <v>33</v>
      </c>
      <c r="C583" s="4" t="s">
        <v>34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35</v>
      </c>
      <c r="I583" s="5">
        <v>44621</v>
      </c>
      <c r="J583" s="6">
        <v>0</v>
      </c>
      <c r="K583" s="53">
        <v>0</v>
      </c>
      <c r="L583" s="6">
        <v>385.72699999999998</v>
      </c>
      <c r="M583" s="53">
        <v>385.72699999999998</v>
      </c>
      <c r="N583" s="6">
        <v>385.72699999999998</v>
      </c>
      <c r="O583" s="53">
        <v>385.72699999999998</v>
      </c>
      <c r="P583" s="6">
        <v>0</v>
      </c>
      <c r="Q583" s="4" t="s">
        <v>26</v>
      </c>
      <c r="R583" s="4">
        <v>0</v>
      </c>
      <c r="S583" s="6">
        <v>0</v>
      </c>
      <c r="T583" s="6">
        <v>20</v>
      </c>
      <c r="U583" s="6">
        <v>66</v>
      </c>
      <c r="V583" s="53">
        <f>IF(ISERROR(VLOOKUP($S$583,'TAR FIN'!$A$1:$O$103,15,0)),0,VLOOKUP($S$583,'TAR FIN'!$A$1:$O$103,15,0))</f>
        <v>0</v>
      </c>
      <c r="W583" s="53">
        <f>IF(ISERROR(VLOOKUP($T$583,'TAR FIN'!$A$1:$O$103,15,0)),0,VLOOKUP($T$583,'TAR FIN'!$A$1:$O$103,15,0))*(1-0.06)</f>
        <v>65.207800000000006</v>
      </c>
      <c r="X583" s="53">
        <f>IF(ISERROR(VLOOKUP($U$583,'TAR FIN'!$A$1:$O$103,15,0)),0,VLOOKUP($U$583,'TAR FIN'!$A$1:$O$103,15,0))*(1-0.06)</f>
        <v>267.29840000000002</v>
      </c>
      <c r="Y583" s="53"/>
      <c r="Z583" s="53">
        <f ca="1">('TUSD BE'!$AM$22+'TUSD BF_350'!$AM$22+'TUSD CVA'!$AM$22)*1*(1-0.03)</f>
        <v>107.52449999999999</v>
      </c>
      <c r="AA583" s="53">
        <f ca="1">('TE BE'!$AB$9+'TE BF_350'!$AB$9+'TE CVA'!$AB$9)*1*(1-0.03)</f>
        <v>239.78400000000002</v>
      </c>
      <c r="AB583" s="6">
        <f>$K$583*$V$583</f>
        <v>0</v>
      </c>
      <c r="AC583" s="6">
        <f>$M$583*$W$583</f>
        <v>25152.409070600002</v>
      </c>
      <c r="AD583" s="6">
        <f>$O$583*$X$583</f>
        <v>103104.20993680001</v>
      </c>
      <c r="AE583" s="6">
        <f>$K$583*$Y$583</f>
        <v>0</v>
      </c>
      <c r="AF583" s="6">
        <f ca="1">$M$583*$Z$583</f>
        <v>41475.102811499994</v>
      </c>
      <c r="AG583" s="6">
        <f ca="1">$O$583*$AA$583</f>
        <v>92491.162968000004</v>
      </c>
    </row>
    <row r="584" spans="1:33" ht="11.25" customHeight="1" x14ac:dyDescent="0.25">
      <c r="A584" s="4" t="s">
        <v>21</v>
      </c>
      <c r="B584" s="4" t="s">
        <v>33</v>
      </c>
      <c r="C584" s="4" t="s">
        <v>34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35</v>
      </c>
      <c r="I584" s="5">
        <v>44652</v>
      </c>
      <c r="J584" s="6">
        <v>0</v>
      </c>
      <c r="K584" s="53">
        <v>0</v>
      </c>
      <c r="L584" s="6">
        <v>450.798</v>
      </c>
      <c r="M584" s="53">
        <v>450.798</v>
      </c>
      <c r="N584" s="6">
        <v>450.798</v>
      </c>
      <c r="O584" s="53">
        <v>450.798</v>
      </c>
      <c r="P584" s="6">
        <v>0</v>
      </c>
      <c r="Q584" s="4" t="s">
        <v>26</v>
      </c>
      <c r="R584" s="4">
        <v>0</v>
      </c>
      <c r="S584" s="6">
        <v>0</v>
      </c>
      <c r="T584" s="6">
        <v>20</v>
      </c>
      <c r="U584" s="6">
        <v>66</v>
      </c>
      <c r="V584" s="53">
        <f>IF(ISERROR(VLOOKUP($S$584,'TAR FIN'!$A$1:$O$103,15,0)),0,VLOOKUP($S$584,'TAR FIN'!$A$1:$O$103,15,0))</f>
        <v>0</v>
      </c>
      <c r="W584" s="53">
        <f>IF(ISERROR(VLOOKUP($T$584,'TAR FIN'!$A$1:$O$103,15,0)),0,VLOOKUP($T$584,'TAR FIN'!$A$1:$O$103,15,0))*(1-0.06)</f>
        <v>65.207800000000006</v>
      </c>
      <c r="X584" s="53">
        <f>IF(ISERROR(VLOOKUP($U$584,'TAR FIN'!$A$1:$O$103,15,0)),0,VLOOKUP($U$584,'TAR FIN'!$A$1:$O$103,15,0))*(1-0.06)</f>
        <v>267.29840000000002</v>
      </c>
      <c r="Y584" s="53"/>
      <c r="Z584" s="53">
        <f ca="1">('TUSD BE'!$AM$22+'TUSD BF_350'!$AM$22+'TUSD CVA'!$AM$22)*1*(1-0.03)</f>
        <v>107.52449999999999</v>
      </c>
      <c r="AA584" s="53">
        <f ca="1">('TE BE'!$AB$9+'TE BF_350'!$AB$9+'TE CVA'!$AB$9)*1*(1-0.03)</f>
        <v>239.78400000000002</v>
      </c>
      <c r="AB584" s="6">
        <f>$K$584*$V$584</f>
        <v>0</v>
      </c>
      <c r="AC584" s="6">
        <f>$M$584*$W$584</f>
        <v>29395.545824400004</v>
      </c>
      <c r="AD584" s="6">
        <f>$O$584*$X$584</f>
        <v>120497.58412320001</v>
      </c>
      <c r="AE584" s="6">
        <f>$K$584*$Y$584</f>
        <v>0</v>
      </c>
      <c r="AF584" s="6">
        <f ca="1">$M$584*$Z$584</f>
        <v>48471.829550999995</v>
      </c>
      <c r="AG584" s="6">
        <f ca="1">$O$584*$AA$584</f>
        <v>108094.14763200001</v>
      </c>
    </row>
    <row r="585" spans="1:33" ht="11.25" customHeight="1" x14ac:dyDescent="0.25">
      <c r="A585" s="4" t="s">
        <v>21</v>
      </c>
      <c r="B585" s="4" t="s">
        <v>33</v>
      </c>
      <c r="C585" s="4" t="s">
        <v>34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35</v>
      </c>
      <c r="I585" s="5">
        <v>44682</v>
      </c>
      <c r="J585" s="6">
        <v>0</v>
      </c>
      <c r="K585" s="53">
        <v>0</v>
      </c>
      <c r="L585" s="6">
        <v>444.18599999999998</v>
      </c>
      <c r="M585" s="53">
        <v>444.18599999999998</v>
      </c>
      <c r="N585" s="6">
        <v>444.18599999999998</v>
      </c>
      <c r="O585" s="53">
        <v>444.18599999999998</v>
      </c>
      <c r="P585" s="6">
        <v>0</v>
      </c>
      <c r="Q585" s="4" t="s">
        <v>26</v>
      </c>
      <c r="R585" s="4">
        <v>0</v>
      </c>
      <c r="S585" s="6">
        <v>0</v>
      </c>
      <c r="T585" s="6">
        <v>20</v>
      </c>
      <c r="U585" s="6">
        <v>66</v>
      </c>
      <c r="V585" s="53">
        <f>IF(ISERROR(VLOOKUP($S$585,'TAR FIN'!$A$1:$O$103,15,0)),0,VLOOKUP($S$585,'TAR FIN'!$A$1:$O$103,15,0))</f>
        <v>0</v>
      </c>
      <c r="W585" s="53">
        <f>IF(ISERROR(VLOOKUP($T$585,'TAR FIN'!$A$1:$O$103,15,0)),0,VLOOKUP($T$585,'TAR FIN'!$A$1:$O$103,15,0))*(1-0.06)</f>
        <v>65.207800000000006</v>
      </c>
      <c r="X585" s="53">
        <f>IF(ISERROR(VLOOKUP($U$585,'TAR FIN'!$A$1:$O$103,15,0)),0,VLOOKUP($U$585,'TAR FIN'!$A$1:$O$103,15,0))*(1-0.06)</f>
        <v>267.29840000000002</v>
      </c>
      <c r="Y585" s="53"/>
      <c r="Z585" s="53">
        <f ca="1">('TUSD BE'!$AM$22+'TUSD BF_350'!$AM$22+'TUSD CVA'!$AM$22)*1*(1-0.03)</f>
        <v>107.52449999999999</v>
      </c>
      <c r="AA585" s="53">
        <f ca="1">('TE BE'!$AB$9+'TE BF_350'!$AB$9+'TE CVA'!$AB$9)*1*(1-0.03)</f>
        <v>239.78400000000002</v>
      </c>
      <c r="AB585" s="6">
        <f>$K$585*$V$585</f>
        <v>0</v>
      </c>
      <c r="AC585" s="6">
        <f>$M$585*$W$585</f>
        <v>28964.391850800002</v>
      </c>
      <c r="AD585" s="6">
        <f>$O$585*$X$585</f>
        <v>118730.2071024</v>
      </c>
      <c r="AE585" s="6">
        <f>$K$585*$Y$585</f>
        <v>0</v>
      </c>
      <c r="AF585" s="6">
        <f ca="1">$M$585*$Z$585</f>
        <v>47760.877556999993</v>
      </c>
      <c r="AG585" s="6">
        <f ca="1">$O$585*$AA$585</f>
        <v>106508.69582400001</v>
      </c>
    </row>
    <row r="586" spans="1:33" ht="11.25" customHeight="1" x14ac:dyDescent="0.25">
      <c r="A586" s="4" t="s">
        <v>21</v>
      </c>
      <c r="B586" s="4" t="s">
        <v>33</v>
      </c>
      <c r="C586" s="4" t="s">
        <v>34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25</v>
      </c>
      <c r="I586" s="5">
        <v>44348</v>
      </c>
      <c r="J586" s="6">
        <v>1428</v>
      </c>
      <c r="K586" s="52">
        <v>1428</v>
      </c>
      <c r="L586" s="6">
        <v>0</v>
      </c>
      <c r="M586" s="53">
        <v>0</v>
      </c>
      <c r="N586" s="6">
        <v>0</v>
      </c>
      <c r="O586" s="53">
        <v>0</v>
      </c>
      <c r="P586" s="6">
        <v>11</v>
      </c>
      <c r="Q586" s="4" t="s">
        <v>26</v>
      </c>
      <c r="R586" s="4">
        <v>0</v>
      </c>
      <c r="S586" s="6">
        <v>18</v>
      </c>
      <c r="T586" s="6">
        <v>0</v>
      </c>
      <c r="U586" s="6">
        <v>0</v>
      </c>
      <c r="V586" s="53">
        <f>IF(ISERROR(VLOOKUP($S$586,'TAR FIN'!$A$1:$O$103,15,0)),0,VLOOKUP($S$586,'TAR FIN'!$A$1:$O$103,15,0))*(1-0.06)</f>
        <v>11.674799999999999</v>
      </c>
      <c r="W586" s="53">
        <f>IF(ISERROR(VLOOKUP($T$586,'TAR FIN'!$A$1:$O$103,15,0)),0,VLOOKUP($T$586,'TAR FIN'!$A$1:$O$103,15,0))</f>
        <v>0</v>
      </c>
      <c r="X586" s="53">
        <f>IF(ISERROR(VLOOKUP($U$586,'TAR FIN'!$A$1:$O$103,15,0)),0,VLOOKUP($U$586,'TAR FIN'!$A$1:$O$103,15,0))</f>
        <v>0</v>
      </c>
      <c r="Y586" s="53">
        <f ca="1">('TUSD BE'!$AM$20+'TUSD BF_350'!$AM$20+'TUSD CVA'!$AM$20)*1*(1-0.03)</f>
        <v>17.052599999999998</v>
      </c>
      <c r="Z586" s="53"/>
      <c r="AA586" s="53"/>
      <c r="AB586" s="6">
        <f>$K$586*$V$586</f>
        <v>16671.614399999999</v>
      </c>
      <c r="AC586" s="6">
        <f>$M$586*$W$586</f>
        <v>0</v>
      </c>
      <c r="AD586" s="6">
        <f>$O$586*$X$586</f>
        <v>0</v>
      </c>
      <c r="AE586" s="6">
        <f ca="1">$K$586*$Y$586</f>
        <v>24351.112799999999</v>
      </c>
      <c r="AF586" s="6">
        <f>$M$586*$Z$586</f>
        <v>0</v>
      </c>
      <c r="AG586" s="6">
        <f>$O$586*$AA$586</f>
        <v>0</v>
      </c>
    </row>
    <row r="587" spans="1:33" ht="11.25" customHeight="1" x14ac:dyDescent="0.25">
      <c r="A587" s="4" t="s">
        <v>21</v>
      </c>
      <c r="B587" s="4" t="s">
        <v>33</v>
      </c>
      <c r="C587" s="4" t="s">
        <v>34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1416</v>
      </c>
      <c r="K587" s="52">
        <v>1416</v>
      </c>
      <c r="L587" s="6">
        <v>0</v>
      </c>
      <c r="M587" s="53">
        <v>0</v>
      </c>
      <c r="N587" s="6">
        <v>0</v>
      </c>
      <c r="O587" s="53">
        <v>0</v>
      </c>
      <c r="P587" s="6">
        <v>11</v>
      </c>
      <c r="Q587" s="4" t="s">
        <v>26</v>
      </c>
      <c r="R587" s="4">
        <v>0</v>
      </c>
      <c r="S587" s="6">
        <v>18</v>
      </c>
      <c r="T587" s="6">
        <v>0</v>
      </c>
      <c r="U587" s="6">
        <v>0</v>
      </c>
      <c r="V587" s="53">
        <f>IF(ISERROR(VLOOKUP($S$587,'TAR FIN'!$A$1:$O$103,15,0)),0,VLOOKUP($S$587,'TAR FIN'!$A$1:$O$103,15,0))*(1-0.06)</f>
        <v>11.674799999999999</v>
      </c>
      <c r="W587" s="53">
        <f>IF(ISERROR(VLOOKUP($T$587,'TAR FIN'!$A$1:$O$103,15,0)),0,VLOOKUP($T$587,'TAR FIN'!$A$1:$O$103,15,0))</f>
        <v>0</v>
      </c>
      <c r="X587" s="53">
        <f>IF(ISERROR(VLOOKUP($U$587,'TAR FIN'!$A$1:$O$103,15,0)),0,VLOOKUP($U$587,'TAR FIN'!$A$1:$O$103,15,0))</f>
        <v>0</v>
      </c>
      <c r="Y587" s="53">
        <f ca="1">('TUSD BE'!$AM$20+'TUSD BF_350'!$AM$20+'TUSD CVA'!$AM$20)*1*(1-0.03)</f>
        <v>17.052599999999998</v>
      </c>
      <c r="Z587" s="53"/>
      <c r="AA587" s="53"/>
      <c r="AB587" s="6">
        <f>$K$587*$V$587</f>
        <v>16531.516799999998</v>
      </c>
      <c r="AC587" s="6">
        <f>$M$587*$W$587</f>
        <v>0</v>
      </c>
      <c r="AD587" s="6">
        <f>$O$587*$X$587</f>
        <v>0</v>
      </c>
      <c r="AE587" s="6">
        <f ca="1">$K$587*$Y$587</f>
        <v>24146.481599999999</v>
      </c>
      <c r="AF587" s="6">
        <f>$M$587*$Z$587</f>
        <v>0</v>
      </c>
      <c r="AG587" s="6">
        <f>$O$587*$AA$587</f>
        <v>0</v>
      </c>
    </row>
    <row r="588" spans="1:33" ht="11.25" customHeight="1" x14ac:dyDescent="0.25">
      <c r="A588" s="4" t="s">
        <v>21</v>
      </c>
      <c r="B588" s="4" t="s">
        <v>33</v>
      </c>
      <c r="C588" s="4" t="s">
        <v>34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1427</v>
      </c>
      <c r="K588" s="52">
        <v>1427</v>
      </c>
      <c r="L588" s="6">
        <v>0</v>
      </c>
      <c r="M588" s="53">
        <v>0</v>
      </c>
      <c r="N588" s="6">
        <v>0</v>
      </c>
      <c r="O588" s="53">
        <v>0</v>
      </c>
      <c r="P588" s="6">
        <v>11</v>
      </c>
      <c r="Q588" s="4" t="s">
        <v>26</v>
      </c>
      <c r="R588" s="4">
        <v>0</v>
      </c>
      <c r="S588" s="6">
        <v>18</v>
      </c>
      <c r="T588" s="6">
        <v>0</v>
      </c>
      <c r="U588" s="6">
        <v>0</v>
      </c>
      <c r="V588" s="53">
        <f>IF(ISERROR(VLOOKUP($S$588,'TAR FIN'!$A$1:$O$103,15,0)),0,VLOOKUP($S$588,'TAR FIN'!$A$1:$O$103,15,0))*(1-0.06)</f>
        <v>11.674799999999999</v>
      </c>
      <c r="W588" s="53">
        <f>IF(ISERROR(VLOOKUP($T$588,'TAR FIN'!$A$1:$O$103,15,0)),0,VLOOKUP($T$588,'TAR FIN'!$A$1:$O$103,15,0))</f>
        <v>0</v>
      </c>
      <c r="X588" s="53">
        <f>IF(ISERROR(VLOOKUP($U$588,'TAR FIN'!$A$1:$O$103,15,0)),0,VLOOKUP($U$588,'TAR FIN'!$A$1:$O$103,15,0))</f>
        <v>0</v>
      </c>
      <c r="Y588" s="53">
        <f ca="1">('TUSD BE'!$AM$20+'TUSD BF_350'!$AM$20+'TUSD CVA'!$AM$20)*1*(1-0.03)</f>
        <v>17.052599999999998</v>
      </c>
      <c r="Z588" s="53"/>
      <c r="AA588" s="53"/>
      <c r="AB588" s="6">
        <f>$K$588*$V$588</f>
        <v>16659.939599999998</v>
      </c>
      <c r="AC588" s="6">
        <f>$M$588*$W$588</f>
        <v>0</v>
      </c>
      <c r="AD588" s="6">
        <f>$O$588*$X$588</f>
        <v>0</v>
      </c>
      <c r="AE588" s="6">
        <f ca="1">$K$588*$Y$588</f>
        <v>24334.060199999996</v>
      </c>
      <c r="AF588" s="6">
        <f>$M$588*$Z$588</f>
        <v>0</v>
      </c>
      <c r="AG588" s="6">
        <f>$O$588*$AA$588</f>
        <v>0</v>
      </c>
    </row>
    <row r="589" spans="1:33" ht="11.25" customHeight="1" x14ac:dyDescent="0.25">
      <c r="A589" s="4" t="s">
        <v>21</v>
      </c>
      <c r="B589" s="4" t="s">
        <v>33</v>
      </c>
      <c r="C589" s="4" t="s">
        <v>34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25</v>
      </c>
      <c r="I589" s="5">
        <v>44440</v>
      </c>
      <c r="J589" s="6">
        <v>1372</v>
      </c>
      <c r="K589" s="52">
        <v>1372</v>
      </c>
      <c r="L589" s="6">
        <v>0</v>
      </c>
      <c r="M589" s="53">
        <v>0</v>
      </c>
      <c r="N589" s="6">
        <v>0</v>
      </c>
      <c r="O589" s="53">
        <v>0</v>
      </c>
      <c r="P589" s="6">
        <v>11</v>
      </c>
      <c r="Q589" s="4" t="s">
        <v>26</v>
      </c>
      <c r="R589" s="4">
        <v>0</v>
      </c>
      <c r="S589" s="6">
        <v>18</v>
      </c>
      <c r="T589" s="6">
        <v>0</v>
      </c>
      <c r="U589" s="6">
        <v>0</v>
      </c>
      <c r="V589" s="53">
        <f>IF(ISERROR(VLOOKUP($S$589,'TAR FIN'!$A$1:$O$103,15,0)),0,VLOOKUP($S$589,'TAR FIN'!$A$1:$O$103,15,0))*(1-0.06)</f>
        <v>11.674799999999999</v>
      </c>
      <c r="W589" s="53">
        <f>IF(ISERROR(VLOOKUP($T$589,'TAR FIN'!$A$1:$O$103,15,0)),0,VLOOKUP($T$589,'TAR FIN'!$A$1:$O$103,15,0))</f>
        <v>0</v>
      </c>
      <c r="X589" s="53">
        <f>IF(ISERROR(VLOOKUP($U$589,'TAR FIN'!$A$1:$O$103,15,0)),0,VLOOKUP($U$589,'TAR FIN'!$A$1:$O$103,15,0))</f>
        <v>0</v>
      </c>
      <c r="Y589" s="53">
        <f ca="1">('TUSD BE'!$AM$20+'TUSD BF_350'!$AM$20+'TUSD CVA'!$AM$20)*1*(1-0.03)</f>
        <v>17.052599999999998</v>
      </c>
      <c r="Z589" s="53"/>
      <c r="AA589" s="53"/>
      <c r="AB589" s="6">
        <f>$K$589*$V$589</f>
        <v>16017.825599999998</v>
      </c>
      <c r="AC589" s="6">
        <f>$M$589*$W$589</f>
        <v>0</v>
      </c>
      <c r="AD589" s="6">
        <f>$O$589*$X$589</f>
        <v>0</v>
      </c>
      <c r="AE589" s="6">
        <f ca="1">$K$589*$Y$589</f>
        <v>23396.167199999996</v>
      </c>
      <c r="AF589" s="6">
        <f>$M$589*$Z$589</f>
        <v>0</v>
      </c>
      <c r="AG589" s="6">
        <f>$O$589*$AA$589</f>
        <v>0</v>
      </c>
    </row>
    <row r="590" spans="1:33" ht="11.25" customHeight="1" x14ac:dyDescent="0.25">
      <c r="A590" s="4" t="s">
        <v>21</v>
      </c>
      <c r="B590" s="4" t="s">
        <v>33</v>
      </c>
      <c r="C590" s="4" t="s">
        <v>34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1428</v>
      </c>
      <c r="K590" s="52">
        <v>1428</v>
      </c>
      <c r="L590" s="6">
        <v>0</v>
      </c>
      <c r="M590" s="53">
        <v>0</v>
      </c>
      <c r="N590" s="6">
        <v>0</v>
      </c>
      <c r="O590" s="53">
        <v>0</v>
      </c>
      <c r="P590" s="6">
        <v>11</v>
      </c>
      <c r="Q590" s="4" t="s">
        <v>26</v>
      </c>
      <c r="R590" s="4">
        <v>0</v>
      </c>
      <c r="S590" s="6">
        <v>18</v>
      </c>
      <c r="T590" s="6">
        <v>0</v>
      </c>
      <c r="U590" s="6">
        <v>0</v>
      </c>
      <c r="V590" s="53">
        <f>IF(ISERROR(VLOOKUP($S$590,'TAR FIN'!$A$1:$O$103,15,0)),0,VLOOKUP($S$590,'TAR FIN'!$A$1:$O$103,15,0))*(1-0.06)</f>
        <v>11.674799999999999</v>
      </c>
      <c r="W590" s="53">
        <f>IF(ISERROR(VLOOKUP($T$590,'TAR FIN'!$A$1:$O$103,15,0)),0,VLOOKUP($T$590,'TAR FIN'!$A$1:$O$103,15,0))</f>
        <v>0</v>
      </c>
      <c r="X590" s="53">
        <f>IF(ISERROR(VLOOKUP($U$590,'TAR FIN'!$A$1:$O$103,15,0)),0,VLOOKUP($U$590,'TAR FIN'!$A$1:$O$103,15,0))</f>
        <v>0</v>
      </c>
      <c r="Y590" s="53">
        <f ca="1">('TUSD BE'!$AM$20+'TUSD BF_350'!$AM$20+'TUSD CVA'!$AM$20)*1*(1-0.03)</f>
        <v>17.052599999999998</v>
      </c>
      <c r="Z590" s="53"/>
      <c r="AA590" s="53"/>
      <c r="AB590" s="6">
        <f>$K$590*$V$590</f>
        <v>16671.614399999999</v>
      </c>
      <c r="AC590" s="6">
        <f>$M$590*$W$590</f>
        <v>0</v>
      </c>
      <c r="AD590" s="6">
        <f>$O$590*$X$590</f>
        <v>0</v>
      </c>
      <c r="AE590" s="6">
        <f ca="1">$K$590*$Y$590</f>
        <v>24351.112799999999</v>
      </c>
      <c r="AF590" s="6">
        <f>$M$590*$Z$590</f>
        <v>0</v>
      </c>
      <c r="AG590" s="6">
        <f>$O$590*$AA$590</f>
        <v>0</v>
      </c>
    </row>
    <row r="591" spans="1:33" ht="11.25" customHeight="1" x14ac:dyDescent="0.25">
      <c r="A591" s="4" t="s">
        <v>21</v>
      </c>
      <c r="B591" s="4" t="s">
        <v>33</v>
      </c>
      <c r="C591" s="4" t="s">
        <v>34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1394</v>
      </c>
      <c r="K591" s="52">
        <v>1394</v>
      </c>
      <c r="L591" s="6">
        <v>0</v>
      </c>
      <c r="M591" s="53">
        <v>0</v>
      </c>
      <c r="N591" s="6">
        <v>0</v>
      </c>
      <c r="O591" s="53">
        <v>0</v>
      </c>
      <c r="P591" s="6">
        <v>10</v>
      </c>
      <c r="Q591" s="4" t="s">
        <v>26</v>
      </c>
      <c r="R591" s="4">
        <v>0</v>
      </c>
      <c r="S591" s="6">
        <v>18</v>
      </c>
      <c r="T591" s="6">
        <v>0</v>
      </c>
      <c r="U591" s="6">
        <v>0</v>
      </c>
      <c r="V591" s="53">
        <f>IF(ISERROR(VLOOKUP($S$591,'TAR FIN'!$A$1:$O$103,15,0)),0,VLOOKUP($S$591,'TAR FIN'!$A$1:$O$103,15,0))*(1-0.06)</f>
        <v>11.674799999999999</v>
      </c>
      <c r="W591" s="53">
        <f>IF(ISERROR(VLOOKUP($T$591,'TAR FIN'!$A$1:$O$103,15,0)),0,VLOOKUP($T$591,'TAR FIN'!$A$1:$O$103,15,0))</f>
        <v>0</v>
      </c>
      <c r="X591" s="53">
        <f>IF(ISERROR(VLOOKUP($U$591,'TAR FIN'!$A$1:$O$103,15,0)),0,VLOOKUP($U$591,'TAR FIN'!$A$1:$O$103,15,0))</f>
        <v>0</v>
      </c>
      <c r="Y591" s="53">
        <f ca="1">('TUSD BE'!$AM$20+'TUSD BF_350'!$AM$20+'TUSD CVA'!$AM$20)*1*(1-0.03)</f>
        <v>17.052599999999998</v>
      </c>
      <c r="Z591" s="53"/>
      <c r="AA591" s="53"/>
      <c r="AB591" s="6">
        <f>$K$591*$V$591</f>
        <v>16274.671199999999</v>
      </c>
      <c r="AC591" s="6">
        <f>$M$591*$W$591</f>
        <v>0</v>
      </c>
      <c r="AD591" s="6">
        <f>$O$591*$X$591</f>
        <v>0</v>
      </c>
      <c r="AE591" s="6">
        <f ca="1">$K$591*$Y$591</f>
        <v>23771.324399999998</v>
      </c>
      <c r="AF591" s="6">
        <f>$M$591*$Z$591</f>
        <v>0</v>
      </c>
      <c r="AG591" s="6">
        <f>$O$591*$AA$591</f>
        <v>0</v>
      </c>
    </row>
    <row r="592" spans="1:33" ht="11.25" customHeight="1" x14ac:dyDescent="0.25">
      <c r="A592" s="4" t="s">
        <v>21</v>
      </c>
      <c r="B592" s="4" t="s">
        <v>33</v>
      </c>
      <c r="C592" s="4" t="s">
        <v>34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1422</v>
      </c>
      <c r="K592" s="52">
        <v>1422</v>
      </c>
      <c r="L592" s="6">
        <v>0</v>
      </c>
      <c r="M592" s="53">
        <v>0</v>
      </c>
      <c r="N592" s="6">
        <v>0</v>
      </c>
      <c r="O592" s="53">
        <v>0</v>
      </c>
      <c r="P592" s="6">
        <v>11</v>
      </c>
      <c r="Q592" s="4" t="s">
        <v>26</v>
      </c>
      <c r="R592" s="4">
        <v>0</v>
      </c>
      <c r="S592" s="6">
        <v>18</v>
      </c>
      <c r="T592" s="6">
        <v>0</v>
      </c>
      <c r="U592" s="6">
        <v>0</v>
      </c>
      <c r="V592" s="53">
        <f>IF(ISERROR(VLOOKUP($S$592,'TAR FIN'!$A$1:$O$103,15,0)),0,VLOOKUP($S$592,'TAR FIN'!$A$1:$O$103,15,0))*(1-0.06)</f>
        <v>11.674799999999999</v>
      </c>
      <c r="W592" s="53">
        <f>IF(ISERROR(VLOOKUP($T$592,'TAR FIN'!$A$1:$O$103,15,0)),0,VLOOKUP($T$592,'TAR FIN'!$A$1:$O$103,15,0))</f>
        <v>0</v>
      </c>
      <c r="X592" s="53">
        <f>IF(ISERROR(VLOOKUP($U$592,'TAR FIN'!$A$1:$O$103,15,0)),0,VLOOKUP($U$592,'TAR FIN'!$A$1:$O$103,15,0))</f>
        <v>0</v>
      </c>
      <c r="Y592" s="53">
        <f ca="1">('TUSD BE'!$AM$20+'TUSD BF_350'!$AM$20+'TUSD CVA'!$AM$20)*1*(1-0.03)</f>
        <v>17.052599999999998</v>
      </c>
      <c r="Z592" s="53"/>
      <c r="AA592" s="53"/>
      <c r="AB592" s="6">
        <f>$K$592*$V$592</f>
        <v>16601.565599999998</v>
      </c>
      <c r="AC592" s="6">
        <f>$M$592*$W$592</f>
        <v>0</v>
      </c>
      <c r="AD592" s="6">
        <f>$O$592*$X$592</f>
        <v>0</v>
      </c>
      <c r="AE592" s="6">
        <f ca="1">$K$592*$Y$592</f>
        <v>24248.797199999997</v>
      </c>
      <c r="AF592" s="6">
        <f>$M$592*$Z$592</f>
        <v>0</v>
      </c>
      <c r="AG592" s="6">
        <f>$O$592*$AA$592</f>
        <v>0</v>
      </c>
    </row>
    <row r="593" spans="1:33" ht="11.25" customHeight="1" x14ac:dyDescent="0.25">
      <c r="A593" s="4" t="s">
        <v>21</v>
      </c>
      <c r="B593" s="4" t="s">
        <v>33</v>
      </c>
      <c r="C593" s="4" t="s">
        <v>34</v>
      </c>
      <c r="D593" s="4" t="s">
        <v>50</v>
      </c>
      <c r="E593" s="4" t="s">
        <v>51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1419</v>
      </c>
      <c r="K593" s="52">
        <v>1419</v>
      </c>
      <c r="L593" s="6">
        <v>0</v>
      </c>
      <c r="M593" s="53">
        <v>0</v>
      </c>
      <c r="N593" s="6">
        <v>0</v>
      </c>
      <c r="O593" s="53">
        <v>0</v>
      </c>
      <c r="P593" s="6">
        <v>11</v>
      </c>
      <c r="Q593" s="4" t="s">
        <v>26</v>
      </c>
      <c r="R593" s="4">
        <v>0</v>
      </c>
      <c r="S593" s="6">
        <v>18</v>
      </c>
      <c r="T593" s="6">
        <v>0</v>
      </c>
      <c r="U593" s="6">
        <v>0</v>
      </c>
      <c r="V593" s="53">
        <f>IF(ISERROR(VLOOKUP($S$593,'TAR FIN'!$A$1:$O$103,15,0)),0,VLOOKUP($S$593,'TAR FIN'!$A$1:$O$103,15,0))*(1-0.06)</f>
        <v>11.674799999999999</v>
      </c>
      <c r="W593" s="53">
        <f>IF(ISERROR(VLOOKUP($T$593,'TAR FIN'!$A$1:$O$103,15,0)),0,VLOOKUP($T$593,'TAR FIN'!$A$1:$O$103,15,0))</f>
        <v>0</v>
      </c>
      <c r="X593" s="53">
        <f>IF(ISERROR(VLOOKUP($U$593,'TAR FIN'!$A$1:$O$103,15,0)),0,VLOOKUP($U$593,'TAR FIN'!$A$1:$O$103,15,0))</f>
        <v>0</v>
      </c>
      <c r="Y593" s="53">
        <f ca="1">('TUSD BE'!$AM$20+'TUSD BF_350'!$AM$20+'TUSD CVA'!$AM$20)*1*(1-0.03)</f>
        <v>17.052599999999998</v>
      </c>
      <c r="Z593" s="53"/>
      <c r="AA593" s="53"/>
      <c r="AB593" s="6">
        <f>$K$593*$V$593</f>
        <v>16566.5412</v>
      </c>
      <c r="AC593" s="6">
        <f>$M$593*$W$593</f>
        <v>0</v>
      </c>
      <c r="AD593" s="6">
        <f>$O$593*$X$593</f>
        <v>0</v>
      </c>
      <c r="AE593" s="6">
        <f ca="1">$K$593*$Y$593</f>
        <v>24197.639399999996</v>
      </c>
      <c r="AF593" s="6">
        <f>$M$593*$Z$593</f>
        <v>0</v>
      </c>
      <c r="AG593" s="6">
        <f>$O$593*$AA$593</f>
        <v>0</v>
      </c>
    </row>
    <row r="594" spans="1:33" ht="11.25" customHeight="1" x14ac:dyDescent="0.25">
      <c r="A594" s="4" t="s">
        <v>21</v>
      </c>
      <c r="B594" s="4" t="s">
        <v>33</v>
      </c>
      <c r="C594" s="4" t="s">
        <v>34</v>
      </c>
      <c r="D594" s="4" t="s">
        <v>50</v>
      </c>
      <c r="E594" s="4" t="s">
        <v>51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1408</v>
      </c>
      <c r="K594" s="52">
        <v>1408</v>
      </c>
      <c r="L594" s="6">
        <v>0</v>
      </c>
      <c r="M594" s="53">
        <v>0</v>
      </c>
      <c r="N594" s="6">
        <v>0</v>
      </c>
      <c r="O594" s="53">
        <v>0</v>
      </c>
      <c r="P594" s="6">
        <v>11</v>
      </c>
      <c r="Q594" s="4" t="s">
        <v>26</v>
      </c>
      <c r="R594" s="4">
        <v>0</v>
      </c>
      <c r="S594" s="6">
        <v>18</v>
      </c>
      <c r="T594" s="6">
        <v>0</v>
      </c>
      <c r="U594" s="6">
        <v>0</v>
      </c>
      <c r="V594" s="53">
        <f>IF(ISERROR(VLOOKUP($S$594,'TAR FIN'!$A$1:$O$103,15,0)),0,VLOOKUP($S$594,'TAR FIN'!$A$1:$O$103,15,0))*(1-0.06)</f>
        <v>11.674799999999999</v>
      </c>
      <c r="W594" s="53">
        <f>IF(ISERROR(VLOOKUP($T$594,'TAR FIN'!$A$1:$O$103,15,0)),0,VLOOKUP($T$594,'TAR FIN'!$A$1:$O$103,15,0))</f>
        <v>0</v>
      </c>
      <c r="X594" s="53">
        <f>IF(ISERROR(VLOOKUP($U$594,'TAR FIN'!$A$1:$O$103,15,0)),0,VLOOKUP($U$594,'TAR FIN'!$A$1:$O$103,15,0))</f>
        <v>0</v>
      </c>
      <c r="Y594" s="53">
        <f ca="1">('TUSD BE'!$AM$20+'TUSD BF_350'!$AM$20+'TUSD CVA'!$AM$20)*1*(1-0.03)</f>
        <v>17.052599999999998</v>
      </c>
      <c r="Z594" s="53"/>
      <c r="AA594" s="53"/>
      <c r="AB594" s="6">
        <f>$K$594*$V$594</f>
        <v>16438.118399999999</v>
      </c>
      <c r="AC594" s="6">
        <f>$M$594*$W$594</f>
        <v>0</v>
      </c>
      <c r="AD594" s="6">
        <f>$O$594*$X$594</f>
        <v>0</v>
      </c>
      <c r="AE594" s="6">
        <f ca="1">$K$594*$Y$594</f>
        <v>24010.060799999999</v>
      </c>
      <c r="AF594" s="6">
        <f>$M$594*$Z$594</f>
        <v>0</v>
      </c>
      <c r="AG594" s="6">
        <f>$O$594*$AA$594</f>
        <v>0</v>
      </c>
    </row>
    <row r="595" spans="1:33" ht="11.25" customHeight="1" x14ac:dyDescent="0.25">
      <c r="A595" s="4" t="s">
        <v>21</v>
      </c>
      <c r="B595" s="4" t="s">
        <v>33</v>
      </c>
      <c r="C595" s="4" t="s">
        <v>34</v>
      </c>
      <c r="D595" s="4" t="s">
        <v>50</v>
      </c>
      <c r="E595" s="4" t="s">
        <v>51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1384</v>
      </c>
      <c r="K595" s="52">
        <v>1384</v>
      </c>
      <c r="L595" s="6">
        <v>0</v>
      </c>
      <c r="M595" s="53">
        <v>0</v>
      </c>
      <c r="N595" s="6">
        <v>0</v>
      </c>
      <c r="O595" s="53">
        <v>0</v>
      </c>
      <c r="P595" s="6">
        <v>11</v>
      </c>
      <c r="Q595" s="4" t="s">
        <v>26</v>
      </c>
      <c r="R595" s="4">
        <v>0</v>
      </c>
      <c r="S595" s="6">
        <v>18</v>
      </c>
      <c r="T595" s="6">
        <v>0</v>
      </c>
      <c r="U595" s="6">
        <v>0</v>
      </c>
      <c r="V595" s="53">
        <f>IF(ISERROR(VLOOKUP($S$595,'TAR FIN'!$A$1:$O$103,15,0)),0,VLOOKUP($S$595,'TAR FIN'!$A$1:$O$103,15,0))*(1-0.06)</f>
        <v>11.674799999999999</v>
      </c>
      <c r="W595" s="53">
        <f>IF(ISERROR(VLOOKUP($T$595,'TAR FIN'!$A$1:$O$103,15,0)),0,VLOOKUP($T$595,'TAR FIN'!$A$1:$O$103,15,0))</f>
        <v>0</v>
      </c>
      <c r="X595" s="53">
        <f>IF(ISERROR(VLOOKUP($U$595,'TAR FIN'!$A$1:$O$103,15,0)),0,VLOOKUP($U$595,'TAR FIN'!$A$1:$O$103,15,0))</f>
        <v>0</v>
      </c>
      <c r="Y595" s="53">
        <f ca="1">('TUSD BE'!$AM$20+'TUSD BF_350'!$AM$20+'TUSD CVA'!$AM$20)*1*(1-0.03)</f>
        <v>17.052599999999998</v>
      </c>
      <c r="Z595" s="53"/>
      <c r="AA595" s="53"/>
      <c r="AB595" s="6">
        <f>$K$595*$V$595</f>
        <v>16157.923199999999</v>
      </c>
      <c r="AC595" s="6">
        <f>$M$595*$W$595</f>
        <v>0</v>
      </c>
      <c r="AD595" s="6">
        <f>$O$595*$X$595</f>
        <v>0</v>
      </c>
      <c r="AE595" s="6">
        <f ca="1">$K$595*$Y$595</f>
        <v>23600.798399999996</v>
      </c>
      <c r="AF595" s="6">
        <f>$M$595*$Z$595</f>
        <v>0</v>
      </c>
      <c r="AG595" s="6">
        <f>$O$595*$AA$595</f>
        <v>0</v>
      </c>
    </row>
    <row r="596" spans="1:33" ht="11.25" customHeight="1" x14ac:dyDescent="0.25">
      <c r="A596" s="4" t="s">
        <v>21</v>
      </c>
      <c r="B596" s="4" t="s">
        <v>33</v>
      </c>
      <c r="C596" s="4" t="s">
        <v>34</v>
      </c>
      <c r="D596" s="4" t="s">
        <v>50</v>
      </c>
      <c r="E596" s="4" t="s">
        <v>51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1423</v>
      </c>
      <c r="K596" s="52">
        <v>1423</v>
      </c>
      <c r="L596" s="6">
        <v>0</v>
      </c>
      <c r="M596" s="53">
        <v>0</v>
      </c>
      <c r="N596" s="6">
        <v>0</v>
      </c>
      <c r="O596" s="53">
        <v>0</v>
      </c>
      <c r="P596" s="6">
        <v>11</v>
      </c>
      <c r="Q596" s="4" t="s">
        <v>26</v>
      </c>
      <c r="R596" s="4">
        <v>0</v>
      </c>
      <c r="S596" s="6">
        <v>18</v>
      </c>
      <c r="T596" s="6">
        <v>0</v>
      </c>
      <c r="U596" s="6">
        <v>0</v>
      </c>
      <c r="V596" s="53">
        <f>IF(ISERROR(VLOOKUP($S$596,'TAR FIN'!$A$1:$O$103,15,0)),0,VLOOKUP($S$596,'TAR FIN'!$A$1:$O$103,15,0))*(1-0.06)</f>
        <v>11.674799999999999</v>
      </c>
      <c r="W596" s="53">
        <f>IF(ISERROR(VLOOKUP($T$596,'TAR FIN'!$A$1:$O$103,15,0)),0,VLOOKUP($T$596,'TAR FIN'!$A$1:$O$103,15,0))</f>
        <v>0</v>
      </c>
      <c r="X596" s="53">
        <f>IF(ISERROR(VLOOKUP($U$596,'TAR FIN'!$A$1:$O$103,15,0)),0,VLOOKUP($U$596,'TAR FIN'!$A$1:$O$103,15,0))</f>
        <v>0</v>
      </c>
      <c r="Y596" s="53">
        <f ca="1">('TUSD BE'!$AM$20+'TUSD BF_350'!$AM$20+'TUSD CVA'!$AM$20)*1*(1-0.03)</f>
        <v>17.052599999999998</v>
      </c>
      <c r="Z596" s="53"/>
      <c r="AA596" s="53"/>
      <c r="AB596" s="6">
        <f>$K$596*$V$596</f>
        <v>16613.240399999999</v>
      </c>
      <c r="AC596" s="6">
        <f>$M$596*$W$596</f>
        <v>0</v>
      </c>
      <c r="AD596" s="6">
        <f>$O$596*$X$596</f>
        <v>0</v>
      </c>
      <c r="AE596" s="6">
        <f ca="1">$K$596*$Y$596</f>
        <v>24265.849799999996</v>
      </c>
      <c r="AF596" s="6">
        <f>$M$596*$Z$596</f>
        <v>0</v>
      </c>
      <c r="AG596" s="6">
        <f>$O$596*$AA$596</f>
        <v>0</v>
      </c>
    </row>
    <row r="597" spans="1:33" ht="11.25" customHeight="1" x14ac:dyDescent="0.25">
      <c r="A597" s="4" t="s">
        <v>21</v>
      </c>
      <c r="B597" s="4" t="s">
        <v>33</v>
      </c>
      <c r="C597" s="4" t="s">
        <v>34</v>
      </c>
      <c r="D597" s="4" t="s">
        <v>50</v>
      </c>
      <c r="E597" s="4" t="s">
        <v>51</v>
      </c>
      <c r="F597" s="4" t="s">
        <v>25</v>
      </c>
      <c r="G597" s="4" t="s">
        <v>25</v>
      </c>
      <c r="H597" s="4" t="s">
        <v>25</v>
      </c>
      <c r="I597" s="5">
        <v>44682</v>
      </c>
      <c r="J597" s="6">
        <v>1426</v>
      </c>
      <c r="K597" s="52">
        <v>1426</v>
      </c>
      <c r="L597" s="6">
        <v>0</v>
      </c>
      <c r="M597" s="53">
        <v>0</v>
      </c>
      <c r="N597" s="6">
        <v>0</v>
      </c>
      <c r="O597" s="53">
        <v>0</v>
      </c>
      <c r="P597" s="6">
        <v>11</v>
      </c>
      <c r="Q597" s="4" t="s">
        <v>26</v>
      </c>
      <c r="R597" s="4">
        <v>0</v>
      </c>
      <c r="S597" s="6">
        <v>18</v>
      </c>
      <c r="T597" s="6">
        <v>0</v>
      </c>
      <c r="U597" s="6">
        <v>0</v>
      </c>
      <c r="V597" s="53">
        <f>IF(ISERROR(VLOOKUP($S$597,'TAR FIN'!$A$1:$O$103,15,0)),0,VLOOKUP($S$597,'TAR FIN'!$A$1:$O$103,15,0))*(1-0.06)</f>
        <v>11.674799999999999</v>
      </c>
      <c r="W597" s="53">
        <f>IF(ISERROR(VLOOKUP($T$597,'TAR FIN'!$A$1:$O$103,15,0)),0,VLOOKUP($T$597,'TAR FIN'!$A$1:$O$103,15,0))</f>
        <v>0</v>
      </c>
      <c r="X597" s="53">
        <f>IF(ISERROR(VLOOKUP($U$597,'TAR FIN'!$A$1:$O$103,15,0)),0,VLOOKUP($U$597,'TAR FIN'!$A$1:$O$103,15,0))</f>
        <v>0</v>
      </c>
      <c r="Y597" s="53">
        <f ca="1">('TUSD BE'!$AM$20+'TUSD BF_350'!$AM$20+'TUSD CVA'!$AM$20)*1*(1-0.03)</f>
        <v>17.052599999999998</v>
      </c>
      <c r="Z597" s="53"/>
      <c r="AA597" s="53"/>
      <c r="AB597" s="6">
        <f>$K$597*$V$597</f>
        <v>16648.264800000001</v>
      </c>
      <c r="AC597" s="6">
        <f>$M$597*$W$597</f>
        <v>0</v>
      </c>
      <c r="AD597" s="6">
        <f>$O$597*$X$597</f>
        <v>0</v>
      </c>
      <c r="AE597" s="6">
        <f ca="1">$K$597*$Y$597</f>
        <v>24317.007599999997</v>
      </c>
      <c r="AF597" s="6">
        <f>$M$597*$Z$597</f>
        <v>0</v>
      </c>
      <c r="AG597" s="6">
        <f>$O$597*$AA$597</f>
        <v>0</v>
      </c>
    </row>
    <row r="598" spans="1:33" ht="11.25" customHeight="1" x14ac:dyDescent="0.25">
      <c r="A598" s="4" t="s">
        <v>21</v>
      </c>
      <c r="B598" s="4" t="s">
        <v>33</v>
      </c>
      <c r="C598" s="4" t="s">
        <v>34</v>
      </c>
      <c r="D598" s="4" t="s">
        <v>50</v>
      </c>
      <c r="E598" s="4" t="s">
        <v>51</v>
      </c>
      <c r="F598" s="4" t="s">
        <v>25</v>
      </c>
      <c r="G598" s="4" t="s">
        <v>25</v>
      </c>
      <c r="H598" s="4" t="s">
        <v>37</v>
      </c>
      <c r="I598" s="5">
        <v>44348</v>
      </c>
      <c r="J598" s="6">
        <v>0</v>
      </c>
      <c r="K598" s="53">
        <v>0</v>
      </c>
      <c r="L598" s="6">
        <v>44.351999999999997</v>
      </c>
      <c r="M598" s="53">
        <v>44.351999999999997</v>
      </c>
      <c r="N598" s="6">
        <v>44.351999999999997</v>
      </c>
      <c r="O598" s="53">
        <v>44.351999999999997</v>
      </c>
      <c r="P598" s="6">
        <v>0</v>
      </c>
      <c r="Q598" s="4" t="s">
        <v>26</v>
      </c>
      <c r="R598" s="4">
        <v>0</v>
      </c>
      <c r="S598" s="6">
        <v>0</v>
      </c>
      <c r="T598" s="6">
        <v>19</v>
      </c>
      <c r="U598" s="6">
        <v>65</v>
      </c>
      <c r="V598" s="53">
        <f>IF(ISERROR(VLOOKUP($S$598,'TAR FIN'!$A$1:$O$103,15,0)),0,VLOOKUP($S$598,'TAR FIN'!$A$1:$O$103,15,0))</f>
        <v>0</v>
      </c>
      <c r="W598" s="53">
        <f>IF(ISERROR(VLOOKUP($T$598,'TAR FIN'!$A$1:$O$103,15,0)),0,VLOOKUP($T$598,'TAR FIN'!$A$1:$O$103,15,0))*(1-0.06)</f>
        <v>791.77139999999986</v>
      </c>
      <c r="X598" s="53">
        <f>IF(ISERROR(VLOOKUP($U$598,'TAR FIN'!$A$1:$O$103,15,0)),0,VLOOKUP($U$598,'TAR FIN'!$A$1:$O$103,15,0))*(1-0.06)</f>
        <v>427.60599999999994</v>
      </c>
      <c r="Y598" s="53"/>
      <c r="Z598" s="53">
        <f ca="1">('TUSD BE'!$AM$21+'TUSD BF_350'!$AM$21+'TUSD CVA'!$AM$21)*1*(1-0.03)</f>
        <v>996.63620000000003</v>
      </c>
      <c r="AA598" s="53">
        <f ca="1">('TE BE'!$AB$8+'TE BF_350'!$AB$8+'TE CVA'!$AB$8)*1*(1-0.03)</f>
        <v>376.43760000000003</v>
      </c>
      <c r="AB598" s="6">
        <f>$K$598*$V$598</f>
        <v>0</v>
      </c>
      <c r="AC598" s="6">
        <f>$M$598*$W$598</f>
        <v>35116.645132799989</v>
      </c>
      <c r="AD598" s="6">
        <f>$O$598*$X$598</f>
        <v>18965.181311999997</v>
      </c>
      <c r="AE598" s="6">
        <f>$K$598*$Y$598</f>
        <v>0</v>
      </c>
      <c r="AF598" s="6">
        <f ca="1">$M$598*$Z$598</f>
        <v>44202.808742399997</v>
      </c>
      <c r="AG598" s="6">
        <f ca="1">$O$598*$AA$598</f>
        <v>16695.760435200002</v>
      </c>
    </row>
    <row r="599" spans="1:33" ht="11.25" customHeight="1" x14ac:dyDescent="0.25">
      <c r="A599" s="4" t="s">
        <v>21</v>
      </c>
      <c r="B599" s="4" t="s">
        <v>33</v>
      </c>
      <c r="C599" s="4" t="s">
        <v>34</v>
      </c>
      <c r="D599" s="4" t="s">
        <v>50</v>
      </c>
      <c r="E599" s="4" t="s">
        <v>51</v>
      </c>
      <c r="F599" s="4" t="s">
        <v>25</v>
      </c>
      <c r="G599" s="4" t="s">
        <v>25</v>
      </c>
      <c r="H599" s="4" t="s">
        <v>37</v>
      </c>
      <c r="I599" s="5">
        <v>44378</v>
      </c>
      <c r="J599" s="6">
        <v>0</v>
      </c>
      <c r="K599" s="53">
        <v>0</v>
      </c>
      <c r="L599" s="6">
        <v>41.981000000000002</v>
      </c>
      <c r="M599" s="53">
        <v>41.981000000000002</v>
      </c>
      <c r="N599" s="6">
        <v>41.981000000000002</v>
      </c>
      <c r="O599" s="53">
        <v>41.981000000000002</v>
      </c>
      <c r="P599" s="6">
        <v>0</v>
      </c>
      <c r="Q599" s="4" t="s">
        <v>26</v>
      </c>
      <c r="R599" s="4">
        <v>0</v>
      </c>
      <c r="S599" s="6">
        <v>0</v>
      </c>
      <c r="T599" s="6">
        <v>19</v>
      </c>
      <c r="U599" s="6">
        <v>65</v>
      </c>
      <c r="V599" s="53">
        <f>IF(ISERROR(VLOOKUP($S$599,'TAR FIN'!$A$1:$O$103,15,0)),0,VLOOKUP($S$599,'TAR FIN'!$A$1:$O$103,15,0))</f>
        <v>0</v>
      </c>
      <c r="W599" s="53">
        <f>IF(ISERROR(VLOOKUP($T$599,'TAR FIN'!$A$1:$O$103,15,0)),0,VLOOKUP($T$599,'TAR FIN'!$A$1:$O$103,15,0))*(1-0.06)</f>
        <v>791.77139999999986</v>
      </c>
      <c r="X599" s="53">
        <f>IF(ISERROR(VLOOKUP($U$599,'TAR FIN'!$A$1:$O$103,15,0)),0,VLOOKUP($U$599,'TAR FIN'!$A$1:$O$103,15,0))*(1-0.06)</f>
        <v>427.60599999999994</v>
      </c>
      <c r="Y599" s="53"/>
      <c r="Z599" s="53">
        <f ca="1">('TUSD BE'!$AM$21+'TUSD BF_350'!$AM$21+'TUSD CVA'!$AM$21)*1*(1-0.03)</f>
        <v>996.63620000000003</v>
      </c>
      <c r="AA599" s="53">
        <f ca="1">('TE BE'!$AB$8+'TE BF_350'!$AB$8+'TE CVA'!$AB$8)*1*(1-0.03)</f>
        <v>376.43760000000003</v>
      </c>
      <c r="AB599" s="6">
        <f>$K$599*$V$599</f>
        <v>0</v>
      </c>
      <c r="AC599" s="6">
        <f>$M$599*$W$599</f>
        <v>33239.355143399996</v>
      </c>
      <c r="AD599" s="6">
        <f>$O$599*$X$599</f>
        <v>17951.327485999998</v>
      </c>
      <c r="AE599" s="6">
        <f>$K$599*$Y$599</f>
        <v>0</v>
      </c>
      <c r="AF599" s="6">
        <f ca="1">$M$599*$Z$599</f>
        <v>41839.784312200005</v>
      </c>
      <c r="AG599" s="6">
        <f ca="1">$O$599*$AA$599</f>
        <v>15803.226885600003</v>
      </c>
    </row>
    <row r="600" spans="1:33" ht="11.25" customHeight="1" x14ac:dyDescent="0.25">
      <c r="A600" s="4" t="s">
        <v>21</v>
      </c>
      <c r="B600" s="4" t="s">
        <v>33</v>
      </c>
      <c r="C600" s="4" t="s">
        <v>34</v>
      </c>
      <c r="D600" s="4" t="s">
        <v>50</v>
      </c>
      <c r="E600" s="4" t="s">
        <v>51</v>
      </c>
      <c r="F600" s="4" t="s">
        <v>25</v>
      </c>
      <c r="G600" s="4" t="s">
        <v>25</v>
      </c>
      <c r="H600" s="4" t="s">
        <v>37</v>
      </c>
      <c r="I600" s="5">
        <v>44409</v>
      </c>
      <c r="J600" s="6">
        <v>0</v>
      </c>
      <c r="K600" s="53">
        <v>0</v>
      </c>
      <c r="L600" s="6">
        <v>45.158000000000001</v>
      </c>
      <c r="M600" s="53">
        <v>45.158000000000001</v>
      </c>
      <c r="N600" s="6">
        <v>45.158000000000001</v>
      </c>
      <c r="O600" s="53">
        <v>45.158000000000001</v>
      </c>
      <c r="P600" s="6">
        <v>0</v>
      </c>
      <c r="Q600" s="4" t="s">
        <v>26</v>
      </c>
      <c r="R600" s="4">
        <v>0</v>
      </c>
      <c r="S600" s="6">
        <v>0</v>
      </c>
      <c r="T600" s="6">
        <v>19</v>
      </c>
      <c r="U600" s="6">
        <v>65</v>
      </c>
      <c r="V600" s="53">
        <f>IF(ISERROR(VLOOKUP($S$600,'TAR FIN'!$A$1:$O$103,15,0)),0,VLOOKUP($S$600,'TAR FIN'!$A$1:$O$103,15,0))</f>
        <v>0</v>
      </c>
      <c r="W600" s="53">
        <f>IF(ISERROR(VLOOKUP($T$600,'TAR FIN'!$A$1:$O$103,15,0)),0,VLOOKUP($T$600,'TAR FIN'!$A$1:$O$103,15,0))*(1-0.06)</f>
        <v>791.77139999999986</v>
      </c>
      <c r="X600" s="53">
        <f>IF(ISERROR(VLOOKUP($U$600,'TAR FIN'!$A$1:$O$103,15,0)),0,VLOOKUP($U$600,'TAR FIN'!$A$1:$O$103,15,0))*(1-0.06)</f>
        <v>427.60599999999994</v>
      </c>
      <c r="Y600" s="53"/>
      <c r="Z600" s="53">
        <f ca="1">('TUSD BE'!$AM$21+'TUSD BF_350'!$AM$21+'TUSD CVA'!$AM$21)*1*(1-0.03)</f>
        <v>996.63620000000003</v>
      </c>
      <c r="AA600" s="53">
        <f ca="1">('TE BE'!$AB$8+'TE BF_350'!$AB$8+'TE CVA'!$AB$8)*1*(1-0.03)</f>
        <v>376.43760000000003</v>
      </c>
      <c r="AB600" s="6">
        <f>$K$600*$V$600</f>
        <v>0</v>
      </c>
      <c r="AC600" s="6">
        <f>$M$600*$W$600</f>
        <v>35754.812881199992</v>
      </c>
      <c r="AD600" s="6">
        <f>$O$600*$X$600</f>
        <v>19309.831747999997</v>
      </c>
      <c r="AE600" s="6">
        <f>$K$600*$Y$600</f>
        <v>0</v>
      </c>
      <c r="AF600" s="6">
        <f ca="1">$M$600*$Z$600</f>
        <v>45006.0975196</v>
      </c>
      <c r="AG600" s="6">
        <f ca="1">$O$600*$AA$600</f>
        <v>16999.169140800001</v>
      </c>
    </row>
    <row r="601" spans="1:33" ht="11.25" customHeight="1" x14ac:dyDescent="0.25">
      <c r="A601" s="4" t="s">
        <v>21</v>
      </c>
      <c r="B601" s="4" t="s">
        <v>33</v>
      </c>
      <c r="C601" s="4" t="s">
        <v>34</v>
      </c>
      <c r="D601" s="4" t="s">
        <v>50</v>
      </c>
      <c r="E601" s="4" t="s">
        <v>51</v>
      </c>
      <c r="F601" s="4" t="s">
        <v>25</v>
      </c>
      <c r="G601" s="4" t="s">
        <v>25</v>
      </c>
      <c r="H601" s="4" t="s">
        <v>37</v>
      </c>
      <c r="I601" s="5">
        <v>44440</v>
      </c>
      <c r="J601" s="6">
        <v>0</v>
      </c>
      <c r="K601" s="53">
        <v>0</v>
      </c>
      <c r="L601" s="6">
        <v>42.091000000000001</v>
      </c>
      <c r="M601" s="53">
        <v>42.091000000000001</v>
      </c>
      <c r="N601" s="6">
        <v>42.091000000000001</v>
      </c>
      <c r="O601" s="53">
        <v>42.091000000000001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19</v>
      </c>
      <c r="U601" s="6">
        <v>65</v>
      </c>
      <c r="V601" s="53">
        <f>IF(ISERROR(VLOOKUP($S$601,'TAR FIN'!$A$1:$O$103,15,0)),0,VLOOKUP($S$601,'TAR FIN'!$A$1:$O$103,15,0))</f>
        <v>0</v>
      </c>
      <c r="W601" s="53">
        <f>IF(ISERROR(VLOOKUP($T$601,'TAR FIN'!$A$1:$O$103,15,0)),0,VLOOKUP($T$601,'TAR FIN'!$A$1:$O$103,15,0))*(1-0.06)</f>
        <v>791.77139999999986</v>
      </c>
      <c r="X601" s="53">
        <f>IF(ISERROR(VLOOKUP($U$601,'TAR FIN'!$A$1:$O$103,15,0)),0,VLOOKUP($U$601,'TAR FIN'!$A$1:$O$103,15,0))*(1-0.06)</f>
        <v>427.60599999999994</v>
      </c>
      <c r="Y601" s="53"/>
      <c r="Z601" s="53">
        <f ca="1">('TUSD BE'!$AM$21+'TUSD BF_350'!$AM$21+'TUSD CVA'!$AM$21)*1*(1-0.03)</f>
        <v>996.63620000000003</v>
      </c>
      <c r="AA601" s="53">
        <f ca="1">('TE BE'!$AB$8+'TE BF_350'!$AB$8+'TE CVA'!$AB$8)*1*(1-0.03)</f>
        <v>376.43760000000003</v>
      </c>
      <c r="AB601" s="6">
        <f>$K$601*$V$601</f>
        <v>0</v>
      </c>
      <c r="AC601" s="6">
        <f>$M$601*$W$601</f>
        <v>33326.449997399992</v>
      </c>
      <c r="AD601" s="6">
        <f>$O$601*$X$601</f>
        <v>17998.364145999996</v>
      </c>
      <c r="AE601" s="6">
        <f>$K$601*$Y$601</f>
        <v>0</v>
      </c>
      <c r="AF601" s="6">
        <f ca="1">$M$601*$Z$601</f>
        <v>41949.414294200003</v>
      </c>
      <c r="AG601" s="6">
        <f ca="1">$O$601*$AA$601</f>
        <v>15844.635021600001</v>
      </c>
    </row>
    <row r="602" spans="1:33" ht="11.25" customHeight="1" x14ac:dyDescent="0.25">
      <c r="A602" s="4" t="s">
        <v>21</v>
      </c>
      <c r="B602" s="4" t="s">
        <v>33</v>
      </c>
      <c r="C602" s="4" t="s">
        <v>34</v>
      </c>
      <c r="D602" s="4" t="s">
        <v>50</v>
      </c>
      <c r="E602" s="4" t="s">
        <v>51</v>
      </c>
      <c r="F602" s="4" t="s">
        <v>25</v>
      </c>
      <c r="G602" s="4" t="s">
        <v>25</v>
      </c>
      <c r="H602" s="4" t="s">
        <v>37</v>
      </c>
      <c r="I602" s="5">
        <v>44470</v>
      </c>
      <c r="J602" s="6">
        <v>0</v>
      </c>
      <c r="K602" s="53">
        <v>0</v>
      </c>
      <c r="L602" s="6">
        <v>43.345999999999997</v>
      </c>
      <c r="M602" s="53">
        <v>43.345999999999997</v>
      </c>
      <c r="N602" s="6">
        <v>43.345999999999997</v>
      </c>
      <c r="O602" s="53">
        <v>43.345999999999997</v>
      </c>
      <c r="P602" s="6">
        <v>0</v>
      </c>
      <c r="Q602" s="4" t="s">
        <v>26</v>
      </c>
      <c r="R602" s="4">
        <v>0</v>
      </c>
      <c r="S602" s="6">
        <v>0</v>
      </c>
      <c r="T602" s="6">
        <v>19</v>
      </c>
      <c r="U602" s="6">
        <v>65</v>
      </c>
      <c r="V602" s="53">
        <f>IF(ISERROR(VLOOKUP($S$602,'TAR FIN'!$A$1:$O$103,15,0)),0,VLOOKUP($S$602,'TAR FIN'!$A$1:$O$103,15,0))</f>
        <v>0</v>
      </c>
      <c r="W602" s="53">
        <f>IF(ISERROR(VLOOKUP($T$602,'TAR FIN'!$A$1:$O$103,15,0)),0,VLOOKUP($T$602,'TAR FIN'!$A$1:$O$103,15,0))*(1-0.06)</f>
        <v>791.77139999999986</v>
      </c>
      <c r="X602" s="53">
        <f>IF(ISERROR(VLOOKUP($U$602,'TAR FIN'!$A$1:$O$103,15,0)),0,VLOOKUP($U$602,'TAR FIN'!$A$1:$O$103,15,0))*(1-0.06)</f>
        <v>427.60599999999994</v>
      </c>
      <c r="Y602" s="53"/>
      <c r="Z602" s="53">
        <f ca="1">('TUSD BE'!$AM$21+'TUSD BF_350'!$AM$21+'TUSD CVA'!$AM$21)*1*(1-0.03)</f>
        <v>996.63620000000003</v>
      </c>
      <c r="AA602" s="53">
        <f ca="1">('TE BE'!$AB$8+'TE BF_350'!$AB$8+'TE CVA'!$AB$8)*1*(1-0.03)</f>
        <v>376.43760000000003</v>
      </c>
      <c r="AB602" s="6">
        <f>$K$602*$V$602</f>
        <v>0</v>
      </c>
      <c r="AC602" s="6">
        <f>$M$602*$W$602</f>
        <v>34320.123104399994</v>
      </c>
      <c r="AD602" s="6">
        <f>$O$602*$X$602</f>
        <v>18535.009675999994</v>
      </c>
      <c r="AE602" s="6">
        <f>$K$602*$Y$602</f>
        <v>0</v>
      </c>
      <c r="AF602" s="6">
        <f ca="1">$M$602*$Z$602</f>
        <v>43200.192725199995</v>
      </c>
      <c r="AG602" s="6">
        <f ca="1">$O$602*$AA$602</f>
        <v>16317.064209599999</v>
      </c>
    </row>
    <row r="603" spans="1:33" ht="11.25" customHeight="1" x14ac:dyDescent="0.25">
      <c r="A603" s="4" t="s">
        <v>21</v>
      </c>
      <c r="B603" s="4" t="s">
        <v>33</v>
      </c>
      <c r="C603" s="4" t="s">
        <v>34</v>
      </c>
      <c r="D603" s="4" t="s">
        <v>50</v>
      </c>
      <c r="E603" s="4" t="s">
        <v>51</v>
      </c>
      <c r="F603" s="4" t="s">
        <v>25</v>
      </c>
      <c r="G603" s="4" t="s">
        <v>25</v>
      </c>
      <c r="H603" s="4" t="s">
        <v>37</v>
      </c>
      <c r="I603" s="5">
        <v>44501</v>
      </c>
      <c r="J603" s="6">
        <v>0</v>
      </c>
      <c r="K603" s="53">
        <v>0</v>
      </c>
      <c r="L603" s="6">
        <v>44.795999999999999</v>
      </c>
      <c r="M603" s="53">
        <v>44.795999999999999</v>
      </c>
      <c r="N603" s="6">
        <v>44.795999999999999</v>
      </c>
      <c r="O603" s="53">
        <v>44.795999999999999</v>
      </c>
      <c r="P603" s="6">
        <v>0</v>
      </c>
      <c r="Q603" s="4" t="s">
        <v>26</v>
      </c>
      <c r="R603" s="4">
        <v>0</v>
      </c>
      <c r="S603" s="6">
        <v>0</v>
      </c>
      <c r="T603" s="6">
        <v>19</v>
      </c>
      <c r="U603" s="6">
        <v>65</v>
      </c>
      <c r="V603" s="53">
        <f>IF(ISERROR(VLOOKUP($S$603,'TAR FIN'!$A$1:$O$103,15,0)),0,VLOOKUP($S$603,'TAR FIN'!$A$1:$O$103,15,0))</f>
        <v>0</v>
      </c>
      <c r="W603" s="53">
        <f>IF(ISERROR(VLOOKUP($T$603,'TAR FIN'!$A$1:$O$103,15,0)),0,VLOOKUP($T$603,'TAR FIN'!$A$1:$O$103,15,0))*(1-0.06)</f>
        <v>791.77139999999986</v>
      </c>
      <c r="X603" s="53">
        <f>IF(ISERROR(VLOOKUP($U$603,'TAR FIN'!$A$1:$O$103,15,0)),0,VLOOKUP($U$603,'TAR FIN'!$A$1:$O$103,15,0))*(1-0.06)</f>
        <v>427.60599999999994</v>
      </c>
      <c r="Y603" s="53"/>
      <c r="Z603" s="53">
        <f ca="1">('TUSD BE'!$AM$21+'TUSD BF_350'!$AM$21+'TUSD CVA'!$AM$21)*1*(1-0.03)</f>
        <v>996.63620000000003</v>
      </c>
      <c r="AA603" s="53">
        <f ca="1">('TE BE'!$AB$8+'TE BF_350'!$AB$8+'TE CVA'!$AB$8)*1*(1-0.03)</f>
        <v>376.43760000000003</v>
      </c>
      <c r="AB603" s="6">
        <f>$K$603*$V$603</f>
        <v>0</v>
      </c>
      <c r="AC603" s="6">
        <f>$M$603*$W$603</f>
        <v>35468.191634399991</v>
      </c>
      <c r="AD603" s="6">
        <f>$O$603*$X$603</f>
        <v>19155.038375999997</v>
      </c>
      <c r="AE603" s="6">
        <f>$K$603*$Y$603</f>
        <v>0</v>
      </c>
      <c r="AF603" s="6">
        <f ca="1">$M$603*$Z$603</f>
        <v>44645.315215200004</v>
      </c>
      <c r="AG603" s="6">
        <f ca="1">$O$603*$AA$603</f>
        <v>16862.898729600001</v>
      </c>
    </row>
    <row r="604" spans="1:33" ht="11.25" customHeight="1" x14ac:dyDescent="0.25">
      <c r="A604" s="4" t="s">
        <v>21</v>
      </c>
      <c r="B604" s="4" t="s">
        <v>33</v>
      </c>
      <c r="C604" s="4" t="s">
        <v>34</v>
      </c>
      <c r="D604" s="4" t="s">
        <v>50</v>
      </c>
      <c r="E604" s="4" t="s">
        <v>51</v>
      </c>
      <c r="F604" s="4" t="s">
        <v>25</v>
      </c>
      <c r="G604" s="4" t="s">
        <v>25</v>
      </c>
      <c r="H604" s="4" t="s">
        <v>37</v>
      </c>
      <c r="I604" s="5">
        <v>44531</v>
      </c>
      <c r="J604" s="6">
        <v>0</v>
      </c>
      <c r="K604" s="53">
        <v>0</v>
      </c>
      <c r="L604" s="6">
        <v>52.677</v>
      </c>
      <c r="M604" s="53">
        <v>52.677</v>
      </c>
      <c r="N604" s="6">
        <v>52.677</v>
      </c>
      <c r="O604" s="53">
        <v>52.677</v>
      </c>
      <c r="P604" s="6">
        <v>0</v>
      </c>
      <c r="Q604" s="4" t="s">
        <v>26</v>
      </c>
      <c r="R604" s="4">
        <v>0</v>
      </c>
      <c r="S604" s="6">
        <v>0</v>
      </c>
      <c r="T604" s="6">
        <v>19</v>
      </c>
      <c r="U604" s="6">
        <v>65</v>
      </c>
      <c r="V604" s="53">
        <f>IF(ISERROR(VLOOKUP($S$604,'TAR FIN'!$A$1:$O$103,15,0)),0,VLOOKUP($S$604,'TAR FIN'!$A$1:$O$103,15,0))</f>
        <v>0</v>
      </c>
      <c r="W604" s="53">
        <f>IF(ISERROR(VLOOKUP($T$604,'TAR FIN'!$A$1:$O$103,15,0)),0,VLOOKUP($T$604,'TAR FIN'!$A$1:$O$103,15,0))*(1-0.06)</f>
        <v>791.77139999999986</v>
      </c>
      <c r="X604" s="53">
        <f>IF(ISERROR(VLOOKUP($U$604,'TAR FIN'!$A$1:$O$103,15,0)),0,VLOOKUP($U$604,'TAR FIN'!$A$1:$O$103,15,0))*(1-0.06)</f>
        <v>427.60599999999994</v>
      </c>
      <c r="Y604" s="53"/>
      <c r="Z604" s="53">
        <f ca="1">('TUSD BE'!$AM$21+'TUSD BF_350'!$AM$21+'TUSD CVA'!$AM$21)*1*(1-0.03)</f>
        <v>996.63620000000003</v>
      </c>
      <c r="AA604" s="53">
        <f ca="1">('TE BE'!$AB$8+'TE BF_350'!$AB$8+'TE CVA'!$AB$8)*1*(1-0.03)</f>
        <v>376.43760000000003</v>
      </c>
      <c r="AB604" s="6">
        <f>$K$604*$V$604</f>
        <v>0</v>
      </c>
      <c r="AC604" s="6">
        <f>$M$604*$W$604</f>
        <v>41708.142037799989</v>
      </c>
      <c r="AD604" s="6">
        <f>$O$604*$X$604</f>
        <v>22525.001261999998</v>
      </c>
      <c r="AE604" s="6">
        <f>$K$604*$Y$604</f>
        <v>0</v>
      </c>
      <c r="AF604" s="6">
        <f ca="1">$M$604*$Z$604</f>
        <v>52499.805107400003</v>
      </c>
      <c r="AG604" s="6">
        <f ca="1">$O$604*$AA$604</f>
        <v>19829.603455200002</v>
      </c>
    </row>
    <row r="605" spans="1:33" ht="11.25" customHeight="1" x14ac:dyDescent="0.25">
      <c r="A605" s="4" t="s">
        <v>21</v>
      </c>
      <c r="B605" s="4" t="s">
        <v>33</v>
      </c>
      <c r="C605" s="4" t="s">
        <v>34</v>
      </c>
      <c r="D605" s="4" t="s">
        <v>50</v>
      </c>
      <c r="E605" s="4" t="s">
        <v>51</v>
      </c>
      <c r="F605" s="4" t="s">
        <v>25</v>
      </c>
      <c r="G605" s="4" t="s">
        <v>25</v>
      </c>
      <c r="H605" s="4" t="s">
        <v>37</v>
      </c>
      <c r="I605" s="5">
        <v>44562</v>
      </c>
      <c r="J605" s="6">
        <v>0</v>
      </c>
      <c r="K605" s="53">
        <v>0</v>
      </c>
      <c r="L605" s="6">
        <v>49.811999999999998</v>
      </c>
      <c r="M605" s="53">
        <v>49.811999999999998</v>
      </c>
      <c r="N605" s="6">
        <v>49.811999999999998</v>
      </c>
      <c r="O605" s="53">
        <v>49.811999999999998</v>
      </c>
      <c r="P605" s="6">
        <v>0</v>
      </c>
      <c r="Q605" s="4" t="s">
        <v>26</v>
      </c>
      <c r="R605" s="4">
        <v>0</v>
      </c>
      <c r="S605" s="6">
        <v>0</v>
      </c>
      <c r="T605" s="6">
        <v>19</v>
      </c>
      <c r="U605" s="6">
        <v>65</v>
      </c>
      <c r="V605" s="53">
        <f>IF(ISERROR(VLOOKUP($S$605,'TAR FIN'!$A$1:$O$103,15,0)),0,VLOOKUP($S$605,'TAR FIN'!$A$1:$O$103,15,0))</f>
        <v>0</v>
      </c>
      <c r="W605" s="53">
        <f>IF(ISERROR(VLOOKUP($T$605,'TAR FIN'!$A$1:$O$103,15,0)),0,VLOOKUP($T$605,'TAR FIN'!$A$1:$O$103,15,0))*(1-0.06)</f>
        <v>791.77139999999986</v>
      </c>
      <c r="X605" s="53">
        <f>IF(ISERROR(VLOOKUP($U$605,'TAR FIN'!$A$1:$O$103,15,0)),0,VLOOKUP($U$605,'TAR FIN'!$A$1:$O$103,15,0))*(1-0.06)</f>
        <v>427.60599999999994</v>
      </c>
      <c r="Y605" s="53"/>
      <c r="Z605" s="53">
        <f ca="1">('TUSD BE'!$AM$21+'TUSD BF_350'!$AM$21+'TUSD CVA'!$AM$21)*1*(1-0.03)</f>
        <v>996.63620000000003</v>
      </c>
      <c r="AA605" s="53">
        <f ca="1">('TE BE'!$AB$8+'TE BF_350'!$AB$8+'TE CVA'!$AB$8)*1*(1-0.03)</f>
        <v>376.43760000000003</v>
      </c>
      <c r="AB605" s="6">
        <f>$K$605*$V$605</f>
        <v>0</v>
      </c>
      <c r="AC605" s="6">
        <f>$M$605*$W$605</f>
        <v>39439.716976799988</v>
      </c>
      <c r="AD605" s="6">
        <f>$O$605*$X$605</f>
        <v>21299.910071999995</v>
      </c>
      <c r="AE605" s="6">
        <f>$K$605*$Y$605</f>
        <v>0</v>
      </c>
      <c r="AF605" s="6">
        <f ca="1">$M$605*$Z$605</f>
        <v>49644.442394400001</v>
      </c>
      <c r="AG605" s="6">
        <f ca="1">$O$605*$AA$605</f>
        <v>18751.109731200002</v>
      </c>
    </row>
    <row r="606" spans="1:33" ht="11.25" customHeight="1" x14ac:dyDescent="0.25">
      <c r="A606" s="4" t="s">
        <v>21</v>
      </c>
      <c r="B606" s="4" t="s">
        <v>33</v>
      </c>
      <c r="C606" s="4" t="s">
        <v>34</v>
      </c>
      <c r="D606" s="4" t="s">
        <v>50</v>
      </c>
      <c r="E606" s="4" t="s">
        <v>51</v>
      </c>
      <c r="F606" s="4" t="s">
        <v>25</v>
      </c>
      <c r="G606" s="4" t="s">
        <v>25</v>
      </c>
      <c r="H606" s="4" t="s">
        <v>37</v>
      </c>
      <c r="I606" s="5">
        <v>44593</v>
      </c>
      <c r="J606" s="6">
        <v>0</v>
      </c>
      <c r="K606" s="53">
        <v>0</v>
      </c>
      <c r="L606" s="6">
        <v>47.137999999999998</v>
      </c>
      <c r="M606" s="53">
        <v>47.137999999999998</v>
      </c>
      <c r="N606" s="6">
        <v>47.137999999999998</v>
      </c>
      <c r="O606" s="53">
        <v>47.137999999999998</v>
      </c>
      <c r="P606" s="6">
        <v>0</v>
      </c>
      <c r="Q606" s="4" t="s">
        <v>26</v>
      </c>
      <c r="R606" s="4">
        <v>0</v>
      </c>
      <c r="S606" s="6">
        <v>0</v>
      </c>
      <c r="T606" s="6">
        <v>19</v>
      </c>
      <c r="U606" s="6">
        <v>65</v>
      </c>
      <c r="V606" s="53">
        <f>IF(ISERROR(VLOOKUP($S$606,'TAR FIN'!$A$1:$O$103,15,0)),0,VLOOKUP($S$606,'TAR FIN'!$A$1:$O$103,15,0))</f>
        <v>0</v>
      </c>
      <c r="W606" s="53">
        <f>IF(ISERROR(VLOOKUP($T$606,'TAR FIN'!$A$1:$O$103,15,0)),0,VLOOKUP($T$606,'TAR FIN'!$A$1:$O$103,15,0))*(1-0.06)</f>
        <v>791.77139999999986</v>
      </c>
      <c r="X606" s="53">
        <f>IF(ISERROR(VLOOKUP($U$606,'TAR FIN'!$A$1:$O$103,15,0)),0,VLOOKUP($U$606,'TAR FIN'!$A$1:$O$103,15,0))*(1-0.06)</f>
        <v>427.60599999999994</v>
      </c>
      <c r="Y606" s="53"/>
      <c r="Z606" s="53">
        <f ca="1">('TUSD BE'!$AM$21+'TUSD BF_350'!$AM$21+'TUSD CVA'!$AM$21)*1*(1-0.03)</f>
        <v>996.63620000000003</v>
      </c>
      <c r="AA606" s="53">
        <f ca="1">('TE BE'!$AB$8+'TE BF_350'!$AB$8+'TE CVA'!$AB$8)*1*(1-0.03)</f>
        <v>376.43760000000003</v>
      </c>
      <c r="AB606" s="6">
        <f>$K$606*$V$606</f>
        <v>0</v>
      </c>
      <c r="AC606" s="6">
        <f>$M$606*$W$606</f>
        <v>37322.520253199989</v>
      </c>
      <c r="AD606" s="6">
        <f>$O$606*$X$606</f>
        <v>20156.491627999996</v>
      </c>
      <c r="AE606" s="6">
        <f>$K$606*$Y$606</f>
        <v>0</v>
      </c>
      <c r="AF606" s="6">
        <f ca="1">$M$606*$Z$606</f>
        <v>46979.437195600003</v>
      </c>
      <c r="AG606" s="6">
        <f ca="1">$O$606*$AA$606</f>
        <v>17744.515588800001</v>
      </c>
    </row>
    <row r="607" spans="1:33" ht="11.25" customHeight="1" x14ac:dyDescent="0.25">
      <c r="A607" s="4" t="s">
        <v>21</v>
      </c>
      <c r="B607" s="4" t="s">
        <v>33</v>
      </c>
      <c r="C607" s="4" t="s">
        <v>34</v>
      </c>
      <c r="D607" s="4" t="s">
        <v>50</v>
      </c>
      <c r="E607" s="4" t="s">
        <v>51</v>
      </c>
      <c r="F607" s="4" t="s">
        <v>25</v>
      </c>
      <c r="G607" s="4" t="s">
        <v>25</v>
      </c>
      <c r="H607" s="4" t="s">
        <v>37</v>
      </c>
      <c r="I607" s="5">
        <v>44621</v>
      </c>
      <c r="J607" s="6">
        <v>0</v>
      </c>
      <c r="K607" s="53">
        <v>0</v>
      </c>
      <c r="L607" s="6">
        <v>44.237000000000002</v>
      </c>
      <c r="M607" s="53">
        <v>44.237000000000002</v>
      </c>
      <c r="N607" s="6">
        <v>44.237000000000002</v>
      </c>
      <c r="O607" s="53">
        <v>44.237000000000002</v>
      </c>
      <c r="P607" s="6">
        <v>0</v>
      </c>
      <c r="Q607" s="4" t="s">
        <v>26</v>
      </c>
      <c r="R607" s="4">
        <v>0</v>
      </c>
      <c r="S607" s="6">
        <v>0</v>
      </c>
      <c r="T607" s="6">
        <v>19</v>
      </c>
      <c r="U607" s="6">
        <v>65</v>
      </c>
      <c r="V607" s="53">
        <f>IF(ISERROR(VLOOKUP($S$607,'TAR FIN'!$A$1:$O$103,15,0)),0,VLOOKUP($S$607,'TAR FIN'!$A$1:$O$103,15,0))</f>
        <v>0</v>
      </c>
      <c r="W607" s="53">
        <f>IF(ISERROR(VLOOKUP($T$607,'TAR FIN'!$A$1:$O$103,15,0)),0,VLOOKUP($T$607,'TAR FIN'!$A$1:$O$103,15,0))*(1-0.06)</f>
        <v>791.77139999999986</v>
      </c>
      <c r="X607" s="53">
        <f>IF(ISERROR(VLOOKUP($U$607,'TAR FIN'!$A$1:$O$103,15,0)),0,VLOOKUP($U$607,'TAR FIN'!$A$1:$O$103,15,0))*(1-0.06)</f>
        <v>427.60599999999994</v>
      </c>
      <c r="Y607" s="53"/>
      <c r="Z607" s="53">
        <f ca="1">('TUSD BE'!$AM$21+'TUSD BF_350'!$AM$21+'TUSD CVA'!$AM$21)*1*(1-0.03)</f>
        <v>996.63620000000003</v>
      </c>
      <c r="AA607" s="53">
        <f ca="1">('TE BE'!$AB$8+'TE BF_350'!$AB$8+'TE CVA'!$AB$8)*1*(1-0.03)</f>
        <v>376.43760000000003</v>
      </c>
      <c r="AB607" s="6">
        <f>$K$607*$V$607</f>
        <v>0</v>
      </c>
      <c r="AC607" s="6">
        <f>$M$607*$W$607</f>
        <v>35025.591421799996</v>
      </c>
      <c r="AD607" s="6">
        <f>$O$607*$X$607</f>
        <v>18916.006621999997</v>
      </c>
      <c r="AE607" s="6">
        <f>$K$607*$Y$607</f>
        <v>0</v>
      </c>
      <c r="AF607" s="6">
        <f ca="1">$M$607*$Z$607</f>
        <v>44088.195579400002</v>
      </c>
      <c r="AG607" s="6">
        <f ca="1">$O$607*$AA$607</f>
        <v>16652.470111200004</v>
      </c>
    </row>
    <row r="608" spans="1:33" ht="11.25" customHeight="1" x14ac:dyDescent="0.25">
      <c r="A608" s="4" t="s">
        <v>21</v>
      </c>
      <c r="B608" s="4" t="s">
        <v>33</v>
      </c>
      <c r="C608" s="4" t="s">
        <v>34</v>
      </c>
      <c r="D608" s="4" t="s">
        <v>50</v>
      </c>
      <c r="E608" s="4" t="s">
        <v>51</v>
      </c>
      <c r="F608" s="4" t="s">
        <v>25</v>
      </c>
      <c r="G608" s="4" t="s">
        <v>25</v>
      </c>
      <c r="H608" s="4" t="s">
        <v>37</v>
      </c>
      <c r="I608" s="5">
        <v>44652</v>
      </c>
      <c r="J608" s="6">
        <v>0</v>
      </c>
      <c r="K608" s="53">
        <v>0</v>
      </c>
      <c r="L608" s="6">
        <v>45.927999999999997</v>
      </c>
      <c r="M608" s="53">
        <v>45.927999999999997</v>
      </c>
      <c r="N608" s="6">
        <v>45.927999999999997</v>
      </c>
      <c r="O608" s="53">
        <v>45.927999999999997</v>
      </c>
      <c r="P608" s="6">
        <v>0</v>
      </c>
      <c r="Q608" s="4" t="s">
        <v>26</v>
      </c>
      <c r="R608" s="4">
        <v>0</v>
      </c>
      <c r="S608" s="6">
        <v>0</v>
      </c>
      <c r="T608" s="6">
        <v>19</v>
      </c>
      <c r="U608" s="6">
        <v>65</v>
      </c>
      <c r="V608" s="53">
        <f>IF(ISERROR(VLOOKUP($S$608,'TAR FIN'!$A$1:$O$103,15,0)),0,VLOOKUP($S$608,'TAR FIN'!$A$1:$O$103,15,0))</f>
        <v>0</v>
      </c>
      <c r="W608" s="53">
        <f>IF(ISERROR(VLOOKUP($T$608,'TAR FIN'!$A$1:$O$103,15,0)),0,VLOOKUP($T$608,'TAR FIN'!$A$1:$O$103,15,0))*(1-0.06)</f>
        <v>791.77139999999986</v>
      </c>
      <c r="X608" s="53">
        <f>IF(ISERROR(VLOOKUP($U$608,'TAR FIN'!$A$1:$O$103,15,0)),0,VLOOKUP($U$608,'TAR FIN'!$A$1:$O$103,15,0))*(1-0.06)</f>
        <v>427.60599999999994</v>
      </c>
      <c r="Y608" s="53"/>
      <c r="Z608" s="53">
        <f ca="1">('TUSD BE'!$AM$21+'TUSD BF_350'!$AM$21+'TUSD CVA'!$AM$21)*1*(1-0.03)</f>
        <v>996.63620000000003</v>
      </c>
      <c r="AA608" s="53">
        <f ca="1">('TE BE'!$AB$8+'TE BF_350'!$AB$8+'TE CVA'!$AB$8)*1*(1-0.03)</f>
        <v>376.43760000000003</v>
      </c>
      <c r="AB608" s="6">
        <f>$K$608*$V$608</f>
        <v>0</v>
      </c>
      <c r="AC608" s="6">
        <f>$M$608*$W$608</f>
        <v>36364.476859199989</v>
      </c>
      <c r="AD608" s="6">
        <f>$O$608*$X$608</f>
        <v>19639.088367999997</v>
      </c>
      <c r="AE608" s="6">
        <f>$K$608*$Y$608</f>
        <v>0</v>
      </c>
      <c r="AF608" s="6">
        <f ca="1">$M$608*$Z$608</f>
        <v>45773.507393599997</v>
      </c>
      <c r="AG608" s="6">
        <f ca="1">$O$608*$AA$608</f>
        <v>17289.026092799999</v>
      </c>
    </row>
    <row r="609" spans="1:33" ht="11.25" customHeight="1" x14ac:dyDescent="0.25">
      <c r="A609" s="4" t="s">
        <v>21</v>
      </c>
      <c r="B609" s="4" t="s">
        <v>33</v>
      </c>
      <c r="C609" s="4" t="s">
        <v>34</v>
      </c>
      <c r="D609" s="4" t="s">
        <v>50</v>
      </c>
      <c r="E609" s="4" t="s">
        <v>51</v>
      </c>
      <c r="F609" s="4" t="s">
        <v>25</v>
      </c>
      <c r="G609" s="4" t="s">
        <v>25</v>
      </c>
      <c r="H609" s="4" t="s">
        <v>37</v>
      </c>
      <c r="I609" s="5">
        <v>44682</v>
      </c>
      <c r="J609" s="6">
        <v>0</v>
      </c>
      <c r="K609" s="53">
        <v>0</v>
      </c>
      <c r="L609" s="6">
        <v>52.463999999999999</v>
      </c>
      <c r="M609" s="53">
        <v>52.463999999999999</v>
      </c>
      <c r="N609" s="6">
        <v>52.463999999999999</v>
      </c>
      <c r="O609" s="53">
        <v>52.463999999999999</v>
      </c>
      <c r="P609" s="6">
        <v>0</v>
      </c>
      <c r="Q609" s="4" t="s">
        <v>26</v>
      </c>
      <c r="R609" s="4">
        <v>0</v>
      </c>
      <c r="S609" s="6">
        <v>0</v>
      </c>
      <c r="T609" s="6">
        <v>19</v>
      </c>
      <c r="U609" s="6">
        <v>65</v>
      </c>
      <c r="V609" s="53">
        <f>IF(ISERROR(VLOOKUP($S$609,'TAR FIN'!$A$1:$O$103,15,0)),0,VLOOKUP($S$609,'TAR FIN'!$A$1:$O$103,15,0))</f>
        <v>0</v>
      </c>
      <c r="W609" s="53">
        <f>IF(ISERROR(VLOOKUP($T$609,'TAR FIN'!$A$1:$O$103,15,0)),0,VLOOKUP($T$609,'TAR FIN'!$A$1:$O$103,15,0))*(1-0.06)</f>
        <v>791.77139999999986</v>
      </c>
      <c r="X609" s="53">
        <f>IF(ISERROR(VLOOKUP($U$609,'TAR FIN'!$A$1:$O$103,15,0)),0,VLOOKUP($U$609,'TAR FIN'!$A$1:$O$103,15,0))*(1-0.06)</f>
        <v>427.60599999999994</v>
      </c>
      <c r="Y609" s="53"/>
      <c r="Z609" s="53">
        <f ca="1">('TUSD BE'!$AM$21+'TUSD BF_350'!$AM$21+'TUSD CVA'!$AM$21)*1*(1-0.03)</f>
        <v>996.63620000000003</v>
      </c>
      <c r="AA609" s="53">
        <f ca="1">('TE BE'!$AB$8+'TE BF_350'!$AB$8+'TE CVA'!$AB$8)*1*(1-0.03)</f>
        <v>376.43760000000003</v>
      </c>
      <c r="AB609" s="6">
        <f>$K$609*$V$609</f>
        <v>0</v>
      </c>
      <c r="AC609" s="6">
        <f>$M$609*$W$609</f>
        <v>41539.494729599988</v>
      </c>
      <c r="AD609" s="6">
        <f>$O$609*$X$609</f>
        <v>22433.921183999995</v>
      </c>
      <c r="AE609" s="6">
        <f>$K$609*$Y$609</f>
        <v>0</v>
      </c>
      <c r="AF609" s="6">
        <f ca="1">$M$609*$Z$609</f>
        <v>52287.521596799997</v>
      </c>
      <c r="AG609" s="6">
        <f ca="1">$O$609*$AA$609</f>
        <v>19749.422246400001</v>
      </c>
    </row>
    <row r="610" spans="1:33" ht="11.25" customHeight="1" x14ac:dyDescent="0.25">
      <c r="A610" s="4" t="s">
        <v>21</v>
      </c>
      <c r="B610" s="4" t="s">
        <v>22</v>
      </c>
      <c r="C610" s="4" t="s">
        <v>36</v>
      </c>
      <c r="D610" s="4" t="s">
        <v>24</v>
      </c>
      <c r="E610" s="4" t="s">
        <v>24</v>
      </c>
      <c r="F610" s="4" t="s">
        <v>25</v>
      </c>
      <c r="G610" s="4" t="s">
        <v>25</v>
      </c>
      <c r="H610" s="4" t="s">
        <v>35</v>
      </c>
      <c r="I610" s="5">
        <v>44348</v>
      </c>
      <c r="J610" s="6">
        <v>0</v>
      </c>
      <c r="K610" s="6">
        <v>0</v>
      </c>
      <c r="L610" s="6">
        <v>2.1080000000000001</v>
      </c>
      <c r="M610" s="6">
        <v>2.1080000000000001</v>
      </c>
      <c r="N610" s="6">
        <v>2.1080000000000001</v>
      </c>
      <c r="O610" s="6">
        <v>2.1080000000000001</v>
      </c>
      <c r="P610" s="6">
        <v>0</v>
      </c>
      <c r="Q610" s="4" t="s">
        <v>26</v>
      </c>
      <c r="R610" s="4">
        <v>0</v>
      </c>
      <c r="S610" s="6">
        <v>0</v>
      </c>
      <c r="T610" s="6">
        <v>29</v>
      </c>
      <c r="U610" s="6">
        <v>70</v>
      </c>
      <c r="V610" s="6">
        <f>IF(ISERROR(VLOOKUP($S$610,'TAR FIN'!$A$1:$O$103,15,0)),0,VLOOKUP($S$610,'TAR FIN'!$A$1:$O$103,15,0))</f>
        <v>0</v>
      </c>
      <c r="W610" s="6">
        <f>IF(ISERROR(VLOOKUP($T$610,'TAR FIN'!$A$1:$O$103,15,0)),0,VLOOKUP($T$610,'TAR FIN'!$A$1:$O$103,15,0))</f>
        <v>198.56</v>
      </c>
      <c r="X610" s="6">
        <f>IF(ISERROR(VLOOKUP($U$610,'TAR FIN'!$A$1:$O$103,15,0)),0,VLOOKUP($U$610,'TAR FIN'!$A$1:$O$103,15,0))</f>
        <v>275.36</v>
      </c>
      <c r="Y610" s="6"/>
      <c r="Z610" s="6">
        <f ca="1">('TUSD BE'!$AM$29+'TUSD BF_350'!$AM$29+'TUSD CVA'!$AM$29)*1</f>
        <v>236.05</v>
      </c>
      <c r="AA610" s="6">
        <f ca="1">('TE BE'!$AB$13+'TE BF_350'!$AB$13+'TE CVA'!$AB$13)*1</f>
        <v>247.20000000000002</v>
      </c>
      <c r="AB610" s="6">
        <f>$K$610*$V$610</f>
        <v>0</v>
      </c>
      <c r="AC610" s="6">
        <f>$M$610*$W$610</f>
        <v>418.56448</v>
      </c>
      <c r="AD610" s="6">
        <f>$O$610*$X$610</f>
        <v>580.45888000000002</v>
      </c>
      <c r="AE610" s="6">
        <f>$K$610*$Y$610</f>
        <v>0</v>
      </c>
      <c r="AF610" s="6">
        <f ca="1">$M$610*$Z$610</f>
        <v>497.59340000000003</v>
      </c>
      <c r="AG610" s="6">
        <f ca="1">$O$610*$AA$610</f>
        <v>521.09760000000006</v>
      </c>
    </row>
    <row r="611" spans="1:33" ht="11.25" customHeight="1" x14ac:dyDescent="0.25">
      <c r="A611" s="4" t="s">
        <v>21</v>
      </c>
      <c r="B611" s="4" t="s">
        <v>22</v>
      </c>
      <c r="C611" s="4" t="s">
        <v>36</v>
      </c>
      <c r="D611" s="4" t="s">
        <v>24</v>
      </c>
      <c r="E611" s="4" t="s">
        <v>24</v>
      </c>
      <c r="F611" s="4" t="s">
        <v>25</v>
      </c>
      <c r="G611" s="4" t="s">
        <v>25</v>
      </c>
      <c r="H611" s="4" t="s">
        <v>35</v>
      </c>
      <c r="I611" s="5">
        <v>44378</v>
      </c>
      <c r="J611" s="6">
        <v>0</v>
      </c>
      <c r="K611" s="6">
        <v>0</v>
      </c>
      <c r="L611" s="6">
        <v>2.0760000000000001</v>
      </c>
      <c r="M611" s="6">
        <v>2.0760000000000001</v>
      </c>
      <c r="N611" s="6">
        <v>2.0760000000000001</v>
      </c>
      <c r="O611" s="6">
        <v>2.0760000000000001</v>
      </c>
      <c r="P611" s="6">
        <v>0</v>
      </c>
      <c r="Q611" s="4" t="s">
        <v>26</v>
      </c>
      <c r="R611" s="4">
        <v>0</v>
      </c>
      <c r="S611" s="6">
        <v>0</v>
      </c>
      <c r="T611" s="6">
        <v>29</v>
      </c>
      <c r="U611" s="6">
        <v>70</v>
      </c>
      <c r="V611" s="6">
        <f>IF(ISERROR(VLOOKUP($S$611,'TAR FIN'!$A$1:$O$103,15,0)),0,VLOOKUP($S$611,'TAR FIN'!$A$1:$O$103,15,0))</f>
        <v>0</v>
      </c>
      <c r="W611" s="6">
        <f>IF(ISERROR(VLOOKUP($T$611,'TAR FIN'!$A$1:$O$103,15,0)),0,VLOOKUP($T$611,'TAR FIN'!$A$1:$O$103,15,0))</f>
        <v>198.56</v>
      </c>
      <c r="X611" s="6">
        <f>IF(ISERROR(VLOOKUP($U$611,'TAR FIN'!$A$1:$O$103,15,0)),0,VLOOKUP($U$611,'TAR FIN'!$A$1:$O$103,15,0))</f>
        <v>275.36</v>
      </c>
      <c r="Y611" s="6"/>
      <c r="Z611" s="6">
        <f ca="1">('TUSD BE'!$AM$29+'TUSD BF_350'!$AM$29+'TUSD CVA'!$AM$29)*1</f>
        <v>236.05</v>
      </c>
      <c r="AA611" s="6">
        <f ca="1">('TE BE'!$AB$13+'TE BF_350'!$AB$13+'TE CVA'!$AB$13)*1</f>
        <v>247.20000000000002</v>
      </c>
      <c r="AB611" s="6">
        <f>$K$611*$V$611</f>
        <v>0</v>
      </c>
      <c r="AC611" s="6">
        <f>$M$611*$W$611</f>
        <v>412.21056000000004</v>
      </c>
      <c r="AD611" s="6">
        <f>$O$611*$X$611</f>
        <v>571.64736000000005</v>
      </c>
      <c r="AE611" s="6">
        <f>$K$611*$Y$611</f>
        <v>0</v>
      </c>
      <c r="AF611" s="6">
        <f ca="1">$M$611*$Z$611</f>
        <v>490.03980000000001</v>
      </c>
      <c r="AG611" s="6">
        <f ca="1">$O$611*$AA$611</f>
        <v>513.18720000000008</v>
      </c>
    </row>
    <row r="612" spans="1:33" ht="11.25" customHeight="1" x14ac:dyDescent="0.25">
      <c r="A612" s="4" t="s">
        <v>21</v>
      </c>
      <c r="B612" s="4" t="s">
        <v>22</v>
      </c>
      <c r="C612" s="4" t="s">
        <v>36</v>
      </c>
      <c r="D612" s="4" t="s">
        <v>24</v>
      </c>
      <c r="E612" s="4" t="s">
        <v>24</v>
      </c>
      <c r="F612" s="4" t="s">
        <v>25</v>
      </c>
      <c r="G612" s="4" t="s">
        <v>25</v>
      </c>
      <c r="H612" s="4" t="s">
        <v>35</v>
      </c>
      <c r="I612" s="5">
        <v>44409</v>
      </c>
      <c r="J612" s="6">
        <v>0</v>
      </c>
      <c r="K612" s="6">
        <v>0</v>
      </c>
      <c r="L612" s="6">
        <v>1.903</v>
      </c>
      <c r="M612" s="6">
        <v>1.903</v>
      </c>
      <c r="N612" s="6">
        <v>1.903</v>
      </c>
      <c r="O612" s="6">
        <v>1.903</v>
      </c>
      <c r="P612" s="6">
        <v>0</v>
      </c>
      <c r="Q612" s="4" t="s">
        <v>26</v>
      </c>
      <c r="R612" s="4">
        <v>0</v>
      </c>
      <c r="S612" s="6">
        <v>0</v>
      </c>
      <c r="T612" s="6">
        <v>29</v>
      </c>
      <c r="U612" s="6">
        <v>70</v>
      </c>
      <c r="V612" s="6">
        <f>IF(ISERROR(VLOOKUP($S$612,'TAR FIN'!$A$1:$O$103,15,0)),0,VLOOKUP($S$612,'TAR FIN'!$A$1:$O$103,15,0))</f>
        <v>0</v>
      </c>
      <c r="W612" s="6">
        <f>IF(ISERROR(VLOOKUP($T$612,'TAR FIN'!$A$1:$O$103,15,0)),0,VLOOKUP($T$612,'TAR FIN'!$A$1:$O$103,15,0))</f>
        <v>198.56</v>
      </c>
      <c r="X612" s="6">
        <f>IF(ISERROR(VLOOKUP($U$612,'TAR FIN'!$A$1:$O$103,15,0)),0,VLOOKUP($U$612,'TAR FIN'!$A$1:$O$103,15,0))</f>
        <v>275.36</v>
      </c>
      <c r="Y612" s="6"/>
      <c r="Z612" s="6">
        <f ca="1">('TUSD BE'!$AM$29+'TUSD BF_350'!$AM$29+'TUSD CVA'!$AM$29)*1</f>
        <v>236.05</v>
      </c>
      <c r="AA612" s="6">
        <f ca="1">('TE BE'!$AB$13+'TE BF_350'!$AB$13+'TE CVA'!$AB$13)*1</f>
        <v>247.20000000000002</v>
      </c>
      <c r="AB612" s="6">
        <f>$K$612*$V$612</f>
        <v>0</v>
      </c>
      <c r="AC612" s="6">
        <f>$M$612*$W$612</f>
        <v>377.85968000000003</v>
      </c>
      <c r="AD612" s="6">
        <f>$O$612*$X$612</f>
        <v>524.01008000000002</v>
      </c>
      <c r="AE612" s="6">
        <f>$K$612*$Y$612</f>
        <v>0</v>
      </c>
      <c r="AF612" s="6">
        <f ca="1">$M$612*$Z$612</f>
        <v>449.20315000000005</v>
      </c>
      <c r="AG612" s="6">
        <f ca="1">$O$612*$AA$612</f>
        <v>470.42160000000001</v>
      </c>
    </row>
    <row r="613" spans="1:33" ht="11.25" customHeight="1" x14ac:dyDescent="0.25">
      <c r="A613" s="4" t="s">
        <v>21</v>
      </c>
      <c r="B613" s="4" t="s">
        <v>22</v>
      </c>
      <c r="C613" s="4" t="s">
        <v>36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35</v>
      </c>
      <c r="I613" s="5">
        <v>44440</v>
      </c>
      <c r="J613" s="6">
        <v>0</v>
      </c>
      <c r="K613" s="6">
        <v>0</v>
      </c>
      <c r="L613" s="6">
        <v>1.9359999999999999</v>
      </c>
      <c r="M613" s="6">
        <v>1.9359999999999999</v>
      </c>
      <c r="N613" s="6">
        <v>1.9359999999999999</v>
      </c>
      <c r="O613" s="6">
        <v>1.9359999999999999</v>
      </c>
      <c r="P613" s="6">
        <v>0</v>
      </c>
      <c r="Q613" s="4" t="s">
        <v>26</v>
      </c>
      <c r="R613" s="4">
        <v>0</v>
      </c>
      <c r="S613" s="6">
        <v>0</v>
      </c>
      <c r="T613" s="6">
        <v>29</v>
      </c>
      <c r="U613" s="6">
        <v>70</v>
      </c>
      <c r="V613" s="6">
        <f>IF(ISERROR(VLOOKUP($S$613,'TAR FIN'!$A$1:$O$103,15,0)),0,VLOOKUP($S$613,'TAR FIN'!$A$1:$O$103,15,0))</f>
        <v>0</v>
      </c>
      <c r="W613" s="6">
        <f>IF(ISERROR(VLOOKUP($T$613,'TAR FIN'!$A$1:$O$103,15,0)),0,VLOOKUP($T$613,'TAR FIN'!$A$1:$O$103,15,0))</f>
        <v>198.56</v>
      </c>
      <c r="X613" s="6">
        <f>IF(ISERROR(VLOOKUP($U$613,'TAR FIN'!$A$1:$O$103,15,0)),0,VLOOKUP($U$613,'TAR FIN'!$A$1:$O$103,15,0))</f>
        <v>275.36</v>
      </c>
      <c r="Y613" s="6"/>
      <c r="Z613" s="6">
        <f ca="1">('TUSD BE'!$AM$29+'TUSD BF_350'!$AM$29+'TUSD CVA'!$AM$29)*1</f>
        <v>236.05</v>
      </c>
      <c r="AA613" s="6">
        <f ca="1">('TE BE'!$AB$13+'TE BF_350'!$AB$13+'TE CVA'!$AB$13)*1</f>
        <v>247.20000000000002</v>
      </c>
      <c r="AB613" s="6">
        <f>$K$613*$V$613</f>
        <v>0</v>
      </c>
      <c r="AC613" s="6">
        <f>$M$613*$W$613</f>
        <v>384.41215999999997</v>
      </c>
      <c r="AD613" s="6">
        <f>$O$613*$X$613</f>
        <v>533.09695999999997</v>
      </c>
      <c r="AE613" s="6">
        <f>$K$613*$Y$613</f>
        <v>0</v>
      </c>
      <c r="AF613" s="6">
        <f ca="1">$M$613*$Z$613</f>
        <v>456.99279999999999</v>
      </c>
      <c r="AG613" s="6">
        <f ca="1">$O$613*$AA$613</f>
        <v>478.57920000000001</v>
      </c>
    </row>
    <row r="614" spans="1:33" ht="11.25" customHeight="1" x14ac:dyDescent="0.25">
      <c r="A614" s="4" t="s">
        <v>21</v>
      </c>
      <c r="B614" s="4" t="s">
        <v>22</v>
      </c>
      <c r="C614" s="4" t="s">
        <v>36</v>
      </c>
      <c r="D614" s="4" t="s">
        <v>24</v>
      </c>
      <c r="E614" s="4" t="s">
        <v>24</v>
      </c>
      <c r="F614" s="4" t="s">
        <v>25</v>
      </c>
      <c r="G614" s="4" t="s">
        <v>25</v>
      </c>
      <c r="H614" s="4" t="s">
        <v>35</v>
      </c>
      <c r="I614" s="5">
        <v>44470</v>
      </c>
      <c r="J614" s="6">
        <v>0</v>
      </c>
      <c r="K614" s="6">
        <v>0</v>
      </c>
      <c r="L614" s="6">
        <v>1.9530000000000001</v>
      </c>
      <c r="M614" s="6">
        <v>1.9530000000000001</v>
      </c>
      <c r="N614" s="6">
        <v>1.9530000000000001</v>
      </c>
      <c r="O614" s="6">
        <v>1.9530000000000001</v>
      </c>
      <c r="P614" s="6">
        <v>0</v>
      </c>
      <c r="Q614" s="4" t="s">
        <v>26</v>
      </c>
      <c r="R614" s="4">
        <v>0</v>
      </c>
      <c r="S614" s="6">
        <v>0</v>
      </c>
      <c r="T614" s="6">
        <v>29</v>
      </c>
      <c r="U614" s="6">
        <v>70</v>
      </c>
      <c r="V614" s="6">
        <f>IF(ISERROR(VLOOKUP($S$614,'TAR FIN'!$A$1:$O$103,15,0)),0,VLOOKUP($S$614,'TAR FIN'!$A$1:$O$103,15,0))</f>
        <v>0</v>
      </c>
      <c r="W614" s="6">
        <f>IF(ISERROR(VLOOKUP($T$614,'TAR FIN'!$A$1:$O$103,15,0)),0,VLOOKUP($T$614,'TAR FIN'!$A$1:$O$103,15,0))</f>
        <v>198.56</v>
      </c>
      <c r="X614" s="6">
        <f>IF(ISERROR(VLOOKUP($U$614,'TAR FIN'!$A$1:$O$103,15,0)),0,VLOOKUP($U$614,'TAR FIN'!$A$1:$O$103,15,0))</f>
        <v>275.36</v>
      </c>
      <c r="Y614" s="6"/>
      <c r="Z614" s="6">
        <f ca="1">('TUSD BE'!$AM$29+'TUSD BF_350'!$AM$29+'TUSD CVA'!$AM$29)*1</f>
        <v>236.05</v>
      </c>
      <c r="AA614" s="6">
        <f ca="1">('TE BE'!$AB$13+'TE BF_350'!$AB$13+'TE CVA'!$AB$13)*1</f>
        <v>247.20000000000002</v>
      </c>
      <c r="AB614" s="6">
        <f>$K$614*$V$614</f>
        <v>0</v>
      </c>
      <c r="AC614" s="6">
        <f>$M$614*$W$614</f>
        <v>387.78768000000002</v>
      </c>
      <c r="AD614" s="6">
        <f>$O$614*$X$614</f>
        <v>537.77808000000005</v>
      </c>
      <c r="AE614" s="6">
        <f>$K$614*$Y$614</f>
        <v>0</v>
      </c>
      <c r="AF614" s="6">
        <f ca="1">$M$614*$Z$614</f>
        <v>461.00565000000006</v>
      </c>
      <c r="AG614" s="6">
        <f ca="1">$O$614*$AA$614</f>
        <v>482.78160000000003</v>
      </c>
    </row>
    <row r="615" spans="1:33" ht="11.25" customHeight="1" x14ac:dyDescent="0.25">
      <c r="A615" s="4" t="s">
        <v>21</v>
      </c>
      <c r="B615" s="4" t="s">
        <v>22</v>
      </c>
      <c r="C615" s="4" t="s">
        <v>36</v>
      </c>
      <c r="D615" s="4" t="s">
        <v>24</v>
      </c>
      <c r="E615" s="4" t="s">
        <v>24</v>
      </c>
      <c r="F615" s="4" t="s">
        <v>25</v>
      </c>
      <c r="G615" s="4" t="s">
        <v>25</v>
      </c>
      <c r="H615" s="4" t="s">
        <v>35</v>
      </c>
      <c r="I615" s="5">
        <v>44501</v>
      </c>
      <c r="J615" s="6">
        <v>0</v>
      </c>
      <c r="K615" s="6">
        <v>0</v>
      </c>
      <c r="L615" s="6">
        <v>2.177</v>
      </c>
      <c r="M615" s="6">
        <v>2.177</v>
      </c>
      <c r="N615" s="6">
        <v>2.177</v>
      </c>
      <c r="O615" s="6">
        <v>2.177</v>
      </c>
      <c r="P615" s="6">
        <v>0</v>
      </c>
      <c r="Q615" s="4" t="s">
        <v>26</v>
      </c>
      <c r="R615" s="4">
        <v>0</v>
      </c>
      <c r="S615" s="6">
        <v>0</v>
      </c>
      <c r="T615" s="6">
        <v>29</v>
      </c>
      <c r="U615" s="6">
        <v>70</v>
      </c>
      <c r="V615" s="6">
        <f>IF(ISERROR(VLOOKUP($S$615,'TAR FIN'!$A$1:$O$103,15,0)),0,VLOOKUP($S$615,'TAR FIN'!$A$1:$O$103,15,0))</f>
        <v>0</v>
      </c>
      <c r="W615" s="6">
        <f>IF(ISERROR(VLOOKUP($T$615,'TAR FIN'!$A$1:$O$103,15,0)),0,VLOOKUP($T$615,'TAR FIN'!$A$1:$O$103,15,0))</f>
        <v>198.56</v>
      </c>
      <c r="X615" s="6">
        <f>IF(ISERROR(VLOOKUP($U$615,'TAR FIN'!$A$1:$O$103,15,0)),0,VLOOKUP($U$615,'TAR FIN'!$A$1:$O$103,15,0))</f>
        <v>275.36</v>
      </c>
      <c r="Y615" s="6"/>
      <c r="Z615" s="6">
        <f ca="1">('TUSD BE'!$AM$29+'TUSD BF_350'!$AM$29+'TUSD CVA'!$AM$29)*1</f>
        <v>236.05</v>
      </c>
      <c r="AA615" s="6">
        <f ca="1">('TE BE'!$AB$13+'TE BF_350'!$AB$13+'TE CVA'!$AB$13)*1</f>
        <v>247.20000000000002</v>
      </c>
      <c r="AB615" s="6">
        <f>$K$615*$V$615</f>
        <v>0</v>
      </c>
      <c r="AC615" s="6">
        <f>$M$615*$W$615</f>
        <v>432.26512000000002</v>
      </c>
      <c r="AD615" s="6">
        <f>$O$615*$X$615</f>
        <v>599.45872000000008</v>
      </c>
      <c r="AE615" s="6">
        <f>$K$615*$Y$615</f>
        <v>0</v>
      </c>
      <c r="AF615" s="6">
        <f ca="1">$M$615*$Z$615</f>
        <v>513.88085000000001</v>
      </c>
      <c r="AG615" s="6">
        <f ca="1">$O$615*$AA$615</f>
        <v>538.15440000000001</v>
      </c>
    </row>
    <row r="616" spans="1:33" ht="11.25" customHeight="1" x14ac:dyDescent="0.25">
      <c r="A616" s="4" t="s">
        <v>21</v>
      </c>
      <c r="B616" s="4" t="s">
        <v>22</v>
      </c>
      <c r="C616" s="4" t="s">
        <v>36</v>
      </c>
      <c r="D616" s="4" t="s">
        <v>24</v>
      </c>
      <c r="E616" s="4" t="s">
        <v>24</v>
      </c>
      <c r="F616" s="4" t="s">
        <v>25</v>
      </c>
      <c r="G616" s="4" t="s">
        <v>25</v>
      </c>
      <c r="H616" s="4" t="s">
        <v>35</v>
      </c>
      <c r="I616" s="5">
        <v>44531</v>
      </c>
      <c r="J616" s="6">
        <v>0</v>
      </c>
      <c r="K616" s="6">
        <v>0</v>
      </c>
      <c r="L616" s="6">
        <v>2.2120000000000002</v>
      </c>
      <c r="M616" s="6">
        <v>2.2120000000000002</v>
      </c>
      <c r="N616" s="6">
        <v>2.2120000000000002</v>
      </c>
      <c r="O616" s="6">
        <v>2.2120000000000002</v>
      </c>
      <c r="P616" s="6">
        <v>0</v>
      </c>
      <c r="Q616" s="4" t="s">
        <v>26</v>
      </c>
      <c r="R616" s="4">
        <v>0</v>
      </c>
      <c r="S616" s="6">
        <v>0</v>
      </c>
      <c r="T616" s="6">
        <v>29</v>
      </c>
      <c r="U616" s="6">
        <v>70</v>
      </c>
      <c r="V616" s="6">
        <f>IF(ISERROR(VLOOKUP($S$616,'TAR FIN'!$A$1:$O$103,15,0)),0,VLOOKUP($S$616,'TAR FIN'!$A$1:$O$103,15,0))</f>
        <v>0</v>
      </c>
      <c r="W616" s="6">
        <f>IF(ISERROR(VLOOKUP($T$616,'TAR FIN'!$A$1:$O$103,15,0)),0,VLOOKUP($T$616,'TAR FIN'!$A$1:$O$103,15,0))</f>
        <v>198.56</v>
      </c>
      <c r="X616" s="6">
        <f>IF(ISERROR(VLOOKUP($U$616,'TAR FIN'!$A$1:$O$103,15,0)),0,VLOOKUP($U$616,'TAR FIN'!$A$1:$O$103,15,0))</f>
        <v>275.36</v>
      </c>
      <c r="Y616" s="6"/>
      <c r="Z616" s="6">
        <f ca="1">('TUSD BE'!$AM$29+'TUSD BF_350'!$AM$29+'TUSD CVA'!$AM$29)*1</f>
        <v>236.05</v>
      </c>
      <c r="AA616" s="6">
        <f ca="1">('TE BE'!$AB$13+'TE BF_350'!$AB$13+'TE CVA'!$AB$13)*1</f>
        <v>247.20000000000002</v>
      </c>
      <c r="AB616" s="6">
        <f>$K$616*$V$616</f>
        <v>0</v>
      </c>
      <c r="AC616" s="6">
        <f>$M$616*$W$616</f>
        <v>439.21472000000006</v>
      </c>
      <c r="AD616" s="6">
        <f>$O$616*$X$616</f>
        <v>609.09632000000011</v>
      </c>
      <c r="AE616" s="6">
        <f>$K$616*$Y$616</f>
        <v>0</v>
      </c>
      <c r="AF616" s="6">
        <f ca="1">$M$616*$Z$616</f>
        <v>522.14260000000002</v>
      </c>
      <c r="AG616" s="6">
        <f ca="1">$O$616*$AA$616</f>
        <v>546.80640000000005</v>
      </c>
    </row>
    <row r="617" spans="1:33" ht="11.25" customHeight="1" x14ac:dyDescent="0.25">
      <c r="A617" s="4" t="s">
        <v>21</v>
      </c>
      <c r="B617" s="4" t="s">
        <v>22</v>
      </c>
      <c r="C617" s="4" t="s">
        <v>36</v>
      </c>
      <c r="D617" s="4" t="s">
        <v>24</v>
      </c>
      <c r="E617" s="4" t="s">
        <v>24</v>
      </c>
      <c r="F617" s="4" t="s">
        <v>25</v>
      </c>
      <c r="G617" s="4" t="s">
        <v>25</v>
      </c>
      <c r="H617" s="4" t="s">
        <v>35</v>
      </c>
      <c r="I617" s="5">
        <v>44562</v>
      </c>
      <c r="J617" s="6">
        <v>0</v>
      </c>
      <c r="K617" s="6">
        <v>0</v>
      </c>
      <c r="L617" s="6">
        <v>1.9159999999999999</v>
      </c>
      <c r="M617" s="6">
        <v>1.9159999999999999</v>
      </c>
      <c r="N617" s="6">
        <v>1.9159999999999999</v>
      </c>
      <c r="O617" s="6">
        <v>1.9159999999999999</v>
      </c>
      <c r="P617" s="6">
        <v>0</v>
      </c>
      <c r="Q617" s="4" t="s">
        <v>26</v>
      </c>
      <c r="R617" s="4">
        <v>0</v>
      </c>
      <c r="S617" s="6">
        <v>0</v>
      </c>
      <c r="T617" s="6">
        <v>29</v>
      </c>
      <c r="U617" s="6">
        <v>70</v>
      </c>
      <c r="V617" s="6">
        <f>IF(ISERROR(VLOOKUP($S$617,'TAR FIN'!$A$1:$O$103,15,0)),0,VLOOKUP($S$617,'TAR FIN'!$A$1:$O$103,15,0))</f>
        <v>0</v>
      </c>
      <c r="W617" s="6">
        <f>IF(ISERROR(VLOOKUP($T$617,'TAR FIN'!$A$1:$O$103,15,0)),0,VLOOKUP($T$617,'TAR FIN'!$A$1:$O$103,15,0))</f>
        <v>198.56</v>
      </c>
      <c r="X617" s="6">
        <f>IF(ISERROR(VLOOKUP($U$617,'TAR FIN'!$A$1:$O$103,15,0)),0,VLOOKUP($U$617,'TAR FIN'!$A$1:$O$103,15,0))</f>
        <v>275.36</v>
      </c>
      <c r="Y617" s="6"/>
      <c r="Z617" s="6">
        <f ca="1">('TUSD BE'!$AM$29+'TUSD BF_350'!$AM$29+'TUSD CVA'!$AM$29)*1</f>
        <v>236.05</v>
      </c>
      <c r="AA617" s="6">
        <f ca="1">('TE BE'!$AB$13+'TE BF_350'!$AB$13+'TE CVA'!$AB$13)*1</f>
        <v>247.20000000000002</v>
      </c>
      <c r="AB617" s="6">
        <f>$K$617*$V$617</f>
        <v>0</v>
      </c>
      <c r="AC617" s="6">
        <f>$M$617*$W$617</f>
        <v>380.44095999999996</v>
      </c>
      <c r="AD617" s="6">
        <f>$O$617*$X$617</f>
        <v>527.58975999999996</v>
      </c>
      <c r="AE617" s="6">
        <f>$K$617*$Y$617</f>
        <v>0</v>
      </c>
      <c r="AF617" s="6">
        <f ca="1">$M$617*$Z$617</f>
        <v>452.27179999999998</v>
      </c>
      <c r="AG617" s="6">
        <f ca="1">$O$617*$AA$617</f>
        <v>473.6352</v>
      </c>
    </row>
    <row r="618" spans="1:33" ht="11.25" customHeight="1" x14ac:dyDescent="0.25">
      <c r="A618" s="4" t="s">
        <v>21</v>
      </c>
      <c r="B618" s="4" t="s">
        <v>22</v>
      </c>
      <c r="C618" s="4" t="s">
        <v>36</v>
      </c>
      <c r="D618" s="4" t="s">
        <v>24</v>
      </c>
      <c r="E618" s="4" t="s">
        <v>24</v>
      </c>
      <c r="F618" s="4" t="s">
        <v>25</v>
      </c>
      <c r="G618" s="4" t="s">
        <v>25</v>
      </c>
      <c r="H618" s="4" t="s">
        <v>35</v>
      </c>
      <c r="I618" s="5">
        <v>44593</v>
      </c>
      <c r="J618" s="6">
        <v>0</v>
      </c>
      <c r="K618" s="6">
        <v>0</v>
      </c>
      <c r="L618" s="6">
        <v>2.0550000000000002</v>
      </c>
      <c r="M618" s="6">
        <v>2.0550000000000002</v>
      </c>
      <c r="N618" s="6">
        <v>2.0550000000000002</v>
      </c>
      <c r="O618" s="6">
        <v>2.0550000000000002</v>
      </c>
      <c r="P618" s="6">
        <v>0</v>
      </c>
      <c r="Q618" s="4" t="s">
        <v>26</v>
      </c>
      <c r="R618" s="4">
        <v>0</v>
      </c>
      <c r="S618" s="6">
        <v>0</v>
      </c>
      <c r="T618" s="6">
        <v>29</v>
      </c>
      <c r="U618" s="6">
        <v>70</v>
      </c>
      <c r="V618" s="6">
        <f>IF(ISERROR(VLOOKUP($S$618,'TAR FIN'!$A$1:$O$103,15,0)),0,VLOOKUP($S$618,'TAR FIN'!$A$1:$O$103,15,0))</f>
        <v>0</v>
      </c>
      <c r="W618" s="6">
        <f>IF(ISERROR(VLOOKUP($T$618,'TAR FIN'!$A$1:$O$103,15,0)),0,VLOOKUP($T$618,'TAR FIN'!$A$1:$O$103,15,0))</f>
        <v>198.56</v>
      </c>
      <c r="X618" s="6">
        <f>IF(ISERROR(VLOOKUP($U$618,'TAR FIN'!$A$1:$O$103,15,0)),0,VLOOKUP($U$618,'TAR FIN'!$A$1:$O$103,15,0))</f>
        <v>275.36</v>
      </c>
      <c r="Y618" s="6"/>
      <c r="Z618" s="6">
        <f ca="1">('TUSD BE'!$AM$29+'TUSD BF_350'!$AM$29+'TUSD CVA'!$AM$29)*1</f>
        <v>236.05</v>
      </c>
      <c r="AA618" s="6">
        <f ca="1">('TE BE'!$AB$13+'TE BF_350'!$AB$13+'TE CVA'!$AB$13)*1</f>
        <v>247.20000000000002</v>
      </c>
      <c r="AB618" s="6">
        <f>$K$618*$V$618</f>
        <v>0</v>
      </c>
      <c r="AC618" s="6">
        <f>$M$618*$W$618</f>
        <v>408.04080000000005</v>
      </c>
      <c r="AD618" s="6">
        <f>$O$618*$X$618</f>
        <v>565.86480000000006</v>
      </c>
      <c r="AE618" s="6">
        <f>$K$618*$Y$618</f>
        <v>0</v>
      </c>
      <c r="AF618" s="6">
        <f ca="1">$M$618*$Z$618</f>
        <v>485.08275000000003</v>
      </c>
      <c r="AG618" s="6">
        <f ca="1">$O$618*$AA$618</f>
        <v>507.99600000000009</v>
      </c>
    </row>
    <row r="619" spans="1:33" ht="11.25" customHeight="1" x14ac:dyDescent="0.25">
      <c r="A619" s="4" t="s">
        <v>21</v>
      </c>
      <c r="B619" s="4" t="s">
        <v>22</v>
      </c>
      <c r="C619" s="4" t="s">
        <v>36</v>
      </c>
      <c r="D619" s="4" t="s">
        <v>24</v>
      </c>
      <c r="E619" s="4" t="s">
        <v>24</v>
      </c>
      <c r="F619" s="4" t="s">
        <v>25</v>
      </c>
      <c r="G619" s="4" t="s">
        <v>25</v>
      </c>
      <c r="H619" s="4" t="s">
        <v>35</v>
      </c>
      <c r="I619" s="5">
        <v>44621</v>
      </c>
      <c r="J619" s="6">
        <v>0</v>
      </c>
      <c r="K619" s="6">
        <v>0</v>
      </c>
      <c r="L619" s="6">
        <v>1.95</v>
      </c>
      <c r="M619" s="6">
        <v>1.95</v>
      </c>
      <c r="N619" s="6">
        <v>1.95</v>
      </c>
      <c r="O619" s="6">
        <v>1.95</v>
      </c>
      <c r="P619" s="6">
        <v>0</v>
      </c>
      <c r="Q619" s="4" t="s">
        <v>26</v>
      </c>
      <c r="R619" s="4">
        <v>0</v>
      </c>
      <c r="S619" s="6">
        <v>0</v>
      </c>
      <c r="T619" s="6">
        <v>29</v>
      </c>
      <c r="U619" s="6">
        <v>70</v>
      </c>
      <c r="V619" s="6">
        <f>IF(ISERROR(VLOOKUP($S$619,'TAR FIN'!$A$1:$O$103,15,0)),0,VLOOKUP($S$619,'TAR FIN'!$A$1:$O$103,15,0))</f>
        <v>0</v>
      </c>
      <c r="W619" s="6">
        <f>IF(ISERROR(VLOOKUP($T$619,'TAR FIN'!$A$1:$O$103,15,0)),0,VLOOKUP($T$619,'TAR FIN'!$A$1:$O$103,15,0))</f>
        <v>198.56</v>
      </c>
      <c r="X619" s="6">
        <f>IF(ISERROR(VLOOKUP($U$619,'TAR FIN'!$A$1:$O$103,15,0)),0,VLOOKUP($U$619,'TAR FIN'!$A$1:$O$103,15,0))</f>
        <v>275.36</v>
      </c>
      <c r="Y619" s="6"/>
      <c r="Z619" s="6">
        <f ca="1">('TUSD BE'!$AM$29+'TUSD BF_350'!$AM$29+'TUSD CVA'!$AM$29)*1</f>
        <v>236.05</v>
      </c>
      <c r="AA619" s="6">
        <f ca="1">('TE BE'!$AB$13+'TE BF_350'!$AB$13+'TE CVA'!$AB$13)*1</f>
        <v>247.20000000000002</v>
      </c>
      <c r="AB619" s="6">
        <f>$K$619*$V$619</f>
        <v>0</v>
      </c>
      <c r="AC619" s="6">
        <f>$M$619*$W$619</f>
        <v>387.19200000000001</v>
      </c>
      <c r="AD619" s="6">
        <f>$O$619*$X$619</f>
        <v>536.952</v>
      </c>
      <c r="AE619" s="6">
        <f>$K$619*$Y$619</f>
        <v>0</v>
      </c>
      <c r="AF619" s="6">
        <f ca="1">$M$619*$Z$619</f>
        <v>460.29750000000001</v>
      </c>
      <c r="AG619" s="6">
        <f ca="1">$O$619*$AA$619</f>
        <v>482.04</v>
      </c>
    </row>
    <row r="620" spans="1:33" ht="11.25" customHeight="1" x14ac:dyDescent="0.25">
      <c r="A620" s="4" t="s">
        <v>21</v>
      </c>
      <c r="B620" s="4" t="s">
        <v>22</v>
      </c>
      <c r="C620" s="4" t="s">
        <v>36</v>
      </c>
      <c r="D620" s="4" t="s">
        <v>24</v>
      </c>
      <c r="E620" s="4" t="s">
        <v>24</v>
      </c>
      <c r="F620" s="4" t="s">
        <v>25</v>
      </c>
      <c r="G620" s="4" t="s">
        <v>25</v>
      </c>
      <c r="H620" s="4" t="s">
        <v>35</v>
      </c>
      <c r="I620" s="5">
        <v>44652</v>
      </c>
      <c r="J620" s="6">
        <v>0</v>
      </c>
      <c r="K620" s="6">
        <v>0</v>
      </c>
      <c r="L620" s="6">
        <v>1.927</v>
      </c>
      <c r="M620" s="6">
        <v>1.927</v>
      </c>
      <c r="N620" s="6">
        <v>1.927</v>
      </c>
      <c r="O620" s="6">
        <v>1.927</v>
      </c>
      <c r="P620" s="6">
        <v>0</v>
      </c>
      <c r="Q620" s="4" t="s">
        <v>26</v>
      </c>
      <c r="R620" s="4">
        <v>0</v>
      </c>
      <c r="S620" s="6">
        <v>0</v>
      </c>
      <c r="T620" s="6">
        <v>29</v>
      </c>
      <c r="U620" s="6">
        <v>70</v>
      </c>
      <c r="V620" s="6">
        <f>IF(ISERROR(VLOOKUP($S$620,'TAR FIN'!$A$1:$O$103,15,0)),0,VLOOKUP($S$620,'TAR FIN'!$A$1:$O$103,15,0))</f>
        <v>0</v>
      </c>
      <c r="W620" s="6">
        <f>IF(ISERROR(VLOOKUP($T$620,'TAR FIN'!$A$1:$O$103,15,0)),0,VLOOKUP($T$620,'TAR FIN'!$A$1:$O$103,15,0))</f>
        <v>198.56</v>
      </c>
      <c r="X620" s="6">
        <f>IF(ISERROR(VLOOKUP($U$620,'TAR FIN'!$A$1:$O$103,15,0)),0,VLOOKUP($U$620,'TAR FIN'!$A$1:$O$103,15,0))</f>
        <v>275.36</v>
      </c>
      <c r="Y620" s="6"/>
      <c r="Z620" s="6">
        <f ca="1">('TUSD BE'!$AM$29+'TUSD BF_350'!$AM$29+'TUSD CVA'!$AM$29)*1</f>
        <v>236.05</v>
      </c>
      <c r="AA620" s="6">
        <f ca="1">('TE BE'!$AB$13+'TE BF_350'!$AB$13+'TE CVA'!$AB$13)*1</f>
        <v>247.20000000000002</v>
      </c>
      <c r="AB620" s="6">
        <f>$K$620*$V$620</f>
        <v>0</v>
      </c>
      <c r="AC620" s="6">
        <f>$M$620*$W$620</f>
        <v>382.62512000000004</v>
      </c>
      <c r="AD620" s="6">
        <f>$O$620*$X$620</f>
        <v>530.61872000000005</v>
      </c>
      <c r="AE620" s="6">
        <f>$K$620*$Y$620</f>
        <v>0</v>
      </c>
      <c r="AF620" s="6">
        <f ca="1">$M$620*$Z$620</f>
        <v>454.86835000000002</v>
      </c>
      <c r="AG620" s="6">
        <f ca="1">$O$620*$AA$620</f>
        <v>476.35440000000006</v>
      </c>
    </row>
    <row r="621" spans="1:33" ht="11.25" customHeight="1" x14ac:dyDescent="0.25">
      <c r="A621" s="4" t="s">
        <v>21</v>
      </c>
      <c r="B621" s="4" t="s">
        <v>22</v>
      </c>
      <c r="C621" s="4" t="s">
        <v>36</v>
      </c>
      <c r="D621" s="4" t="s">
        <v>24</v>
      </c>
      <c r="E621" s="4" t="s">
        <v>24</v>
      </c>
      <c r="F621" s="4" t="s">
        <v>25</v>
      </c>
      <c r="G621" s="4" t="s">
        <v>25</v>
      </c>
      <c r="H621" s="4" t="s">
        <v>35</v>
      </c>
      <c r="I621" s="5">
        <v>44682</v>
      </c>
      <c r="J621" s="6">
        <v>0</v>
      </c>
      <c r="K621" s="6">
        <v>0</v>
      </c>
      <c r="L621" s="6">
        <v>1.7849999999999999</v>
      </c>
      <c r="M621" s="6">
        <v>1.7849999999999999</v>
      </c>
      <c r="N621" s="6">
        <v>1.7849999999999999</v>
      </c>
      <c r="O621" s="6">
        <v>1.7849999999999999</v>
      </c>
      <c r="P621" s="6">
        <v>0</v>
      </c>
      <c r="Q621" s="4" t="s">
        <v>26</v>
      </c>
      <c r="R621" s="4">
        <v>0</v>
      </c>
      <c r="S621" s="6">
        <v>0</v>
      </c>
      <c r="T621" s="6">
        <v>29</v>
      </c>
      <c r="U621" s="6">
        <v>70</v>
      </c>
      <c r="V621" s="6">
        <f>IF(ISERROR(VLOOKUP($S$621,'TAR FIN'!$A$1:$O$103,15,0)),0,VLOOKUP($S$621,'TAR FIN'!$A$1:$O$103,15,0))</f>
        <v>0</v>
      </c>
      <c r="W621" s="6">
        <f>IF(ISERROR(VLOOKUP($T$621,'TAR FIN'!$A$1:$O$103,15,0)),0,VLOOKUP($T$621,'TAR FIN'!$A$1:$O$103,15,0))</f>
        <v>198.56</v>
      </c>
      <c r="X621" s="6">
        <f>IF(ISERROR(VLOOKUP($U$621,'TAR FIN'!$A$1:$O$103,15,0)),0,VLOOKUP($U$621,'TAR FIN'!$A$1:$O$103,15,0))</f>
        <v>275.36</v>
      </c>
      <c r="Y621" s="6"/>
      <c r="Z621" s="6">
        <f ca="1">('TUSD BE'!$AM$29+'TUSD BF_350'!$AM$29+'TUSD CVA'!$AM$29)*1</f>
        <v>236.05</v>
      </c>
      <c r="AA621" s="6">
        <f ca="1">('TE BE'!$AB$13+'TE BF_350'!$AB$13+'TE CVA'!$AB$13)*1</f>
        <v>247.20000000000002</v>
      </c>
      <c r="AB621" s="6">
        <f>$K$621*$V$621</f>
        <v>0</v>
      </c>
      <c r="AC621" s="6">
        <f>$M$621*$W$621</f>
        <v>354.42959999999999</v>
      </c>
      <c r="AD621" s="6">
        <f>$O$621*$X$621</f>
        <v>491.51760000000002</v>
      </c>
      <c r="AE621" s="6">
        <f>$K$621*$Y$621</f>
        <v>0</v>
      </c>
      <c r="AF621" s="6">
        <f ca="1">$M$621*$Z$621</f>
        <v>421.34924999999998</v>
      </c>
      <c r="AG621" s="6">
        <f ca="1">$O$621*$AA$621</f>
        <v>441.25200000000001</v>
      </c>
    </row>
    <row r="622" spans="1:33" ht="11.25" customHeight="1" x14ac:dyDescent="0.25">
      <c r="A622" s="4" t="s">
        <v>21</v>
      </c>
      <c r="B622" s="4" t="s">
        <v>22</v>
      </c>
      <c r="C622" s="4" t="s">
        <v>36</v>
      </c>
      <c r="D622" s="4" t="s">
        <v>24</v>
      </c>
      <c r="E622" s="4" t="s">
        <v>24</v>
      </c>
      <c r="F622" s="4" t="s">
        <v>25</v>
      </c>
      <c r="G622" s="4" t="s">
        <v>25</v>
      </c>
      <c r="H622" s="4" t="s">
        <v>38</v>
      </c>
      <c r="I622" s="5">
        <v>44348</v>
      </c>
      <c r="J622" s="6">
        <v>0</v>
      </c>
      <c r="K622" s="6">
        <v>0</v>
      </c>
      <c r="L622" s="6">
        <v>0.155</v>
      </c>
      <c r="M622" s="6">
        <v>0.155</v>
      </c>
      <c r="N622" s="6">
        <v>0.155</v>
      </c>
      <c r="O622" s="6">
        <v>0.155</v>
      </c>
      <c r="P622" s="6">
        <v>0</v>
      </c>
      <c r="Q622" s="4" t="s">
        <v>26</v>
      </c>
      <c r="R622" s="4">
        <v>0</v>
      </c>
      <c r="S622" s="6">
        <v>0</v>
      </c>
      <c r="T622" s="6">
        <v>28</v>
      </c>
      <c r="U622" s="6">
        <v>69</v>
      </c>
      <c r="V622" s="6">
        <f>IF(ISERROR(VLOOKUP($S$622,'TAR FIN'!$A$1:$O$103,15,0)),0,VLOOKUP($S$622,'TAR FIN'!$A$1:$O$103,15,0))</f>
        <v>0</v>
      </c>
      <c r="W622" s="6">
        <f>IF(ISERROR(VLOOKUP($T$622,'TAR FIN'!$A$1:$O$103,15,0)),0,VLOOKUP($T$622,'TAR FIN'!$A$1:$O$103,15,0))</f>
        <v>380.18</v>
      </c>
      <c r="X622" s="6">
        <f>IF(ISERROR(VLOOKUP($U$622,'TAR FIN'!$A$1:$O$103,15,0)),0,VLOOKUP($U$622,'TAR FIN'!$A$1:$O$103,15,0))</f>
        <v>275.36</v>
      </c>
      <c r="Y622" s="6"/>
      <c r="Z622" s="6">
        <f ca="1">('TUSD BE'!$AM$28+'TUSD BF_350'!$AM$28+'TUSD CVA'!$AM$28)*1</f>
        <v>426.32999999999993</v>
      </c>
      <c r="AA622" s="6">
        <f ca="1">('TE BE'!$AB$12+'TE BF_350'!$AB$12+'TE CVA'!$AB$12)*1</f>
        <v>247.20000000000002</v>
      </c>
      <c r="AB622" s="6">
        <f>$K$622*$V$622</f>
        <v>0</v>
      </c>
      <c r="AC622" s="6">
        <f>$M$622*$W$622</f>
        <v>58.927900000000001</v>
      </c>
      <c r="AD622" s="6">
        <f>$O$622*$X$622</f>
        <v>42.680800000000005</v>
      </c>
      <c r="AE622" s="6">
        <f>$K$622*$Y$622</f>
        <v>0</v>
      </c>
      <c r="AF622" s="6">
        <f ca="1">$M$622*$Z$622</f>
        <v>66.081149999999994</v>
      </c>
      <c r="AG622" s="6">
        <f ca="1">$O$622*$AA$622</f>
        <v>38.316000000000003</v>
      </c>
    </row>
    <row r="623" spans="1:33" ht="11.25" customHeight="1" x14ac:dyDescent="0.25">
      <c r="A623" s="4" t="s">
        <v>21</v>
      </c>
      <c r="B623" s="4" t="s">
        <v>22</v>
      </c>
      <c r="C623" s="4" t="s">
        <v>36</v>
      </c>
      <c r="D623" s="4" t="s">
        <v>24</v>
      </c>
      <c r="E623" s="4" t="s">
        <v>24</v>
      </c>
      <c r="F623" s="4" t="s">
        <v>25</v>
      </c>
      <c r="G623" s="4" t="s">
        <v>25</v>
      </c>
      <c r="H623" s="4" t="s">
        <v>38</v>
      </c>
      <c r="I623" s="5">
        <v>44378</v>
      </c>
      <c r="J623" s="6">
        <v>0</v>
      </c>
      <c r="K623" s="6">
        <v>0</v>
      </c>
      <c r="L623" s="6">
        <v>0.17699999999999999</v>
      </c>
      <c r="M623" s="6">
        <v>0.17699999999999999</v>
      </c>
      <c r="N623" s="6">
        <v>0.17699999999999999</v>
      </c>
      <c r="O623" s="6">
        <v>0.17699999999999999</v>
      </c>
      <c r="P623" s="6">
        <v>0</v>
      </c>
      <c r="Q623" s="4" t="s">
        <v>26</v>
      </c>
      <c r="R623" s="4">
        <v>0</v>
      </c>
      <c r="S623" s="6">
        <v>0</v>
      </c>
      <c r="T623" s="6">
        <v>28</v>
      </c>
      <c r="U623" s="6">
        <v>69</v>
      </c>
      <c r="V623" s="6">
        <f>IF(ISERROR(VLOOKUP($S$623,'TAR FIN'!$A$1:$O$103,15,0)),0,VLOOKUP($S$623,'TAR FIN'!$A$1:$O$103,15,0))</f>
        <v>0</v>
      </c>
      <c r="W623" s="6">
        <f>IF(ISERROR(VLOOKUP($T$623,'TAR FIN'!$A$1:$O$103,15,0)),0,VLOOKUP($T$623,'TAR FIN'!$A$1:$O$103,15,0))</f>
        <v>380.18</v>
      </c>
      <c r="X623" s="6">
        <f>IF(ISERROR(VLOOKUP($U$623,'TAR FIN'!$A$1:$O$103,15,0)),0,VLOOKUP($U$623,'TAR FIN'!$A$1:$O$103,15,0))</f>
        <v>275.36</v>
      </c>
      <c r="Y623" s="6"/>
      <c r="Z623" s="6">
        <f ca="1">('TUSD BE'!$AM$28+'TUSD BF_350'!$AM$28+'TUSD CVA'!$AM$28)*1</f>
        <v>426.32999999999993</v>
      </c>
      <c r="AA623" s="6">
        <f ca="1">('TE BE'!$AB$12+'TE BF_350'!$AB$12+'TE CVA'!$AB$12)*1</f>
        <v>247.20000000000002</v>
      </c>
      <c r="AB623" s="6">
        <f>$K$623*$V$623</f>
        <v>0</v>
      </c>
      <c r="AC623" s="6">
        <f>$M$623*$W$623</f>
        <v>67.29186</v>
      </c>
      <c r="AD623" s="6">
        <f>$O$623*$X$623</f>
        <v>48.738720000000001</v>
      </c>
      <c r="AE623" s="6">
        <f>$K$623*$Y$623</f>
        <v>0</v>
      </c>
      <c r="AF623" s="6">
        <f ca="1">$M$623*$Z$623</f>
        <v>75.460409999999982</v>
      </c>
      <c r="AG623" s="6">
        <f ca="1">$O$623*$AA$623</f>
        <v>43.754400000000004</v>
      </c>
    </row>
    <row r="624" spans="1:33" ht="11.25" customHeight="1" x14ac:dyDescent="0.25">
      <c r="A624" s="4" t="s">
        <v>21</v>
      </c>
      <c r="B624" s="4" t="s">
        <v>22</v>
      </c>
      <c r="C624" s="4" t="s">
        <v>36</v>
      </c>
      <c r="D624" s="4" t="s">
        <v>24</v>
      </c>
      <c r="E624" s="4" t="s">
        <v>24</v>
      </c>
      <c r="F624" s="4" t="s">
        <v>25</v>
      </c>
      <c r="G624" s="4" t="s">
        <v>25</v>
      </c>
      <c r="H624" s="4" t="s">
        <v>38</v>
      </c>
      <c r="I624" s="5">
        <v>44409</v>
      </c>
      <c r="J624" s="6">
        <v>0</v>
      </c>
      <c r="K624" s="6">
        <v>0</v>
      </c>
      <c r="L624" s="6">
        <v>0.14000000000000001</v>
      </c>
      <c r="M624" s="6">
        <v>0.14000000000000001</v>
      </c>
      <c r="N624" s="6">
        <v>0.14000000000000001</v>
      </c>
      <c r="O624" s="6">
        <v>0.14000000000000001</v>
      </c>
      <c r="P624" s="6">
        <v>0</v>
      </c>
      <c r="Q624" s="4" t="s">
        <v>26</v>
      </c>
      <c r="R624" s="4">
        <v>0</v>
      </c>
      <c r="S624" s="6">
        <v>0</v>
      </c>
      <c r="T624" s="6">
        <v>28</v>
      </c>
      <c r="U624" s="6">
        <v>69</v>
      </c>
      <c r="V624" s="6">
        <f>IF(ISERROR(VLOOKUP($S$624,'TAR FIN'!$A$1:$O$103,15,0)),0,VLOOKUP($S$624,'TAR FIN'!$A$1:$O$103,15,0))</f>
        <v>0</v>
      </c>
      <c r="W624" s="6">
        <f>IF(ISERROR(VLOOKUP($T$624,'TAR FIN'!$A$1:$O$103,15,0)),0,VLOOKUP($T$624,'TAR FIN'!$A$1:$O$103,15,0))</f>
        <v>380.18</v>
      </c>
      <c r="X624" s="6">
        <f>IF(ISERROR(VLOOKUP($U$624,'TAR FIN'!$A$1:$O$103,15,0)),0,VLOOKUP($U$624,'TAR FIN'!$A$1:$O$103,15,0))</f>
        <v>275.36</v>
      </c>
      <c r="Y624" s="6"/>
      <c r="Z624" s="6">
        <f ca="1">('TUSD BE'!$AM$28+'TUSD BF_350'!$AM$28+'TUSD CVA'!$AM$28)*1</f>
        <v>426.32999999999993</v>
      </c>
      <c r="AA624" s="6">
        <f ca="1">('TE BE'!$AB$12+'TE BF_350'!$AB$12+'TE CVA'!$AB$12)*1</f>
        <v>247.20000000000002</v>
      </c>
      <c r="AB624" s="6">
        <f>$K$624*$V$624</f>
        <v>0</v>
      </c>
      <c r="AC624" s="6">
        <f>$M$624*$W$624</f>
        <v>53.225200000000008</v>
      </c>
      <c r="AD624" s="6">
        <f>$O$624*$X$624</f>
        <v>38.550400000000003</v>
      </c>
      <c r="AE624" s="6">
        <f>$K$624*$Y$624</f>
        <v>0</v>
      </c>
      <c r="AF624" s="6">
        <f ca="1">$M$624*$Z$624</f>
        <v>59.686199999999992</v>
      </c>
      <c r="AG624" s="6">
        <f ca="1">$O$624*$AA$624</f>
        <v>34.608000000000004</v>
      </c>
    </row>
    <row r="625" spans="1:33" ht="11.25" customHeight="1" x14ac:dyDescent="0.25">
      <c r="A625" s="4" t="s">
        <v>21</v>
      </c>
      <c r="B625" s="4" t="s">
        <v>22</v>
      </c>
      <c r="C625" s="4" t="s">
        <v>36</v>
      </c>
      <c r="D625" s="4" t="s">
        <v>24</v>
      </c>
      <c r="E625" s="4" t="s">
        <v>24</v>
      </c>
      <c r="F625" s="4" t="s">
        <v>25</v>
      </c>
      <c r="G625" s="4" t="s">
        <v>25</v>
      </c>
      <c r="H625" s="4" t="s">
        <v>38</v>
      </c>
      <c r="I625" s="5">
        <v>44440</v>
      </c>
      <c r="J625" s="6">
        <v>0</v>
      </c>
      <c r="K625" s="6">
        <v>0</v>
      </c>
      <c r="L625" s="6">
        <v>0.13500000000000001</v>
      </c>
      <c r="M625" s="6">
        <v>0.13500000000000001</v>
      </c>
      <c r="N625" s="6">
        <v>0.13500000000000001</v>
      </c>
      <c r="O625" s="6">
        <v>0.13500000000000001</v>
      </c>
      <c r="P625" s="6">
        <v>0</v>
      </c>
      <c r="Q625" s="4" t="s">
        <v>26</v>
      </c>
      <c r="R625" s="4">
        <v>0</v>
      </c>
      <c r="S625" s="6">
        <v>0</v>
      </c>
      <c r="T625" s="6">
        <v>28</v>
      </c>
      <c r="U625" s="6">
        <v>69</v>
      </c>
      <c r="V625" s="6">
        <f>IF(ISERROR(VLOOKUP($S$625,'TAR FIN'!$A$1:$O$103,15,0)),0,VLOOKUP($S$625,'TAR FIN'!$A$1:$O$103,15,0))</f>
        <v>0</v>
      </c>
      <c r="W625" s="6">
        <f>IF(ISERROR(VLOOKUP($T$625,'TAR FIN'!$A$1:$O$103,15,0)),0,VLOOKUP($T$625,'TAR FIN'!$A$1:$O$103,15,0))</f>
        <v>380.18</v>
      </c>
      <c r="X625" s="6">
        <f>IF(ISERROR(VLOOKUP($U$625,'TAR FIN'!$A$1:$O$103,15,0)),0,VLOOKUP($U$625,'TAR FIN'!$A$1:$O$103,15,0))</f>
        <v>275.36</v>
      </c>
      <c r="Y625" s="6"/>
      <c r="Z625" s="6">
        <f ca="1">('TUSD BE'!$AM$28+'TUSD BF_350'!$AM$28+'TUSD CVA'!$AM$28)*1</f>
        <v>426.32999999999993</v>
      </c>
      <c r="AA625" s="6">
        <f ca="1">('TE BE'!$AB$12+'TE BF_350'!$AB$12+'TE CVA'!$AB$12)*1</f>
        <v>247.20000000000002</v>
      </c>
      <c r="AB625" s="6">
        <f>$K$625*$V$625</f>
        <v>0</v>
      </c>
      <c r="AC625" s="6">
        <f>$M$625*$W$625</f>
        <v>51.324300000000001</v>
      </c>
      <c r="AD625" s="6">
        <f>$O$625*$X$625</f>
        <v>37.173600000000008</v>
      </c>
      <c r="AE625" s="6">
        <f>$K$625*$Y$625</f>
        <v>0</v>
      </c>
      <c r="AF625" s="6">
        <f ca="1">$M$625*$Z$625</f>
        <v>57.554549999999992</v>
      </c>
      <c r="AG625" s="6">
        <f ca="1">$O$625*$AA$625</f>
        <v>33.372000000000007</v>
      </c>
    </row>
    <row r="626" spans="1:33" ht="11.25" customHeight="1" x14ac:dyDescent="0.25">
      <c r="A626" s="4" t="s">
        <v>21</v>
      </c>
      <c r="B626" s="4" t="s">
        <v>22</v>
      </c>
      <c r="C626" s="4" t="s">
        <v>36</v>
      </c>
      <c r="D626" s="4" t="s">
        <v>24</v>
      </c>
      <c r="E626" s="4" t="s">
        <v>24</v>
      </c>
      <c r="F626" s="4" t="s">
        <v>25</v>
      </c>
      <c r="G626" s="4" t="s">
        <v>25</v>
      </c>
      <c r="H626" s="4" t="s">
        <v>38</v>
      </c>
      <c r="I626" s="5">
        <v>44470</v>
      </c>
      <c r="J626" s="6">
        <v>0</v>
      </c>
      <c r="K626" s="6">
        <v>0</v>
      </c>
      <c r="L626" s="6">
        <v>0.13600000000000001</v>
      </c>
      <c r="M626" s="6">
        <v>0.13600000000000001</v>
      </c>
      <c r="N626" s="6">
        <v>0.13600000000000001</v>
      </c>
      <c r="O626" s="6">
        <v>0.13600000000000001</v>
      </c>
      <c r="P626" s="6">
        <v>0</v>
      </c>
      <c r="Q626" s="4" t="s">
        <v>26</v>
      </c>
      <c r="R626" s="4">
        <v>0</v>
      </c>
      <c r="S626" s="6">
        <v>0</v>
      </c>
      <c r="T626" s="6">
        <v>28</v>
      </c>
      <c r="U626" s="6">
        <v>69</v>
      </c>
      <c r="V626" s="6">
        <f>IF(ISERROR(VLOOKUP($S$626,'TAR FIN'!$A$1:$O$103,15,0)),0,VLOOKUP($S$626,'TAR FIN'!$A$1:$O$103,15,0))</f>
        <v>0</v>
      </c>
      <c r="W626" s="6">
        <f>IF(ISERROR(VLOOKUP($T$626,'TAR FIN'!$A$1:$O$103,15,0)),0,VLOOKUP($T$626,'TAR FIN'!$A$1:$O$103,15,0))</f>
        <v>380.18</v>
      </c>
      <c r="X626" s="6">
        <f>IF(ISERROR(VLOOKUP($U$626,'TAR FIN'!$A$1:$O$103,15,0)),0,VLOOKUP($U$626,'TAR FIN'!$A$1:$O$103,15,0))</f>
        <v>275.36</v>
      </c>
      <c r="Y626" s="6"/>
      <c r="Z626" s="6">
        <f ca="1">('TUSD BE'!$AM$28+'TUSD BF_350'!$AM$28+'TUSD CVA'!$AM$28)*1</f>
        <v>426.32999999999993</v>
      </c>
      <c r="AA626" s="6">
        <f ca="1">('TE BE'!$AB$12+'TE BF_350'!$AB$12+'TE CVA'!$AB$12)*1</f>
        <v>247.20000000000002</v>
      </c>
      <c r="AB626" s="6">
        <f>$K$626*$V$626</f>
        <v>0</v>
      </c>
      <c r="AC626" s="6">
        <f>$M$626*$W$626</f>
        <v>51.704480000000004</v>
      </c>
      <c r="AD626" s="6">
        <f>$O$626*$X$626</f>
        <v>37.448960000000007</v>
      </c>
      <c r="AE626" s="6">
        <f>$K$626*$Y$626</f>
        <v>0</v>
      </c>
      <c r="AF626" s="6">
        <f ca="1">$M$626*$Z$626</f>
        <v>57.980879999999992</v>
      </c>
      <c r="AG626" s="6">
        <f ca="1">$O$626*$AA$626</f>
        <v>33.619200000000006</v>
      </c>
    </row>
    <row r="627" spans="1:33" ht="11.25" customHeight="1" x14ac:dyDescent="0.25">
      <c r="A627" s="4" t="s">
        <v>21</v>
      </c>
      <c r="B627" s="4" t="s">
        <v>22</v>
      </c>
      <c r="C627" s="4" t="s">
        <v>36</v>
      </c>
      <c r="D627" s="4" t="s">
        <v>24</v>
      </c>
      <c r="E627" s="4" t="s">
        <v>24</v>
      </c>
      <c r="F627" s="4" t="s">
        <v>25</v>
      </c>
      <c r="G627" s="4" t="s">
        <v>25</v>
      </c>
      <c r="H627" s="4" t="s">
        <v>38</v>
      </c>
      <c r="I627" s="5">
        <v>44501</v>
      </c>
      <c r="J627" s="6">
        <v>0</v>
      </c>
      <c r="K627" s="6">
        <v>0</v>
      </c>
      <c r="L627" s="6">
        <v>1.1850000000000001</v>
      </c>
      <c r="M627" s="6">
        <v>1.1850000000000001</v>
      </c>
      <c r="N627" s="6">
        <v>1.1850000000000001</v>
      </c>
      <c r="O627" s="6">
        <v>1.1850000000000001</v>
      </c>
      <c r="P627" s="6">
        <v>0</v>
      </c>
      <c r="Q627" s="4" t="s">
        <v>26</v>
      </c>
      <c r="R627" s="4">
        <v>0</v>
      </c>
      <c r="S627" s="6">
        <v>0</v>
      </c>
      <c r="T627" s="6">
        <v>28</v>
      </c>
      <c r="U627" s="6">
        <v>69</v>
      </c>
      <c r="V627" s="6">
        <f>IF(ISERROR(VLOOKUP($S$627,'TAR FIN'!$A$1:$O$103,15,0)),0,VLOOKUP($S$627,'TAR FIN'!$A$1:$O$103,15,0))</f>
        <v>0</v>
      </c>
      <c r="W627" s="6">
        <f>IF(ISERROR(VLOOKUP($T$627,'TAR FIN'!$A$1:$O$103,15,0)),0,VLOOKUP($T$627,'TAR FIN'!$A$1:$O$103,15,0))</f>
        <v>380.18</v>
      </c>
      <c r="X627" s="6">
        <f>IF(ISERROR(VLOOKUP($U$627,'TAR FIN'!$A$1:$O$103,15,0)),0,VLOOKUP($U$627,'TAR FIN'!$A$1:$O$103,15,0))</f>
        <v>275.36</v>
      </c>
      <c r="Y627" s="6"/>
      <c r="Z627" s="6">
        <f ca="1">('TUSD BE'!$AM$28+'TUSD BF_350'!$AM$28+'TUSD CVA'!$AM$28)*1</f>
        <v>426.32999999999993</v>
      </c>
      <c r="AA627" s="6">
        <f ca="1">('TE BE'!$AB$12+'TE BF_350'!$AB$12+'TE CVA'!$AB$12)*1</f>
        <v>247.20000000000002</v>
      </c>
      <c r="AB627" s="6">
        <f>$K$627*$V$627</f>
        <v>0</v>
      </c>
      <c r="AC627" s="6">
        <f>$M$627*$W$627</f>
        <v>450.51330000000002</v>
      </c>
      <c r="AD627" s="6">
        <f>$O$627*$X$627</f>
        <v>326.30160000000001</v>
      </c>
      <c r="AE627" s="6">
        <f>$K$627*$Y$627</f>
        <v>0</v>
      </c>
      <c r="AF627" s="6">
        <f ca="1">$M$627*$Z$627</f>
        <v>505.20104999999995</v>
      </c>
      <c r="AG627" s="6">
        <f ca="1">$O$627*$AA$627</f>
        <v>292.93200000000002</v>
      </c>
    </row>
    <row r="628" spans="1:33" ht="11.25" customHeight="1" x14ac:dyDescent="0.25">
      <c r="A628" s="4" t="s">
        <v>21</v>
      </c>
      <c r="B628" s="4" t="s">
        <v>22</v>
      </c>
      <c r="C628" s="4" t="s">
        <v>36</v>
      </c>
      <c r="D628" s="4" t="s">
        <v>24</v>
      </c>
      <c r="E628" s="4" t="s">
        <v>24</v>
      </c>
      <c r="F628" s="4" t="s">
        <v>25</v>
      </c>
      <c r="G628" s="4" t="s">
        <v>25</v>
      </c>
      <c r="H628" s="4" t="s">
        <v>38</v>
      </c>
      <c r="I628" s="5">
        <v>44531</v>
      </c>
      <c r="J628" s="6">
        <v>0</v>
      </c>
      <c r="K628" s="6">
        <v>0</v>
      </c>
      <c r="L628" s="6">
        <v>0.124</v>
      </c>
      <c r="M628" s="6">
        <v>0.124</v>
      </c>
      <c r="N628" s="6">
        <v>0.124</v>
      </c>
      <c r="O628" s="6">
        <v>0.124</v>
      </c>
      <c r="P628" s="6">
        <v>0</v>
      </c>
      <c r="Q628" s="4" t="s">
        <v>26</v>
      </c>
      <c r="R628" s="4">
        <v>0</v>
      </c>
      <c r="S628" s="6">
        <v>0</v>
      </c>
      <c r="T628" s="6">
        <v>28</v>
      </c>
      <c r="U628" s="6">
        <v>69</v>
      </c>
      <c r="V628" s="6">
        <f>IF(ISERROR(VLOOKUP($S$628,'TAR FIN'!$A$1:$O$103,15,0)),0,VLOOKUP($S$628,'TAR FIN'!$A$1:$O$103,15,0))</f>
        <v>0</v>
      </c>
      <c r="W628" s="6">
        <f>IF(ISERROR(VLOOKUP($T$628,'TAR FIN'!$A$1:$O$103,15,0)),0,VLOOKUP($T$628,'TAR FIN'!$A$1:$O$103,15,0))</f>
        <v>380.18</v>
      </c>
      <c r="X628" s="6">
        <f>IF(ISERROR(VLOOKUP($U$628,'TAR FIN'!$A$1:$O$103,15,0)),0,VLOOKUP($U$628,'TAR FIN'!$A$1:$O$103,15,0))</f>
        <v>275.36</v>
      </c>
      <c r="Y628" s="6"/>
      <c r="Z628" s="6">
        <f ca="1">('TUSD BE'!$AM$28+'TUSD BF_350'!$AM$28+'TUSD CVA'!$AM$28)*1</f>
        <v>426.32999999999993</v>
      </c>
      <c r="AA628" s="6">
        <f ca="1">('TE BE'!$AB$12+'TE BF_350'!$AB$12+'TE CVA'!$AB$12)*1</f>
        <v>247.20000000000002</v>
      </c>
      <c r="AB628" s="6">
        <f>$K$628*$V$628</f>
        <v>0</v>
      </c>
      <c r="AC628" s="6">
        <f>$M$628*$W$628</f>
        <v>47.142319999999998</v>
      </c>
      <c r="AD628" s="6">
        <f>$O$628*$X$628</f>
        <v>34.144640000000003</v>
      </c>
      <c r="AE628" s="6">
        <f>$K$628*$Y$628</f>
        <v>0</v>
      </c>
      <c r="AF628" s="6">
        <f ca="1">$M$628*$Z$628</f>
        <v>52.864919999999991</v>
      </c>
      <c r="AG628" s="6">
        <f ca="1">$O$628*$AA$628</f>
        <v>30.652800000000003</v>
      </c>
    </row>
    <row r="629" spans="1:33" ht="11.25" customHeight="1" x14ac:dyDescent="0.25">
      <c r="A629" s="4" t="s">
        <v>21</v>
      </c>
      <c r="B629" s="4" t="s">
        <v>22</v>
      </c>
      <c r="C629" s="4" t="s">
        <v>36</v>
      </c>
      <c r="D629" s="4" t="s">
        <v>24</v>
      </c>
      <c r="E629" s="4" t="s">
        <v>24</v>
      </c>
      <c r="F629" s="4" t="s">
        <v>25</v>
      </c>
      <c r="G629" s="4" t="s">
        <v>25</v>
      </c>
      <c r="H629" s="4" t="s">
        <v>38</v>
      </c>
      <c r="I629" s="5">
        <v>44562</v>
      </c>
      <c r="J629" s="6">
        <v>0</v>
      </c>
      <c r="K629" s="6">
        <v>0</v>
      </c>
      <c r="L629" s="6">
        <v>0.13200000000000001</v>
      </c>
      <c r="M629" s="6">
        <v>0.13200000000000001</v>
      </c>
      <c r="N629" s="6">
        <v>0.13200000000000001</v>
      </c>
      <c r="O629" s="6">
        <v>0.13200000000000001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28</v>
      </c>
      <c r="U629" s="6">
        <v>69</v>
      </c>
      <c r="V629" s="6">
        <f>IF(ISERROR(VLOOKUP($S$629,'TAR FIN'!$A$1:$O$103,15,0)),0,VLOOKUP($S$629,'TAR FIN'!$A$1:$O$103,15,0))</f>
        <v>0</v>
      </c>
      <c r="W629" s="6">
        <f>IF(ISERROR(VLOOKUP($T$629,'TAR FIN'!$A$1:$O$103,15,0)),0,VLOOKUP($T$629,'TAR FIN'!$A$1:$O$103,15,0))</f>
        <v>380.18</v>
      </c>
      <c r="X629" s="6">
        <f>IF(ISERROR(VLOOKUP($U$629,'TAR FIN'!$A$1:$O$103,15,0)),0,VLOOKUP($U$629,'TAR FIN'!$A$1:$O$103,15,0))</f>
        <v>275.36</v>
      </c>
      <c r="Y629" s="6"/>
      <c r="Z629" s="6">
        <f ca="1">('TUSD BE'!$AM$28+'TUSD BF_350'!$AM$28+'TUSD CVA'!$AM$28)*1</f>
        <v>426.32999999999993</v>
      </c>
      <c r="AA629" s="6">
        <f ca="1">('TE BE'!$AB$12+'TE BF_350'!$AB$12+'TE CVA'!$AB$12)*1</f>
        <v>247.20000000000002</v>
      </c>
      <c r="AB629" s="6">
        <f>$K$629*$V$629</f>
        <v>0</v>
      </c>
      <c r="AC629" s="6">
        <f>$M$629*$W$629</f>
        <v>50.183760000000007</v>
      </c>
      <c r="AD629" s="6">
        <f>$O$629*$X$629</f>
        <v>36.347520000000003</v>
      </c>
      <c r="AE629" s="6">
        <f>$K$629*$Y$629</f>
        <v>0</v>
      </c>
      <c r="AF629" s="6">
        <f ca="1">$M$629*$Z$629</f>
        <v>56.275559999999992</v>
      </c>
      <c r="AG629" s="6">
        <f ca="1">$O$629*$AA$629</f>
        <v>32.630400000000002</v>
      </c>
    </row>
    <row r="630" spans="1:33" ht="11.25" customHeight="1" x14ac:dyDescent="0.25">
      <c r="A630" s="4" t="s">
        <v>21</v>
      </c>
      <c r="B630" s="4" t="s">
        <v>22</v>
      </c>
      <c r="C630" s="4" t="s">
        <v>36</v>
      </c>
      <c r="D630" s="4" t="s">
        <v>24</v>
      </c>
      <c r="E630" s="4" t="s">
        <v>24</v>
      </c>
      <c r="F630" s="4" t="s">
        <v>25</v>
      </c>
      <c r="G630" s="4" t="s">
        <v>25</v>
      </c>
      <c r="H630" s="4" t="s">
        <v>38</v>
      </c>
      <c r="I630" s="5">
        <v>44593</v>
      </c>
      <c r="J630" s="6">
        <v>0</v>
      </c>
      <c r="K630" s="6">
        <v>0</v>
      </c>
      <c r="L630" s="6">
        <v>0.13600000000000001</v>
      </c>
      <c r="M630" s="6">
        <v>0.13600000000000001</v>
      </c>
      <c r="N630" s="6">
        <v>0.13600000000000001</v>
      </c>
      <c r="O630" s="6">
        <v>0.13600000000000001</v>
      </c>
      <c r="P630" s="6">
        <v>0</v>
      </c>
      <c r="Q630" s="4" t="s">
        <v>26</v>
      </c>
      <c r="R630" s="4">
        <v>0</v>
      </c>
      <c r="S630" s="6">
        <v>0</v>
      </c>
      <c r="T630" s="6">
        <v>28</v>
      </c>
      <c r="U630" s="6">
        <v>69</v>
      </c>
      <c r="V630" s="6">
        <f>IF(ISERROR(VLOOKUP($S$630,'TAR FIN'!$A$1:$O$103,15,0)),0,VLOOKUP($S$630,'TAR FIN'!$A$1:$O$103,15,0))</f>
        <v>0</v>
      </c>
      <c r="W630" s="6">
        <f>IF(ISERROR(VLOOKUP($T$630,'TAR FIN'!$A$1:$O$103,15,0)),0,VLOOKUP($T$630,'TAR FIN'!$A$1:$O$103,15,0))</f>
        <v>380.18</v>
      </c>
      <c r="X630" s="6">
        <f>IF(ISERROR(VLOOKUP($U$630,'TAR FIN'!$A$1:$O$103,15,0)),0,VLOOKUP($U$630,'TAR FIN'!$A$1:$O$103,15,0))</f>
        <v>275.36</v>
      </c>
      <c r="Y630" s="6"/>
      <c r="Z630" s="6">
        <f ca="1">('TUSD BE'!$AM$28+'TUSD BF_350'!$AM$28+'TUSD CVA'!$AM$28)*1</f>
        <v>426.32999999999993</v>
      </c>
      <c r="AA630" s="6">
        <f ca="1">('TE BE'!$AB$12+'TE BF_350'!$AB$12+'TE CVA'!$AB$12)*1</f>
        <v>247.20000000000002</v>
      </c>
      <c r="AB630" s="6">
        <f>$K$630*$V$630</f>
        <v>0</v>
      </c>
      <c r="AC630" s="6">
        <f>$M$630*$W$630</f>
        <v>51.704480000000004</v>
      </c>
      <c r="AD630" s="6">
        <f>$O$630*$X$630</f>
        <v>37.448960000000007</v>
      </c>
      <c r="AE630" s="6">
        <f>$K$630*$Y$630</f>
        <v>0</v>
      </c>
      <c r="AF630" s="6">
        <f ca="1">$M$630*$Z$630</f>
        <v>57.980879999999992</v>
      </c>
      <c r="AG630" s="6">
        <f ca="1">$O$630*$AA$630</f>
        <v>33.619200000000006</v>
      </c>
    </row>
    <row r="631" spans="1:33" ht="11.25" customHeight="1" x14ac:dyDescent="0.25">
      <c r="A631" s="4" t="s">
        <v>21</v>
      </c>
      <c r="B631" s="4" t="s">
        <v>22</v>
      </c>
      <c r="C631" s="4" t="s">
        <v>36</v>
      </c>
      <c r="D631" s="4" t="s">
        <v>24</v>
      </c>
      <c r="E631" s="4" t="s">
        <v>24</v>
      </c>
      <c r="F631" s="4" t="s">
        <v>25</v>
      </c>
      <c r="G631" s="4" t="s">
        <v>25</v>
      </c>
      <c r="H631" s="4" t="s">
        <v>38</v>
      </c>
      <c r="I631" s="5">
        <v>44621</v>
      </c>
      <c r="J631" s="6">
        <v>0</v>
      </c>
      <c r="K631" s="6">
        <v>0</v>
      </c>
      <c r="L631" s="6">
        <v>0.11600000000000001</v>
      </c>
      <c r="M631" s="6">
        <v>0.11600000000000001</v>
      </c>
      <c r="N631" s="6">
        <v>0.11600000000000001</v>
      </c>
      <c r="O631" s="6">
        <v>0.11600000000000001</v>
      </c>
      <c r="P631" s="6">
        <v>0</v>
      </c>
      <c r="Q631" s="4" t="s">
        <v>26</v>
      </c>
      <c r="R631" s="4">
        <v>0</v>
      </c>
      <c r="S631" s="6">
        <v>0</v>
      </c>
      <c r="T631" s="6">
        <v>28</v>
      </c>
      <c r="U631" s="6">
        <v>69</v>
      </c>
      <c r="V631" s="6">
        <f>IF(ISERROR(VLOOKUP($S$631,'TAR FIN'!$A$1:$O$103,15,0)),0,VLOOKUP($S$631,'TAR FIN'!$A$1:$O$103,15,0))</f>
        <v>0</v>
      </c>
      <c r="W631" s="6">
        <f>IF(ISERROR(VLOOKUP($T$631,'TAR FIN'!$A$1:$O$103,15,0)),0,VLOOKUP($T$631,'TAR FIN'!$A$1:$O$103,15,0))</f>
        <v>380.18</v>
      </c>
      <c r="X631" s="6">
        <f>IF(ISERROR(VLOOKUP($U$631,'TAR FIN'!$A$1:$O$103,15,0)),0,VLOOKUP($U$631,'TAR FIN'!$A$1:$O$103,15,0))</f>
        <v>275.36</v>
      </c>
      <c r="Y631" s="6"/>
      <c r="Z631" s="6">
        <f ca="1">('TUSD BE'!$AM$28+'TUSD BF_350'!$AM$28+'TUSD CVA'!$AM$28)*1</f>
        <v>426.32999999999993</v>
      </c>
      <c r="AA631" s="6">
        <f ca="1">('TE BE'!$AB$12+'TE BF_350'!$AB$12+'TE CVA'!$AB$12)*1</f>
        <v>247.20000000000002</v>
      </c>
      <c r="AB631" s="6">
        <f>$K$631*$V$631</f>
        <v>0</v>
      </c>
      <c r="AC631" s="6">
        <f>$M$631*$W$631</f>
        <v>44.100880000000004</v>
      </c>
      <c r="AD631" s="6">
        <f>$O$631*$X$631</f>
        <v>31.941760000000002</v>
      </c>
      <c r="AE631" s="6">
        <f>$K$631*$Y$631</f>
        <v>0</v>
      </c>
      <c r="AF631" s="6">
        <f ca="1">$M$631*$Z$631</f>
        <v>49.454279999999997</v>
      </c>
      <c r="AG631" s="6">
        <f ca="1">$O$631*$AA$631</f>
        <v>28.675200000000004</v>
      </c>
    </row>
    <row r="632" spans="1:33" ht="11.25" customHeight="1" x14ac:dyDescent="0.25">
      <c r="A632" s="4" t="s">
        <v>21</v>
      </c>
      <c r="B632" s="4" t="s">
        <v>22</v>
      </c>
      <c r="C632" s="4" t="s">
        <v>36</v>
      </c>
      <c r="D632" s="4" t="s">
        <v>24</v>
      </c>
      <c r="E632" s="4" t="s">
        <v>24</v>
      </c>
      <c r="F632" s="4" t="s">
        <v>25</v>
      </c>
      <c r="G632" s="4" t="s">
        <v>25</v>
      </c>
      <c r="H632" s="4" t="s">
        <v>38</v>
      </c>
      <c r="I632" s="5">
        <v>44652</v>
      </c>
      <c r="J632" s="6">
        <v>0</v>
      </c>
      <c r="K632" s="6">
        <v>0</v>
      </c>
      <c r="L632" s="6">
        <v>0.125</v>
      </c>
      <c r="M632" s="6">
        <v>0.125</v>
      </c>
      <c r="N632" s="6">
        <v>0.125</v>
      </c>
      <c r="O632" s="6">
        <v>0.125</v>
      </c>
      <c r="P632" s="6">
        <v>0</v>
      </c>
      <c r="Q632" s="4" t="s">
        <v>26</v>
      </c>
      <c r="R632" s="4">
        <v>0</v>
      </c>
      <c r="S632" s="6">
        <v>0</v>
      </c>
      <c r="T632" s="6">
        <v>28</v>
      </c>
      <c r="U632" s="6">
        <v>69</v>
      </c>
      <c r="V632" s="6">
        <f>IF(ISERROR(VLOOKUP($S$632,'TAR FIN'!$A$1:$O$103,15,0)),0,VLOOKUP($S$632,'TAR FIN'!$A$1:$O$103,15,0))</f>
        <v>0</v>
      </c>
      <c r="W632" s="6">
        <f>IF(ISERROR(VLOOKUP($T$632,'TAR FIN'!$A$1:$O$103,15,0)),0,VLOOKUP($T$632,'TAR FIN'!$A$1:$O$103,15,0))</f>
        <v>380.18</v>
      </c>
      <c r="X632" s="6">
        <f>IF(ISERROR(VLOOKUP($U$632,'TAR FIN'!$A$1:$O$103,15,0)),0,VLOOKUP($U$632,'TAR FIN'!$A$1:$O$103,15,0))</f>
        <v>275.36</v>
      </c>
      <c r="Y632" s="6"/>
      <c r="Z632" s="6">
        <f ca="1">('TUSD BE'!$AM$28+'TUSD BF_350'!$AM$28+'TUSD CVA'!$AM$28)*1</f>
        <v>426.32999999999993</v>
      </c>
      <c r="AA632" s="6">
        <f ca="1">('TE BE'!$AB$12+'TE BF_350'!$AB$12+'TE CVA'!$AB$12)*1</f>
        <v>247.20000000000002</v>
      </c>
      <c r="AB632" s="6">
        <f>$K$632*$V$632</f>
        <v>0</v>
      </c>
      <c r="AC632" s="6">
        <f>$M$632*$W$632</f>
        <v>47.522500000000001</v>
      </c>
      <c r="AD632" s="6">
        <f>$O$632*$X$632</f>
        <v>34.42</v>
      </c>
      <c r="AE632" s="6">
        <f>$K$632*$Y$632</f>
        <v>0</v>
      </c>
      <c r="AF632" s="6">
        <f ca="1">$M$632*$Z$632</f>
        <v>53.291249999999991</v>
      </c>
      <c r="AG632" s="6">
        <f ca="1">$O$632*$AA$632</f>
        <v>30.900000000000002</v>
      </c>
    </row>
    <row r="633" spans="1:33" ht="11.25" customHeight="1" x14ac:dyDescent="0.25">
      <c r="A633" s="4" t="s">
        <v>21</v>
      </c>
      <c r="B633" s="4" t="s">
        <v>22</v>
      </c>
      <c r="C633" s="4" t="s">
        <v>36</v>
      </c>
      <c r="D633" s="4" t="s">
        <v>24</v>
      </c>
      <c r="E633" s="4" t="s">
        <v>24</v>
      </c>
      <c r="F633" s="4" t="s">
        <v>25</v>
      </c>
      <c r="G633" s="4" t="s">
        <v>25</v>
      </c>
      <c r="H633" s="4" t="s">
        <v>38</v>
      </c>
      <c r="I633" s="5">
        <v>44682</v>
      </c>
      <c r="J633" s="6">
        <v>0</v>
      </c>
      <c r="K633" s="6">
        <v>0</v>
      </c>
      <c r="L633" s="6">
        <v>0.115</v>
      </c>
      <c r="M633" s="6">
        <v>0.115</v>
      </c>
      <c r="N633" s="6">
        <v>0.115</v>
      </c>
      <c r="O633" s="6">
        <v>0.115</v>
      </c>
      <c r="P633" s="6">
        <v>0</v>
      </c>
      <c r="Q633" s="4" t="s">
        <v>26</v>
      </c>
      <c r="R633" s="4">
        <v>0</v>
      </c>
      <c r="S633" s="6">
        <v>0</v>
      </c>
      <c r="T633" s="6">
        <v>28</v>
      </c>
      <c r="U633" s="6">
        <v>69</v>
      </c>
      <c r="V633" s="6">
        <f>IF(ISERROR(VLOOKUP($S$633,'TAR FIN'!$A$1:$O$103,15,0)),0,VLOOKUP($S$633,'TAR FIN'!$A$1:$O$103,15,0))</f>
        <v>0</v>
      </c>
      <c r="W633" s="6">
        <f>IF(ISERROR(VLOOKUP($T$633,'TAR FIN'!$A$1:$O$103,15,0)),0,VLOOKUP($T$633,'TAR FIN'!$A$1:$O$103,15,0))</f>
        <v>380.18</v>
      </c>
      <c r="X633" s="6">
        <f>IF(ISERROR(VLOOKUP($U$633,'TAR FIN'!$A$1:$O$103,15,0)),0,VLOOKUP($U$633,'TAR FIN'!$A$1:$O$103,15,0))</f>
        <v>275.36</v>
      </c>
      <c r="Y633" s="6"/>
      <c r="Z633" s="6">
        <f ca="1">('TUSD BE'!$AM$28+'TUSD BF_350'!$AM$28+'TUSD CVA'!$AM$28)*1</f>
        <v>426.32999999999993</v>
      </c>
      <c r="AA633" s="6">
        <f ca="1">('TE BE'!$AB$12+'TE BF_350'!$AB$12+'TE CVA'!$AB$12)*1</f>
        <v>247.20000000000002</v>
      </c>
      <c r="AB633" s="6">
        <f>$K$633*$V$633</f>
        <v>0</v>
      </c>
      <c r="AC633" s="6">
        <f>$M$633*$W$633</f>
        <v>43.720700000000001</v>
      </c>
      <c r="AD633" s="6">
        <f>$O$633*$X$633</f>
        <v>31.666400000000003</v>
      </c>
      <c r="AE633" s="6">
        <f>$K$633*$Y$633</f>
        <v>0</v>
      </c>
      <c r="AF633" s="6">
        <f ca="1">$M$633*$Z$633</f>
        <v>49.027949999999997</v>
      </c>
      <c r="AG633" s="6">
        <f ca="1">$O$633*$AA$633</f>
        <v>28.428000000000004</v>
      </c>
    </row>
    <row r="634" spans="1:33" ht="11.25" customHeight="1" x14ac:dyDescent="0.25">
      <c r="A634" s="4" t="s">
        <v>21</v>
      </c>
      <c r="B634" s="4" t="s">
        <v>22</v>
      </c>
      <c r="C634" s="4" t="s">
        <v>36</v>
      </c>
      <c r="D634" s="4" t="s">
        <v>24</v>
      </c>
      <c r="E634" s="4" t="s">
        <v>24</v>
      </c>
      <c r="F634" s="4" t="s">
        <v>25</v>
      </c>
      <c r="G634" s="4" t="s">
        <v>25</v>
      </c>
      <c r="H634" s="4" t="s">
        <v>37</v>
      </c>
      <c r="I634" s="5">
        <v>44348</v>
      </c>
      <c r="J634" s="6">
        <v>0</v>
      </c>
      <c r="K634" s="6">
        <v>0</v>
      </c>
      <c r="L634" s="6">
        <v>0.192</v>
      </c>
      <c r="M634" s="6">
        <v>0.192</v>
      </c>
      <c r="N634" s="6">
        <v>0.192</v>
      </c>
      <c r="O634" s="6">
        <v>0.192</v>
      </c>
      <c r="P634" s="6">
        <v>0</v>
      </c>
      <c r="Q634" s="4" t="s">
        <v>26</v>
      </c>
      <c r="R634" s="4">
        <v>0</v>
      </c>
      <c r="S634" s="6">
        <v>0</v>
      </c>
      <c r="T634" s="6">
        <v>27</v>
      </c>
      <c r="U634" s="6">
        <v>68</v>
      </c>
      <c r="V634" s="6">
        <f>IF(ISERROR(VLOOKUP($S$634,'TAR FIN'!$A$1:$O$103,15,0)),0,VLOOKUP($S$634,'TAR FIN'!$A$1:$O$103,15,0))</f>
        <v>0</v>
      </c>
      <c r="W634" s="6">
        <f>IF(ISERROR(VLOOKUP($T$634,'TAR FIN'!$A$1:$O$103,15,0)),0,VLOOKUP($T$634,'TAR FIN'!$A$1:$O$103,15,0))</f>
        <v>561.79999999999995</v>
      </c>
      <c r="X634" s="6">
        <f>IF(ISERROR(VLOOKUP($U$634,'TAR FIN'!$A$1:$O$103,15,0)),0,VLOOKUP($U$634,'TAR FIN'!$A$1:$O$103,15,0))</f>
        <v>437.87</v>
      </c>
      <c r="Y634" s="6"/>
      <c r="Z634" s="6">
        <f ca="1">('TUSD BE'!$AM$27+'TUSD BF_350'!$AM$27+'TUSD CVA'!$AM$27)*1</f>
        <v>616.6099999999999</v>
      </c>
      <c r="AA634" s="6">
        <f ca="1">('TE BE'!$AB$11+'TE BF_350'!$AB$11+'TE CVA'!$AB$11)*1</f>
        <v>388.08000000000004</v>
      </c>
      <c r="AB634" s="6">
        <f>$K$634*$V$634</f>
        <v>0</v>
      </c>
      <c r="AC634" s="6">
        <f>$M$634*$W$634</f>
        <v>107.8656</v>
      </c>
      <c r="AD634" s="6">
        <f>$O$634*$X$634</f>
        <v>84.071039999999996</v>
      </c>
      <c r="AE634" s="6">
        <f>$K$634*$Y$634</f>
        <v>0</v>
      </c>
      <c r="AF634" s="6">
        <f ca="1">$M$634*$Z$634</f>
        <v>118.38911999999998</v>
      </c>
      <c r="AG634" s="6">
        <f ca="1">$O$634*$AA$634</f>
        <v>74.51136000000001</v>
      </c>
    </row>
    <row r="635" spans="1:33" ht="11.25" customHeight="1" x14ac:dyDescent="0.25">
      <c r="A635" s="4" t="s">
        <v>21</v>
      </c>
      <c r="B635" s="4" t="s">
        <v>22</v>
      </c>
      <c r="C635" s="4" t="s">
        <v>36</v>
      </c>
      <c r="D635" s="4" t="s">
        <v>24</v>
      </c>
      <c r="E635" s="4" t="s">
        <v>24</v>
      </c>
      <c r="F635" s="4" t="s">
        <v>25</v>
      </c>
      <c r="G635" s="4" t="s">
        <v>25</v>
      </c>
      <c r="H635" s="4" t="s">
        <v>37</v>
      </c>
      <c r="I635" s="5">
        <v>44378</v>
      </c>
      <c r="J635" s="6">
        <v>0</v>
      </c>
      <c r="K635" s="6">
        <v>0</v>
      </c>
      <c r="L635" s="6">
        <v>0.16400000000000001</v>
      </c>
      <c r="M635" s="6">
        <v>0.16400000000000001</v>
      </c>
      <c r="N635" s="6">
        <v>0.16400000000000001</v>
      </c>
      <c r="O635" s="6">
        <v>0.16400000000000001</v>
      </c>
      <c r="P635" s="6">
        <v>0</v>
      </c>
      <c r="Q635" s="4" t="s">
        <v>26</v>
      </c>
      <c r="R635" s="4">
        <v>0</v>
      </c>
      <c r="S635" s="6">
        <v>0</v>
      </c>
      <c r="T635" s="6">
        <v>27</v>
      </c>
      <c r="U635" s="6">
        <v>68</v>
      </c>
      <c r="V635" s="6">
        <f>IF(ISERROR(VLOOKUP($S$635,'TAR FIN'!$A$1:$O$103,15,0)),0,VLOOKUP($S$635,'TAR FIN'!$A$1:$O$103,15,0))</f>
        <v>0</v>
      </c>
      <c r="W635" s="6">
        <f>IF(ISERROR(VLOOKUP($T$635,'TAR FIN'!$A$1:$O$103,15,0)),0,VLOOKUP($T$635,'TAR FIN'!$A$1:$O$103,15,0))</f>
        <v>561.79999999999995</v>
      </c>
      <c r="X635" s="6">
        <f>IF(ISERROR(VLOOKUP($U$635,'TAR FIN'!$A$1:$O$103,15,0)),0,VLOOKUP($U$635,'TAR FIN'!$A$1:$O$103,15,0))</f>
        <v>437.87</v>
      </c>
      <c r="Y635" s="6"/>
      <c r="Z635" s="6">
        <f ca="1">('TUSD BE'!$AM$27+'TUSD BF_350'!$AM$27+'TUSD CVA'!$AM$27)*1</f>
        <v>616.6099999999999</v>
      </c>
      <c r="AA635" s="6">
        <f ca="1">('TE BE'!$AB$11+'TE BF_350'!$AB$11+'TE CVA'!$AB$11)*1</f>
        <v>388.08000000000004</v>
      </c>
      <c r="AB635" s="6">
        <f>$K$635*$V$635</f>
        <v>0</v>
      </c>
      <c r="AC635" s="6">
        <f>$M$635*$W$635</f>
        <v>92.135199999999998</v>
      </c>
      <c r="AD635" s="6">
        <f>$O$635*$X$635</f>
        <v>71.810680000000005</v>
      </c>
      <c r="AE635" s="6">
        <f>$K$635*$Y$635</f>
        <v>0</v>
      </c>
      <c r="AF635" s="6">
        <f ca="1">$M$635*$Z$635</f>
        <v>101.12403999999999</v>
      </c>
      <c r="AG635" s="6">
        <f ca="1">$O$635*$AA$635</f>
        <v>63.645120000000013</v>
      </c>
    </row>
    <row r="636" spans="1:33" ht="11.25" customHeight="1" x14ac:dyDescent="0.25">
      <c r="A636" s="4" t="s">
        <v>21</v>
      </c>
      <c r="B636" s="4" t="s">
        <v>22</v>
      </c>
      <c r="C636" s="4" t="s">
        <v>36</v>
      </c>
      <c r="D636" s="4" t="s">
        <v>24</v>
      </c>
      <c r="E636" s="4" t="s">
        <v>24</v>
      </c>
      <c r="F636" s="4" t="s">
        <v>25</v>
      </c>
      <c r="G636" s="4" t="s">
        <v>25</v>
      </c>
      <c r="H636" s="4" t="s">
        <v>37</v>
      </c>
      <c r="I636" s="5">
        <v>44409</v>
      </c>
      <c r="J636" s="6">
        <v>0</v>
      </c>
      <c r="K636" s="6">
        <v>0</v>
      </c>
      <c r="L636" s="6">
        <v>0.153</v>
      </c>
      <c r="M636" s="6">
        <v>0.153</v>
      </c>
      <c r="N636" s="6">
        <v>0.153</v>
      </c>
      <c r="O636" s="6">
        <v>0.153</v>
      </c>
      <c r="P636" s="6">
        <v>0</v>
      </c>
      <c r="Q636" s="4" t="s">
        <v>26</v>
      </c>
      <c r="R636" s="4">
        <v>0</v>
      </c>
      <c r="S636" s="6">
        <v>0</v>
      </c>
      <c r="T636" s="6">
        <v>27</v>
      </c>
      <c r="U636" s="6">
        <v>68</v>
      </c>
      <c r="V636" s="6">
        <f>IF(ISERROR(VLOOKUP($S$636,'TAR FIN'!$A$1:$O$103,15,0)),0,VLOOKUP($S$636,'TAR FIN'!$A$1:$O$103,15,0))</f>
        <v>0</v>
      </c>
      <c r="W636" s="6">
        <f>IF(ISERROR(VLOOKUP($T$636,'TAR FIN'!$A$1:$O$103,15,0)),0,VLOOKUP($T$636,'TAR FIN'!$A$1:$O$103,15,0))</f>
        <v>561.79999999999995</v>
      </c>
      <c r="X636" s="6">
        <f>IF(ISERROR(VLOOKUP($U$636,'TAR FIN'!$A$1:$O$103,15,0)),0,VLOOKUP($U$636,'TAR FIN'!$A$1:$O$103,15,0))</f>
        <v>437.87</v>
      </c>
      <c r="Y636" s="6"/>
      <c r="Z636" s="6">
        <f ca="1">('TUSD BE'!$AM$27+'TUSD BF_350'!$AM$27+'TUSD CVA'!$AM$27)*1</f>
        <v>616.6099999999999</v>
      </c>
      <c r="AA636" s="6">
        <f ca="1">('TE BE'!$AB$11+'TE BF_350'!$AB$11+'TE CVA'!$AB$11)*1</f>
        <v>388.08000000000004</v>
      </c>
      <c r="AB636" s="6">
        <f>$K$636*$V$636</f>
        <v>0</v>
      </c>
      <c r="AC636" s="6">
        <f>$M$636*$W$636</f>
        <v>85.955399999999997</v>
      </c>
      <c r="AD636" s="6">
        <f>$O$636*$X$636</f>
        <v>66.994110000000006</v>
      </c>
      <c r="AE636" s="6">
        <f>$K$636*$Y$636</f>
        <v>0</v>
      </c>
      <c r="AF636" s="6">
        <f ca="1">$M$636*$Z$636</f>
        <v>94.341329999999985</v>
      </c>
      <c r="AG636" s="6">
        <f ca="1">$O$636*$AA$636</f>
        <v>59.376240000000003</v>
      </c>
    </row>
    <row r="637" spans="1:33" ht="11.25" customHeight="1" x14ac:dyDescent="0.25">
      <c r="A637" s="4" t="s">
        <v>21</v>
      </c>
      <c r="B637" s="4" t="s">
        <v>22</v>
      </c>
      <c r="C637" s="4" t="s">
        <v>36</v>
      </c>
      <c r="D637" s="4" t="s">
        <v>24</v>
      </c>
      <c r="E637" s="4" t="s">
        <v>24</v>
      </c>
      <c r="F637" s="4" t="s">
        <v>25</v>
      </c>
      <c r="G637" s="4" t="s">
        <v>25</v>
      </c>
      <c r="H637" s="4" t="s">
        <v>37</v>
      </c>
      <c r="I637" s="5">
        <v>44440</v>
      </c>
      <c r="J637" s="6">
        <v>0</v>
      </c>
      <c r="K637" s="6">
        <v>0</v>
      </c>
      <c r="L637" s="6">
        <v>0.16200000000000001</v>
      </c>
      <c r="M637" s="6">
        <v>0.16200000000000001</v>
      </c>
      <c r="N637" s="6">
        <v>0.16200000000000001</v>
      </c>
      <c r="O637" s="6">
        <v>0.16200000000000001</v>
      </c>
      <c r="P637" s="6">
        <v>0</v>
      </c>
      <c r="Q637" s="4" t="s">
        <v>26</v>
      </c>
      <c r="R637" s="4">
        <v>0</v>
      </c>
      <c r="S637" s="6">
        <v>0</v>
      </c>
      <c r="T637" s="6">
        <v>27</v>
      </c>
      <c r="U637" s="6">
        <v>68</v>
      </c>
      <c r="V637" s="6">
        <f>IF(ISERROR(VLOOKUP($S$637,'TAR FIN'!$A$1:$O$103,15,0)),0,VLOOKUP($S$637,'TAR FIN'!$A$1:$O$103,15,0))</f>
        <v>0</v>
      </c>
      <c r="W637" s="6">
        <f>IF(ISERROR(VLOOKUP($T$637,'TAR FIN'!$A$1:$O$103,15,0)),0,VLOOKUP($T$637,'TAR FIN'!$A$1:$O$103,15,0))</f>
        <v>561.79999999999995</v>
      </c>
      <c r="X637" s="6">
        <f>IF(ISERROR(VLOOKUP($U$637,'TAR FIN'!$A$1:$O$103,15,0)),0,VLOOKUP($U$637,'TAR FIN'!$A$1:$O$103,15,0))</f>
        <v>437.87</v>
      </c>
      <c r="Y637" s="6"/>
      <c r="Z637" s="6">
        <f ca="1">('TUSD BE'!$AM$27+'TUSD BF_350'!$AM$27+'TUSD CVA'!$AM$27)*1</f>
        <v>616.6099999999999</v>
      </c>
      <c r="AA637" s="6">
        <f ca="1">('TE BE'!$AB$11+'TE BF_350'!$AB$11+'TE CVA'!$AB$11)*1</f>
        <v>388.08000000000004</v>
      </c>
      <c r="AB637" s="6">
        <f>$K$637*$V$637</f>
        <v>0</v>
      </c>
      <c r="AC637" s="6">
        <f>$M$637*$W$637</f>
        <v>91.011600000000001</v>
      </c>
      <c r="AD637" s="6">
        <f>$O$637*$X$637</f>
        <v>70.934939999999997</v>
      </c>
      <c r="AE637" s="6">
        <f>$K$637*$Y$637</f>
        <v>0</v>
      </c>
      <c r="AF637" s="6">
        <f ca="1">$M$637*$Z$637</f>
        <v>99.890819999999991</v>
      </c>
      <c r="AG637" s="6">
        <f ca="1">$O$637*$AA$637</f>
        <v>62.868960000000008</v>
      </c>
    </row>
    <row r="638" spans="1:33" ht="11.25" customHeight="1" x14ac:dyDescent="0.25">
      <c r="A638" s="4" t="s">
        <v>21</v>
      </c>
      <c r="B638" s="4" t="s">
        <v>22</v>
      </c>
      <c r="C638" s="4" t="s">
        <v>36</v>
      </c>
      <c r="D638" s="4" t="s">
        <v>24</v>
      </c>
      <c r="E638" s="4" t="s">
        <v>24</v>
      </c>
      <c r="F638" s="4" t="s">
        <v>25</v>
      </c>
      <c r="G638" s="4" t="s">
        <v>25</v>
      </c>
      <c r="H638" s="4" t="s">
        <v>37</v>
      </c>
      <c r="I638" s="5">
        <v>44470</v>
      </c>
      <c r="J638" s="6">
        <v>0</v>
      </c>
      <c r="K638" s="6">
        <v>0</v>
      </c>
      <c r="L638" s="6">
        <v>0.33600000000000002</v>
      </c>
      <c r="M638" s="6">
        <v>0.33600000000000002</v>
      </c>
      <c r="N638" s="6">
        <v>0.33600000000000002</v>
      </c>
      <c r="O638" s="6">
        <v>0.33600000000000002</v>
      </c>
      <c r="P638" s="6">
        <v>0</v>
      </c>
      <c r="Q638" s="4" t="s">
        <v>26</v>
      </c>
      <c r="R638" s="4">
        <v>0</v>
      </c>
      <c r="S638" s="6">
        <v>0</v>
      </c>
      <c r="T638" s="6">
        <v>27</v>
      </c>
      <c r="U638" s="6">
        <v>68</v>
      </c>
      <c r="V638" s="6">
        <f>IF(ISERROR(VLOOKUP($S$638,'TAR FIN'!$A$1:$O$103,15,0)),0,VLOOKUP($S$638,'TAR FIN'!$A$1:$O$103,15,0))</f>
        <v>0</v>
      </c>
      <c r="W638" s="6">
        <f>IF(ISERROR(VLOOKUP($T$638,'TAR FIN'!$A$1:$O$103,15,0)),0,VLOOKUP($T$638,'TAR FIN'!$A$1:$O$103,15,0))</f>
        <v>561.79999999999995</v>
      </c>
      <c r="X638" s="6">
        <f>IF(ISERROR(VLOOKUP($U$638,'TAR FIN'!$A$1:$O$103,15,0)),0,VLOOKUP($U$638,'TAR FIN'!$A$1:$O$103,15,0))</f>
        <v>437.87</v>
      </c>
      <c r="Y638" s="6"/>
      <c r="Z638" s="6">
        <f ca="1">('TUSD BE'!$AM$27+'TUSD BF_350'!$AM$27+'TUSD CVA'!$AM$27)*1</f>
        <v>616.6099999999999</v>
      </c>
      <c r="AA638" s="6">
        <f ca="1">('TE BE'!$AB$11+'TE BF_350'!$AB$11+'TE CVA'!$AB$11)*1</f>
        <v>388.08000000000004</v>
      </c>
      <c r="AB638" s="6">
        <f>$K$638*$V$638</f>
        <v>0</v>
      </c>
      <c r="AC638" s="6">
        <f>$M$638*$W$638</f>
        <v>188.76480000000001</v>
      </c>
      <c r="AD638" s="6">
        <f>$O$638*$X$638</f>
        <v>147.12432000000001</v>
      </c>
      <c r="AE638" s="6">
        <f>$K$638*$Y$638</f>
        <v>0</v>
      </c>
      <c r="AF638" s="6">
        <f ca="1">$M$638*$Z$638</f>
        <v>207.18095999999997</v>
      </c>
      <c r="AG638" s="6">
        <f ca="1">$O$638*$AA$638</f>
        <v>130.39488000000003</v>
      </c>
    </row>
    <row r="639" spans="1:33" ht="11.25" customHeight="1" x14ac:dyDescent="0.25">
      <c r="A639" s="4" t="s">
        <v>21</v>
      </c>
      <c r="B639" s="4" t="s">
        <v>22</v>
      </c>
      <c r="C639" s="4" t="s">
        <v>36</v>
      </c>
      <c r="D639" s="4" t="s">
        <v>24</v>
      </c>
      <c r="E639" s="4" t="s">
        <v>24</v>
      </c>
      <c r="F639" s="4" t="s">
        <v>25</v>
      </c>
      <c r="G639" s="4" t="s">
        <v>25</v>
      </c>
      <c r="H639" s="4" t="s">
        <v>37</v>
      </c>
      <c r="I639" s="5">
        <v>44501</v>
      </c>
      <c r="J639" s="6">
        <v>0</v>
      </c>
      <c r="K639" s="6">
        <v>0</v>
      </c>
      <c r="L639" s="6">
        <v>0.188</v>
      </c>
      <c r="M639" s="6">
        <v>0.188</v>
      </c>
      <c r="N639" s="6">
        <v>0.188</v>
      </c>
      <c r="O639" s="6">
        <v>0.188</v>
      </c>
      <c r="P639" s="6">
        <v>0</v>
      </c>
      <c r="Q639" s="4" t="s">
        <v>26</v>
      </c>
      <c r="R639" s="4">
        <v>0</v>
      </c>
      <c r="S639" s="6">
        <v>0</v>
      </c>
      <c r="T639" s="6">
        <v>27</v>
      </c>
      <c r="U639" s="6">
        <v>68</v>
      </c>
      <c r="V639" s="6">
        <f>IF(ISERROR(VLOOKUP($S$639,'TAR FIN'!$A$1:$O$103,15,0)),0,VLOOKUP($S$639,'TAR FIN'!$A$1:$O$103,15,0))</f>
        <v>0</v>
      </c>
      <c r="W639" s="6">
        <f>IF(ISERROR(VLOOKUP($T$639,'TAR FIN'!$A$1:$O$103,15,0)),0,VLOOKUP($T$639,'TAR FIN'!$A$1:$O$103,15,0))</f>
        <v>561.79999999999995</v>
      </c>
      <c r="X639" s="6">
        <f>IF(ISERROR(VLOOKUP($U$639,'TAR FIN'!$A$1:$O$103,15,0)),0,VLOOKUP($U$639,'TAR FIN'!$A$1:$O$103,15,0))</f>
        <v>437.87</v>
      </c>
      <c r="Y639" s="6"/>
      <c r="Z639" s="6">
        <f ca="1">('TUSD BE'!$AM$27+'TUSD BF_350'!$AM$27+'TUSD CVA'!$AM$27)*1</f>
        <v>616.6099999999999</v>
      </c>
      <c r="AA639" s="6">
        <f ca="1">('TE BE'!$AB$11+'TE BF_350'!$AB$11+'TE CVA'!$AB$11)*1</f>
        <v>388.08000000000004</v>
      </c>
      <c r="AB639" s="6">
        <f>$K$639*$V$639</f>
        <v>0</v>
      </c>
      <c r="AC639" s="6">
        <f>$M$639*$W$639</f>
        <v>105.61839999999999</v>
      </c>
      <c r="AD639" s="6">
        <f>$O$639*$X$639</f>
        <v>82.319559999999996</v>
      </c>
      <c r="AE639" s="6">
        <f>$K$639*$Y$639</f>
        <v>0</v>
      </c>
      <c r="AF639" s="6">
        <f ca="1">$M$639*$Z$639</f>
        <v>115.92267999999999</v>
      </c>
      <c r="AG639" s="6">
        <f ca="1">$O$639*$AA$639</f>
        <v>72.959040000000002</v>
      </c>
    </row>
    <row r="640" spans="1:33" ht="11.25" customHeight="1" x14ac:dyDescent="0.25">
      <c r="A640" s="4" t="s">
        <v>21</v>
      </c>
      <c r="B640" s="4" t="s">
        <v>22</v>
      </c>
      <c r="C640" s="4" t="s">
        <v>36</v>
      </c>
      <c r="D640" s="4" t="s">
        <v>24</v>
      </c>
      <c r="E640" s="4" t="s">
        <v>24</v>
      </c>
      <c r="F640" s="4" t="s">
        <v>25</v>
      </c>
      <c r="G640" s="4" t="s">
        <v>25</v>
      </c>
      <c r="H640" s="4" t="s">
        <v>37</v>
      </c>
      <c r="I640" s="5">
        <v>44531</v>
      </c>
      <c r="J640" s="6">
        <v>0</v>
      </c>
      <c r="K640" s="6">
        <v>0</v>
      </c>
      <c r="L640" s="6">
        <v>0.17199999999999999</v>
      </c>
      <c r="M640" s="6">
        <v>0.17199999999999999</v>
      </c>
      <c r="N640" s="6">
        <v>0.17199999999999999</v>
      </c>
      <c r="O640" s="6">
        <v>0.17199999999999999</v>
      </c>
      <c r="P640" s="6">
        <v>0</v>
      </c>
      <c r="Q640" s="4" t="s">
        <v>26</v>
      </c>
      <c r="R640" s="4">
        <v>0</v>
      </c>
      <c r="S640" s="6">
        <v>0</v>
      </c>
      <c r="T640" s="6">
        <v>27</v>
      </c>
      <c r="U640" s="6">
        <v>68</v>
      </c>
      <c r="V640" s="6">
        <f>IF(ISERROR(VLOOKUP($S$640,'TAR FIN'!$A$1:$O$103,15,0)),0,VLOOKUP($S$640,'TAR FIN'!$A$1:$O$103,15,0))</f>
        <v>0</v>
      </c>
      <c r="W640" s="6">
        <f>IF(ISERROR(VLOOKUP($T$640,'TAR FIN'!$A$1:$O$103,15,0)),0,VLOOKUP($T$640,'TAR FIN'!$A$1:$O$103,15,0))</f>
        <v>561.79999999999995</v>
      </c>
      <c r="X640" s="6">
        <f>IF(ISERROR(VLOOKUP($U$640,'TAR FIN'!$A$1:$O$103,15,0)),0,VLOOKUP($U$640,'TAR FIN'!$A$1:$O$103,15,0))</f>
        <v>437.87</v>
      </c>
      <c r="Y640" s="6"/>
      <c r="Z640" s="6">
        <f ca="1">('TUSD BE'!$AM$27+'TUSD BF_350'!$AM$27+'TUSD CVA'!$AM$27)*1</f>
        <v>616.6099999999999</v>
      </c>
      <c r="AA640" s="6">
        <f ca="1">('TE BE'!$AB$11+'TE BF_350'!$AB$11+'TE CVA'!$AB$11)*1</f>
        <v>388.08000000000004</v>
      </c>
      <c r="AB640" s="6">
        <f>$K$640*$V$640</f>
        <v>0</v>
      </c>
      <c r="AC640" s="6">
        <f>$M$640*$W$640</f>
        <v>96.629599999999982</v>
      </c>
      <c r="AD640" s="6">
        <f>$O$640*$X$640</f>
        <v>75.313639999999992</v>
      </c>
      <c r="AE640" s="6">
        <f>$K$640*$Y$640</f>
        <v>0</v>
      </c>
      <c r="AF640" s="6">
        <f ca="1">$M$640*$Z$640</f>
        <v>106.05691999999998</v>
      </c>
      <c r="AG640" s="6">
        <f ca="1">$O$640*$AA$640</f>
        <v>66.749759999999995</v>
      </c>
    </row>
    <row r="641" spans="1:33" ht="11.25" customHeight="1" x14ac:dyDescent="0.25">
      <c r="A641" s="4" t="s">
        <v>21</v>
      </c>
      <c r="B641" s="4" t="s">
        <v>22</v>
      </c>
      <c r="C641" s="4" t="s">
        <v>36</v>
      </c>
      <c r="D641" s="4" t="s">
        <v>24</v>
      </c>
      <c r="E641" s="4" t="s">
        <v>24</v>
      </c>
      <c r="F641" s="4" t="s">
        <v>25</v>
      </c>
      <c r="G641" s="4" t="s">
        <v>25</v>
      </c>
      <c r="H641" s="4" t="s">
        <v>37</v>
      </c>
      <c r="I641" s="5">
        <v>44562</v>
      </c>
      <c r="J641" s="6">
        <v>0</v>
      </c>
      <c r="K641" s="6">
        <v>0</v>
      </c>
      <c r="L641" s="6">
        <v>0.17699999999999999</v>
      </c>
      <c r="M641" s="6">
        <v>0.17699999999999999</v>
      </c>
      <c r="N641" s="6">
        <v>0.17699999999999999</v>
      </c>
      <c r="O641" s="6">
        <v>0.17699999999999999</v>
      </c>
      <c r="P641" s="6">
        <v>0</v>
      </c>
      <c r="Q641" s="4" t="s">
        <v>26</v>
      </c>
      <c r="R641" s="4">
        <v>0</v>
      </c>
      <c r="S641" s="6">
        <v>0</v>
      </c>
      <c r="T641" s="6">
        <v>27</v>
      </c>
      <c r="U641" s="6">
        <v>68</v>
      </c>
      <c r="V641" s="6">
        <f>IF(ISERROR(VLOOKUP($S$641,'TAR FIN'!$A$1:$O$103,15,0)),0,VLOOKUP($S$641,'TAR FIN'!$A$1:$O$103,15,0))</f>
        <v>0</v>
      </c>
      <c r="W641" s="6">
        <f>IF(ISERROR(VLOOKUP($T$641,'TAR FIN'!$A$1:$O$103,15,0)),0,VLOOKUP($T$641,'TAR FIN'!$A$1:$O$103,15,0))</f>
        <v>561.79999999999995</v>
      </c>
      <c r="X641" s="6">
        <f>IF(ISERROR(VLOOKUP($U$641,'TAR FIN'!$A$1:$O$103,15,0)),0,VLOOKUP($U$641,'TAR FIN'!$A$1:$O$103,15,0))</f>
        <v>437.87</v>
      </c>
      <c r="Y641" s="6"/>
      <c r="Z641" s="6">
        <f ca="1">('TUSD BE'!$AM$27+'TUSD BF_350'!$AM$27+'TUSD CVA'!$AM$27)*1</f>
        <v>616.6099999999999</v>
      </c>
      <c r="AA641" s="6">
        <f ca="1">('TE BE'!$AB$11+'TE BF_350'!$AB$11+'TE CVA'!$AB$11)*1</f>
        <v>388.08000000000004</v>
      </c>
      <c r="AB641" s="6">
        <f>$K$641*$V$641</f>
        <v>0</v>
      </c>
      <c r="AC641" s="6">
        <f>$M$641*$W$641</f>
        <v>99.43859999999998</v>
      </c>
      <c r="AD641" s="6">
        <f>$O$641*$X$641</f>
        <v>77.502989999999997</v>
      </c>
      <c r="AE641" s="6">
        <f>$K$641*$Y$641</f>
        <v>0</v>
      </c>
      <c r="AF641" s="6">
        <f ca="1">$M$641*$Z$641</f>
        <v>109.13996999999998</v>
      </c>
      <c r="AG641" s="6">
        <f ca="1">$O$641*$AA$641</f>
        <v>68.690160000000006</v>
      </c>
    </row>
    <row r="642" spans="1:33" ht="11.25" customHeight="1" x14ac:dyDescent="0.25">
      <c r="A642" s="4" t="s">
        <v>21</v>
      </c>
      <c r="B642" s="4" t="s">
        <v>22</v>
      </c>
      <c r="C642" s="4" t="s">
        <v>36</v>
      </c>
      <c r="D642" s="4" t="s">
        <v>24</v>
      </c>
      <c r="E642" s="4" t="s">
        <v>24</v>
      </c>
      <c r="F642" s="4" t="s">
        <v>25</v>
      </c>
      <c r="G642" s="4" t="s">
        <v>25</v>
      </c>
      <c r="H642" s="4" t="s">
        <v>37</v>
      </c>
      <c r="I642" s="5">
        <v>44593</v>
      </c>
      <c r="J642" s="6">
        <v>0</v>
      </c>
      <c r="K642" s="6">
        <v>0</v>
      </c>
      <c r="L642" s="6">
        <v>0.188</v>
      </c>
      <c r="M642" s="6">
        <v>0.188</v>
      </c>
      <c r="N642" s="6">
        <v>0.188</v>
      </c>
      <c r="O642" s="6">
        <v>0.188</v>
      </c>
      <c r="P642" s="6">
        <v>0</v>
      </c>
      <c r="Q642" s="4" t="s">
        <v>26</v>
      </c>
      <c r="R642" s="4">
        <v>0</v>
      </c>
      <c r="S642" s="6">
        <v>0</v>
      </c>
      <c r="T642" s="6">
        <v>27</v>
      </c>
      <c r="U642" s="6">
        <v>68</v>
      </c>
      <c r="V642" s="6">
        <f>IF(ISERROR(VLOOKUP($S$642,'TAR FIN'!$A$1:$O$103,15,0)),0,VLOOKUP($S$642,'TAR FIN'!$A$1:$O$103,15,0))</f>
        <v>0</v>
      </c>
      <c r="W642" s="6">
        <f>IF(ISERROR(VLOOKUP($T$642,'TAR FIN'!$A$1:$O$103,15,0)),0,VLOOKUP($T$642,'TAR FIN'!$A$1:$O$103,15,0))</f>
        <v>561.79999999999995</v>
      </c>
      <c r="X642" s="6">
        <f>IF(ISERROR(VLOOKUP($U$642,'TAR FIN'!$A$1:$O$103,15,0)),0,VLOOKUP($U$642,'TAR FIN'!$A$1:$O$103,15,0))</f>
        <v>437.87</v>
      </c>
      <c r="Y642" s="6"/>
      <c r="Z642" s="6">
        <f ca="1">('TUSD BE'!$AM$27+'TUSD BF_350'!$AM$27+'TUSD CVA'!$AM$27)*1</f>
        <v>616.6099999999999</v>
      </c>
      <c r="AA642" s="6">
        <f ca="1">('TE BE'!$AB$11+'TE BF_350'!$AB$11+'TE CVA'!$AB$11)*1</f>
        <v>388.08000000000004</v>
      </c>
      <c r="AB642" s="6">
        <f>$K$642*$V$642</f>
        <v>0</v>
      </c>
      <c r="AC642" s="6">
        <f>$M$642*$W$642</f>
        <v>105.61839999999999</v>
      </c>
      <c r="AD642" s="6">
        <f>$O$642*$X$642</f>
        <v>82.319559999999996</v>
      </c>
      <c r="AE642" s="6">
        <f>$K$642*$Y$642</f>
        <v>0</v>
      </c>
      <c r="AF642" s="6">
        <f ca="1">$M$642*$Z$642</f>
        <v>115.92267999999999</v>
      </c>
      <c r="AG642" s="6">
        <f ca="1">$O$642*$AA$642</f>
        <v>72.959040000000002</v>
      </c>
    </row>
    <row r="643" spans="1:33" ht="11.25" customHeight="1" x14ac:dyDescent="0.25">
      <c r="A643" s="4" t="s">
        <v>21</v>
      </c>
      <c r="B643" s="4" t="s">
        <v>22</v>
      </c>
      <c r="C643" s="4" t="s">
        <v>36</v>
      </c>
      <c r="D643" s="4" t="s">
        <v>24</v>
      </c>
      <c r="E643" s="4" t="s">
        <v>24</v>
      </c>
      <c r="F643" s="4" t="s">
        <v>25</v>
      </c>
      <c r="G643" s="4" t="s">
        <v>25</v>
      </c>
      <c r="H643" s="4" t="s">
        <v>37</v>
      </c>
      <c r="I643" s="5">
        <v>44621</v>
      </c>
      <c r="J643" s="6">
        <v>0</v>
      </c>
      <c r="K643" s="6">
        <v>0</v>
      </c>
      <c r="L643" s="6">
        <v>0.17899999999999999</v>
      </c>
      <c r="M643" s="6">
        <v>0.17899999999999999</v>
      </c>
      <c r="N643" s="6">
        <v>0.17899999999999999</v>
      </c>
      <c r="O643" s="6">
        <v>0.17899999999999999</v>
      </c>
      <c r="P643" s="6">
        <v>0</v>
      </c>
      <c r="Q643" s="4" t="s">
        <v>26</v>
      </c>
      <c r="R643" s="4">
        <v>0</v>
      </c>
      <c r="S643" s="6">
        <v>0</v>
      </c>
      <c r="T643" s="6">
        <v>27</v>
      </c>
      <c r="U643" s="6">
        <v>68</v>
      </c>
      <c r="V643" s="6">
        <f>IF(ISERROR(VLOOKUP($S$643,'TAR FIN'!$A$1:$O$103,15,0)),0,VLOOKUP($S$643,'TAR FIN'!$A$1:$O$103,15,0))</f>
        <v>0</v>
      </c>
      <c r="W643" s="6">
        <f>IF(ISERROR(VLOOKUP($T$643,'TAR FIN'!$A$1:$O$103,15,0)),0,VLOOKUP($T$643,'TAR FIN'!$A$1:$O$103,15,0))</f>
        <v>561.79999999999995</v>
      </c>
      <c r="X643" s="6">
        <f>IF(ISERROR(VLOOKUP($U$643,'TAR FIN'!$A$1:$O$103,15,0)),0,VLOOKUP($U$643,'TAR FIN'!$A$1:$O$103,15,0))</f>
        <v>437.87</v>
      </c>
      <c r="Y643" s="6"/>
      <c r="Z643" s="6">
        <f ca="1">('TUSD BE'!$AM$27+'TUSD BF_350'!$AM$27+'TUSD CVA'!$AM$27)*1</f>
        <v>616.6099999999999</v>
      </c>
      <c r="AA643" s="6">
        <f ca="1">('TE BE'!$AB$11+'TE BF_350'!$AB$11+'TE CVA'!$AB$11)*1</f>
        <v>388.08000000000004</v>
      </c>
      <c r="AB643" s="6">
        <f>$K$643*$V$643</f>
        <v>0</v>
      </c>
      <c r="AC643" s="6">
        <f>$M$643*$W$643</f>
        <v>100.56219999999999</v>
      </c>
      <c r="AD643" s="6">
        <f>$O$643*$X$643</f>
        <v>78.378730000000004</v>
      </c>
      <c r="AE643" s="6">
        <f>$K$643*$Y$643</f>
        <v>0</v>
      </c>
      <c r="AF643" s="6">
        <f ca="1">$M$643*$Z$643</f>
        <v>110.37318999999998</v>
      </c>
      <c r="AG643" s="6">
        <f ca="1">$O$643*$AA$643</f>
        <v>69.46632000000001</v>
      </c>
    </row>
    <row r="644" spans="1:33" ht="11.25" customHeight="1" x14ac:dyDescent="0.25">
      <c r="A644" s="4" t="s">
        <v>21</v>
      </c>
      <c r="B644" s="4" t="s">
        <v>22</v>
      </c>
      <c r="C644" s="4" t="s">
        <v>36</v>
      </c>
      <c r="D644" s="4" t="s">
        <v>24</v>
      </c>
      <c r="E644" s="4" t="s">
        <v>24</v>
      </c>
      <c r="F644" s="4" t="s">
        <v>25</v>
      </c>
      <c r="G644" s="4" t="s">
        <v>25</v>
      </c>
      <c r="H644" s="4" t="s">
        <v>37</v>
      </c>
      <c r="I644" s="5">
        <v>44652</v>
      </c>
      <c r="J644" s="6">
        <v>0</v>
      </c>
      <c r="K644" s="6">
        <v>0</v>
      </c>
      <c r="L644" s="6">
        <v>0.16700000000000001</v>
      </c>
      <c r="M644" s="6">
        <v>0.16700000000000001</v>
      </c>
      <c r="N644" s="6">
        <v>0.16700000000000001</v>
      </c>
      <c r="O644" s="6">
        <v>0.16700000000000001</v>
      </c>
      <c r="P644" s="6">
        <v>0</v>
      </c>
      <c r="Q644" s="4" t="s">
        <v>26</v>
      </c>
      <c r="R644" s="4">
        <v>0</v>
      </c>
      <c r="S644" s="6">
        <v>0</v>
      </c>
      <c r="T644" s="6">
        <v>27</v>
      </c>
      <c r="U644" s="6">
        <v>68</v>
      </c>
      <c r="V644" s="6">
        <f>IF(ISERROR(VLOOKUP($S$644,'TAR FIN'!$A$1:$O$103,15,0)),0,VLOOKUP($S$644,'TAR FIN'!$A$1:$O$103,15,0))</f>
        <v>0</v>
      </c>
      <c r="W644" s="6">
        <f>IF(ISERROR(VLOOKUP($T$644,'TAR FIN'!$A$1:$O$103,15,0)),0,VLOOKUP($T$644,'TAR FIN'!$A$1:$O$103,15,0))</f>
        <v>561.79999999999995</v>
      </c>
      <c r="X644" s="6">
        <f>IF(ISERROR(VLOOKUP($U$644,'TAR FIN'!$A$1:$O$103,15,0)),0,VLOOKUP($U$644,'TAR FIN'!$A$1:$O$103,15,0))</f>
        <v>437.87</v>
      </c>
      <c r="Y644" s="6"/>
      <c r="Z644" s="6">
        <f ca="1">('TUSD BE'!$AM$27+'TUSD BF_350'!$AM$27+'TUSD CVA'!$AM$27)*1</f>
        <v>616.6099999999999</v>
      </c>
      <c r="AA644" s="6">
        <f ca="1">('TE BE'!$AB$11+'TE BF_350'!$AB$11+'TE CVA'!$AB$11)*1</f>
        <v>388.08000000000004</v>
      </c>
      <c r="AB644" s="6">
        <f>$K$644*$V$644</f>
        <v>0</v>
      </c>
      <c r="AC644" s="6">
        <f>$M$644*$W$644</f>
        <v>93.820599999999999</v>
      </c>
      <c r="AD644" s="6">
        <f>$O$644*$X$644</f>
        <v>73.124290000000002</v>
      </c>
      <c r="AE644" s="6">
        <f>$K$644*$Y$644</f>
        <v>0</v>
      </c>
      <c r="AF644" s="6">
        <f ca="1">$M$644*$Z$644</f>
        <v>102.97386999999999</v>
      </c>
      <c r="AG644" s="6">
        <f ca="1">$O$644*$AA$644</f>
        <v>64.809360000000012</v>
      </c>
    </row>
    <row r="645" spans="1:33" ht="11.25" customHeight="1" x14ac:dyDescent="0.25">
      <c r="A645" s="4" t="s">
        <v>21</v>
      </c>
      <c r="B645" s="4" t="s">
        <v>22</v>
      </c>
      <c r="C645" s="4" t="s">
        <v>36</v>
      </c>
      <c r="D645" s="4" t="s">
        <v>24</v>
      </c>
      <c r="E645" s="4" t="s">
        <v>24</v>
      </c>
      <c r="F645" s="4" t="s">
        <v>25</v>
      </c>
      <c r="G645" s="4" t="s">
        <v>25</v>
      </c>
      <c r="H645" s="4" t="s">
        <v>37</v>
      </c>
      <c r="I645" s="5">
        <v>44682</v>
      </c>
      <c r="J645" s="6">
        <v>0</v>
      </c>
      <c r="K645" s="6">
        <v>0</v>
      </c>
      <c r="L645" s="6">
        <v>0.14099999999999999</v>
      </c>
      <c r="M645" s="6">
        <v>0.14099999999999999</v>
      </c>
      <c r="N645" s="6">
        <v>0.14099999999999999</v>
      </c>
      <c r="O645" s="6">
        <v>0.14099999999999999</v>
      </c>
      <c r="P645" s="6">
        <v>0</v>
      </c>
      <c r="Q645" s="4" t="s">
        <v>26</v>
      </c>
      <c r="R645" s="4">
        <v>0</v>
      </c>
      <c r="S645" s="6">
        <v>0</v>
      </c>
      <c r="T645" s="6">
        <v>27</v>
      </c>
      <c r="U645" s="6">
        <v>68</v>
      </c>
      <c r="V645" s="6">
        <f>IF(ISERROR(VLOOKUP($S$645,'TAR FIN'!$A$1:$O$103,15,0)),0,VLOOKUP($S$645,'TAR FIN'!$A$1:$O$103,15,0))</f>
        <v>0</v>
      </c>
      <c r="W645" s="6">
        <f>IF(ISERROR(VLOOKUP($T$645,'TAR FIN'!$A$1:$O$103,15,0)),0,VLOOKUP($T$645,'TAR FIN'!$A$1:$O$103,15,0))</f>
        <v>561.79999999999995</v>
      </c>
      <c r="X645" s="6">
        <f>IF(ISERROR(VLOOKUP($U$645,'TAR FIN'!$A$1:$O$103,15,0)),0,VLOOKUP($U$645,'TAR FIN'!$A$1:$O$103,15,0))</f>
        <v>437.87</v>
      </c>
      <c r="Y645" s="6"/>
      <c r="Z645" s="6">
        <f ca="1">('TUSD BE'!$AM$27+'TUSD BF_350'!$AM$27+'TUSD CVA'!$AM$27)*1</f>
        <v>616.6099999999999</v>
      </c>
      <c r="AA645" s="6">
        <f ca="1">('TE BE'!$AB$11+'TE BF_350'!$AB$11+'TE CVA'!$AB$11)*1</f>
        <v>388.08000000000004</v>
      </c>
      <c r="AB645" s="6">
        <f>$K$645*$V$645</f>
        <v>0</v>
      </c>
      <c r="AC645" s="6">
        <f>$M$645*$W$645</f>
        <v>79.213799999999992</v>
      </c>
      <c r="AD645" s="6">
        <f>$O$645*$X$645</f>
        <v>61.739669999999997</v>
      </c>
      <c r="AE645" s="6">
        <f>$K$645*$Y$645</f>
        <v>0</v>
      </c>
      <c r="AF645" s="6">
        <f ca="1">$M$645*$Z$645</f>
        <v>86.942009999999982</v>
      </c>
      <c r="AG645" s="6">
        <f ca="1">$O$645*$AA$645</f>
        <v>54.719279999999998</v>
      </c>
    </row>
    <row r="646" spans="1:33" ht="11.25" customHeight="1" x14ac:dyDescent="0.25">
      <c r="A646" s="4" t="s">
        <v>21</v>
      </c>
      <c r="B646" s="4" t="s">
        <v>22</v>
      </c>
      <c r="C646" s="4" t="s">
        <v>23</v>
      </c>
      <c r="D646" s="4" t="s">
        <v>24</v>
      </c>
      <c r="E646" s="4" t="s">
        <v>24</v>
      </c>
      <c r="F646" s="4" t="s">
        <v>25</v>
      </c>
      <c r="G646" s="4" t="s">
        <v>25</v>
      </c>
      <c r="H646" s="4" t="s">
        <v>25</v>
      </c>
      <c r="I646" s="5">
        <v>44348</v>
      </c>
      <c r="J646" s="6">
        <v>0</v>
      </c>
      <c r="K646" s="6">
        <v>0</v>
      </c>
      <c r="L646" s="6">
        <v>7050.8720000000003</v>
      </c>
      <c r="M646" s="6">
        <v>7050.8720000000003</v>
      </c>
      <c r="N646" s="6">
        <v>7050.8720000000003</v>
      </c>
      <c r="O646" s="6">
        <v>7050.8720000000003</v>
      </c>
      <c r="P646" s="6">
        <v>43492</v>
      </c>
      <c r="Q646" s="4" t="s">
        <v>26</v>
      </c>
      <c r="R646" s="4">
        <v>0</v>
      </c>
      <c r="S646" s="6">
        <v>0</v>
      </c>
      <c r="T646" s="6">
        <v>30</v>
      </c>
      <c r="U646" s="6">
        <v>71</v>
      </c>
      <c r="V646" s="6">
        <f>IF(ISERROR(VLOOKUP($S$646,'TAR FIN'!$A$1:$O$103,15,0)),0,VLOOKUP($S$646,'TAR FIN'!$A$1:$O$103,15,0))</f>
        <v>0</v>
      </c>
      <c r="W646" s="6">
        <f>IF(ISERROR(VLOOKUP($T$646,'TAR FIN'!$A$1:$O$103,15,0)),0,VLOOKUP($T$646,'TAR FIN'!$A$1:$O$103,15,0))</f>
        <v>269.91000000000003</v>
      </c>
      <c r="X646" s="6">
        <f>IF(ISERROR(VLOOKUP($U$646,'TAR FIN'!$A$1:$O$103,15,0)),0,VLOOKUP($U$646,'TAR FIN'!$A$1:$O$103,15,0))</f>
        <v>288.89999999999998</v>
      </c>
      <c r="Y646" s="6"/>
      <c r="Z646" s="6">
        <f ca="1">('TUSD BE'!$AM$30+'TUSD BF_350'!$AM$30+'TUSD CVA'!$AM$30)*1</f>
        <v>310.79999999999995</v>
      </c>
      <c r="AA646" s="6">
        <f ca="1">('TE BE'!$AB$14+'TE BF_350'!$AB$14+'TE CVA'!$AB$14)*1</f>
        <v>258.94</v>
      </c>
      <c r="AB646" s="6">
        <f>$K$646*$V$646</f>
        <v>0</v>
      </c>
      <c r="AC646" s="6">
        <f>$M$646*$W$646</f>
        <v>1903100.8615200003</v>
      </c>
      <c r="AD646" s="6">
        <f>$O$646*$X$646</f>
        <v>2036996.9208</v>
      </c>
      <c r="AE646" s="6">
        <f>$K$646*$Y$646</f>
        <v>0</v>
      </c>
      <c r="AF646" s="6">
        <f ca="1">$M$646*$Z$646</f>
        <v>2191411.0175999999</v>
      </c>
      <c r="AG646" s="6">
        <f ca="1">$O$646*$AA$646</f>
        <v>1825752.79568</v>
      </c>
    </row>
    <row r="647" spans="1:33" ht="11.25" customHeight="1" x14ac:dyDescent="0.25">
      <c r="A647" s="4" t="s">
        <v>27</v>
      </c>
      <c r="B647" s="4" t="s">
        <v>22</v>
      </c>
      <c r="C647" s="4" t="s">
        <v>23</v>
      </c>
      <c r="D647" s="4" t="s">
        <v>24</v>
      </c>
      <c r="E647" s="4" t="s">
        <v>24</v>
      </c>
      <c r="F647" s="4" t="s">
        <v>25</v>
      </c>
      <c r="G647" s="4" t="s">
        <v>25</v>
      </c>
      <c r="H647" s="4" t="s">
        <v>25</v>
      </c>
      <c r="I647" s="5">
        <v>44348</v>
      </c>
      <c r="J647" s="6">
        <v>0</v>
      </c>
      <c r="K647" s="6">
        <v>0</v>
      </c>
      <c r="L647" s="6">
        <v>-11.6</v>
      </c>
      <c r="M647" s="6">
        <v>-11.6</v>
      </c>
      <c r="N647" s="6">
        <v>-11.6</v>
      </c>
      <c r="O647" s="6">
        <v>-11.6</v>
      </c>
      <c r="P647" s="6">
        <v>0</v>
      </c>
      <c r="Q647" s="4" t="s">
        <v>26</v>
      </c>
      <c r="R647" s="4">
        <v>0</v>
      </c>
      <c r="S647" s="6">
        <v>0</v>
      </c>
      <c r="T647" s="6">
        <v>30</v>
      </c>
      <c r="U647" s="6">
        <v>71</v>
      </c>
      <c r="V647" s="6">
        <f>IF(ISERROR(VLOOKUP($S$647,'TAR FIN'!$A$1:$O$103,15,0)),0,VLOOKUP($S$647,'TAR FIN'!$A$1:$O$103,15,0))</f>
        <v>0</v>
      </c>
      <c r="W647" s="6">
        <f>IF(ISERROR(VLOOKUP($T$647,'TAR FIN'!$A$1:$O$103,15,0)),0,VLOOKUP($T$647,'TAR FIN'!$A$1:$O$103,15,0))</f>
        <v>269.91000000000003</v>
      </c>
      <c r="X647" s="6">
        <f>IF(ISERROR(VLOOKUP($U$647,'TAR FIN'!$A$1:$O$103,15,0)),0,VLOOKUP($U$647,'TAR FIN'!$A$1:$O$103,15,0))</f>
        <v>288.89999999999998</v>
      </c>
      <c r="Y647" s="6"/>
      <c r="Z647" s="6">
        <f ca="1">('TUSD BE'!$AM$30+'TUSD BF_350'!$AM$30+'TUSD CVA'!$AM$30)*1</f>
        <v>310.79999999999995</v>
      </c>
      <c r="AA647" s="6">
        <f ca="1">('TE BE'!$AB$14+'TE BF_350'!$AB$14+'TE CVA'!$AB$14)*1</f>
        <v>258.94</v>
      </c>
      <c r="AB647" s="6">
        <f>$K$647*$V$647</f>
        <v>0</v>
      </c>
      <c r="AC647" s="6">
        <f>$M$647*$W$647</f>
        <v>-3130.9560000000001</v>
      </c>
      <c r="AD647" s="6">
        <f>$O$647*$X$647</f>
        <v>-3351.24</v>
      </c>
      <c r="AE647" s="6">
        <f>$K$647*$Y$647</f>
        <v>0</v>
      </c>
      <c r="AF647" s="6">
        <f ca="1">$M$647*$Z$647</f>
        <v>-3605.2799999999993</v>
      </c>
      <c r="AG647" s="6">
        <f ca="1">$O$647*$AA$647</f>
        <v>-3003.7039999999997</v>
      </c>
    </row>
    <row r="648" spans="1:33" ht="11.25" customHeight="1" x14ac:dyDescent="0.25">
      <c r="A648" s="4" t="s">
        <v>28</v>
      </c>
      <c r="B648" s="4" t="s">
        <v>22</v>
      </c>
      <c r="C648" s="4" t="s">
        <v>23</v>
      </c>
      <c r="D648" s="4" t="s">
        <v>24</v>
      </c>
      <c r="E648" s="4" t="s">
        <v>24</v>
      </c>
      <c r="F648" s="4" t="s">
        <v>25</v>
      </c>
      <c r="G648" s="4" t="s">
        <v>25</v>
      </c>
      <c r="H648" s="4" t="s">
        <v>25</v>
      </c>
      <c r="I648" s="5">
        <v>44348</v>
      </c>
      <c r="J648" s="6">
        <v>0</v>
      </c>
      <c r="K648" s="6">
        <v>0</v>
      </c>
      <c r="L648" s="6">
        <v>21.725000000000001</v>
      </c>
      <c r="M648" s="6">
        <v>21.725000000000001</v>
      </c>
      <c r="N648" s="6">
        <v>21.725000000000001</v>
      </c>
      <c r="O648" s="6">
        <v>21.725000000000001</v>
      </c>
      <c r="P648" s="6">
        <v>107</v>
      </c>
      <c r="Q648" s="4" t="s">
        <v>26</v>
      </c>
      <c r="R648" s="4">
        <v>0</v>
      </c>
      <c r="S648" s="6">
        <v>0</v>
      </c>
      <c r="T648" s="6">
        <v>30</v>
      </c>
      <c r="U648" s="6">
        <v>71</v>
      </c>
      <c r="V648" s="6">
        <f>IF(ISERROR(VLOOKUP($S$648,'TAR FIN'!$A$1:$O$103,15,0)),0,VLOOKUP($S$648,'TAR FIN'!$A$1:$O$103,15,0))</f>
        <v>0</v>
      </c>
      <c r="W648" s="6">
        <f>IF(ISERROR(VLOOKUP($T$648,'TAR FIN'!$A$1:$O$103,15,0)),0,VLOOKUP($T$648,'TAR FIN'!$A$1:$O$103,15,0))</f>
        <v>269.91000000000003</v>
      </c>
      <c r="X648" s="6">
        <f>IF(ISERROR(VLOOKUP($U$648,'TAR FIN'!$A$1:$O$103,15,0)),0,VLOOKUP($U$648,'TAR FIN'!$A$1:$O$103,15,0))</f>
        <v>288.89999999999998</v>
      </c>
      <c r="Y648" s="6"/>
      <c r="Z648" s="6">
        <f ca="1">('TUSD BE'!$AM$30+'TUSD BF_350'!$AM$30+'TUSD CVA'!$AM$30)*1</f>
        <v>310.79999999999995</v>
      </c>
      <c r="AA648" s="6">
        <f ca="1">('TE BE'!$AB$14+'TE BF_350'!$AB$14+'TE CVA'!$AB$14)*1</f>
        <v>258.94</v>
      </c>
      <c r="AB648" s="6">
        <f>$K$648*$V$648</f>
        <v>0</v>
      </c>
      <c r="AC648" s="6">
        <f>$M$648*$W$648</f>
        <v>5863.7947500000009</v>
      </c>
      <c r="AD648" s="6">
        <f>$O$648*$X$648</f>
        <v>6276.3525</v>
      </c>
      <c r="AE648" s="6">
        <f>$K$648*$Y$648</f>
        <v>0</v>
      </c>
      <c r="AF648" s="6">
        <f ca="1">$M$648*$Z$648</f>
        <v>6752.1299999999992</v>
      </c>
      <c r="AG648" s="6">
        <f ca="1">$O$648*$AA$648</f>
        <v>5625.4715000000006</v>
      </c>
    </row>
    <row r="649" spans="1:33" ht="11.25" customHeight="1" x14ac:dyDescent="0.25">
      <c r="A649" s="4" t="s">
        <v>21</v>
      </c>
      <c r="B649" s="4" t="s">
        <v>22</v>
      </c>
      <c r="C649" s="4" t="s">
        <v>23</v>
      </c>
      <c r="D649" s="4" t="s">
        <v>24</v>
      </c>
      <c r="E649" s="4" t="s">
        <v>24</v>
      </c>
      <c r="F649" s="4" t="s">
        <v>25</v>
      </c>
      <c r="G649" s="4" t="s">
        <v>25</v>
      </c>
      <c r="H649" s="4" t="s">
        <v>25</v>
      </c>
      <c r="I649" s="5">
        <v>44378</v>
      </c>
      <c r="J649" s="6">
        <v>0</v>
      </c>
      <c r="K649" s="6">
        <v>0</v>
      </c>
      <c r="L649" s="6">
        <v>7344.5290000000005</v>
      </c>
      <c r="M649" s="6">
        <v>7344.5290000000005</v>
      </c>
      <c r="N649" s="6">
        <v>7344.5290000000005</v>
      </c>
      <c r="O649" s="6">
        <v>7344.5290000000005</v>
      </c>
      <c r="P649" s="6">
        <v>43505</v>
      </c>
      <c r="Q649" s="4" t="s">
        <v>26</v>
      </c>
      <c r="R649" s="4">
        <v>0</v>
      </c>
      <c r="S649" s="6">
        <v>0</v>
      </c>
      <c r="T649" s="6">
        <v>30</v>
      </c>
      <c r="U649" s="6">
        <v>71</v>
      </c>
      <c r="V649" s="6">
        <f>IF(ISERROR(VLOOKUP($S$649,'TAR FIN'!$A$1:$O$103,15,0)),0,VLOOKUP($S$649,'TAR FIN'!$A$1:$O$103,15,0))</f>
        <v>0</v>
      </c>
      <c r="W649" s="6">
        <f>IF(ISERROR(VLOOKUP($T$649,'TAR FIN'!$A$1:$O$103,15,0)),0,VLOOKUP($T$649,'TAR FIN'!$A$1:$O$103,15,0))</f>
        <v>269.91000000000003</v>
      </c>
      <c r="X649" s="6">
        <f>IF(ISERROR(VLOOKUP($U$649,'TAR FIN'!$A$1:$O$103,15,0)),0,VLOOKUP($U$649,'TAR FIN'!$A$1:$O$103,15,0))</f>
        <v>288.89999999999998</v>
      </c>
      <c r="Y649" s="6"/>
      <c r="Z649" s="6">
        <f ca="1">('TUSD BE'!$AM$30+'TUSD BF_350'!$AM$30+'TUSD CVA'!$AM$30)*1</f>
        <v>310.79999999999995</v>
      </c>
      <c r="AA649" s="6">
        <f ca="1">('TE BE'!$AB$14+'TE BF_350'!$AB$14+'TE CVA'!$AB$14)*1</f>
        <v>258.94</v>
      </c>
      <c r="AB649" s="6">
        <f>$K$649*$V$649</f>
        <v>0</v>
      </c>
      <c r="AC649" s="6">
        <f>$M$649*$W$649</f>
        <v>1982361.8223900003</v>
      </c>
      <c r="AD649" s="6">
        <f>$O$649*$X$649</f>
        <v>2121834.4281000001</v>
      </c>
      <c r="AE649" s="6">
        <f>$K$649*$Y$649</f>
        <v>0</v>
      </c>
      <c r="AF649" s="6">
        <f ca="1">$M$649*$Z$649</f>
        <v>2282679.6132</v>
      </c>
      <c r="AG649" s="6">
        <f ca="1">$O$649*$AA$649</f>
        <v>1901792.33926</v>
      </c>
    </row>
    <row r="650" spans="1:33" ht="11.25" customHeight="1" x14ac:dyDescent="0.25">
      <c r="A650" s="4" t="s">
        <v>27</v>
      </c>
      <c r="B650" s="4" t="s">
        <v>22</v>
      </c>
      <c r="C650" s="4" t="s">
        <v>23</v>
      </c>
      <c r="D650" s="4" t="s">
        <v>24</v>
      </c>
      <c r="E650" s="4" t="s">
        <v>24</v>
      </c>
      <c r="F650" s="4" t="s">
        <v>25</v>
      </c>
      <c r="G650" s="4" t="s">
        <v>25</v>
      </c>
      <c r="H650" s="4" t="s">
        <v>25</v>
      </c>
      <c r="I650" s="5">
        <v>44378</v>
      </c>
      <c r="J650" s="6">
        <v>0</v>
      </c>
      <c r="K650" s="6">
        <v>0</v>
      </c>
      <c r="L650" s="6">
        <v>-108.758</v>
      </c>
      <c r="M650" s="6">
        <v>-108.758</v>
      </c>
      <c r="N650" s="6">
        <v>-108.758</v>
      </c>
      <c r="O650" s="6">
        <v>-108.758</v>
      </c>
      <c r="P650" s="6">
        <v>0</v>
      </c>
      <c r="Q650" s="4" t="s">
        <v>26</v>
      </c>
      <c r="R650" s="4">
        <v>0</v>
      </c>
      <c r="S650" s="6">
        <v>0</v>
      </c>
      <c r="T650" s="6">
        <v>30</v>
      </c>
      <c r="U650" s="6">
        <v>71</v>
      </c>
      <c r="V650" s="6">
        <f>IF(ISERROR(VLOOKUP($S$650,'TAR FIN'!$A$1:$O$103,15,0)),0,VLOOKUP($S$650,'TAR FIN'!$A$1:$O$103,15,0))</f>
        <v>0</v>
      </c>
      <c r="W650" s="6">
        <f>IF(ISERROR(VLOOKUP($T$650,'TAR FIN'!$A$1:$O$103,15,0)),0,VLOOKUP($T$650,'TAR FIN'!$A$1:$O$103,15,0))</f>
        <v>269.91000000000003</v>
      </c>
      <c r="X650" s="6">
        <f>IF(ISERROR(VLOOKUP($U$650,'TAR FIN'!$A$1:$O$103,15,0)),0,VLOOKUP($U$650,'TAR FIN'!$A$1:$O$103,15,0))</f>
        <v>288.89999999999998</v>
      </c>
      <c r="Y650" s="6"/>
      <c r="Z650" s="6">
        <f ca="1">('TUSD BE'!$AM$30+'TUSD BF_350'!$AM$30+'TUSD CVA'!$AM$30)*1</f>
        <v>310.79999999999995</v>
      </c>
      <c r="AA650" s="6">
        <f ca="1">('TE BE'!$AB$14+'TE BF_350'!$AB$14+'TE CVA'!$AB$14)*1</f>
        <v>258.94</v>
      </c>
      <c r="AB650" s="6">
        <f>$K$650*$V$650</f>
        <v>0</v>
      </c>
      <c r="AC650" s="6">
        <f>$M$650*$W$650</f>
        <v>-29354.871780000001</v>
      </c>
      <c r="AD650" s="6">
        <f>$O$650*$X$650</f>
        <v>-31420.186199999996</v>
      </c>
      <c r="AE650" s="6">
        <f>$K$650*$Y$650</f>
        <v>0</v>
      </c>
      <c r="AF650" s="6">
        <f ca="1">$M$650*$Z$650</f>
        <v>-33801.986399999994</v>
      </c>
      <c r="AG650" s="6">
        <f ca="1">$O$650*$AA$650</f>
        <v>-28161.79652</v>
      </c>
    </row>
    <row r="651" spans="1:33" ht="11.25" customHeight="1" x14ac:dyDescent="0.25">
      <c r="A651" s="4" t="s">
        <v>28</v>
      </c>
      <c r="B651" s="4" t="s">
        <v>22</v>
      </c>
      <c r="C651" s="4" t="s">
        <v>23</v>
      </c>
      <c r="D651" s="4" t="s">
        <v>24</v>
      </c>
      <c r="E651" s="4" t="s">
        <v>24</v>
      </c>
      <c r="F651" s="4" t="s">
        <v>25</v>
      </c>
      <c r="G651" s="4" t="s">
        <v>25</v>
      </c>
      <c r="H651" s="4" t="s">
        <v>25</v>
      </c>
      <c r="I651" s="5">
        <v>44378</v>
      </c>
      <c r="J651" s="6">
        <v>0</v>
      </c>
      <c r="K651" s="6">
        <v>0</v>
      </c>
      <c r="L651" s="6">
        <v>26.963000000000001</v>
      </c>
      <c r="M651" s="6">
        <v>26.963000000000001</v>
      </c>
      <c r="N651" s="6">
        <v>26.963000000000001</v>
      </c>
      <c r="O651" s="6">
        <v>26.963000000000001</v>
      </c>
      <c r="P651" s="6">
        <v>115</v>
      </c>
      <c r="Q651" s="4" t="s">
        <v>26</v>
      </c>
      <c r="R651" s="4">
        <v>0</v>
      </c>
      <c r="S651" s="6">
        <v>0</v>
      </c>
      <c r="T651" s="6">
        <v>30</v>
      </c>
      <c r="U651" s="6">
        <v>71</v>
      </c>
      <c r="V651" s="6">
        <f>IF(ISERROR(VLOOKUP($S$651,'TAR FIN'!$A$1:$O$103,15,0)),0,VLOOKUP($S$651,'TAR FIN'!$A$1:$O$103,15,0))</f>
        <v>0</v>
      </c>
      <c r="W651" s="6">
        <f>IF(ISERROR(VLOOKUP($T$651,'TAR FIN'!$A$1:$O$103,15,0)),0,VLOOKUP($T$651,'TAR FIN'!$A$1:$O$103,15,0))</f>
        <v>269.91000000000003</v>
      </c>
      <c r="X651" s="6">
        <f>IF(ISERROR(VLOOKUP($U$651,'TAR FIN'!$A$1:$O$103,15,0)),0,VLOOKUP($U$651,'TAR FIN'!$A$1:$O$103,15,0))</f>
        <v>288.89999999999998</v>
      </c>
      <c r="Y651" s="6"/>
      <c r="Z651" s="6">
        <f ca="1">('TUSD BE'!$AM$30+'TUSD BF_350'!$AM$30+'TUSD CVA'!$AM$30)*1</f>
        <v>310.79999999999995</v>
      </c>
      <c r="AA651" s="6">
        <f ca="1">('TE BE'!$AB$14+'TE BF_350'!$AB$14+'TE CVA'!$AB$14)*1</f>
        <v>258.94</v>
      </c>
      <c r="AB651" s="6">
        <f>$K$651*$V$651</f>
        <v>0</v>
      </c>
      <c r="AC651" s="6">
        <f>$M$651*$W$651</f>
        <v>7277.5833300000013</v>
      </c>
      <c r="AD651" s="6">
        <f>$O$651*$X$651</f>
        <v>7789.6106999999993</v>
      </c>
      <c r="AE651" s="6">
        <f>$K$651*$Y$651</f>
        <v>0</v>
      </c>
      <c r="AF651" s="6">
        <f ca="1">$M$651*$Z$651</f>
        <v>8380.1003999999994</v>
      </c>
      <c r="AG651" s="6">
        <f ca="1">$O$651*$AA$651</f>
        <v>6981.7992199999999</v>
      </c>
    </row>
    <row r="652" spans="1:33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24</v>
      </c>
      <c r="F652" s="4" t="s">
        <v>25</v>
      </c>
      <c r="G652" s="4" t="s">
        <v>25</v>
      </c>
      <c r="H652" s="4" t="s">
        <v>25</v>
      </c>
      <c r="I652" s="5">
        <v>44409</v>
      </c>
      <c r="J652" s="6">
        <v>0</v>
      </c>
      <c r="K652" s="6">
        <v>0</v>
      </c>
      <c r="L652" s="6">
        <v>7438.7420000000002</v>
      </c>
      <c r="M652" s="6">
        <v>7438.7420000000002</v>
      </c>
      <c r="N652" s="6">
        <v>7438.7420000000002</v>
      </c>
      <c r="O652" s="6">
        <v>7438.7420000000002</v>
      </c>
      <c r="P652" s="6">
        <v>43533</v>
      </c>
      <c r="Q652" s="4" t="s">
        <v>26</v>
      </c>
      <c r="R652" s="4">
        <v>0</v>
      </c>
      <c r="S652" s="6">
        <v>0</v>
      </c>
      <c r="T652" s="6">
        <v>30</v>
      </c>
      <c r="U652" s="6">
        <v>71</v>
      </c>
      <c r="V652" s="6">
        <f>IF(ISERROR(VLOOKUP($S$652,'TAR FIN'!$A$1:$O$103,15,0)),0,VLOOKUP($S$652,'TAR FIN'!$A$1:$O$103,15,0))</f>
        <v>0</v>
      </c>
      <c r="W652" s="6">
        <f>IF(ISERROR(VLOOKUP($T$652,'TAR FIN'!$A$1:$O$103,15,0)),0,VLOOKUP($T$652,'TAR FIN'!$A$1:$O$103,15,0))</f>
        <v>269.91000000000003</v>
      </c>
      <c r="X652" s="6">
        <f>IF(ISERROR(VLOOKUP($U$652,'TAR FIN'!$A$1:$O$103,15,0)),0,VLOOKUP($U$652,'TAR FIN'!$A$1:$O$103,15,0))</f>
        <v>288.89999999999998</v>
      </c>
      <c r="Y652" s="6"/>
      <c r="Z652" s="6">
        <f ca="1">('TUSD BE'!$AM$30+'TUSD BF_350'!$AM$30+'TUSD CVA'!$AM$30)*1</f>
        <v>310.79999999999995</v>
      </c>
      <c r="AA652" s="6">
        <f ca="1">('TE BE'!$AB$14+'TE BF_350'!$AB$14+'TE CVA'!$AB$14)*1</f>
        <v>258.94</v>
      </c>
      <c r="AB652" s="6">
        <f>$K$652*$V$652</f>
        <v>0</v>
      </c>
      <c r="AC652" s="6">
        <f>$M$652*$W$652</f>
        <v>2007790.8532200002</v>
      </c>
      <c r="AD652" s="6">
        <f>$O$652*$X$652</f>
        <v>2149052.5637999997</v>
      </c>
      <c r="AE652" s="6">
        <f>$K$652*$Y$652</f>
        <v>0</v>
      </c>
      <c r="AF652" s="6">
        <f ca="1">$M$652*$Z$652</f>
        <v>2311961.0135999997</v>
      </c>
      <c r="AG652" s="6">
        <f ca="1">$O$652*$AA$652</f>
        <v>1926187.85348</v>
      </c>
    </row>
    <row r="653" spans="1:33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24</v>
      </c>
      <c r="F653" s="4" t="s">
        <v>25</v>
      </c>
      <c r="G653" s="4" t="s">
        <v>25</v>
      </c>
      <c r="H653" s="4" t="s">
        <v>25</v>
      </c>
      <c r="I653" s="5">
        <v>44409</v>
      </c>
      <c r="J653" s="6">
        <v>0</v>
      </c>
      <c r="K653" s="6">
        <v>0</v>
      </c>
      <c r="L653" s="6">
        <v>-190.488</v>
      </c>
      <c r="M653" s="6">
        <v>-190.488</v>
      </c>
      <c r="N653" s="6">
        <v>-190.488</v>
      </c>
      <c r="O653" s="6">
        <v>-190.488</v>
      </c>
      <c r="P653" s="6">
        <v>0</v>
      </c>
      <c r="Q653" s="4" t="s">
        <v>26</v>
      </c>
      <c r="R653" s="4">
        <v>0</v>
      </c>
      <c r="S653" s="6">
        <v>0</v>
      </c>
      <c r="T653" s="6">
        <v>30</v>
      </c>
      <c r="U653" s="6">
        <v>71</v>
      </c>
      <c r="V653" s="6">
        <f>IF(ISERROR(VLOOKUP($S$653,'TAR FIN'!$A$1:$O$103,15,0)),0,VLOOKUP($S$653,'TAR FIN'!$A$1:$O$103,15,0))</f>
        <v>0</v>
      </c>
      <c r="W653" s="6">
        <f>IF(ISERROR(VLOOKUP($T$653,'TAR FIN'!$A$1:$O$103,15,0)),0,VLOOKUP($T$653,'TAR FIN'!$A$1:$O$103,15,0))</f>
        <v>269.91000000000003</v>
      </c>
      <c r="X653" s="6">
        <f>IF(ISERROR(VLOOKUP($U$653,'TAR FIN'!$A$1:$O$103,15,0)),0,VLOOKUP($U$653,'TAR FIN'!$A$1:$O$103,15,0))</f>
        <v>288.89999999999998</v>
      </c>
      <c r="Y653" s="6"/>
      <c r="Z653" s="6">
        <f ca="1">('TUSD BE'!$AM$30+'TUSD BF_350'!$AM$30+'TUSD CVA'!$AM$30)*1</f>
        <v>310.79999999999995</v>
      </c>
      <c r="AA653" s="6">
        <f ca="1">('TE BE'!$AB$14+'TE BF_350'!$AB$14+'TE CVA'!$AB$14)*1</f>
        <v>258.94</v>
      </c>
      <c r="AB653" s="6">
        <f>$K$653*$V$653</f>
        <v>0</v>
      </c>
      <c r="AC653" s="6">
        <f>$M$653*$W$653</f>
        <v>-51414.616080000007</v>
      </c>
      <c r="AD653" s="6">
        <f>$O$653*$X$653</f>
        <v>-55031.983199999995</v>
      </c>
      <c r="AE653" s="6">
        <f>$K$653*$Y$653</f>
        <v>0</v>
      </c>
      <c r="AF653" s="6">
        <f ca="1">$M$653*$Z$653</f>
        <v>-59203.670399999988</v>
      </c>
      <c r="AG653" s="6">
        <f ca="1">$O$653*$AA$653</f>
        <v>-49324.962719999996</v>
      </c>
    </row>
    <row r="654" spans="1:33" ht="11.25" customHeight="1" x14ac:dyDescent="0.25">
      <c r="A654" s="4" t="s">
        <v>28</v>
      </c>
      <c r="B654" s="4" t="s">
        <v>22</v>
      </c>
      <c r="C654" s="4" t="s">
        <v>23</v>
      </c>
      <c r="D654" s="4" t="s">
        <v>24</v>
      </c>
      <c r="E654" s="4" t="s">
        <v>24</v>
      </c>
      <c r="F654" s="4" t="s">
        <v>25</v>
      </c>
      <c r="G654" s="4" t="s">
        <v>25</v>
      </c>
      <c r="H654" s="4" t="s">
        <v>25</v>
      </c>
      <c r="I654" s="5">
        <v>44409</v>
      </c>
      <c r="J654" s="6">
        <v>0</v>
      </c>
      <c r="K654" s="6">
        <v>0</v>
      </c>
      <c r="L654" s="6">
        <v>24.37</v>
      </c>
      <c r="M654" s="6">
        <v>24.37</v>
      </c>
      <c r="N654" s="6">
        <v>24.37</v>
      </c>
      <c r="O654" s="6">
        <v>24.37</v>
      </c>
      <c r="P654" s="6">
        <v>125</v>
      </c>
      <c r="Q654" s="4" t="s">
        <v>26</v>
      </c>
      <c r="R654" s="4">
        <v>0</v>
      </c>
      <c r="S654" s="6">
        <v>0</v>
      </c>
      <c r="T654" s="6">
        <v>30</v>
      </c>
      <c r="U654" s="6">
        <v>71</v>
      </c>
      <c r="V654" s="6">
        <f>IF(ISERROR(VLOOKUP($S$654,'TAR FIN'!$A$1:$O$103,15,0)),0,VLOOKUP($S$654,'TAR FIN'!$A$1:$O$103,15,0))</f>
        <v>0</v>
      </c>
      <c r="W654" s="6">
        <f>IF(ISERROR(VLOOKUP($T$654,'TAR FIN'!$A$1:$O$103,15,0)),0,VLOOKUP($T$654,'TAR FIN'!$A$1:$O$103,15,0))</f>
        <v>269.91000000000003</v>
      </c>
      <c r="X654" s="6">
        <f>IF(ISERROR(VLOOKUP($U$654,'TAR FIN'!$A$1:$O$103,15,0)),0,VLOOKUP($U$654,'TAR FIN'!$A$1:$O$103,15,0))</f>
        <v>288.89999999999998</v>
      </c>
      <c r="Y654" s="6"/>
      <c r="Z654" s="6">
        <f ca="1">('TUSD BE'!$AM$30+'TUSD BF_350'!$AM$30+'TUSD CVA'!$AM$30)*1</f>
        <v>310.79999999999995</v>
      </c>
      <c r="AA654" s="6">
        <f ca="1">('TE BE'!$AB$14+'TE BF_350'!$AB$14+'TE CVA'!$AB$14)*1</f>
        <v>258.94</v>
      </c>
      <c r="AB654" s="6">
        <f>$K$654*$V$654</f>
        <v>0</v>
      </c>
      <c r="AC654" s="6">
        <f>$M$654*$W$654</f>
        <v>6577.7067000000006</v>
      </c>
      <c r="AD654" s="6">
        <f>$O$654*$X$654</f>
        <v>7040.4929999999995</v>
      </c>
      <c r="AE654" s="6">
        <f>$K$654*$Y$654</f>
        <v>0</v>
      </c>
      <c r="AF654" s="6">
        <f ca="1">$M$654*$Z$654</f>
        <v>7574.195999999999</v>
      </c>
      <c r="AG654" s="6">
        <f ca="1">$O$654*$AA$654</f>
        <v>6310.3678</v>
      </c>
    </row>
    <row r="655" spans="1:33" ht="11.25" customHeight="1" x14ac:dyDescent="0.25">
      <c r="A655" s="4" t="s">
        <v>21</v>
      </c>
      <c r="B655" s="4" t="s">
        <v>22</v>
      </c>
      <c r="C655" s="4" t="s">
        <v>23</v>
      </c>
      <c r="D655" s="4" t="s">
        <v>24</v>
      </c>
      <c r="E655" s="4" t="s">
        <v>24</v>
      </c>
      <c r="F655" s="4" t="s">
        <v>25</v>
      </c>
      <c r="G655" s="4" t="s">
        <v>25</v>
      </c>
      <c r="H655" s="4" t="s">
        <v>25</v>
      </c>
      <c r="I655" s="5">
        <v>44440</v>
      </c>
      <c r="J655" s="6">
        <v>0</v>
      </c>
      <c r="K655" s="6">
        <v>0</v>
      </c>
      <c r="L655" s="6">
        <v>6926.53</v>
      </c>
      <c r="M655" s="6">
        <v>6926.53</v>
      </c>
      <c r="N655" s="6">
        <v>6926.53</v>
      </c>
      <c r="O655" s="6">
        <v>6926.53</v>
      </c>
      <c r="P655" s="6">
        <v>43503</v>
      </c>
      <c r="Q655" s="4" t="s">
        <v>26</v>
      </c>
      <c r="R655" s="4">
        <v>0</v>
      </c>
      <c r="S655" s="6">
        <v>0</v>
      </c>
      <c r="T655" s="6">
        <v>30</v>
      </c>
      <c r="U655" s="6">
        <v>71</v>
      </c>
      <c r="V655" s="6">
        <f>IF(ISERROR(VLOOKUP($S$655,'TAR FIN'!$A$1:$O$103,15,0)),0,VLOOKUP($S$655,'TAR FIN'!$A$1:$O$103,15,0))</f>
        <v>0</v>
      </c>
      <c r="W655" s="6">
        <f>IF(ISERROR(VLOOKUP($T$655,'TAR FIN'!$A$1:$O$103,15,0)),0,VLOOKUP($T$655,'TAR FIN'!$A$1:$O$103,15,0))</f>
        <v>269.91000000000003</v>
      </c>
      <c r="X655" s="6">
        <f>IF(ISERROR(VLOOKUP($U$655,'TAR FIN'!$A$1:$O$103,15,0)),0,VLOOKUP($U$655,'TAR FIN'!$A$1:$O$103,15,0))</f>
        <v>288.89999999999998</v>
      </c>
      <c r="Y655" s="6"/>
      <c r="Z655" s="6">
        <f ca="1">('TUSD BE'!$AM$30+'TUSD BF_350'!$AM$30+'TUSD CVA'!$AM$30)*1</f>
        <v>310.79999999999995</v>
      </c>
      <c r="AA655" s="6">
        <f ca="1">('TE BE'!$AB$14+'TE BF_350'!$AB$14+'TE CVA'!$AB$14)*1</f>
        <v>258.94</v>
      </c>
      <c r="AB655" s="6">
        <f>$K$655*$V$655</f>
        <v>0</v>
      </c>
      <c r="AC655" s="6">
        <f>$M$655*$W$655</f>
        <v>1869539.7123</v>
      </c>
      <c r="AD655" s="6">
        <f>$O$655*$X$655</f>
        <v>2001074.5169999998</v>
      </c>
      <c r="AE655" s="6">
        <f>$K$655*$Y$655</f>
        <v>0</v>
      </c>
      <c r="AF655" s="6">
        <f ca="1">$M$655*$Z$655</f>
        <v>2152765.5239999997</v>
      </c>
      <c r="AG655" s="6">
        <f ca="1">$O$655*$AA$655</f>
        <v>1793555.6782</v>
      </c>
    </row>
    <row r="656" spans="1:33" ht="11.25" customHeight="1" x14ac:dyDescent="0.25">
      <c r="A656" s="4" t="s">
        <v>27</v>
      </c>
      <c r="B656" s="4" t="s">
        <v>22</v>
      </c>
      <c r="C656" s="4" t="s">
        <v>23</v>
      </c>
      <c r="D656" s="4" t="s">
        <v>24</v>
      </c>
      <c r="E656" s="4" t="s">
        <v>24</v>
      </c>
      <c r="F656" s="4" t="s">
        <v>25</v>
      </c>
      <c r="G656" s="4" t="s">
        <v>25</v>
      </c>
      <c r="H656" s="4" t="s">
        <v>25</v>
      </c>
      <c r="I656" s="5">
        <v>44440</v>
      </c>
      <c r="J656" s="6">
        <v>0</v>
      </c>
      <c r="K656" s="6">
        <v>0</v>
      </c>
      <c r="L656" s="6">
        <v>-7.5220000000000002</v>
      </c>
      <c r="M656" s="6">
        <v>-7.5220000000000002</v>
      </c>
      <c r="N656" s="6">
        <v>-7.5220000000000002</v>
      </c>
      <c r="O656" s="6">
        <v>-7.5220000000000002</v>
      </c>
      <c r="P656" s="6">
        <v>0</v>
      </c>
      <c r="Q656" s="4" t="s">
        <v>26</v>
      </c>
      <c r="R656" s="4">
        <v>0</v>
      </c>
      <c r="S656" s="6">
        <v>0</v>
      </c>
      <c r="T656" s="6">
        <v>30</v>
      </c>
      <c r="U656" s="6">
        <v>71</v>
      </c>
      <c r="V656" s="6">
        <f>IF(ISERROR(VLOOKUP($S$656,'TAR FIN'!$A$1:$O$103,15,0)),0,VLOOKUP($S$656,'TAR FIN'!$A$1:$O$103,15,0))</f>
        <v>0</v>
      </c>
      <c r="W656" s="6">
        <f>IF(ISERROR(VLOOKUP($T$656,'TAR FIN'!$A$1:$O$103,15,0)),0,VLOOKUP($T$656,'TAR FIN'!$A$1:$O$103,15,0))</f>
        <v>269.91000000000003</v>
      </c>
      <c r="X656" s="6">
        <f>IF(ISERROR(VLOOKUP($U$656,'TAR FIN'!$A$1:$O$103,15,0)),0,VLOOKUP($U$656,'TAR FIN'!$A$1:$O$103,15,0))</f>
        <v>288.89999999999998</v>
      </c>
      <c r="Y656" s="6"/>
      <c r="Z656" s="6">
        <f ca="1">('TUSD BE'!$AM$30+'TUSD BF_350'!$AM$30+'TUSD CVA'!$AM$30)*1</f>
        <v>310.79999999999995</v>
      </c>
      <c r="AA656" s="6">
        <f ca="1">('TE BE'!$AB$14+'TE BF_350'!$AB$14+'TE CVA'!$AB$14)*1</f>
        <v>258.94</v>
      </c>
      <c r="AB656" s="6">
        <f>$K$656*$V$656</f>
        <v>0</v>
      </c>
      <c r="AC656" s="6">
        <f>$M$656*$W$656</f>
        <v>-2030.2630200000003</v>
      </c>
      <c r="AD656" s="6">
        <f>$O$656*$X$656</f>
        <v>-2173.1057999999998</v>
      </c>
      <c r="AE656" s="6">
        <f>$K$656*$Y$656</f>
        <v>0</v>
      </c>
      <c r="AF656" s="6">
        <f ca="1">$M$656*$Z$656</f>
        <v>-2337.8375999999998</v>
      </c>
      <c r="AG656" s="6">
        <f ca="1">$O$656*$AA$656</f>
        <v>-1947.74668</v>
      </c>
    </row>
    <row r="657" spans="1:33" ht="11.25" customHeight="1" x14ac:dyDescent="0.25">
      <c r="A657" s="4" t="s">
        <v>28</v>
      </c>
      <c r="B657" s="4" t="s">
        <v>22</v>
      </c>
      <c r="C657" s="4" t="s">
        <v>23</v>
      </c>
      <c r="D657" s="4" t="s">
        <v>24</v>
      </c>
      <c r="E657" s="4" t="s">
        <v>24</v>
      </c>
      <c r="F657" s="4" t="s">
        <v>25</v>
      </c>
      <c r="G657" s="4" t="s">
        <v>25</v>
      </c>
      <c r="H657" s="4" t="s">
        <v>25</v>
      </c>
      <c r="I657" s="5">
        <v>44440</v>
      </c>
      <c r="J657" s="6">
        <v>0</v>
      </c>
      <c r="K657" s="6">
        <v>0</v>
      </c>
      <c r="L657" s="6">
        <v>26.727</v>
      </c>
      <c r="M657" s="6">
        <v>26.727</v>
      </c>
      <c r="N657" s="6">
        <v>26.727</v>
      </c>
      <c r="O657" s="6">
        <v>26.727</v>
      </c>
      <c r="P657" s="6">
        <v>140</v>
      </c>
      <c r="Q657" s="4" t="s">
        <v>26</v>
      </c>
      <c r="R657" s="4">
        <v>0</v>
      </c>
      <c r="S657" s="6">
        <v>0</v>
      </c>
      <c r="T657" s="6">
        <v>30</v>
      </c>
      <c r="U657" s="6">
        <v>71</v>
      </c>
      <c r="V657" s="6">
        <f>IF(ISERROR(VLOOKUP($S$657,'TAR FIN'!$A$1:$O$103,15,0)),0,VLOOKUP($S$657,'TAR FIN'!$A$1:$O$103,15,0))</f>
        <v>0</v>
      </c>
      <c r="W657" s="6">
        <f>IF(ISERROR(VLOOKUP($T$657,'TAR FIN'!$A$1:$O$103,15,0)),0,VLOOKUP($T$657,'TAR FIN'!$A$1:$O$103,15,0))</f>
        <v>269.91000000000003</v>
      </c>
      <c r="X657" s="6">
        <f>IF(ISERROR(VLOOKUP($U$657,'TAR FIN'!$A$1:$O$103,15,0)),0,VLOOKUP($U$657,'TAR FIN'!$A$1:$O$103,15,0))</f>
        <v>288.89999999999998</v>
      </c>
      <c r="Y657" s="6"/>
      <c r="Z657" s="6">
        <f ca="1">('TUSD BE'!$AM$30+'TUSD BF_350'!$AM$30+'TUSD CVA'!$AM$30)*1</f>
        <v>310.79999999999995</v>
      </c>
      <c r="AA657" s="6">
        <f ca="1">('TE BE'!$AB$14+'TE BF_350'!$AB$14+'TE CVA'!$AB$14)*1</f>
        <v>258.94</v>
      </c>
      <c r="AB657" s="6">
        <f>$K$657*$V$657</f>
        <v>0</v>
      </c>
      <c r="AC657" s="6">
        <f>$M$657*$W$657</f>
        <v>7213.8845700000011</v>
      </c>
      <c r="AD657" s="6">
        <f>$O$657*$X$657</f>
        <v>7721.4302999999991</v>
      </c>
      <c r="AE657" s="6">
        <f>$K$657*$Y$657</f>
        <v>0</v>
      </c>
      <c r="AF657" s="6">
        <f ca="1">$M$657*$Z$657</f>
        <v>8306.7515999999996</v>
      </c>
      <c r="AG657" s="6">
        <f ca="1">$O$657*$AA$657</f>
        <v>6920.6893799999998</v>
      </c>
    </row>
    <row r="658" spans="1:33" ht="11.25" customHeight="1" x14ac:dyDescent="0.25">
      <c r="A658" s="4" t="s">
        <v>21</v>
      </c>
      <c r="B658" s="4" t="s">
        <v>22</v>
      </c>
      <c r="C658" s="4" t="s">
        <v>23</v>
      </c>
      <c r="D658" s="4" t="s">
        <v>24</v>
      </c>
      <c r="E658" s="4" t="s">
        <v>24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6937.9660000000003</v>
      </c>
      <c r="M658" s="6">
        <v>6937.9660000000003</v>
      </c>
      <c r="N658" s="6">
        <v>6937.9660000000003</v>
      </c>
      <c r="O658" s="6">
        <v>6937.9660000000003</v>
      </c>
      <c r="P658" s="6">
        <v>43646</v>
      </c>
      <c r="Q658" s="4" t="s">
        <v>26</v>
      </c>
      <c r="R658" s="4">
        <v>0</v>
      </c>
      <c r="S658" s="6">
        <v>0</v>
      </c>
      <c r="T658" s="6">
        <v>30</v>
      </c>
      <c r="U658" s="6">
        <v>71</v>
      </c>
      <c r="V658" s="6">
        <f>IF(ISERROR(VLOOKUP($S$658,'TAR FIN'!$A$1:$O$103,15,0)),0,VLOOKUP($S$658,'TAR FIN'!$A$1:$O$103,15,0))</f>
        <v>0</v>
      </c>
      <c r="W658" s="6">
        <f>IF(ISERROR(VLOOKUP($T$658,'TAR FIN'!$A$1:$O$103,15,0)),0,VLOOKUP($T$658,'TAR FIN'!$A$1:$O$103,15,0))</f>
        <v>269.91000000000003</v>
      </c>
      <c r="X658" s="6">
        <f>IF(ISERROR(VLOOKUP($U$658,'TAR FIN'!$A$1:$O$103,15,0)),0,VLOOKUP($U$658,'TAR FIN'!$A$1:$O$103,15,0))</f>
        <v>288.89999999999998</v>
      </c>
      <c r="Y658" s="6"/>
      <c r="Z658" s="6">
        <f ca="1">('TUSD BE'!$AM$30+'TUSD BF_350'!$AM$30+'TUSD CVA'!$AM$30)*1</f>
        <v>310.79999999999995</v>
      </c>
      <c r="AA658" s="6">
        <f ca="1">('TE BE'!$AB$14+'TE BF_350'!$AB$14+'TE CVA'!$AB$14)*1</f>
        <v>258.94</v>
      </c>
      <c r="AB658" s="6">
        <f>$K$658*$V$658</f>
        <v>0</v>
      </c>
      <c r="AC658" s="6">
        <f>$M$658*$W$658</f>
        <v>1872626.4030600002</v>
      </c>
      <c r="AD658" s="6">
        <f>$O$658*$X$658</f>
        <v>2004378.3773999999</v>
      </c>
      <c r="AE658" s="6">
        <f>$K$658*$Y$658</f>
        <v>0</v>
      </c>
      <c r="AF658" s="6">
        <f ca="1">$M$658*$Z$658</f>
        <v>2156319.8328</v>
      </c>
      <c r="AG658" s="6">
        <f ca="1">$O$658*$AA$658</f>
        <v>1796516.91604</v>
      </c>
    </row>
    <row r="659" spans="1:33" ht="11.25" customHeight="1" x14ac:dyDescent="0.25">
      <c r="A659" s="4" t="s">
        <v>27</v>
      </c>
      <c r="B659" s="4" t="s">
        <v>22</v>
      </c>
      <c r="C659" s="4" t="s">
        <v>23</v>
      </c>
      <c r="D659" s="4" t="s">
        <v>24</v>
      </c>
      <c r="E659" s="4" t="s">
        <v>24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-6.5350000000000001</v>
      </c>
      <c r="M659" s="6">
        <v>-6.5350000000000001</v>
      </c>
      <c r="N659" s="6">
        <v>-6.5350000000000001</v>
      </c>
      <c r="O659" s="6">
        <v>-6.5350000000000001</v>
      </c>
      <c r="P659" s="6">
        <v>0</v>
      </c>
      <c r="Q659" s="4" t="s">
        <v>26</v>
      </c>
      <c r="R659" s="4">
        <v>0</v>
      </c>
      <c r="S659" s="6">
        <v>0</v>
      </c>
      <c r="T659" s="6">
        <v>30</v>
      </c>
      <c r="U659" s="6">
        <v>71</v>
      </c>
      <c r="V659" s="6">
        <f>IF(ISERROR(VLOOKUP($S$659,'TAR FIN'!$A$1:$O$103,15,0)),0,VLOOKUP($S$659,'TAR FIN'!$A$1:$O$103,15,0))</f>
        <v>0</v>
      </c>
      <c r="W659" s="6">
        <f>IF(ISERROR(VLOOKUP($T$659,'TAR FIN'!$A$1:$O$103,15,0)),0,VLOOKUP($T$659,'TAR FIN'!$A$1:$O$103,15,0))</f>
        <v>269.91000000000003</v>
      </c>
      <c r="X659" s="6">
        <f>IF(ISERROR(VLOOKUP($U$659,'TAR FIN'!$A$1:$O$103,15,0)),0,VLOOKUP($U$659,'TAR FIN'!$A$1:$O$103,15,0))</f>
        <v>288.89999999999998</v>
      </c>
      <c r="Y659" s="6"/>
      <c r="Z659" s="6">
        <f ca="1">('TUSD BE'!$AM$30+'TUSD BF_350'!$AM$30+'TUSD CVA'!$AM$30)*1</f>
        <v>310.79999999999995</v>
      </c>
      <c r="AA659" s="6">
        <f ca="1">('TE BE'!$AB$14+'TE BF_350'!$AB$14+'TE CVA'!$AB$14)*1</f>
        <v>258.94</v>
      </c>
      <c r="AB659" s="6">
        <f>$K$659*$V$659</f>
        <v>0</v>
      </c>
      <c r="AC659" s="6">
        <f>$M$659*$W$659</f>
        <v>-1763.8618500000002</v>
      </c>
      <c r="AD659" s="6">
        <f>$O$659*$X$659</f>
        <v>-1887.9614999999999</v>
      </c>
      <c r="AE659" s="6">
        <f>$K$659*$Y$659</f>
        <v>0</v>
      </c>
      <c r="AF659" s="6">
        <f ca="1">$M$659*$Z$659</f>
        <v>-2031.0779999999997</v>
      </c>
      <c r="AG659" s="6">
        <f ca="1">$O$659*$AA$659</f>
        <v>-1692.1729</v>
      </c>
    </row>
    <row r="660" spans="1:33" ht="11.25" customHeight="1" x14ac:dyDescent="0.25">
      <c r="A660" s="4" t="s">
        <v>28</v>
      </c>
      <c r="B660" s="4" t="s">
        <v>22</v>
      </c>
      <c r="C660" s="4" t="s">
        <v>23</v>
      </c>
      <c r="D660" s="4" t="s">
        <v>24</v>
      </c>
      <c r="E660" s="4" t="s">
        <v>24</v>
      </c>
      <c r="F660" s="4" t="s">
        <v>25</v>
      </c>
      <c r="G660" s="4" t="s">
        <v>25</v>
      </c>
      <c r="H660" s="4" t="s">
        <v>25</v>
      </c>
      <c r="I660" s="5">
        <v>44470</v>
      </c>
      <c r="J660" s="6">
        <v>0</v>
      </c>
      <c r="K660" s="6">
        <v>0</v>
      </c>
      <c r="L660" s="6">
        <v>24.908000000000001</v>
      </c>
      <c r="M660" s="6">
        <v>24.908000000000001</v>
      </c>
      <c r="N660" s="6">
        <v>24.908000000000001</v>
      </c>
      <c r="O660" s="6">
        <v>24.908000000000001</v>
      </c>
      <c r="P660" s="6">
        <v>153</v>
      </c>
      <c r="Q660" s="4" t="s">
        <v>26</v>
      </c>
      <c r="R660" s="4">
        <v>0</v>
      </c>
      <c r="S660" s="6">
        <v>0</v>
      </c>
      <c r="T660" s="6">
        <v>30</v>
      </c>
      <c r="U660" s="6">
        <v>71</v>
      </c>
      <c r="V660" s="6">
        <f>IF(ISERROR(VLOOKUP($S$660,'TAR FIN'!$A$1:$O$103,15,0)),0,VLOOKUP($S$660,'TAR FIN'!$A$1:$O$103,15,0))</f>
        <v>0</v>
      </c>
      <c r="W660" s="6">
        <f>IF(ISERROR(VLOOKUP($T$660,'TAR FIN'!$A$1:$O$103,15,0)),0,VLOOKUP($T$660,'TAR FIN'!$A$1:$O$103,15,0))</f>
        <v>269.91000000000003</v>
      </c>
      <c r="X660" s="6">
        <f>IF(ISERROR(VLOOKUP($U$660,'TAR FIN'!$A$1:$O$103,15,0)),0,VLOOKUP($U$660,'TAR FIN'!$A$1:$O$103,15,0))</f>
        <v>288.89999999999998</v>
      </c>
      <c r="Y660" s="6"/>
      <c r="Z660" s="6">
        <f ca="1">('TUSD BE'!$AM$30+'TUSD BF_350'!$AM$30+'TUSD CVA'!$AM$30)*1</f>
        <v>310.79999999999995</v>
      </c>
      <c r="AA660" s="6">
        <f ca="1">('TE BE'!$AB$14+'TE BF_350'!$AB$14+'TE CVA'!$AB$14)*1</f>
        <v>258.94</v>
      </c>
      <c r="AB660" s="6">
        <f>$K$660*$V$660</f>
        <v>0</v>
      </c>
      <c r="AC660" s="6">
        <f>$M$660*$W$660</f>
        <v>6722.9182800000008</v>
      </c>
      <c r="AD660" s="6">
        <f>$O$660*$X$660</f>
        <v>7195.9211999999998</v>
      </c>
      <c r="AE660" s="6">
        <f>$K$660*$Y$660</f>
        <v>0</v>
      </c>
      <c r="AF660" s="6">
        <f ca="1">$M$660*$Z$660</f>
        <v>7741.4063999999989</v>
      </c>
      <c r="AG660" s="6">
        <f ca="1">$O$660*$AA$660</f>
        <v>6449.6775200000002</v>
      </c>
    </row>
    <row r="661" spans="1:33" ht="11.25" customHeight="1" x14ac:dyDescent="0.25">
      <c r="A661" s="4" t="s">
        <v>21</v>
      </c>
      <c r="B661" s="4" t="s">
        <v>22</v>
      </c>
      <c r="C661" s="4" t="s">
        <v>23</v>
      </c>
      <c r="D661" s="4" t="s">
        <v>24</v>
      </c>
      <c r="E661" s="4" t="s">
        <v>24</v>
      </c>
      <c r="F661" s="4" t="s">
        <v>25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6876.5110000000004</v>
      </c>
      <c r="M661" s="6">
        <v>6876.5110000000004</v>
      </c>
      <c r="N661" s="6">
        <v>6876.5110000000004</v>
      </c>
      <c r="O661" s="6">
        <v>6876.5110000000004</v>
      </c>
      <c r="P661" s="6">
        <v>43980</v>
      </c>
      <c r="Q661" s="4" t="s">
        <v>26</v>
      </c>
      <c r="R661" s="4">
        <v>0</v>
      </c>
      <c r="S661" s="6">
        <v>0</v>
      </c>
      <c r="T661" s="6">
        <v>30</v>
      </c>
      <c r="U661" s="6">
        <v>71</v>
      </c>
      <c r="V661" s="6">
        <f>IF(ISERROR(VLOOKUP($S$661,'TAR FIN'!$A$1:$O$103,15,0)),0,VLOOKUP($S$661,'TAR FIN'!$A$1:$O$103,15,0))</f>
        <v>0</v>
      </c>
      <c r="W661" s="6">
        <f>IF(ISERROR(VLOOKUP($T$661,'TAR FIN'!$A$1:$O$103,15,0)),0,VLOOKUP($T$661,'TAR FIN'!$A$1:$O$103,15,0))</f>
        <v>269.91000000000003</v>
      </c>
      <c r="X661" s="6">
        <f>IF(ISERROR(VLOOKUP($U$661,'TAR FIN'!$A$1:$O$103,15,0)),0,VLOOKUP($U$661,'TAR FIN'!$A$1:$O$103,15,0))</f>
        <v>288.89999999999998</v>
      </c>
      <c r="Y661" s="6"/>
      <c r="Z661" s="6">
        <f ca="1">('TUSD BE'!$AM$30+'TUSD BF_350'!$AM$30+'TUSD CVA'!$AM$30)*1</f>
        <v>310.79999999999995</v>
      </c>
      <c r="AA661" s="6">
        <f ca="1">('TE BE'!$AB$14+'TE BF_350'!$AB$14+'TE CVA'!$AB$14)*1</f>
        <v>258.94</v>
      </c>
      <c r="AB661" s="6">
        <f>$K$661*$V$661</f>
        <v>0</v>
      </c>
      <c r="AC661" s="6">
        <f>$M$661*$W$661</f>
        <v>1856039.0840100003</v>
      </c>
      <c r="AD661" s="6">
        <f>$O$661*$X$661</f>
        <v>1986624.0278999999</v>
      </c>
      <c r="AE661" s="6">
        <f>$K$661*$Y$661</f>
        <v>0</v>
      </c>
      <c r="AF661" s="6">
        <f ca="1">$M$661*$Z$661</f>
        <v>2137219.6187999998</v>
      </c>
      <c r="AG661" s="6">
        <f ca="1">$O$661*$AA$661</f>
        <v>1780603.7583400002</v>
      </c>
    </row>
    <row r="662" spans="1:33" ht="11.25" customHeight="1" x14ac:dyDescent="0.25">
      <c r="A662" s="4" t="s">
        <v>27</v>
      </c>
      <c r="B662" s="4" t="s">
        <v>22</v>
      </c>
      <c r="C662" s="4" t="s">
        <v>23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25</v>
      </c>
      <c r="I662" s="5">
        <v>44501</v>
      </c>
      <c r="J662" s="6">
        <v>0</v>
      </c>
      <c r="K662" s="6">
        <v>0</v>
      </c>
      <c r="L662" s="6">
        <v>-6.35</v>
      </c>
      <c r="M662" s="6">
        <v>-6.35</v>
      </c>
      <c r="N662" s="6">
        <v>-6.35</v>
      </c>
      <c r="O662" s="6">
        <v>-6.35</v>
      </c>
      <c r="P662" s="6">
        <v>0</v>
      </c>
      <c r="Q662" s="4" t="s">
        <v>26</v>
      </c>
      <c r="R662" s="4">
        <v>0</v>
      </c>
      <c r="S662" s="6">
        <v>0</v>
      </c>
      <c r="T662" s="6">
        <v>30</v>
      </c>
      <c r="U662" s="6">
        <v>71</v>
      </c>
      <c r="V662" s="6">
        <f>IF(ISERROR(VLOOKUP($S$662,'TAR FIN'!$A$1:$O$103,15,0)),0,VLOOKUP($S$662,'TAR FIN'!$A$1:$O$103,15,0))</f>
        <v>0</v>
      </c>
      <c r="W662" s="6">
        <f>IF(ISERROR(VLOOKUP($T$662,'TAR FIN'!$A$1:$O$103,15,0)),0,VLOOKUP($T$662,'TAR FIN'!$A$1:$O$103,15,0))</f>
        <v>269.91000000000003</v>
      </c>
      <c r="X662" s="6">
        <f>IF(ISERROR(VLOOKUP($U$662,'TAR FIN'!$A$1:$O$103,15,0)),0,VLOOKUP($U$662,'TAR FIN'!$A$1:$O$103,15,0))</f>
        <v>288.89999999999998</v>
      </c>
      <c r="Y662" s="6"/>
      <c r="Z662" s="6">
        <f ca="1">('TUSD BE'!$AM$30+'TUSD BF_350'!$AM$30+'TUSD CVA'!$AM$30)*1</f>
        <v>310.79999999999995</v>
      </c>
      <c r="AA662" s="6">
        <f ca="1">('TE BE'!$AB$14+'TE BF_350'!$AB$14+'TE CVA'!$AB$14)*1</f>
        <v>258.94</v>
      </c>
      <c r="AB662" s="6">
        <f>$K$662*$V$662</f>
        <v>0</v>
      </c>
      <c r="AC662" s="6">
        <f>$M$662*$W$662</f>
        <v>-1713.9285</v>
      </c>
      <c r="AD662" s="6">
        <f>$O$662*$X$662</f>
        <v>-1834.5149999999996</v>
      </c>
      <c r="AE662" s="6">
        <f>$K$662*$Y$662</f>
        <v>0</v>
      </c>
      <c r="AF662" s="6">
        <f ca="1">$M$662*$Z$662</f>
        <v>-1973.5799999999997</v>
      </c>
      <c r="AG662" s="6">
        <f ca="1">$O$662*$AA$662</f>
        <v>-1644.269</v>
      </c>
    </row>
    <row r="663" spans="1:33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0</v>
      </c>
      <c r="K663" s="6">
        <v>0</v>
      </c>
      <c r="L663" s="6">
        <v>21.52</v>
      </c>
      <c r="M663" s="6">
        <v>21.52</v>
      </c>
      <c r="N663" s="6">
        <v>21.52</v>
      </c>
      <c r="O663" s="6">
        <v>21.52</v>
      </c>
      <c r="P663" s="6">
        <v>162</v>
      </c>
      <c r="Q663" s="4" t="s">
        <v>26</v>
      </c>
      <c r="R663" s="4">
        <v>0</v>
      </c>
      <c r="S663" s="6">
        <v>0</v>
      </c>
      <c r="T663" s="6">
        <v>30</v>
      </c>
      <c r="U663" s="6">
        <v>71</v>
      </c>
      <c r="V663" s="6">
        <f>IF(ISERROR(VLOOKUP($S$663,'TAR FIN'!$A$1:$O$103,15,0)),0,VLOOKUP($S$663,'TAR FIN'!$A$1:$O$103,15,0))</f>
        <v>0</v>
      </c>
      <c r="W663" s="6">
        <f>IF(ISERROR(VLOOKUP($T$663,'TAR FIN'!$A$1:$O$103,15,0)),0,VLOOKUP($T$663,'TAR FIN'!$A$1:$O$103,15,0))</f>
        <v>269.91000000000003</v>
      </c>
      <c r="X663" s="6">
        <f>IF(ISERROR(VLOOKUP($U$663,'TAR FIN'!$A$1:$O$103,15,0)),0,VLOOKUP($U$663,'TAR FIN'!$A$1:$O$103,15,0))</f>
        <v>288.89999999999998</v>
      </c>
      <c r="Y663" s="6"/>
      <c r="Z663" s="6">
        <f ca="1">('TUSD BE'!$AM$30+'TUSD BF_350'!$AM$30+'TUSD CVA'!$AM$30)*1</f>
        <v>310.79999999999995</v>
      </c>
      <c r="AA663" s="6">
        <f ca="1">('TE BE'!$AB$14+'TE BF_350'!$AB$14+'TE CVA'!$AB$14)*1</f>
        <v>258.94</v>
      </c>
      <c r="AB663" s="6">
        <f>$K$663*$V$663</f>
        <v>0</v>
      </c>
      <c r="AC663" s="6">
        <f>$M$663*$W$663</f>
        <v>5808.4632000000001</v>
      </c>
      <c r="AD663" s="6">
        <f>$O$663*$X$663</f>
        <v>6217.1279999999997</v>
      </c>
      <c r="AE663" s="6">
        <f>$K$663*$Y$663</f>
        <v>0</v>
      </c>
      <c r="AF663" s="6">
        <f ca="1">$M$663*$Z$663</f>
        <v>6688.4159999999993</v>
      </c>
      <c r="AG663" s="6">
        <f ca="1">$O$663*$AA$663</f>
        <v>5572.3887999999997</v>
      </c>
    </row>
    <row r="664" spans="1:33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25</v>
      </c>
      <c r="I664" s="5">
        <v>44531</v>
      </c>
      <c r="J664" s="6">
        <v>0</v>
      </c>
      <c r="K664" s="6">
        <v>0</v>
      </c>
      <c r="L664" s="6">
        <v>6856.2129999999997</v>
      </c>
      <c r="M664" s="6">
        <v>6856.2129999999997</v>
      </c>
      <c r="N664" s="6">
        <v>6856.2129999999997</v>
      </c>
      <c r="O664" s="6">
        <v>6856.2129999999997</v>
      </c>
      <c r="P664" s="6">
        <v>44242</v>
      </c>
      <c r="Q664" s="4" t="s">
        <v>26</v>
      </c>
      <c r="R664" s="4">
        <v>0</v>
      </c>
      <c r="S664" s="6">
        <v>0</v>
      </c>
      <c r="T664" s="6">
        <v>30</v>
      </c>
      <c r="U664" s="6">
        <v>71</v>
      </c>
      <c r="V664" s="6">
        <f>IF(ISERROR(VLOOKUP($S$664,'TAR FIN'!$A$1:$O$103,15,0)),0,VLOOKUP($S$664,'TAR FIN'!$A$1:$O$103,15,0))</f>
        <v>0</v>
      </c>
      <c r="W664" s="6">
        <f>IF(ISERROR(VLOOKUP($T$664,'TAR FIN'!$A$1:$O$103,15,0)),0,VLOOKUP($T$664,'TAR FIN'!$A$1:$O$103,15,0))</f>
        <v>269.91000000000003</v>
      </c>
      <c r="X664" s="6">
        <f>IF(ISERROR(VLOOKUP($U$664,'TAR FIN'!$A$1:$O$103,15,0)),0,VLOOKUP($U$664,'TAR FIN'!$A$1:$O$103,15,0))</f>
        <v>288.89999999999998</v>
      </c>
      <c r="Y664" s="6"/>
      <c r="Z664" s="6">
        <f ca="1">('TUSD BE'!$AM$30+'TUSD BF_350'!$AM$30+'TUSD CVA'!$AM$30)*1</f>
        <v>310.79999999999995</v>
      </c>
      <c r="AA664" s="6">
        <f ca="1">('TE BE'!$AB$14+'TE BF_350'!$AB$14+'TE CVA'!$AB$14)*1</f>
        <v>258.94</v>
      </c>
      <c r="AB664" s="6">
        <f>$K$664*$V$664</f>
        <v>0</v>
      </c>
      <c r="AC664" s="6">
        <f>$M$664*$W$664</f>
        <v>1850560.45083</v>
      </c>
      <c r="AD664" s="6">
        <f>$O$664*$X$664</f>
        <v>1980759.9356999998</v>
      </c>
      <c r="AE664" s="6">
        <f>$K$664*$Y$664</f>
        <v>0</v>
      </c>
      <c r="AF664" s="6">
        <f ca="1">$M$664*$Z$664</f>
        <v>2130911.0003999998</v>
      </c>
      <c r="AG664" s="6">
        <f ca="1">$O$664*$AA$664</f>
        <v>1775347.7942199998</v>
      </c>
    </row>
    <row r="665" spans="1:33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0</v>
      </c>
      <c r="K665" s="6">
        <v>0</v>
      </c>
      <c r="L665" s="6">
        <v>-4.88</v>
      </c>
      <c r="M665" s="6">
        <v>-4.88</v>
      </c>
      <c r="N665" s="6">
        <v>-4.88</v>
      </c>
      <c r="O665" s="6">
        <v>-4.88</v>
      </c>
      <c r="P665" s="6">
        <v>0</v>
      </c>
      <c r="Q665" s="4" t="s">
        <v>26</v>
      </c>
      <c r="R665" s="4">
        <v>0</v>
      </c>
      <c r="S665" s="6">
        <v>0</v>
      </c>
      <c r="T665" s="6">
        <v>30</v>
      </c>
      <c r="U665" s="6">
        <v>71</v>
      </c>
      <c r="V665" s="6">
        <f>IF(ISERROR(VLOOKUP($S$665,'TAR FIN'!$A$1:$O$103,15,0)),0,VLOOKUP($S$665,'TAR FIN'!$A$1:$O$103,15,0))</f>
        <v>0</v>
      </c>
      <c r="W665" s="6">
        <f>IF(ISERROR(VLOOKUP($T$665,'TAR FIN'!$A$1:$O$103,15,0)),0,VLOOKUP($T$665,'TAR FIN'!$A$1:$O$103,15,0))</f>
        <v>269.91000000000003</v>
      </c>
      <c r="X665" s="6">
        <f>IF(ISERROR(VLOOKUP($U$665,'TAR FIN'!$A$1:$O$103,15,0)),0,VLOOKUP($U$665,'TAR FIN'!$A$1:$O$103,15,0))</f>
        <v>288.89999999999998</v>
      </c>
      <c r="Y665" s="6"/>
      <c r="Z665" s="6">
        <f ca="1">('TUSD BE'!$AM$30+'TUSD BF_350'!$AM$30+'TUSD CVA'!$AM$30)*1</f>
        <v>310.79999999999995</v>
      </c>
      <c r="AA665" s="6">
        <f ca="1">('TE BE'!$AB$14+'TE BF_350'!$AB$14+'TE CVA'!$AB$14)*1</f>
        <v>258.94</v>
      </c>
      <c r="AB665" s="6">
        <f>$K$665*$V$665</f>
        <v>0</v>
      </c>
      <c r="AC665" s="6">
        <f>$M$665*$W$665</f>
        <v>-1317.1608000000001</v>
      </c>
      <c r="AD665" s="6">
        <f>$O$665*$X$665</f>
        <v>-1409.8319999999999</v>
      </c>
      <c r="AE665" s="6">
        <f>$K$665*$Y$665</f>
        <v>0</v>
      </c>
      <c r="AF665" s="6">
        <f ca="1">$M$665*$Z$665</f>
        <v>-1516.7039999999997</v>
      </c>
      <c r="AG665" s="6">
        <f ca="1">$O$665*$AA$665</f>
        <v>-1263.6271999999999</v>
      </c>
    </row>
    <row r="666" spans="1:33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18.059999999999999</v>
      </c>
      <c r="M666" s="6">
        <v>18.059999999999999</v>
      </c>
      <c r="N666" s="6">
        <v>18.059999999999999</v>
      </c>
      <c r="O666" s="6">
        <v>18.059999999999999</v>
      </c>
      <c r="P666" s="6">
        <v>174</v>
      </c>
      <c r="Q666" s="4" t="s">
        <v>26</v>
      </c>
      <c r="R666" s="4">
        <v>0</v>
      </c>
      <c r="S666" s="6">
        <v>0</v>
      </c>
      <c r="T666" s="6">
        <v>30</v>
      </c>
      <c r="U666" s="6">
        <v>71</v>
      </c>
      <c r="V666" s="6">
        <f>IF(ISERROR(VLOOKUP($S$666,'TAR FIN'!$A$1:$O$103,15,0)),0,VLOOKUP($S$666,'TAR FIN'!$A$1:$O$103,15,0))</f>
        <v>0</v>
      </c>
      <c r="W666" s="6">
        <f>IF(ISERROR(VLOOKUP($T$666,'TAR FIN'!$A$1:$O$103,15,0)),0,VLOOKUP($T$666,'TAR FIN'!$A$1:$O$103,15,0))</f>
        <v>269.91000000000003</v>
      </c>
      <c r="X666" s="6">
        <f>IF(ISERROR(VLOOKUP($U$666,'TAR FIN'!$A$1:$O$103,15,0)),0,VLOOKUP($U$666,'TAR FIN'!$A$1:$O$103,15,0))</f>
        <v>288.89999999999998</v>
      </c>
      <c r="Y666" s="6"/>
      <c r="Z666" s="6">
        <f ca="1">('TUSD BE'!$AM$30+'TUSD BF_350'!$AM$30+'TUSD CVA'!$AM$30)*1</f>
        <v>310.79999999999995</v>
      </c>
      <c r="AA666" s="6">
        <f ca="1">('TE BE'!$AB$14+'TE BF_350'!$AB$14+'TE CVA'!$AB$14)*1</f>
        <v>258.94</v>
      </c>
      <c r="AB666" s="6">
        <f>$K$666*$V$666</f>
        <v>0</v>
      </c>
      <c r="AC666" s="6">
        <f>$M$666*$W$666</f>
        <v>4874.5745999999999</v>
      </c>
      <c r="AD666" s="6">
        <f>$O$666*$X$666</f>
        <v>5217.5339999999997</v>
      </c>
      <c r="AE666" s="6">
        <f>$K$666*$Y$666</f>
        <v>0</v>
      </c>
      <c r="AF666" s="6">
        <f ca="1">$M$666*$Z$666</f>
        <v>5613.0479999999989</v>
      </c>
      <c r="AG666" s="6">
        <f ca="1">$O$666*$AA$666</f>
        <v>4676.4564</v>
      </c>
    </row>
    <row r="667" spans="1:33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-0.17100000000000001</v>
      </c>
      <c r="M667" s="6">
        <v>-0.17100000000000001</v>
      </c>
      <c r="N667" s="6">
        <v>-0.17100000000000001</v>
      </c>
      <c r="O667" s="6">
        <v>-0.17100000000000001</v>
      </c>
      <c r="P667" s="6">
        <v>4</v>
      </c>
      <c r="Q667" s="4" t="s">
        <v>26</v>
      </c>
      <c r="R667" s="4">
        <v>0</v>
      </c>
      <c r="S667" s="6">
        <v>0</v>
      </c>
      <c r="T667" s="6">
        <v>30</v>
      </c>
      <c r="U667" s="6">
        <v>71</v>
      </c>
      <c r="V667" s="6">
        <f>IF(ISERROR(VLOOKUP($S$667,'TAR FIN'!$A$1:$O$103,15,0)),0,VLOOKUP($S$667,'TAR FIN'!$A$1:$O$103,15,0))</f>
        <v>0</v>
      </c>
      <c r="W667" s="6">
        <f>IF(ISERROR(VLOOKUP($T$667,'TAR FIN'!$A$1:$O$103,15,0)),0,VLOOKUP($T$667,'TAR FIN'!$A$1:$O$103,15,0))</f>
        <v>269.91000000000003</v>
      </c>
      <c r="X667" s="6">
        <f>IF(ISERROR(VLOOKUP($U$667,'TAR FIN'!$A$1:$O$103,15,0)),0,VLOOKUP($U$667,'TAR FIN'!$A$1:$O$103,15,0))</f>
        <v>288.89999999999998</v>
      </c>
      <c r="Y667" s="6"/>
      <c r="Z667" s="6">
        <f ca="1">('TUSD BE'!$AM$30+'TUSD BF_350'!$AM$30+'TUSD CVA'!$AM$30)*1</f>
        <v>310.79999999999995</v>
      </c>
      <c r="AA667" s="6">
        <f ca="1">('TE BE'!$AB$14+'TE BF_350'!$AB$14+'TE CVA'!$AB$14)*1</f>
        <v>258.94</v>
      </c>
      <c r="AB667" s="6">
        <f>$K$667*$V$667</f>
        <v>0</v>
      </c>
      <c r="AC667" s="6">
        <f>$M$667*$W$667</f>
        <v>-46.154610000000005</v>
      </c>
      <c r="AD667" s="6">
        <f>$O$667*$X$667</f>
        <v>-49.401899999999998</v>
      </c>
      <c r="AE667" s="6">
        <f>$K$667*$Y$667</f>
        <v>0</v>
      </c>
      <c r="AF667" s="6">
        <f ca="1">$M$667*$Z$667</f>
        <v>-53.146799999999999</v>
      </c>
      <c r="AG667" s="6">
        <f ca="1">$O$667*$AA$667</f>
        <v>-44.278740000000006</v>
      </c>
    </row>
    <row r="668" spans="1:33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6939.0129999999999</v>
      </c>
      <c r="M668" s="6">
        <v>6939.0129999999999</v>
      </c>
      <c r="N668" s="6">
        <v>6939.0129999999999</v>
      </c>
      <c r="O668" s="6">
        <v>6939.0129999999999</v>
      </c>
      <c r="P668" s="6">
        <v>44215</v>
      </c>
      <c r="Q668" s="4" t="s">
        <v>26</v>
      </c>
      <c r="R668" s="4">
        <v>0</v>
      </c>
      <c r="S668" s="6">
        <v>0</v>
      </c>
      <c r="T668" s="6">
        <v>30</v>
      </c>
      <c r="U668" s="6">
        <v>71</v>
      </c>
      <c r="V668" s="6">
        <f>IF(ISERROR(VLOOKUP($S$668,'TAR FIN'!$A$1:$O$103,15,0)),0,VLOOKUP($S$668,'TAR FIN'!$A$1:$O$103,15,0))</f>
        <v>0</v>
      </c>
      <c r="W668" s="6">
        <f>IF(ISERROR(VLOOKUP($T$668,'TAR FIN'!$A$1:$O$103,15,0)),0,VLOOKUP($T$668,'TAR FIN'!$A$1:$O$103,15,0))</f>
        <v>269.91000000000003</v>
      </c>
      <c r="X668" s="6">
        <f>IF(ISERROR(VLOOKUP($U$668,'TAR FIN'!$A$1:$O$103,15,0)),0,VLOOKUP($U$668,'TAR FIN'!$A$1:$O$103,15,0))</f>
        <v>288.89999999999998</v>
      </c>
      <c r="Y668" s="6"/>
      <c r="Z668" s="6">
        <f ca="1">('TUSD BE'!$AM$30+'TUSD BF_350'!$AM$30+'TUSD CVA'!$AM$30)*1</f>
        <v>310.79999999999995</v>
      </c>
      <c r="AA668" s="6">
        <f ca="1">('TE BE'!$AB$14+'TE BF_350'!$AB$14+'TE CVA'!$AB$14)*1</f>
        <v>258.94</v>
      </c>
      <c r="AB668" s="6">
        <f>$K$668*$V$668</f>
        <v>0</v>
      </c>
      <c r="AC668" s="6">
        <f>$M$668*$W$668</f>
        <v>1872908.9988300002</v>
      </c>
      <c r="AD668" s="6">
        <f>$O$668*$X$668</f>
        <v>2004680.8556999997</v>
      </c>
      <c r="AE668" s="6">
        <f>$K$668*$Y$668</f>
        <v>0</v>
      </c>
      <c r="AF668" s="6">
        <f ca="1">$M$668*$Z$668</f>
        <v>2156645.2403999995</v>
      </c>
      <c r="AG668" s="6">
        <f ca="1">$O$668*$AA$668</f>
        <v>1796788.0262199999</v>
      </c>
    </row>
    <row r="669" spans="1:33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-9.3409999999999993</v>
      </c>
      <c r="M669" s="6">
        <v>-9.3409999999999993</v>
      </c>
      <c r="N669" s="6">
        <v>-9.3409999999999993</v>
      </c>
      <c r="O669" s="6">
        <v>-9.3409999999999993</v>
      </c>
      <c r="P669" s="6">
        <v>0</v>
      </c>
      <c r="Q669" s="4" t="s">
        <v>26</v>
      </c>
      <c r="R669" s="4">
        <v>0</v>
      </c>
      <c r="S669" s="6">
        <v>0</v>
      </c>
      <c r="T669" s="6">
        <v>30</v>
      </c>
      <c r="U669" s="6">
        <v>71</v>
      </c>
      <c r="V669" s="6">
        <f>IF(ISERROR(VLOOKUP($S$669,'TAR FIN'!$A$1:$O$103,15,0)),0,VLOOKUP($S$669,'TAR FIN'!$A$1:$O$103,15,0))</f>
        <v>0</v>
      </c>
      <c r="W669" s="6">
        <f>IF(ISERROR(VLOOKUP($T$669,'TAR FIN'!$A$1:$O$103,15,0)),0,VLOOKUP($T$669,'TAR FIN'!$A$1:$O$103,15,0))</f>
        <v>269.91000000000003</v>
      </c>
      <c r="X669" s="6">
        <f>IF(ISERROR(VLOOKUP($U$669,'TAR FIN'!$A$1:$O$103,15,0)),0,VLOOKUP($U$669,'TAR FIN'!$A$1:$O$103,15,0))</f>
        <v>288.89999999999998</v>
      </c>
      <c r="Y669" s="6"/>
      <c r="Z669" s="6">
        <f ca="1">('TUSD BE'!$AM$30+'TUSD BF_350'!$AM$30+'TUSD CVA'!$AM$30)*1</f>
        <v>310.79999999999995</v>
      </c>
      <c r="AA669" s="6">
        <f ca="1">('TE BE'!$AB$14+'TE BF_350'!$AB$14+'TE CVA'!$AB$14)*1</f>
        <v>258.94</v>
      </c>
      <c r="AB669" s="6">
        <f>$K$669*$V$669</f>
        <v>0</v>
      </c>
      <c r="AC669" s="6">
        <f>$M$669*$W$669</f>
        <v>-2521.2293100000002</v>
      </c>
      <c r="AD669" s="6">
        <f>$O$669*$X$669</f>
        <v>-2698.6148999999996</v>
      </c>
      <c r="AE669" s="6">
        <f>$K$669*$Y$669</f>
        <v>0</v>
      </c>
      <c r="AF669" s="6">
        <f ca="1">$M$669*$Z$669</f>
        <v>-2903.1827999999991</v>
      </c>
      <c r="AG669" s="6">
        <f ca="1">$O$669*$AA$669</f>
        <v>-2418.7585399999998</v>
      </c>
    </row>
    <row r="670" spans="1:33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25</v>
      </c>
      <c r="I670" s="5">
        <v>44562</v>
      </c>
      <c r="J670" s="6">
        <v>0</v>
      </c>
      <c r="K670" s="6">
        <v>0</v>
      </c>
      <c r="L670" s="6">
        <v>21.228999999999999</v>
      </c>
      <c r="M670" s="6">
        <v>21.228999999999999</v>
      </c>
      <c r="N670" s="6">
        <v>21.228999999999999</v>
      </c>
      <c r="O670" s="6">
        <v>21.228999999999999</v>
      </c>
      <c r="P670" s="6">
        <v>192</v>
      </c>
      <c r="Q670" s="4" t="s">
        <v>26</v>
      </c>
      <c r="R670" s="4">
        <v>0</v>
      </c>
      <c r="S670" s="6">
        <v>0</v>
      </c>
      <c r="T670" s="6">
        <v>30</v>
      </c>
      <c r="U670" s="6">
        <v>71</v>
      </c>
      <c r="V670" s="6">
        <f>IF(ISERROR(VLOOKUP($S$670,'TAR FIN'!$A$1:$O$103,15,0)),0,VLOOKUP($S$670,'TAR FIN'!$A$1:$O$103,15,0))</f>
        <v>0</v>
      </c>
      <c r="W670" s="6">
        <f>IF(ISERROR(VLOOKUP($T$670,'TAR FIN'!$A$1:$O$103,15,0)),0,VLOOKUP($T$670,'TAR FIN'!$A$1:$O$103,15,0))</f>
        <v>269.91000000000003</v>
      </c>
      <c r="X670" s="6">
        <f>IF(ISERROR(VLOOKUP($U$670,'TAR FIN'!$A$1:$O$103,15,0)),0,VLOOKUP($U$670,'TAR FIN'!$A$1:$O$103,15,0))</f>
        <v>288.89999999999998</v>
      </c>
      <c r="Y670" s="6"/>
      <c r="Z670" s="6">
        <f ca="1">('TUSD BE'!$AM$30+'TUSD BF_350'!$AM$30+'TUSD CVA'!$AM$30)*1</f>
        <v>310.79999999999995</v>
      </c>
      <c r="AA670" s="6">
        <f ca="1">('TE BE'!$AB$14+'TE BF_350'!$AB$14+'TE CVA'!$AB$14)*1</f>
        <v>258.94</v>
      </c>
      <c r="AB670" s="6">
        <f>$K$670*$V$670</f>
        <v>0</v>
      </c>
      <c r="AC670" s="6">
        <f>$M$670*$W$670</f>
        <v>5729.91939</v>
      </c>
      <c r="AD670" s="6">
        <f>$O$670*$X$670</f>
        <v>6133.0580999999993</v>
      </c>
      <c r="AE670" s="6">
        <f>$K$670*$Y$670</f>
        <v>0</v>
      </c>
      <c r="AF670" s="6">
        <f ca="1">$M$670*$Z$670</f>
        <v>6597.9731999999985</v>
      </c>
      <c r="AG670" s="6">
        <f ca="1">$O$670*$AA$670</f>
        <v>5497.0372600000001</v>
      </c>
    </row>
    <row r="671" spans="1:33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7259.8360000000002</v>
      </c>
      <c r="M671" s="6">
        <v>7259.8360000000002</v>
      </c>
      <c r="N671" s="6">
        <v>7259.8360000000002</v>
      </c>
      <c r="O671" s="6">
        <v>7259.8360000000002</v>
      </c>
      <c r="P671" s="6">
        <v>44109</v>
      </c>
      <c r="Q671" s="4" t="s">
        <v>26</v>
      </c>
      <c r="R671" s="4">
        <v>0</v>
      </c>
      <c r="S671" s="6">
        <v>0</v>
      </c>
      <c r="T671" s="6">
        <v>30</v>
      </c>
      <c r="U671" s="6">
        <v>71</v>
      </c>
      <c r="V671" s="6">
        <f>IF(ISERROR(VLOOKUP($S$671,'TAR FIN'!$A$1:$O$103,15,0)),0,VLOOKUP($S$671,'TAR FIN'!$A$1:$O$103,15,0))</f>
        <v>0</v>
      </c>
      <c r="W671" s="6">
        <f>IF(ISERROR(VLOOKUP($T$671,'TAR FIN'!$A$1:$O$103,15,0)),0,VLOOKUP($T$671,'TAR FIN'!$A$1:$O$103,15,0))</f>
        <v>269.91000000000003</v>
      </c>
      <c r="X671" s="6">
        <f>IF(ISERROR(VLOOKUP($U$671,'TAR FIN'!$A$1:$O$103,15,0)),0,VLOOKUP($U$671,'TAR FIN'!$A$1:$O$103,15,0))</f>
        <v>288.89999999999998</v>
      </c>
      <c r="Y671" s="6"/>
      <c r="Z671" s="6">
        <f ca="1">('TUSD BE'!$AM$30+'TUSD BF_350'!$AM$30+'TUSD CVA'!$AM$30)*1</f>
        <v>310.79999999999995</v>
      </c>
      <c r="AA671" s="6">
        <f ca="1">('TE BE'!$AB$14+'TE BF_350'!$AB$14+'TE CVA'!$AB$14)*1</f>
        <v>258.94</v>
      </c>
      <c r="AB671" s="6">
        <f>$K$671*$V$671</f>
        <v>0</v>
      </c>
      <c r="AC671" s="6">
        <f>$M$671*$W$671</f>
        <v>1959502.3347600002</v>
      </c>
      <c r="AD671" s="6">
        <f>$O$671*$X$671</f>
        <v>2097366.6203999999</v>
      </c>
      <c r="AE671" s="6">
        <f>$K$671*$Y$671</f>
        <v>0</v>
      </c>
      <c r="AF671" s="6">
        <f ca="1">$M$671*$Z$671</f>
        <v>2256357.0288</v>
      </c>
      <c r="AG671" s="6">
        <f ca="1">$O$671*$AA$671</f>
        <v>1879861.9338400001</v>
      </c>
    </row>
    <row r="672" spans="1:33" ht="11.25" customHeight="1" x14ac:dyDescent="0.25">
      <c r="A672" s="4" t="s">
        <v>28</v>
      </c>
      <c r="B672" s="4" t="s">
        <v>22</v>
      </c>
      <c r="C672" s="4" t="s">
        <v>23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22.004999999999999</v>
      </c>
      <c r="M672" s="6">
        <v>22.004999999999999</v>
      </c>
      <c r="N672" s="6">
        <v>22.004999999999999</v>
      </c>
      <c r="O672" s="6">
        <v>22.004999999999999</v>
      </c>
      <c r="P672" s="6">
        <v>198</v>
      </c>
      <c r="Q672" s="4" t="s">
        <v>26</v>
      </c>
      <c r="R672" s="4">
        <v>0</v>
      </c>
      <c r="S672" s="6">
        <v>0</v>
      </c>
      <c r="T672" s="6">
        <v>30</v>
      </c>
      <c r="U672" s="6">
        <v>71</v>
      </c>
      <c r="V672" s="6">
        <f>IF(ISERROR(VLOOKUP($S$672,'TAR FIN'!$A$1:$O$103,15,0)),0,VLOOKUP($S$672,'TAR FIN'!$A$1:$O$103,15,0))</f>
        <v>0</v>
      </c>
      <c r="W672" s="6">
        <f>IF(ISERROR(VLOOKUP($T$672,'TAR FIN'!$A$1:$O$103,15,0)),0,VLOOKUP($T$672,'TAR FIN'!$A$1:$O$103,15,0))</f>
        <v>269.91000000000003</v>
      </c>
      <c r="X672" s="6">
        <f>IF(ISERROR(VLOOKUP($U$672,'TAR FIN'!$A$1:$O$103,15,0)),0,VLOOKUP($U$672,'TAR FIN'!$A$1:$O$103,15,0))</f>
        <v>288.89999999999998</v>
      </c>
      <c r="Y672" s="6"/>
      <c r="Z672" s="6">
        <f ca="1">('TUSD BE'!$AM$30+'TUSD BF_350'!$AM$30+'TUSD CVA'!$AM$30)*1</f>
        <v>310.79999999999995</v>
      </c>
      <c r="AA672" s="6">
        <f ca="1">('TE BE'!$AB$14+'TE BF_350'!$AB$14+'TE CVA'!$AB$14)*1</f>
        <v>258.94</v>
      </c>
      <c r="AB672" s="6">
        <f>$K$672*$V$672</f>
        <v>0</v>
      </c>
      <c r="AC672" s="6">
        <f>$M$672*$W$672</f>
        <v>5939.3695500000003</v>
      </c>
      <c r="AD672" s="6">
        <f>$O$672*$X$672</f>
        <v>6357.2444999999989</v>
      </c>
      <c r="AE672" s="6">
        <f>$K$672*$Y$672</f>
        <v>0</v>
      </c>
      <c r="AF672" s="6">
        <f ca="1">$M$672*$Z$672</f>
        <v>6839.1539999999986</v>
      </c>
      <c r="AG672" s="6">
        <f ca="1">$O$672*$AA$672</f>
        <v>5697.9746999999998</v>
      </c>
    </row>
    <row r="673" spans="1:33" ht="11.25" customHeight="1" x14ac:dyDescent="0.25">
      <c r="A673" s="4" t="s">
        <v>21</v>
      </c>
      <c r="B673" s="4" t="s">
        <v>22</v>
      </c>
      <c r="C673" s="4" t="s">
        <v>23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7015.7569999999996</v>
      </c>
      <c r="M673" s="6">
        <v>7015.7569999999996</v>
      </c>
      <c r="N673" s="6">
        <v>7015.7569999999996</v>
      </c>
      <c r="O673" s="6">
        <v>7015.7569999999996</v>
      </c>
      <c r="P673" s="6">
        <v>43821</v>
      </c>
      <c r="Q673" s="4" t="s">
        <v>26</v>
      </c>
      <c r="R673" s="4">
        <v>0</v>
      </c>
      <c r="S673" s="6">
        <v>0</v>
      </c>
      <c r="T673" s="6">
        <v>30</v>
      </c>
      <c r="U673" s="6">
        <v>71</v>
      </c>
      <c r="V673" s="6">
        <f>IF(ISERROR(VLOOKUP($S$673,'TAR FIN'!$A$1:$O$103,15,0)),0,VLOOKUP($S$673,'TAR FIN'!$A$1:$O$103,15,0))</f>
        <v>0</v>
      </c>
      <c r="W673" s="6">
        <f>IF(ISERROR(VLOOKUP($T$673,'TAR FIN'!$A$1:$O$103,15,0)),0,VLOOKUP($T$673,'TAR FIN'!$A$1:$O$103,15,0))</f>
        <v>269.91000000000003</v>
      </c>
      <c r="X673" s="6">
        <f>IF(ISERROR(VLOOKUP($U$673,'TAR FIN'!$A$1:$O$103,15,0)),0,VLOOKUP($U$673,'TAR FIN'!$A$1:$O$103,15,0))</f>
        <v>288.89999999999998</v>
      </c>
      <c r="Y673" s="6"/>
      <c r="Z673" s="6">
        <f ca="1">('TUSD BE'!$AM$30+'TUSD BF_350'!$AM$30+'TUSD CVA'!$AM$30)*1</f>
        <v>310.79999999999995</v>
      </c>
      <c r="AA673" s="6">
        <f ca="1">('TE BE'!$AB$14+'TE BF_350'!$AB$14+'TE CVA'!$AB$14)*1</f>
        <v>258.94</v>
      </c>
      <c r="AB673" s="6">
        <f>$K$673*$V$673</f>
        <v>0</v>
      </c>
      <c r="AC673" s="6">
        <f>$M$673*$W$673</f>
        <v>1893622.97187</v>
      </c>
      <c r="AD673" s="6">
        <f>$O$673*$X$673</f>
        <v>2026852.1972999997</v>
      </c>
      <c r="AE673" s="6">
        <f>$K$673*$Y$673</f>
        <v>0</v>
      </c>
      <c r="AF673" s="6">
        <f ca="1">$M$673*$Z$673</f>
        <v>2180497.2755999994</v>
      </c>
      <c r="AG673" s="6">
        <f ca="1">$O$673*$AA$673</f>
        <v>1816660.1175799998</v>
      </c>
    </row>
    <row r="674" spans="1:33" ht="11.25" customHeight="1" x14ac:dyDescent="0.25">
      <c r="A674" s="4" t="s">
        <v>27</v>
      </c>
      <c r="B674" s="4" t="s">
        <v>22</v>
      </c>
      <c r="C674" s="4" t="s">
        <v>23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-0.56100000000000005</v>
      </c>
      <c r="M674" s="6">
        <v>-0.56100000000000005</v>
      </c>
      <c r="N674" s="6">
        <v>-0.56100000000000005</v>
      </c>
      <c r="O674" s="6">
        <v>-0.56100000000000005</v>
      </c>
      <c r="P674" s="6">
        <v>0</v>
      </c>
      <c r="Q674" s="4" t="s">
        <v>26</v>
      </c>
      <c r="R674" s="4">
        <v>0</v>
      </c>
      <c r="S674" s="6">
        <v>0</v>
      </c>
      <c r="T674" s="6">
        <v>30</v>
      </c>
      <c r="U674" s="6">
        <v>71</v>
      </c>
      <c r="V674" s="6">
        <f>IF(ISERROR(VLOOKUP($S$674,'TAR FIN'!$A$1:$O$103,15,0)),0,VLOOKUP($S$674,'TAR FIN'!$A$1:$O$103,15,0))</f>
        <v>0</v>
      </c>
      <c r="W674" s="6">
        <f>IF(ISERROR(VLOOKUP($T$674,'TAR FIN'!$A$1:$O$103,15,0)),0,VLOOKUP($T$674,'TAR FIN'!$A$1:$O$103,15,0))</f>
        <v>269.91000000000003</v>
      </c>
      <c r="X674" s="6">
        <f>IF(ISERROR(VLOOKUP($U$674,'TAR FIN'!$A$1:$O$103,15,0)),0,VLOOKUP($U$674,'TAR FIN'!$A$1:$O$103,15,0))</f>
        <v>288.89999999999998</v>
      </c>
      <c r="Y674" s="6"/>
      <c r="Z674" s="6">
        <f ca="1">('TUSD BE'!$AM$30+'TUSD BF_350'!$AM$30+'TUSD CVA'!$AM$30)*1</f>
        <v>310.79999999999995</v>
      </c>
      <c r="AA674" s="6">
        <f ca="1">('TE BE'!$AB$14+'TE BF_350'!$AB$14+'TE CVA'!$AB$14)*1</f>
        <v>258.94</v>
      </c>
      <c r="AB674" s="6">
        <f>$K$674*$V$674</f>
        <v>0</v>
      </c>
      <c r="AC674" s="6">
        <f>$M$674*$W$674</f>
        <v>-151.41951000000003</v>
      </c>
      <c r="AD674" s="6">
        <f>$O$674*$X$674</f>
        <v>-162.0729</v>
      </c>
      <c r="AE674" s="6">
        <f>$K$674*$Y$674</f>
        <v>0</v>
      </c>
      <c r="AF674" s="6">
        <f ca="1">$M$674*$Z$674</f>
        <v>-174.3588</v>
      </c>
      <c r="AG674" s="6">
        <f ca="1">$O$674*$AA$674</f>
        <v>-145.26534000000001</v>
      </c>
    </row>
    <row r="675" spans="1:33" ht="11.25" customHeight="1" x14ac:dyDescent="0.25">
      <c r="A675" s="4" t="s">
        <v>28</v>
      </c>
      <c r="B675" s="4" t="s">
        <v>22</v>
      </c>
      <c r="C675" s="4" t="s">
        <v>23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25</v>
      </c>
      <c r="I675" s="5">
        <v>44621</v>
      </c>
      <c r="J675" s="6">
        <v>0</v>
      </c>
      <c r="K675" s="6">
        <v>0</v>
      </c>
      <c r="L675" s="6">
        <v>25.526</v>
      </c>
      <c r="M675" s="6">
        <v>25.526</v>
      </c>
      <c r="N675" s="6">
        <v>25.526</v>
      </c>
      <c r="O675" s="6">
        <v>25.526</v>
      </c>
      <c r="P675" s="6">
        <v>220</v>
      </c>
      <c r="Q675" s="4" t="s">
        <v>26</v>
      </c>
      <c r="R675" s="4">
        <v>0</v>
      </c>
      <c r="S675" s="6">
        <v>0</v>
      </c>
      <c r="T675" s="6">
        <v>30</v>
      </c>
      <c r="U675" s="6">
        <v>71</v>
      </c>
      <c r="V675" s="6">
        <f>IF(ISERROR(VLOOKUP($S$675,'TAR FIN'!$A$1:$O$103,15,0)),0,VLOOKUP($S$675,'TAR FIN'!$A$1:$O$103,15,0))</f>
        <v>0</v>
      </c>
      <c r="W675" s="6">
        <f>IF(ISERROR(VLOOKUP($T$675,'TAR FIN'!$A$1:$O$103,15,0)),0,VLOOKUP($T$675,'TAR FIN'!$A$1:$O$103,15,0))</f>
        <v>269.91000000000003</v>
      </c>
      <c r="X675" s="6">
        <f>IF(ISERROR(VLOOKUP($U$675,'TAR FIN'!$A$1:$O$103,15,0)),0,VLOOKUP($U$675,'TAR FIN'!$A$1:$O$103,15,0))</f>
        <v>288.89999999999998</v>
      </c>
      <c r="Y675" s="6"/>
      <c r="Z675" s="6">
        <f ca="1">('TUSD BE'!$AM$30+'TUSD BF_350'!$AM$30+'TUSD CVA'!$AM$30)*1</f>
        <v>310.79999999999995</v>
      </c>
      <c r="AA675" s="6">
        <f ca="1">('TE BE'!$AB$14+'TE BF_350'!$AB$14+'TE CVA'!$AB$14)*1</f>
        <v>258.94</v>
      </c>
      <c r="AB675" s="6">
        <f>$K$675*$V$675</f>
        <v>0</v>
      </c>
      <c r="AC675" s="6">
        <f>$M$675*$W$675</f>
        <v>6889.7226600000004</v>
      </c>
      <c r="AD675" s="6">
        <f>$O$675*$X$675</f>
        <v>7374.4613999999992</v>
      </c>
      <c r="AE675" s="6">
        <f>$K$675*$Y$675</f>
        <v>0</v>
      </c>
      <c r="AF675" s="6">
        <f ca="1">$M$675*$Z$675</f>
        <v>7933.4807999999985</v>
      </c>
      <c r="AG675" s="6">
        <f ca="1">$O$675*$AA$675</f>
        <v>6609.70244</v>
      </c>
    </row>
    <row r="676" spans="1:33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0</v>
      </c>
      <c r="K676" s="6">
        <v>0</v>
      </c>
      <c r="L676" s="6">
        <v>6796.78</v>
      </c>
      <c r="M676" s="6">
        <v>6796.78</v>
      </c>
      <c r="N676" s="6">
        <v>6796.78</v>
      </c>
      <c r="O676" s="6">
        <v>6796.78</v>
      </c>
      <c r="P676" s="6">
        <v>43907</v>
      </c>
      <c r="Q676" s="4" t="s">
        <v>26</v>
      </c>
      <c r="R676" s="4">
        <v>0</v>
      </c>
      <c r="S676" s="6">
        <v>0</v>
      </c>
      <c r="T676" s="6">
        <v>30</v>
      </c>
      <c r="U676" s="6">
        <v>71</v>
      </c>
      <c r="V676" s="6">
        <f>IF(ISERROR(VLOOKUP($S$676,'TAR FIN'!$A$1:$O$103,15,0)),0,VLOOKUP($S$676,'TAR FIN'!$A$1:$O$103,15,0))</f>
        <v>0</v>
      </c>
      <c r="W676" s="6">
        <f>IF(ISERROR(VLOOKUP($T$676,'TAR FIN'!$A$1:$O$103,15,0)),0,VLOOKUP($T$676,'TAR FIN'!$A$1:$O$103,15,0))</f>
        <v>269.91000000000003</v>
      </c>
      <c r="X676" s="6">
        <f>IF(ISERROR(VLOOKUP($U$676,'TAR FIN'!$A$1:$O$103,15,0)),0,VLOOKUP($U$676,'TAR FIN'!$A$1:$O$103,15,0))</f>
        <v>288.89999999999998</v>
      </c>
      <c r="Y676" s="6"/>
      <c r="Z676" s="6">
        <f ca="1">('TUSD BE'!$AM$30+'TUSD BF_350'!$AM$30+'TUSD CVA'!$AM$30)*1</f>
        <v>310.79999999999995</v>
      </c>
      <c r="AA676" s="6">
        <f ca="1">('TE BE'!$AB$14+'TE BF_350'!$AB$14+'TE CVA'!$AB$14)*1</f>
        <v>258.94</v>
      </c>
      <c r="AB676" s="6">
        <f>$K$676*$V$676</f>
        <v>0</v>
      </c>
      <c r="AC676" s="6">
        <f>$M$676*$W$676</f>
        <v>1834518.8898</v>
      </c>
      <c r="AD676" s="6">
        <f>$O$676*$X$676</f>
        <v>1963589.7419999999</v>
      </c>
      <c r="AE676" s="6">
        <f>$K$676*$Y$676</f>
        <v>0</v>
      </c>
      <c r="AF676" s="6">
        <f ca="1">$M$676*$Z$676</f>
        <v>2112439.2239999995</v>
      </c>
      <c r="AG676" s="6">
        <f ca="1">$O$676*$AA$676</f>
        <v>1759958.2131999999</v>
      </c>
    </row>
    <row r="677" spans="1:33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25</v>
      </c>
      <c r="I677" s="5">
        <v>44652</v>
      </c>
      <c r="J677" s="6">
        <v>0</v>
      </c>
      <c r="K677" s="6">
        <v>0</v>
      </c>
      <c r="L677" s="6">
        <v>-1.5169999999999999</v>
      </c>
      <c r="M677" s="6">
        <v>-1.5169999999999999</v>
      </c>
      <c r="N677" s="6">
        <v>-1.5169999999999999</v>
      </c>
      <c r="O677" s="6">
        <v>-1.5169999999999999</v>
      </c>
      <c r="P677" s="6">
        <v>0</v>
      </c>
      <c r="Q677" s="4" t="s">
        <v>26</v>
      </c>
      <c r="R677" s="4">
        <v>0</v>
      </c>
      <c r="S677" s="6">
        <v>0</v>
      </c>
      <c r="T677" s="6">
        <v>30</v>
      </c>
      <c r="U677" s="6">
        <v>71</v>
      </c>
      <c r="V677" s="6">
        <f>IF(ISERROR(VLOOKUP($S$677,'TAR FIN'!$A$1:$O$103,15,0)),0,VLOOKUP($S$677,'TAR FIN'!$A$1:$O$103,15,0))</f>
        <v>0</v>
      </c>
      <c r="W677" s="6">
        <f>IF(ISERROR(VLOOKUP($T$677,'TAR FIN'!$A$1:$O$103,15,0)),0,VLOOKUP($T$677,'TAR FIN'!$A$1:$O$103,15,0))</f>
        <v>269.91000000000003</v>
      </c>
      <c r="X677" s="6">
        <f>IF(ISERROR(VLOOKUP($U$677,'TAR FIN'!$A$1:$O$103,15,0)),0,VLOOKUP($U$677,'TAR FIN'!$A$1:$O$103,15,0))</f>
        <v>288.89999999999998</v>
      </c>
      <c r="Y677" s="6"/>
      <c r="Z677" s="6">
        <f ca="1">('TUSD BE'!$AM$30+'TUSD BF_350'!$AM$30+'TUSD CVA'!$AM$30)*1</f>
        <v>310.79999999999995</v>
      </c>
      <c r="AA677" s="6">
        <f ca="1">('TE BE'!$AB$14+'TE BF_350'!$AB$14+'TE CVA'!$AB$14)*1</f>
        <v>258.94</v>
      </c>
      <c r="AB677" s="6">
        <f>$K$677*$V$677</f>
        <v>0</v>
      </c>
      <c r="AC677" s="6">
        <f>$M$677*$W$677</f>
        <v>-409.45347000000004</v>
      </c>
      <c r="AD677" s="6">
        <f>$O$677*$X$677</f>
        <v>-438.26129999999995</v>
      </c>
      <c r="AE677" s="6">
        <f>$K$677*$Y$677</f>
        <v>0</v>
      </c>
      <c r="AF677" s="6">
        <f ca="1">$M$677*$Z$677</f>
        <v>-471.48359999999991</v>
      </c>
      <c r="AG677" s="6">
        <f ca="1">$O$677*$AA$677</f>
        <v>-392.81197999999995</v>
      </c>
    </row>
    <row r="678" spans="1:33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25</v>
      </c>
      <c r="I678" s="5">
        <v>44652</v>
      </c>
      <c r="J678" s="6">
        <v>0</v>
      </c>
      <c r="K678" s="6">
        <v>0</v>
      </c>
      <c r="L678" s="6">
        <v>32.314</v>
      </c>
      <c r="M678" s="6">
        <v>32.314</v>
      </c>
      <c r="N678" s="6">
        <v>32.314</v>
      </c>
      <c r="O678" s="6">
        <v>32.314</v>
      </c>
      <c r="P678" s="6">
        <v>226</v>
      </c>
      <c r="Q678" s="4" t="s">
        <v>26</v>
      </c>
      <c r="R678" s="4">
        <v>0</v>
      </c>
      <c r="S678" s="6">
        <v>0</v>
      </c>
      <c r="T678" s="6">
        <v>30</v>
      </c>
      <c r="U678" s="6">
        <v>71</v>
      </c>
      <c r="V678" s="6">
        <f>IF(ISERROR(VLOOKUP($S$678,'TAR FIN'!$A$1:$O$103,15,0)),0,VLOOKUP($S$678,'TAR FIN'!$A$1:$O$103,15,0))</f>
        <v>0</v>
      </c>
      <c r="W678" s="6">
        <f>IF(ISERROR(VLOOKUP($T$678,'TAR FIN'!$A$1:$O$103,15,0)),0,VLOOKUP($T$678,'TAR FIN'!$A$1:$O$103,15,0))</f>
        <v>269.91000000000003</v>
      </c>
      <c r="X678" s="6">
        <f>IF(ISERROR(VLOOKUP($U$678,'TAR FIN'!$A$1:$O$103,15,0)),0,VLOOKUP($U$678,'TAR FIN'!$A$1:$O$103,15,0))</f>
        <v>288.89999999999998</v>
      </c>
      <c r="Y678" s="6"/>
      <c r="Z678" s="6">
        <f ca="1">('TUSD BE'!$AM$30+'TUSD BF_350'!$AM$30+'TUSD CVA'!$AM$30)*1</f>
        <v>310.79999999999995</v>
      </c>
      <c r="AA678" s="6">
        <f ca="1">('TE BE'!$AB$14+'TE BF_350'!$AB$14+'TE CVA'!$AB$14)*1</f>
        <v>258.94</v>
      </c>
      <c r="AB678" s="6">
        <f>$K$678*$V$678</f>
        <v>0</v>
      </c>
      <c r="AC678" s="6">
        <f>$M$678*$W$678</f>
        <v>8721.8717400000005</v>
      </c>
      <c r="AD678" s="6">
        <f>$O$678*$X$678</f>
        <v>9335.5145999999986</v>
      </c>
      <c r="AE678" s="6">
        <f>$K$678*$Y$678</f>
        <v>0</v>
      </c>
      <c r="AF678" s="6">
        <f ca="1">$M$678*$Z$678</f>
        <v>10043.191199999999</v>
      </c>
      <c r="AG678" s="6">
        <f ca="1">$O$678*$AA$678</f>
        <v>8367.3871600000002</v>
      </c>
    </row>
    <row r="679" spans="1:33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0</v>
      </c>
      <c r="K679" s="6">
        <v>0</v>
      </c>
      <c r="L679" s="6">
        <v>6872.0820000000003</v>
      </c>
      <c r="M679" s="6">
        <v>6872.0820000000003</v>
      </c>
      <c r="N679" s="6">
        <v>6872.0820000000003</v>
      </c>
      <c r="O679" s="6">
        <v>6872.0820000000003</v>
      </c>
      <c r="P679" s="6">
        <v>43891</v>
      </c>
      <c r="Q679" s="4" t="s">
        <v>26</v>
      </c>
      <c r="R679" s="4">
        <v>0</v>
      </c>
      <c r="S679" s="6">
        <v>0</v>
      </c>
      <c r="T679" s="6">
        <v>30</v>
      </c>
      <c r="U679" s="6">
        <v>71</v>
      </c>
      <c r="V679" s="6">
        <f>IF(ISERROR(VLOOKUP($S$679,'TAR FIN'!$A$1:$O$103,15,0)),0,VLOOKUP($S$679,'TAR FIN'!$A$1:$O$103,15,0))</f>
        <v>0</v>
      </c>
      <c r="W679" s="6">
        <f>IF(ISERROR(VLOOKUP($T$679,'TAR FIN'!$A$1:$O$103,15,0)),0,VLOOKUP($T$679,'TAR FIN'!$A$1:$O$103,15,0))</f>
        <v>269.91000000000003</v>
      </c>
      <c r="X679" s="6">
        <f>IF(ISERROR(VLOOKUP($U$679,'TAR FIN'!$A$1:$O$103,15,0)),0,VLOOKUP($U$679,'TAR FIN'!$A$1:$O$103,15,0))</f>
        <v>288.89999999999998</v>
      </c>
      <c r="Y679" s="6"/>
      <c r="Z679" s="6">
        <f ca="1">('TUSD BE'!$AM$30+'TUSD BF_350'!$AM$30+'TUSD CVA'!$AM$30)*1</f>
        <v>310.79999999999995</v>
      </c>
      <c r="AA679" s="6">
        <f ca="1">('TE BE'!$AB$14+'TE BF_350'!$AB$14+'TE CVA'!$AB$14)*1</f>
        <v>258.94</v>
      </c>
      <c r="AB679" s="6">
        <f>$K$679*$V$679</f>
        <v>0</v>
      </c>
      <c r="AC679" s="6">
        <f>$M$679*$W$679</f>
        <v>1854843.6526200003</v>
      </c>
      <c r="AD679" s="6">
        <f>$O$679*$X$679</f>
        <v>1985344.4897999999</v>
      </c>
      <c r="AE679" s="6">
        <f>$K$679*$Y$679</f>
        <v>0</v>
      </c>
      <c r="AF679" s="6">
        <f ca="1">$M$679*$Z$679</f>
        <v>2135843.0855999999</v>
      </c>
      <c r="AG679" s="6">
        <f ca="1">$O$679*$AA$679</f>
        <v>1779456.9130800001</v>
      </c>
    </row>
    <row r="680" spans="1:33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0</v>
      </c>
      <c r="K680" s="6">
        <v>0</v>
      </c>
      <c r="L680" s="6">
        <v>-2.9249999999999998</v>
      </c>
      <c r="M680" s="6">
        <v>-2.9249999999999998</v>
      </c>
      <c r="N680" s="6">
        <v>-2.9249999999999998</v>
      </c>
      <c r="O680" s="6">
        <v>-2.9249999999999998</v>
      </c>
      <c r="P680" s="6">
        <v>0</v>
      </c>
      <c r="Q680" s="4" t="s">
        <v>26</v>
      </c>
      <c r="R680" s="4">
        <v>0</v>
      </c>
      <c r="S680" s="6">
        <v>0</v>
      </c>
      <c r="T680" s="6">
        <v>30</v>
      </c>
      <c r="U680" s="6">
        <v>71</v>
      </c>
      <c r="V680" s="6">
        <f>IF(ISERROR(VLOOKUP($S$680,'TAR FIN'!$A$1:$O$103,15,0)),0,VLOOKUP($S$680,'TAR FIN'!$A$1:$O$103,15,0))</f>
        <v>0</v>
      </c>
      <c r="W680" s="6">
        <f>IF(ISERROR(VLOOKUP($T$680,'TAR FIN'!$A$1:$O$103,15,0)),0,VLOOKUP($T$680,'TAR FIN'!$A$1:$O$103,15,0))</f>
        <v>269.91000000000003</v>
      </c>
      <c r="X680" s="6">
        <f>IF(ISERROR(VLOOKUP($U$680,'TAR FIN'!$A$1:$O$103,15,0)),0,VLOOKUP($U$680,'TAR FIN'!$A$1:$O$103,15,0))</f>
        <v>288.89999999999998</v>
      </c>
      <c r="Y680" s="6"/>
      <c r="Z680" s="6">
        <f ca="1">('TUSD BE'!$AM$30+'TUSD BF_350'!$AM$30+'TUSD CVA'!$AM$30)*1</f>
        <v>310.79999999999995</v>
      </c>
      <c r="AA680" s="6">
        <f ca="1">('TE BE'!$AB$14+'TE BF_350'!$AB$14+'TE CVA'!$AB$14)*1</f>
        <v>258.94</v>
      </c>
      <c r="AB680" s="6">
        <f>$K$680*$V$680</f>
        <v>0</v>
      </c>
      <c r="AC680" s="6">
        <f>$M$680*$W$680</f>
        <v>-789.48675000000003</v>
      </c>
      <c r="AD680" s="6">
        <f>$O$680*$X$680</f>
        <v>-845.03249999999991</v>
      </c>
      <c r="AE680" s="6">
        <f>$K$680*$Y$680</f>
        <v>0</v>
      </c>
      <c r="AF680" s="6">
        <f ca="1">$M$680*$Z$680</f>
        <v>-909.0899999999998</v>
      </c>
      <c r="AG680" s="6">
        <f ca="1">$O$680*$AA$680</f>
        <v>-757.39949999999999</v>
      </c>
    </row>
    <row r="681" spans="1:33" ht="11.25" customHeight="1" x14ac:dyDescent="0.25">
      <c r="A681" s="4" t="s">
        <v>28</v>
      </c>
      <c r="B681" s="4" t="s">
        <v>22</v>
      </c>
      <c r="C681" s="4" t="s">
        <v>23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25</v>
      </c>
      <c r="I681" s="5">
        <v>44682</v>
      </c>
      <c r="J681" s="6">
        <v>0</v>
      </c>
      <c r="K681" s="6">
        <v>0</v>
      </c>
      <c r="L681" s="6">
        <v>42.796999999999997</v>
      </c>
      <c r="M681" s="6">
        <v>42.796999999999997</v>
      </c>
      <c r="N681" s="6">
        <v>42.796999999999997</v>
      </c>
      <c r="O681" s="6">
        <v>42.796999999999997</v>
      </c>
      <c r="P681" s="6">
        <v>266</v>
      </c>
      <c r="Q681" s="4" t="s">
        <v>26</v>
      </c>
      <c r="R681" s="4">
        <v>0</v>
      </c>
      <c r="S681" s="6">
        <v>0</v>
      </c>
      <c r="T681" s="6">
        <v>30</v>
      </c>
      <c r="U681" s="6">
        <v>71</v>
      </c>
      <c r="V681" s="6">
        <f>IF(ISERROR(VLOOKUP($S$681,'TAR FIN'!$A$1:$O$103,15,0)),0,VLOOKUP($S$681,'TAR FIN'!$A$1:$O$103,15,0))</f>
        <v>0</v>
      </c>
      <c r="W681" s="6">
        <f>IF(ISERROR(VLOOKUP($T$681,'TAR FIN'!$A$1:$O$103,15,0)),0,VLOOKUP($T$681,'TAR FIN'!$A$1:$O$103,15,0))</f>
        <v>269.91000000000003</v>
      </c>
      <c r="X681" s="6">
        <f>IF(ISERROR(VLOOKUP($U$681,'TAR FIN'!$A$1:$O$103,15,0)),0,VLOOKUP($U$681,'TAR FIN'!$A$1:$O$103,15,0))</f>
        <v>288.89999999999998</v>
      </c>
      <c r="Y681" s="6"/>
      <c r="Z681" s="6">
        <f ca="1">('TUSD BE'!$AM$30+'TUSD BF_350'!$AM$30+'TUSD CVA'!$AM$30)*1</f>
        <v>310.79999999999995</v>
      </c>
      <c r="AA681" s="6">
        <f ca="1">('TE BE'!$AB$14+'TE BF_350'!$AB$14+'TE CVA'!$AB$14)*1</f>
        <v>258.94</v>
      </c>
      <c r="AB681" s="6">
        <f>$K$681*$V$681</f>
        <v>0</v>
      </c>
      <c r="AC681" s="6">
        <f>$M$681*$W$681</f>
        <v>11551.33827</v>
      </c>
      <c r="AD681" s="6">
        <f>$O$681*$X$681</f>
        <v>12364.053299999998</v>
      </c>
      <c r="AE681" s="6">
        <f>$K$681*$Y$681</f>
        <v>0</v>
      </c>
      <c r="AF681" s="6">
        <f ca="1">$M$681*$Z$681</f>
        <v>13301.307599999996</v>
      </c>
      <c r="AG681" s="6">
        <f ca="1">$O$681*$AA$681</f>
        <v>11081.855179999999</v>
      </c>
    </row>
    <row r="682" spans="1:33" ht="11.25" customHeight="1" x14ac:dyDescent="0.25">
      <c r="A682" s="4" t="s">
        <v>21</v>
      </c>
      <c r="B682" s="4" t="s">
        <v>22</v>
      </c>
      <c r="C682" s="4" t="s">
        <v>23</v>
      </c>
      <c r="D682" s="4" t="s">
        <v>24</v>
      </c>
      <c r="E682" s="4" t="s">
        <v>29</v>
      </c>
      <c r="F682" s="4" t="s">
        <v>25</v>
      </c>
      <c r="G682" s="4" t="s">
        <v>25</v>
      </c>
      <c r="H682" s="4" t="s">
        <v>25</v>
      </c>
      <c r="I682" s="5">
        <v>44348</v>
      </c>
      <c r="J682" s="6">
        <v>0</v>
      </c>
      <c r="K682" s="6">
        <v>0</v>
      </c>
      <c r="L682" s="6">
        <v>139.75299999999999</v>
      </c>
      <c r="M682" s="6">
        <v>139.75299999999999</v>
      </c>
      <c r="N682" s="6">
        <v>139.75299999999999</v>
      </c>
      <c r="O682" s="6">
        <v>139.75299999999999</v>
      </c>
      <c r="P682" s="6">
        <v>227</v>
      </c>
      <c r="Q682" s="4" t="s">
        <v>26</v>
      </c>
      <c r="R682" s="4">
        <v>0</v>
      </c>
      <c r="S682" s="6">
        <v>0</v>
      </c>
      <c r="T682" s="6">
        <v>31</v>
      </c>
      <c r="U682" s="6">
        <v>72</v>
      </c>
      <c r="V682" s="6">
        <f>IF(ISERROR(VLOOKUP($S$682,'TAR FIN'!$A$1:$O$103,15,0)),0,VLOOKUP($S$682,'TAR FIN'!$A$1:$O$103,15,0))</f>
        <v>0</v>
      </c>
      <c r="W682" s="6">
        <f>IF(ISERROR(VLOOKUP($T$682,'TAR FIN'!$A$1:$O$103,15,0)),0,VLOOKUP($T$682,'TAR FIN'!$A$1:$O$103,15,0))</f>
        <v>68.53</v>
      </c>
      <c r="X682" s="6">
        <f>IF(ISERROR(VLOOKUP($U$682,'TAR FIN'!$A$1:$O$103,15,0)),0,VLOOKUP($U$682,'TAR FIN'!$A$1:$O$103,15,0))</f>
        <v>101.12</v>
      </c>
      <c r="Y682" s="6"/>
      <c r="Z682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2" s="6">
        <f ca="1">('TE BE'!$AB$15+'TE BF_350'!$AB$15+'TE CVA'!$AB$15)*(1-CUSTOS!$M$34)</f>
        <v>90.628999999999991</v>
      </c>
      <c r="AB682" s="6">
        <f>$K$682*$V$682</f>
        <v>0</v>
      </c>
      <c r="AC682" s="6">
        <f>$M$682*$W$682</f>
        <v>9577.2730899999988</v>
      </c>
      <c r="AD682" s="6">
        <f>$O$682*$X$682</f>
        <v>14131.823359999999</v>
      </c>
      <c r="AE682" s="6">
        <f>$K$682*$Y$682</f>
        <v>0</v>
      </c>
      <c r="AF682" s="6">
        <f ca="1">$M$682*$Z$682</f>
        <v>9813.5255364999975</v>
      </c>
      <c r="AG682" s="6">
        <f ca="1">$O$682*$AA$682</f>
        <v>12665.674636999998</v>
      </c>
    </row>
    <row r="683" spans="1:33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29</v>
      </c>
      <c r="F683" s="4" t="s">
        <v>25</v>
      </c>
      <c r="G683" s="4" t="s">
        <v>25</v>
      </c>
      <c r="H683" s="4" t="s">
        <v>25</v>
      </c>
      <c r="I683" s="5">
        <v>44378</v>
      </c>
      <c r="J683" s="6">
        <v>0</v>
      </c>
      <c r="K683" s="6">
        <v>0</v>
      </c>
      <c r="L683" s="6">
        <v>141.46</v>
      </c>
      <c r="M683" s="6">
        <v>141.46</v>
      </c>
      <c r="N683" s="6">
        <v>141.46</v>
      </c>
      <c r="O683" s="6">
        <v>141.46</v>
      </c>
      <c r="P683" s="6">
        <v>254</v>
      </c>
      <c r="Q683" s="4" t="s">
        <v>26</v>
      </c>
      <c r="R683" s="4">
        <v>0</v>
      </c>
      <c r="S683" s="6">
        <v>0</v>
      </c>
      <c r="T683" s="6">
        <v>31</v>
      </c>
      <c r="U683" s="6">
        <v>72</v>
      </c>
      <c r="V683" s="6">
        <f>IF(ISERROR(VLOOKUP($S$683,'TAR FIN'!$A$1:$O$103,15,0)),0,VLOOKUP($S$683,'TAR FIN'!$A$1:$O$103,15,0))</f>
        <v>0</v>
      </c>
      <c r="W683" s="6">
        <f>IF(ISERROR(VLOOKUP($T$683,'TAR FIN'!$A$1:$O$103,15,0)),0,VLOOKUP($T$683,'TAR FIN'!$A$1:$O$103,15,0))</f>
        <v>68.53</v>
      </c>
      <c r="X683" s="6">
        <f>IF(ISERROR(VLOOKUP($U$683,'TAR FIN'!$A$1:$O$103,15,0)),0,VLOOKUP($U$683,'TAR FIN'!$A$1:$O$103,15,0))</f>
        <v>101.12</v>
      </c>
      <c r="Y683" s="6"/>
      <c r="Z683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3" s="6">
        <f ca="1">('TE BE'!$AB$15+'TE BF_350'!$AB$15+'TE CVA'!$AB$15)*(1-CUSTOS!$M$34)</f>
        <v>90.628999999999991</v>
      </c>
      <c r="AB683" s="6">
        <f>$K$683*$V$683</f>
        <v>0</v>
      </c>
      <c r="AC683" s="6">
        <f>$M$683*$W$683</f>
        <v>9694.2538000000004</v>
      </c>
      <c r="AD683" s="6">
        <f>$O$683*$X$683</f>
        <v>14304.435200000002</v>
      </c>
      <c r="AE683" s="6">
        <f>$K$683*$Y$683</f>
        <v>0</v>
      </c>
      <c r="AF683" s="6">
        <f ca="1">$M$683*$Z$683</f>
        <v>9933.391929999998</v>
      </c>
      <c r="AG683" s="6">
        <f ca="1">$O$683*$AA$683</f>
        <v>12820.378339999999</v>
      </c>
    </row>
    <row r="684" spans="1:33" ht="11.25" customHeight="1" x14ac:dyDescent="0.25">
      <c r="A684" s="4" t="s">
        <v>21</v>
      </c>
      <c r="B684" s="4" t="s">
        <v>22</v>
      </c>
      <c r="C684" s="4" t="s">
        <v>23</v>
      </c>
      <c r="D684" s="4" t="s">
        <v>24</v>
      </c>
      <c r="E684" s="4" t="s">
        <v>29</v>
      </c>
      <c r="F684" s="4" t="s">
        <v>25</v>
      </c>
      <c r="G684" s="4" t="s">
        <v>25</v>
      </c>
      <c r="H684" s="4" t="s">
        <v>25</v>
      </c>
      <c r="I684" s="5">
        <v>44409</v>
      </c>
      <c r="J684" s="6">
        <v>0</v>
      </c>
      <c r="K684" s="6">
        <v>0</v>
      </c>
      <c r="L684" s="6">
        <v>143.18799999999999</v>
      </c>
      <c r="M684" s="6">
        <v>143.18799999999999</v>
      </c>
      <c r="N684" s="6">
        <v>143.18799999999999</v>
      </c>
      <c r="O684" s="6">
        <v>143.18799999999999</v>
      </c>
      <c r="P684" s="6">
        <v>251</v>
      </c>
      <c r="Q684" s="4" t="s">
        <v>26</v>
      </c>
      <c r="R684" s="4">
        <v>0</v>
      </c>
      <c r="S684" s="6">
        <v>0</v>
      </c>
      <c r="T684" s="6">
        <v>31</v>
      </c>
      <c r="U684" s="6">
        <v>72</v>
      </c>
      <c r="V684" s="6">
        <f>IF(ISERROR(VLOOKUP($S$684,'TAR FIN'!$A$1:$O$103,15,0)),0,VLOOKUP($S$684,'TAR FIN'!$A$1:$O$103,15,0))</f>
        <v>0</v>
      </c>
      <c r="W684" s="6">
        <f>IF(ISERROR(VLOOKUP($T$684,'TAR FIN'!$A$1:$O$103,15,0)),0,VLOOKUP($T$684,'TAR FIN'!$A$1:$O$103,15,0))</f>
        <v>68.53</v>
      </c>
      <c r="X684" s="6">
        <f>IF(ISERROR(VLOOKUP($U$684,'TAR FIN'!$A$1:$O$103,15,0)),0,VLOOKUP($U$684,'TAR FIN'!$A$1:$O$103,15,0))</f>
        <v>101.12</v>
      </c>
      <c r="Y684" s="6"/>
      <c r="Z684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4" s="6">
        <f ca="1">('TE BE'!$AB$15+'TE BF_350'!$AB$15+'TE CVA'!$AB$15)*(1-CUSTOS!$M$34)</f>
        <v>90.628999999999991</v>
      </c>
      <c r="AB684" s="6">
        <f>$K$684*$V$684</f>
        <v>0</v>
      </c>
      <c r="AC684" s="6">
        <f>$M$684*$W$684</f>
        <v>9812.6736399999991</v>
      </c>
      <c r="AD684" s="6">
        <f>$O$684*$X$684</f>
        <v>14479.170559999999</v>
      </c>
      <c r="AE684" s="6">
        <f>$K$684*$Y$684</f>
        <v>0</v>
      </c>
      <c r="AF684" s="6">
        <f ca="1">$M$684*$Z$684</f>
        <v>10054.732953999997</v>
      </c>
      <c r="AG684" s="6">
        <f ca="1">$O$684*$AA$684</f>
        <v>12976.985251999997</v>
      </c>
    </row>
    <row r="685" spans="1:33" ht="11.25" customHeight="1" x14ac:dyDescent="0.25">
      <c r="A685" s="4" t="s">
        <v>21</v>
      </c>
      <c r="B685" s="4" t="s">
        <v>22</v>
      </c>
      <c r="C685" s="4" t="s">
        <v>23</v>
      </c>
      <c r="D685" s="4" t="s">
        <v>24</v>
      </c>
      <c r="E685" s="4" t="s">
        <v>29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6">
        <v>0</v>
      </c>
      <c r="L685" s="6">
        <v>144.38200000000001</v>
      </c>
      <c r="M685" s="6">
        <v>144.38200000000001</v>
      </c>
      <c r="N685" s="6">
        <v>144.38200000000001</v>
      </c>
      <c r="O685" s="6">
        <v>144.38200000000001</v>
      </c>
      <c r="P685" s="6">
        <v>217</v>
      </c>
      <c r="Q685" s="4" t="s">
        <v>26</v>
      </c>
      <c r="R685" s="4">
        <v>0</v>
      </c>
      <c r="S685" s="6">
        <v>0</v>
      </c>
      <c r="T685" s="6">
        <v>31</v>
      </c>
      <c r="U685" s="6">
        <v>72</v>
      </c>
      <c r="V685" s="6">
        <f>IF(ISERROR(VLOOKUP($S$685,'TAR FIN'!$A$1:$O$103,15,0)),0,VLOOKUP($S$685,'TAR FIN'!$A$1:$O$103,15,0))</f>
        <v>0</v>
      </c>
      <c r="W685" s="6">
        <f>IF(ISERROR(VLOOKUP($T$685,'TAR FIN'!$A$1:$O$103,15,0)),0,VLOOKUP($T$685,'TAR FIN'!$A$1:$O$103,15,0))</f>
        <v>68.53</v>
      </c>
      <c r="X685" s="6">
        <f>IF(ISERROR(VLOOKUP($U$685,'TAR FIN'!$A$1:$O$103,15,0)),0,VLOOKUP($U$685,'TAR FIN'!$A$1:$O$103,15,0))</f>
        <v>101.12</v>
      </c>
      <c r="Y685" s="6"/>
      <c r="Z685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5" s="6">
        <f ca="1">('TE BE'!$AB$15+'TE BF_350'!$AB$15+'TE CVA'!$AB$15)*(1-CUSTOS!$M$34)</f>
        <v>90.628999999999991</v>
      </c>
      <c r="AB685" s="6">
        <f>$K$685*$V$685</f>
        <v>0</v>
      </c>
      <c r="AC685" s="6">
        <f>$M$685*$W$685</f>
        <v>9894.4984600000007</v>
      </c>
      <c r="AD685" s="6">
        <f>$O$685*$X$685</f>
        <v>14599.907840000002</v>
      </c>
      <c r="AE685" s="6">
        <f>$K$685*$Y$685</f>
        <v>0</v>
      </c>
      <c r="AF685" s="6">
        <f ca="1">$M$685*$Z$685</f>
        <v>10138.576230999999</v>
      </c>
      <c r="AG685" s="6">
        <f ca="1">$O$685*$AA$685</f>
        <v>13085.196277999999</v>
      </c>
    </row>
    <row r="686" spans="1:33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29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6">
        <v>0</v>
      </c>
      <c r="L686" s="6">
        <v>143.66900000000001</v>
      </c>
      <c r="M686" s="6">
        <v>143.66900000000001</v>
      </c>
      <c r="N686" s="6">
        <v>143.66900000000001</v>
      </c>
      <c r="O686" s="6">
        <v>143.66900000000001</v>
      </c>
      <c r="P686" s="6">
        <v>214</v>
      </c>
      <c r="Q686" s="4" t="s">
        <v>26</v>
      </c>
      <c r="R686" s="4">
        <v>0</v>
      </c>
      <c r="S686" s="6">
        <v>0</v>
      </c>
      <c r="T686" s="6">
        <v>31</v>
      </c>
      <c r="U686" s="6">
        <v>72</v>
      </c>
      <c r="V686" s="6">
        <f>IF(ISERROR(VLOOKUP($S$686,'TAR FIN'!$A$1:$O$103,15,0)),0,VLOOKUP($S$686,'TAR FIN'!$A$1:$O$103,15,0))</f>
        <v>0</v>
      </c>
      <c r="W686" s="6">
        <f>IF(ISERROR(VLOOKUP($T$686,'TAR FIN'!$A$1:$O$103,15,0)),0,VLOOKUP($T$686,'TAR FIN'!$A$1:$O$103,15,0))</f>
        <v>68.53</v>
      </c>
      <c r="X686" s="6">
        <f>IF(ISERROR(VLOOKUP($U$686,'TAR FIN'!$A$1:$O$103,15,0)),0,VLOOKUP($U$686,'TAR FIN'!$A$1:$O$103,15,0))</f>
        <v>101.12</v>
      </c>
      <c r="Y686" s="6"/>
      <c r="Z686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6" s="6">
        <f ca="1">('TE BE'!$AB$15+'TE BF_350'!$AB$15+'TE CVA'!$AB$15)*(1-CUSTOS!$M$34)</f>
        <v>90.628999999999991</v>
      </c>
      <c r="AB686" s="6">
        <f>$K$686*$V$686</f>
        <v>0</v>
      </c>
      <c r="AC686" s="6">
        <f>$M$686*$W$686</f>
        <v>9845.6365700000006</v>
      </c>
      <c r="AD686" s="6">
        <f>$O$686*$X$686</f>
        <v>14527.809280000001</v>
      </c>
      <c r="AE686" s="6">
        <f>$K$686*$Y$686</f>
        <v>0</v>
      </c>
      <c r="AF686" s="6">
        <f ca="1">$M$686*$Z$686</f>
        <v>10088.509014499999</v>
      </c>
      <c r="AG686" s="6">
        <f ca="1">$O$686*$AA$686</f>
        <v>13020.577800999999</v>
      </c>
    </row>
    <row r="687" spans="1:33" ht="11.25" customHeight="1" x14ac:dyDescent="0.25">
      <c r="A687" s="4" t="s">
        <v>21</v>
      </c>
      <c r="B687" s="4" t="s">
        <v>22</v>
      </c>
      <c r="C687" s="4" t="s">
        <v>23</v>
      </c>
      <c r="D687" s="4" t="s">
        <v>24</v>
      </c>
      <c r="E687" s="4" t="s">
        <v>29</v>
      </c>
      <c r="F687" s="4" t="s">
        <v>25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140.34</v>
      </c>
      <c r="M687" s="6">
        <v>140.34</v>
      </c>
      <c r="N687" s="6">
        <v>140.34</v>
      </c>
      <c r="O687" s="6">
        <v>140.34</v>
      </c>
      <c r="P687" s="6">
        <v>217</v>
      </c>
      <c r="Q687" s="4" t="s">
        <v>26</v>
      </c>
      <c r="R687" s="4">
        <v>0</v>
      </c>
      <c r="S687" s="6">
        <v>0</v>
      </c>
      <c r="T687" s="6">
        <v>31</v>
      </c>
      <c r="U687" s="6">
        <v>72</v>
      </c>
      <c r="V687" s="6">
        <f>IF(ISERROR(VLOOKUP($S$687,'TAR FIN'!$A$1:$O$103,15,0)),0,VLOOKUP($S$687,'TAR FIN'!$A$1:$O$103,15,0))</f>
        <v>0</v>
      </c>
      <c r="W687" s="6">
        <f>IF(ISERROR(VLOOKUP($T$687,'TAR FIN'!$A$1:$O$103,15,0)),0,VLOOKUP($T$687,'TAR FIN'!$A$1:$O$103,15,0))</f>
        <v>68.53</v>
      </c>
      <c r="X687" s="6">
        <f>IF(ISERROR(VLOOKUP($U$687,'TAR FIN'!$A$1:$O$103,15,0)),0,VLOOKUP($U$687,'TAR FIN'!$A$1:$O$103,15,0))</f>
        <v>101.12</v>
      </c>
      <c r="Y687" s="6"/>
      <c r="Z687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7" s="6">
        <f ca="1">('TE BE'!$AB$15+'TE BF_350'!$AB$15+'TE CVA'!$AB$15)*(1-CUSTOS!$M$34)</f>
        <v>90.628999999999991</v>
      </c>
      <c r="AB687" s="6">
        <f>$K$687*$V$687</f>
        <v>0</v>
      </c>
      <c r="AC687" s="6">
        <f>$M$687*$W$687</f>
        <v>9617.5002000000004</v>
      </c>
      <c r="AD687" s="6">
        <f>$O$687*$X$687</f>
        <v>14191.1808</v>
      </c>
      <c r="AE687" s="6">
        <f>$K$687*$Y$687</f>
        <v>0</v>
      </c>
      <c r="AF687" s="6">
        <f ca="1">$M$687*$Z$687</f>
        <v>9854.7449699999979</v>
      </c>
      <c r="AG687" s="6">
        <f ca="1">$O$687*$AA$687</f>
        <v>12718.87386</v>
      </c>
    </row>
    <row r="688" spans="1:33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29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136.69900000000001</v>
      </c>
      <c r="M688" s="6">
        <v>136.69900000000001</v>
      </c>
      <c r="N688" s="6">
        <v>136.69900000000001</v>
      </c>
      <c r="O688" s="6">
        <v>136.69900000000001</v>
      </c>
      <c r="P688" s="6">
        <v>178</v>
      </c>
      <c r="Q688" s="4" t="s">
        <v>26</v>
      </c>
      <c r="R688" s="4">
        <v>0</v>
      </c>
      <c r="S688" s="6">
        <v>0</v>
      </c>
      <c r="T688" s="6">
        <v>31</v>
      </c>
      <c r="U688" s="6">
        <v>72</v>
      </c>
      <c r="V688" s="6">
        <f>IF(ISERROR(VLOOKUP($S$688,'TAR FIN'!$A$1:$O$103,15,0)),0,VLOOKUP($S$688,'TAR FIN'!$A$1:$O$103,15,0))</f>
        <v>0</v>
      </c>
      <c r="W688" s="6">
        <f>IF(ISERROR(VLOOKUP($T$688,'TAR FIN'!$A$1:$O$103,15,0)),0,VLOOKUP($T$688,'TAR FIN'!$A$1:$O$103,15,0))</f>
        <v>68.53</v>
      </c>
      <c r="X688" s="6">
        <f>IF(ISERROR(VLOOKUP($U$688,'TAR FIN'!$A$1:$O$103,15,0)),0,VLOOKUP($U$688,'TAR FIN'!$A$1:$O$103,15,0))</f>
        <v>101.12</v>
      </c>
      <c r="Y688" s="6"/>
      <c r="Z688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8" s="6">
        <f ca="1">('TE BE'!$AB$15+'TE BF_350'!$AB$15+'TE CVA'!$AB$15)*(1-CUSTOS!$M$34)</f>
        <v>90.628999999999991</v>
      </c>
      <c r="AB688" s="6">
        <f>$K$688*$V$688</f>
        <v>0</v>
      </c>
      <c r="AC688" s="6">
        <f>$M$688*$W$688</f>
        <v>9367.9824700000008</v>
      </c>
      <c r="AD688" s="6">
        <f>$O$688*$X$688</f>
        <v>13823.002880000002</v>
      </c>
      <c r="AE688" s="6">
        <f>$K$688*$Y$688</f>
        <v>0</v>
      </c>
      <c r="AF688" s="6">
        <f ca="1">$M$688*$Z$688</f>
        <v>9599.0721294999985</v>
      </c>
      <c r="AG688" s="6">
        <f ca="1">$O$688*$AA$688</f>
        <v>12388.893671</v>
      </c>
    </row>
    <row r="689" spans="1:33" ht="11.25" customHeight="1" x14ac:dyDescent="0.25">
      <c r="A689" s="4" t="s">
        <v>21</v>
      </c>
      <c r="B689" s="4" t="s">
        <v>22</v>
      </c>
      <c r="C689" s="4" t="s">
        <v>23</v>
      </c>
      <c r="D689" s="4" t="s">
        <v>24</v>
      </c>
      <c r="E689" s="4" t="s">
        <v>29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137.904</v>
      </c>
      <c r="M689" s="6">
        <v>137.904</v>
      </c>
      <c r="N689" s="6">
        <v>137.904</v>
      </c>
      <c r="O689" s="6">
        <v>137.904</v>
      </c>
      <c r="P689" s="6">
        <v>181</v>
      </c>
      <c r="Q689" s="4" t="s">
        <v>26</v>
      </c>
      <c r="R689" s="4">
        <v>0</v>
      </c>
      <c r="S689" s="6">
        <v>0</v>
      </c>
      <c r="T689" s="6">
        <v>31</v>
      </c>
      <c r="U689" s="6">
        <v>72</v>
      </c>
      <c r="V689" s="6">
        <f>IF(ISERROR(VLOOKUP($S$689,'TAR FIN'!$A$1:$O$103,15,0)),0,VLOOKUP($S$689,'TAR FIN'!$A$1:$O$103,15,0))</f>
        <v>0</v>
      </c>
      <c r="W689" s="6">
        <f>IF(ISERROR(VLOOKUP($T$689,'TAR FIN'!$A$1:$O$103,15,0)),0,VLOOKUP($T$689,'TAR FIN'!$A$1:$O$103,15,0))</f>
        <v>68.53</v>
      </c>
      <c r="X689" s="6">
        <f>IF(ISERROR(VLOOKUP($U$689,'TAR FIN'!$A$1:$O$103,15,0)),0,VLOOKUP($U$689,'TAR FIN'!$A$1:$O$103,15,0))</f>
        <v>101.12</v>
      </c>
      <c r="Y689" s="6"/>
      <c r="Z689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89" s="6">
        <f ca="1">('TE BE'!$AB$15+'TE BF_350'!$AB$15+'TE CVA'!$AB$15)*(1-CUSTOS!$M$34)</f>
        <v>90.628999999999991</v>
      </c>
      <c r="AB689" s="6">
        <f>$K$689*$V$689</f>
        <v>0</v>
      </c>
      <c r="AC689" s="6">
        <f>$M$689*$W$689</f>
        <v>9450.5611200000003</v>
      </c>
      <c r="AD689" s="6">
        <f>$O$689*$X$689</f>
        <v>13944.85248</v>
      </c>
      <c r="AE689" s="6">
        <f>$K$689*$Y$689</f>
        <v>0</v>
      </c>
      <c r="AF689" s="6">
        <f ca="1">$M$689*$Z$689</f>
        <v>9683.6878319999978</v>
      </c>
      <c r="AG689" s="6">
        <f ca="1">$O$689*$AA$689</f>
        <v>12498.101615999998</v>
      </c>
    </row>
    <row r="690" spans="1:33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29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142.95599999999999</v>
      </c>
      <c r="M690" s="6">
        <v>142.95599999999999</v>
      </c>
      <c r="N690" s="6">
        <v>142.95599999999999</v>
      </c>
      <c r="O690" s="6">
        <v>142.95599999999999</v>
      </c>
      <c r="P690" s="6">
        <v>186</v>
      </c>
      <c r="Q690" s="4" t="s">
        <v>26</v>
      </c>
      <c r="R690" s="4">
        <v>0</v>
      </c>
      <c r="S690" s="6">
        <v>0</v>
      </c>
      <c r="T690" s="6">
        <v>31</v>
      </c>
      <c r="U690" s="6">
        <v>72</v>
      </c>
      <c r="V690" s="6">
        <f>IF(ISERROR(VLOOKUP($S$690,'TAR FIN'!$A$1:$O$103,15,0)),0,VLOOKUP($S$690,'TAR FIN'!$A$1:$O$103,15,0))</f>
        <v>0</v>
      </c>
      <c r="W690" s="6">
        <f>IF(ISERROR(VLOOKUP($T$690,'TAR FIN'!$A$1:$O$103,15,0)),0,VLOOKUP($T$690,'TAR FIN'!$A$1:$O$103,15,0))</f>
        <v>68.53</v>
      </c>
      <c r="X690" s="6">
        <f>IF(ISERROR(VLOOKUP($U$690,'TAR FIN'!$A$1:$O$103,15,0)),0,VLOOKUP($U$690,'TAR FIN'!$A$1:$O$103,15,0))</f>
        <v>101.12</v>
      </c>
      <c r="Y690" s="6"/>
      <c r="Z690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90" s="6">
        <f ca="1">('TE BE'!$AB$15+'TE BF_350'!$AB$15+'TE CVA'!$AB$15)*(1-CUSTOS!$M$34)</f>
        <v>90.628999999999991</v>
      </c>
      <c r="AB690" s="6">
        <f>$K$690*$V$690</f>
        <v>0</v>
      </c>
      <c r="AC690" s="6">
        <f>$M$690*$W$690</f>
        <v>9796.7746799999986</v>
      </c>
      <c r="AD690" s="6">
        <f>$O$690*$X$690</f>
        <v>14455.710719999999</v>
      </c>
      <c r="AE690" s="6">
        <f>$K$690*$Y$690</f>
        <v>0</v>
      </c>
      <c r="AF690" s="6">
        <f ca="1">$M$690*$Z$690</f>
        <v>10038.441797999998</v>
      </c>
      <c r="AG690" s="6">
        <f ca="1">$O$690*$AA$690</f>
        <v>12955.959323999998</v>
      </c>
    </row>
    <row r="691" spans="1:33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29</v>
      </c>
      <c r="F691" s="4" t="s">
        <v>25</v>
      </c>
      <c r="G691" s="4" t="s">
        <v>25</v>
      </c>
      <c r="H691" s="4" t="s">
        <v>25</v>
      </c>
      <c r="I691" s="5">
        <v>44621</v>
      </c>
      <c r="J691" s="6">
        <v>0</v>
      </c>
      <c r="K691" s="6">
        <v>0</v>
      </c>
      <c r="L691" s="6">
        <v>153.839</v>
      </c>
      <c r="M691" s="6">
        <v>153.839</v>
      </c>
      <c r="N691" s="6">
        <v>153.839</v>
      </c>
      <c r="O691" s="6">
        <v>153.839</v>
      </c>
      <c r="P691" s="6">
        <v>200</v>
      </c>
      <c r="Q691" s="4" t="s">
        <v>26</v>
      </c>
      <c r="R691" s="4">
        <v>0</v>
      </c>
      <c r="S691" s="6">
        <v>0</v>
      </c>
      <c r="T691" s="6">
        <v>31</v>
      </c>
      <c r="U691" s="6">
        <v>72</v>
      </c>
      <c r="V691" s="6">
        <f>IF(ISERROR(VLOOKUP($S$691,'TAR FIN'!$A$1:$O$103,15,0)),0,VLOOKUP($S$691,'TAR FIN'!$A$1:$O$103,15,0))</f>
        <v>0</v>
      </c>
      <c r="W691" s="6">
        <f>IF(ISERROR(VLOOKUP($T$691,'TAR FIN'!$A$1:$O$103,15,0)),0,VLOOKUP($T$691,'TAR FIN'!$A$1:$O$103,15,0))</f>
        <v>68.53</v>
      </c>
      <c r="X691" s="6">
        <f>IF(ISERROR(VLOOKUP($U$691,'TAR FIN'!$A$1:$O$103,15,0)),0,VLOOKUP($U$691,'TAR FIN'!$A$1:$O$103,15,0))</f>
        <v>101.12</v>
      </c>
      <c r="Y691" s="6"/>
      <c r="Z691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91" s="6">
        <f ca="1">('TE BE'!$AB$15+'TE BF_350'!$AB$15+'TE CVA'!$AB$15)*(1-CUSTOS!$M$34)</f>
        <v>90.628999999999991</v>
      </c>
      <c r="AB691" s="6">
        <f>$K$691*$V$691</f>
        <v>0</v>
      </c>
      <c r="AC691" s="6">
        <f>$M$691*$W$691</f>
        <v>10542.586670000001</v>
      </c>
      <c r="AD691" s="6">
        <f>$O$691*$X$691</f>
        <v>15556.19968</v>
      </c>
      <c r="AE691" s="6">
        <f>$K$691*$Y$691</f>
        <v>0</v>
      </c>
      <c r="AF691" s="6">
        <f ca="1">$M$691*$Z$691</f>
        <v>10802.651499499998</v>
      </c>
      <c r="AG691" s="6">
        <f ca="1">$O$691*$AA$691</f>
        <v>13942.274730999998</v>
      </c>
    </row>
    <row r="692" spans="1:33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29</v>
      </c>
      <c r="F692" s="4" t="s">
        <v>25</v>
      </c>
      <c r="G692" s="4" t="s">
        <v>25</v>
      </c>
      <c r="H692" s="4" t="s">
        <v>25</v>
      </c>
      <c r="I692" s="5">
        <v>44652</v>
      </c>
      <c r="J692" s="6">
        <v>0</v>
      </c>
      <c r="K692" s="6">
        <v>0</v>
      </c>
      <c r="L692" s="6">
        <v>154.833</v>
      </c>
      <c r="M692" s="6">
        <v>154.833</v>
      </c>
      <c r="N692" s="6">
        <v>154.833</v>
      </c>
      <c r="O692" s="6">
        <v>154.833</v>
      </c>
      <c r="P692" s="6">
        <v>226</v>
      </c>
      <c r="Q692" s="4" t="s">
        <v>26</v>
      </c>
      <c r="R692" s="4">
        <v>0</v>
      </c>
      <c r="S692" s="6">
        <v>0</v>
      </c>
      <c r="T692" s="6">
        <v>31</v>
      </c>
      <c r="U692" s="6">
        <v>72</v>
      </c>
      <c r="V692" s="6">
        <f>IF(ISERROR(VLOOKUP($S$692,'TAR FIN'!$A$1:$O$103,15,0)),0,VLOOKUP($S$692,'TAR FIN'!$A$1:$O$103,15,0))</f>
        <v>0</v>
      </c>
      <c r="W692" s="6">
        <f>IF(ISERROR(VLOOKUP($T$692,'TAR FIN'!$A$1:$O$103,15,0)),0,VLOOKUP($T$692,'TAR FIN'!$A$1:$O$103,15,0))</f>
        <v>68.53</v>
      </c>
      <c r="X692" s="6">
        <f>IF(ISERROR(VLOOKUP($U$692,'TAR FIN'!$A$1:$O$103,15,0)),0,VLOOKUP($U$692,'TAR FIN'!$A$1:$O$103,15,0))</f>
        <v>101.12</v>
      </c>
      <c r="Y692" s="6"/>
      <c r="Z692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92" s="6">
        <f ca="1">('TE BE'!$AB$15+'TE BF_350'!$AB$15+'TE CVA'!$AB$15)*(1-CUSTOS!$M$34)</f>
        <v>90.628999999999991</v>
      </c>
      <c r="AB692" s="6">
        <f>$K$692*$V$692</f>
        <v>0</v>
      </c>
      <c r="AC692" s="6">
        <f>$M$692*$W$692</f>
        <v>10610.70549</v>
      </c>
      <c r="AD692" s="6">
        <f>$O$692*$X$692</f>
        <v>15656.712960000001</v>
      </c>
      <c r="AE692" s="6">
        <f>$K$692*$Y$692</f>
        <v>0</v>
      </c>
      <c r="AF692" s="6">
        <f ca="1">$M$692*$Z$692</f>
        <v>10872.450676499999</v>
      </c>
      <c r="AG692" s="6">
        <f ca="1">$O$692*$AA$692</f>
        <v>14032.359956999999</v>
      </c>
    </row>
    <row r="693" spans="1:33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29</v>
      </c>
      <c r="F693" s="4" t="s">
        <v>25</v>
      </c>
      <c r="G693" s="4" t="s">
        <v>25</v>
      </c>
      <c r="H693" s="4" t="s">
        <v>25</v>
      </c>
      <c r="I693" s="5">
        <v>44682</v>
      </c>
      <c r="J693" s="6">
        <v>0</v>
      </c>
      <c r="K693" s="6">
        <v>0</v>
      </c>
      <c r="L693" s="6">
        <v>156.267</v>
      </c>
      <c r="M693" s="6">
        <v>156.267</v>
      </c>
      <c r="N693" s="6">
        <v>156.267</v>
      </c>
      <c r="O693" s="6">
        <v>156.267</v>
      </c>
      <c r="P693" s="6">
        <v>247</v>
      </c>
      <c r="Q693" s="4" t="s">
        <v>26</v>
      </c>
      <c r="R693" s="4">
        <v>0</v>
      </c>
      <c r="S693" s="6">
        <v>0</v>
      </c>
      <c r="T693" s="6">
        <v>31</v>
      </c>
      <c r="U693" s="6">
        <v>72</v>
      </c>
      <c r="V693" s="6">
        <f>IF(ISERROR(VLOOKUP($S$693,'TAR FIN'!$A$1:$O$103,15,0)),0,VLOOKUP($S$693,'TAR FIN'!$A$1:$O$103,15,0))</f>
        <v>0</v>
      </c>
      <c r="W693" s="6">
        <f>IF(ISERROR(VLOOKUP($T$693,'TAR FIN'!$A$1:$O$103,15,0)),0,VLOOKUP($T$693,'TAR FIN'!$A$1:$O$103,15,0))</f>
        <v>68.53</v>
      </c>
      <c r="X693" s="6">
        <f>IF(ISERROR(VLOOKUP($U$693,'TAR FIN'!$A$1:$O$103,15,0)),0,VLOOKUP($U$693,'TAR FIN'!$A$1:$O$103,15,0))</f>
        <v>101.12</v>
      </c>
      <c r="Y693" s="6"/>
      <c r="Z693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93" s="6">
        <f ca="1">('TE BE'!$AB$15+'TE BF_350'!$AB$15+'TE CVA'!$AB$15)*(1-CUSTOS!$M$34)</f>
        <v>90.628999999999991</v>
      </c>
      <c r="AB693" s="6">
        <f>$K$693*$V$693</f>
        <v>0</v>
      </c>
      <c r="AC693" s="6">
        <f>$M$693*$W$693</f>
        <v>10708.977510000001</v>
      </c>
      <c r="AD693" s="6">
        <f>$O$693*$X$693</f>
        <v>15801.71904</v>
      </c>
      <c r="AE693" s="6">
        <f>$K$693*$Y$693</f>
        <v>0</v>
      </c>
      <c r="AF693" s="6">
        <f ca="1">$M$693*$Z$693</f>
        <v>10973.146873499998</v>
      </c>
      <c r="AG693" s="6">
        <f ca="1">$O$693*$AA$693</f>
        <v>14162.321942999999</v>
      </c>
    </row>
    <row r="694" spans="1:33" ht="11.25" customHeight="1" x14ac:dyDescent="0.25">
      <c r="A694" s="4" t="s">
        <v>27</v>
      </c>
      <c r="B694" s="4" t="s">
        <v>22</v>
      </c>
      <c r="C694" s="4" t="s">
        <v>23</v>
      </c>
      <c r="D694" s="4" t="s">
        <v>24</v>
      </c>
      <c r="E694" s="4" t="s">
        <v>29</v>
      </c>
      <c r="F694" s="4" t="s">
        <v>25</v>
      </c>
      <c r="G694" s="4" t="s">
        <v>25</v>
      </c>
      <c r="H694" s="4" t="s">
        <v>25</v>
      </c>
      <c r="I694" s="5">
        <v>44682</v>
      </c>
      <c r="J694" s="6">
        <v>0</v>
      </c>
      <c r="K694" s="6">
        <v>0</v>
      </c>
      <c r="L694" s="6">
        <v>0.06</v>
      </c>
      <c r="M694" s="6">
        <v>0.06</v>
      </c>
      <c r="N694" s="6">
        <v>0.06</v>
      </c>
      <c r="O694" s="6">
        <v>0.06</v>
      </c>
      <c r="P694" s="6">
        <v>0</v>
      </c>
      <c r="Q694" s="4" t="s">
        <v>26</v>
      </c>
      <c r="R694" s="4">
        <v>0</v>
      </c>
      <c r="S694" s="6">
        <v>0</v>
      </c>
      <c r="T694" s="6">
        <v>31</v>
      </c>
      <c r="U694" s="6">
        <v>72</v>
      </c>
      <c r="V694" s="6">
        <f>IF(ISERROR(VLOOKUP($S$694,'TAR FIN'!$A$1:$O$103,15,0)),0,VLOOKUP($S$694,'TAR FIN'!$A$1:$O$103,15,0))</f>
        <v>0</v>
      </c>
      <c r="W694" s="6">
        <f>IF(ISERROR(VLOOKUP($T$694,'TAR FIN'!$A$1:$O$103,15,0)),0,VLOOKUP($T$694,'TAR FIN'!$A$1:$O$103,15,0))</f>
        <v>68.53</v>
      </c>
      <c r="X694" s="6">
        <f>IF(ISERROR(VLOOKUP($U$694,'TAR FIN'!$A$1:$O$103,15,0)),0,VLOOKUP($U$694,'TAR FIN'!$A$1:$O$103,15,0))</f>
        <v>101.12</v>
      </c>
      <c r="Y694" s="6"/>
      <c r="Z694" s="6">
        <f ca="1">('TUSD BE'!$AM$31+'TUSD BF_350'!$AM$31+'TUSD CVA'!$AM$31-('TUSD BE'!$P$31+'TUSD BF_350'!$P$31+'TUSD CVA'!$P$31)-('TUSD BE'!$Q$31+'TUSD BF_350'!$Q$31+'TUSD CVA'!$Q$31)-('TUSD BE'!$R$31+'TUSD BF_350'!$R$31+'TUSD CVA'!$R$31))*(1-CUSTOS!$M$34)</f>
        <v>70.220499999999987</v>
      </c>
      <c r="AA694" s="6">
        <f ca="1">('TE BE'!$AB$15+'TE BF_350'!$AB$15+'TE CVA'!$AB$15)*(1-CUSTOS!$M$34)</f>
        <v>90.628999999999991</v>
      </c>
      <c r="AB694" s="6">
        <f>$K$694*$V$694</f>
        <v>0</v>
      </c>
      <c r="AC694" s="6">
        <f>$M$694*$W$694</f>
        <v>4.1117999999999997</v>
      </c>
      <c r="AD694" s="6">
        <f>$O$694*$X$694</f>
        <v>6.0671999999999997</v>
      </c>
      <c r="AE694" s="6">
        <f>$K$694*$Y$694</f>
        <v>0</v>
      </c>
      <c r="AF694" s="6">
        <f ca="1">$M$694*$Z$694</f>
        <v>4.2132299999999994</v>
      </c>
      <c r="AG694" s="6">
        <f ca="1">$O$694*$AA$694</f>
        <v>5.4377399999999989</v>
      </c>
    </row>
    <row r="695" spans="1:33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30</v>
      </c>
      <c r="F695" s="4" t="s">
        <v>25</v>
      </c>
      <c r="G695" s="4" t="s">
        <v>25</v>
      </c>
      <c r="H695" s="4" t="s">
        <v>25</v>
      </c>
      <c r="I695" s="5">
        <v>44348</v>
      </c>
      <c r="J695" s="6">
        <v>0</v>
      </c>
      <c r="K695" s="6">
        <v>0</v>
      </c>
      <c r="L695" s="6">
        <v>261.74599999999998</v>
      </c>
      <c r="M695" s="6">
        <v>261.74599999999998</v>
      </c>
      <c r="N695" s="6">
        <v>261.74599999999998</v>
      </c>
      <c r="O695" s="6">
        <v>261.74599999999998</v>
      </c>
      <c r="P695" s="6">
        <v>1688</v>
      </c>
      <c r="Q695" s="4" t="s">
        <v>26</v>
      </c>
      <c r="R695" s="4">
        <v>0</v>
      </c>
      <c r="S695" s="6">
        <v>0</v>
      </c>
      <c r="T695" s="6">
        <v>32</v>
      </c>
      <c r="U695" s="6">
        <v>73</v>
      </c>
      <c r="V695" s="6">
        <f>IF(ISERROR(VLOOKUP($S$695,'TAR FIN'!$A$1:$O$103,15,0)),0,VLOOKUP($S$695,'TAR FIN'!$A$1:$O$103,15,0))</f>
        <v>0</v>
      </c>
      <c r="W695" s="6">
        <f>IF(ISERROR(VLOOKUP($T$695,'TAR FIN'!$A$1:$O$103,15,0)),0,VLOOKUP($T$695,'TAR FIN'!$A$1:$O$103,15,0))</f>
        <v>117.48</v>
      </c>
      <c r="X695" s="6">
        <f>IF(ISERROR(VLOOKUP($U$695,'TAR FIN'!$A$1:$O$103,15,0)),0,VLOOKUP($U$695,'TAR FIN'!$A$1:$O$103,15,0))</f>
        <v>173.34</v>
      </c>
      <c r="Y695" s="6"/>
      <c r="Z695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695" s="6">
        <f ca="1">('TE BE'!$AB$16+'TE BF_350'!$AB$16+'TE CVA'!$AB$16)*(1-CUSTOS!$M$35)</f>
        <v>155.364</v>
      </c>
      <c r="AB695" s="6">
        <f>$K$695*$V$695</f>
        <v>0</v>
      </c>
      <c r="AC695" s="6">
        <f>$M$695*$W$695</f>
        <v>30749.92008</v>
      </c>
      <c r="AD695" s="6">
        <f>$O$695*$X$695</f>
        <v>45371.051639999998</v>
      </c>
      <c r="AE695" s="6">
        <f>$K$695*$Y$695</f>
        <v>0</v>
      </c>
      <c r="AF695" s="6">
        <f ca="1">$M$695*$Z$695</f>
        <v>31508.459987999995</v>
      </c>
      <c r="AG695" s="6">
        <f ca="1">$O$695*$AA$695</f>
        <v>40665.905544000001</v>
      </c>
    </row>
    <row r="696" spans="1:33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30</v>
      </c>
      <c r="F696" s="4" t="s">
        <v>25</v>
      </c>
      <c r="G696" s="4" t="s">
        <v>25</v>
      </c>
      <c r="H696" s="4" t="s">
        <v>25</v>
      </c>
      <c r="I696" s="5">
        <v>44348</v>
      </c>
      <c r="J696" s="6">
        <v>0</v>
      </c>
      <c r="K696" s="6">
        <v>0</v>
      </c>
      <c r="L696" s="6">
        <v>-8.9999999999999993E-3</v>
      </c>
      <c r="M696" s="6">
        <v>-8.9999999999999993E-3</v>
      </c>
      <c r="N696" s="6">
        <v>-8.9999999999999993E-3</v>
      </c>
      <c r="O696" s="6">
        <v>-8.9999999999999993E-3</v>
      </c>
      <c r="P696" s="6">
        <v>0</v>
      </c>
      <c r="Q696" s="4" t="s">
        <v>26</v>
      </c>
      <c r="R696" s="4">
        <v>0</v>
      </c>
      <c r="S696" s="6">
        <v>0</v>
      </c>
      <c r="T696" s="6">
        <v>32</v>
      </c>
      <c r="U696" s="6">
        <v>73</v>
      </c>
      <c r="V696" s="6">
        <f>IF(ISERROR(VLOOKUP($S$696,'TAR FIN'!$A$1:$O$103,15,0)),0,VLOOKUP($S$696,'TAR FIN'!$A$1:$O$103,15,0))</f>
        <v>0</v>
      </c>
      <c r="W696" s="6">
        <f>IF(ISERROR(VLOOKUP($T$696,'TAR FIN'!$A$1:$O$103,15,0)),0,VLOOKUP($T$696,'TAR FIN'!$A$1:$O$103,15,0))</f>
        <v>117.48</v>
      </c>
      <c r="X696" s="6">
        <f>IF(ISERROR(VLOOKUP($U$696,'TAR FIN'!$A$1:$O$103,15,0)),0,VLOOKUP($U$696,'TAR FIN'!$A$1:$O$103,15,0))</f>
        <v>173.34</v>
      </c>
      <c r="Y696" s="6"/>
      <c r="Z696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696" s="6">
        <f ca="1">('TE BE'!$AB$16+'TE BF_350'!$AB$16+'TE CVA'!$AB$16)*(1-CUSTOS!$M$35)</f>
        <v>155.364</v>
      </c>
      <c r="AB696" s="6">
        <f>$K$696*$V$696</f>
        <v>0</v>
      </c>
      <c r="AC696" s="6">
        <f>$M$696*$W$696</f>
        <v>-1.05732</v>
      </c>
      <c r="AD696" s="6">
        <f>$O$696*$X$696</f>
        <v>-1.56006</v>
      </c>
      <c r="AE696" s="6">
        <f>$K$696*$Y$696</f>
        <v>0</v>
      </c>
      <c r="AF696" s="6">
        <f ca="1">$M$696*$Z$696</f>
        <v>-1.0834019999999998</v>
      </c>
      <c r="AG696" s="6">
        <f ca="1">$O$696*$AA$696</f>
        <v>-1.3982759999999999</v>
      </c>
    </row>
    <row r="697" spans="1:33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30</v>
      </c>
      <c r="F697" s="4" t="s">
        <v>25</v>
      </c>
      <c r="G697" s="4" t="s">
        <v>25</v>
      </c>
      <c r="H697" s="4" t="s">
        <v>25</v>
      </c>
      <c r="I697" s="5">
        <v>44378</v>
      </c>
      <c r="J697" s="6">
        <v>0</v>
      </c>
      <c r="K697" s="6">
        <v>0</v>
      </c>
      <c r="L697" s="6">
        <v>261.61599999999999</v>
      </c>
      <c r="M697" s="6">
        <v>261.61599999999999</v>
      </c>
      <c r="N697" s="6">
        <v>261.61599999999999</v>
      </c>
      <c r="O697" s="6">
        <v>261.61599999999999</v>
      </c>
      <c r="P697" s="6">
        <v>1732</v>
      </c>
      <c r="Q697" s="4" t="s">
        <v>26</v>
      </c>
      <c r="R697" s="4">
        <v>0</v>
      </c>
      <c r="S697" s="6">
        <v>0</v>
      </c>
      <c r="T697" s="6">
        <v>32</v>
      </c>
      <c r="U697" s="6">
        <v>73</v>
      </c>
      <c r="V697" s="6">
        <f>IF(ISERROR(VLOOKUP($S$697,'TAR FIN'!$A$1:$O$103,15,0)),0,VLOOKUP($S$697,'TAR FIN'!$A$1:$O$103,15,0))</f>
        <v>0</v>
      </c>
      <c r="W697" s="6">
        <f>IF(ISERROR(VLOOKUP($T$697,'TAR FIN'!$A$1:$O$103,15,0)),0,VLOOKUP($T$697,'TAR FIN'!$A$1:$O$103,15,0))</f>
        <v>117.48</v>
      </c>
      <c r="X697" s="6">
        <f>IF(ISERROR(VLOOKUP($U$697,'TAR FIN'!$A$1:$O$103,15,0)),0,VLOOKUP($U$697,'TAR FIN'!$A$1:$O$103,15,0))</f>
        <v>173.34</v>
      </c>
      <c r="Y697" s="6"/>
      <c r="Z697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697" s="6">
        <f ca="1">('TE BE'!$AB$16+'TE BF_350'!$AB$16+'TE CVA'!$AB$16)*(1-CUSTOS!$M$35)</f>
        <v>155.364</v>
      </c>
      <c r="AB697" s="6">
        <f>$K$697*$V$697</f>
        <v>0</v>
      </c>
      <c r="AC697" s="6">
        <f>$M$697*$W$697</f>
        <v>30734.647679999998</v>
      </c>
      <c r="AD697" s="6">
        <f>$O$697*$X$697</f>
        <v>45348.517439999996</v>
      </c>
      <c r="AE697" s="6">
        <f>$K$697*$Y$697</f>
        <v>0</v>
      </c>
      <c r="AF697" s="6">
        <f ca="1">$M$697*$Z$697</f>
        <v>31492.810847999994</v>
      </c>
      <c r="AG697" s="6">
        <f ca="1">$O$697*$AA$697</f>
        <v>40645.708224000002</v>
      </c>
    </row>
    <row r="698" spans="1:33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30</v>
      </c>
      <c r="F698" s="4" t="s">
        <v>25</v>
      </c>
      <c r="G698" s="4" t="s">
        <v>25</v>
      </c>
      <c r="H698" s="4" t="s">
        <v>25</v>
      </c>
      <c r="I698" s="5">
        <v>44378</v>
      </c>
      <c r="J698" s="6">
        <v>0</v>
      </c>
      <c r="K698" s="6">
        <v>0</v>
      </c>
      <c r="L698" s="6">
        <v>-4.0000000000000001E-3</v>
      </c>
      <c r="M698" s="6">
        <v>-4.0000000000000001E-3</v>
      </c>
      <c r="N698" s="6">
        <v>-4.0000000000000001E-3</v>
      </c>
      <c r="O698" s="6">
        <v>-4.0000000000000001E-3</v>
      </c>
      <c r="P698" s="6">
        <v>0</v>
      </c>
      <c r="Q698" s="4" t="s">
        <v>26</v>
      </c>
      <c r="R698" s="4">
        <v>0</v>
      </c>
      <c r="S698" s="6">
        <v>0</v>
      </c>
      <c r="T698" s="6">
        <v>32</v>
      </c>
      <c r="U698" s="6">
        <v>73</v>
      </c>
      <c r="V698" s="6">
        <f>IF(ISERROR(VLOOKUP($S$698,'TAR FIN'!$A$1:$O$103,15,0)),0,VLOOKUP($S$698,'TAR FIN'!$A$1:$O$103,15,0))</f>
        <v>0</v>
      </c>
      <c r="W698" s="6">
        <f>IF(ISERROR(VLOOKUP($T$698,'TAR FIN'!$A$1:$O$103,15,0)),0,VLOOKUP($T$698,'TAR FIN'!$A$1:$O$103,15,0))</f>
        <v>117.48</v>
      </c>
      <c r="X698" s="6">
        <f>IF(ISERROR(VLOOKUP($U$698,'TAR FIN'!$A$1:$O$103,15,0)),0,VLOOKUP($U$698,'TAR FIN'!$A$1:$O$103,15,0))</f>
        <v>173.34</v>
      </c>
      <c r="Y698" s="6"/>
      <c r="Z698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698" s="6">
        <f ca="1">('TE BE'!$AB$16+'TE BF_350'!$AB$16+'TE CVA'!$AB$16)*(1-CUSTOS!$M$35)</f>
        <v>155.364</v>
      </c>
      <c r="AB698" s="6">
        <f>$K$698*$V$698</f>
        <v>0</v>
      </c>
      <c r="AC698" s="6">
        <f>$M$698*$W$698</f>
        <v>-0.46992</v>
      </c>
      <c r="AD698" s="6">
        <f>$O$698*$X$698</f>
        <v>-0.69335999999999998</v>
      </c>
      <c r="AE698" s="6">
        <f>$K$698*$Y$698</f>
        <v>0</v>
      </c>
      <c r="AF698" s="6">
        <f ca="1">$M$698*$Z$698</f>
        <v>-0.48151199999999994</v>
      </c>
      <c r="AG698" s="6">
        <f ca="1">$O$698*$AA$698</f>
        <v>-0.62145600000000001</v>
      </c>
    </row>
    <row r="699" spans="1:33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30</v>
      </c>
      <c r="F699" s="4" t="s">
        <v>25</v>
      </c>
      <c r="G699" s="4" t="s">
        <v>25</v>
      </c>
      <c r="H699" s="4" t="s">
        <v>25</v>
      </c>
      <c r="I699" s="5">
        <v>44409</v>
      </c>
      <c r="J699" s="6">
        <v>0</v>
      </c>
      <c r="K699" s="6">
        <v>0</v>
      </c>
      <c r="L699" s="6">
        <v>265.65699999999998</v>
      </c>
      <c r="M699" s="6">
        <v>265.65699999999998</v>
      </c>
      <c r="N699" s="6">
        <v>265.65699999999998</v>
      </c>
      <c r="O699" s="6">
        <v>265.65699999999998</v>
      </c>
      <c r="P699" s="6">
        <v>1693</v>
      </c>
      <c r="Q699" s="4" t="s">
        <v>26</v>
      </c>
      <c r="R699" s="4">
        <v>0</v>
      </c>
      <c r="S699" s="6">
        <v>0</v>
      </c>
      <c r="T699" s="6">
        <v>32</v>
      </c>
      <c r="U699" s="6">
        <v>73</v>
      </c>
      <c r="V699" s="6">
        <f>IF(ISERROR(VLOOKUP($S$699,'TAR FIN'!$A$1:$O$103,15,0)),0,VLOOKUP($S$699,'TAR FIN'!$A$1:$O$103,15,0))</f>
        <v>0</v>
      </c>
      <c r="W699" s="6">
        <f>IF(ISERROR(VLOOKUP($T$699,'TAR FIN'!$A$1:$O$103,15,0)),0,VLOOKUP($T$699,'TAR FIN'!$A$1:$O$103,15,0))</f>
        <v>117.48</v>
      </c>
      <c r="X699" s="6">
        <f>IF(ISERROR(VLOOKUP($U$699,'TAR FIN'!$A$1:$O$103,15,0)),0,VLOOKUP($U$699,'TAR FIN'!$A$1:$O$103,15,0))</f>
        <v>173.34</v>
      </c>
      <c r="Y699" s="6"/>
      <c r="Z699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699" s="6">
        <f ca="1">('TE BE'!$AB$16+'TE BF_350'!$AB$16+'TE CVA'!$AB$16)*(1-CUSTOS!$M$35)</f>
        <v>155.364</v>
      </c>
      <c r="AB699" s="6">
        <f>$K$699*$V$699</f>
        <v>0</v>
      </c>
      <c r="AC699" s="6">
        <f>$M$699*$W$699</f>
        <v>31209.38436</v>
      </c>
      <c r="AD699" s="6">
        <f>$O$699*$X$699</f>
        <v>46048.984379999994</v>
      </c>
      <c r="AE699" s="6">
        <f>$K$699*$Y$699</f>
        <v>0</v>
      </c>
      <c r="AF699" s="6">
        <f ca="1">$M$699*$Z$699</f>
        <v>31979.258345999995</v>
      </c>
      <c r="AG699" s="6">
        <f ca="1">$O$699*$AA$699</f>
        <v>41273.534147999999</v>
      </c>
    </row>
    <row r="700" spans="1:33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30</v>
      </c>
      <c r="F700" s="4" t="s">
        <v>25</v>
      </c>
      <c r="G700" s="4" t="s">
        <v>25</v>
      </c>
      <c r="H700" s="4" t="s">
        <v>25</v>
      </c>
      <c r="I700" s="5">
        <v>44409</v>
      </c>
      <c r="J700" s="6">
        <v>0</v>
      </c>
      <c r="K700" s="6">
        <v>0</v>
      </c>
      <c r="L700" s="6">
        <v>-3.9E-2</v>
      </c>
      <c r="M700" s="6">
        <v>-3.9E-2</v>
      </c>
      <c r="N700" s="6">
        <v>-3.9E-2</v>
      </c>
      <c r="O700" s="6">
        <v>-3.9E-2</v>
      </c>
      <c r="P700" s="6">
        <v>0</v>
      </c>
      <c r="Q700" s="4" t="s">
        <v>26</v>
      </c>
      <c r="R700" s="4">
        <v>0</v>
      </c>
      <c r="S700" s="6">
        <v>0</v>
      </c>
      <c r="T700" s="6">
        <v>32</v>
      </c>
      <c r="U700" s="6">
        <v>73</v>
      </c>
      <c r="V700" s="6">
        <f>IF(ISERROR(VLOOKUP($S$700,'TAR FIN'!$A$1:$O$103,15,0)),0,VLOOKUP($S$700,'TAR FIN'!$A$1:$O$103,15,0))</f>
        <v>0</v>
      </c>
      <c r="W700" s="6">
        <f>IF(ISERROR(VLOOKUP($T$700,'TAR FIN'!$A$1:$O$103,15,0)),0,VLOOKUP($T$700,'TAR FIN'!$A$1:$O$103,15,0))</f>
        <v>117.48</v>
      </c>
      <c r="X700" s="6">
        <f>IF(ISERROR(VLOOKUP($U$700,'TAR FIN'!$A$1:$O$103,15,0)),0,VLOOKUP($U$700,'TAR FIN'!$A$1:$O$103,15,0))</f>
        <v>173.34</v>
      </c>
      <c r="Y700" s="6"/>
      <c r="Z700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0" s="6">
        <f ca="1">('TE BE'!$AB$16+'TE BF_350'!$AB$16+'TE CVA'!$AB$16)*(1-CUSTOS!$M$35)</f>
        <v>155.364</v>
      </c>
      <c r="AB700" s="6">
        <f>$K$700*$V$700</f>
        <v>0</v>
      </c>
      <c r="AC700" s="6">
        <f>$M$700*$W$700</f>
        <v>-4.5817199999999998</v>
      </c>
      <c r="AD700" s="6">
        <f>$O$700*$X$700</f>
        <v>-6.7602599999999997</v>
      </c>
      <c r="AE700" s="6">
        <f>$K$700*$Y$700</f>
        <v>0</v>
      </c>
      <c r="AF700" s="6">
        <f ca="1">$M$700*$Z$700</f>
        <v>-4.6947419999999997</v>
      </c>
      <c r="AG700" s="6">
        <f ca="1">$O$700*$AA$700</f>
        <v>-6.059196</v>
      </c>
    </row>
    <row r="701" spans="1:33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30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273.36700000000002</v>
      </c>
      <c r="M701" s="6">
        <v>273.36700000000002</v>
      </c>
      <c r="N701" s="6">
        <v>273.36700000000002</v>
      </c>
      <c r="O701" s="6">
        <v>273.36700000000002</v>
      </c>
      <c r="P701" s="6">
        <v>1663</v>
      </c>
      <c r="Q701" s="4" t="s">
        <v>26</v>
      </c>
      <c r="R701" s="4">
        <v>0</v>
      </c>
      <c r="S701" s="6">
        <v>0</v>
      </c>
      <c r="T701" s="6">
        <v>32</v>
      </c>
      <c r="U701" s="6">
        <v>73</v>
      </c>
      <c r="V701" s="6">
        <f>IF(ISERROR(VLOOKUP($S$701,'TAR FIN'!$A$1:$O$103,15,0)),0,VLOOKUP($S$701,'TAR FIN'!$A$1:$O$103,15,0))</f>
        <v>0</v>
      </c>
      <c r="W701" s="6">
        <f>IF(ISERROR(VLOOKUP($T$701,'TAR FIN'!$A$1:$O$103,15,0)),0,VLOOKUP($T$701,'TAR FIN'!$A$1:$O$103,15,0))</f>
        <v>117.48</v>
      </c>
      <c r="X701" s="6">
        <f>IF(ISERROR(VLOOKUP($U$701,'TAR FIN'!$A$1:$O$103,15,0)),0,VLOOKUP($U$701,'TAR FIN'!$A$1:$O$103,15,0))</f>
        <v>173.34</v>
      </c>
      <c r="Y701" s="6"/>
      <c r="Z701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1" s="6">
        <f ca="1">('TE BE'!$AB$16+'TE BF_350'!$AB$16+'TE CVA'!$AB$16)*(1-CUSTOS!$M$35)</f>
        <v>155.364</v>
      </c>
      <c r="AB701" s="6">
        <f>$K$701*$V$701</f>
        <v>0</v>
      </c>
      <c r="AC701" s="6">
        <f>$M$701*$W$701</f>
        <v>32115.155160000002</v>
      </c>
      <c r="AD701" s="6">
        <f>$O$701*$X$701</f>
        <v>47385.435780000007</v>
      </c>
      <c r="AE701" s="6">
        <f>$K$701*$Y$701</f>
        <v>0</v>
      </c>
      <c r="AF701" s="6">
        <f ca="1">$M$701*$Z$701</f>
        <v>32907.372726000001</v>
      </c>
      <c r="AG701" s="6">
        <f ca="1">$O$701*$AA$701</f>
        <v>42471.390588000002</v>
      </c>
    </row>
    <row r="702" spans="1:33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30</v>
      </c>
      <c r="F702" s="4" t="s">
        <v>25</v>
      </c>
      <c r="G702" s="4" t="s">
        <v>25</v>
      </c>
      <c r="H702" s="4" t="s">
        <v>25</v>
      </c>
      <c r="I702" s="5">
        <v>44440</v>
      </c>
      <c r="J702" s="6">
        <v>0</v>
      </c>
      <c r="K702" s="6">
        <v>0</v>
      </c>
      <c r="L702" s="6">
        <v>-0.13500000000000001</v>
      </c>
      <c r="M702" s="6">
        <v>-0.13500000000000001</v>
      </c>
      <c r="N702" s="6">
        <v>-0.13500000000000001</v>
      </c>
      <c r="O702" s="6">
        <v>-0.13500000000000001</v>
      </c>
      <c r="P702" s="6">
        <v>0</v>
      </c>
      <c r="Q702" s="4" t="s">
        <v>26</v>
      </c>
      <c r="R702" s="4">
        <v>0</v>
      </c>
      <c r="S702" s="6">
        <v>0</v>
      </c>
      <c r="T702" s="6">
        <v>32</v>
      </c>
      <c r="U702" s="6">
        <v>73</v>
      </c>
      <c r="V702" s="6">
        <f>IF(ISERROR(VLOOKUP($S$702,'TAR FIN'!$A$1:$O$103,15,0)),0,VLOOKUP($S$702,'TAR FIN'!$A$1:$O$103,15,0))</f>
        <v>0</v>
      </c>
      <c r="W702" s="6">
        <f>IF(ISERROR(VLOOKUP($T$702,'TAR FIN'!$A$1:$O$103,15,0)),0,VLOOKUP($T$702,'TAR FIN'!$A$1:$O$103,15,0))</f>
        <v>117.48</v>
      </c>
      <c r="X702" s="6">
        <f>IF(ISERROR(VLOOKUP($U$702,'TAR FIN'!$A$1:$O$103,15,0)),0,VLOOKUP($U$702,'TAR FIN'!$A$1:$O$103,15,0))</f>
        <v>173.34</v>
      </c>
      <c r="Y702" s="6"/>
      <c r="Z702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2" s="6">
        <f ca="1">('TE BE'!$AB$16+'TE BF_350'!$AB$16+'TE CVA'!$AB$16)*(1-CUSTOS!$M$35)</f>
        <v>155.364</v>
      </c>
      <c r="AB702" s="6">
        <f>$K$702*$V$702</f>
        <v>0</v>
      </c>
      <c r="AC702" s="6">
        <f>$M$702*$W$702</f>
        <v>-15.859800000000002</v>
      </c>
      <c r="AD702" s="6">
        <f>$O$702*$X$702</f>
        <v>-23.400900000000004</v>
      </c>
      <c r="AE702" s="6">
        <f>$K$702*$Y$702</f>
        <v>0</v>
      </c>
      <c r="AF702" s="6">
        <f ca="1">$M$702*$Z$702</f>
        <v>-16.25103</v>
      </c>
      <c r="AG702" s="6">
        <f ca="1">$O$702*$AA$702</f>
        <v>-20.974140000000002</v>
      </c>
    </row>
    <row r="703" spans="1:33" ht="11.25" customHeight="1" x14ac:dyDescent="0.25">
      <c r="A703" s="4" t="s">
        <v>21</v>
      </c>
      <c r="B703" s="4" t="s">
        <v>22</v>
      </c>
      <c r="C703" s="4" t="s">
        <v>23</v>
      </c>
      <c r="D703" s="4" t="s">
        <v>24</v>
      </c>
      <c r="E703" s="4" t="s">
        <v>30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273.81</v>
      </c>
      <c r="M703" s="6">
        <v>273.81</v>
      </c>
      <c r="N703" s="6">
        <v>273.81</v>
      </c>
      <c r="O703" s="6">
        <v>273.81</v>
      </c>
      <c r="P703" s="6">
        <v>1632</v>
      </c>
      <c r="Q703" s="4" t="s">
        <v>26</v>
      </c>
      <c r="R703" s="4">
        <v>0</v>
      </c>
      <c r="S703" s="6">
        <v>0</v>
      </c>
      <c r="T703" s="6">
        <v>32</v>
      </c>
      <c r="U703" s="6">
        <v>73</v>
      </c>
      <c r="V703" s="6">
        <f>IF(ISERROR(VLOOKUP($S$703,'TAR FIN'!$A$1:$O$103,15,0)),0,VLOOKUP($S$703,'TAR FIN'!$A$1:$O$103,15,0))</f>
        <v>0</v>
      </c>
      <c r="W703" s="6">
        <f>IF(ISERROR(VLOOKUP($T$703,'TAR FIN'!$A$1:$O$103,15,0)),0,VLOOKUP($T$703,'TAR FIN'!$A$1:$O$103,15,0))</f>
        <v>117.48</v>
      </c>
      <c r="X703" s="6">
        <f>IF(ISERROR(VLOOKUP($U$703,'TAR FIN'!$A$1:$O$103,15,0)),0,VLOOKUP($U$703,'TAR FIN'!$A$1:$O$103,15,0))</f>
        <v>173.34</v>
      </c>
      <c r="Y703" s="6"/>
      <c r="Z703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3" s="6">
        <f ca="1">('TE BE'!$AB$16+'TE BF_350'!$AB$16+'TE CVA'!$AB$16)*(1-CUSTOS!$M$35)</f>
        <v>155.364</v>
      </c>
      <c r="AB703" s="6">
        <f>$K$703*$V$703</f>
        <v>0</v>
      </c>
      <c r="AC703" s="6">
        <f>$M$703*$W$703</f>
        <v>32167.198800000002</v>
      </c>
      <c r="AD703" s="6">
        <f>$O$703*$X$703</f>
        <v>47462.225400000003</v>
      </c>
      <c r="AE703" s="6">
        <f>$K$703*$Y$703</f>
        <v>0</v>
      </c>
      <c r="AF703" s="6">
        <f ca="1">$M$703*$Z$703</f>
        <v>32960.70018</v>
      </c>
      <c r="AG703" s="6">
        <f ca="1">$O$703*$AA$703</f>
        <v>42540.216840000001</v>
      </c>
    </row>
    <row r="704" spans="1:33" ht="11.25" customHeight="1" x14ac:dyDescent="0.25">
      <c r="A704" s="4" t="s">
        <v>27</v>
      </c>
      <c r="B704" s="4" t="s">
        <v>22</v>
      </c>
      <c r="C704" s="4" t="s">
        <v>23</v>
      </c>
      <c r="D704" s="4" t="s">
        <v>24</v>
      </c>
      <c r="E704" s="4" t="s">
        <v>30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-6.5000000000000002E-2</v>
      </c>
      <c r="M704" s="6">
        <v>-6.5000000000000002E-2</v>
      </c>
      <c r="N704" s="6">
        <v>-6.5000000000000002E-2</v>
      </c>
      <c r="O704" s="6">
        <v>-6.5000000000000002E-2</v>
      </c>
      <c r="P704" s="6">
        <v>0</v>
      </c>
      <c r="Q704" s="4" t="s">
        <v>26</v>
      </c>
      <c r="R704" s="4">
        <v>0</v>
      </c>
      <c r="S704" s="6">
        <v>0</v>
      </c>
      <c r="T704" s="6">
        <v>32</v>
      </c>
      <c r="U704" s="6">
        <v>73</v>
      </c>
      <c r="V704" s="6">
        <f>IF(ISERROR(VLOOKUP($S$704,'TAR FIN'!$A$1:$O$103,15,0)),0,VLOOKUP($S$704,'TAR FIN'!$A$1:$O$103,15,0))</f>
        <v>0</v>
      </c>
      <c r="W704" s="6">
        <f>IF(ISERROR(VLOOKUP($T$704,'TAR FIN'!$A$1:$O$103,15,0)),0,VLOOKUP($T$704,'TAR FIN'!$A$1:$O$103,15,0))</f>
        <v>117.48</v>
      </c>
      <c r="X704" s="6">
        <f>IF(ISERROR(VLOOKUP($U$704,'TAR FIN'!$A$1:$O$103,15,0)),0,VLOOKUP($U$704,'TAR FIN'!$A$1:$O$103,15,0))</f>
        <v>173.34</v>
      </c>
      <c r="Y704" s="6"/>
      <c r="Z704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4" s="6">
        <f ca="1">('TE BE'!$AB$16+'TE BF_350'!$AB$16+'TE CVA'!$AB$16)*(1-CUSTOS!$M$35)</f>
        <v>155.364</v>
      </c>
      <c r="AB704" s="6">
        <f>$K$704*$V$704</f>
        <v>0</v>
      </c>
      <c r="AC704" s="6">
        <f>$M$704*$W$704</f>
        <v>-7.6362000000000005</v>
      </c>
      <c r="AD704" s="6">
        <f>$O$704*$X$704</f>
        <v>-11.267100000000001</v>
      </c>
      <c r="AE704" s="6">
        <f>$K$704*$Y$704</f>
        <v>0</v>
      </c>
      <c r="AF704" s="6">
        <f ca="1">$M$704*$Z$704</f>
        <v>-7.8245699999999996</v>
      </c>
      <c r="AG704" s="6">
        <f ca="1">$O$704*$AA$704</f>
        <v>-10.098660000000001</v>
      </c>
    </row>
    <row r="705" spans="1:33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30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265.63600000000002</v>
      </c>
      <c r="M705" s="6">
        <v>265.63600000000002</v>
      </c>
      <c r="N705" s="6">
        <v>265.63600000000002</v>
      </c>
      <c r="O705" s="6">
        <v>265.63600000000002</v>
      </c>
      <c r="P705" s="6">
        <v>1637</v>
      </c>
      <c r="Q705" s="4" t="s">
        <v>26</v>
      </c>
      <c r="R705" s="4">
        <v>0</v>
      </c>
      <c r="S705" s="6">
        <v>0</v>
      </c>
      <c r="T705" s="6">
        <v>32</v>
      </c>
      <c r="U705" s="6">
        <v>73</v>
      </c>
      <c r="V705" s="6">
        <f>IF(ISERROR(VLOOKUP($S$705,'TAR FIN'!$A$1:$O$103,15,0)),0,VLOOKUP($S$705,'TAR FIN'!$A$1:$O$103,15,0))</f>
        <v>0</v>
      </c>
      <c r="W705" s="6">
        <f>IF(ISERROR(VLOOKUP($T$705,'TAR FIN'!$A$1:$O$103,15,0)),0,VLOOKUP($T$705,'TAR FIN'!$A$1:$O$103,15,0))</f>
        <v>117.48</v>
      </c>
      <c r="X705" s="6">
        <f>IF(ISERROR(VLOOKUP($U$705,'TAR FIN'!$A$1:$O$103,15,0)),0,VLOOKUP($U$705,'TAR FIN'!$A$1:$O$103,15,0))</f>
        <v>173.34</v>
      </c>
      <c r="Y705" s="6"/>
      <c r="Z705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5" s="6">
        <f ca="1">('TE BE'!$AB$16+'TE BF_350'!$AB$16+'TE CVA'!$AB$16)*(1-CUSTOS!$M$35)</f>
        <v>155.364</v>
      </c>
      <c r="AB705" s="6">
        <f>$K$705*$V$705</f>
        <v>0</v>
      </c>
      <c r="AC705" s="6">
        <f>$M$705*$W$705</f>
        <v>31206.917280000005</v>
      </c>
      <c r="AD705" s="6">
        <f>$O$705*$X$705</f>
        <v>46045.344240000006</v>
      </c>
      <c r="AE705" s="6">
        <f>$K$705*$Y$705</f>
        <v>0</v>
      </c>
      <c r="AF705" s="6">
        <f ca="1">$M$705*$Z$705</f>
        <v>31976.730407999999</v>
      </c>
      <c r="AG705" s="6">
        <f ca="1">$O$705*$AA$705</f>
        <v>41270.271504000004</v>
      </c>
    </row>
    <row r="706" spans="1:33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30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-6.4000000000000001E-2</v>
      </c>
      <c r="M706" s="6">
        <v>-6.4000000000000001E-2</v>
      </c>
      <c r="N706" s="6">
        <v>-6.4000000000000001E-2</v>
      </c>
      <c r="O706" s="6">
        <v>-6.4000000000000001E-2</v>
      </c>
      <c r="P706" s="6">
        <v>0</v>
      </c>
      <c r="Q706" s="4" t="s">
        <v>26</v>
      </c>
      <c r="R706" s="4">
        <v>0</v>
      </c>
      <c r="S706" s="6">
        <v>0</v>
      </c>
      <c r="T706" s="6">
        <v>32</v>
      </c>
      <c r="U706" s="6">
        <v>73</v>
      </c>
      <c r="V706" s="6">
        <f>IF(ISERROR(VLOOKUP($S$706,'TAR FIN'!$A$1:$O$103,15,0)),0,VLOOKUP($S$706,'TAR FIN'!$A$1:$O$103,15,0))</f>
        <v>0</v>
      </c>
      <c r="W706" s="6">
        <f>IF(ISERROR(VLOOKUP($T$706,'TAR FIN'!$A$1:$O$103,15,0)),0,VLOOKUP($T$706,'TAR FIN'!$A$1:$O$103,15,0))</f>
        <v>117.48</v>
      </c>
      <c r="X706" s="6">
        <f>IF(ISERROR(VLOOKUP($U$706,'TAR FIN'!$A$1:$O$103,15,0)),0,VLOOKUP($U$706,'TAR FIN'!$A$1:$O$103,15,0))</f>
        <v>173.34</v>
      </c>
      <c r="Y706" s="6"/>
      <c r="Z706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6" s="6">
        <f ca="1">('TE BE'!$AB$16+'TE BF_350'!$AB$16+'TE CVA'!$AB$16)*(1-CUSTOS!$M$35)</f>
        <v>155.364</v>
      </c>
      <c r="AB706" s="6">
        <f>$K$706*$V$706</f>
        <v>0</v>
      </c>
      <c r="AC706" s="6">
        <f>$M$706*$W$706</f>
        <v>-7.5187200000000001</v>
      </c>
      <c r="AD706" s="6">
        <f>$O$706*$X$706</f>
        <v>-11.09376</v>
      </c>
      <c r="AE706" s="6">
        <f>$K$706*$Y$706</f>
        <v>0</v>
      </c>
      <c r="AF706" s="6">
        <f ca="1">$M$706*$Z$706</f>
        <v>-7.704191999999999</v>
      </c>
      <c r="AG706" s="6">
        <f ca="1">$O$706*$AA$706</f>
        <v>-9.9432960000000001</v>
      </c>
    </row>
    <row r="707" spans="1:33" ht="11.25" customHeight="1" x14ac:dyDescent="0.25">
      <c r="A707" s="4" t="s">
        <v>21</v>
      </c>
      <c r="B707" s="4" t="s">
        <v>22</v>
      </c>
      <c r="C707" s="4" t="s">
        <v>23</v>
      </c>
      <c r="D707" s="4" t="s">
        <v>24</v>
      </c>
      <c r="E707" s="4" t="s">
        <v>30</v>
      </c>
      <c r="F707" s="4" t="s">
        <v>25</v>
      </c>
      <c r="G707" s="4" t="s">
        <v>25</v>
      </c>
      <c r="H707" s="4" t="s">
        <v>25</v>
      </c>
      <c r="I707" s="5">
        <v>44531</v>
      </c>
      <c r="J707" s="6">
        <v>0</v>
      </c>
      <c r="K707" s="6">
        <v>0</v>
      </c>
      <c r="L707" s="6">
        <v>263.64100000000002</v>
      </c>
      <c r="M707" s="6">
        <v>263.64100000000002</v>
      </c>
      <c r="N707" s="6">
        <v>263.64100000000002</v>
      </c>
      <c r="O707" s="6">
        <v>263.64100000000002</v>
      </c>
      <c r="P707" s="6">
        <v>1554</v>
      </c>
      <c r="Q707" s="4" t="s">
        <v>26</v>
      </c>
      <c r="R707" s="4">
        <v>0</v>
      </c>
      <c r="S707" s="6">
        <v>0</v>
      </c>
      <c r="T707" s="6">
        <v>32</v>
      </c>
      <c r="U707" s="6">
        <v>73</v>
      </c>
      <c r="V707" s="6">
        <f>IF(ISERROR(VLOOKUP($S$707,'TAR FIN'!$A$1:$O$103,15,0)),0,VLOOKUP($S$707,'TAR FIN'!$A$1:$O$103,15,0))</f>
        <v>0</v>
      </c>
      <c r="W707" s="6">
        <f>IF(ISERROR(VLOOKUP($T$707,'TAR FIN'!$A$1:$O$103,15,0)),0,VLOOKUP($T$707,'TAR FIN'!$A$1:$O$103,15,0))</f>
        <v>117.48</v>
      </c>
      <c r="X707" s="6">
        <f>IF(ISERROR(VLOOKUP($U$707,'TAR FIN'!$A$1:$O$103,15,0)),0,VLOOKUP($U$707,'TAR FIN'!$A$1:$O$103,15,0))</f>
        <v>173.34</v>
      </c>
      <c r="Y707" s="6"/>
      <c r="Z707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7" s="6">
        <f ca="1">('TE BE'!$AB$16+'TE BF_350'!$AB$16+'TE CVA'!$AB$16)*(1-CUSTOS!$M$35)</f>
        <v>155.364</v>
      </c>
      <c r="AB707" s="6">
        <f>$K$707*$V$707</f>
        <v>0</v>
      </c>
      <c r="AC707" s="6">
        <f>$M$707*$W$707</f>
        <v>30972.544680000003</v>
      </c>
      <c r="AD707" s="6">
        <f>$O$707*$X$707</f>
        <v>45699.530940000004</v>
      </c>
      <c r="AE707" s="6">
        <f>$K$707*$Y$707</f>
        <v>0</v>
      </c>
      <c r="AF707" s="6">
        <f ca="1">$M$707*$Z$707</f>
        <v>31736.576298</v>
      </c>
      <c r="AG707" s="6">
        <f ca="1">$O$707*$AA$707</f>
        <v>40960.320324000008</v>
      </c>
    </row>
    <row r="708" spans="1:33" ht="11.25" customHeight="1" x14ac:dyDescent="0.25">
      <c r="A708" s="4" t="s">
        <v>27</v>
      </c>
      <c r="B708" s="4" t="s">
        <v>22</v>
      </c>
      <c r="C708" s="4" t="s">
        <v>23</v>
      </c>
      <c r="D708" s="4" t="s">
        <v>24</v>
      </c>
      <c r="E708" s="4" t="s">
        <v>30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1.6E-2</v>
      </c>
      <c r="M708" s="6">
        <v>1.6E-2</v>
      </c>
      <c r="N708" s="6">
        <v>1.6E-2</v>
      </c>
      <c r="O708" s="6">
        <v>1.6E-2</v>
      </c>
      <c r="P708" s="6">
        <v>0</v>
      </c>
      <c r="Q708" s="4" t="s">
        <v>26</v>
      </c>
      <c r="R708" s="4">
        <v>0</v>
      </c>
      <c r="S708" s="6">
        <v>0</v>
      </c>
      <c r="T708" s="6">
        <v>32</v>
      </c>
      <c r="U708" s="6">
        <v>73</v>
      </c>
      <c r="V708" s="6">
        <f>IF(ISERROR(VLOOKUP($S$708,'TAR FIN'!$A$1:$O$103,15,0)),0,VLOOKUP($S$708,'TAR FIN'!$A$1:$O$103,15,0))</f>
        <v>0</v>
      </c>
      <c r="W708" s="6">
        <f>IF(ISERROR(VLOOKUP($T$708,'TAR FIN'!$A$1:$O$103,15,0)),0,VLOOKUP($T$708,'TAR FIN'!$A$1:$O$103,15,0))</f>
        <v>117.48</v>
      </c>
      <c r="X708" s="6">
        <f>IF(ISERROR(VLOOKUP($U$708,'TAR FIN'!$A$1:$O$103,15,0)),0,VLOOKUP($U$708,'TAR FIN'!$A$1:$O$103,15,0))</f>
        <v>173.34</v>
      </c>
      <c r="Y708" s="6"/>
      <c r="Z708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8" s="6">
        <f ca="1">('TE BE'!$AB$16+'TE BF_350'!$AB$16+'TE CVA'!$AB$16)*(1-CUSTOS!$M$35)</f>
        <v>155.364</v>
      </c>
      <c r="AB708" s="6">
        <f>$K$708*$V$708</f>
        <v>0</v>
      </c>
      <c r="AC708" s="6">
        <f>$M$708*$W$708</f>
        <v>1.87968</v>
      </c>
      <c r="AD708" s="6">
        <f>$O$708*$X$708</f>
        <v>2.7734399999999999</v>
      </c>
      <c r="AE708" s="6">
        <f>$K$708*$Y$708</f>
        <v>0</v>
      </c>
      <c r="AF708" s="6">
        <f ca="1">$M$708*$Z$708</f>
        <v>1.9260479999999998</v>
      </c>
      <c r="AG708" s="6">
        <f ca="1">$O$708*$AA$708</f>
        <v>2.485824</v>
      </c>
    </row>
    <row r="709" spans="1:33" ht="11.25" customHeight="1" x14ac:dyDescent="0.25">
      <c r="A709" s="4" t="s">
        <v>21</v>
      </c>
      <c r="B709" s="4" t="s">
        <v>22</v>
      </c>
      <c r="C709" s="4" t="s">
        <v>23</v>
      </c>
      <c r="D709" s="4" t="s">
        <v>24</v>
      </c>
      <c r="E709" s="4" t="s">
        <v>30</v>
      </c>
      <c r="F709" s="4" t="s">
        <v>25</v>
      </c>
      <c r="G709" s="4" t="s">
        <v>25</v>
      </c>
      <c r="H709" s="4" t="s">
        <v>25</v>
      </c>
      <c r="I709" s="5">
        <v>44562</v>
      </c>
      <c r="J709" s="6">
        <v>0</v>
      </c>
      <c r="K709" s="6">
        <v>0</v>
      </c>
      <c r="L709" s="6">
        <v>267.75400000000002</v>
      </c>
      <c r="M709" s="6">
        <v>267.75400000000002</v>
      </c>
      <c r="N709" s="6">
        <v>267.75400000000002</v>
      </c>
      <c r="O709" s="6">
        <v>267.75400000000002</v>
      </c>
      <c r="P709" s="6">
        <v>1520</v>
      </c>
      <c r="Q709" s="4" t="s">
        <v>26</v>
      </c>
      <c r="R709" s="4">
        <v>0</v>
      </c>
      <c r="S709" s="6">
        <v>0</v>
      </c>
      <c r="T709" s="6">
        <v>32</v>
      </c>
      <c r="U709" s="6">
        <v>73</v>
      </c>
      <c r="V709" s="6">
        <f>IF(ISERROR(VLOOKUP($S$709,'TAR FIN'!$A$1:$O$103,15,0)),0,VLOOKUP($S$709,'TAR FIN'!$A$1:$O$103,15,0))</f>
        <v>0</v>
      </c>
      <c r="W709" s="6">
        <f>IF(ISERROR(VLOOKUP($T$709,'TAR FIN'!$A$1:$O$103,15,0)),0,VLOOKUP($T$709,'TAR FIN'!$A$1:$O$103,15,0))</f>
        <v>117.48</v>
      </c>
      <c r="X709" s="6">
        <f>IF(ISERROR(VLOOKUP($U$709,'TAR FIN'!$A$1:$O$103,15,0)),0,VLOOKUP($U$709,'TAR FIN'!$A$1:$O$103,15,0))</f>
        <v>173.34</v>
      </c>
      <c r="Y709" s="6"/>
      <c r="Z709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09" s="6">
        <f ca="1">('TE BE'!$AB$16+'TE BF_350'!$AB$16+'TE CVA'!$AB$16)*(1-CUSTOS!$M$35)</f>
        <v>155.364</v>
      </c>
      <c r="AB709" s="6">
        <f>$K$709*$V$709</f>
        <v>0</v>
      </c>
      <c r="AC709" s="6">
        <f>$M$709*$W$709</f>
        <v>31455.739920000004</v>
      </c>
      <c r="AD709" s="6">
        <f>$O$709*$X$709</f>
        <v>46412.478360000001</v>
      </c>
      <c r="AE709" s="6">
        <f>$K$709*$Y$709</f>
        <v>0</v>
      </c>
      <c r="AF709" s="6">
        <f ca="1">$M$709*$Z$709</f>
        <v>32231.691011999999</v>
      </c>
      <c r="AG709" s="6">
        <f ca="1">$O$709*$AA$709</f>
        <v>41599.332456000004</v>
      </c>
    </row>
    <row r="710" spans="1:33" ht="11.25" customHeight="1" x14ac:dyDescent="0.25">
      <c r="A710" s="4" t="s">
        <v>27</v>
      </c>
      <c r="B710" s="4" t="s">
        <v>22</v>
      </c>
      <c r="C710" s="4" t="s">
        <v>23</v>
      </c>
      <c r="D710" s="4" t="s">
        <v>24</v>
      </c>
      <c r="E710" s="4" t="s">
        <v>30</v>
      </c>
      <c r="F710" s="4" t="s">
        <v>25</v>
      </c>
      <c r="G710" s="4" t="s">
        <v>25</v>
      </c>
      <c r="H710" s="4" t="s">
        <v>25</v>
      </c>
      <c r="I710" s="5">
        <v>44562</v>
      </c>
      <c r="J710" s="6">
        <v>0</v>
      </c>
      <c r="K710" s="6">
        <v>0</v>
      </c>
      <c r="L710" s="6">
        <v>-0.09</v>
      </c>
      <c r="M710" s="6">
        <v>-0.09</v>
      </c>
      <c r="N710" s="6">
        <v>-0.09</v>
      </c>
      <c r="O710" s="6">
        <v>-0.09</v>
      </c>
      <c r="P710" s="6">
        <v>0</v>
      </c>
      <c r="Q710" s="4" t="s">
        <v>26</v>
      </c>
      <c r="R710" s="4">
        <v>0</v>
      </c>
      <c r="S710" s="6">
        <v>0</v>
      </c>
      <c r="T710" s="6">
        <v>32</v>
      </c>
      <c r="U710" s="6">
        <v>73</v>
      </c>
      <c r="V710" s="6">
        <f>IF(ISERROR(VLOOKUP($S$710,'TAR FIN'!$A$1:$O$103,15,0)),0,VLOOKUP($S$710,'TAR FIN'!$A$1:$O$103,15,0))</f>
        <v>0</v>
      </c>
      <c r="W710" s="6">
        <f>IF(ISERROR(VLOOKUP($T$710,'TAR FIN'!$A$1:$O$103,15,0)),0,VLOOKUP($T$710,'TAR FIN'!$A$1:$O$103,15,0))</f>
        <v>117.48</v>
      </c>
      <c r="X710" s="6">
        <f>IF(ISERROR(VLOOKUP($U$710,'TAR FIN'!$A$1:$O$103,15,0)),0,VLOOKUP($U$710,'TAR FIN'!$A$1:$O$103,15,0))</f>
        <v>173.34</v>
      </c>
      <c r="Y710" s="6"/>
      <c r="Z710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0" s="6">
        <f ca="1">('TE BE'!$AB$16+'TE BF_350'!$AB$16+'TE CVA'!$AB$16)*(1-CUSTOS!$M$35)</f>
        <v>155.364</v>
      </c>
      <c r="AB710" s="6">
        <f>$K$710*$V$710</f>
        <v>0</v>
      </c>
      <c r="AC710" s="6">
        <f>$M$710*$W$710</f>
        <v>-10.5732</v>
      </c>
      <c r="AD710" s="6">
        <f>$O$710*$X$710</f>
        <v>-15.6006</v>
      </c>
      <c r="AE710" s="6">
        <f>$K$710*$Y$710</f>
        <v>0</v>
      </c>
      <c r="AF710" s="6">
        <f ca="1">$M$710*$Z$710</f>
        <v>-10.834019999999999</v>
      </c>
      <c r="AG710" s="6">
        <f ca="1">$O$710*$AA$710</f>
        <v>-13.982760000000001</v>
      </c>
    </row>
    <row r="711" spans="1:33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30</v>
      </c>
      <c r="F711" s="4" t="s">
        <v>25</v>
      </c>
      <c r="G711" s="4" t="s">
        <v>25</v>
      </c>
      <c r="H711" s="4" t="s">
        <v>25</v>
      </c>
      <c r="I711" s="5">
        <v>44593</v>
      </c>
      <c r="J711" s="6">
        <v>0</v>
      </c>
      <c r="K711" s="6">
        <v>0</v>
      </c>
      <c r="L711" s="6">
        <v>283.09500000000003</v>
      </c>
      <c r="M711" s="6">
        <v>283.09500000000003</v>
      </c>
      <c r="N711" s="6">
        <v>283.09500000000003</v>
      </c>
      <c r="O711" s="6">
        <v>283.09500000000003</v>
      </c>
      <c r="P711" s="6">
        <v>1423</v>
      </c>
      <c r="Q711" s="4" t="s">
        <v>26</v>
      </c>
      <c r="R711" s="4">
        <v>0</v>
      </c>
      <c r="S711" s="6">
        <v>0</v>
      </c>
      <c r="T711" s="6">
        <v>32</v>
      </c>
      <c r="U711" s="6">
        <v>73</v>
      </c>
      <c r="V711" s="6">
        <f>IF(ISERROR(VLOOKUP($S$711,'TAR FIN'!$A$1:$O$103,15,0)),0,VLOOKUP($S$711,'TAR FIN'!$A$1:$O$103,15,0))</f>
        <v>0</v>
      </c>
      <c r="W711" s="6">
        <f>IF(ISERROR(VLOOKUP($T$711,'TAR FIN'!$A$1:$O$103,15,0)),0,VLOOKUP($T$711,'TAR FIN'!$A$1:$O$103,15,0))</f>
        <v>117.48</v>
      </c>
      <c r="X711" s="6">
        <f>IF(ISERROR(VLOOKUP($U$711,'TAR FIN'!$A$1:$O$103,15,0)),0,VLOOKUP($U$711,'TAR FIN'!$A$1:$O$103,15,0))</f>
        <v>173.34</v>
      </c>
      <c r="Y711" s="6"/>
      <c r="Z711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1" s="6">
        <f ca="1">('TE BE'!$AB$16+'TE BF_350'!$AB$16+'TE CVA'!$AB$16)*(1-CUSTOS!$M$35)</f>
        <v>155.364</v>
      </c>
      <c r="AB711" s="6">
        <f>$K$711*$V$711</f>
        <v>0</v>
      </c>
      <c r="AC711" s="6">
        <f>$M$711*$W$711</f>
        <v>33258.000600000007</v>
      </c>
      <c r="AD711" s="6">
        <f>$O$711*$X$711</f>
        <v>49071.687300000005</v>
      </c>
      <c r="AE711" s="6">
        <f>$K$711*$Y$711</f>
        <v>0</v>
      </c>
      <c r="AF711" s="6">
        <f ca="1">$M$711*$Z$711</f>
        <v>34078.409910000002</v>
      </c>
      <c r="AG711" s="6">
        <f ca="1">$O$711*$AA$711</f>
        <v>43982.771580000008</v>
      </c>
    </row>
    <row r="712" spans="1:33" ht="11.25" customHeight="1" x14ac:dyDescent="0.25">
      <c r="A712" s="4" t="s">
        <v>21</v>
      </c>
      <c r="B712" s="4" t="s">
        <v>22</v>
      </c>
      <c r="C712" s="4" t="s">
        <v>23</v>
      </c>
      <c r="D712" s="4" t="s">
        <v>24</v>
      </c>
      <c r="E712" s="4" t="s">
        <v>30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299.08600000000001</v>
      </c>
      <c r="M712" s="6">
        <v>299.08600000000001</v>
      </c>
      <c r="N712" s="6">
        <v>299.08600000000001</v>
      </c>
      <c r="O712" s="6">
        <v>299.08600000000001</v>
      </c>
      <c r="P712" s="6">
        <v>1670</v>
      </c>
      <c r="Q712" s="4" t="s">
        <v>26</v>
      </c>
      <c r="R712" s="4">
        <v>0</v>
      </c>
      <c r="S712" s="6">
        <v>0</v>
      </c>
      <c r="T712" s="6">
        <v>32</v>
      </c>
      <c r="U712" s="6">
        <v>73</v>
      </c>
      <c r="V712" s="6">
        <f>IF(ISERROR(VLOOKUP($S$712,'TAR FIN'!$A$1:$O$103,15,0)),0,VLOOKUP($S$712,'TAR FIN'!$A$1:$O$103,15,0))</f>
        <v>0</v>
      </c>
      <c r="W712" s="6">
        <f>IF(ISERROR(VLOOKUP($T$712,'TAR FIN'!$A$1:$O$103,15,0)),0,VLOOKUP($T$712,'TAR FIN'!$A$1:$O$103,15,0))</f>
        <v>117.48</v>
      </c>
      <c r="X712" s="6">
        <f>IF(ISERROR(VLOOKUP($U$712,'TAR FIN'!$A$1:$O$103,15,0)),0,VLOOKUP($U$712,'TAR FIN'!$A$1:$O$103,15,0))</f>
        <v>173.34</v>
      </c>
      <c r="Y712" s="6"/>
      <c r="Z712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2" s="6">
        <f ca="1">('TE BE'!$AB$16+'TE BF_350'!$AB$16+'TE CVA'!$AB$16)*(1-CUSTOS!$M$35)</f>
        <v>155.364</v>
      </c>
      <c r="AB712" s="6">
        <f>$K$712*$V$712</f>
        <v>0</v>
      </c>
      <c r="AC712" s="6">
        <f>$M$712*$W$712</f>
        <v>35136.62328</v>
      </c>
      <c r="AD712" s="6">
        <f>$O$712*$X$712</f>
        <v>51843.567240000004</v>
      </c>
      <c r="AE712" s="6">
        <f>$K$712*$Y$712</f>
        <v>0</v>
      </c>
      <c r="AF712" s="6">
        <f ca="1">$M$712*$Z$712</f>
        <v>36003.374508000001</v>
      </c>
      <c r="AG712" s="6">
        <f ca="1">$O$712*$AA$712</f>
        <v>46467.197304000001</v>
      </c>
    </row>
    <row r="713" spans="1:33" ht="11.25" customHeight="1" x14ac:dyDescent="0.25">
      <c r="A713" s="4" t="s">
        <v>21</v>
      </c>
      <c r="B713" s="4" t="s">
        <v>22</v>
      </c>
      <c r="C713" s="4" t="s">
        <v>23</v>
      </c>
      <c r="D713" s="4" t="s">
        <v>24</v>
      </c>
      <c r="E713" s="4" t="s">
        <v>30</v>
      </c>
      <c r="F713" s="4" t="s">
        <v>25</v>
      </c>
      <c r="G713" s="4" t="s">
        <v>25</v>
      </c>
      <c r="H713" s="4" t="s">
        <v>25</v>
      </c>
      <c r="I713" s="5">
        <v>44652</v>
      </c>
      <c r="J713" s="6">
        <v>0</v>
      </c>
      <c r="K713" s="6">
        <v>0</v>
      </c>
      <c r="L713" s="6">
        <v>295.02300000000002</v>
      </c>
      <c r="M713" s="6">
        <v>295.02300000000002</v>
      </c>
      <c r="N713" s="6">
        <v>295.02300000000002</v>
      </c>
      <c r="O713" s="6">
        <v>295.02300000000002</v>
      </c>
      <c r="P713" s="6">
        <v>1800</v>
      </c>
      <c r="Q713" s="4" t="s">
        <v>26</v>
      </c>
      <c r="R713" s="4">
        <v>0</v>
      </c>
      <c r="S713" s="6">
        <v>0</v>
      </c>
      <c r="T713" s="6">
        <v>32</v>
      </c>
      <c r="U713" s="6">
        <v>73</v>
      </c>
      <c r="V713" s="6">
        <f>IF(ISERROR(VLOOKUP($S$713,'TAR FIN'!$A$1:$O$103,15,0)),0,VLOOKUP($S$713,'TAR FIN'!$A$1:$O$103,15,0))</f>
        <v>0</v>
      </c>
      <c r="W713" s="6">
        <f>IF(ISERROR(VLOOKUP($T$713,'TAR FIN'!$A$1:$O$103,15,0)),0,VLOOKUP($T$713,'TAR FIN'!$A$1:$O$103,15,0))</f>
        <v>117.48</v>
      </c>
      <c r="X713" s="6">
        <f>IF(ISERROR(VLOOKUP($U$713,'TAR FIN'!$A$1:$O$103,15,0)),0,VLOOKUP($U$713,'TAR FIN'!$A$1:$O$103,15,0))</f>
        <v>173.34</v>
      </c>
      <c r="Y713" s="6"/>
      <c r="Z713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3" s="6">
        <f ca="1">('TE BE'!$AB$16+'TE BF_350'!$AB$16+'TE CVA'!$AB$16)*(1-CUSTOS!$M$35)</f>
        <v>155.364</v>
      </c>
      <c r="AB713" s="6">
        <f>$K$713*$V$713</f>
        <v>0</v>
      </c>
      <c r="AC713" s="6">
        <f>$M$713*$W$713</f>
        <v>34659.302040000002</v>
      </c>
      <c r="AD713" s="6">
        <f>$O$713*$X$713</f>
        <v>51139.286820000008</v>
      </c>
      <c r="AE713" s="6">
        <f>$K$713*$Y$713</f>
        <v>0</v>
      </c>
      <c r="AF713" s="6">
        <f ca="1">$M$713*$Z$713</f>
        <v>35514.278694000001</v>
      </c>
      <c r="AG713" s="6">
        <f ca="1">$O$713*$AA$713</f>
        <v>45835.953372000004</v>
      </c>
    </row>
    <row r="714" spans="1:33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30</v>
      </c>
      <c r="F714" s="4" t="s">
        <v>25</v>
      </c>
      <c r="G714" s="4" t="s">
        <v>25</v>
      </c>
      <c r="H714" s="4" t="s">
        <v>25</v>
      </c>
      <c r="I714" s="5">
        <v>44682</v>
      </c>
      <c r="J714" s="6">
        <v>0</v>
      </c>
      <c r="K714" s="6">
        <v>0</v>
      </c>
      <c r="L714" s="6">
        <v>296.60599999999999</v>
      </c>
      <c r="M714" s="6">
        <v>296.60599999999999</v>
      </c>
      <c r="N714" s="6">
        <v>296.60599999999999</v>
      </c>
      <c r="O714" s="6">
        <v>296.60599999999999</v>
      </c>
      <c r="P714" s="6">
        <v>1802</v>
      </c>
      <c r="Q714" s="4" t="s">
        <v>26</v>
      </c>
      <c r="R714" s="4">
        <v>0</v>
      </c>
      <c r="S714" s="6">
        <v>0</v>
      </c>
      <c r="T714" s="6">
        <v>32</v>
      </c>
      <c r="U714" s="6">
        <v>73</v>
      </c>
      <c r="V714" s="6">
        <f>IF(ISERROR(VLOOKUP($S$714,'TAR FIN'!$A$1:$O$103,15,0)),0,VLOOKUP($S$714,'TAR FIN'!$A$1:$O$103,15,0))</f>
        <v>0</v>
      </c>
      <c r="W714" s="6">
        <f>IF(ISERROR(VLOOKUP($T$714,'TAR FIN'!$A$1:$O$103,15,0)),0,VLOOKUP($T$714,'TAR FIN'!$A$1:$O$103,15,0))</f>
        <v>117.48</v>
      </c>
      <c r="X714" s="6">
        <f>IF(ISERROR(VLOOKUP($U$714,'TAR FIN'!$A$1:$O$103,15,0)),0,VLOOKUP($U$714,'TAR FIN'!$A$1:$O$103,15,0))</f>
        <v>173.34</v>
      </c>
      <c r="Y714" s="6"/>
      <c r="Z714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4" s="6">
        <f ca="1">('TE BE'!$AB$16+'TE BF_350'!$AB$16+'TE CVA'!$AB$16)*(1-CUSTOS!$M$35)</f>
        <v>155.364</v>
      </c>
      <c r="AB714" s="6">
        <f>$K$714*$V$714</f>
        <v>0</v>
      </c>
      <c r="AC714" s="6">
        <f>$M$714*$W$714</f>
        <v>34845.272880000004</v>
      </c>
      <c r="AD714" s="6">
        <f>$O$714*$X$714</f>
        <v>51413.68404</v>
      </c>
      <c r="AE714" s="6">
        <f>$K$714*$Y$714</f>
        <v>0</v>
      </c>
      <c r="AF714" s="6">
        <f ca="1">$M$714*$Z$714</f>
        <v>35704.837067999993</v>
      </c>
      <c r="AG714" s="6">
        <f ca="1">$O$714*$AA$714</f>
        <v>46081.894584000001</v>
      </c>
    </row>
    <row r="715" spans="1:33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30</v>
      </c>
      <c r="F715" s="4" t="s">
        <v>25</v>
      </c>
      <c r="G715" s="4" t="s">
        <v>25</v>
      </c>
      <c r="H715" s="4" t="s">
        <v>25</v>
      </c>
      <c r="I715" s="5">
        <v>44682</v>
      </c>
      <c r="J715" s="6">
        <v>0</v>
      </c>
      <c r="K715" s="6">
        <v>0</v>
      </c>
      <c r="L715" s="6">
        <v>7.0000000000000007E-2</v>
      </c>
      <c r="M715" s="6">
        <v>7.0000000000000007E-2</v>
      </c>
      <c r="N715" s="6">
        <v>7.0000000000000007E-2</v>
      </c>
      <c r="O715" s="6">
        <v>7.0000000000000007E-2</v>
      </c>
      <c r="P715" s="6">
        <v>0</v>
      </c>
      <c r="Q715" s="4" t="s">
        <v>26</v>
      </c>
      <c r="R715" s="4">
        <v>0</v>
      </c>
      <c r="S715" s="6">
        <v>0</v>
      </c>
      <c r="T715" s="6">
        <v>32</v>
      </c>
      <c r="U715" s="6">
        <v>73</v>
      </c>
      <c r="V715" s="6">
        <f>IF(ISERROR(VLOOKUP($S$715,'TAR FIN'!$A$1:$O$103,15,0)),0,VLOOKUP($S$715,'TAR FIN'!$A$1:$O$103,15,0))</f>
        <v>0</v>
      </c>
      <c r="W715" s="6">
        <f>IF(ISERROR(VLOOKUP($T$715,'TAR FIN'!$A$1:$O$103,15,0)),0,VLOOKUP($T$715,'TAR FIN'!$A$1:$O$103,15,0))</f>
        <v>117.48</v>
      </c>
      <c r="X715" s="6">
        <f>IF(ISERROR(VLOOKUP($U$715,'TAR FIN'!$A$1:$O$103,15,0)),0,VLOOKUP($U$715,'TAR FIN'!$A$1:$O$103,15,0))</f>
        <v>173.34</v>
      </c>
      <c r="Y715" s="6"/>
      <c r="Z715" s="6">
        <f ca="1">('TUSD BE'!$AM$32+'TUSD BF_350'!$AM$32+'TUSD CVA'!$AM$32-('TUSD BE'!$P$32+'TUSD BF_350'!$P$32+'TUSD CVA'!$P$32)-('TUSD BE'!$Q$32+'TUSD BF_350'!$Q$32+'TUSD CVA'!$Q$32)-('TUSD BE'!$R$32+'TUSD BF_350'!$R$32+'TUSD CVA'!$R$32))*(1-CUSTOS!$M$35)</f>
        <v>120.37799999999999</v>
      </c>
      <c r="AA715" s="6">
        <f ca="1">('TE BE'!$AB$16+'TE BF_350'!$AB$16+'TE CVA'!$AB$16)*(1-CUSTOS!$M$35)</f>
        <v>155.364</v>
      </c>
      <c r="AB715" s="6">
        <f>$K$715*$V$715</f>
        <v>0</v>
      </c>
      <c r="AC715" s="6">
        <f>$M$715*$W$715</f>
        <v>8.2236000000000011</v>
      </c>
      <c r="AD715" s="6">
        <f>$O$715*$X$715</f>
        <v>12.133800000000001</v>
      </c>
      <c r="AE715" s="6">
        <f>$K$715*$Y$715</f>
        <v>0</v>
      </c>
      <c r="AF715" s="6">
        <f ca="1">$M$715*$Z$715</f>
        <v>8.4264600000000005</v>
      </c>
      <c r="AG715" s="6">
        <f ca="1">$O$715*$AA$715</f>
        <v>10.875480000000001</v>
      </c>
    </row>
    <row r="716" spans="1:33" ht="11.25" customHeight="1" x14ac:dyDescent="0.25">
      <c r="A716" s="4" t="s">
        <v>21</v>
      </c>
      <c r="B716" s="4" t="s">
        <v>22</v>
      </c>
      <c r="C716" s="4" t="s">
        <v>23</v>
      </c>
      <c r="D716" s="4" t="s">
        <v>24</v>
      </c>
      <c r="E716" s="4" t="s">
        <v>31</v>
      </c>
      <c r="F716" s="4" t="s">
        <v>25</v>
      </c>
      <c r="G716" s="4" t="s">
        <v>25</v>
      </c>
      <c r="H716" s="4" t="s">
        <v>25</v>
      </c>
      <c r="I716" s="5">
        <v>44348</v>
      </c>
      <c r="J716" s="6">
        <v>0</v>
      </c>
      <c r="K716" s="6">
        <v>0</v>
      </c>
      <c r="L716" s="6">
        <v>165.16200000000001</v>
      </c>
      <c r="M716" s="6">
        <v>165.16200000000001</v>
      </c>
      <c r="N716" s="6">
        <v>165.16200000000001</v>
      </c>
      <c r="O716" s="6">
        <v>165.16200000000001</v>
      </c>
      <c r="P716" s="6">
        <v>2235</v>
      </c>
      <c r="Q716" s="4" t="s">
        <v>26</v>
      </c>
      <c r="R716" s="4">
        <v>0</v>
      </c>
      <c r="S716" s="6">
        <v>0</v>
      </c>
      <c r="T716" s="6">
        <v>33</v>
      </c>
      <c r="U716" s="6">
        <v>74</v>
      </c>
      <c r="V716" s="6">
        <f>IF(ISERROR(VLOOKUP($S$716,'TAR FIN'!$A$1:$O$103,15,0)),0,VLOOKUP($S$716,'TAR FIN'!$A$1:$O$103,15,0))</f>
        <v>0</v>
      </c>
      <c r="W716" s="6">
        <f>IF(ISERROR(VLOOKUP($T$716,'TAR FIN'!$A$1:$O$103,15,0)),0,VLOOKUP($T$716,'TAR FIN'!$A$1:$O$103,15,0))</f>
        <v>176.22</v>
      </c>
      <c r="X716" s="6">
        <f>IF(ISERROR(VLOOKUP($U$716,'TAR FIN'!$A$1:$O$103,15,0)),0,VLOOKUP($U$716,'TAR FIN'!$A$1:$O$103,15,0))</f>
        <v>260.01</v>
      </c>
      <c r="Y716" s="6"/>
      <c r="Z716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16" s="6">
        <f ca="1">('TE BE'!$AB$17+'TE BF_350'!$AB$17+'TE CVA'!$AB$17)*(1-CUSTOS!$M$36)</f>
        <v>233.04599999999999</v>
      </c>
      <c r="AB716" s="6">
        <f>$K$716*$V$716</f>
        <v>0</v>
      </c>
      <c r="AC716" s="6">
        <f>$M$716*$W$716</f>
        <v>29104.84764</v>
      </c>
      <c r="AD716" s="6">
        <f>$O$716*$X$716</f>
        <v>42943.77162</v>
      </c>
      <c r="AE716" s="6">
        <f>$K$716*$Y$716</f>
        <v>0</v>
      </c>
      <c r="AF716" s="6">
        <f ca="1">$M$716*$Z$716</f>
        <v>29822.806854000002</v>
      </c>
      <c r="AG716" s="6">
        <f ca="1">$O$716*$AA$716</f>
        <v>38490.343452000001</v>
      </c>
    </row>
    <row r="717" spans="1:33" ht="11.25" customHeight="1" x14ac:dyDescent="0.25">
      <c r="A717" s="4" t="s">
        <v>27</v>
      </c>
      <c r="B717" s="4" t="s">
        <v>22</v>
      </c>
      <c r="C717" s="4" t="s">
        <v>23</v>
      </c>
      <c r="D717" s="4" t="s">
        <v>24</v>
      </c>
      <c r="E717" s="4" t="s">
        <v>31</v>
      </c>
      <c r="F717" s="4" t="s">
        <v>25</v>
      </c>
      <c r="G717" s="4" t="s">
        <v>25</v>
      </c>
      <c r="H717" s="4" t="s">
        <v>25</v>
      </c>
      <c r="I717" s="5">
        <v>44348</v>
      </c>
      <c r="J717" s="6">
        <v>0</v>
      </c>
      <c r="K717" s="6">
        <v>0</v>
      </c>
      <c r="L717" s="6">
        <v>-0.14000000000000001</v>
      </c>
      <c r="M717" s="6">
        <v>-0.14000000000000001</v>
      </c>
      <c r="N717" s="6">
        <v>-0.14000000000000001</v>
      </c>
      <c r="O717" s="6">
        <v>-0.14000000000000001</v>
      </c>
      <c r="P717" s="6">
        <v>0</v>
      </c>
      <c r="Q717" s="4" t="s">
        <v>26</v>
      </c>
      <c r="R717" s="4">
        <v>0</v>
      </c>
      <c r="S717" s="6">
        <v>0</v>
      </c>
      <c r="T717" s="6">
        <v>33</v>
      </c>
      <c r="U717" s="6">
        <v>74</v>
      </c>
      <c r="V717" s="6">
        <f>IF(ISERROR(VLOOKUP($S$717,'TAR FIN'!$A$1:$O$103,15,0)),0,VLOOKUP($S$717,'TAR FIN'!$A$1:$O$103,15,0))</f>
        <v>0</v>
      </c>
      <c r="W717" s="6">
        <f>IF(ISERROR(VLOOKUP($T$717,'TAR FIN'!$A$1:$O$103,15,0)),0,VLOOKUP($T$717,'TAR FIN'!$A$1:$O$103,15,0))</f>
        <v>176.22</v>
      </c>
      <c r="X717" s="6">
        <f>IF(ISERROR(VLOOKUP($U$717,'TAR FIN'!$A$1:$O$103,15,0)),0,VLOOKUP($U$717,'TAR FIN'!$A$1:$O$103,15,0))</f>
        <v>260.01</v>
      </c>
      <c r="Y717" s="6"/>
      <c r="Z717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17" s="6">
        <f ca="1">('TE BE'!$AB$17+'TE BF_350'!$AB$17+'TE CVA'!$AB$17)*(1-CUSTOS!$M$36)</f>
        <v>233.04599999999999</v>
      </c>
      <c r="AB717" s="6">
        <f>$K$717*$V$717</f>
        <v>0</v>
      </c>
      <c r="AC717" s="6">
        <f>$M$717*$W$717</f>
        <v>-24.670800000000003</v>
      </c>
      <c r="AD717" s="6">
        <f>$O$717*$X$717</f>
        <v>-36.401400000000002</v>
      </c>
      <c r="AE717" s="6">
        <f>$K$717*$Y$717</f>
        <v>0</v>
      </c>
      <c r="AF717" s="6">
        <f ca="1">$M$717*$Z$717</f>
        <v>-25.279380000000003</v>
      </c>
      <c r="AG717" s="6">
        <f ca="1">$O$717*$AA$717</f>
        <v>-32.626440000000002</v>
      </c>
    </row>
    <row r="718" spans="1:33" ht="11.25" customHeight="1" x14ac:dyDescent="0.25">
      <c r="A718" s="4" t="s">
        <v>21</v>
      </c>
      <c r="B718" s="4" t="s">
        <v>22</v>
      </c>
      <c r="C718" s="4" t="s">
        <v>23</v>
      </c>
      <c r="D718" s="4" t="s">
        <v>24</v>
      </c>
      <c r="E718" s="4" t="s">
        <v>31</v>
      </c>
      <c r="F718" s="4" t="s">
        <v>25</v>
      </c>
      <c r="G718" s="4" t="s">
        <v>25</v>
      </c>
      <c r="H718" s="4" t="s">
        <v>25</v>
      </c>
      <c r="I718" s="5">
        <v>44378</v>
      </c>
      <c r="J718" s="6">
        <v>0</v>
      </c>
      <c r="K718" s="6">
        <v>0</v>
      </c>
      <c r="L718" s="6">
        <v>164.381</v>
      </c>
      <c r="M718" s="6">
        <v>164.381</v>
      </c>
      <c r="N718" s="6">
        <v>164.381</v>
      </c>
      <c r="O718" s="6">
        <v>164.381</v>
      </c>
      <c r="P718" s="6">
        <v>2212</v>
      </c>
      <c r="Q718" s="4" t="s">
        <v>26</v>
      </c>
      <c r="R718" s="4">
        <v>0</v>
      </c>
      <c r="S718" s="6">
        <v>0</v>
      </c>
      <c r="T718" s="6">
        <v>33</v>
      </c>
      <c r="U718" s="6">
        <v>74</v>
      </c>
      <c r="V718" s="6">
        <f>IF(ISERROR(VLOOKUP($S$718,'TAR FIN'!$A$1:$O$103,15,0)),0,VLOOKUP($S$718,'TAR FIN'!$A$1:$O$103,15,0))</f>
        <v>0</v>
      </c>
      <c r="W718" s="6">
        <f>IF(ISERROR(VLOOKUP($T$718,'TAR FIN'!$A$1:$O$103,15,0)),0,VLOOKUP($T$718,'TAR FIN'!$A$1:$O$103,15,0))</f>
        <v>176.22</v>
      </c>
      <c r="X718" s="6">
        <f>IF(ISERROR(VLOOKUP($U$718,'TAR FIN'!$A$1:$O$103,15,0)),0,VLOOKUP($U$718,'TAR FIN'!$A$1:$O$103,15,0))</f>
        <v>260.01</v>
      </c>
      <c r="Y718" s="6"/>
      <c r="Z718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18" s="6">
        <f ca="1">('TE BE'!$AB$17+'TE BF_350'!$AB$17+'TE CVA'!$AB$17)*(1-CUSTOS!$M$36)</f>
        <v>233.04599999999999</v>
      </c>
      <c r="AB718" s="6">
        <f>$K$718*$V$718</f>
        <v>0</v>
      </c>
      <c r="AC718" s="6">
        <f>$M$718*$W$718</f>
        <v>28967.219819999998</v>
      </c>
      <c r="AD718" s="6">
        <f>$O$718*$X$718</f>
        <v>42740.703809999999</v>
      </c>
      <c r="AE718" s="6">
        <f>$K$718*$Y$718</f>
        <v>0</v>
      </c>
      <c r="AF718" s="6">
        <f ca="1">$M$718*$Z$718</f>
        <v>29681.784027000002</v>
      </c>
      <c r="AG718" s="6">
        <f ca="1">$O$718*$AA$718</f>
        <v>38308.334525999999</v>
      </c>
    </row>
    <row r="719" spans="1:33" ht="11.25" customHeight="1" x14ac:dyDescent="0.25">
      <c r="A719" s="4" t="s">
        <v>27</v>
      </c>
      <c r="B719" s="4" t="s">
        <v>22</v>
      </c>
      <c r="C719" s="4" t="s">
        <v>23</v>
      </c>
      <c r="D719" s="4" t="s">
        <v>24</v>
      </c>
      <c r="E719" s="4" t="s">
        <v>31</v>
      </c>
      <c r="F719" s="4" t="s">
        <v>25</v>
      </c>
      <c r="G719" s="4" t="s">
        <v>25</v>
      </c>
      <c r="H719" s="4" t="s">
        <v>25</v>
      </c>
      <c r="I719" s="5">
        <v>44378</v>
      </c>
      <c r="J719" s="6">
        <v>0</v>
      </c>
      <c r="K719" s="6">
        <v>0</v>
      </c>
      <c r="L719" s="6">
        <v>-0.13900000000000001</v>
      </c>
      <c r="M719" s="6">
        <v>-0.13900000000000001</v>
      </c>
      <c r="N719" s="6">
        <v>-0.13900000000000001</v>
      </c>
      <c r="O719" s="6">
        <v>-0.13900000000000001</v>
      </c>
      <c r="P719" s="6">
        <v>0</v>
      </c>
      <c r="Q719" s="4" t="s">
        <v>26</v>
      </c>
      <c r="R719" s="4">
        <v>0</v>
      </c>
      <c r="S719" s="6">
        <v>0</v>
      </c>
      <c r="T719" s="6">
        <v>33</v>
      </c>
      <c r="U719" s="6">
        <v>74</v>
      </c>
      <c r="V719" s="6">
        <f>IF(ISERROR(VLOOKUP($S$719,'TAR FIN'!$A$1:$O$103,15,0)),0,VLOOKUP($S$719,'TAR FIN'!$A$1:$O$103,15,0))</f>
        <v>0</v>
      </c>
      <c r="W719" s="6">
        <f>IF(ISERROR(VLOOKUP($T$719,'TAR FIN'!$A$1:$O$103,15,0)),0,VLOOKUP($T$719,'TAR FIN'!$A$1:$O$103,15,0))</f>
        <v>176.22</v>
      </c>
      <c r="X719" s="6">
        <f>IF(ISERROR(VLOOKUP($U$719,'TAR FIN'!$A$1:$O$103,15,0)),0,VLOOKUP($U$719,'TAR FIN'!$A$1:$O$103,15,0))</f>
        <v>260.01</v>
      </c>
      <c r="Y719" s="6"/>
      <c r="Z719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19" s="6">
        <f ca="1">('TE BE'!$AB$17+'TE BF_350'!$AB$17+'TE CVA'!$AB$17)*(1-CUSTOS!$M$36)</f>
        <v>233.04599999999999</v>
      </c>
      <c r="AB719" s="6">
        <f>$K$719*$V$719</f>
        <v>0</v>
      </c>
      <c r="AC719" s="6">
        <f>$M$719*$W$719</f>
        <v>-24.494580000000003</v>
      </c>
      <c r="AD719" s="6">
        <f>$O$719*$X$719</f>
        <v>-36.141390000000001</v>
      </c>
      <c r="AE719" s="6">
        <f>$K$719*$Y$719</f>
        <v>0</v>
      </c>
      <c r="AF719" s="6">
        <f ca="1">$M$719*$Z$719</f>
        <v>-25.098813000000003</v>
      </c>
      <c r="AG719" s="6">
        <f ca="1">$O$719*$AA$719</f>
        <v>-32.393394000000001</v>
      </c>
    </row>
    <row r="720" spans="1:33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31</v>
      </c>
      <c r="F720" s="4" t="s">
        <v>25</v>
      </c>
      <c r="G720" s="4" t="s">
        <v>25</v>
      </c>
      <c r="H720" s="4" t="s">
        <v>25</v>
      </c>
      <c r="I720" s="5">
        <v>44409</v>
      </c>
      <c r="J720" s="6">
        <v>0</v>
      </c>
      <c r="K720" s="6">
        <v>0</v>
      </c>
      <c r="L720" s="6">
        <v>172.28899999999999</v>
      </c>
      <c r="M720" s="6">
        <v>172.28899999999999</v>
      </c>
      <c r="N720" s="6">
        <v>172.28899999999999</v>
      </c>
      <c r="O720" s="6">
        <v>172.28899999999999</v>
      </c>
      <c r="P720" s="6">
        <v>2288</v>
      </c>
      <c r="Q720" s="4" t="s">
        <v>26</v>
      </c>
      <c r="R720" s="4">
        <v>0</v>
      </c>
      <c r="S720" s="6">
        <v>0</v>
      </c>
      <c r="T720" s="6">
        <v>33</v>
      </c>
      <c r="U720" s="6">
        <v>74</v>
      </c>
      <c r="V720" s="6">
        <f>IF(ISERROR(VLOOKUP($S$720,'TAR FIN'!$A$1:$O$103,15,0)),0,VLOOKUP($S$720,'TAR FIN'!$A$1:$O$103,15,0))</f>
        <v>0</v>
      </c>
      <c r="W720" s="6">
        <f>IF(ISERROR(VLOOKUP($T$720,'TAR FIN'!$A$1:$O$103,15,0)),0,VLOOKUP($T$720,'TAR FIN'!$A$1:$O$103,15,0))</f>
        <v>176.22</v>
      </c>
      <c r="X720" s="6">
        <f>IF(ISERROR(VLOOKUP($U$720,'TAR FIN'!$A$1:$O$103,15,0)),0,VLOOKUP($U$720,'TAR FIN'!$A$1:$O$103,15,0))</f>
        <v>260.01</v>
      </c>
      <c r="Y720" s="6"/>
      <c r="Z720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0" s="6">
        <f ca="1">('TE BE'!$AB$17+'TE BF_350'!$AB$17+'TE CVA'!$AB$17)*(1-CUSTOS!$M$36)</f>
        <v>233.04599999999999</v>
      </c>
      <c r="AB720" s="6">
        <f>$K$720*$V$720</f>
        <v>0</v>
      </c>
      <c r="AC720" s="6">
        <f>$M$720*$W$720</f>
        <v>30360.767579999996</v>
      </c>
      <c r="AD720" s="6">
        <f>$O$720*$X$720</f>
        <v>44796.862889999997</v>
      </c>
      <c r="AE720" s="6">
        <f>$K$720*$Y$720</f>
        <v>0</v>
      </c>
      <c r="AF720" s="6">
        <f ca="1">$M$720*$Z$720</f>
        <v>31109.707863</v>
      </c>
      <c r="AG720" s="6">
        <f ca="1">$O$720*$AA$720</f>
        <v>40151.262293999993</v>
      </c>
    </row>
    <row r="721" spans="1:33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31</v>
      </c>
      <c r="F721" s="4" t="s">
        <v>25</v>
      </c>
      <c r="G721" s="4" t="s">
        <v>25</v>
      </c>
      <c r="H721" s="4" t="s">
        <v>25</v>
      </c>
      <c r="I721" s="5">
        <v>44409</v>
      </c>
      <c r="J721" s="6">
        <v>0</v>
      </c>
      <c r="K721" s="6">
        <v>0</v>
      </c>
      <c r="L721" s="6">
        <v>-0.41199999999999998</v>
      </c>
      <c r="M721" s="6">
        <v>-0.41199999999999998</v>
      </c>
      <c r="N721" s="6">
        <v>-0.41199999999999998</v>
      </c>
      <c r="O721" s="6">
        <v>-0.41199999999999998</v>
      </c>
      <c r="P721" s="6">
        <v>0</v>
      </c>
      <c r="Q721" s="4" t="s">
        <v>26</v>
      </c>
      <c r="R721" s="4">
        <v>0</v>
      </c>
      <c r="S721" s="6">
        <v>0</v>
      </c>
      <c r="T721" s="6">
        <v>33</v>
      </c>
      <c r="U721" s="6">
        <v>74</v>
      </c>
      <c r="V721" s="6">
        <f>IF(ISERROR(VLOOKUP($S$721,'TAR FIN'!$A$1:$O$103,15,0)),0,VLOOKUP($S$721,'TAR FIN'!$A$1:$O$103,15,0))</f>
        <v>0</v>
      </c>
      <c r="W721" s="6">
        <f>IF(ISERROR(VLOOKUP($T$721,'TAR FIN'!$A$1:$O$103,15,0)),0,VLOOKUP($T$721,'TAR FIN'!$A$1:$O$103,15,0))</f>
        <v>176.22</v>
      </c>
      <c r="X721" s="6">
        <f>IF(ISERROR(VLOOKUP($U$721,'TAR FIN'!$A$1:$O$103,15,0)),0,VLOOKUP($U$721,'TAR FIN'!$A$1:$O$103,15,0))</f>
        <v>260.01</v>
      </c>
      <c r="Y721" s="6"/>
      <c r="Z721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1" s="6">
        <f ca="1">('TE BE'!$AB$17+'TE BF_350'!$AB$17+'TE CVA'!$AB$17)*(1-CUSTOS!$M$36)</f>
        <v>233.04599999999999</v>
      </c>
      <c r="AB721" s="6">
        <f>$K$721*$V$721</f>
        <v>0</v>
      </c>
      <c r="AC721" s="6">
        <f>$M$721*$W$721</f>
        <v>-72.602639999999994</v>
      </c>
      <c r="AD721" s="6">
        <f>$O$721*$X$721</f>
        <v>-107.12411999999999</v>
      </c>
      <c r="AE721" s="6">
        <f>$K$721*$Y$721</f>
        <v>0</v>
      </c>
      <c r="AF721" s="6">
        <f ca="1">$M$721*$Z$721</f>
        <v>-74.393603999999996</v>
      </c>
      <c r="AG721" s="6">
        <f ca="1">$O$721*$AA$721</f>
        <v>-96.014951999999994</v>
      </c>
    </row>
    <row r="722" spans="1:33" ht="11.25" customHeight="1" x14ac:dyDescent="0.25">
      <c r="A722" s="4" t="s">
        <v>21</v>
      </c>
      <c r="B722" s="4" t="s">
        <v>22</v>
      </c>
      <c r="C722" s="4" t="s">
        <v>23</v>
      </c>
      <c r="D722" s="4" t="s">
        <v>24</v>
      </c>
      <c r="E722" s="4" t="s">
        <v>31</v>
      </c>
      <c r="F722" s="4" t="s">
        <v>25</v>
      </c>
      <c r="G722" s="4" t="s">
        <v>25</v>
      </c>
      <c r="H722" s="4" t="s">
        <v>25</v>
      </c>
      <c r="I722" s="5">
        <v>44440</v>
      </c>
      <c r="J722" s="6">
        <v>0</v>
      </c>
      <c r="K722" s="6">
        <v>0</v>
      </c>
      <c r="L722" s="6">
        <v>172.27199999999999</v>
      </c>
      <c r="M722" s="6">
        <v>172.27199999999999</v>
      </c>
      <c r="N722" s="6">
        <v>172.27199999999999</v>
      </c>
      <c r="O722" s="6">
        <v>172.27199999999999</v>
      </c>
      <c r="P722" s="6">
        <v>2446</v>
      </c>
      <c r="Q722" s="4" t="s">
        <v>26</v>
      </c>
      <c r="R722" s="4">
        <v>0</v>
      </c>
      <c r="S722" s="6">
        <v>0</v>
      </c>
      <c r="T722" s="6">
        <v>33</v>
      </c>
      <c r="U722" s="6">
        <v>74</v>
      </c>
      <c r="V722" s="6">
        <f>IF(ISERROR(VLOOKUP($S$722,'TAR FIN'!$A$1:$O$103,15,0)),0,VLOOKUP($S$722,'TAR FIN'!$A$1:$O$103,15,0))</f>
        <v>0</v>
      </c>
      <c r="W722" s="6">
        <f>IF(ISERROR(VLOOKUP($T$722,'TAR FIN'!$A$1:$O$103,15,0)),0,VLOOKUP($T$722,'TAR FIN'!$A$1:$O$103,15,0))</f>
        <v>176.22</v>
      </c>
      <c r="X722" s="6">
        <f>IF(ISERROR(VLOOKUP($U$722,'TAR FIN'!$A$1:$O$103,15,0)),0,VLOOKUP($U$722,'TAR FIN'!$A$1:$O$103,15,0))</f>
        <v>260.01</v>
      </c>
      <c r="Y722" s="6"/>
      <c r="Z722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2" s="6">
        <f ca="1">('TE BE'!$AB$17+'TE BF_350'!$AB$17+'TE CVA'!$AB$17)*(1-CUSTOS!$M$36)</f>
        <v>233.04599999999999</v>
      </c>
      <c r="AB722" s="6">
        <f>$K$722*$V$722</f>
        <v>0</v>
      </c>
      <c r="AC722" s="6">
        <f>$M$722*$W$722</f>
        <v>30357.771839999998</v>
      </c>
      <c r="AD722" s="6">
        <f>$O$722*$X$722</f>
        <v>44792.442719999999</v>
      </c>
      <c r="AE722" s="6">
        <f>$K$722*$Y$722</f>
        <v>0</v>
      </c>
      <c r="AF722" s="6">
        <f ca="1">$M$722*$Z$722</f>
        <v>31106.638223999998</v>
      </c>
      <c r="AG722" s="6">
        <f ca="1">$O$722*$AA$722</f>
        <v>40147.300511999994</v>
      </c>
    </row>
    <row r="723" spans="1:33" ht="11.25" customHeight="1" x14ac:dyDescent="0.25">
      <c r="A723" s="4" t="s">
        <v>27</v>
      </c>
      <c r="B723" s="4" t="s">
        <v>22</v>
      </c>
      <c r="C723" s="4" t="s">
        <v>23</v>
      </c>
      <c r="D723" s="4" t="s">
        <v>24</v>
      </c>
      <c r="E723" s="4" t="s">
        <v>31</v>
      </c>
      <c r="F723" s="4" t="s">
        <v>25</v>
      </c>
      <c r="G723" s="4" t="s">
        <v>25</v>
      </c>
      <c r="H723" s="4" t="s">
        <v>25</v>
      </c>
      <c r="I723" s="5">
        <v>44440</v>
      </c>
      <c r="J723" s="6">
        <v>0</v>
      </c>
      <c r="K723" s="6">
        <v>0</v>
      </c>
      <c r="L723" s="6">
        <v>-0.23200000000000001</v>
      </c>
      <c r="M723" s="6">
        <v>-0.23200000000000001</v>
      </c>
      <c r="N723" s="6">
        <v>-0.23200000000000001</v>
      </c>
      <c r="O723" s="6">
        <v>-0.23200000000000001</v>
      </c>
      <c r="P723" s="6">
        <v>0</v>
      </c>
      <c r="Q723" s="4" t="s">
        <v>26</v>
      </c>
      <c r="R723" s="4">
        <v>0</v>
      </c>
      <c r="S723" s="6">
        <v>0</v>
      </c>
      <c r="T723" s="6">
        <v>33</v>
      </c>
      <c r="U723" s="6">
        <v>74</v>
      </c>
      <c r="V723" s="6">
        <f>IF(ISERROR(VLOOKUP($S$723,'TAR FIN'!$A$1:$O$103,15,0)),0,VLOOKUP($S$723,'TAR FIN'!$A$1:$O$103,15,0))</f>
        <v>0</v>
      </c>
      <c r="W723" s="6">
        <f>IF(ISERROR(VLOOKUP($T$723,'TAR FIN'!$A$1:$O$103,15,0)),0,VLOOKUP($T$723,'TAR FIN'!$A$1:$O$103,15,0))</f>
        <v>176.22</v>
      </c>
      <c r="X723" s="6">
        <f>IF(ISERROR(VLOOKUP($U$723,'TAR FIN'!$A$1:$O$103,15,0)),0,VLOOKUP($U$723,'TAR FIN'!$A$1:$O$103,15,0))</f>
        <v>260.01</v>
      </c>
      <c r="Y723" s="6"/>
      <c r="Z723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3" s="6">
        <f ca="1">('TE BE'!$AB$17+'TE BF_350'!$AB$17+'TE CVA'!$AB$17)*(1-CUSTOS!$M$36)</f>
        <v>233.04599999999999</v>
      </c>
      <c r="AB723" s="6">
        <f>$K$723*$V$723</f>
        <v>0</v>
      </c>
      <c r="AC723" s="6">
        <f>$M$723*$W$723</f>
        <v>-40.883040000000001</v>
      </c>
      <c r="AD723" s="6">
        <f>$O$723*$X$723</f>
        <v>-60.322319999999998</v>
      </c>
      <c r="AE723" s="6">
        <f>$K$723*$Y$723</f>
        <v>0</v>
      </c>
      <c r="AF723" s="6">
        <f ca="1">$M$723*$Z$723</f>
        <v>-41.891544000000003</v>
      </c>
      <c r="AG723" s="6">
        <f ca="1">$O$723*$AA$723</f>
        <v>-54.066672000000004</v>
      </c>
    </row>
    <row r="724" spans="1:33" ht="11.25" customHeight="1" x14ac:dyDescent="0.25">
      <c r="A724" s="4" t="s">
        <v>21</v>
      </c>
      <c r="B724" s="4" t="s">
        <v>22</v>
      </c>
      <c r="C724" s="4" t="s">
        <v>23</v>
      </c>
      <c r="D724" s="4" t="s">
        <v>24</v>
      </c>
      <c r="E724" s="4" t="s">
        <v>31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6">
        <v>0</v>
      </c>
      <c r="L724" s="6">
        <v>173.268</v>
      </c>
      <c r="M724" s="6">
        <v>173.268</v>
      </c>
      <c r="N724" s="6">
        <v>173.268</v>
      </c>
      <c r="O724" s="6">
        <v>173.268</v>
      </c>
      <c r="P724" s="6">
        <v>2438</v>
      </c>
      <c r="Q724" s="4" t="s">
        <v>26</v>
      </c>
      <c r="R724" s="4">
        <v>0</v>
      </c>
      <c r="S724" s="6">
        <v>0</v>
      </c>
      <c r="T724" s="6">
        <v>33</v>
      </c>
      <c r="U724" s="6">
        <v>74</v>
      </c>
      <c r="V724" s="6">
        <f>IF(ISERROR(VLOOKUP($S$724,'TAR FIN'!$A$1:$O$103,15,0)),0,VLOOKUP($S$724,'TAR FIN'!$A$1:$O$103,15,0))</f>
        <v>0</v>
      </c>
      <c r="W724" s="6">
        <f>IF(ISERROR(VLOOKUP($T$724,'TAR FIN'!$A$1:$O$103,15,0)),0,VLOOKUP($T$724,'TAR FIN'!$A$1:$O$103,15,0))</f>
        <v>176.22</v>
      </c>
      <c r="X724" s="6">
        <f>IF(ISERROR(VLOOKUP($U$724,'TAR FIN'!$A$1:$O$103,15,0)),0,VLOOKUP($U$724,'TAR FIN'!$A$1:$O$103,15,0))</f>
        <v>260.01</v>
      </c>
      <c r="Y724" s="6"/>
      <c r="Z724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4" s="6">
        <f ca="1">('TE BE'!$AB$17+'TE BF_350'!$AB$17+'TE CVA'!$AB$17)*(1-CUSTOS!$M$36)</f>
        <v>233.04599999999999</v>
      </c>
      <c r="AB724" s="6">
        <f>$K$724*$V$724</f>
        <v>0</v>
      </c>
      <c r="AC724" s="6">
        <f>$M$724*$W$724</f>
        <v>30533.286960000001</v>
      </c>
      <c r="AD724" s="6">
        <f>$O$724*$X$724</f>
        <v>45051.412680000001</v>
      </c>
      <c r="AE724" s="6">
        <f>$K$724*$Y$724</f>
        <v>0</v>
      </c>
      <c r="AF724" s="6">
        <f ca="1">$M$724*$Z$724</f>
        <v>31286.482956</v>
      </c>
      <c r="AG724" s="6">
        <f ca="1">$O$724*$AA$724</f>
        <v>40379.414327999999</v>
      </c>
    </row>
    <row r="725" spans="1:33" ht="11.25" customHeight="1" x14ac:dyDescent="0.25">
      <c r="A725" s="4" t="s">
        <v>27</v>
      </c>
      <c r="B725" s="4" t="s">
        <v>22</v>
      </c>
      <c r="C725" s="4" t="s">
        <v>23</v>
      </c>
      <c r="D725" s="4" t="s">
        <v>24</v>
      </c>
      <c r="E725" s="4" t="s">
        <v>31</v>
      </c>
      <c r="F725" s="4" t="s">
        <v>25</v>
      </c>
      <c r="G725" s="4" t="s">
        <v>25</v>
      </c>
      <c r="H725" s="4" t="s">
        <v>25</v>
      </c>
      <c r="I725" s="5">
        <v>44470</v>
      </c>
      <c r="J725" s="6">
        <v>0</v>
      </c>
      <c r="K725" s="6">
        <v>0</v>
      </c>
      <c r="L725" s="6">
        <v>-0.32200000000000001</v>
      </c>
      <c r="M725" s="6">
        <v>-0.32200000000000001</v>
      </c>
      <c r="N725" s="6">
        <v>-0.32200000000000001</v>
      </c>
      <c r="O725" s="6">
        <v>-0.32200000000000001</v>
      </c>
      <c r="P725" s="6">
        <v>0</v>
      </c>
      <c r="Q725" s="4" t="s">
        <v>26</v>
      </c>
      <c r="R725" s="4">
        <v>0</v>
      </c>
      <c r="S725" s="6">
        <v>0</v>
      </c>
      <c r="T725" s="6">
        <v>33</v>
      </c>
      <c r="U725" s="6">
        <v>74</v>
      </c>
      <c r="V725" s="6">
        <f>IF(ISERROR(VLOOKUP($S$725,'TAR FIN'!$A$1:$O$103,15,0)),0,VLOOKUP($S$725,'TAR FIN'!$A$1:$O$103,15,0))</f>
        <v>0</v>
      </c>
      <c r="W725" s="6">
        <f>IF(ISERROR(VLOOKUP($T$725,'TAR FIN'!$A$1:$O$103,15,0)),0,VLOOKUP($T$725,'TAR FIN'!$A$1:$O$103,15,0))</f>
        <v>176.22</v>
      </c>
      <c r="X725" s="6">
        <f>IF(ISERROR(VLOOKUP($U$725,'TAR FIN'!$A$1:$O$103,15,0)),0,VLOOKUP($U$725,'TAR FIN'!$A$1:$O$103,15,0))</f>
        <v>260.01</v>
      </c>
      <c r="Y725" s="6"/>
      <c r="Z725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5" s="6">
        <f ca="1">('TE BE'!$AB$17+'TE BF_350'!$AB$17+'TE CVA'!$AB$17)*(1-CUSTOS!$M$36)</f>
        <v>233.04599999999999</v>
      </c>
      <c r="AB725" s="6">
        <f>$K$725*$V$725</f>
        <v>0</v>
      </c>
      <c r="AC725" s="6">
        <f>$M$725*$W$725</f>
        <v>-56.742840000000001</v>
      </c>
      <c r="AD725" s="6">
        <f>$O$725*$X$725</f>
        <v>-83.723219999999998</v>
      </c>
      <c r="AE725" s="6">
        <f>$K$725*$Y$725</f>
        <v>0</v>
      </c>
      <c r="AF725" s="6">
        <f ca="1">$M$725*$Z$725</f>
        <v>-58.142574000000003</v>
      </c>
      <c r="AG725" s="6">
        <f ca="1">$O$725*$AA$725</f>
        <v>-75.040812000000003</v>
      </c>
    </row>
    <row r="726" spans="1:33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31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163.98</v>
      </c>
      <c r="M726" s="6">
        <v>163.98</v>
      </c>
      <c r="N726" s="6">
        <v>163.98</v>
      </c>
      <c r="O726" s="6">
        <v>163.98</v>
      </c>
      <c r="P726" s="6">
        <v>2360</v>
      </c>
      <c r="Q726" s="4" t="s">
        <v>26</v>
      </c>
      <c r="R726" s="4">
        <v>0</v>
      </c>
      <c r="S726" s="6">
        <v>0</v>
      </c>
      <c r="T726" s="6">
        <v>33</v>
      </c>
      <c r="U726" s="6">
        <v>74</v>
      </c>
      <c r="V726" s="6">
        <f>IF(ISERROR(VLOOKUP($S$726,'TAR FIN'!$A$1:$O$103,15,0)),0,VLOOKUP($S$726,'TAR FIN'!$A$1:$O$103,15,0))</f>
        <v>0</v>
      </c>
      <c r="W726" s="6">
        <f>IF(ISERROR(VLOOKUP($T$726,'TAR FIN'!$A$1:$O$103,15,0)),0,VLOOKUP($T$726,'TAR FIN'!$A$1:$O$103,15,0))</f>
        <v>176.22</v>
      </c>
      <c r="X726" s="6">
        <f>IF(ISERROR(VLOOKUP($U$726,'TAR FIN'!$A$1:$O$103,15,0)),0,VLOOKUP($U$726,'TAR FIN'!$A$1:$O$103,15,0))</f>
        <v>260.01</v>
      </c>
      <c r="Y726" s="6"/>
      <c r="Z726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6" s="6">
        <f ca="1">('TE BE'!$AB$17+'TE BF_350'!$AB$17+'TE CVA'!$AB$17)*(1-CUSTOS!$M$36)</f>
        <v>233.04599999999999</v>
      </c>
      <c r="AB726" s="6">
        <f>$K$726*$V$726</f>
        <v>0</v>
      </c>
      <c r="AC726" s="6">
        <f>$M$726*$W$726</f>
        <v>28896.5556</v>
      </c>
      <c r="AD726" s="6">
        <f>$O$726*$X$726</f>
        <v>42636.439799999993</v>
      </c>
      <c r="AE726" s="6">
        <f>$K$726*$Y$726</f>
        <v>0</v>
      </c>
      <c r="AF726" s="6">
        <f ca="1">$M$726*$Z$726</f>
        <v>29609.376659999998</v>
      </c>
      <c r="AG726" s="6">
        <f ca="1">$O$726*$AA$726</f>
        <v>38214.88308</v>
      </c>
    </row>
    <row r="727" spans="1:33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31</v>
      </c>
      <c r="F727" s="4" t="s">
        <v>25</v>
      </c>
      <c r="G727" s="4" t="s">
        <v>25</v>
      </c>
      <c r="H727" s="4" t="s">
        <v>25</v>
      </c>
      <c r="I727" s="5">
        <v>44501</v>
      </c>
      <c r="J727" s="6">
        <v>0</v>
      </c>
      <c r="K727" s="6">
        <v>0</v>
      </c>
      <c r="L727" s="6">
        <v>-0.16700000000000001</v>
      </c>
      <c r="M727" s="6">
        <v>-0.16700000000000001</v>
      </c>
      <c r="N727" s="6">
        <v>-0.16700000000000001</v>
      </c>
      <c r="O727" s="6">
        <v>-0.16700000000000001</v>
      </c>
      <c r="P727" s="6">
        <v>0</v>
      </c>
      <c r="Q727" s="4" t="s">
        <v>26</v>
      </c>
      <c r="R727" s="4">
        <v>0</v>
      </c>
      <c r="S727" s="6">
        <v>0</v>
      </c>
      <c r="T727" s="6">
        <v>33</v>
      </c>
      <c r="U727" s="6">
        <v>74</v>
      </c>
      <c r="V727" s="6">
        <f>IF(ISERROR(VLOOKUP($S$727,'TAR FIN'!$A$1:$O$103,15,0)),0,VLOOKUP($S$727,'TAR FIN'!$A$1:$O$103,15,0))</f>
        <v>0</v>
      </c>
      <c r="W727" s="6">
        <f>IF(ISERROR(VLOOKUP($T$727,'TAR FIN'!$A$1:$O$103,15,0)),0,VLOOKUP($T$727,'TAR FIN'!$A$1:$O$103,15,0))</f>
        <v>176.22</v>
      </c>
      <c r="X727" s="6">
        <f>IF(ISERROR(VLOOKUP($U$727,'TAR FIN'!$A$1:$O$103,15,0)),0,VLOOKUP($U$727,'TAR FIN'!$A$1:$O$103,15,0))</f>
        <v>260.01</v>
      </c>
      <c r="Y727" s="6"/>
      <c r="Z727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7" s="6">
        <f ca="1">('TE BE'!$AB$17+'TE BF_350'!$AB$17+'TE CVA'!$AB$17)*(1-CUSTOS!$M$36)</f>
        <v>233.04599999999999</v>
      </c>
      <c r="AB727" s="6">
        <f>$K$727*$V$727</f>
        <v>0</v>
      </c>
      <c r="AC727" s="6">
        <f>$M$727*$W$727</f>
        <v>-29.428740000000001</v>
      </c>
      <c r="AD727" s="6">
        <f>$O$727*$X$727</f>
        <v>-43.421669999999999</v>
      </c>
      <c r="AE727" s="6">
        <f>$K$727*$Y$727</f>
        <v>0</v>
      </c>
      <c r="AF727" s="6">
        <f ca="1">$M$727*$Z$727</f>
        <v>-30.154689000000001</v>
      </c>
      <c r="AG727" s="6">
        <f ca="1">$O$727*$AA$727</f>
        <v>-38.918682000000004</v>
      </c>
    </row>
    <row r="728" spans="1:3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31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157.48400000000001</v>
      </c>
      <c r="M728" s="6">
        <v>157.48400000000001</v>
      </c>
      <c r="N728" s="6">
        <v>157.48400000000001</v>
      </c>
      <c r="O728" s="6">
        <v>157.48400000000001</v>
      </c>
      <c r="P728" s="6">
        <v>2424</v>
      </c>
      <c r="Q728" s="4" t="s">
        <v>26</v>
      </c>
      <c r="R728" s="4">
        <v>0</v>
      </c>
      <c r="S728" s="6">
        <v>0</v>
      </c>
      <c r="T728" s="6">
        <v>33</v>
      </c>
      <c r="U728" s="6">
        <v>74</v>
      </c>
      <c r="V728" s="6">
        <f>IF(ISERROR(VLOOKUP($S$728,'TAR FIN'!$A$1:$O$103,15,0)),0,VLOOKUP($S$728,'TAR FIN'!$A$1:$O$103,15,0))</f>
        <v>0</v>
      </c>
      <c r="W728" s="6">
        <f>IF(ISERROR(VLOOKUP($T$728,'TAR FIN'!$A$1:$O$103,15,0)),0,VLOOKUP($T$728,'TAR FIN'!$A$1:$O$103,15,0))</f>
        <v>176.22</v>
      </c>
      <c r="X728" s="6">
        <f>IF(ISERROR(VLOOKUP($U$728,'TAR FIN'!$A$1:$O$103,15,0)),0,VLOOKUP($U$728,'TAR FIN'!$A$1:$O$103,15,0))</f>
        <v>260.01</v>
      </c>
      <c r="Y728" s="6"/>
      <c r="Z728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8" s="6">
        <f ca="1">('TE BE'!$AB$17+'TE BF_350'!$AB$17+'TE CVA'!$AB$17)*(1-CUSTOS!$M$36)</f>
        <v>233.04599999999999</v>
      </c>
      <c r="AB728" s="6">
        <f>$K$728*$V$728</f>
        <v>0</v>
      </c>
      <c r="AC728" s="6">
        <f>$M$728*$W$728</f>
        <v>27751.830480000001</v>
      </c>
      <c r="AD728" s="6">
        <f>$O$728*$X$728</f>
        <v>40947.414839999998</v>
      </c>
      <c r="AE728" s="6">
        <f>$K$728*$Y$728</f>
        <v>0</v>
      </c>
      <c r="AF728" s="6">
        <f ca="1">$M$728*$Z$728</f>
        <v>28436.413428000003</v>
      </c>
      <c r="AG728" s="6">
        <f ca="1">$O$728*$AA$728</f>
        <v>36701.016263999998</v>
      </c>
    </row>
    <row r="729" spans="1:3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31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-0.33300000000000002</v>
      </c>
      <c r="M729" s="6">
        <v>-0.33300000000000002</v>
      </c>
      <c r="N729" s="6">
        <v>-0.33300000000000002</v>
      </c>
      <c r="O729" s="6">
        <v>-0.33300000000000002</v>
      </c>
      <c r="P729" s="6">
        <v>0</v>
      </c>
      <c r="Q729" s="4" t="s">
        <v>26</v>
      </c>
      <c r="R729" s="4">
        <v>0</v>
      </c>
      <c r="S729" s="6">
        <v>0</v>
      </c>
      <c r="T729" s="6">
        <v>33</v>
      </c>
      <c r="U729" s="6">
        <v>74</v>
      </c>
      <c r="V729" s="6">
        <f>IF(ISERROR(VLOOKUP($S$729,'TAR FIN'!$A$1:$O$103,15,0)),0,VLOOKUP($S$729,'TAR FIN'!$A$1:$O$103,15,0))</f>
        <v>0</v>
      </c>
      <c r="W729" s="6">
        <f>IF(ISERROR(VLOOKUP($T$729,'TAR FIN'!$A$1:$O$103,15,0)),0,VLOOKUP($T$729,'TAR FIN'!$A$1:$O$103,15,0))</f>
        <v>176.22</v>
      </c>
      <c r="X729" s="6">
        <f>IF(ISERROR(VLOOKUP($U$729,'TAR FIN'!$A$1:$O$103,15,0)),0,VLOOKUP($U$729,'TAR FIN'!$A$1:$O$103,15,0))</f>
        <v>260.01</v>
      </c>
      <c r="Y729" s="6"/>
      <c r="Z729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29" s="6">
        <f ca="1">('TE BE'!$AB$17+'TE BF_350'!$AB$17+'TE CVA'!$AB$17)*(1-CUSTOS!$M$36)</f>
        <v>233.04599999999999</v>
      </c>
      <c r="AB729" s="6">
        <f>$K$729*$V$729</f>
        <v>0</v>
      </c>
      <c r="AC729" s="6">
        <f>$M$729*$W$729</f>
        <v>-58.681260000000002</v>
      </c>
      <c r="AD729" s="6">
        <f>$O$729*$X$729</f>
        <v>-86.583330000000004</v>
      </c>
      <c r="AE729" s="6">
        <f>$K$729*$Y$729</f>
        <v>0</v>
      </c>
      <c r="AF729" s="6">
        <f ca="1">$M$729*$Z$729</f>
        <v>-60.128811000000006</v>
      </c>
      <c r="AG729" s="6">
        <f ca="1">$O$729*$AA$729</f>
        <v>-77.604318000000006</v>
      </c>
    </row>
    <row r="730" spans="1:33" ht="11.25" customHeight="1" x14ac:dyDescent="0.25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31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164.59299999999999</v>
      </c>
      <c r="M730" s="6">
        <v>164.59299999999999</v>
      </c>
      <c r="N730" s="6">
        <v>164.59299999999999</v>
      </c>
      <c r="O730" s="6">
        <v>164.59299999999999</v>
      </c>
      <c r="P730" s="6">
        <v>2457</v>
      </c>
      <c r="Q730" s="4" t="s">
        <v>26</v>
      </c>
      <c r="R730" s="4">
        <v>0</v>
      </c>
      <c r="S730" s="6">
        <v>0</v>
      </c>
      <c r="T730" s="6">
        <v>33</v>
      </c>
      <c r="U730" s="6">
        <v>74</v>
      </c>
      <c r="V730" s="6">
        <f>IF(ISERROR(VLOOKUP($S$730,'TAR FIN'!$A$1:$O$103,15,0)),0,VLOOKUP($S$730,'TAR FIN'!$A$1:$O$103,15,0))</f>
        <v>0</v>
      </c>
      <c r="W730" s="6">
        <f>IF(ISERROR(VLOOKUP($T$730,'TAR FIN'!$A$1:$O$103,15,0)),0,VLOOKUP($T$730,'TAR FIN'!$A$1:$O$103,15,0))</f>
        <v>176.22</v>
      </c>
      <c r="X730" s="6">
        <f>IF(ISERROR(VLOOKUP($U$730,'TAR FIN'!$A$1:$O$103,15,0)),0,VLOOKUP($U$730,'TAR FIN'!$A$1:$O$103,15,0))</f>
        <v>260.01</v>
      </c>
      <c r="Y730" s="6"/>
      <c r="Z730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0" s="6">
        <f ca="1">('TE BE'!$AB$17+'TE BF_350'!$AB$17+'TE CVA'!$AB$17)*(1-CUSTOS!$M$36)</f>
        <v>233.04599999999999</v>
      </c>
      <c r="AB730" s="6">
        <f>$K$730*$V$730</f>
        <v>0</v>
      </c>
      <c r="AC730" s="6">
        <f>$M$730*$W$730</f>
        <v>29004.578459999997</v>
      </c>
      <c r="AD730" s="6">
        <f>$O$730*$X$730</f>
        <v>42795.825929999999</v>
      </c>
      <c r="AE730" s="6">
        <f>$K$730*$Y$730</f>
        <v>0</v>
      </c>
      <c r="AF730" s="6">
        <f ca="1">$M$730*$Z$730</f>
        <v>29720.064231</v>
      </c>
      <c r="AG730" s="6">
        <f ca="1">$O$730*$AA$730</f>
        <v>38357.740277999997</v>
      </c>
    </row>
    <row r="731" spans="1:33" ht="11.25" customHeight="1" x14ac:dyDescent="0.25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31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-0.313</v>
      </c>
      <c r="M731" s="6">
        <v>-0.313</v>
      </c>
      <c r="N731" s="6">
        <v>-0.313</v>
      </c>
      <c r="O731" s="6">
        <v>-0.313</v>
      </c>
      <c r="P731" s="6">
        <v>0</v>
      </c>
      <c r="Q731" s="4" t="s">
        <v>26</v>
      </c>
      <c r="R731" s="4">
        <v>0</v>
      </c>
      <c r="S731" s="6">
        <v>0</v>
      </c>
      <c r="T731" s="6">
        <v>33</v>
      </c>
      <c r="U731" s="6">
        <v>74</v>
      </c>
      <c r="V731" s="6">
        <f>IF(ISERROR(VLOOKUP($S$731,'TAR FIN'!$A$1:$O$103,15,0)),0,VLOOKUP($S$731,'TAR FIN'!$A$1:$O$103,15,0))</f>
        <v>0</v>
      </c>
      <c r="W731" s="6">
        <f>IF(ISERROR(VLOOKUP($T$731,'TAR FIN'!$A$1:$O$103,15,0)),0,VLOOKUP($T$731,'TAR FIN'!$A$1:$O$103,15,0))</f>
        <v>176.22</v>
      </c>
      <c r="X731" s="6">
        <f>IF(ISERROR(VLOOKUP($U$731,'TAR FIN'!$A$1:$O$103,15,0)),0,VLOOKUP($U$731,'TAR FIN'!$A$1:$O$103,15,0))</f>
        <v>260.01</v>
      </c>
      <c r="Y731" s="6"/>
      <c r="Z731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1" s="6">
        <f ca="1">('TE BE'!$AB$17+'TE BF_350'!$AB$17+'TE CVA'!$AB$17)*(1-CUSTOS!$M$36)</f>
        <v>233.04599999999999</v>
      </c>
      <c r="AB731" s="6">
        <f>$K$731*$V$731</f>
        <v>0</v>
      </c>
      <c r="AC731" s="6">
        <f>$M$731*$W$731</f>
        <v>-55.156860000000002</v>
      </c>
      <c r="AD731" s="6">
        <f>$O$731*$X$731</f>
        <v>-81.383129999999994</v>
      </c>
      <c r="AE731" s="6">
        <f>$K$731*$Y$731</f>
        <v>0</v>
      </c>
      <c r="AF731" s="6">
        <f ca="1">$M$731*$Z$731</f>
        <v>-56.517471</v>
      </c>
      <c r="AG731" s="6">
        <f ca="1">$O$731*$AA$731</f>
        <v>-72.943398000000002</v>
      </c>
    </row>
    <row r="732" spans="1:33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31</v>
      </c>
      <c r="F732" s="4" t="s">
        <v>25</v>
      </c>
      <c r="G732" s="4" t="s">
        <v>25</v>
      </c>
      <c r="H732" s="4" t="s">
        <v>25</v>
      </c>
      <c r="I732" s="5">
        <v>44593</v>
      </c>
      <c r="J732" s="6">
        <v>0</v>
      </c>
      <c r="K732" s="6">
        <v>0</v>
      </c>
      <c r="L732" s="6">
        <v>191.77099999999999</v>
      </c>
      <c r="M732" s="6">
        <v>191.77099999999999</v>
      </c>
      <c r="N732" s="6">
        <v>191.77099999999999</v>
      </c>
      <c r="O732" s="6">
        <v>191.77099999999999</v>
      </c>
      <c r="P732" s="6">
        <v>2580</v>
      </c>
      <c r="Q732" s="4" t="s">
        <v>26</v>
      </c>
      <c r="R732" s="4">
        <v>0</v>
      </c>
      <c r="S732" s="6">
        <v>0</v>
      </c>
      <c r="T732" s="6">
        <v>33</v>
      </c>
      <c r="U732" s="6">
        <v>74</v>
      </c>
      <c r="V732" s="6">
        <f>IF(ISERROR(VLOOKUP($S$732,'TAR FIN'!$A$1:$O$103,15,0)),0,VLOOKUP($S$732,'TAR FIN'!$A$1:$O$103,15,0))</f>
        <v>0</v>
      </c>
      <c r="W732" s="6">
        <f>IF(ISERROR(VLOOKUP($T$732,'TAR FIN'!$A$1:$O$103,15,0)),0,VLOOKUP($T$732,'TAR FIN'!$A$1:$O$103,15,0))</f>
        <v>176.22</v>
      </c>
      <c r="X732" s="6">
        <f>IF(ISERROR(VLOOKUP($U$732,'TAR FIN'!$A$1:$O$103,15,0)),0,VLOOKUP($U$732,'TAR FIN'!$A$1:$O$103,15,0))</f>
        <v>260.01</v>
      </c>
      <c r="Y732" s="6"/>
      <c r="Z732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2" s="6">
        <f ca="1">('TE BE'!$AB$17+'TE BF_350'!$AB$17+'TE CVA'!$AB$17)*(1-CUSTOS!$M$36)</f>
        <v>233.04599999999999</v>
      </c>
      <c r="AB732" s="6">
        <f>$K$732*$V$732</f>
        <v>0</v>
      </c>
      <c r="AC732" s="6">
        <f>$M$732*$W$732</f>
        <v>33793.885620000001</v>
      </c>
      <c r="AD732" s="6">
        <f>$O$732*$X$732</f>
        <v>49862.377709999993</v>
      </c>
      <c r="AE732" s="6">
        <f>$K$732*$Y$732</f>
        <v>0</v>
      </c>
      <c r="AF732" s="6">
        <f ca="1">$M$732*$Z$732</f>
        <v>34627.514156999998</v>
      </c>
      <c r="AG732" s="6">
        <f ca="1">$O$732*$AA$732</f>
        <v>44691.464465999998</v>
      </c>
    </row>
    <row r="733" spans="1:33" ht="11.25" customHeight="1" x14ac:dyDescent="0.25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31</v>
      </c>
      <c r="F733" s="4" t="s">
        <v>25</v>
      </c>
      <c r="G733" s="4" t="s">
        <v>25</v>
      </c>
      <c r="H733" s="4" t="s">
        <v>25</v>
      </c>
      <c r="I733" s="5">
        <v>44621</v>
      </c>
      <c r="J733" s="6">
        <v>0</v>
      </c>
      <c r="K733" s="6">
        <v>0</v>
      </c>
      <c r="L733" s="6">
        <v>193.261</v>
      </c>
      <c r="M733" s="6">
        <v>193.261</v>
      </c>
      <c r="N733" s="6">
        <v>193.261</v>
      </c>
      <c r="O733" s="6">
        <v>193.261</v>
      </c>
      <c r="P733" s="6">
        <v>2685</v>
      </c>
      <c r="Q733" s="4" t="s">
        <v>26</v>
      </c>
      <c r="R733" s="4">
        <v>0</v>
      </c>
      <c r="S733" s="6">
        <v>0</v>
      </c>
      <c r="T733" s="6">
        <v>33</v>
      </c>
      <c r="U733" s="6">
        <v>74</v>
      </c>
      <c r="V733" s="6">
        <f>IF(ISERROR(VLOOKUP($S$733,'TAR FIN'!$A$1:$O$103,15,0)),0,VLOOKUP($S$733,'TAR FIN'!$A$1:$O$103,15,0))</f>
        <v>0</v>
      </c>
      <c r="W733" s="6">
        <f>IF(ISERROR(VLOOKUP($T$733,'TAR FIN'!$A$1:$O$103,15,0)),0,VLOOKUP($T$733,'TAR FIN'!$A$1:$O$103,15,0))</f>
        <v>176.22</v>
      </c>
      <c r="X733" s="6">
        <f>IF(ISERROR(VLOOKUP($U$733,'TAR FIN'!$A$1:$O$103,15,0)),0,VLOOKUP($U$733,'TAR FIN'!$A$1:$O$103,15,0))</f>
        <v>260.01</v>
      </c>
      <c r="Y733" s="6"/>
      <c r="Z733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3" s="6">
        <f ca="1">('TE BE'!$AB$17+'TE BF_350'!$AB$17+'TE CVA'!$AB$17)*(1-CUSTOS!$M$36)</f>
        <v>233.04599999999999</v>
      </c>
      <c r="AB733" s="6">
        <f>$K$733*$V$733</f>
        <v>0</v>
      </c>
      <c r="AC733" s="6">
        <f>$M$733*$W$733</f>
        <v>34056.453419999998</v>
      </c>
      <c r="AD733" s="6">
        <f>$O$733*$X$733</f>
        <v>50249.792609999997</v>
      </c>
      <c r="AE733" s="6">
        <f>$K$733*$Y$733</f>
        <v>0</v>
      </c>
      <c r="AF733" s="6">
        <f ca="1">$M$733*$Z$733</f>
        <v>34896.558987000004</v>
      </c>
      <c r="AG733" s="6">
        <f ca="1">$O$733*$AA$733</f>
        <v>45038.703005999996</v>
      </c>
    </row>
    <row r="734" spans="1:33" ht="11.25" customHeight="1" x14ac:dyDescent="0.25">
      <c r="A734" s="4" t="s">
        <v>21</v>
      </c>
      <c r="B734" s="4" t="s">
        <v>22</v>
      </c>
      <c r="C734" s="4" t="s">
        <v>23</v>
      </c>
      <c r="D734" s="4" t="s">
        <v>24</v>
      </c>
      <c r="E734" s="4" t="s">
        <v>31</v>
      </c>
      <c r="F734" s="4" t="s">
        <v>25</v>
      </c>
      <c r="G734" s="4" t="s">
        <v>25</v>
      </c>
      <c r="H734" s="4" t="s">
        <v>25</v>
      </c>
      <c r="I734" s="5">
        <v>44652</v>
      </c>
      <c r="J734" s="6">
        <v>0</v>
      </c>
      <c r="K734" s="6">
        <v>0</v>
      </c>
      <c r="L734" s="6">
        <v>183.00200000000001</v>
      </c>
      <c r="M734" s="6">
        <v>183.00200000000001</v>
      </c>
      <c r="N734" s="6">
        <v>183.00200000000001</v>
      </c>
      <c r="O734" s="6">
        <v>183.00200000000001</v>
      </c>
      <c r="P734" s="6">
        <v>2618</v>
      </c>
      <c r="Q734" s="4" t="s">
        <v>26</v>
      </c>
      <c r="R734" s="4">
        <v>0</v>
      </c>
      <c r="S734" s="6">
        <v>0</v>
      </c>
      <c r="T734" s="6">
        <v>33</v>
      </c>
      <c r="U734" s="6">
        <v>74</v>
      </c>
      <c r="V734" s="6">
        <f>IF(ISERROR(VLOOKUP($S$734,'TAR FIN'!$A$1:$O$103,15,0)),0,VLOOKUP($S$734,'TAR FIN'!$A$1:$O$103,15,0))</f>
        <v>0</v>
      </c>
      <c r="W734" s="6">
        <f>IF(ISERROR(VLOOKUP($T$734,'TAR FIN'!$A$1:$O$103,15,0)),0,VLOOKUP($T$734,'TAR FIN'!$A$1:$O$103,15,0))</f>
        <v>176.22</v>
      </c>
      <c r="X734" s="6">
        <f>IF(ISERROR(VLOOKUP($U$734,'TAR FIN'!$A$1:$O$103,15,0)),0,VLOOKUP($U$734,'TAR FIN'!$A$1:$O$103,15,0))</f>
        <v>260.01</v>
      </c>
      <c r="Y734" s="6"/>
      <c r="Z734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4" s="6">
        <f ca="1">('TE BE'!$AB$17+'TE BF_350'!$AB$17+'TE CVA'!$AB$17)*(1-CUSTOS!$M$36)</f>
        <v>233.04599999999999</v>
      </c>
      <c r="AB734" s="6">
        <f>$K$734*$V$734</f>
        <v>0</v>
      </c>
      <c r="AC734" s="6">
        <f>$M$734*$W$734</f>
        <v>32248.612440000001</v>
      </c>
      <c r="AD734" s="6">
        <f>$O$734*$X$734</f>
        <v>47582.350019999998</v>
      </c>
      <c r="AE734" s="6">
        <f>$K$734*$Y$734</f>
        <v>0</v>
      </c>
      <c r="AF734" s="6">
        <f ca="1">$M$734*$Z$734</f>
        <v>33044.122134000005</v>
      </c>
      <c r="AG734" s="6">
        <f ca="1">$O$734*$AA$734</f>
        <v>42647.884092</v>
      </c>
    </row>
    <row r="735" spans="1:33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31</v>
      </c>
      <c r="F735" s="4" t="s">
        <v>25</v>
      </c>
      <c r="G735" s="4" t="s">
        <v>25</v>
      </c>
      <c r="H735" s="4" t="s">
        <v>25</v>
      </c>
      <c r="I735" s="5">
        <v>44682</v>
      </c>
      <c r="J735" s="6">
        <v>0</v>
      </c>
      <c r="K735" s="6">
        <v>0</v>
      </c>
      <c r="L735" s="6">
        <v>185.56899999999999</v>
      </c>
      <c r="M735" s="6">
        <v>185.56899999999999</v>
      </c>
      <c r="N735" s="6">
        <v>185.56899999999999</v>
      </c>
      <c r="O735" s="6">
        <v>185.56899999999999</v>
      </c>
      <c r="P735" s="6">
        <v>2619</v>
      </c>
      <c r="Q735" s="4" t="s">
        <v>26</v>
      </c>
      <c r="R735" s="4">
        <v>0</v>
      </c>
      <c r="S735" s="6">
        <v>0</v>
      </c>
      <c r="T735" s="6">
        <v>33</v>
      </c>
      <c r="U735" s="6">
        <v>74</v>
      </c>
      <c r="V735" s="6">
        <f>IF(ISERROR(VLOOKUP($S$735,'TAR FIN'!$A$1:$O$103,15,0)),0,VLOOKUP($S$735,'TAR FIN'!$A$1:$O$103,15,0))</f>
        <v>0</v>
      </c>
      <c r="W735" s="6">
        <f>IF(ISERROR(VLOOKUP($T$735,'TAR FIN'!$A$1:$O$103,15,0)),0,VLOOKUP($T$735,'TAR FIN'!$A$1:$O$103,15,0))</f>
        <v>176.22</v>
      </c>
      <c r="X735" s="6">
        <f>IF(ISERROR(VLOOKUP($U$735,'TAR FIN'!$A$1:$O$103,15,0)),0,VLOOKUP($U$735,'TAR FIN'!$A$1:$O$103,15,0))</f>
        <v>260.01</v>
      </c>
      <c r="Y735" s="6"/>
      <c r="Z735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5" s="6">
        <f ca="1">('TE BE'!$AB$17+'TE BF_350'!$AB$17+'TE CVA'!$AB$17)*(1-CUSTOS!$M$36)</f>
        <v>233.04599999999999</v>
      </c>
      <c r="AB735" s="6">
        <f>$K$735*$V$735</f>
        <v>0</v>
      </c>
      <c r="AC735" s="6">
        <f>$M$735*$W$735</f>
        <v>32700.969179999996</v>
      </c>
      <c r="AD735" s="6">
        <f>$O$735*$X$735</f>
        <v>48249.795689999992</v>
      </c>
      <c r="AE735" s="6">
        <f>$K$735*$Y$735</f>
        <v>0</v>
      </c>
      <c r="AF735" s="6">
        <f ca="1">$M$735*$Z$735</f>
        <v>33507.637623000002</v>
      </c>
      <c r="AG735" s="6">
        <f ca="1">$O$735*$AA$735</f>
        <v>43246.113173999998</v>
      </c>
    </row>
    <row r="736" spans="1:33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31</v>
      </c>
      <c r="F736" s="4" t="s">
        <v>25</v>
      </c>
      <c r="G736" s="4" t="s">
        <v>25</v>
      </c>
      <c r="H736" s="4" t="s">
        <v>25</v>
      </c>
      <c r="I736" s="5">
        <v>44682</v>
      </c>
      <c r="J736" s="6">
        <v>0</v>
      </c>
      <c r="K736" s="6">
        <v>0</v>
      </c>
      <c r="L736" s="6">
        <v>-0.157</v>
      </c>
      <c r="M736" s="6">
        <v>-0.157</v>
      </c>
      <c r="N736" s="6">
        <v>-0.157</v>
      </c>
      <c r="O736" s="6">
        <v>-0.157</v>
      </c>
      <c r="P736" s="6">
        <v>0</v>
      </c>
      <c r="Q736" s="4" t="s">
        <v>26</v>
      </c>
      <c r="R736" s="4">
        <v>0</v>
      </c>
      <c r="S736" s="6">
        <v>0</v>
      </c>
      <c r="T736" s="6">
        <v>33</v>
      </c>
      <c r="U736" s="6">
        <v>74</v>
      </c>
      <c r="V736" s="6">
        <f>IF(ISERROR(VLOOKUP($S$736,'TAR FIN'!$A$1:$O$103,15,0)),0,VLOOKUP($S$736,'TAR FIN'!$A$1:$O$103,15,0))</f>
        <v>0</v>
      </c>
      <c r="W736" s="6">
        <f>IF(ISERROR(VLOOKUP($T$736,'TAR FIN'!$A$1:$O$103,15,0)),0,VLOOKUP($T$736,'TAR FIN'!$A$1:$O$103,15,0))</f>
        <v>176.22</v>
      </c>
      <c r="X736" s="6">
        <f>IF(ISERROR(VLOOKUP($U$736,'TAR FIN'!$A$1:$O$103,15,0)),0,VLOOKUP($U$736,'TAR FIN'!$A$1:$O$103,15,0))</f>
        <v>260.01</v>
      </c>
      <c r="Y736" s="6"/>
      <c r="Z736" s="6">
        <f ca="1">('TUSD BE'!$AM$33+'TUSD BF_350'!$AM$33+'TUSD CVA'!$AM$33-('TUSD BE'!$P$33+'TUSD BF_350'!$P$33+'TUSD CVA'!$P$33)-('TUSD BE'!$Q$33+'TUSD BF_350'!$Q$33+'TUSD CVA'!$Q$33)-('TUSD BE'!$R$33+'TUSD BF_350'!$R$33+'TUSD CVA'!$R$33))*(1-CUSTOS!$M$36)</f>
        <v>180.56700000000001</v>
      </c>
      <c r="AA736" s="6">
        <f ca="1">('TE BE'!$AB$17+'TE BF_350'!$AB$17+'TE CVA'!$AB$17)*(1-CUSTOS!$M$36)</f>
        <v>233.04599999999999</v>
      </c>
      <c r="AB736" s="6">
        <f>$K$736*$V$736</f>
        <v>0</v>
      </c>
      <c r="AC736" s="6">
        <f>$M$736*$W$736</f>
        <v>-27.666540000000001</v>
      </c>
      <c r="AD736" s="6">
        <f>$O$736*$X$736</f>
        <v>-40.821570000000001</v>
      </c>
      <c r="AE736" s="6">
        <f>$K$736*$Y$736</f>
        <v>0</v>
      </c>
      <c r="AF736" s="6">
        <f ca="1">$M$736*$Z$736</f>
        <v>-28.349019000000002</v>
      </c>
      <c r="AG736" s="6">
        <f ca="1">$O$736*$AA$736</f>
        <v>-36.588222000000002</v>
      </c>
    </row>
    <row r="737" spans="1:3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44348</v>
      </c>
      <c r="J737" s="6">
        <v>0</v>
      </c>
      <c r="K737" s="6">
        <v>0</v>
      </c>
      <c r="L737" s="6">
        <v>32.509</v>
      </c>
      <c r="M737" s="6">
        <v>32.509</v>
      </c>
      <c r="N737" s="6">
        <v>32.509</v>
      </c>
      <c r="O737" s="6">
        <v>32.509</v>
      </c>
      <c r="P737" s="6">
        <v>507</v>
      </c>
      <c r="Q737" s="4" t="s">
        <v>26</v>
      </c>
      <c r="R737" s="4">
        <v>0</v>
      </c>
      <c r="S737" s="6">
        <v>0</v>
      </c>
      <c r="T737" s="6">
        <v>34</v>
      </c>
      <c r="U737" s="6">
        <v>75</v>
      </c>
      <c r="V737" s="6">
        <f>IF(ISERROR(VLOOKUP($S$737,'TAR FIN'!$A$1:$O$103,15,0)),0,VLOOKUP($S$737,'TAR FIN'!$A$1:$O$103,15,0))</f>
        <v>0</v>
      </c>
      <c r="W737" s="6">
        <f>IF(ISERROR(VLOOKUP($T$737,'TAR FIN'!$A$1:$O$103,15,0)),0,VLOOKUP($T$737,'TAR FIN'!$A$1:$O$103,15,0))</f>
        <v>195.8</v>
      </c>
      <c r="X737" s="6">
        <f>IF(ISERROR(VLOOKUP($U$737,'TAR FIN'!$A$1:$O$103,15,0)),0,VLOOKUP($U$737,'TAR FIN'!$A$1:$O$103,15,0))</f>
        <v>288.89999999999998</v>
      </c>
      <c r="Y737" s="6"/>
      <c r="Z737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37" s="6">
        <f ca="1">('TE BE'!$AB$18+'TE BF_350'!$AB$18+'TE CVA'!$AB$18)*(1-CUSTOS!$M$37)</f>
        <v>258.94</v>
      </c>
      <c r="AB737" s="6">
        <f>$K$737*$V$737</f>
        <v>0</v>
      </c>
      <c r="AC737" s="6">
        <f>$M$737*$W$737</f>
        <v>6365.2622000000001</v>
      </c>
      <c r="AD737" s="6">
        <f>$O$737*$X$737</f>
        <v>9391.8500999999997</v>
      </c>
      <c r="AE737" s="6">
        <f>$K$737*$Y$737</f>
        <v>0</v>
      </c>
      <c r="AF737" s="6">
        <f ca="1">$M$737*$Z$737</f>
        <v>6522.2806700000001</v>
      </c>
      <c r="AG737" s="6">
        <f ca="1">$O$737*$AA$737</f>
        <v>8417.8804600000003</v>
      </c>
    </row>
    <row r="738" spans="1:33" ht="11.25" customHeight="1" x14ac:dyDescent="0.25">
      <c r="A738" s="4" t="s">
        <v>27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44348</v>
      </c>
      <c r="J738" s="6">
        <v>0</v>
      </c>
      <c r="K738" s="6">
        <v>0</v>
      </c>
      <c r="L738" s="6">
        <v>-0.16300000000000001</v>
      </c>
      <c r="M738" s="6">
        <v>-0.16300000000000001</v>
      </c>
      <c r="N738" s="6">
        <v>-0.16300000000000001</v>
      </c>
      <c r="O738" s="6">
        <v>-0.16300000000000001</v>
      </c>
      <c r="P738" s="6">
        <v>0</v>
      </c>
      <c r="Q738" s="4" t="s">
        <v>26</v>
      </c>
      <c r="R738" s="4">
        <v>0</v>
      </c>
      <c r="S738" s="6">
        <v>0</v>
      </c>
      <c r="T738" s="6">
        <v>34</v>
      </c>
      <c r="U738" s="6">
        <v>75</v>
      </c>
      <c r="V738" s="6">
        <f>IF(ISERROR(VLOOKUP($S$738,'TAR FIN'!$A$1:$O$103,15,0)),0,VLOOKUP($S$738,'TAR FIN'!$A$1:$O$103,15,0))</f>
        <v>0</v>
      </c>
      <c r="W738" s="6">
        <f>IF(ISERROR(VLOOKUP($T$738,'TAR FIN'!$A$1:$O$103,15,0)),0,VLOOKUP($T$738,'TAR FIN'!$A$1:$O$103,15,0))</f>
        <v>195.8</v>
      </c>
      <c r="X738" s="6">
        <f>IF(ISERROR(VLOOKUP($U$738,'TAR FIN'!$A$1:$O$103,15,0)),0,VLOOKUP($U$738,'TAR FIN'!$A$1:$O$103,15,0))</f>
        <v>288.89999999999998</v>
      </c>
      <c r="Y738" s="6"/>
      <c r="Z738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38" s="6">
        <f ca="1">('TE BE'!$AB$18+'TE BF_350'!$AB$18+'TE CVA'!$AB$18)*(1-CUSTOS!$M$37)</f>
        <v>258.94</v>
      </c>
      <c r="AB738" s="6">
        <f>$K$738*$V$738</f>
        <v>0</v>
      </c>
      <c r="AC738" s="6">
        <f>$M$738*$W$738</f>
        <v>-31.915400000000002</v>
      </c>
      <c r="AD738" s="6">
        <f>$O$738*$X$738</f>
        <v>-47.090699999999998</v>
      </c>
      <c r="AE738" s="6">
        <f>$K$738*$Y$738</f>
        <v>0</v>
      </c>
      <c r="AF738" s="6">
        <f ca="1">$M$738*$Z$738</f>
        <v>-32.702689999999997</v>
      </c>
      <c r="AG738" s="6">
        <f ca="1">$O$738*$AA$738</f>
        <v>-42.20722</v>
      </c>
    </row>
    <row r="739" spans="1:33" ht="11.25" customHeight="1" x14ac:dyDescent="0.25">
      <c r="A739" s="4" t="s">
        <v>21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37.683</v>
      </c>
      <c r="M739" s="6">
        <v>37.683</v>
      </c>
      <c r="N739" s="6">
        <v>37.683</v>
      </c>
      <c r="O739" s="6">
        <v>37.683</v>
      </c>
      <c r="P739" s="6">
        <v>514</v>
      </c>
      <c r="Q739" s="4" t="s">
        <v>26</v>
      </c>
      <c r="R739" s="4">
        <v>0</v>
      </c>
      <c r="S739" s="6">
        <v>0</v>
      </c>
      <c r="T739" s="6">
        <v>34</v>
      </c>
      <c r="U739" s="6">
        <v>75</v>
      </c>
      <c r="V739" s="6">
        <f>IF(ISERROR(VLOOKUP($S$739,'TAR FIN'!$A$1:$O$103,15,0)),0,VLOOKUP($S$739,'TAR FIN'!$A$1:$O$103,15,0))</f>
        <v>0</v>
      </c>
      <c r="W739" s="6">
        <f>IF(ISERROR(VLOOKUP($T$739,'TAR FIN'!$A$1:$O$103,15,0)),0,VLOOKUP($T$739,'TAR FIN'!$A$1:$O$103,15,0))</f>
        <v>195.8</v>
      </c>
      <c r="X739" s="6">
        <f>IF(ISERROR(VLOOKUP($U$739,'TAR FIN'!$A$1:$O$103,15,0)),0,VLOOKUP($U$739,'TAR FIN'!$A$1:$O$103,15,0))</f>
        <v>288.89999999999998</v>
      </c>
      <c r="Y739" s="6"/>
      <c r="Z739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39" s="6">
        <f ca="1">('TE BE'!$AB$18+'TE BF_350'!$AB$18+'TE CVA'!$AB$18)*(1-CUSTOS!$M$37)</f>
        <v>258.94</v>
      </c>
      <c r="AB739" s="6">
        <f>$K$739*$V$739</f>
        <v>0</v>
      </c>
      <c r="AC739" s="6">
        <f>$M$739*$W$739</f>
        <v>7378.3314</v>
      </c>
      <c r="AD739" s="6">
        <f>$O$739*$X$739</f>
        <v>10886.618699999999</v>
      </c>
      <c r="AE739" s="6">
        <f>$K$739*$Y$739</f>
        <v>0</v>
      </c>
      <c r="AF739" s="6">
        <f ca="1">$M$739*$Z$739</f>
        <v>7560.3402900000001</v>
      </c>
      <c r="AG739" s="6">
        <f ca="1">$O$739*$AA$739</f>
        <v>9757.6360199999999</v>
      </c>
    </row>
    <row r="740" spans="1:33" ht="11.25" customHeight="1" x14ac:dyDescent="0.25">
      <c r="A740" s="4" t="s">
        <v>27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44378</v>
      </c>
      <c r="J740" s="6">
        <v>0</v>
      </c>
      <c r="K740" s="6">
        <v>0</v>
      </c>
      <c r="L740" s="6">
        <v>-0.79</v>
      </c>
      <c r="M740" s="6">
        <v>-0.79</v>
      </c>
      <c r="N740" s="6">
        <v>-0.79</v>
      </c>
      <c r="O740" s="6">
        <v>-0.79</v>
      </c>
      <c r="P740" s="6">
        <v>0</v>
      </c>
      <c r="Q740" s="4" t="s">
        <v>26</v>
      </c>
      <c r="R740" s="4">
        <v>0</v>
      </c>
      <c r="S740" s="6">
        <v>0</v>
      </c>
      <c r="T740" s="6">
        <v>34</v>
      </c>
      <c r="U740" s="6">
        <v>75</v>
      </c>
      <c r="V740" s="6">
        <f>IF(ISERROR(VLOOKUP($S$740,'TAR FIN'!$A$1:$O$103,15,0)),0,VLOOKUP($S$740,'TAR FIN'!$A$1:$O$103,15,0))</f>
        <v>0</v>
      </c>
      <c r="W740" s="6">
        <f>IF(ISERROR(VLOOKUP($T$740,'TAR FIN'!$A$1:$O$103,15,0)),0,VLOOKUP($T$740,'TAR FIN'!$A$1:$O$103,15,0))</f>
        <v>195.8</v>
      </c>
      <c r="X740" s="6">
        <f>IF(ISERROR(VLOOKUP($U$740,'TAR FIN'!$A$1:$O$103,15,0)),0,VLOOKUP($U$740,'TAR FIN'!$A$1:$O$103,15,0))</f>
        <v>288.89999999999998</v>
      </c>
      <c r="Y740" s="6"/>
      <c r="Z740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0" s="6">
        <f ca="1">('TE BE'!$AB$18+'TE BF_350'!$AB$18+'TE CVA'!$AB$18)*(1-CUSTOS!$M$37)</f>
        <v>258.94</v>
      </c>
      <c r="AB740" s="6">
        <f>$K$740*$V$740</f>
        <v>0</v>
      </c>
      <c r="AC740" s="6">
        <f>$M$740*$W$740</f>
        <v>-154.68200000000002</v>
      </c>
      <c r="AD740" s="6">
        <f>$O$740*$X$740</f>
        <v>-228.23099999999999</v>
      </c>
      <c r="AE740" s="6">
        <f>$K$740*$Y$740</f>
        <v>0</v>
      </c>
      <c r="AF740" s="6">
        <f ca="1">$M$740*$Z$740</f>
        <v>-158.49770000000001</v>
      </c>
      <c r="AG740" s="6">
        <f ca="1">$O$740*$AA$740</f>
        <v>-204.5626</v>
      </c>
    </row>
    <row r="741" spans="1:3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44409</v>
      </c>
      <c r="J741" s="6">
        <v>0</v>
      </c>
      <c r="K741" s="6">
        <v>0</v>
      </c>
      <c r="L741" s="6">
        <v>37.825000000000003</v>
      </c>
      <c r="M741" s="6">
        <v>37.825000000000003</v>
      </c>
      <c r="N741" s="6">
        <v>37.825000000000003</v>
      </c>
      <c r="O741" s="6">
        <v>37.825000000000003</v>
      </c>
      <c r="P741" s="6">
        <v>539</v>
      </c>
      <c r="Q741" s="4" t="s">
        <v>26</v>
      </c>
      <c r="R741" s="4">
        <v>0</v>
      </c>
      <c r="S741" s="6">
        <v>0</v>
      </c>
      <c r="T741" s="6">
        <v>34</v>
      </c>
      <c r="U741" s="6">
        <v>75</v>
      </c>
      <c r="V741" s="6">
        <f>IF(ISERROR(VLOOKUP($S$741,'TAR FIN'!$A$1:$O$103,15,0)),0,VLOOKUP($S$741,'TAR FIN'!$A$1:$O$103,15,0))</f>
        <v>0</v>
      </c>
      <c r="W741" s="6">
        <f>IF(ISERROR(VLOOKUP($T$741,'TAR FIN'!$A$1:$O$103,15,0)),0,VLOOKUP($T$741,'TAR FIN'!$A$1:$O$103,15,0))</f>
        <v>195.8</v>
      </c>
      <c r="X741" s="6">
        <f>IF(ISERROR(VLOOKUP($U$741,'TAR FIN'!$A$1:$O$103,15,0)),0,VLOOKUP($U$741,'TAR FIN'!$A$1:$O$103,15,0))</f>
        <v>288.89999999999998</v>
      </c>
      <c r="Y741" s="6"/>
      <c r="Z741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1" s="6">
        <f ca="1">('TE BE'!$AB$18+'TE BF_350'!$AB$18+'TE CVA'!$AB$18)*(1-CUSTOS!$M$37)</f>
        <v>258.94</v>
      </c>
      <c r="AB741" s="6">
        <f>$K$741*$V$741</f>
        <v>0</v>
      </c>
      <c r="AC741" s="6">
        <f>$M$741*$W$741</f>
        <v>7406.1350000000011</v>
      </c>
      <c r="AD741" s="6">
        <f>$O$741*$X$741</f>
        <v>10927.6425</v>
      </c>
      <c r="AE741" s="6">
        <f>$K$741*$Y$741</f>
        <v>0</v>
      </c>
      <c r="AF741" s="6">
        <f ca="1">$M$741*$Z$741</f>
        <v>7588.8297500000008</v>
      </c>
      <c r="AG741" s="6">
        <f ca="1">$O$741*$AA$741</f>
        <v>9794.4055000000008</v>
      </c>
    </row>
    <row r="742" spans="1:3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44409</v>
      </c>
      <c r="J742" s="6">
        <v>0</v>
      </c>
      <c r="K742" s="6">
        <v>0</v>
      </c>
      <c r="L742" s="6">
        <v>-0.34699999999999998</v>
      </c>
      <c r="M742" s="6">
        <v>-0.34699999999999998</v>
      </c>
      <c r="N742" s="6">
        <v>-0.34699999999999998</v>
      </c>
      <c r="O742" s="6">
        <v>-0.34699999999999998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34</v>
      </c>
      <c r="U742" s="6">
        <v>75</v>
      </c>
      <c r="V742" s="6">
        <f>IF(ISERROR(VLOOKUP($S$742,'TAR FIN'!$A$1:$O$103,15,0)),0,VLOOKUP($S$742,'TAR FIN'!$A$1:$O$103,15,0))</f>
        <v>0</v>
      </c>
      <c r="W742" s="6">
        <f>IF(ISERROR(VLOOKUP($T$742,'TAR FIN'!$A$1:$O$103,15,0)),0,VLOOKUP($T$742,'TAR FIN'!$A$1:$O$103,15,0))</f>
        <v>195.8</v>
      </c>
      <c r="X742" s="6">
        <f>IF(ISERROR(VLOOKUP($U$742,'TAR FIN'!$A$1:$O$103,15,0)),0,VLOOKUP($U$742,'TAR FIN'!$A$1:$O$103,15,0))</f>
        <v>288.89999999999998</v>
      </c>
      <c r="Y742" s="6"/>
      <c r="Z742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2" s="6">
        <f ca="1">('TE BE'!$AB$18+'TE BF_350'!$AB$18+'TE CVA'!$AB$18)*(1-CUSTOS!$M$37)</f>
        <v>258.94</v>
      </c>
      <c r="AB742" s="6">
        <f>$K$742*$V$742</f>
        <v>0</v>
      </c>
      <c r="AC742" s="6">
        <f>$M$742*$W$742</f>
        <v>-67.942599999999999</v>
      </c>
      <c r="AD742" s="6">
        <f>$O$742*$X$742</f>
        <v>-100.24829999999999</v>
      </c>
      <c r="AE742" s="6">
        <f>$K$742*$Y$742</f>
        <v>0</v>
      </c>
      <c r="AF742" s="6">
        <f ca="1">$M$742*$Z$742</f>
        <v>-69.61860999999999</v>
      </c>
      <c r="AG742" s="6">
        <f ca="1">$O$742*$AA$742</f>
        <v>-89.85217999999999</v>
      </c>
    </row>
    <row r="743" spans="1:33" ht="11.25" customHeight="1" x14ac:dyDescent="0.25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44440</v>
      </c>
      <c r="J743" s="6">
        <v>0</v>
      </c>
      <c r="K743" s="6">
        <v>0</v>
      </c>
      <c r="L743" s="6">
        <v>30.623000000000001</v>
      </c>
      <c r="M743" s="6">
        <v>30.623000000000001</v>
      </c>
      <c r="N743" s="6">
        <v>30.623000000000001</v>
      </c>
      <c r="O743" s="6">
        <v>30.623000000000001</v>
      </c>
      <c r="P743" s="6">
        <v>487</v>
      </c>
      <c r="Q743" s="4" t="s">
        <v>26</v>
      </c>
      <c r="R743" s="4">
        <v>0</v>
      </c>
      <c r="S743" s="6">
        <v>0</v>
      </c>
      <c r="T743" s="6">
        <v>34</v>
      </c>
      <c r="U743" s="6">
        <v>75</v>
      </c>
      <c r="V743" s="6">
        <f>IF(ISERROR(VLOOKUP($S$743,'TAR FIN'!$A$1:$O$103,15,0)),0,VLOOKUP($S$743,'TAR FIN'!$A$1:$O$103,15,0))</f>
        <v>0</v>
      </c>
      <c r="W743" s="6">
        <f>IF(ISERROR(VLOOKUP($T$743,'TAR FIN'!$A$1:$O$103,15,0)),0,VLOOKUP($T$743,'TAR FIN'!$A$1:$O$103,15,0))</f>
        <v>195.8</v>
      </c>
      <c r="X743" s="6">
        <f>IF(ISERROR(VLOOKUP($U$743,'TAR FIN'!$A$1:$O$103,15,0)),0,VLOOKUP($U$743,'TAR FIN'!$A$1:$O$103,15,0))</f>
        <v>288.89999999999998</v>
      </c>
      <c r="Y743" s="6"/>
      <c r="Z743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3" s="6">
        <f ca="1">('TE BE'!$AB$18+'TE BF_350'!$AB$18+'TE CVA'!$AB$18)*(1-CUSTOS!$M$37)</f>
        <v>258.94</v>
      </c>
      <c r="AB743" s="6">
        <f>$K$743*$V$743</f>
        <v>0</v>
      </c>
      <c r="AC743" s="6">
        <f>$M$743*$W$743</f>
        <v>5995.983400000001</v>
      </c>
      <c r="AD743" s="6">
        <f>$O$743*$X$743</f>
        <v>8846.9846999999991</v>
      </c>
      <c r="AE743" s="6">
        <f>$K$743*$Y$743</f>
        <v>0</v>
      </c>
      <c r="AF743" s="6">
        <f ca="1">$M$743*$Z$743</f>
        <v>6143.8924900000002</v>
      </c>
      <c r="AG743" s="6">
        <f ca="1">$O$743*$AA$743</f>
        <v>7929.51962</v>
      </c>
    </row>
    <row r="744" spans="1:33" ht="11.25" customHeight="1" x14ac:dyDescent="0.25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44440</v>
      </c>
      <c r="J744" s="6">
        <v>0</v>
      </c>
      <c r="K744" s="6">
        <v>0</v>
      </c>
      <c r="L744" s="6">
        <v>-1.9E-2</v>
      </c>
      <c r="M744" s="6">
        <v>-1.9E-2</v>
      </c>
      <c r="N744" s="6">
        <v>-1.9E-2</v>
      </c>
      <c r="O744" s="6">
        <v>-1.9E-2</v>
      </c>
      <c r="P744" s="6">
        <v>0</v>
      </c>
      <c r="Q744" s="4" t="s">
        <v>26</v>
      </c>
      <c r="R744" s="4">
        <v>0</v>
      </c>
      <c r="S744" s="6">
        <v>0</v>
      </c>
      <c r="T744" s="6">
        <v>34</v>
      </c>
      <c r="U744" s="6">
        <v>75</v>
      </c>
      <c r="V744" s="6">
        <f>IF(ISERROR(VLOOKUP($S$744,'TAR FIN'!$A$1:$O$103,15,0)),0,VLOOKUP($S$744,'TAR FIN'!$A$1:$O$103,15,0))</f>
        <v>0</v>
      </c>
      <c r="W744" s="6">
        <f>IF(ISERROR(VLOOKUP($T$744,'TAR FIN'!$A$1:$O$103,15,0)),0,VLOOKUP($T$744,'TAR FIN'!$A$1:$O$103,15,0))</f>
        <v>195.8</v>
      </c>
      <c r="X744" s="6">
        <f>IF(ISERROR(VLOOKUP($U$744,'TAR FIN'!$A$1:$O$103,15,0)),0,VLOOKUP($U$744,'TAR FIN'!$A$1:$O$103,15,0))</f>
        <v>288.89999999999998</v>
      </c>
      <c r="Y744" s="6"/>
      <c r="Z744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4" s="6">
        <f ca="1">('TE BE'!$AB$18+'TE BF_350'!$AB$18+'TE CVA'!$AB$18)*(1-CUSTOS!$M$37)</f>
        <v>258.94</v>
      </c>
      <c r="AB744" s="6">
        <f>$K$744*$V$744</f>
        <v>0</v>
      </c>
      <c r="AC744" s="6">
        <f>$M$744*$W$744</f>
        <v>-3.7202000000000002</v>
      </c>
      <c r="AD744" s="6">
        <f>$O$744*$X$744</f>
        <v>-5.4890999999999996</v>
      </c>
      <c r="AE744" s="6">
        <f>$K$744*$Y$744</f>
        <v>0</v>
      </c>
      <c r="AF744" s="6">
        <f ca="1">$M$744*$Z$744</f>
        <v>-3.8119699999999996</v>
      </c>
      <c r="AG744" s="6">
        <f ca="1">$O$744*$AA$744</f>
        <v>-4.9198599999999999</v>
      </c>
    </row>
    <row r="745" spans="1:33" ht="11.25" customHeight="1" x14ac:dyDescent="0.25">
      <c r="A745" s="4" t="s">
        <v>21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44470</v>
      </c>
      <c r="J745" s="6">
        <v>0</v>
      </c>
      <c r="K745" s="6">
        <v>0</v>
      </c>
      <c r="L745" s="6">
        <v>31.774000000000001</v>
      </c>
      <c r="M745" s="6">
        <v>31.774000000000001</v>
      </c>
      <c r="N745" s="6">
        <v>31.774000000000001</v>
      </c>
      <c r="O745" s="6">
        <v>31.774000000000001</v>
      </c>
      <c r="P745" s="6">
        <v>503</v>
      </c>
      <c r="Q745" s="4" t="s">
        <v>26</v>
      </c>
      <c r="R745" s="4">
        <v>0</v>
      </c>
      <c r="S745" s="6">
        <v>0</v>
      </c>
      <c r="T745" s="6">
        <v>34</v>
      </c>
      <c r="U745" s="6">
        <v>75</v>
      </c>
      <c r="V745" s="6">
        <f>IF(ISERROR(VLOOKUP($S$745,'TAR FIN'!$A$1:$O$103,15,0)),0,VLOOKUP($S$745,'TAR FIN'!$A$1:$O$103,15,0))</f>
        <v>0</v>
      </c>
      <c r="W745" s="6">
        <f>IF(ISERROR(VLOOKUP($T$745,'TAR FIN'!$A$1:$O$103,15,0)),0,VLOOKUP($T$745,'TAR FIN'!$A$1:$O$103,15,0))</f>
        <v>195.8</v>
      </c>
      <c r="X745" s="6">
        <f>IF(ISERROR(VLOOKUP($U$745,'TAR FIN'!$A$1:$O$103,15,0)),0,VLOOKUP($U$745,'TAR FIN'!$A$1:$O$103,15,0))</f>
        <v>288.89999999999998</v>
      </c>
      <c r="Y745" s="6"/>
      <c r="Z745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5" s="6">
        <f ca="1">('TE BE'!$AB$18+'TE BF_350'!$AB$18+'TE CVA'!$AB$18)*(1-CUSTOS!$M$37)</f>
        <v>258.94</v>
      </c>
      <c r="AB745" s="6">
        <f>$K$745*$V$745</f>
        <v>0</v>
      </c>
      <c r="AC745" s="6">
        <f>$M$745*$W$745</f>
        <v>6221.3492000000006</v>
      </c>
      <c r="AD745" s="6">
        <f>$O$745*$X$745</f>
        <v>9179.5085999999992</v>
      </c>
      <c r="AE745" s="6">
        <f>$K$745*$Y$745</f>
        <v>0</v>
      </c>
      <c r="AF745" s="6">
        <f ca="1">$M$745*$Z$745</f>
        <v>6374.8176199999998</v>
      </c>
      <c r="AG745" s="6">
        <f ca="1">$O$745*$AA$745</f>
        <v>8227.5595599999997</v>
      </c>
    </row>
    <row r="746" spans="1:33" ht="11.25" customHeight="1" x14ac:dyDescent="0.25">
      <c r="A746" s="4" t="s">
        <v>27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44470</v>
      </c>
      <c r="J746" s="6">
        <v>0</v>
      </c>
      <c r="K746" s="6">
        <v>0</v>
      </c>
      <c r="L746" s="6">
        <v>-0.60399999999999998</v>
      </c>
      <c r="M746" s="6">
        <v>-0.60399999999999998</v>
      </c>
      <c r="N746" s="6">
        <v>-0.60399999999999998</v>
      </c>
      <c r="O746" s="6">
        <v>-0.60399999999999998</v>
      </c>
      <c r="P746" s="6">
        <v>0</v>
      </c>
      <c r="Q746" s="4" t="s">
        <v>26</v>
      </c>
      <c r="R746" s="4">
        <v>0</v>
      </c>
      <c r="S746" s="6">
        <v>0</v>
      </c>
      <c r="T746" s="6">
        <v>34</v>
      </c>
      <c r="U746" s="6">
        <v>75</v>
      </c>
      <c r="V746" s="6">
        <f>IF(ISERROR(VLOOKUP($S$746,'TAR FIN'!$A$1:$O$103,15,0)),0,VLOOKUP($S$746,'TAR FIN'!$A$1:$O$103,15,0))</f>
        <v>0</v>
      </c>
      <c r="W746" s="6">
        <f>IF(ISERROR(VLOOKUP($T$746,'TAR FIN'!$A$1:$O$103,15,0)),0,VLOOKUP($T$746,'TAR FIN'!$A$1:$O$103,15,0))</f>
        <v>195.8</v>
      </c>
      <c r="X746" s="6">
        <f>IF(ISERROR(VLOOKUP($U$746,'TAR FIN'!$A$1:$O$103,15,0)),0,VLOOKUP($U$746,'TAR FIN'!$A$1:$O$103,15,0))</f>
        <v>288.89999999999998</v>
      </c>
      <c r="Y746" s="6"/>
      <c r="Z746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6" s="6">
        <f ca="1">('TE BE'!$AB$18+'TE BF_350'!$AB$18+'TE CVA'!$AB$18)*(1-CUSTOS!$M$37)</f>
        <v>258.94</v>
      </c>
      <c r="AB746" s="6">
        <f>$K$746*$V$746</f>
        <v>0</v>
      </c>
      <c r="AC746" s="6">
        <f>$M$746*$W$746</f>
        <v>-118.2632</v>
      </c>
      <c r="AD746" s="6">
        <f>$O$746*$X$746</f>
        <v>-174.49559999999997</v>
      </c>
      <c r="AE746" s="6">
        <f>$K$746*$Y$746</f>
        <v>0</v>
      </c>
      <c r="AF746" s="6">
        <f ca="1">$M$746*$Z$746</f>
        <v>-121.18051999999999</v>
      </c>
      <c r="AG746" s="6">
        <f ca="1">$O$746*$AA$746</f>
        <v>-156.39975999999999</v>
      </c>
    </row>
    <row r="747" spans="1:33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32</v>
      </c>
      <c r="F747" s="4" t="s">
        <v>25</v>
      </c>
      <c r="G747" s="4" t="s">
        <v>25</v>
      </c>
      <c r="H747" s="4" t="s">
        <v>25</v>
      </c>
      <c r="I747" s="5">
        <v>44501</v>
      </c>
      <c r="J747" s="6">
        <v>0</v>
      </c>
      <c r="K747" s="6">
        <v>0</v>
      </c>
      <c r="L747" s="6">
        <v>30.585999999999999</v>
      </c>
      <c r="M747" s="6">
        <v>30.585999999999999</v>
      </c>
      <c r="N747" s="6">
        <v>30.585999999999999</v>
      </c>
      <c r="O747" s="6">
        <v>30.585999999999999</v>
      </c>
      <c r="P747" s="6">
        <v>464</v>
      </c>
      <c r="Q747" s="4" t="s">
        <v>26</v>
      </c>
      <c r="R747" s="4">
        <v>0</v>
      </c>
      <c r="S747" s="6">
        <v>0</v>
      </c>
      <c r="T747" s="6">
        <v>34</v>
      </c>
      <c r="U747" s="6">
        <v>75</v>
      </c>
      <c r="V747" s="6">
        <f>IF(ISERROR(VLOOKUP($S$747,'TAR FIN'!$A$1:$O$103,15,0)),0,VLOOKUP($S$747,'TAR FIN'!$A$1:$O$103,15,0))</f>
        <v>0</v>
      </c>
      <c r="W747" s="6">
        <f>IF(ISERROR(VLOOKUP($T$747,'TAR FIN'!$A$1:$O$103,15,0)),0,VLOOKUP($T$747,'TAR FIN'!$A$1:$O$103,15,0))</f>
        <v>195.8</v>
      </c>
      <c r="X747" s="6">
        <f>IF(ISERROR(VLOOKUP($U$747,'TAR FIN'!$A$1:$O$103,15,0)),0,VLOOKUP($U$747,'TAR FIN'!$A$1:$O$103,15,0))</f>
        <v>288.89999999999998</v>
      </c>
      <c r="Y747" s="6"/>
      <c r="Z747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7" s="6">
        <f ca="1">('TE BE'!$AB$18+'TE BF_350'!$AB$18+'TE CVA'!$AB$18)*(1-CUSTOS!$M$37)</f>
        <v>258.94</v>
      </c>
      <c r="AB747" s="6">
        <f>$K$747*$V$747</f>
        <v>0</v>
      </c>
      <c r="AC747" s="6">
        <f>$M$747*$W$747</f>
        <v>5988.7388000000001</v>
      </c>
      <c r="AD747" s="6">
        <f>$O$747*$X$747</f>
        <v>8836.2953999999991</v>
      </c>
      <c r="AE747" s="6">
        <f>$K$747*$Y$747</f>
        <v>0</v>
      </c>
      <c r="AF747" s="6">
        <f ca="1">$M$747*$Z$747</f>
        <v>6136.4691799999991</v>
      </c>
      <c r="AG747" s="6">
        <f ca="1">$O$747*$AA$747</f>
        <v>7919.9388399999998</v>
      </c>
    </row>
    <row r="748" spans="1:33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32</v>
      </c>
      <c r="F748" s="4" t="s">
        <v>25</v>
      </c>
      <c r="G748" s="4" t="s">
        <v>25</v>
      </c>
      <c r="H748" s="4" t="s">
        <v>25</v>
      </c>
      <c r="I748" s="5">
        <v>44501</v>
      </c>
      <c r="J748" s="6">
        <v>0</v>
      </c>
      <c r="K748" s="6">
        <v>0</v>
      </c>
      <c r="L748" s="6">
        <v>-0.45100000000000001</v>
      </c>
      <c r="M748" s="6">
        <v>-0.45100000000000001</v>
      </c>
      <c r="N748" s="6">
        <v>-0.45100000000000001</v>
      </c>
      <c r="O748" s="6">
        <v>-0.45100000000000001</v>
      </c>
      <c r="P748" s="6">
        <v>0</v>
      </c>
      <c r="Q748" s="4" t="s">
        <v>26</v>
      </c>
      <c r="R748" s="4">
        <v>0</v>
      </c>
      <c r="S748" s="6">
        <v>0</v>
      </c>
      <c r="T748" s="6">
        <v>34</v>
      </c>
      <c r="U748" s="6">
        <v>75</v>
      </c>
      <c r="V748" s="6">
        <f>IF(ISERROR(VLOOKUP($S$748,'TAR FIN'!$A$1:$O$103,15,0)),0,VLOOKUP($S$748,'TAR FIN'!$A$1:$O$103,15,0))</f>
        <v>0</v>
      </c>
      <c r="W748" s="6">
        <f>IF(ISERROR(VLOOKUP($T$748,'TAR FIN'!$A$1:$O$103,15,0)),0,VLOOKUP($T$748,'TAR FIN'!$A$1:$O$103,15,0))</f>
        <v>195.8</v>
      </c>
      <c r="X748" s="6">
        <f>IF(ISERROR(VLOOKUP($U$748,'TAR FIN'!$A$1:$O$103,15,0)),0,VLOOKUP($U$748,'TAR FIN'!$A$1:$O$103,15,0))</f>
        <v>288.89999999999998</v>
      </c>
      <c r="Y748" s="6"/>
      <c r="Z748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8" s="6">
        <f ca="1">('TE BE'!$AB$18+'TE BF_350'!$AB$18+'TE CVA'!$AB$18)*(1-CUSTOS!$M$37)</f>
        <v>258.94</v>
      </c>
      <c r="AB748" s="6">
        <f>$K$748*$V$748</f>
        <v>0</v>
      </c>
      <c r="AC748" s="6">
        <f>$M$748*$W$748</f>
        <v>-88.305800000000005</v>
      </c>
      <c r="AD748" s="6">
        <f>$O$748*$X$748</f>
        <v>-130.29389999999998</v>
      </c>
      <c r="AE748" s="6">
        <f>$K$748*$Y$748</f>
        <v>0</v>
      </c>
      <c r="AF748" s="6">
        <f ca="1">$M$748*$Z$748</f>
        <v>-90.484129999999993</v>
      </c>
      <c r="AG748" s="6">
        <f ca="1">$O$748*$AA$748</f>
        <v>-116.78194000000001</v>
      </c>
    </row>
    <row r="749" spans="1:33" ht="11.25" customHeight="1" x14ac:dyDescent="0.25">
      <c r="A749" s="4" t="s">
        <v>21</v>
      </c>
      <c r="B749" s="4" t="s">
        <v>22</v>
      </c>
      <c r="C749" s="4" t="s">
        <v>23</v>
      </c>
      <c r="D749" s="4" t="s">
        <v>24</v>
      </c>
      <c r="E749" s="4" t="s">
        <v>32</v>
      </c>
      <c r="F749" s="4" t="s">
        <v>25</v>
      </c>
      <c r="G749" s="4" t="s">
        <v>25</v>
      </c>
      <c r="H749" s="4" t="s">
        <v>25</v>
      </c>
      <c r="I749" s="5">
        <v>44531</v>
      </c>
      <c r="J749" s="6">
        <v>0</v>
      </c>
      <c r="K749" s="6">
        <v>0</v>
      </c>
      <c r="L749" s="6">
        <v>25.991</v>
      </c>
      <c r="M749" s="6">
        <v>25.991</v>
      </c>
      <c r="N749" s="6">
        <v>25.991</v>
      </c>
      <c r="O749" s="6">
        <v>25.991</v>
      </c>
      <c r="P749" s="6">
        <v>398</v>
      </c>
      <c r="Q749" s="4" t="s">
        <v>26</v>
      </c>
      <c r="R749" s="4">
        <v>0</v>
      </c>
      <c r="S749" s="6">
        <v>0</v>
      </c>
      <c r="T749" s="6">
        <v>34</v>
      </c>
      <c r="U749" s="6">
        <v>75</v>
      </c>
      <c r="V749" s="6">
        <f>IF(ISERROR(VLOOKUP($S$749,'TAR FIN'!$A$1:$O$103,15,0)),0,VLOOKUP($S$749,'TAR FIN'!$A$1:$O$103,15,0))</f>
        <v>0</v>
      </c>
      <c r="W749" s="6">
        <f>IF(ISERROR(VLOOKUP($T$749,'TAR FIN'!$A$1:$O$103,15,0)),0,VLOOKUP($T$749,'TAR FIN'!$A$1:$O$103,15,0))</f>
        <v>195.8</v>
      </c>
      <c r="X749" s="6">
        <f>IF(ISERROR(VLOOKUP($U$749,'TAR FIN'!$A$1:$O$103,15,0)),0,VLOOKUP($U$749,'TAR FIN'!$A$1:$O$103,15,0))</f>
        <v>288.89999999999998</v>
      </c>
      <c r="Y749" s="6"/>
      <c r="Z749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49" s="6">
        <f ca="1">('TE BE'!$AB$18+'TE BF_350'!$AB$18+'TE CVA'!$AB$18)*(1-CUSTOS!$M$37)</f>
        <v>258.94</v>
      </c>
      <c r="AB749" s="6">
        <f>$K$749*$V$749</f>
        <v>0</v>
      </c>
      <c r="AC749" s="6">
        <f>$M$749*$W$749</f>
        <v>5089.0378000000001</v>
      </c>
      <c r="AD749" s="6">
        <f>$O$749*$X$749</f>
        <v>7508.7998999999991</v>
      </c>
      <c r="AE749" s="6">
        <f>$K$749*$Y$749</f>
        <v>0</v>
      </c>
      <c r="AF749" s="6">
        <f ca="1">$M$749*$Z$749</f>
        <v>5214.5743299999995</v>
      </c>
      <c r="AG749" s="6">
        <f ca="1">$O$749*$AA$749</f>
        <v>6730.1095399999995</v>
      </c>
    </row>
    <row r="750" spans="1:33" ht="11.25" customHeight="1" x14ac:dyDescent="0.25">
      <c r="A750" s="4" t="s">
        <v>27</v>
      </c>
      <c r="B750" s="4" t="s">
        <v>22</v>
      </c>
      <c r="C750" s="4" t="s">
        <v>23</v>
      </c>
      <c r="D750" s="4" t="s">
        <v>24</v>
      </c>
      <c r="E750" s="4" t="s">
        <v>32</v>
      </c>
      <c r="F750" s="4" t="s">
        <v>25</v>
      </c>
      <c r="G750" s="4" t="s">
        <v>25</v>
      </c>
      <c r="H750" s="4" t="s">
        <v>25</v>
      </c>
      <c r="I750" s="5">
        <v>44531</v>
      </c>
      <c r="J750" s="6">
        <v>0</v>
      </c>
      <c r="K750" s="6">
        <v>0</v>
      </c>
      <c r="L750" s="6">
        <v>-7.0000000000000001E-3</v>
      </c>
      <c r="M750" s="6">
        <v>-7.0000000000000001E-3</v>
      </c>
      <c r="N750" s="6">
        <v>-7.0000000000000001E-3</v>
      </c>
      <c r="O750" s="6">
        <v>-7.0000000000000001E-3</v>
      </c>
      <c r="P750" s="6">
        <v>0</v>
      </c>
      <c r="Q750" s="4" t="s">
        <v>26</v>
      </c>
      <c r="R750" s="4">
        <v>0</v>
      </c>
      <c r="S750" s="6">
        <v>0</v>
      </c>
      <c r="T750" s="6">
        <v>34</v>
      </c>
      <c r="U750" s="6">
        <v>75</v>
      </c>
      <c r="V750" s="6">
        <f>IF(ISERROR(VLOOKUP($S$750,'TAR FIN'!$A$1:$O$103,15,0)),0,VLOOKUP($S$750,'TAR FIN'!$A$1:$O$103,15,0))</f>
        <v>0</v>
      </c>
      <c r="W750" s="6">
        <f>IF(ISERROR(VLOOKUP($T$750,'TAR FIN'!$A$1:$O$103,15,0)),0,VLOOKUP($T$750,'TAR FIN'!$A$1:$O$103,15,0))</f>
        <v>195.8</v>
      </c>
      <c r="X750" s="6">
        <f>IF(ISERROR(VLOOKUP($U$750,'TAR FIN'!$A$1:$O$103,15,0)),0,VLOOKUP($U$750,'TAR FIN'!$A$1:$O$103,15,0))</f>
        <v>288.89999999999998</v>
      </c>
      <c r="Y750" s="6"/>
      <c r="Z750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0" s="6">
        <f ca="1">('TE BE'!$AB$18+'TE BF_350'!$AB$18+'TE CVA'!$AB$18)*(1-CUSTOS!$M$37)</f>
        <v>258.94</v>
      </c>
      <c r="AB750" s="6">
        <f>$K$750*$V$750</f>
        <v>0</v>
      </c>
      <c r="AC750" s="6">
        <f>$M$750*$W$750</f>
        <v>-1.3706</v>
      </c>
      <c r="AD750" s="6">
        <f>$O$750*$X$750</f>
        <v>-2.0223</v>
      </c>
      <c r="AE750" s="6">
        <f>$K$750*$Y$750</f>
        <v>0</v>
      </c>
      <c r="AF750" s="6">
        <f ca="1">$M$750*$Z$750</f>
        <v>-1.4044099999999999</v>
      </c>
      <c r="AG750" s="6">
        <f ca="1">$O$750*$AA$750</f>
        <v>-1.8125800000000001</v>
      </c>
    </row>
    <row r="751" spans="1:33" ht="11.25" customHeight="1" x14ac:dyDescent="0.25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32</v>
      </c>
      <c r="F751" s="4" t="s">
        <v>25</v>
      </c>
      <c r="G751" s="4" t="s">
        <v>25</v>
      </c>
      <c r="H751" s="4" t="s">
        <v>25</v>
      </c>
      <c r="I751" s="5">
        <v>44562</v>
      </c>
      <c r="J751" s="6">
        <v>0</v>
      </c>
      <c r="K751" s="6">
        <v>0</v>
      </c>
      <c r="L751" s="6">
        <v>30.13</v>
      </c>
      <c r="M751" s="6">
        <v>30.13</v>
      </c>
      <c r="N751" s="6">
        <v>30.13</v>
      </c>
      <c r="O751" s="6">
        <v>30.13</v>
      </c>
      <c r="P751" s="6">
        <v>440</v>
      </c>
      <c r="Q751" s="4" t="s">
        <v>26</v>
      </c>
      <c r="R751" s="4">
        <v>0</v>
      </c>
      <c r="S751" s="6">
        <v>0</v>
      </c>
      <c r="T751" s="6">
        <v>34</v>
      </c>
      <c r="U751" s="6">
        <v>75</v>
      </c>
      <c r="V751" s="6">
        <f>IF(ISERROR(VLOOKUP($S$751,'TAR FIN'!$A$1:$O$103,15,0)),0,VLOOKUP($S$751,'TAR FIN'!$A$1:$O$103,15,0))</f>
        <v>0</v>
      </c>
      <c r="W751" s="6">
        <f>IF(ISERROR(VLOOKUP($T$751,'TAR FIN'!$A$1:$O$103,15,0)),0,VLOOKUP($T$751,'TAR FIN'!$A$1:$O$103,15,0))</f>
        <v>195.8</v>
      </c>
      <c r="X751" s="6">
        <f>IF(ISERROR(VLOOKUP($U$751,'TAR FIN'!$A$1:$O$103,15,0)),0,VLOOKUP($U$751,'TAR FIN'!$A$1:$O$103,15,0))</f>
        <v>288.89999999999998</v>
      </c>
      <c r="Y751" s="6"/>
      <c r="Z751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1" s="6">
        <f ca="1">('TE BE'!$AB$18+'TE BF_350'!$AB$18+'TE CVA'!$AB$18)*(1-CUSTOS!$M$37)</f>
        <v>258.94</v>
      </c>
      <c r="AB751" s="6">
        <f>$K$751*$V$751</f>
        <v>0</v>
      </c>
      <c r="AC751" s="6">
        <f>$M$751*$W$751</f>
        <v>5899.4539999999997</v>
      </c>
      <c r="AD751" s="6">
        <f>$O$751*$X$751</f>
        <v>8704.5569999999989</v>
      </c>
      <c r="AE751" s="6">
        <f>$K$751*$Y$751</f>
        <v>0</v>
      </c>
      <c r="AF751" s="6">
        <f ca="1">$M$751*$Z$751</f>
        <v>6044.9818999999998</v>
      </c>
      <c r="AG751" s="6">
        <f ca="1">$O$751*$AA$751</f>
        <v>7801.8621999999996</v>
      </c>
    </row>
    <row r="752" spans="1:33" ht="11.25" customHeight="1" x14ac:dyDescent="0.25">
      <c r="A752" s="4" t="s">
        <v>27</v>
      </c>
      <c r="B752" s="4" t="s">
        <v>22</v>
      </c>
      <c r="C752" s="4" t="s">
        <v>23</v>
      </c>
      <c r="D752" s="4" t="s">
        <v>24</v>
      </c>
      <c r="E752" s="4" t="s">
        <v>32</v>
      </c>
      <c r="F752" s="4" t="s">
        <v>25</v>
      </c>
      <c r="G752" s="4" t="s">
        <v>25</v>
      </c>
      <c r="H752" s="4" t="s">
        <v>25</v>
      </c>
      <c r="I752" s="5">
        <v>44562</v>
      </c>
      <c r="J752" s="6">
        <v>0</v>
      </c>
      <c r="K752" s="6">
        <v>0</v>
      </c>
      <c r="L752" s="6">
        <v>-0.183</v>
      </c>
      <c r="M752" s="6">
        <v>-0.183</v>
      </c>
      <c r="N752" s="6">
        <v>-0.183</v>
      </c>
      <c r="O752" s="6">
        <v>-0.183</v>
      </c>
      <c r="P752" s="6">
        <v>0</v>
      </c>
      <c r="Q752" s="4" t="s">
        <v>26</v>
      </c>
      <c r="R752" s="4">
        <v>0</v>
      </c>
      <c r="S752" s="6">
        <v>0</v>
      </c>
      <c r="T752" s="6">
        <v>34</v>
      </c>
      <c r="U752" s="6">
        <v>75</v>
      </c>
      <c r="V752" s="6">
        <f>IF(ISERROR(VLOOKUP($S$752,'TAR FIN'!$A$1:$O$103,15,0)),0,VLOOKUP($S$752,'TAR FIN'!$A$1:$O$103,15,0))</f>
        <v>0</v>
      </c>
      <c r="W752" s="6">
        <f>IF(ISERROR(VLOOKUP($T$752,'TAR FIN'!$A$1:$O$103,15,0)),0,VLOOKUP($T$752,'TAR FIN'!$A$1:$O$103,15,0))</f>
        <v>195.8</v>
      </c>
      <c r="X752" s="6">
        <f>IF(ISERROR(VLOOKUP($U$752,'TAR FIN'!$A$1:$O$103,15,0)),0,VLOOKUP($U$752,'TAR FIN'!$A$1:$O$103,15,0))</f>
        <v>288.89999999999998</v>
      </c>
      <c r="Y752" s="6"/>
      <c r="Z752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2" s="6">
        <f ca="1">('TE BE'!$AB$18+'TE BF_350'!$AB$18+'TE CVA'!$AB$18)*(1-CUSTOS!$M$37)</f>
        <v>258.94</v>
      </c>
      <c r="AB752" s="6">
        <f>$K$752*$V$752</f>
        <v>0</v>
      </c>
      <c r="AC752" s="6">
        <f>$M$752*$W$752</f>
        <v>-35.831400000000002</v>
      </c>
      <c r="AD752" s="6">
        <f>$O$752*$X$752</f>
        <v>-52.868699999999997</v>
      </c>
      <c r="AE752" s="6">
        <f>$K$752*$Y$752</f>
        <v>0</v>
      </c>
      <c r="AF752" s="6">
        <f ca="1">$M$752*$Z$752</f>
        <v>-36.715289999999996</v>
      </c>
      <c r="AG752" s="6">
        <f ca="1">$O$752*$AA$752</f>
        <v>-47.386020000000002</v>
      </c>
    </row>
    <row r="753" spans="1:33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32</v>
      </c>
      <c r="F753" s="4" t="s">
        <v>25</v>
      </c>
      <c r="G753" s="4" t="s">
        <v>25</v>
      </c>
      <c r="H753" s="4" t="s">
        <v>25</v>
      </c>
      <c r="I753" s="5">
        <v>44593</v>
      </c>
      <c r="J753" s="6">
        <v>0</v>
      </c>
      <c r="K753" s="6">
        <v>0</v>
      </c>
      <c r="L753" s="6">
        <v>41.759</v>
      </c>
      <c r="M753" s="6">
        <v>41.759</v>
      </c>
      <c r="N753" s="6">
        <v>41.759</v>
      </c>
      <c r="O753" s="6">
        <v>41.759</v>
      </c>
      <c r="P753" s="6">
        <v>578</v>
      </c>
      <c r="Q753" s="4" t="s">
        <v>26</v>
      </c>
      <c r="R753" s="4">
        <v>0</v>
      </c>
      <c r="S753" s="6">
        <v>0</v>
      </c>
      <c r="T753" s="6">
        <v>34</v>
      </c>
      <c r="U753" s="6">
        <v>75</v>
      </c>
      <c r="V753" s="6">
        <f>IF(ISERROR(VLOOKUP($S$753,'TAR FIN'!$A$1:$O$103,15,0)),0,VLOOKUP($S$753,'TAR FIN'!$A$1:$O$103,15,0))</f>
        <v>0</v>
      </c>
      <c r="W753" s="6">
        <f>IF(ISERROR(VLOOKUP($T$753,'TAR FIN'!$A$1:$O$103,15,0)),0,VLOOKUP($T$753,'TAR FIN'!$A$1:$O$103,15,0))</f>
        <v>195.8</v>
      </c>
      <c r="X753" s="6">
        <f>IF(ISERROR(VLOOKUP($U$753,'TAR FIN'!$A$1:$O$103,15,0)),0,VLOOKUP($U$753,'TAR FIN'!$A$1:$O$103,15,0))</f>
        <v>288.89999999999998</v>
      </c>
      <c r="Y753" s="6"/>
      <c r="Z753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3" s="6">
        <f ca="1">('TE BE'!$AB$18+'TE BF_350'!$AB$18+'TE CVA'!$AB$18)*(1-CUSTOS!$M$37)</f>
        <v>258.94</v>
      </c>
      <c r="AB753" s="6">
        <f>$K$753*$V$753</f>
        <v>0</v>
      </c>
      <c r="AC753" s="6">
        <f>$M$753*$W$753</f>
        <v>8176.4122000000007</v>
      </c>
      <c r="AD753" s="6">
        <f>$O$753*$X$753</f>
        <v>12064.175099999999</v>
      </c>
      <c r="AE753" s="6">
        <f>$K$753*$Y$753</f>
        <v>0</v>
      </c>
      <c r="AF753" s="6">
        <f ca="1">$M$753*$Z$753</f>
        <v>8378.1081699999995</v>
      </c>
      <c r="AG753" s="6">
        <f ca="1">$O$753*$AA$753</f>
        <v>10813.07546</v>
      </c>
    </row>
    <row r="754" spans="1:33" ht="11.25" customHeight="1" x14ac:dyDescent="0.25">
      <c r="A754" s="4" t="s">
        <v>21</v>
      </c>
      <c r="B754" s="4" t="s">
        <v>22</v>
      </c>
      <c r="C754" s="4" t="s">
        <v>23</v>
      </c>
      <c r="D754" s="4" t="s">
        <v>24</v>
      </c>
      <c r="E754" s="4" t="s">
        <v>32</v>
      </c>
      <c r="F754" s="4" t="s">
        <v>25</v>
      </c>
      <c r="G754" s="4" t="s">
        <v>25</v>
      </c>
      <c r="H754" s="4" t="s">
        <v>25</v>
      </c>
      <c r="I754" s="5">
        <v>44621</v>
      </c>
      <c r="J754" s="6">
        <v>0</v>
      </c>
      <c r="K754" s="6">
        <v>0</v>
      </c>
      <c r="L754" s="6">
        <v>43.734999999999999</v>
      </c>
      <c r="M754" s="6">
        <v>43.734999999999999</v>
      </c>
      <c r="N754" s="6">
        <v>43.734999999999999</v>
      </c>
      <c r="O754" s="6">
        <v>43.734999999999999</v>
      </c>
      <c r="P754" s="6">
        <v>572</v>
      </c>
      <c r="Q754" s="4" t="s">
        <v>26</v>
      </c>
      <c r="R754" s="4">
        <v>0</v>
      </c>
      <c r="S754" s="6">
        <v>0</v>
      </c>
      <c r="T754" s="6">
        <v>34</v>
      </c>
      <c r="U754" s="6">
        <v>75</v>
      </c>
      <c r="V754" s="6">
        <f>IF(ISERROR(VLOOKUP($S$754,'TAR FIN'!$A$1:$O$103,15,0)),0,VLOOKUP($S$754,'TAR FIN'!$A$1:$O$103,15,0))</f>
        <v>0</v>
      </c>
      <c r="W754" s="6">
        <f>IF(ISERROR(VLOOKUP($T$754,'TAR FIN'!$A$1:$O$103,15,0)),0,VLOOKUP($T$754,'TAR FIN'!$A$1:$O$103,15,0))</f>
        <v>195.8</v>
      </c>
      <c r="X754" s="6">
        <f>IF(ISERROR(VLOOKUP($U$754,'TAR FIN'!$A$1:$O$103,15,0)),0,VLOOKUP($U$754,'TAR FIN'!$A$1:$O$103,15,0))</f>
        <v>288.89999999999998</v>
      </c>
      <c r="Y754" s="6"/>
      <c r="Z754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4" s="6">
        <f ca="1">('TE BE'!$AB$18+'TE BF_350'!$AB$18+'TE CVA'!$AB$18)*(1-CUSTOS!$M$37)</f>
        <v>258.94</v>
      </c>
      <c r="AB754" s="6">
        <f>$K$754*$V$754</f>
        <v>0</v>
      </c>
      <c r="AC754" s="6">
        <f>$M$754*$W$754</f>
        <v>8563.3130000000001</v>
      </c>
      <c r="AD754" s="6">
        <f>$O$754*$X$754</f>
        <v>12635.041499999999</v>
      </c>
      <c r="AE754" s="6">
        <f>$K$754*$Y$754</f>
        <v>0</v>
      </c>
      <c r="AF754" s="6">
        <f ca="1">$M$754*$Z$754</f>
        <v>8774.5530500000004</v>
      </c>
      <c r="AG754" s="6">
        <f ca="1">$O$754*$AA$754</f>
        <v>11324.740899999999</v>
      </c>
    </row>
    <row r="755" spans="1:33" ht="11.25" customHeight="1" x14ac:dyDescent="0.25">
      <c r="A755" s="4" t="s">
        <v>21</v>
      </c>
      <c r="B755" s="4" t="s">
        <v>22</v>
      </c>
      <c r="C755" s="4" t="s">
        <v>23</v>
      </c>
      <c r="D755" s="4" t="s">
        <v>24</v>
      </c>
      <c r="E755" s="4" t="s">
        <v>32</v>
      </c>
      <c r="F755" s="4" t="s">
        <v>25</v>
      </c>
      <c r="G755" s="4" t="s">
        <v>25</v>
      </c>
      <c r="H755" s="4" t="s">
        <v>25</v>
      </c>
      <c r="I755" s="5">
        <v>44652</v>
      </c>
      <c r="J755" s="6">
        <v>0</v>
      </c>
      <c r="K755" s="6">
        <v>0</v>
      </c>
      <c r="L755" s="6">
        <v>34.807000000000002</v>
      </c>
      <c r="M755" s="6">
        <v>34.807000000000002</v>
      </c>
      <c r="N755" s="6">
        <v>34.807000000000002</v>
      </c>
      <c r="O755" s="6">
        <v>34.807000000000002</v>
      </c>
      <c r="P755" s="6">
        <v>514</v>
      </c>
      <c r="Q755" s="4" t="s">
        <v>26</v>
      </c>
      <c r="R755" s="4">
        <v>0</v>
      </c>
      <c r="S755" s="6">
        <v>0</v>
      </c>
      <c r="T755" s="6">
        <v>34</v>
      </c>
      <c r="U755" s="6">
        <v>75</v>
      </c>
      <c r="V755" s="6">
        <f>IF(ISERROR(VLOOKUP($S$755,'TAR FIN'!$A$1:$O$103,15,0)),0,VLOOKUP($S$755,'TAR FIN'!$A$1:$O$103,15,0))</f>
        <v>0</v>
      </c>
      <c r="W755" s="6">
        <f>IF(ISERROR(VLOOKUP($T$755,'TAR FIN'!$A$1:$O$103,15,0)),0,VLOOKUP($T$755,'TAR FIN'!$A$1:$O$103,15,0))</f>
        <v>195.8</v>
      </c>
      <c r="X755" s="6">
        <f>IF(ISERROR(VLOOKUP($U$755,'TAR FIN'!$A$1:$O$103,15,0)),0,VLOOKUP($U$755,'TAR FIN'!$A$1:$O$103,15,0))</f>
        <v>288.89999999999998</v>
      </c>
      <c r="Y755" s="6"/>
      <c r="Z755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5" s="6">
        <f ca="1">('TE BE'!$AB$18+'TE BF_350'!$AB$18+'TE CVA'!$AB$18)*(1-CUSTOS!$M$37)</f>
        <v>258.94</v>
      </c>
      <c r="AB755" s="6">
        <f>$K$755*$V$755</f>
        <v>0</v>
      </c>
      <c r="AC755" s="6">
        <f>$M$755*$W$755</f>
        <v>6815.2106000000013</v>
      </c>
      <c r="AD755" s="6">
        <f>$O$755*$X$755</f>
        <v>10055.7423</v>
      </c>
      <c r="AE755" s="6">
        <f>$K$755*$Y$755</f>
        <v>0</v>
      </c>
      <c r="AF755" s="6">
        <f ca="1">$M$755*$Z$755</f>
        <v>6983.3284100000001</v>
      </c>
      <c r="AG755" s="6">
        <f ca="1">$O$755*$AA$755</f>
        <v>9012.9245800000008</v>
      </c>
    </row>
    <row r="756" spans="1:3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32</v>
      </c>
      <c r="F756" s="4" t="s">
        <v>25</v>
      </c>
      <c r="G756" s="4" t="s">
        <v>25</v>
      </c>
      <c r="H756" s="4" t="s">
        <v>25</v>
      </c>
      <c r="I756" s="5">
        <v>44682</v>
      </c>
      <c r="J756" s="6">
        <v>0</v>
      </c>
      <c r="K756" s="6">
        <v>0</v>
      </c>
      <c r="L756" s="6">
        <v>37.749000000000002</v>
      </c>
      <c r="M756" s="6">
        <v>37.749000000000002</v>
      </c>
      <c r="N756" s="6">
        <v>37.749000000000002</v>
      </c>
      <c r="O756" s="6">
        <v>37.749000000000002</v>
      </c>
      <c r="P756" s="6">
        <v>540</v>
      </c>
      <c r="Q756" s="4" t="s">
        <v>26</v>
      </c>
      <c r="R756" s="4">
        <v>0</v>
      </c>
      <c r="S756" s="6">
        <v>0</v>
      </c>
      <c r="T756" s="6">
        <v>34</v>
      </c>
      <c r="U756" s="6">
        <v>75</v>
      </c>
      <c r="V756" s="6">
        <f>IF(ISERROR(VLOOKUP($S$756,'TAR FIN'!$A$1:$O$103,15,0)),0,VLOOKUP($S$756,'TAR FIN'!$A$1:$O$103,15,0))</f>
        <v>0</v>
      </c>
      <c r="W756" s="6">
        <f>IF(ISERROR(VLOOKUP($T$756,'TAR FIN'!$A$1:$O$103,15,0)),0,VLOOKUP($T$756,'TAR FIN'!$A$1:$O$103,15,0))</f>
        <v>195.8</v>
      </c>
      <c r="X756" s="6">
        <f>IF(ISERROR(VLOOKUP($U$756,'TAR FIN'!$A$1:$O$103,15,0)),0,VLOOKUP($U$756,'TAR FIN'!$A$1:$O$103,15,0))</f>
        <v>288.89999999999998</v>
      </c>
      <c r="Y756" s="6"/>
      <c r="Z756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6" s="6">
        <f ca="1">('TE BE'!$AB$18+'TE BF_350'!$AB$18+'TE CVA'!$AB$18)*(1-CUSTOS!$M$37)</f>
        <v>258.94</v>
      </c>
      <c r="AB756" s="6">
        <f>$K$756*$V$756</f>
        <v>0</v>
      </c>
      <c r="AC756" s="6">
        <f>$M$756*$W$756</f>
        <v>7391.2542000000012</v>
      </c>
      <c r="AD756" s="6">
        <f>$O$756*$X$756</f>
        <v>10905.686099999999</v>
      </c>
      <c r="AE756" s="6">
        <f>$K$756*$Y$756</f>
        <v>0</v>
      </c>
      <c r="AF756" s="6">
        <f ca="1">$M$756*$Z$756</f>
        <v>7573.58187</v>
      </c>
      <c r="AG756" s="6">
        <f ca="1">$O$756*$AA$756</f>
        <v>9774.7260600000009</v>
      </c>
    </row>
    <row r="757" spans="1:3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32</v>
      </c>
      <c r="F757" s="4" t="s">
        <v>25</v>
      </c>
      <c r="G757" s="4" t="s">
        <v>25</v>
      </c>
      <c r="H757" s="4" t="s">
        <v>25</v>
      </c>
      <c r="I757" s="5">
        <v>44682</v>
      </c>
      <c r="J757" s="6">
        <v>0</v>
      </c>
      <c r="K757" s="6">
        <v>0</v>
      </c>
      <c r="L757" s="6">
        <v>-0.39300000000000002</v>
      </c>
      <c r="M757" s="6">
        <v>-0.39300000000000002</v>
      </c>
      <c r="N757" s="6">
        <v>-0.39300000000000002</v>
      </c>
      <c r="O757" s="6">
        <v>-0.39300000000000002</v>
      </c>
      <c r="P757" s="6">
        <v>0</v>
      </c>
      <c r="Q757" s="4" t="s">
        <v>26</v>
      </c>
      <c r="R757" s="4">
        <v>0</v>
      </c>
      <c r="S757" s="6">
        <v>0</v>
      </c>
      <c r="T757" s="6">
        <v>34</v>
      </c>
      <c r="U757" s="6">
        <v>75</v>
      </c>
      <c r="V757" s="6">
        <f>IF(ISERROR(VLOOKUP($S$757,'TAR FIN'!$A$1:$O$103,15,0)),0,VLOOKUP($S$757,'TAR FIN'!$A$1:$O$103,15,0))</f>
        <v>0</v>
      </c>
      <c r="W757" s="6">
        <f>IF(ISERROR(VLOOKUP($T$757,'TAR FIN'!$A$1:$O$103,15,0)),0,VLOOKUP($T$757,'TAR FIN'!$A$1:$O$103,15,0))</f>
        <v>195.8</v>
      </c>
      <c r="X757" s="6">
        <f>IF(ISERROR(VLOOKUP($U$757,'TAR FIN'!$A$1:$O$103,15,0)),0,VLOOKUP($U$757,'TAR FIN'!$A$1:$O$103,15,0))</f>
        <v>288.89999999999998</v>
      </c>
      <c r="Y757" s="6"/>
      <c r="Z757" s="6">
        <f ca="1">('TUSD BE'!$AM$34+'TUSD BF_350'!$AM$34+'TUSD CVA'!$AM$34-('TUSD BE'!$P$34+'TUSD BF_350'!$P$34+'TUSD CVA'!$P$34)-('TUSD BE'!$Q$34+'TUSD BF_350'!$Q$34+'TUSD CVA'!$Q$34)-('TUSD BE'!$R$34+'TUSD BF_350'!$R$34+'TUSD CVA'!$R$34))*(1-CUSTOS!$M$37)</f>
        <v>200.63</v>
      </c>
      <c r="AA757" s="6">
        <f ca="1">('TE BE'!$AB$18+'TE BF_350'!$AB$18+'TE CVA'!$AB$18)*(1-CUSTOS!$M$37)</f>
        <v>258.94</v>
      </c>
      <c r="AB757" s="6">
        <f>$K$757*$V$757</f>
        <v>0</v>
      </c>
      <c r="AC757" s="6">
        <f>$M$757*$W$757</f>
        <v>-76.949400000000011</v>
      </c>
      <c r="AD757" s="6">
        <f>$O$757*$X$757</f>
        <v>-113.5377</v>
      </c>
      <c r="AE757" s="6">
        <f>$K$757*$Y$757</f>
        <v>0</v>
      </c>
      <c r="AF757" s="6">
        <f ca="1">$M$757*$Z$757</f>
        <v>-78.847589999999997</v>
      </c>
      <c r="AG757" s="6">
        <f ca="1">$O$757*$AA$757</f>
        <v>-101.76342</v>
      </c>
    </row>
    <row r="758" spans="1:33" ht="11.25" customHeight="1" x14ac:dyDescent="0.25">
      <c r="A758" s="4" t="s">
        <v>21</v>
      </c>
      <c r="B758" s="4" t="s">
        <v>44</v>
      </c>
      <c r="C758" s="4" t="s">
        <v>23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25</v>
      </c>
      <c r="I758" s="5">
        <v>44348</v>
      </c>
      <c r="J758" s="6">
        <v>0</v>
      </c>
      <c r="K758" s="6">
        <v>0</v>
      </c>
      <c r="L758" s="6">
        <v>538.70600000000002</v>
      </c>
      <c r="M758" s="6">
        <v>538.70600000000002</v>
      </c>
      <c r="N758" s="6">
        <v>538.70600000000002</v>
      </c>
      <c r="O758" s="6">
        <v>538.70600000000002</v>
      </c>
      <c r="P758" s="6">
        <v>1770</v>
      </c>
      <c r="Q758" s="4" t="s">
        <v>26</v>
      </c>
      <c r="R758" s="4">
        <v>0</v>
      </c>
      <c r="S758" s="6">
        <v>0</v>
      </c>
      <c r="T758" s="6">
        <v>43</v>
      </c>
      <c r="U758" s="6">
        <v>84</v>
      </c>
      <c r="V758" s="6">
        <f>IF(ISERROR(VLOOKUP($S$758,'TAR FIN'!$A$1:$O$103,15,0)),0,VLOOKUP($S$758,'TAR FIN'!$A$1:$O$103,15,0))</f>
        <v>0</v>
      </c>
      <c r="W758" s="6">
        <f>IF(ISERROR(VLOOKUP($T$758,'TAR FIN'!$A$1:$O$103,15,0)),0,VLOOKUP($T$758,'TAR FIN'!$A$1:$O$103,15,0))</f>
        <v>237.52</v>
      </c>
      <c r="X758" s="6">
        <f>IF(ISERROR(VLOOKUP($U$758,'TAR FIN'!$A$1:$O$103,15,0)),0,VLOOKUP($U$758,'TAR FIN'!$A$1:$O$103,15,0))</f>
        <v>254.23</v>
      </c>
      <c r="Y758" s="6"/>
      <c r="Z758" s="6">
        <f ca="1">('TUSD BE'!$AM$43+'TUSD BF_350'!$AM$43+'TUSD CVA'!$AM$43)*(1-CUSTOS!$M$38)</f>
        <v>292.15199999999993</v>
      </c>
      <c r="AA758" s="6">
        <f ca="1">('TE BE'!$AB$27+'TE BF_350'!$AB$27+'TE CVA'!$AB$27)*(1-CUSTOS!$M$38)</f>
        <v>243.40359999999998</v>
      </c>
      <c r="AB758" s="6">
        <f>$K$758*$V$758</f>
        <v>0</v>
      </c>
      <c r="AC758" s="6">
        <f>$M$758*$W$758</f>
        <v>127953.44912</v>
      </c>
      <c r="AD758" s="6">
        <f>$O$758*$X$758</f>
        <v>136955.22638000001</v>
      </c>
      <c r="AE758" s="6">
        <f>$K$758*$Y$758</f>
        <v>0</v>
      </c>
      <c r="AF758" s="6">
        <f ca="1">$M$758*$Z$758</f>
        <v>157384.03531199996</v>
      </c>
      <c r="AG758" s="6">
        <f ca="1">$O$758*$AA$758</f>
        <v>131122.97974159999</v>
      </c>
    </row>
    <row r="759" spans="1:33" ht="11.25" customHeight="1" x14ac:dyDescent="0.25">
      <c r="A759" s="4" t="s">
        <v>27</v>
      </c>
      <c r="B759" s="4" t="s">
        <v>44</v>
      </c>
      <c r="C759" s="4" t="s">
        <v>23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25</v>
      </c>
      <c r="I759" s="5">
        <v>44348</v>
      </c>
      <c r="J759" s="6">
        <v>0</v>
      </c>
      <c r="K759" s="6">
        <v>0</v>
      </c>
      <c r="L759" s="6">
        <v>0.57799999999999996</v>
      </c>
      <c r="M759" s="6">
        <v>0.57799999999999996</v>
      </c>
      <c r="N759" s="6">
        <v>0.57799999999999996</v>
      </c>
      <c r="O759" s="6">
        <v>0.57799999999999996</v>
      </c>
      <c r="P759" s="6">
        <v>0</v>
      </c>
      <c r="Q759" s="4" t="s">
        <v>26</v>
      </c>
      <c r="R759" s="4">
        <v>0</v>
      </c>
      <c r="S759" s="6">
        <v>0</v>
      </c>
      <c r="T759" s="6">
        <v>43</v>
      </c>
      <c r="U759" s="6">
        <v>84</v>
      </c>
      <c r="V759" s="6">
        <f>IF(ISERROR(VLOOKUP($S$759,'TAR FIN'!$A$1:$O$103,15,0)),0,VLOOKUP($S$759,'TAR FIN'!$A$1:$O$103,15,0))</f>
        <v>0</v>
      </c>
      <c r="W759" s="6">
        <f>IF(ISERROR(VLOOKUP($T$759,'TAR FIN'!$A$1:$O$103,15,0)),0,VLOOKUP($T$759,'TAR FIN'!$A$1:$O$103,15,0))</f>
        <v>237.52</v>
      </c>
      <c r="X759" s="6">
        <f>IF(ISERROR(VLOOKUP($U$759,'TAR FIN'!$A$1:$O$103,15,0)),0,VLOOKUP($U$759,'TAR FIN'!$A$1:$O$103,15,0))</f>
        <v>254.23</v>
      </c>
      <c r="Y759" s="6"/>
      <c r="Z759" s="6">
        <f ca="1">('TUSD BE'!$AM$43+'TUSD BF_350'!$AM$43+'TUSD CVA'!$AM$43)*(1-CUSTOS!$M$38)</f>
        <v>292.15199999999993</v>
      </c>
      <c r="AA759" s="6">
        <f ca="1">('TE BE'!$AB$27+'TE BF_350'!$AB$27+'TE CVA'!$AB$27)*(1-CUSTOS!$M$38)</f>
        <v>243.40359999999998</v>
      </c>
      <c r="AB759" s="6">
        <f>$K$759*$V$759</f>
        <v>0</v>
      </c>
      <c r="AC759" s="6">
        <f>$M$759*$W$759</f>
        <v>137.28656000000001</v>
      </c>
      <c r="AD759" s="6">
        <f>$O$759*$X$759</f>
        <v>146.94493999999997</v>
      </c>
      <c r="AE759" s="6">
        <f>$K$759*$Y$759</f>
        <v>0</v>
      </c>
      <c r="AF759" s="6">
        <f ca="1">$M$759*$Z$759</f>
        <v>168.86385599999994</v>
      </c>
      <c r="AG759" s="6">
        <f ca="1">$O$759*$AA$759</f>
        <v>140.68728079999997</v>
      </c>
    </row>
    <row r="760" spans="1:33" ht="11.25" customHeight="1" x14ac:dyDescent="0.25">
      <c r="A760" s="4" t="s">
        <v>28</v>
      </c>
      <c r="B760" s="4" t="s">
        <v>44</v>
      </c>
      <c r="C760" s="4" t="s">
        <v>23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25</v>
      </c>
      <c r="I760" s="5">
        <v>44348</v>
      </c>
      <c r="J760" s="6">
        <v>0</v>
      </c>
      <c r="K760" s="6">
        <v>0</v>
      </c>
      <c r="L760" s="6">
        <v>1.46</v>
      </c>
      <c r="M760" s="6">
        <v>1.46</v>
      </c>
      <c r="N760" s="6">
        <v>1.46</v>
      </c>
      <c r="O760" s="6">
        <v>1.46</v>
      </c>
      <c r="P760" s="6">
        <v>8</v>
      </c>
      <c r="Q760" s="4" t="s">
        <v>26</v>
      </c>
      <c r="R760" s="4">
        <v>0</v>
      </c>
      <c r="S760" s="6">
        <v>0</v>
      </c>
      <c r="T760" s="6">
        <v>43</v>
      </c>
      <c r="U760" s="6">
        <v>84</v>
      </c>
      <c r="V760" s="6">
        <f>IF(ISERROR(VLOOKUP($S$760,'TAR FIN'!$A$1:$O$103,15,0)),0,VLOOKUP($S$760,'TAR FIN'!$A$1:$O$103,15,0))</f>
        <v>0</v>
      </c>
      <c r="W760" s="6">
        <f>IF(ISERROR(VLOOKUP($T$760,'TAR FIN'!$A$1:$O$103,15,0)),0,VLOOKUP($T$760,'TAR FIN'!$A$1:$O$103,15,0))</f>
        <v>237.52</v>
      </c>
      <c r="X760" s="6">
        <f>IF(ISERROR(VLOOKUP($U$760,'TAR FIN'!$A$1:$O$103,15,0)),0,VLOOKUP($U$760,'TAR FIN'!$A$1:$O$103,15,0))</f>
        <v>254.23</v>
      </c>
      <c r="Y760" s="6"/>
      <c r="Z760" s="6">
        <f ca="1">('TUSD BE'!$AM$43+'TUSD BF_350'!$AM$43+'TUSD CVA'!$AM$43)*(1-CUSTOS!$M$38)</f>
        <v>292.15199999999993</v>
      </c>
      <c r="AA760" s="6">
        <f ca="1">('TE BE'!$AB$27+'TE BF_350'!$AB$27+'TE CVA'!$AB$27)*(1-CUSTOS!$M$38)</f>
        <v>243.40359999999998</v>
      </c>
      <c r="AB760" s="6">
        <f>$K$760*$V$760</f>
        <v>0</v>
      </c>
      <c r="AC760" s="6">
        <f>$M$760*$W$760</f>
        <v>346.7792</v>
      </c>
      <c r="AD760" s="6">
        <f>$O$760*$X$760</f>
        <v>371.17579999999998</v>
      </c>
      <c r="AE760" s="6">
        <f>$K$760*$Y$760</f>
        <v>0</v>
      </c>
      <c r="AF760" s="6">
        <f ca="1">$M$760*$Z$760</f>
        <v>426.54191999999989</v>
      </c>
      <c r="AG760" s="6">
        <f ca="1">$O$760*$AA$760</f>
        <v>355.36925599999995</v>
      </c>
    </row>
    <row r="761" spans="1:33" ht="11.25" customHeight="1" x14ac:dyDescent="0.25">
      <c r="A761" s="4" t="s">
        <v>21</v>
      </c>
      <c r="B761" s="4" t="s">
        <v>44</v>
      </c>
      <c r="C761" s="4" t="s">
        <v>23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25</v>
      </c>
      <c r="I761" s="5">
        <v>44378</v>
      </c>
      <c r="J761" s="6">
        <v>0</v>
      </c>
      <c r="K761" s="6">
        <v>0</v>
      </c>
      <c r="L761" s="6">
        <v>562.96199999999999</v>
      </c>
      <c r="M761" s="6">
        <v>562.96199999999999</v>
      </c>
      <c r="N761" s="6">
        <v>562.96199999999999</v>
      </c>
      <c r="O761" s="6">
        <v>562.96199999999999</v>
      </c>
      <c r="P761" s="6">
        <v>1772</v>
      </c>
      <c r="Q761" s="4" t="s">
        <v>26</v>
      </c>
      <c r="R761" s="4">
        <v>0</v>
      </c>
      <c r="S761" s="6">
        <v>0</v>
      </c>
      <c r="T761" s="6">
        <v>43</v>
      </c>
      <c r="U761" s="6">
        <v>84</v>
      </c>
      <c r="V761" s="6">
        <f>IF(ISERROR(VLOOKUP($S$761,'TAR FIN'!$A$1:$O$103,15,0)),0,VLOOKUP($S$761,'TAR FIN'!$A$1:$O$103,15,0))</f>
        <v>0</v>
      </c>
      <c r="W761" s="6">
        <f>IF(ISERROR(VLOOKUP($T$761,'TAR FIN'!$A$1:$O$103,15,0)),0,VLOOKUP($T$761,'TAR FIN'!$A$1:$O$103,15,0))</f>
        <v>237.52</v>
      </c>
      <c r="X761" s="6">
        <f>IF(ISERROR(VLOOKUP($U$761,'TAR FIN'!$A$1:$O$103,15,0)),0,VLOOKUP($U$761,'TAR FIN'!$A$1:$O$103,15,0))</f>
        <v>254.23</v>
      </c>
      <c r="Y761" s="6"/>
      <c r="Z761" s="6">
        <f ca="1">('TUSD BE'!$AM$43+'TUSD BF_350'!$AM$43+'TUSD CVA'!$AM$43)*(1-CUSTOS!$M$38)</f>
        <v>292.15199999999993</v>
      </c>
      <c r="AA761" s="6">
        <f ca="1">('TE BE'!$AB$27+'TE BF_350'!$AB$27+'TE CVA'!$AB$27)*(1-CUSTOS!$M$38)</f>
        <v>243.40359999999998</v>
      </c>
      <c r="AB761" s="6">
        <f>$K$761*$V$761</f>
        <v>0</v>
      </c>
      <c r="AC761" s="6">
        <f>$M$761*$W$761</f>
        <v>133714.73423999999</v>
      </c>
      <c r="AD761" s="6">
        <f>$O$761*$X$761</f>
        <v>143121.82926</v>
      </c>
      <c r="AE761" s="6">
        <f>$K$761*$Y$761</f>
        <v>0</v>
      </c>
      <c r="AF761" s="6">
        <f ca="1">$M$761*$Z$761</f>
        <v>164470.47422399995</v>
      </c>
      <c r="AG761" s="6">
        <f ca="1">$O$761*$AA$761</f>
        <v>137026.97746319999</v>
      </c>
    </row>
    <row r="762" spans="1:33" ht="11.25" customHeight="1" x14ac:dyDescent="0.25">
      <c r="A762" s="4" t="s">
        <v>27</v>
      </c>
      <c r="B762" s="4" t="s">
        <v>44</v>
      </c>
      <c r="C762" s="4" t="s">
        <v>23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25</v>
      </c>
      <c r="I762" s="5">
        <v>44378</v>
      </c>
      <c r="J762" s="6">
        <v>0</v>
      </c>
      <c r="K762" s="6">
        <v>0</v>
      </c>
      <c r="L762" s="6">
        <v>-0.11</v>
      </c>
      <c r="M762" s="6">
        <v>-0.11</v>
      </c>
      <c r="N762" s="6">
        <v>-0.11</v>
      </c>
      <c r="O762" s="6">
        <v>-0.11</v>
      </c>
      <c r="P762" s="6">
        <v>0</v>
      </c>
      <c r="Q762" s="4" t="s">
        <v>26</v>
      </c>
      <c r="R762" s="4">
        <v>0</v>
      </c>
      <c r="S762" s="6">
        <v>0</v>
      </c>
      <c r="T762" s="6">
        <v>43</v>
      </c>
      <c r="U762" s="6">
        <v>84</v>
      </c>
      <c r="V762" s="6">
        <f>IF(ISERROR(VLOOKUP($S$762,'TAR FIN'!$A$1:$O$103,15,0)),0,VLOOKUP($S$762,'TAR FIN'!$A$1:$O$103,15,0))</f>
        <v>0</v>
      </c>
      <c r="W762" s="6">
        <f>IF(ISERROR(VLOOKUP($T$762,'TAR FIN'!$A$1:$O$103,15,0)),0,VLOOKUP($T$762,'TAR FIN'!$A$1:$O$103,15,0))</f>
        <v>237.52</v>
      </c>
      <c r="X762" s="6">
        <f>IF(ISERROR(VLOOKUP($U$762,'TAR FIN'!$A$1:$O$103,15,0)),0,VLOOKUP($U$762,'TAR FIN'!$A$1:$O$103,15,0))</f>
        <v>254.23</v>
      </c>
      <c r="Y762" s="6"/>
      <c r="Z762" s="6">
        <f ca="1">('TUSD BE'!$AM$43+'TUSD BF_350'!$AM$43+'TUSD CVA'!$AM$43)*(1-CUSTOS!$M$38)</f>
        <v>292.15199999999993</v>
      </c>
      <c r="AA762" s="6">
        <f ca="1">('TE BE'!$AB$27+'TE BF_350'!$AB$27+'TE CVA'!$AB$27)*(1-CUSTOS!$M$38)</f>
        <v>243.40359999999998</v>
      </c>
      <c r="AB762" s="6">
        <f>$K$762*$V$762</f>
        <v>0</v>
      </c>
      <c r="AC762" s="6">
        <f>$M$762*$W$762</f>
        <v>-26.127200000000002</v>
      </c>
      <c r="AD762" s="6">
        <f>$O$762*$X$762</f>
        <v>-27.965299999999999</v>
      </c>
      <c r="AE762" s="6">
        <f>$K$762*$Y$762</f>
        <v>0</v>
      </c>
      <c r="AF762" s="6">
        <f ca="1">$M$762*$Z$762</f>
        <v>-32.13671999999999</v>
      </c>
      <c r="AG762" s="6">
        <f ca="1">$O$762*$AA$762</f>
        <v>-26.774395999999999</v>
      </c>
    </row>
    <row r="763" spans="1:33" ht="11.25" customHeight="1" x14ac:dyDescent="0.25">
      <c r="A763" s="4" t="s">
        <v>28</v>
      </c>
      <c r="B763" s="4" t="s">
        <v>44</v>
      </c>
      <c r="C763" s="4" t="s">
        <v>23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25</v>
      </c>
      <c r="I763" s="5">
        <v>44378</v>
      </c>
      <c r="J763" s="6">
        <v>0</v>
      </c>
      <c r="K763" s="6">
        <v>0</v>
      </c>
      <c r="L763" s="6">
        <v>0.84199999999999997</v>
      </c>
      <c r="M763" s="6">
        <v>0.84199999999999997</v>
      </c>
      <c r="N763" s="6">
        <v>0.84199999999999997</v>
      </c>
      <c r="O763" s="6">
        <v>0.84199999999999997</v>
      </c>
      <c r="P763" s="6">
        <v>7</v>
      </c>
      <c r="Q763" s="4" t="s">
        <v>26</v>
      </c>
      <c r="R763" s="4">
        <v>0</v>
      </c>
      <c r="S763" s="6">
        <v>0</v>
      </c>
      <c r="T763" s="6">
        <v>43</v>
      </c>
      <c r="U763" s="6">
        <v>84</v>
      </c>
      <c r="V763" s="6">
        <f>IF(ISERROR(VLOOKUP($S$763,'TAR FIN'!$A$1:$O$103,15,0)),0,VLOOKUP($S$763,'TAR FIN'!$A$1:$O$103,15,0))</f>
        <v>0</v>
      </c>
      <c r="W763" s="6">
        <f>IF(ISERROR(VLOOKUP($T$763,'TAR FIN'!$A$1:$O$103,15,0)),0,VLOOKUP($T$763,'TAR FIN'!$A$1:$O$103,15,0))</f>
        <v>237.52</v>
      </c>
      <c r="X763" s="6">
        <f>IF(ISERROR(VLOOKUP($U$763,'TAR FIN'!$A$1:$O$103,15,0)),0,VLOOKUP($U$763,'TAR FIN'!$A$1:$O$103,15,0))</f>
        <v>254.23</v>
      </c>
      <c r="Y763" s="6"/>
      <c r="Z763" s="6">
        <f ca="1">('TUSD BE'!$AM$43+'TUSD BF_350'!$AM$43+'TUSD CVA'!$AM$43)*(1-CUSTOS!$M$38)</f>
        <v>292.15199999999993</v>
      </c>
      <c r="AA763" s="6">
        <f ca="1">('TE BE'!$AB$27+'TE BF_350'!$AB$27+'TE CVA'!$AB$27)*(1-CUSTOS!$M$38)</f>
        <v>243.40359999999998</v>
      </c>
      <c r="AB763" s="6">
        <f>$K$763*$V$763</f>
        <v>0</v>
      </c>
      <c r="AC763" s="6">
        <f>$M$763*$W$763</f>
        <v>199.99184</v>
      </c>
      <c r="AD763" s="6">
        <f>$O$763*$X$763</f>
        <v>214.06165999999999</v>
      </c>
      <c r="AE763" s="6">
        <f>$K$763*$Y$763</f>
        <v>0</v>
      </c>
      <c r="AF763" s="6">
        <f ca="1">$M$763*$Z$763</f>
        <v>245.99198399999995</v>
      </c>
      <c r="AG763" s="6">
        <f ca="1">$O$763*$AA$763</f>
        <v>204.94583119999999</v>
      </c>
    </row>
    <row r="764" spans="1:33" ht="11.25" customHeight="1" x14ac:dyDescent="0.25">
      <c r="A764" s="4" t="s">
        <v>21</v>
      </c>
      <c r="B764" s="4" t="s">
        <v>44</v>
      </c>
      <c r="C764" s="4" t="s">
        <v>23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25</v>
      </c>
      <c r="I764" s="5">
        <v>44409</v>
      </c>
      <c r="J764" s="6">
        <v>0</v>
      </c>
      <c r="K764" s="6">
        <v>0</v>
      </c>
      <c r="L764" s="6">
        <v>539.01599999999996</v>
      </c>
      <c r="M764" s="6">
        <v>539.01599999999996</v>
      </c>
      <c r="N764" s="6">
        <v>539.01599999999996</v>
      </c>
      <c r="O764" s="6">
        <v>539.01599999999996</v>
      </c>
      <c r="P764" s="6">
        <v>1770</v>
      </c>
      <c r="Q764" s="4" t="s">
        <v>26</v>
      </c>
      <c r="R764" s="4">
        <v>0</v>
      </c>
      <c r="S764" s="6">
        <v>0</v>
      </c>
      <c r="T764" s="6">
        <v>43</v>
      </c>
      <c r="U764" s="6">
        <v>84</v>
      </c>
      <c r="V764" s="6">
        <f>IF(ISERROR(VLOOKUP($S$764,'TAR FIN'!$A$1:$O$103,15,0)),0,VLOOKUP($S$764,'TAR FIN'!$A$1:$O$103,15,0))</f>
        <v>0</v>
      </c>
      <c r="W764" s="6">
        <f>IF(ISERROR(VLOOKUP($T$764,'TAR FIN'!$A$1:$O$103,15,0)),0,VLOOKUP($T$764,'TAR FIN'!$A$1:$O$103,15,0))</f>
        <v>237.52</v>
      </c>
      <c r="X764" s="6">
        <f>IF(ISERROR(VLOOKUP($U$764,'TAR FIN'!$A$1:$O$103,15,0)),0,VLOOKUP($U$764,'TAR FIN'!$A$1:$O$103,15,0))</f>
        <v>254.23</v>
      </c>
      <c r="Y764" s="6"/>
      <c r="Z764" s="6">
        <f ca="1">('TUSD BE'!$AM$43+'TUSD BF_350'!$AM$43+'TUSD CVA'!$AM$43)*(1-CUSTOS!$M$38)</f>
        <v>292.15199999999993</v>
      </c>
      <c r="AA764" s="6">
        <f ca="1">('TE BE'!$AB$27+'TE BF_350'!$AB$27+'TE CVA'!$AB$27)*(1-CUSTOS!$M$38)</f>
        <v>243.40359999999998</v>
      </c>
      <c r="AB764" s="6">
        <f>$K$764*$V$764</f>
        <v>0</v>
      </c>
      <c r="AC764" s="6">
        <f>$M$764*$W$764</f>
        <v>128027.08031999999</v>
      </c>
      <c r="AD764" s="6">
        <f>$O$764*$X$764</f>
        <v>137034.03767999998</v>
      </c>
      <c r="AE764" s="6">
        <f>$K$764*$Y$764</f>
        <v>0</v>
      </c>
      <c r="AF764" s="6">
        <f ca="1">$M$764*$Z$764</f>
        <v>157474.60243199996</v>
      </c>
      <c r="AG764" s="6">
        <f ca="1">$O$764*$AA$764</f>
        <v>131198.43485759999</v>
      </c>
    </row>
    <row r="765" spans="1:33" ht="11.25" customHeight="1" x14ac:dyDescent="0.25">
      <c r="A765" s="4" t="s">
        <v>27</v>
      </c>
      <c r="B765" s="4" t="s">
        <v>44</v>
      </c>
      <c r="C765" s="4" t="s">
        <v>23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25</v>
      </c>
      <c r="I765" s="5">
        <v>44409</v>
      </c>
      <c r="J765" s="6">
        <v>0</v>
      </c>
      <c r="K765" s="6">
        <v>0</v>
      </c>
      <c r="L765" s="6">
        <v>0.09</v>
      </c>
      <c r="M765" s="6">
        <v>0.09</v>
      </c>
      <c r="N765" s="6">
        <v>0.09</v>
      </c>
      <c r="O765" s="6">
        <v>0.09</v>
      </c>
      <c r="P765" s="6">
        <v>0</v>
      </c>
      <c r="Q765" s="4" t="s">
        <v>26</v>
      </c>
      <c r="R765" s="4">
        <v>0</v>
      </c>
      <c r="S765" s="6">
        <v>0</v>
      </c>
      <c r="T765" s="6">
        <v>43</v>
      </c>
      <c r="U765" s="6">
        <v>84</v>
      </c>
      <c r="V765" s="6">
        <f>IF(ISERROR(VLOOKUP($S$765,'TAR FIN'!$A$1:$O$103,15,0)),0,VLOOKUP($S$765,'TAR FIN'!$A$1:$O$103,15,0))</f>
        <v>0</v>
      </c>
      <c r="W765" s="6">
        <f>IF(ISERROR(VLOOKUP($T$765,'TAR FIN'!$A$1:$O$103,15,0)),0,VLOOKUP($T$765,'TAR FIN'!$A$1:$O$103,15,0))</f>
        <v>237.52</v>
      </c>
      <c r="X765" s="6">
        <f>IF(ISERROR(VLOOKUP($U$765,'TAR FIN'!$A$1:$O$103,15,0)),0,VLOOKUP($U$765,'TAR FIN'!$A$1:$O$103,15,0))</f>
        <v>254.23</v>
      </c>
      <c r="Y765" s="6"/>
      <c r="Z765" s="6">
        <f ca="1">('TUSD BE'!$AM$43+'TUSD BF_350'!$AM$43+'TUSD CVA'!$AM$43)*(1-CUSTOS!$M$38)</f>
        <v>292.15199999999993</v>
      </c>
      <c r="AA765" s="6">
        <f ca="1">('TE BE'!$AB$27+'TE BF_350'!$AB$27+'TE CVA'!$AB$27)*(1-CUSTOS!$M$38)</f>
        <v>243.40359999999998</v>
      </c>
      <c r="AB765" s="6">
        <f>$K$765*$V$765</f>
        <v>0</v>
      </c>
      <c r="AC765" s="6">
        <f>$M$765*$W$765</f>
        <v>21.376799999999999</v>
      </c>
      <c r="AD765" s="6">
        <f>$O$765*$X$765</f>
        <v>22.880699999999997</v>
      </c>
      <c r="AE765" s="6">
        <f>$K$765*$Y$765</f>
        <v>0</v>
      </c>
      <c r="AF765" s="6">
        <f ca="1">$M$765*$Z$765</f>
        <v>26.293679999999991</v>
      </c>
      <c r="AG765" s="6">
        <f ca="1">$O$765*$AA$765</f>
        <v>21.906323999999998</v>
      </c>
    </row>
    <row r="766" spans="1:33" ht="11.25" customHeight="1" x14ac:dyDescent="0.25">
      <c r="A766" s="4" t="s">
        <v>28</v>
      </c>
      <c r="B766" s="4" t="s">
        <v>44</v>
      </c>
      <c r="C766" s="4" t="s">
        <v>23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25</v>
      </c>
      <c r="I766" s="5">
        <v>44409</v>
      </c>
      <c r="J766" s="6">
        <v>0</v>
      </c>
      <c r="K766" s="6">
        <v>0</v>
      </c>
      <c r="L766" s="6">
        <v>1.9710000000000001</v>
      </c>
      <c r="M766" s="6">
        <v>1.9710000000000001</v>
      </c>
      <c r="N766" s="6">
        <v>1.9710000000000001</v>
      </c>
      <c r="O766" s="6">
        <v>1.9710000000000001</v>
      </c>
      <c r="P766" s="6">
        <v>8</v>
      </c>
      <c r="Q766" s="4" t="s">
        <v>26</v>
      </c>
      <c r="R766" s="4">
        <v>0</v>
      </c>
      <c r="S766" s="6">
        <v>0</v>
      </c>
      <c r="T766" s="6">
        <v>43</v>
      </c>
      <c r="U766" s="6">
        <v>84</v>
      </c>
      <c r="V766" s="6">
        <f>IF(ISERROR(VLOOKUP($S$766,'TAR FIN'!$A$1:$O$103,15,0)),0,VLOOKUP($S$766,'TAR FIN'!$A$1:$O$103,15,0))</f>
        <v>0</v>
      </c>
      <c r="W766" s="6">
        <f>IF(ISERROR(VLOOKUP($T$766,'TAR FIN'!$A$1:$O$103,15,0)),0,VLOOKUP($T$766,'TAR FIN'!$A$1:$O$103,15,0))</f>
        <v>237.52</v>
      </c>
      <c r="X766" s="6">
        <f>IF(ISERROR(VLOOKUP($U$766,'TAR FIN'!$A$1:$O$103,15,0)),0,VLOOKUP($U$766,'TAR FIN'!$A$1:$O$103,15,0))</f>
        <v>254.23</v>
      </c>
      <c r="Y766" s="6"/>
      <c r="Z766" s="6">
        <f ca="1">('TUSD BE'!$AM$43+'TUSD BF_350'!$AM$43+'TUSD CVA'!$AM$43)*(1-CUSTOS!$M$38)</f>
        <v>292.15199999999993</v>
      </c>
      <c r="AA766" s="6">
        <f ca="1">('TE BE'!$AB$27+'TE BF_350'!$AB$27+'TE CVA'!$AB$27)*(1-CUSTOS!$M$38)</f>
        <v>243.40359999999998</v>
      </c>
      <c r="AB766" s="6">
        <f>$K$766*$V$766</f>
        <v>0</v>
      </c>
      <c r="AC766" s="6">
        <f>$M$766*$W$766</f>
        <v>468.15192000000002</v>
      </c>
      <c r="AD766" s="6">
        <f>$O$766*$X$766</f>
        <v>501.08733000000001</v>
      </c>
      <c r="AE766" s="6">
        <f>$K$766*$Y$766</f>
        <v>0</v>
      </c>
      <c r="AF766" s="6">
        <f ca="1">$M$766*$Z$766</f>
        <v>575.83159199999989</v>
      </c>
      <c r="AG766" s="6">
        <f ca="1">$O$766*$AA$766</f>
        <v>479.74849560000001</v>
      </c>
    </row>
    <row r="767" spans="1:33" ht="11.25" customHeight="1" x14ac:dyDescent="0.25">
      <c r="A767" s="4" t="s">
        <v>21</v>
      </c>
      <c r="B767" s="4" t="s">
        <v>44</v>
      </c>
      <c r="C767" s="4" t="s">
        <v>23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44440</v>
      </c>
      <c r="J767" s="6">
        <v>0</v>
      </c>
      <c r="K767" s="6">
        <v>0</v>
      </c>
      <c r="L767" s="6">
        <v>525.69899999999996</v>
      </c>
      <c r="M767" s="6">
        <v>525.69899999999996</v>
      </c>
      <c r="N767" s="6">
        <v>525.69899999999996</v>
      </c>
      <c r="O767" s="6">
        <v>525.69899999999996</v>
      </c>
      <c r="P767" s="6">
        <v>1768</v>
      </c>
      <c r="Q767" s="4" t="s">
        <v>26</v>
      </c>
      <c r="R767" s="4">
        <v>0</v>
      </c>
      <c r="S767" s="6">
        <v>0</v>
      </c>
      <c r="T767" s="6">
        <v>43</v>
      </c>
      <c r="U767" s="6">
        <v>84</v>
      </c>
      <c r="V767" s="6">
        <f>IF(ISERROR(VLOOKUP($S$767,'TAR FIN'!$A$1:$O$103,15,0)),0,VLOOKUP($S$767,'TAR FIN'!$A$1:$O$103,15,0))</f>
        <v>0</v>
      </c>
      <c r="W767" s="6">
        <f>IF(ISERROR(VLOOKUP($T$767,'TAR FIN'!$A$1:$O$103,15,0)),0,VLOOKUP($T$767,'TAR FIN'!$A$1:$O$103,15,0))</f>
        <v>237.52</v>
      </c>
      <c r="X767" s="6">
        <f>IF(ISERROR(VLOOKUP($U$767,'TAR FIN'!$A$1:$O$103,15,0)),0,VLOOKUP($U$767,'TAR FIN'!$A$1:$O$103,15,0))</f>
        <v>254.23</v>
      </c>
      <c r="Y767" s="6"/>
      <c r="Z767" s="6">
        <f ca="1">('TUSD BE'!$AM$43+'TUSD BF_350'!$AM$43+'TUSD CVA'!$AM$43)*(1-CUSTOS!$M$38)</f>
        <v>292.15199999999993</v>
      </c>
      <c r="AA767" s="6">
        <f ca="1">('TE BE'!$AB$27+'TE BF_350'!$AB$27+'TE CVA'!$AB$27)*(1-CUSTOS!$M$38)</f>
        <v>243.40359999999998</v>
      </c>
      <c r="AB767" s="6">
        <f>$K$767*$V$767</f>
        <v>0</v>
      </c>
      <c r="AC767" s="6">
        <f>$M$767*$W$767</f>
        <v>124864.02648</v>
      </c>
      <c r="AD767" s="6">
        <f>$O$767*$X$767</f>
        <v>133648.45676999999</v>
      </c>
      <c r="AE767" s="6">
        <f>$K$767*$Y$767</f>
        <v>0</v>
      </c>
      <c r="AF767" s="6">
        <f ca="1">$M$767*$Z$767</f>
        <v>153584.01424799996</v>
      </c>
      <c r="AG767" s="6">
        <f ca="1">$O$767*$AA$767</f>
        <v>127957.02911639998</v>
      </c>
    </row>
    <row r="768" spans="1:33" ht="11.25" customHeight="1" x14ac:dyDescent="0.25">
      <c r="A768" s="4" t="s">
        <v>27</v>
      </c>
      <c r="B768" s="4" t="s">
        <v>44</v>
      </c>
      <c r="C768" s="4" t="s">
        <v>23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44440</v>
      </c>
      <c r="J768" s="6">
        <v>0</v>
      </c>
      <c r="K768" s="6">
        <v>0</v>
      </c>
      <c r="L768" s="6">
        <v>-0.26700000000000002</v>
      </c>
      <c r="M768" s="6">
        <v>-0.26700000000000002</v>
      </c>
      <c r="N768" s="6">
        <v>-0.26700000000000002</v>
      </c>
      <c r="O768" s="6">
        <v>-0.26700000000000002</v>
      </c>
      <c r="P768" s="6">
        <v>0</v>
      </c>
      <c r="Q768" s="4" t="s">
        <v>26</v>
      </c>
      <c r="R768" s="4">
        <v>0</v>
      </c>
      <c r="S768" s="6">
        <v>0</v>
      </c>
      <c r="T768" s="6">
        <v>43</v>
      </c>
      <c r="U768" s="6">
        <v>84</v>
      </c>
      <c r="V768" s="6">
        <f>IF(ISERROR(VLOOKUP($S$768,'TAR FIN'!$A$1:$O$103,15,0)),0,VLOOKUP($S$768,'TAR FIN'!$A$1:$O$103,15,0))</f>
        <v>0</v>
      </c>
      <c r="W768" s="6">
        <f>IF(ISERROR(VLOOKUP($T$768,'TAR FIN'!$A$1:$O$103,15,0)),0,VLOOKUP($T$768,'TAR FIN'!$A$1:$O$103,15,0))</f>
        <v>237.52</v>
      </c>
      <c r="X768" s="6">
        <f>IF(ISERROR(VLOOKUP($U$768,'TAR FIN'!$A$1:$O$103,15,0)),0,VLOOKUP($U$768,'TAR FIN'!$A$1:$O$103,15,0))</f>
        <v>254.23</v>
      </c>
      <c r="Y768" s="6"/>
      <c r="Z768" s="6">
        <f ca="1">('TUSD BE'!$AM$43+'TUSD BF_350'!$AM$43+'TUSD CVA'!$AM$43)*(1-CUSTOS!$M$38)</f>
        <v>292.15199999999993</v>
      </c>
      <c r="AA768" s="6">
        <f ca="1">('TE BE'!$AB$27+'TE BF_350'!$AB$27+'TE CVA'!$AB$27)*(1-CUSTOS!$M$38)</f>
        <v>243.40359999999998</v>
      </c>
      <c r="AB768" s="6">
        <f>$K$768*$V$768</f>
        <v>0</v>
      </c>
      <c r="AC768" s="6">
        <f>$M$768*$W$768</f>
        <v>-63.417840000000005</v>
      </c>
      <c r="AD768" s="6">
        <f>$O$768*$X$768</f>
        <v>-67.879410000000007</v>
      </c>
      <c r="AE768" s="6">
        <f>$K$768*$Y$768</f>
        <v>0</v>
      </c>
      <c r="AF768" s="6">
        <f ca="1">$M$768*$Z$768</f>
        <v>-78.00458399999998</v>
      </c>
      <c r="AG768" s="6">
        <f ca="1">$O$768*$AA$768</f>
        <v>-64.988761199999999</v>
      </c>
    </row>
    <row r="769" spans="1:33" ht="11.25" customHeight="1" x14ac:dyDescent="0.25">
      <c r="A769" s="4" t="s">
        <v>28</v>
      </c>
      <c r="B769" s="4" t="s">
        <v>44</v>
      </c>
      <c r="C769" s="4" t="s">
        <v>23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44440</v>
      </c>
      <c r="J769" s="6">
        <v>0</v>
      </c>
      <c r="K769" s="6">
        <v>0</v>
      </c>
      <c r="L769" s="6">
        <v>2.528</v>
      </c>
      <c r="M769" s="6">
        <v>2.528</v>
      </c>
      <c r="N769" s="6">
        <v>2.528</v>
      </c>
      <c r="O769" s="6">
        <v>2.528</v>
      </c>
      <c r="P769" s="6">
        <v>11</v>
      </c>
      <c r="Q769" s="4" t="s">
        <v>26</v>
      </c>
      <c r="R769" s="4">
        <v>0</v>
      </c>
      <c r="S769" s="6">
        <v>0</v>
      </c>
      <c r="T769" s="6">
        <v>43</v>
      </c>
      <c r="U769" s="6">
        <v>84</v>
      </c>
      <c r="V769" s="6">
        <f>IF(ISERROR(VLOOKUP($S$769,'TAR FIN'!$A$1:$O$103,15,0)),0,VLOOKUP($S$769,'TAR FIN'!$A$1:$O$103,15,0))</f>
        <v>0</v>
      </c>
      <c r="W769" s="6">
        <f>IF(ISERROR(VLOOKUP($T$769,'TAR FIN'!$A$1:$O$103,15,0)),0,VLOOKUP($T$769,'TAR FIN'!$A$1:$O$103,15,0))</f>
        <v>237.52</v>
      </c>
      <c r="X769" s="6">
        <f>IF(ISERROR(VLOOKUP($U$769,'TAR FIN'!$A$1:$O$103,15,0)),0,VLOOKUP($U$769,'TAR FIN'!$A$1:$O$103,15,0))</f>
        <v>254.23</v>
      </c>
      <c r="Y769" s="6"/>
      <c r="Z769" s="6">
        <f ca="1">('TUSD BE'!$AM$43+'TUSD BF_350'!$AM$43+'TUSD CVA'!$AM$43)*(1-CUSTOS!$M$38)</f>
        <v>292.15199999999993</v>
      </c>
      <c r="AA769" s="6">
        <f ca="1">('TE BE'!$AB$27+'TE BF_350'!$AB$27+'TE CVA'!$AB$27)*(1-CUSTOS!$M$38)</f>
        <v>243.40359999999998</v>
      </c>
      <c r="AB769" s="6">
        <f>$K$769*$V$769</f>
        <v>0</v>
      </c>
      <c r="AC769" s="6">
        <f>$M$769*$W$769</f>
        <v>600.45056</v>
      </c>
      <c r="AD769" s="6">
        <f>$O$769*$X$769</f>
        <v>642.69344000000001</v>
      </c>
      <c r="AE769" s="6">
        <f>$K$769*$Y$769</f>
        <v>0</v>
      </c>
      <c r="AF769" s="6">
        <f ca="1">$M$769*$Z$769</f>
        <v>738.56025599999987</v>
      </c>
      <c r="AG769" s="6">
        <f ca="1">$O$769*$AA$769</f>
        <v>615.32430079999995</v>
      </c>
    </row>
    <row r="770" spans="1:33" ht="11.25" customHeight="1" x14ac:dyDescent="0.25">
      <c r="A770" s="4" t="s">
        <v>21</v>
      </c>
      <c r="B770" s="4" t="s">
        <v>44</v>
      </c>
      <c r="C770" s="4" t="s">
        <v>23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44470</v>
      </c>
      <c r="J770" s="6">
        <v>0</v>
      </c>
      <c r="K770" s="6">
        <v>0</v>
      </c>
      <c r="L770" s="6">
        <v>541.39200000000005</v>
      </c>
      <c r="M770" s="6">
        <v>541.39200000000005</v>
      </c>
      <c r="N770" s="6">
        <v>541.39200000000005</v>
      </c>
      <c r="O770" s="6">
        <v>541.39200000000005</v>
      </c>
      <c r="P770" s="6">
        <v>1763</v>
      </c>
      <c r="Q770" s="4" t="s">
        <v>26</v>
      </c>
      <c r="R770" s="4">
        <v>0</v>
      </c>
      <c r="S770" s="6">
        <v>0</v>
      </c>
      <c r="T770" s="6">
        <v>43</v>
      </c>
      <c r="U770" s="6">
        <v>84</v>
      </c>
      <c r="V770" s="6">
        <f>IF(ISERROR(VLOOKUP($S$770,'TAR FIN'!$A$1:$O$103,15,0)),0,VLOOKUP($S$770,'TAR FIN'!$A$1:$O$103,15,0))</f>
        <v>0</v>
      </c>
      <c r="W770" s="6">
        <f>IF(ISERROR(VLOOKUP($T$770,'TAR FIN'!$A$1:$O$103,15,0)),0,VLOOKUP($T$770,'TAR FIN'!$A$1:$O$103,15,0))</f>
        <v>237.52</v>
      </c>
      <c r="X770" s="6">
        <f>IF(ISERROR(VLOOKUP($U$770,'TAR FIN'!$A$1:$O$103,15,0)),0,VLOOKUP($U$770,'TAR FIN'!$A$1:$O$103,15,0))</f>
        <v>254.23</v>
      </c>
      <c r="Y770" s="6"/>
      <c r="Z770" s="6">
        <f ca="1">('TUSD BE'!$AM$43+'TUSD BF_350'!$AM$43+'TUSD CVA'!$AM$43)*(1-CUSTOS!$M$38)</f>
        <v>292.15199999999993</v>
      </c>
      <c r="AA770" s="6">
        <f ca="1">('TE BE'!$AB$27+'TE BF_350'!$AB$27+'TE CVA'!$AB$27)*(1-CUSTOS!$M$38)</f>
        <v>243.40359999999998</v>
      </c>
      <c r="AB770" s="6">
        <f>$K$770*$V$770</f>
        <v>0</v>
      </c>
      <c r="AC770" s="6">
        <f>$M$770*$W$770</f>
        <v>128591.42784000002</v>
      </c>
      <c r="AD770" s="6">
        <f>$O$770*$X$770</f>
        <v>137638.08816000001</v>
      </c>
      <c r="AE770" s="6">
        <f>$K$770*$Y$770</f>
        <v>0</v>
      </c>
      <c r="AF770" s="6">
        <f ca="1">$M$770*$Z$770</f>
        <v>158168.75558399997</v>
      </c>
      <c r="AG770" s="6">
        <f ca="1">$O$770*$AA$770</f>
        <v>131776.76181120001</v>
      </c>
    </row>
    <row r="771" spans="1:33" ht="11.25" customHeight="1" x14ac:dyDescent="0.25">
      <c r="A771" s="4" t="s">
        <v>27</v>
      </c>
      <c r="B771" s="4" t="s">
        <v>44</v>
      </c>
      <c r="C771" s="4" t="s">
        <v>23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44470</v>
      </c>
      <c r="J771" s="6">
        <v>0</v>
      </c>
      <c r="K771" s="6">
        <v>0</v>
      </c>
      <c r="L771" s="6">
        <v>-0.81200000000000006</v>
      </c>
      <c r="M771" s="6">
        <v>-0.81200000000000006</v>
      </c>
      <c r="N771" s="6">
        <v>-0.81200000000000006</v>
      </c>
      <c r="O771" s="6">
        <v>-0.81200000000000006</v>
      </c>
      <c r="P771" s="6">
        <v>0</v>
      </c>
      <c r="Q771" s="4" t="s">
        <v>26</v>
      </c>
      <c r="R771" s="4">
        <v>0</v>
      </c>
      <c r="S771" s="6">
        <v>0</v>
      </c>
      <c r="T771" s="6">
        <v>43</v>
      </c>
      <c r="U771" s="6">
        <v>84</v>
      </c>
      <c r="V771" s="6">
        <f>IF(ISERROR(VLOOKUP($S$771,'TAR FIN'!$A$1:$O$103,15,0)),0,VLOOKUP($S$771,'TAR FIN'!$A$1:$O$103,15,0))</f>
        <v>0</v>
      </c>
      <c r="W771" s="6">
        <f>IF(ISERROR(VLOOKUP($T$771,'TAR FIN'!$A$1:$O$103,15,0)),0,VLOOKUP($T$771,'TAR FIN'!$A$1:$O$103,15,0))</f>
        <v>237.52</v>
      </c>
      <c r="X771" s="6">
        <f>IF(ISERROR(VLOOKUP($U$771,'TAR FIN'!$A$1:$O$103,15,0)),0,VLOOKUP($U$771,'TAR FIN'!$A$1:$O$103,15,0))</f>
        <v>254.23</v>
      </c>
      <c r="Y771" s="6"/>
      <c r="Z771" s="6">
        <f ca="1">('TUSD BE'!$AM$43+'TUSD BF_350'!$AM$43+'TUSD CVA'!$AM$43)*(1-CUSTOS!$M$38)</f>
        <v>292.15199999999993</v>
      </c>
      <c r="AA771" s="6">
        <f ca="1">('TE BE'!$AB$27+'TE BF_350'!$AB$27+'TE CVA'!$AB$27)*(1-CUSTOS!$M$38)</f>
        <v>243.40359999999998</v>
      </c>
      <c r="AB771" s="6">
        <f>$K$771*$V$771</f>
        <v>0</v>
      </c>
      <c r="AC771" s="6">
        <f>$M$771*$W$771</f>
        <v>-192.86624000000003</v>
      </c>
      <c r="AD771" s="6">
        <f>$O$771*$X$771</f>
        <v>-206.43476000000001</v>
      </c>
      <c r="AE771" s="6">
        <f>$K$771*$Y$771</f>
        <v>0</v>
      </c>
      <c r="AF771" s="6">
        <f ca="1">$M$771*$Z$771</f>
        <v>-237.22742399999996</v>
      </c>
      <c r="AG771" s="6">
        <f ca="1">$O$771*$AA$771</f>
        <v>-197.64372320000001</v>
      </c>
    </row>
    <row r="772" spans="1:33" ht="11.25" customHeight="1" x14ac:dyDescent="0.25">
      <c r="A772" s="4" t="s">
        <v>28</v>
      </c>
      <c r="B772" s="4" t="s">
        <v>44</v>
      </c>
      <c r="C772" s="4" t="s">
        <v>23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44470</v>
      </c>
      <c r="J772" s="6">
        <v>0</v>
      </c>
      <c r="K772" s="6">
        <v>0</v>
      </c>
      <c r="L772" s="6">
        <v>1.7310000000000001</v>
      </c>
      <c r="M772" s="6">
        <v>1.7310000000000001</v>
      </c>
      <c r="N772" s="6">
        <v>1.7310000000000001</v>
      </c>
      <c r="O772" s="6">
        <v>1.7310000000000001</v>
      </c>
      <c r="P772" s="6">
        <v>11</v>
      </c>
      <c r="Q772" s="4" t="s">
        <v>26</v>
      </c>
      <c r="R772" s="4">
        <v>0</v>
      </c>
      <c r="S772" s="6">
        <v>0</v>
      </c>
      <c r="T772" s="6">
        <v>43</v>
      </c>
      <c r="U772" s="6">
        <v>84</v>
      </c>
      <c r="V772" s="6">
        <f>IF(ISERROR(VLOOKUP($S$772,'TAR FIN'!$A$1:$O$103,15,0)),0,VLOOKUP($S$772,'TAR FIN'!$A$1:$O$103,15,0))</f>
        <v>0</v>
      </c>
      <c r="W772" s="6">
        <f>IF(ISERROR(VLOOKUP($T$772,'TAR FIN'!$A$1:$O$103,15,0)),0,VLOOKUP($T$772,'TAR FIN'!$A$1:$O$103,15,0))</f>
        <v>237.52</v>
      </c>
      <c r="X772" s="6">
        <f>IF(ISERROR(VLOOKUP($U$772,'TAR FIN'!$A$1:$O$103,15,0)),0,VLOOKUP($U$772,'TAR FIN'!$A$1:$O$103,15,0))</f>
        <v>254.23</v>
      </c>
      <c r="Y772" s="6"/>
      <c r="Z772" s="6">
        <f ca="1">('TUSD BE'!$AM$43+'TUSD BF_350'!$AM$43+'TUSD CVA'!$AM$43)*(1-CUSTOS!$M$38)</f>
        <v>292.15199999999993</v>
      </c>
      <c r="AA772" s="6">
        <f ca="1">('TE BE'!$AB$27+'TE BF_350'!$AB$27+'TE CVA'!$AB$27)*(1-CUSTOS!$M$38)</f>
        <v>243.40359999999998</v>
      </c>
      <c r="AB772" s="6">
        <f>$K$772*$V$772</f>
        <v>0</v>
      </c>
      <c r="AC772" s="6">
        <f>$M$772*$W$772</f>
        <v>411.14712000000003</v>
      </c>
      <c r="AD772" s="6">
        <f>$O$772*$X$772</f>
        <v>440.07213000000002</v>
      </c>
      <c r="AE772" s="6">
        <f>$K$772*$Y$772</f>
        <v>0</v>
      </c>
      <c r="AF772" s="6">
        <f ca="1">$M$772*$Z$772</f>
        <v>505.71511199999992</v>
      </c>
      <c r="AG772" s="6">
        <f ca="1">$O$772*$AA$772</f>
        <v>421.33163159999998</v>
      </c>
    </row>
    <row r="773" spans="1:33" ht="11.25" customHeight="1" x14ac:dyDescent="0.25">
      <c r="A773" s="4" t="s">
        <v>21</v>
      </c>
      <c r="B773" s="4" t="s">
        <v>44</v>
      </c>
      <c r="C773" s="4" t="s">
        <v>23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44501</v>
      </c>
      <c r="J773" s="6">
        <v>0</v>
      </c>
      <c r="K773" s="6">
        <v>0</v>
      </c>
      <c r="L773" s="6">
        <v>512.59900000000005</v>
      </c>
      <c r="M773" s="6">
        <v>512.59900000000005</v>
      </c>
      <c r="N773" s="6">
        <v>512.59900000000005</v>
      </c>
      <c r="O773" s="6">
        <v>512.59900000000005</v>
      </c>
      <c r="P773" s="6">
        <v>1754</v>
      </c>
      <c r="Q773" s="4" t="s">
        <v>26</v>
      </c>
      <c r="R773" s="4">
        <v>0</v>
      </c>
      <c r="S773" s="6">
        <v>0</v>
      </c>
      <c r="T773" s="6">
        <v>43</v>
      </c>
      <c r="U773" s="6">
        <v>84</v>
      </c>
      <c r="V773" s="6">
        <f>IF(ISERROR(VLOOKUP($S$773,'TAR FIN'!$A$1:$O$103,15,0)),0,VLOOKUP($S$773,'TAR FIN'!$A$1:$O$103,15,0))</f>
        <v>0</v>
      </c>
      <c r="W773" s="6">
        <f>IF(ISERROR(VLOOKUP($T$773,'TAR FIN'!$A$1:$O$103,15,0)),0,VLOOKUP($T$773,'TAR FIN'!$A$1:$O$103,15,0))</f>
        <v>237.52</v>
      </c>
      <c r="X773" s="6">
        <f>IF(ISERROR(VLOOKUP($U$773,'TAR FIN'!$A$1:$O$103,15,0)),0,VLOOKUP($U$773,'TAR FIN'!$A$1:$O$103,15,0))</f>
        <v>254.23</v>
      </c>
      <c r="Y773" s="6"/>
      <c r="Z773" s="6">
        <f ca="1">('TUSD BE'!$AM$43+'TUSD BF_350'!$AM$43+'TUSD CVA'!$AM$43)*(1-CUSTOS!$M$38)</f>
        <v>292.15199999999993</v>
      </c>
      <c r="AA773" s="6">
        <f ca="1">('TE BE'!$AB$27+'TE BF_350'!$AB$27+'TE CVA'!$AB$27)*(1-CUSTOS!$M$38)</f>
        <v>243.40359999999998</v>
      </c>
      <c r="AB773" s="6">
        <f>$K$773*$V$773</f>
        <v>0</v>
      </c>
      <c r="AC773" s="6">
        <f>$M$773*$W$773</f>
        <v>121752.51448000001</v>
      </c>
      <c r="AD773" s="6">
        <f>$O$773*$X$773</f>
        <v>130318.04377</v>
      </c>
      <c r="AE773" s="6">
        <f>$K$773*$Y$773</f>
        <v>0</v>
      </c>
      <c r="AF773" s="6">
        <f ca="1">$M$773*$Z$773</f>
        <v>149756.82304799999</v>
      </c>
      <c r="AG773" s="6">
        <f ca="1">$O$773*$AA$773</f>
        <v>124768.4419564</v>
      </c>
    </row>
    <row r="774" spans="1:33" ht="11.25" customHeight="1" x14ac:dyDescent="0.25">
      <c r="A774" s="4" t="s">
        <v>27</v>
      </c>
      <c r="B774" s="4" t="s">
        <v>44</v>
      </c>
      <c r="C774" s="4" t="s">
        <v>23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44501</v>
      </c>
      <c r="J774" s="6">
        <v>0</v>
      </c>
      <c r="K774" s="6">
        <v>0</v>
      </c>
      <c r="L774" s="6">
        <v>-0.185</v>
      </c>
      <c r="M774" s="6">
        <v>-0.185</v>
      </c>
      <c r="N774" s="6">
        <v>-0.185</v>
      </c>
      <c r="O774" s="6">
        <v>-0.185</v>
      </c>
      <c r="P774" s="6">
        <v>0</v>
      </c>
      <c r="Q774" s="4" t="s">
        <v>26</v>
      </c>
      <c r="R774" s="4">
        <v>0</v>
      </c>
      <c r="S774" s="6">
        <v>0</v>
      </c>
      <c r="T774" s="6">
        <v>43</v>
      </c>
      <c r="U774" s="6">
        <v>84</v>
      </c>
      <c r="V774" s="6">
        <f>IF(ISERROR(VLOOKUP($S$774,'TAR FIN'!$A$1:$O$103,15,0)),0,VLOOKUP($S$774,'TAR FIN'!$A$1:$O$103,15,0))</f>
        <v>0</v>
      </c>
      <c r="W774" s="6">
        <f>IF(ISERROR(VLOOKUP($T$774,'TAR FIN'!$A$1:$O$103,15,0)),0,VLOOKUP($T$774,'TAR FIN'!$A$1:$O$103,15,0))</f>
        <v>237.52</v>
      </c>
      <c r="X774" s="6">
        <f>IF(ISERROR(VLOOKUP($U$774,'TAR FIN'!$A$1:$O$103,15,0)),0,VLOOKUP($U$774,'TAR FIN'!$A$1:$O$103,15,0))</f>
        <v>254.23</v>
      </c>
      <c r="Y774" s="6"/>
      <c r="Z774" s="6">
        <f ca="1">('TUSD BE'!$AM$43+'TUSD BF_350'!$AM$43+'TUSD CVA'!$AM$43)*(1-CUSTOS!$M$38)</f>
        <v>292.15199999999993</v>
      </c>
      <c r="AA774" s="6">
        <f ca="1">('TE BE'!$AB$27+'TE BF_350'!$AB$27+'TE CVA'!$AB$27)*(1-CUSTOS!$M$38)</f>
        <v>243.40359999999998</v>
      </c>
      <c r="AB774" s="6">
        <f>$K$774*$V$774</f>
        <v>0</v>
      </c>
      <c r="AC774" s="6">
        <f>$M$774*$W$774</f>
        <v>-43.941200000000002</v>
      </c>
      <c r="AD774" s="6">
        <f>$O$774*$X$774</f>
        <v>-47.032550000000001</v>
      </c>
      <c r="AE774" s="6">
        <f>$K$774*$Y$774</f>
        <v>0</v>
      </c>
      <c r="AF774" s="6">
        <f ca="1">$M$774*$Z$774</f>
        <v>-54.048119999999983</v>
      </c>
      <c r="AG774" s="6">
        <f ca="1">$O$774*$AA$774</f>
        <v>-45.029665999999999</v>
      </c>
    </row>
    <row r="775" spans="1:33" ht="11.25" customHeight="1" x14ac:dyDescent="0.25">
      <c r="A775" s="4" t="s">
        <v>28</v>
      </c>
      <c r="B775" s="4" t="s">
        <v>44</v>
      </c>
      <c r="C775" s="4" t="s">
        <v>23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44501</v>
      </c>
      <c r="J775" s="6">
        <v>0</v>
      </c>
      <c r="K775" s="6">
        <v>0</v>
      </c>
      <c r="L775" s="6">
        <v>1.8939999999999999</v>
      </c>
      <c r="M775" s="6">
        <v>1.8939999999999999</v>
      </c>
      <c r="N775" s="6">
        <v>1.8939999999999999</v>
      </c>
      <c r="O775" s="6">
        <v>1.8939999999999999</v>
      </c>
      <c r="P775" s="6">
        <v>12</v>
      </c>
      <c r="Q775" s="4" t="s">
        <v>26</v>
      </c>
      <c r="R775" s="4">
        <v>0</v>
      </c>
      <c r="S775" s="6">
        <v>0</v>
      </c>
      <c r="T775" s="6">
        <v>43</v>
      </c>
      <c r="U775" s="6">
        <v>84</v>
      </c>
      <c r="V775" s="6">
        <f>IF(ISERROR(VLOOKUP($S$775,'TAR FIN'!$A$1:$O$103,15,0)),0,VLOOKUP($S$775,'TAR FIN'!$A$1:$O$103,15,0))</f>
        <v>0</v>
      </c>
      <c r="W775" s="6">
        <f>IF(ISERROR(VLOOKUP($T$775,'TAR FIN'!$A$1:$O$103,15,0)),0,VLOOKUP($T$775,'TAR FIN'!$A$1:$O$103,15,0))</f>
        <v>237.52</v>
      </c>
      <c r="X775" s="6">
        <f>IF(ISERROR(VLOOKUP($U$775,'TAR FIN'!$A$1:$O$103,15,0)),0,VLOOKUP($U$775,'TAR FIN'!$A$1:$O$103,15,0))</f>
        <v>254.23</v>
      </c>
      <c r="Y775" s="6"/>
      <c r="Z775" s="6">
        <f ca="1">('TUSD BE'!$AM$43+'TUSD BF_350'!$AM$43+'TUSD CVA'!$AM$43)*(1-CUSTOS!$M$38)</f>
        <v>292.15199999999993</v>
      </c>
      <c r="AA775" s="6">
        <f ca="1">('TE BE'!$AB$27+'TE BF_350'!$AB$27+'TE CVA'!$AB$27)*(1-CUSTOS!$M$38)</f>
        <v>243.40359999999998</v>
      </c>
      <c r="AB775" s="6">
        <f>$K$775*$V$775</f>
        <v>0</v>
      </c>
      <c r="AC775" s="6">
        <f>$M$775*$W$775</f>
        <v>449.86288000000002</v>
      </c>
      <c r="AD775" s="6">
        <f>$O$775*$X$775</f>
        <v>481.51161999999994</v>
      </c>
      <c r="AE775" s="6">
        <f>$K$775*$Y$775</f>
        <v>0</v>
      </c>
      <c r="AF775" s="6">
        <f ca="1">$M$775*$Z$775</f>
        <v>553.33588799999984</v>
      </c>
      <c r="AG775" s="6">
        <f ca="1">$O$775*$AA$775</f>
        <v>461.00641839999997</v>
      </c>
    </row>
    <row r="776" spans="1:33" ht="11.25" customHeight="1" x14ac:dyDescent="0.25">
      <c r="A776" s="4" t="s">
        <v>21</v>
      </c>
      <c r="B776" s="4" t="s">
        <v>44</v>
      </c>
      <c r="C776" s="4" t="s">
        <v>23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44531</v>
      </c>
      <c r="J776" s="6">
        <v>0</v>
      </c>
      <c r="K776" s="6">
        <v>0</v>
      </c>
      <c r="L776" s="6">
        <v>543.45000000000005</v>
      </c>
      <c r="M776" s="6">
        <v>543.45000000000005</v>
      </c>
      <c r="N776" s="6">
        <v>543.45000000000005</v>
      </c>
      <c r="O776" s="6">
        <v>543.45000000000005</v>
      </c>
      <c r="P776" s="6">
        <v>1739</v>
      </c>
      <c r="Q776" s="4" t="s">
        <v>26</v>
      </c>
      <c r="R776" s="4">
        <v>0</v>
      </c>
      <c r="S776" s="6">
        <v>0</v>
      </c>
      <c r="T776" s="6">
        <v>43</v>
      </c>
      <c r="U776" s="6">
        <v>84</v>
      </c>
      <c r="V776" s="6">
        <f>IF(ISERROR(VLOOKUP($S$776,'TAR FIN'!$A$1:$O$103,15,0)),0,VLOOKUP($S$776,'TAR FIN'!$A$1:$O$103,15,0))</f>
        <v>0</v>
      </c>
      <c r="W776" s="6">
        <f>IF(ISERROR(VLOOKUP($T$776,'TAR FIN'!$A$1:$O$103,15,0)),0,VLOOKUP($T$776,'TAR FIN'!$A$1:$O$103,15,0))</f>
        <v>237.52</v>
      </c>
      <c r="X776" s="6">
        <f>IF(ISERROR(VLOOKUP($U$776,'TAR FIN'!$A$1:$O$103,15,0)),0,VLOOKUP($U$776,'TAR FIN'!$A$1:$O$103,15,0))</f>
        <v>254.23</v>
      </c>
      <c r="Y776" s="6"/>
      <c r="Z776" s="6">
        <f ca="1">('TUSD BE'!$AM$43+'TUSD BF_350'!$AM$43+'TUSD CVA'!$AM$43)*(1-CUSTOS!$M$38)</f>
        <v>292.15199999999993</v>
      </c>
      <c r="AA776" s="6">
        <f ca="1">('TE BE'!$AB$27+'TE BF_350'!$AB$27+'TE CVA'!$AB$27)*(1-CUSTOS!$M$38)</f>
        <v>243.40359999999998</v>
      </c>
      <c r="AB776" s="6">
        <f>$K$776*$V$776</f>
        <v>0</v>
      </c>
      <c r="AC776" s="6">
        <f>$M$776*$W$776</f>
        <v>129080.24400000002</v>
      </c>
      <c r="AD776" s="6">
        <f>$O$776*$X$776</f>
        <v>138161.2935</v>
      </c>
      <c r="AE776" s="6">
        <f>$K$776*$Y$776</f>
        <v>0</v>
      </c>
      <c r="AF776" s="6">
        <f ca="1">$M$776*$Z$776</f>
        <v>158770.00439999998</v>
      </c>
      <c r="AG776" s="6">
        <f ca="1">$O$776*$AA$776</f>
        <v>132277.68642000001</v>
      </c>
    </row>
    <row r="777" spans="1:33" ht="11.25" customHeight="1" x14ac:dyDescent="0.25">
      <c r="A777" s="4" t="s">
        <v>27</v>
      </c>
      <c r="B777" s="4" t="s">
        <v>44</v>
      </c>
      <c r="C777" s="4" t="s">
        <v>23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44531</v>
      </c>
      <c r="J777" s="6">
        <v>0</v>
      </c>
      <c r="K777" s="6">
        <v>0</v>
      </c>
      <c r="L777" s="6">
        <v>-0.155</v>
      </c>
      <c r="M777" s="6">
        <v>-0.155</v>
      </c>
      <c r="N777" s="6">
        <v>-0.155</v>
      </c>
      <c r="O777" s="6">
        <v>-0.155</v>
      </c>
      <c r="P777" s="6">
        <v>0</v>
      </c>
      <c r="Q777" s="4" t="s">
        <v>26</v>
      </c>
      <c r="R777" s="4">
        <v>0</v>
      </c>
      <c r="S777" s="6">
        <v>0</v>
      </c>
      <c r="T777" s="6">
        <v>43</v>
      </c>
      <c r="U777" s="6">
        <v>84</v>
      </c>
      <c r="V777" s="6">
        <f>IF(ISERROR(VLOOKUP($S$777,'TAR FIN'!$A$1:$O$103,15,0)),0,VLOOKUP($S$777,'TAR FIN'!$A$1:$O$103,15,0))</f>
        <v>0</v>
      </c>
      <c r="W777" s="6">
        <f>IF(ISERROR(VLOOKUP($T$777,'TAR FIN'!$A$1:$O$103,15,0)),0,VLOOKUP($T$777,'TAR FIN'!$A$1:$O$103,15,0))</f>
        <v>237.52</v>
      </c>
      <c r="X777" s="6">
        <f>IF(ISERROR(VLOOKUP($U$777,'TAR FIN'!$A$1:$O$103,15,0)),0,VLOOKUP($U$777,'TAR FIN'!$A$1:$O$103,15,0))</f>
        <v>254.23</v>
      </c>
      <c r="Y777" s="6"/>
      <c r="Z777" s="6">
        <f ca="1">('TUSD BE'!$AM$43+'TUSD BF_350'!$AM$43+'TUSD CVA'!$AM$43)*(1-CUSTOS!$M$38)</f>
        <v>292.15199999999993</v>
      </c>
      <c r="AA777" s="6">
        <f ca="1">('TE BE'!$AB$27+'TE BF_350'!$AB$27+'TE CVA'!$AB$27)*(1-CUSTOS!$M$38)</f>
        <v>243.40359999999998</v>
      </c>
      <c r="AB777" s="6">
        <f>$K$777*$V$777</f>
        <v>0</v>
      </c>
      <c r="AC777" s="6">
        <f>$M$777*$W$777</f>
        <v>-36.815600000000003</v>
      </c>
      <c r="AD777" s="6">
        <f>$O$777*$X$777</f>
        <v>-39.405650000000001</v>
      </c>
      <c r="AE777" s="6">
        <f>$K$777*$Y$777</f>
        <v>0</v>
      </c>
      <c r="AF777" s="6">
        <f ca="1">$M$777*$Z$777</f>
        <v>-45.283559999999987</v>
      </c>
      <c r="AG777" s="6">
        <f ca="1">$O$777*$AA$777</f>
        <v>-37.727557999999995</v>
      </c>
    </row>
    <row r="778" spans="1:33" ht="11.25" customHeight="1" x14ac:dyDescent="0.25">
      <c r="A778" s="4" t="s">
        <v>28</v>
      </c>
      <c r="B778" s="4" t="s">
        <v>44</v>
      </c>
      <c r="C778" s="4" t="s">
        <v>23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44531</v>
      </c>
      <c r="J778" s="6">
        <v>0</v>
      </c>
      <c r="K778" s="6">
        <v>0</v>
      </c>
      <c r="L778" s="6">
        <v>2.7130000000000001</v>
      </c>
      <c r="M778" s="6">
        <v>2.7130000000000001</v>
      </c>
      <c r="N778" s="6">
        <v>2.7130000000000001</v>
      </c>
      <c r="O778" s="6">
        <v>2.7130000000000001</v>
      </c>
      <c r="P778" s="6">
        <v>19</v>
      </c>
      <c r="Q778" s="4" t="s">
        <v>26</v>
      </c>
      <c r="R778" s="4">
        <v>0</v>
      </c>
      <c r="S778" s="6">
        <v>0</v>
      </c>
      <c r="T778" s="6">
        <v>43</v>
      </c>
      <c r="U778" s="6">
        <v>84</v>
      </c>
      <c r="V778" s="6">
        <f>IF(ISERROR(VLOOKUP($S$778,'TAR FIN'!$A$1:$O$103,15,0)),0,VLOOKUP($S$778,'TAR FIN'!$A$1:$O$103,15,0))</f>
        <v>0</v>
      </c>
      <c r="W778" s="6">
        <f>IF(ISERROR(VLOOKUP($T$778,'TAR FIN'!$A$1:$O$103,15,0)),0,VLOOKUP($T$778,'TAR FIN'!$A$1:$O$103,15,0))</f>
        <v>237.52</v>
      </c>
      <c r="X778" s="6">
        <f>IF(ISERROR(VLOOKUP($U$778,'TAR FIN'!$A$1:$O$103,15,0)),0,VLOOKUP($U$778,'TAR FIN'!$A$1:$O$103,15,0))</f>
        <v>254.23</v>
      </c>
      <c r="Y778" s="6"/>
      <c r="Z778" s="6">
        <f ca="1">('TUSD BE'!$AM$43+'TUSD BF_350'!$AM$43+'TUSD CVA'!$AM$43)*(1-CUSTOS!$M$38)</f>
        <v>292.15199999999993</v>
      </c>
      <c r="AA778" s="6">
        <f ca="1">('TE BE'!$AB$27+'TE BF_350'!$AB$27+'TE CVA'!$AB$27)*(1-CUSTOS!$M$38)</f>
        <v>243.40359999999998</v>
      </c>
      <c r="AB778" s="6">
        <f>$K$778*$V$778</f>
        <v>0</v>
      </c>
      <c r="AC778" s="6">
        <f>$M$778*$W$778</f>
        <v>644.39176000000009</v>
      </c>
      <c r="AD778" s="6">
        <f>$O$778*$X$778</f>
        <v>689.72599000000002</v>
      </c>
      <c r="AE778" s="6">
        <f>$K$778*$Y$778</f>
        <v>0</v>
      </c>
      <c r="AF778" s="6">
        <f ca="1">$M$778*$Z$778</f>
        <v>792.60837599999979</v>
      </c>
      <c r="AG778" s="6">
        <f ca="1">$O$778*$AA$778</f>
        <v>660.35396679999997</v>
      </c>
    </row>
    <row r="779" spans="1:33" ht="11.25" customHeight="1" x14ac:dyDescent="0.25">
      <c r="A779" s="4" t="s">
        <v>21</v>
      </c>
      <c r="B779" s="4" t="s">
        <v>44</v>
      </c>
      <c r="C779" s="4" t="s">
        <v>23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44562</v>
      </c>
      <c r="J779" s="6">
        <v>0</v>
      </c>
      <c r="K779" s="6">
        <v>0</v>
      </c>
      <c r="L779" s="6">
        <v>523.37199999999996</v>
      </c>
      <c r="M779" s="6">
        <v>523.37199999999996</v>
      </c>
      <c r="N779" s="6">
        <v>523.37199999999996</v>
      </c>
      <c r="O779" s="6">
        <v>523.37199999999996</v>
      </c>
      <c r="P779" s="6">
        <v>1733</v>
      </c>
      <c r="Q779" s="4" t="s">
        <v>26</v>
      </c>
      <c r="R779" s="4">
        <v>0</v>
      </c>
      <c r="S779" s="6">
        <v>0</v>
      </c>
      <c r="T779" s="6">
        <v>43</v>
      </c>
      <c r="U779" s="6">
        <v>84</v>
      </c>
      <c r="V779" s="6">
        <f>IF(ISERROR(VLOOKUP($S$779,'TAR FIN'!$A$1:$O$103,15,0)),0,VLOOKUP($S$779,'TAR FIN'!$A$1:$O$103,15,0))</f>
        <v>0</v>
      </c>
      <c r="W779" s="6">
        <f>IF(ISERROR(VLOOKUP($T$779,'TAR FIN'!$A$1:$O$103,15,0)),0,VLOOKUP($T$779,'TAR FIN'!$A$1:$O$103,15,0))</f>
        <v>237.52</v>
      </c>
      <c r="X779" s="6">
        <f>IF(ISERROR(VLOOKUP($U$779,'TAR FIN'!$A$1:$O$103,15,0)),0,VLOOKUP($U$779,'TAR FIN'!$A$1:$O$103,15,0))</f>
        <v>254.23</v>
      </c>
      <c r="Y779" s="6"/>
      <c r="Z779" s="6">
        <f ca="1">('TUSD BE'!$AM$43+'TUSD BF_350'!$AM$43+'TUSD CVA'!$AM$43)*(1-CUSTOS!$M$38)</f>
        <v>292.15199999999993</v>
      </c>
      <c r="AA779" s="6">
        <f ca="1">('TE BE'!$AB$27+'TE BF_350'!$AB$27+'TE CVA'!$AB$27)*(1-CUSTOS!$M$38)</f>
        <v>243.40359999999998</v>
      </c>
      <c r="AB779" s="6">
        <f>$K$779*$V$779</f>
        <v>0</v>
      </c>
      <c r="AC779" s="6">
        <f>$M$779*$W$779</f>
        <v>124311.31744</v>
      </c>
      <c r="AD779" s="6">
        <f>$O$779*$X$779</f>
        <v>133056.86356</v>
      </c>
      <c r="AE779" s="6">
        <f>$K$779*$Y$779</f>
        <v>0</v>
      </c>
      <c r="AF779" s="6">
        <f ca="1">$M$779*$Z$779</f>
        <v>152904.17654399996</v>
      </c>
      <c r="AG779" s="6">
        <f ca="1">$O$779*$AA$779</f>
        <v>127390.62893919997</v>
      </c>
    </row>
    <row r="780" spans="1:33" ht="11.25" customHeight="1" x14ac:dyDescent="0.25">
      <c r="A780" s="4" t="s">
        <v>27</v>
      </c>
      <c r="B780" s="4" t="s">
        <v>44</v>
      </c>
      <c r="C780" s="4" t="s">
        <v>23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44562</v>
      </c>
      <c r="J780" s="6">
        <v>0</v>
      </c>
      <c r="K780" s="6">
        <v>0</v>
      </c>
      <c r="L780" s="6">
        <v>-0.97599999999999998</v>
      </c>
      <c r="M780" s="6">
        <v>-0.97599999999999998</v>
      </c>
      <c r="N780" s="6">
        <v>-0.97599999999999998</v>
      </c>
      <c r="O780" s="6">
        <v>-0.97599999999999998</v>
      </c>
      <c r="P780" s="6">
        <v>0</v>
      </c>
      <c r="Q780" s="4" t="s">
        <v>26</v>
      </c>
      <c r="R780" s="4">
        <v>0</v>
      </c>
      <c r="S780" s="6">
        <v>0</v>
      </c>
      <c r="T780" s="6">
        <v>43</v>
      </c>
      <c r="U780" s="6">
        <v>84</v>
      </c>
      <c r="V780" s="6">
        <f>IF(ISERROR(VLOOKUP($S$780,'TAR FIN'!$A$1:$O$103,15,0)),0,VLOOKUP($S$780,'TAR FIN'!$A$1:$O$103,15,0))</f>
        <v>0</v>
      </c>
      <c r="W780" s="6">
        <f>IF(ISERROR(VLOOKUP($T$780,'TAR FIN'!$A$1:$O$103,15,0)),0,VLOOKUP($T$780,'TAR FIN'!$A$1:$O$103,15,0))</f>
        <v>237.52</v>
      </c>
      <c r="X780" s="6">
        <f>IF(ISERROR(VLOOKUP($U$780,'TAR FIN'!$A$1:$O$103,15,0)),0,VLOOKUP($U$780,'TAR FIN'!$A$1:$O$103,15,0))</f>
        <v>254.23</v>
      </c>
      <c r="Y780" s="6"/>
      <c r="Z780" s="6">
        <f ca="1">('TUSD BE'!$AM$43+'TUSD BF_350'!$AM$43+'TUSD CVA'!$AM$43)*(1-CUSTOS!$M$38)</f>
        <v>292.15199999999993</v>
      </c>
      <c r="AA780" s="6">
        <f ca="1">('TE BE'!$AB$27+'TE BF_350'!$AB$27+'TE CVA'!$AB$27)*(1-CUSTOS!$M$38)</f>
        <v>243.40359999999998</v>
      </c>
      <c r="AB780" s="6">
        <f>$K$780*$V$780</f>
        <v>0</v>
      </c>
      <c r="AC780" s="6">
        <f>$M$780*$W$780</f>
        <v>-231.81952000000001</v>
      </c>
      <c r="AD780" s="6">
        <f>$O$780*$X$780</f>
        <v>-248.12848</v>
      </c>
      <c r="AE780" s="6">
        <f>$K$780*$Y$780</f>
        <v>0</v>
      </c>
      <c r="AF780" s="6">
        <f ca="1">$M$780*$Z$780</f>
        <v>-285.14035199999995</v>
      </c>
      <c r="AG780" s="6">
        <f ca="1">$O$780*$AA$780</f>
        <v>-237.56191359999997</v>
      </c>
    </row>
    <row r="781" spans="1:33" ht="11.25" customHeight="1" x14ac:dyDescent="0.25">
      <c r="A781" s="4" t="s">
        <v>28</v>
      </c>
      <c r="B781" s="4" t="s">
        <v>44</v>
      </c>
      <c r="C781" s="4" t="s">
        <v>23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44562</v>
      </c>
      <c r="J781" s="6">
        <v>0</v>
      </c>
      <c r="K781" s="6">
        <v>0</v>
      </c>
      <c r="L781" s="6">
        <v>3.7149999999999999</v>
      </c>
      <c r="M781" s="6">
        <v>3.7149999999999999</v>
      </c>
      <c r="N781" s="6">
        <v>3.7149999999999999</v>
      </c>
      <c r="O781" s="6">
        <v>3.7149999999999999</v>
      </c>
      <c r="P781" s="6">
        <v>21</v>
      </c>
      <c r="Q781" s="4" t="s">
        <v>26</v>
      </c>
      <c r="R781" s="4">
        <v>0</v>
      </c>
      <c r="S781" s="6">
        <v>0</v>
      </c>
      <c r="T781" s="6">
        <v>43</v>
      </c>
      <c r="U781" s="6">
        <v>84</v>
      </c>
      <c r="V781" s="6">
        <f>IF(ISERROR(VLOOKUP($S$781,'TAR FIN'!$A$1:$O$103,15,0)),0,VLOOKUP($S$781,'TAR FIN'!$A$1:$O$103,15,0))</f>
        <v>0</v>
      </c>
      <c r="W781" s="6">
        <f>IF(ISERROR(VLOOKUP($T$781,'TAR FIN'!$A$1:$O$103,15,0)),0,VLOOKUP($T$781,'TAR FIN'!$A$1:$O$103,15,0))</f>
        <v>237.52</v>
      </c>
      <c r="X781" s="6">
        <f>IF(ISERROR(VLOOKUP($U$781,'TAR FIN'!$A$1:$O$103,15,0)),0,VLOOKUP($U$781,'TAR FIN'!$A$1:$O$103,15,0))</f>
        <v>254.23</v>
      </c>
      <c r="Y781" s="6"/>
      <c r="Z781" s="6">
        <f ca="1">('TUSD BE'!$AM$43+'TUSD BF_350'!$AM$43+'TUSD CVA'!$AM$43)*(1-CUSTOS!$M$38)</f>
        <v>292.15199999999993</v>
      </c>
      <c r="AA781" s="6">
        <f ca="1">('TE BE'!$AB$27+'TE BF_350'!$AB$27+'TE CVA'!$AB$27)*(1-CUSTOS!$M$38)</f>
        <v>243.40359999999998</v>
      </c>
      <c r="AB781" s="6">
        <f>$K$781*$V$781</f>
        <v>0</v>
      </c>
      <c r="AC781" s="6">
        <f>$M$781*$W$781</f>
        <v>882.38679999999999</v>
      </c>
      <c r="AD781" s="6">
        <f>$O$781*$X$781</f>
        <v>944.46444999999994</v>
      </c>
      <c r="AE781" s="6">
        <f>$K$781*$Y$781</f>
        <v>0</v>
      </c>
      <c r="AF781" s="6">
        <f ca="1">$M$781*$Z$781</f>
        <v>1085.3446799999997</v>
      </c>
      <c r="AG781" s="6">
        <f ca="1">$O$781*$AA$781</f>
        <v>904.24437399999988</v>
      </c>
    </row>
    <row r="782" spans="1:33" ht="11.25" customHeight="1" x14ac:dyDescent="0.25">
      <c r="A782" s="4" t="s">
        <v>21</v>
      </c>
      <c r="B782" s="4" t="s">
        <v>44</v>
      </c>
      <c r="C782" s="4" t="s">
        <v>23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44593</v>
      </c>
      <c r="J782" s="6">
        <v>0</v>
      </c>
      <c r="K782" s="6">
        <v>0</v>
      </c>
      <c r="L782" s="6">
        <v>521.06500000000005</v>
      </c>
      <c r="M782" s="6">
        <v>521.06500000000005</v>
      </c>
      <c r="N782" s="6">
        <v>521.06500000000005</v>
      </c>
      <c r="O782" s="6">
        <v>521.06500000000005</v>
      </c>
      <c r="P782" s="6">
        <v>1728</v>
      </c>
      <c r="Q782" s="4" t="s">
        <v>26</v>
      </c>
      <c r="R782" s="4">
        <v>0</v>
      </c>
      <c r="S782" s="6">
        <v>0</v>
      </c>
      <c r="T782" s="6">
        <v>43</v>
      </c>
      <c r="U782" s="6">
        <v>84</v>
      </c>
      <c r="V782" s="6">
        <f>IF(ISERROR(VLOOKUP($S$782,'TAR FIN'!$A$1:$O$103,15,0)),0,VLOOKUP($S$782,'TAR FIN'!$A$1:$O$103,15,0))</f>
        <v>0</v>
      </c>
      <c r="W782" s="6">
        <f>IF(ISERROR(VLOOKUP($T$782,'TAR FIN'!$A$1:$O$103,15,0)),0,VLOOKUP($T$782,'TAR FIN'!$A$1:$O$103,15,0))</f>
        <v>237.52</v>
      </c>
      <c r="X782" s="6">
        <f>IF(ISERROR(VLOOKUP($U$782,'TAR FIN'!$A$1:$O$103,15,0)),0,VLOOKUP($U$782,'TAR FIN'!$A$1:$O$103,15,0))</f>
        <v>254.23</v>
      </c>
      <c r="Y782" s="6"/>
      <c r="Z782" s="6">
        <f ca="1">('TUSD BE'!$AM$43+'TUSD BF_350'!$AM$43+'TUSD CVA'!$AM$43)*(1-CUSTOS!$M$38)</f>
        <v>292.15199999999993</v>
      </c>
      <c r="AA782" s="6">
        <f ca="1">('TE BE'!$AB$27+'TE BF_350'!$AB$27+'TE CVA'!$AB$27)*(1-CUSTOS!$M$38)</f>
        <v>243.40359999999998</v>
      </c>
      <c r="AB782" s="6">
        <f>$K$782*$V$782</f>
        <v>0</v>
      </c>
      <c r="AC782" s="6">
        <f>$M$782*$W$782</f>
        <v>123763.35880000002</v>
      </c>
      <c r="AD782" s="6">
        <f>$O$782*$X$782</f>
        <v>132470.35495000001</v>
      </c>
      <c r="AE782" s="6">
        <f>$K$782*$Y$782</f>
        <v>0</v>
      </c>
      <c r="AF782" s="6">
        <f ca="1">$M$782*$Z$782</f>
        <v>152230.18187999999</v>
      </c>
      <c r="AG782" s="6">
        <f ca="1">$O$782*$AA$782</f>
        <v>126829.09683400001</v>
      </c>
    </row>
    <row r="783" spans="1:33" ht="11.25" customHeight="1" x14ac:dyDescent="0.25">
      <c r="A783" s="4" t="s">
        <v>21</v>
      </c>
      <c r="B783" s="4" t="s">
        <v>44</v>
      </c>
      <c r="C783" s="4" t="s">
        <v>23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44621</v>
      </c>
      <c r="J783" s="6">
        <v>0</v>
      </c>
      <c r="K783" s="6">
        <v>0</v>
      </c>
      <c r="L783" s="6">
        <v>508.90899999999999</v>
      </c>
      <c r="M783" s="6">
        <v>508.90899999999999</v>
      </c>
      <c r="N783" s="6">
        <v>508.90899999999999</v>
      </c>
      <c r="O783" s="6">
        <v>508.90899999999999</v>
      </c>
      <c r="P783" s="6">
        <v>1728</v>
      </c>
      <c r="Q783" s="4" t="s">
        <v>26</v>
      </c>
      <c r="R783" s="4">
        <v>0</v>
      </c>
      <c r="S783" s="6">
        <v>0</v>
      </c>
      <c r="T783" s="6">
        <v>43</v>
      </c>
      <c r="U783" s="6">
        <v>84</v>
      </c>
      <c r="V783" s="6">
        <f>IF(ISERROR(VLOOKUP($S$783,'TAR FIN'!$A$1:$O$103,15,0)),0,VLOOKUP($S$783,'TAR FIN'!$A$1:$O$103,15,0))</f>
        <v>0</v>
      </c>
      <c r="W783" s="6">
        <f>IF(ISERROR(VLOOKUP($T$783,'TAR FIN'!$A$1:$O$103,15,0)),0,VLOOKUP($T$783,'TAR FIN'!$A$1:$O$103,15,0))</f>
        <v>237.52</v>
      </c>
      <c r="X783" s="6">
        <f>IF(ISERROR(VLOOKUP($U$783,'TAR FIN'!$A$1:$O$103,15,0)),0,VLOOKUP($U$783,'TAR FIN'!$A$1:$O$103,15,0))</f>
        <v>254.23</v>
      </c>
      <c r="Y783" s="6"/>
      <c r="Z783" s="6">
        <f ca="1">('TUSD BE'!$AM$43+'TUSD BF_350'!$AM$43+'TUSD CVA'!$AM$43)*(1-CUSTOS!$M$38)</f>
        <v>292.15199999999993</v>
      </c>
      <c r="AA783" s="6">
        <f ca="1">('TE BE'!$AB$27+'TE BF_350'!$AB$27+'TE CVA'!$AB$27)*(1-CUSTOS!$M$38)</f>
        <v>243.40359999999998</v>
      </c>
      <c r="AB783" s="6">
        <f>$K$783*$V$783</f>
        <v>0</v>
      </c>
      <c r="AC783" s="6">
        <f>$M$783*$W$783</f>
        <v>120876.06568</v>
      </c>
      <c r="AD783" s="6">
        <f>$O$783*$X$783</f>
        <v>129379.93506999999</v>
      </c>
      <c r="AE783" s="6">
        <f>$K$783*$Y$783</f>
        <v>0</v>
      </c>
      <c r="AF783" s="6">
        <f ca="1">$M$783*$Z$783</f>
        <v>148678.78216799998</v>
      </c>
      <c r="AG783" s="6">
        <f ca="1">$O$783*$AA$783</f>
        <v>123870.28267239999</v>
      </c>
    </row>
    <row r="784" spans="1:33" ht="11.25" customHeight="1" x14ac:dyDescent="0.25">
      <c r="A784" s="4" t="s">
        <v>28</v>
      </c>
      <c r="B784" s="4" t="s">
        <v>44</v>
      </c>
      <c r="C784" s="4" t="s">
        <v>23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44621</v>
      </c>
      <c r="J784" s="6">
        <v>0</v>
      </c>
      <c r="K784" s="6">
        <v>0</v>
      </c>
      <c r="L784" s="6">
        <v>5.8129999999999997</v>
      </c>
      <c r="M784" s="6">
        <v>5.8129999999999997</v>
      </c>
      <c r="N784" s="6">
        <v>5.8129999999999997</v>
      </c>
      <c r="O784" s="6">
        <v>5.8129999999999997</v>
      </c>
      <c r="P784" s="6">
        <v>24</v>
      </c>
      <c r="Q784" s="4" t="s">
        <v>26</v>
      </c>
      <c r="R784" s="4">
        <v>0</v>
      </c>
      <c r="S784" s="6">
        <v>0</v>
      </c>
      <c r="T784" s="6">
        <v>43</v>
      </c>
      <c r="U784" s="6">
        <v>84</v>
      </c>
      <c r="V784" s="6">
        <f>IF(ISERROR(VLOOKUP($S$784,'TAR FIN'!$A$1:$O$103,15,0)),0,VLOOKUP($S$784,'TAR FIN'!$A$1:$O$103,15,0))</f>
        <v>0</v>
      </c>
      <c r="W784" s="6">
        <f>IF(ISERROR(VLOOKUP($T$784,'TAR FIN'!$A$1:$O$103,15,0)),0,VLOOKUP($T$784,'TAR FIN'!$A$1:$O$103,15,0))</f>
        <v>237.52</v>
      </c>
      <c r="X784" s="6">
        <f>IF(ISERROR(VLOOKUP($U$784,'TAR FIN'!$A$1:$O$103,15,0)),0,VLOOKUP($U$784,'TAR FIN'!$A$1:$O$103,15,0))</f>
        <v>254.23</v>
      </c>
      <c r="Y784" s="6"/>
      <c r="Z784" s="6">
        <f ca="1">('TUSD BE'!$AM$43+'TUSD BF_350'!$AM$43+'TUSD CVA'!$AM$43)*(1-CUSTOS!$M$38)</f>
        <v>292.15199999999993</v>
      </c>
      <c r="AA784" s="6">
        <f ca="1">('TE BE'!$AB$27+'TE BF_350'!$AB$27+'TE CVA'!$AB$27)*(1-CUSTOS!$M$38)</f>
        <v>243.40359999999998</v>
      </c>
      <c r="AB784" s="6">
        <f>$K$784*$V$784</f>
        <v>0</v>
      </c>
      <c r="AC784" s="6">
        <f>$M$784*$W$784</f>
        <v>1380.7037600000001</v>
      </c>
      <c r="AD784" s="6">
        <f>$O$784*$X$784</f>
        <v>1477.83899</v>
      </c>
      <c r="AE784" s="6">
        <f>$K$784*$Y$784</f>
        <v>0</v>
      </c>
      <c r="AF784" s="6">
        <f ca="1">$M$784*$Z$784</f>
        <v>1698.2795759999995</v>
      </c>
      <c r="AG784" s="6">
        <f ca="1">$O$784*$AA$784</f>
        <v>1414.9051267999998</v>
      </c>
    </row>
    <row r="785" spans="1:33" ht="11.25" customHeight="1" x14ac:dyDescent="0.25">
      <c r="A785" s="4" t="s">
        <v>21</v>
      </c>
      <c r="B785" s="4" t="s">
        <v>44</v>
      </c>
      <c r="C785" s="4" t="s">
        <v>23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44652</v>
      </c>
      <c r="J785" s="6">
        <v>0</v>
      </c>
      <c r="K785" s="6">
        <v>0</v>
      </c>
      <c r="L785" s="6">
        <v>484.93299999999999</v>
      </c>
      <c r="M785" s="6">
        <v>484.93299999999999</v>
      </c>
      <c r="N785" s="6">
        <v>484.93299999999999</v>
      </c>
      <c r="O785" s="6">
        <v>484.93299999999999</v>
      </c>
      <c r="P785" s="6">
        <v>1705</v>
      </c>
      <c r="Q785" s="4" t="s">
        <v>26</v>
      </c>
      <c r="R785" s="4">
        <v>0</v>
      </c>
      <c r="S785" s="6">
        <v>0</v>
      </c>
      <c r="T785" s="6">
        <v>43</v>
      </c>
      <c r="U785" s="6">
        <v>84</v>
      </c>
      <c r="V785" s="6">
        <f>IF(ISERROR(VLOOKUP($S$785,'TAR FIN'!$A$1:$O$103,15,0)),0,VLOOKUP($S$785,'TAR FIN'!$A$1:$O$103,15,0))</f>
        <v>0</v>
      </c>
      <c r="W785" s="6">
        <f>IF(ISERROR(VLOOKUP($T$785,'TAR FIN'!$A$1:$O$103,15,0)),0,VLOOKUP($T$785,'TAR FIN'!$A$1:$O$103,15,0))</f>
        <v>237.52</v>
      </c>
      <c r="X785" s="6">
        <f>IF(ISERROR(VLOOKUP($U$785,'TAR FIN'!$A$1:$O$103,15,0)),0,VLOOKUP($U$785,'TAR FIN'!$A$1:$O$103,15,0))</f>
        <v>254.23</v>
      </c>
      <c r="Y785" s="6"/>
      <c r="Z785" s="6">
        <f ca="1">('TUSD BE'!$AM$43+'TUSD BF_350'!$AM$43+'TUSD CVA'!$AM$43)*(1-CUSTOS!$M$38)</f>
        <v>292.15199999999993</v>
      </c>
      <c r="AA785" s="6">
        <f ca="1">('TE BE'!$AB$27+'TE BF_350'!$AB$27+'TE CVA'!$AB$27)*(1-CUSTOS!$M$38)</f>
        <v>243.40359999999998</v>
      </c>
      <c r="AB785" s="6">
        <f>$K$785*$V$785</f>
        <v>0</v>
      </c>
      <c r="AC785" s="6">
        <f>$M$785*$W$785</f>
        <v>115181.28616</v>
      </c>
      <c r="AD785" s="6">
        <f>$O$785*$X$785</f>
        <v>123284.51659</v>
      </c>
      <c r="AE785" s="6">
        <f>$K$785*$Y$785</f>
        <v>0</v>
      </c>
      <c r="AF785" s="6">
        <f ca="1">$M$785*$Z$785</f>
        <v>141674.14581599997</v>
      </c>
      <c r="AG785" s="6">
        <f ca="1">$O$785*$AA$785</f>
        <v>118034.43795879999</v>
      </c>
    </row>
    <row r="786" spans="1:33" ht="11.25" customHeight="1" x14ac:dyDescent="0.25">
      <c r="A786" s="4" t="s">
        <v>28</v>
      </c>
      <c r="B786" s="4" t="s">
        <v>44</v>
      </c>
      <c r="C786" s="4" t="s">
        <v>23</v>
      </c>
      <c r="D786" s="4" t="s">
        <v>45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44652</v>
      </c>
      <c r="J786" s="6">
        <v>0</v>
      </c>
      <c r="K786" s="6">
        <v>0</v>
      </c>
      <c r="L786" s="6">
        <v>7.4870000000000001</v>
      </c>
      <c r="M786" s="6">
        <v>7.4870000000000001</v>
      </c>
      <c r="N786" s="6">
        <v>7.4870000000000001</v>
      </c>
      <c r="O786" s="6">
        <v>7.4870000000000001</v>
      </c>
      <c r="P786" s="6">
        <v>24</v>
      </c>
      <c r="Q786" s="4" t="s">
        <v>26</v>
      </c>
      <c r="R786" s="4">
        <v>0</v>
      </c>
      <c r="S786" s="6">
        <v>0</v>
      </c>
      <c r="T786" s="6">
        <v>43</v>
      </c>
      <c r="U786" s="6">
        <v>84</v>
      </c>
      <c r="V786" s="6">
        <f>IF(ISERROR(VLOOKUP($S$786,'TAR FIN'!$A$1:$O$103,15,0)),0,VLOOKUP($S$786,'TAR FIN'!$A$1:$O$103,15,0))</f>
        <v>0</v>
      </c>
      <c r="W786" s="6">
        <f>IF(ISERROR(VLOOKUP($T$786,'TAR FIN'!$A$1:$O$103,15,0)),0,VLOOKUP($T$786,'TAR FIN'!$A$1:$O$103,15,0))</f>
        <v>237.52</v>
      </c>
      <c r="X786" s="6">
        <f>IF(ISERROR(VLOOKUP($U$786,'TAR FIN'!$A$1:$O$103,15,0)),0,VLOOKUP($U$786,'TAR FIN'!$A$1:$O$103,15,0))</f>
        <v>254.23</v>
      </c>
      <c r="Y786" s="6"/>
      <c r="Z786" s="6">
        <f ca="1">('TUSD BE'!$AM$43+'TUSD BF_350'!$AM$43+'TUSD CVA'!$AM$43)*(1-CUSTOS!$M$38)</f>
        <v>292.15199999999993</v>
      </c>
      <c r="AA786" s="6">
        <f ca="1">('TE BE'!$AB$27+'TE BF_350'!$AB$27+'TE CVA'!$AB$27)*(1-CUSTOS!$M$38)</f>
        <v>243.40359999999998</v>
      </c>
      <c r="AB786" s="6">
        <f>$K$786*$V$786</f>
        <v>0</v>
      </c>
      <c r="AC786" s="6">
        <f>$M$786*$W$786</f>
        <v>1778.3122400000002</v>
      </c>
      <c r="AD786" s="6">
        <f>$O$786*$X$786</f>
        <v>1903.42001</v>
      </c>
      <c r="AE786" s="6">
        <f>$K$786*$Y$786</f>
        <v>0</v>
      </c>
      <c r="AF786" s="6">
        <f ca="1">$M$786*$Z$786</f>
        <v>2187.3420239999996</v>
      </c>
      <c r="AG786" s="6">
        <f ca="1">$O$786*$AA$786</f>
        <v>1822.3627531999998</v>
      </c>
    </row>
    <row r="787" spans="1:33" ht="11.25" customHeight="1" x14ac:dyDescent="0.25">
      <c r="A787" s="4" t="s">
        <v>21</v>
      </c>
      <c r="B787" s="4" t="s">
        <v>44</v>
      </c>
      <c r="C787" s="4" t="s">
        <v>23</v>
      </c>
      <c r="D787" s="4" t="s">
        <v>45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44682</v>
      </c>
      <c r="J787" s="6">
        <v>0</v>
      </c>
      <c r="K787" s="6">
        <v>0</v>
      </c>
      <c r="L787" s="6">
        <v>504.78500000000003</v>
      </c>
      <c r="M787" s="6">
        <v>504.78500000000003</v>
      </c>
      <c r="N787" s="6">
        <v>504.78500000000003</v>
      </c>
      <c r="O787" s="6">
        <v>504.78500000000003</v>
      </c>
      <c r="P787" s="6">
        <v>1691</v>
      </c>
      <c r="Q787" s="4" t="s">
        <v>26</v>
      </c>
      <c r="R787" s="4">
        <v>0</v>
      </c>
      <c r="S787" s="6">
        <v>0</v>
      </c>
      <c r="T787" s="6">
        <v>43</v>
      </c>
      <c r="U787" s="6">
        <v>84</v>
      </c>
      <c r="V787" s="6">
        <f>IF(ISERROR(VLOOKUP($S$787,'TAR FIN'!$A$1:$O$103,15,0)),0,VLOOKUP($S$787,'TAR FIN'!$A$1:$O$103,15,0))</f>
        <v>0</v>
      </c>
      <c r="W787" s="6">
        <f>IF(ISERROR(VLOOKUP($T$787,'TAR FIN'!$A$1:$O$103,15,0)),0,VLOOKUP($T$787,'TAR FIN'!$A$1:$O$103,15,0))</f>
        <v>237.52</v>
      </c>
      <c r="X787" s="6">
        <f>IF(ISERROR(VLOOKUP($U$787,'TAR FIN'!$A$1:$O$103,15,0)),0,VLOOKUP($U$787,'TAR FIN'!$A$1:$O$103,15,0))</f>
        <v>254.23</v>
      </c>
      <c r="Y787" s="6"/>
      <c r="Z787" s="6">
        <f ca="1">('TUSD BE'!$AM$43+'TUSD BF_350'!$AM$43+'TUSD CVA'!$AM$43)*(1-CUSTOS!$M$38)</f>
        <v>292.15199999999993</v>
      </c>
      <c r="AA787" s="6">
        <f ca="1">('TE BE'!$AB$27+'TE BF_350'!$AB$27+'TE CVA'!$AB$27)*(1-CUSTOS!$M$38)</f>
        <v>243.40359999999998</v>
      </c>
      <c r="AB787" s="6">
        <f>$K$787*$V$787</f>
        <v>0</v>
      </c>
      <c r="AC787" s="6">
        <f>$M$787*$W$787</f>
        <v>119896.53320000001</v>
      </c>
      <c r="AD787" s="6">
        <f>$O$787*$X$787</f>
        <v>128331.49055</v>
      </c>
      <c r="AE787" s="6">
        <f>$K$787*$Y$787</f>
        <v>0</v>
      </c>
      <c r="AF787" s="6">
        <f ca="1">$M$787*$Z$787</f>
        <v>147473.94731999998</v>
      </c>
      <c r="AG787" s="6">
        <f ca="1">$O$787*$AA$787</f>
        <v>122866.48622599999</v>
      </c>
    </row>
    <row r="788" spans="1:33" ht="11.25" customHeight="1" x14ac:dyDescent="0.25">
      <c r="A788" s="4" t="s">
        <v>27</v>
      </c>
      <c r="B788" s="4" t="s">
        <v>44</v>
      </c>
      <c r="C788" s="4" t="s">
        <v>23</v>
      </c>
      <c r="D788" s="4" t="s">
        <v>45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44682</v>
      </c>
      <c r="J788" s="6">
        <v>0</v>
      </c>
      <c r="K788" s="6">
        <v>0</v>
      </c>
      <c r="L788" s="6">
        <v>0.27500000000000002</v>
      </c>
      <c r="M788" s="6">
        <v>0.27500000000000002</v>
      </c>
      <c r="N788" s="6">
        <v>0.27500000000000002</v>
      </c>
      <c r="O788" s="6">
        <v>0.27500000000000002</v>
      </c>
      <c r="P788" s="6">
        <v>0</v>
      </c>
      <c r="Q788" s="4" t="s">
        <v>26</v>
      </c>
      <c r="R788" s="4">
        <v>0</v>
      </c>
      <c r="S788" s="6">
        <v>0</v>
      </c>
      <c r="T788" s="6">
        <v>43</v>
      </c>
      <c r="U788" s="6">
        <v>84</v>
      </c>
      <c r="V788" s="6">
        <f>IF(ISERROR(VLOOKUP($S$788,'TAR FIN'!$A$1:$O$103,15,0)),0,VLOOKUP($S$788,'TAR FIN'!$A$1:$O$103,15,0))</f>
        <v>0</v>
      </c>
      <c r="W788" s="6">
        <f>IF(ISERROR(VLOOKUP($T$788,'TAR FIN'!$A$1:$O$103,15,0)),0,VLOOKUP($T$788,'TAR FIN'!$A$1:$O$103,15,0))</f>
        <v>237.52</v>
      </c>
      <c r="X788" s="6">
        <f>IF(ISERROR(VLOOKUP($U$788,'TAR FIN'!$A$1:$O$103,15,0)),0,VLOOKUP($U$788,'TAR FIN'!$A$1:$O$103,15,0))</f>
        <v>254.23</v>
      </c>
      <c r="Y788" s="6"/>
      <c r="Z788" s="6">
        <f ca="1">('TUSD BE'!$AM$43+'TUSD BF_350'!$AM$43+'TUSD CVA'!$AM$43)*(1-CUSTOS!$M$38)</f>
        <v>292.15199999999993</v>
      </c>
      <c r="AA788" s="6">
        <f ca="1">('TE BE'!$AB$27+'TE BF_350'!$AB$27+'TE CVA'!$AB$27)*(1-CUSTOS!$M$38)</f>
        <v>243.40359999999998</v>
      </c>
      <c r="AB788" s="6">
        <f>$K$788*$V$788</f>
        <v>0</v>
      </c>
      <c r="AC788" s="6">
        <f>$M$788*$W$788</f>
        <v>65.318000000000012</v>
      </c>
      <c r="AD788" s="6">
        <f>$O$788*$X$788</f>
        <v>69.913250000000005</v>
      </c>
      <c r="AE788" s="6">
        <f>$K$788*$Y$788</f>
        <v>0</v>
      </c>
      <c r="AF788" s="6">
        <f ca="1">$M$788*$Z$788</f>
        <v>80.341799999999992</v>
      </c>
      <c r="AG788" s="6">
        <f ca="1">$O$788*$AA$788</f>
        <v>66.935990000000004</v>
      </c>
    </row>
    <row r="789" spans="1:33" ht="11.25" customHeight="1" x14ac:dyDescent="0.25">
      <c r="A789" s="4" t="s">
        <v>28</v>
      </c>
      <c r="B789" s="4" t="s">
        <v>44</v>
      </c>
      <c r="C789" s="4" t="s">
        <v>23</v>
      </c>
      <c r="D789" s="4" t="s">
        <v>45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44682</v>
      </c>
      <c r="J789" s="6">
        <v>0</v>
      </c>
      <c r="K789" s="6">
        <v>0</v>
      </c>
      <c r="L789" s="6">
        <v>8.8949999999999996</v>
      </c>
      <c r="M789" s="6">
        <v>8.8949999999999996</v>
      </c>
      <c r="N789" s="6">
        <v>8.8949999999999996</v>
      </c>
      <c r="O789" s="6">
        <v>8.8949999999999996</v>
      </c>
      <c r="P789" s="6">
        <v>29</v>
      </c>
      <c r="Q789" s="4" t="s">
        <v>26</v>
      </c>
      <c r="R789" s="4">
        <v>0</v>
      </c>
      <c r="S789" s="6">
        <v>0</v>
      </c>
      <c r="T789" s="6">
        <v>43</v>
      </c>
      <c r="U789" s="6">
        <v>84</v>
      </c>
      <c r="V789" s="6">
        <f>IF(ISERROR(VLOOKUP($S$789,'TAR FIN'!$A$1:$O$103,15,0)),0,VLOOKUP($S$789,'TAR FIN'!$A$1:$O$103,15,0))</f>
        <v>0</v>
      </c>
      <c r="W789" s="6">
        <f>IF(ISERROR(VLOOKUP($T$789,'TAR FIN'!$A$1:$O$103,15,0)),0,VLOOKUP($T$789,'TAR FIN'!$A$1:$O$103,15,0))</f>
        <v>237.52</v>
      </c>
      <c r="X789" s="6">
        <f>IF(ISERROR(VLOOKUP($U$789,'TAR FIN'!$A$1:$O$103,15,0)),0,VLOOKUP($U$789,'TAR FIN'!$A$1:$O$103,15,0))</f>
        <v>254.23</v>
      </c>
      <c r="Y789" s="6"/>
      <c r="Z789" s="6">
        <f ca="1">('TUSD BE'!$AM$43+'TUSD BF_350'!$AM$43+'TUSD CVA'!$AM$43)*(1-CUSTOS!$M$38)</f>
        <v>292.15199999999993</v>
      </c>
      <c r="AA789" s="6">
        <f ca="1">('TE BE'!$AB$27+'TE BF_350'!$AB$27+'TE CVA'!$AB$27)*(1-CUSTOS!$M$38)</f>
        <v>243.40359999999998</v>
      </c>
      <c r="AB789" s="6">
        <f>$K$789*$V$789</f>
        <v>0</v>
      </c>
      <c r="AC789" s="6">
        <f>$M$789*$W$789</f>
        <v>2112.7404000000001</v>
      </c>
      <c r="AD789" s="6">
        <f>$O$789*$X$789</f>
        <v>2261.3758499999999</v>
      </c>
      <c r="AE789" s="6">
        <f>$K$789*$Y$789</f>
        <v>0</v>
      </c>
      <c r="AF789" s="6">
        <f ca="1">$M$789*$Z$789</f>
        <v>2598.6920399999995</v>
      </c>
      <c r="AG789" s="6">
        <f ca="1">$O$789*$AA$789</f>
        <v>2165.0750219999995</v>
      </c>
    </row>
    <row r="790" spans="1:33" ht="11.25" customHeight="1" x14ac:dyDescent="0.25">
      <c r="A790" s="4" t="s">
        <v>21</v>
      </c>
      <c r="B790" s="4" t="s">
        <v>39</v>
      </c>
      <c r="C790" s="4" t="s">
        <v>36</v>
      </c>
      <c r="D790" s="4" t="s">
        <v>43</v>
      </c>
      <c r="E790" s="4" t="s">
        <v>25</v>
      </c>
      <c r="F790" s="4" t="s">
        <v>25</v>
      </c>
      <c r="G790" s="4" t="s">
        <v>25</v>
      </c>
      <c r="H790" s="4" t="s">
        <v>35</v>
      </c>
      <c r="I790" s="5">
        <v>44348</v>
      </c>
      <c r="J790" s="6">
        <v>0</v>
      </c>
      <c r="K790" s="6">
        <v>0</v>
      </c>
      <c r="L790" s="6">
        <v>30.501999999999999</v>
      </c>
      <c r="M790" s="6">
        <v>30.501999999999999</v>
      </c>
      <c r="N790" s="6">
        <v>30.501999999999999</v>
      </c>
      <c r="O790" s="6">
        <v>30.501999999999999</v>
      </c>
      <c r="P790" s="6">
        <v>0</v>
      </c>
      <c r="Q790" s="4" t="s">
        <v>26</v>
      </c>
      <c r="R790" s="4">
        <v>0</v>
      </c>
      <c r="S790" s="6">
        <v>0</v>
      </c>
      <c r="T790" s="6">
        <v>57</v>
      </c>
      <c r="U790" s="6">
        <v>98</v>
      </c>
      <c r="V790" s="6">
        <f>IF(ISERROR(VLOOKUP($S$790,'TAR FIN'!$A$1:$O$103,15,0)),0,VLOOKUP($S$790,'TAR FIN'!$A$1:$O$103,15,0))</f>
        <v>0</v>
      </c>
      <c r="W790" s="6">
        <f>IF(ISERROR(VLOOKUP($T$790,'TAR FIN'!$A$1:$O$103,15,0)),0,VLOOKUP($T$790,'TAR FIN'!$A$1:$O$103,15,0))</f>
        <v>214.77</v>
      </c>
      <c r="X790" s="6">
        <f>IF(ISERROR(VLOOKUP($U$790,'TAR FIN'!$A$1:$O$103,15,0)),0,VLOOKUP($U$790,'TAR FIN'!$A$1:$O$103,15,0))</f>
        <v>275.36</v>
      </c>
      <c r="Y790" s="6"/>
      <c r="Z790" s="6">
        <f ca="1">('TUSD BE'!$AM$57+'TUSD BF_350'!$AM$57+'TUSD CVA'!$AM$57)*1</f>
        <v>253.04</v>
      </c>
      <c r="AA790" s="6">
        <f ca="1">('TE BE'!$AB$41+'TE BF_350'!$AB$41+'TE CVA'!$AB$41)*1</f>
        <v>247.20000000000002</v>
      </c>
      <c r="AB790" s="6">
        <f>$K$790*$V$790</f>
        <v>0</v>
      </c>
      <c r="AC790" s="6">
        <f>$M$790*$W$790</f>
        <v>6550.9145399999998</v>
      </c>
      <c r="AD790" s="6">
        <f>$O$790*$X$790</f>
        <v>8399.0307200000007</v>
      </c>
      <c r="AE790" s="6">
        <f>$K$790*$Y$790</f>
        <v>0</v>
      </c>
      <c r="AF790" s="6">
        <f ca="1">$M$790*$Z$790</f>
        <v>7718.2260799999995</v>
      </c>
      <c r="AG790" s="6">
        <f ca="1">$O$790*$AA$790</f>
        <v>7540.0944</v>
      </c>
    </row>
    <row r="791" spans="1:33" ht="11.25" customHeight="1" x14ac:dyDescent="0.25">
      <c r="A791" s="4" t="s">
        <v>21</v>
      </c>
      <c r="B791" s="4" t="s">
        <v>39</v>
      </c>
      <c r="C791" s="4" t="s">
        <v>36</v>
      </c>
      <c r="D791" s="4" t="s">
        <v>43</v>
      </c>
      <c r="E791" s="4" t="s">
        <v>25</v>
      </c>
      <c r="F791" s="4" t="s">
        <v>25</v>
      </c>
      <c r="G791" s="4" t="s">
        <v>25</v>
      </c>
      <c r="H791" s="4" t="s">
        <v>35</v>
      </c>
      <c r="I791" s="5">
        <v>44378</v>
      </c>
      <c r="J791" s="6">
        <v>0</v>
      </c>
      <c r="K791" s="6">
        <v>0</v>
      </c>
      <c r="L791" s="6">
        <v>31.99</v>
      </c>
      <c r="M791" s="6">
        <v>31.99</v>
      </c>
      <c r="N791" s="6">
        <v>31.99</v>
      </c>
      <c r="O791" s="6">
        <v>31.99</v>
      </c>
      <c r="P791" s="6">
        <v>0</v>
      </c>
      <c r="Q791" s="4" t="s">
        <v>26</v>
      </c>
      <c r="R791" s="4">
        <v>0</v>
      </c>
      <c r="S791" s="6">
        <v>0</v>
      </c>
      <c r="T791" s="6">
        <v>57</v>
      </c>
      <c r="U791" s="6">
        <v>98</v>
      </c>
      <c r="V791" s="6">
        <f>IF(ISERROR(VLOOKUP($S$791,'TAR FIN'!$A$1:$O$103,15,0)),0,VLOOKUP($S$791,'TAR FIN'!$A$1:$O$103,15,0))</f>
        <v>0</v>
      </c>
      <c r="W791" s="6">
        <f>IF(ISERROR(VLOOKUP($T$791,'TAR FIN'!$A$1:$O$103,15,0)),0,VLOOKUP($T$791,'TAR FIN'!$A$1:$O$103,15,0))</f>
        <v>214.77</v>
      </c>
      <c r="X791" s="6">
        <f>IF(ISERROR(VLOOKUP($U$791,'TAR FIN'!$A$1:$O$103,15,0)),0,VLOOKUP($U$791,'TAR FIN'!$A$1:$O$103,15,0))</f>
        <v>275.36</v>
      </c>
      <c r="Y791" s="6"/>
      <c r="Z791" s="6">
        <f ca="1">('TUSD BE'!$AM$57+'TUSD BF_350'!$AM$57+'TUSD CVA'!$AM$57)*1</f>
        <v>253.04</v>
      </c>
      <c r="AA791" s="6">
        <f ca="1">('TE BE'!$AB$41+'TE BF_350'!$AB$41+'TE CVA'!$AB$41)*1</f>
        <v>247.20000000000002</v>
      </c>
      <c r="AB791" s="6">
        <f>$K$791*$V$791</f>
        <v>0</v>
      </c>
      <c r="AC791" s="6">
        <f>$M$791*$W$791</f>
        <v>6870.4922999999999</v>
      </c>
      <c r="AD791" s="6">
        <f>$O$791*$X$791</f>
        <v>8808.7664000000004</v>
      </c>
      <c r="AE791" s="6">
        <f>$K$791*$Y$791</f>
        <v>0</v>
      </c>
      <c r="AF791" s="6">
        <f ca="1">$M$791*$Z$791</f>
        <v>8094.7495999999992</v>
      </c>
      <c r="AG791" s="6">
        <f ca="1">$O$791*$AA$791</f>
        <v>7907.9279999999999</v>
      </c>
    </row>
    <row r="792" spans="1:33" ht="11.25" customHeight="1" x14ac:dyDescent="0.25">
      <c r="A792" s="4" t="s">
        <v>21</v>
      </c>
      <c r="B792" s="4" t="s">
        <v>39</v>
      </c>
      <c r="C792" s="4" t="s">
        <v>36</v>
      </c>
      <c r="D792" s="4" t="s">
        <v>43</v>
      </c>
      <c r="E792" s="4" t="s">
        <v>25</v>
      </c>
      <c r="F792" s="4" t="s">
        <v>25</v>
      </c>
      <c r="G792" s="4" t="s">
        <v>25</v>
      </c>
      <c r="H792" s="4" t="s">
        <v>35</v>
      </c>
      <c r="I792" s="5">
        <v>44409</v>
      </c>
      <c r="J792" s="6">
        <v>0</v>
      </c>
      <c r="K792" s="6">
        <v>0</v>
      </c>
      <c r="L792" s="6">
        <v>32.703000000000003</v>
      </c>
      <c r="M792" s="6">
        <v>32.703000000000003</v>
      </c>
      <c r="N792" s="6">
        <v>32.703000000000003</v>
      </c>
      <c r="O792" s="6">
        <v>32.703000000000003</v>
      </c>
      <c r="P792" s="6">
        <v>0</v>
      </c>
      <c r="Q792" s="4" t="s">
        <v>26</v>
      </c>
      <c r="R792" s="4">
        <v>0</v>
      </c>
      <c r="S792" s="6">
        <v>0</v>
      </c>
      <c r="T792" s="6">
        <v>57</v>
      </c>
      <c r="U792" s="6">
        <v>98</v>
      </c>
      <c r="V792" s="6">
        <f>IF(ISERROR(VLOOKUP($S$792,'TAR FIN'!$A$1:$O$103,15,0)),0,VLOOKUP($S$792,'TAR FIN'!$A$1:$O$103,15,0))</f>
        <v>0</v>
      </c>
      <c r="W792" s="6">
        <f>IF(ISERROR(VLOOKUP($T$792,'TAR FIN'!$A$1:$O$103,15,0)),0,VLOOKUP($T$792,'TAR FIN'!$A$1:$O$103,15,0))</f>
        <v>214.77</v>
      </c>
      <c r="X792" s="6">
        <f>IF(ISERROR(VLOOKUP($U$792,'TAR FIN'!$A$1:$O$103,15,0)),0,VLOOKUP($U$792,'TAR FIN'!$A$1:$O$103,15,0))</f>
        <v>275.36</v>
      </c>
      <c r="Y792" s="6"/>
      <c r="Z792" s="6">
        <f ca="1">('TUSD BE'!$AM$57+'TUSD BF_350'!$AM$57+'TUSD CVA'!$AM$57)*1</f>
        <v>253.04</v>
      </c>
      <c r="AA792" s="6">
        <f ca="1">('TE BE'!$AB$41+'TE BF_350'!$AB$41+'TE CVA'!$AB$41)*1</f>
        <v>247.20000000000002</v>
      </c>
      <c r="AB792" s="6">
        <f>$K$792*$V$792</f>
        <v>0</v>
      </c>
      <c r="AC792" s="6">
        <f>$M$792*$W$792</f>
        <v>7023.6233100000009</v>
      </c>
      <c r="AD792" s="6">
        <f>$O$792*$X$792</f>
        <v>9005.0980800000016</v>
      </c>
      <c r="AE792" s="6">
        <f>$K$792*$Y$792</f>
        <v>0</v>
      </c>
      <c r="AF792" s="6">
        <f ca="1">$M$792*$Z$792</f>
        <v>8275.1671200000001</v>
      </c>
      <c r="AG792" s="6">
        <f ca="1">$O$792*$AA$792</f>
        <v>8084.1816000000017</v>
      </c>
    </row>
    <row r="793" spans="1:33" ht="11.25" customHeight="1" x14ac:dyDescent="0.25">
      <c r="A793" s="4" t="s">
        <v>21</v>
      </c>
      <c r="B793" s="4" t="s">
        <v>39</v>
      </c>
      <c r="C793" s="4" t="s">
        <v>36</v>
      </c>
      <c r="D793" s="4" t="s">
        <v>43</v>
      </c>
      <c r="E793" s="4" t="s">
        <v>25</v>
      </c>
      <c r="F793" s="4" t="s">
        <v>25</v>
      </c>
      <c r="G793" s="4" t="s">
        <v>25</v>
      </c>
      <c r="H793" s="4" t="s">
        <v>35</v>
      </c>
      <c r="I793" s="5">
        <v>44440</v>
      </c>
      <c r="J793" s="6">
        <v>0</v>
      </c>
      <c r="K793" s="6">
        <v>0</v>
      </c>
      <c r="L793" s="6">
        <v>34.878</v>
      </c>
      <c r="M793" s="6">
        <v>34.878</v>
      </c>
      <c r="N793" s="6">
        <v>34.878</v>
      </c>
      <c r="O793" s="6">
        <v>34.878</v>
      </c>
      <c r="P793" s="6">
        <v>0</v>
      </c>
      <c r="Q793" s="4" t="s">
        <v>26</v>
      </c>
      <c r="R793" s="4">
        <v>0</v>
      </c>
      <c r="S793" s="6">
        <v>0</v>
      </c>
      <c r="T793" s="6">
        <v>57</v>
      </c>
      <c r="U793" s="6">
        <v>98</v>
      </c>
      <c r="V793" s="6">
        <f>IF(ISERROR(VLOOKUP($S$793,'TAR FIN'!$A$1:$O$103,15,0)),0,VLOOKUP($S$793,'TAR FIN'!$A$1:$O$103,15,0))</f>
        <v>0</v>
      </c>
      <c r="W793" s="6">
        <f>IF(ISERROR(VLOOKUP($T$793,'TAR FIN'!$A$1:$O$103,15,0)),0,VLOOKUP($T$793,'TAR FIN'!$A$1:$O$103,15,0))</f>
        <v>214.77</v>
      </c>
      <c r="X793" s="6">
        <f>IF(ISERROR(VLOOKUP($U$793,'TAR FIN'!$A$1:$O$103,15,0)),0,VLOOKUP($U$793,'TAR FIN'!$A$1:$O$103,15,0))</f>
        <v>275.36</v>
      </c>
      <c r="Y793" s="6"/>
      <c r="Z793" s="6">
        <f ca="1">('TUSD BE'!$AM$57+'TUSD BF_350'!$AM$57+'TUSD CVA'!$AM$57)*1</f>
        <v>253.04</v>
      </c>
      <c r="AA793" s="6">
        <f ca="1">('TE BE'!$AB$41+'TE BF_350'!$AB$41+'TE CVA'!$AB$41)*1</f>
        <v>247.20000000000002</v>
      </c>
      <c r="AB793" s="6">
        <f>$K$793*$V$793</f>
        <v>0</v>
      </c>
      <c r="AC793" s="6">
        <f>$M$793*$W$793</f>
        <v>7490.7480600000008</v>
      </c>
      <c r="AD793" s="6">
        <f>$O$793*$X$793</f>
        <v>9604.006080000001</v>
      </c>
      <c r="AE793" s="6">
        <f>$K$793*$Y$793</f>
        <v>0</v>
      </c>
      <c r="AF793" s="6">
        <f ca="1">$M$793*$Z$793</f>
        <v>8825.5291199999992</v>
      </c>
      <c r="AG793" s="6">
        <f ca="1">$O$793*$AA$793</f>
        <v>8621.8415999999997</v>
      </c>
    </row>
    <row r="794" spans="1:33" ht="11.25" customHeight="1" x14ac:dyDescent="0.25">
      <c r="A794" s="4" t="s">
        <v>21</v>
      </c>
      <c r="B794" s="4" t="s">
        <v>39</v>
      </c>
      <c r="C794" s="4" t="s">
        <v>36</v>
      </c>
      <c r="D794" s="4" t="s">
        <v>43</v>
      </c>
      <c r="E794" s="4" t="s">
        <v>25</v>
      </c>
      <c r="F794" s="4" t="s">
        <v>25</v>
      </c>
      <c r="G794" s="4" t="s">
        <v>25</v>
      </c>
      <c r="H794" s="4" t="s">
        <v>35</v>
      </c>
      <c r="I794" s="5">
        <v>44470</v>
      </c>
      <c r="J794" s="6">
        <v>0</v>
      </c>
      <c r="K794" s="6">
        <v>0</v>
      </c>
      <c r="L794" s="6">
        <v>35.561</v>
      </c>
      <c r="M794" s="6">
        <v>35.561</v>
      </c>
      <c r="N794" s="6">
        <v>35.561</v>
      </c>
      <c r="O794" s="6">
        <v>35.561</v>
      </c>
      <c r="P794" s="6">
        <v>0</v>
      </c>
      <c r="Q794" s="4" t="s">
        <v>26</v>
      </c>
      <c r="R794" s="4">
        <v>0</v>
      </c>
      <c r="S794" s="6">
        <v>0</v>
      </c>
      <c r="T794" s="6">
        <v>57</v>
      </c>
      <c r="U794" s="6">
        <v>98</v>
      </c>
      <c r="V794" s="6">
        <f>IF(ISERROR(VLOOKUP($S$794,'TAR FIN'!$A$1:$O$103,15,0)),0,VLOOKUP($S$794,'TAR FIN'!$A$1:$O$103,15,0))</f>
        <v>0</v>
      </c>
      <c r="W794" s="6">
        <f>IF(ISERROR(VLOOKUP($T$794,'TAR FIN'!$A$1:$O$103,15,0)),0,VLOOKUP($T$794,'TAR FIN'!$A$1:$O$103,15,0))</f>
        <v>214.77</v>
      </c>
      <c r="X794" s="6">
        <f>IF(ISERROR(VLOOKUP($U$794,'TAR FIN'!$A$1:$O$103,15,0)),0,VLOOKUP($U$794,'TAR FIN'!$A$1:$O$103,15,0))</f>
        <v>275.36</v>
      </c>
      <c r="Y794" s="6"/>
      <c r="Z794" s="6">
        <f ca="1">('TUSD BE'!$AM$57+'TUSD BF_350'!$AM$57+'TUSD CVA'!$AM$57)*1</f>
        <v>253.04</v>
      </c>
      <c r="AA794" s="6">
        <f ca="1">('TE BE'!$AB$41+'TE BF_350'!$AB$41+'TE CVA'!$AB$41)*1</f>
        <v>247.20000000000002</v>
      </c>
      <c r="AB794" s="6">
        <f>$K$794*$V$794</f>
        <v>0</v>
      </c>
      <c r="AC794" s="6">
        <f>$M$794*$W$794</f>
        <v>7637.4359700000005</v>
      </c>
      <c r="AD794" s="6">
        <f>$O$794*$X$794</f>
        <v>9792.0769600000003</v>
      </c>
      <c r="AE794" s="6">
        <f>$K$794*$Y$794</f>
        <v>0</v>
      </c>
      <c r="AF794" s="6">
        <f ca="1">$M$794*$Z$794</f>
        <v>8998.3554399999994</v>
      </c>
      <c r="AG794" s="6">
        <f ca="1">$O$794*$AA$794</f>
        <v>8790.6792000000005</v>
      </c>
    </row>
    <row r="795" spans="1:33" ht="11.25" customHeight="1" x14ac:dyDescent="0.25">
      <c r="A795" s="4" t="s">
        <v>21</v>
      </c>
      <c r="B795" s="4" t="s">
        <v>39</v>
      </c>
      <c r="C795" s="4" t="s">
        <v>36</v>
      </c>
      <c r="D795" s="4" t="s">
        <v>43</v>
      </c>
      <c r="E795" s="4" t="s">
        <v>25</v>
      </c>
      <c r="F795" s="4" t="s">
        <v>25</v>
      </c>
      <c r="G795" s="4" t="s">
        <v>25</v>
      </c>
      <c r="H795" s="4" t="s">
        <v>35</v>
      </c>
      <c r="I795" s="5">
        <v>44501</v>
      </c>
      <c r="J795" s="6">
        <v>0</v>
      </c>
      <c r="K795" s="6">
        <v>0</v>
      </c>
      <c r="L795" s="6">
        <v>34.975999999999999</v>
      </c>
      <c r="M795" s="6">
        <v>34.975999999999999</v>
      </c>
      <c r="N795" s="6">
        <v>34.975999999999999</v>
      </c>
      <c r="O795" s="6">
        <v>34.975999999999999</v>
      </c>
      <c r="P795" s="6">
        <v>0</v>
      </c>
      <c r="Q795" s="4" t="s">
        <v>26</v>
      </c>
      <c r="R795" s="4">
        <v>0</v>
      </c>
      <c r="S795" s="6">
        <v>0</v>
      </c>
      <c r="T795" s="6">
        <v>57</v>
      </c>
      <c r="U795" s="6">
        <v>98</v>
      </c>
      <c r="V795" s="6">
        <f>IF(ISERROR(VLOOKUP($S$795,'TAR FIN'!$A$1:$O$103,15,0)),0,VLOOKUP($S$795,'TAR FIN'!$A$1:$O$103,15,0))</f>
        <v>0</v>
      </c>
      <c r="W795" s="6">
        <f>IF(ISERROR(VLOOKUP($T$795,'TAR FIN'!$A$1:$O$103,15,0)),0,VLOOKUP($T$795,'TAR FIN'!$A$1:$O$103,15,0))</f>
        <v>214.77</v>
      </c>
      <c r="X795" s="6">
        <f>IF(ISERROR(VLOOKUP($U$795,'TAR FIN'!$A$1:$O$103,15,0)),0,VLOOKUP($U$795,'TAR FIN'!$A$1:$O$103,15,0))</f>
        <v>275.36</v>
      </c>
      <c r="Y795" s="6"/>
      <c r="Z795" s="6">
        <f ca="1">('TUSD BE'!$AM$57+'TUSD BF_350'!$AM$57+'TUSD CVA'!$AM$57)*1</f>
        <v>253.04</v>
      </c>
      <c r="AA795" s="6">
        <f ca="1">('TE BE'!$AB$41+'TE BF_350'!$AB$41+'TE CVA'!$AB$41)*1</f>
        <v>247.20000000000002</v>
      </c>
      <c r="AB795" s="6">
        <f>$K$795*$V$795</f>
        <v>0</v>
      </c>
      <c r="AC795" s="6">
        <f>$M$795*$W$795</f>
        <v>7511.7955200000006</v>
      </c>
      <c r="AD795" s="6">
        <f>$O$795*$X$795</f>
        <v>9630.99136</v>
      </c>
      <c r="AE795" s="6">
        <f>$K$795*$Y$795</f>
        <v>0</v>
      </c>
      <c r="AF795" s="6">
        <f ca="1">$M$795*$Z$795</f>
        <v>8850.3270400000001</v>
      </c>
      <c r="AG795" s="6">
        <f ca="1">$O$795*$AA$795</f>
        <v>8646.0671999999995</v>
      </c>
    </row>
    <row r="796" spans="1:33" ht="11.25" customHeight="1" x14ac:dyDescent="0.25">
      <c r="A796" s="4" t="s">
        <v>21</v>
      </c>
      <c r="B796" s="4" t="s">
        <v>39</v>
      </c>
      <c r="C796" s="4" t="s">
        <v>36</v>
      </c>
      <c r="D796" s="4" t="s">
        <v>43</v>
      </c>
      <c r="E796" s="4" t="s">
        <v>25</v>
      </c>
      <c r="F796" s="4" t="s">
        <v>25</v>
      </c>
      <c r="G796" s="4" t="s">
        <v>25</v>
      </c>
      <c r="H796" s="4" t="s">
        <v>35</v>
      </c>
      <c r="I796" s="5">
        <v>44531</v>
      </c>
      <c r="J796" s="6">
        <v>0</v>
      </c>
      <c r="K796" s="6">
        <v>0</v>
      </c>
      <c r="L796" s="6">
        <v>39.262999999999998</v>
      </c>
      <c r="M796" s="6">
        <v>39.262999999999998</v>
      </c>
      <c r="N796" s="6">
        <v>39.262999999999998</v>
      </c>
      <c r="O796" s="6">
        <v>39.262999999999998</v>
      </c>
      <c r="P796" s="6">
        <v>0</v>
      </c>
      <c r="Q796" s="4" t="s">
        <v>26</v>
      </c>
      <c r="R796" s="4">
        <v>0</v>
      </c>
      <c r="S796" s="6">
        <v>0</v>
      </c>
      <c r="T796" s="6">
        <v>57</v>
      </c>
      <c r="U796" s="6">
        <v>98</v>
      </c>
      <c r="V796" s="6">
        <f>IF(ISERROR(VLOOKUP($S$796,'TAR FIN'!$A$1:$O$103,15,0)),0,VLOOKUP($S$796,'TAR FIN'!$A$1:$O$103,15,0))</f>
        <v>0</v>
      </c>
      <c r="W796" s="6">
        <f>IF(ISERROR(VLOOKUP($T$796,'TAR FIN'!$A$1:$O$103,15,0)),0,VLOOKUP($T$796,'TAR FIN'!$A$1:$O$103,15,0))</f>
        <v>214.77</v>
      </c>
      <c r="X796" s="6">
        <f>IF(ISERROR(VLOOKUP($U$796,'TAR FIN'!$A$1:$O$103,15,0)),0,VLOOKUP($U$796,'TAR FIN'!$A$1:$O$103,15,0))</f>
        <v>275.36</v>
      </c>
      <c r="Y796" s="6"/>
      <c r="Z796" s="6">
        <f ca="1">('TUSD BE'!$AM$57+'TUSD BF_350'!$AM$57+'TUSD CVA'!$AM$57)*1</f>
        <v>253.04</v>
      </c>
      <c r="AA796" s="6">
        <f ca="1">('TE BE'!$AB$41+'TE BF_350'!$AB$41+'TE CVA'!$AB$41)*1</f>
        <v>247.20000000000002</v>
      </c>
      <c r="AB796" s="6">
        <f>$K$796*$V$796</f>
        <v>0</v>
      </c>
      <c r="AC796" s="6">
        <f>$M$796*$W$796</f>
        <v>8432.5145100000009</v>
      </c>
      <c r="AD796" s="6">
        <f>$O$796*$X$796</f>
        <v>10811.45968</v>
      </c>
      <c r="AE796" s="6">
        <f>$K$796*$Y$796</f>
        <v>0</v>
      </c>
      <c r="AF796" s="6">
        <f ca="1">$M$796*$Z$796</f>
        <v>9935.10952</v>
      </c>
      <c r="AG796" s="6">
        <f ca="1">$O$796*$AA$796</f>
        <v>9705.8135999999995</v>
      </c>
    </row>
    <row r="797" spans="1:33" ht="11.25" customHeight="1" x14ac:dyDescent="0.25">
      <c r="A797" s="4" t="s">
        <v>21</v>
      </c>
      <c r="B797" s="4" t="s">
        <v>39</v>
      </c>
      <c r="C797" s="4" t="s">
        <v>36</v>
      </c>
      <c r="D797" s="4" t="s">
        <v>43</v>
      </c>
      <c r="E797" s="4" t="s">
        <v>25</v>
      </c>
      <c r="F797" s="4" t="s">
        <v>25</v>
      </c>
      <c r="G797" s="4" t="s">
        <v>25</v>
      </c>
      <c r="H797" s="4" t="s">
        <v>35</v>
      </c>
      <c r="I797" s="5">
        <v>44562</v>
      </c>
      <c r="J797" s="6">
        <v>0</v>
      </c>
      <c r="K797" s="6">
        <v>0</v>
      </c>
      <c r="L797" s="6">
        <v>35.311999999999998</v>
      </c>
      <c r="M797" s="6">
        <v>35.311999999999998</v>
      </c>
      <c r="N797" s="6">
        <v>35.311999999999998</v>
      </c>
      <c r="O797" s="6">
        <v>35.311999999999998</v>
      </c>
      <c r="P797" s="6">
        <v>0</v>
      </c>
      <c r="Q797" s="4" t="s">
        <v>26</v>
      </c>
      <c r="R797" s="4">
        <v>0</v>
      </c>
      <c r="S797" s="6">
        <v>0</v>
      </c>
      <c r="T797" s="6">
        <v>57</v>
      </c>
      <c r="U797" s="6">
        <v>98</v>
      </c>
      <c r="V797" s="6">
        <f>IF(ISERROR(VLOOKUP($S$797,'TAR FIN'!$A$1:$O$103,15,0)),0,VLOOKUP($S$797,'TAR FIN'!$A$1:$O$103,15,0))</f>
        <v>0</v>
      </c>
      <c r="W797" s="6">
        <f>IF(ISERROR(VLOOKUP($T$797,'TAR FIN'!$A$1:$O$103,15,0)),0,VLOOKUP($T$797,'TAR FIN'!$A$1:$O$103,15,0))</f>
        <v>214.77</v>
      </c>
      <c r="X797" s="6">
        <f>IF(ISERROR(VLOOKUP($U$797,'TAR FIN'!$A$1:$O$103,15,0)),0,VLOOKUP($U$797,'TAR FIN'!$A$1:$O$103,15,0))</f>
        <v>275.36</v>
      </c>
      <c r="Y797" s="6"/>
      <c r="Z797" s="6">
        <f ca="1">('TUSD BE'!$AM$57+'TUSD BF_350'!$AM$57+'TUSD CVA'!$AM$57)*1</f>
        <v>253.04</v>
      </c>
      <c r="AA797" s="6">
        <f ca="1">('TE BE'!$AB$41+'TE BF_350'!$AB$41+'TE CVA'!$AB$41)*1</f>
        <v>247.20000000000002</v>
      </c>
      <c r="AB797" s="6">
        <f>$K$797*$V$797</f>
        <v>0</v>
      </c>
      <c r="AC797" s="6">
        <f>$M$797*$W$797</f>
        <v>7583.9582399999999</v>
      </c>
      <c r="AD797" s="6">
        <f>$O$797*$X$797</f>
        <v>9723.5123199999998</v>
      </c>
      <c r="AE797" s="6">
        <f>$K$797*$Y$797</f>
        <v>0</v>
      </c>
      <c r="AF797" s="6">
        <f ca="1">$M$797*$Z$797</f>
        <v>8935.3484799999987</v>
      </c>
      <c r="AG797" s="6">
        <f ca="1">$O$797*$AA$797</f>
        <v>8729.1263999999992</v>
      </c>
    </row>
    <row r="798" spans="1:33" ht="11.25" customHeight="1" x14ac:dyDescent="0.25">
      <c r="A798" s="4" t="s">
        <v>21</v>
      </c>
      <c r="B798" s="4" t="s">
        <v>39</v>
      </c>
      <c r="C798" s="4" t="s">
        <v>36</v>
      </c>
      <c r="D798" s="4" t="s">
        <v>43</v>
      </c>
      <c r="E798" s="4" t="s">
        <v>25</v>
      </c>
      <c r="F798" s="4" t="s">
        <v>25</v>
      </c>
      <c r="G798" s="4" t="s">
        <v>25</v>
      </c>
      <c r="H798" s="4" t="s">
        <v>35</v>
      </c>
      <c r="I798" s="5">
        <v>44593</v>
      </c>
      <c r="J798" s="6">
        <v>0</v>
      </c>
      <c r="K798" s="6">
        <v>0</v>
      </c>
      <c r="L798" s="6">
        <v>40.908000000000001</v>
      </c>
      <c r="M798" s="6">
        <v>40.908000000000001</v>
      </c>
      <c r="N798" s="6">
        <v>40.908000000000001</v>
      </c>
      <c r="O798" s="6">
        <v>40.908000000000001</v>
      </c>
      <c r="P798" s="6">
        <v>0</v>
      </c>
      <c r="Q798" s="4" t="s">
        <v>26</v>
      </c>
      <c r="R798" s="4">
        <v>0</v>
      </c>
      <c r="S798" s="6">
        <v>0</v>
      </c>
      <c r="T798" s="6">
        <v>57</v>
      </c>
      <c r="U798" s="6">
        <v>98</v>
      </c>
      <c r="V798" s="6">
        <f>IF(ISERROR(VLOOKUP($S$798,'TAR FIN'!$A$1:$O$103,15,0)),0,VLOOKUP($S$798,'TAR FIN'!$A$1:$O$103,15,0))</f>
        <v>0</v>
      </c>
      <c r="W798" s="6">
        <f>IF(ISERROR(VLOOKUP($T$798,'TAR FIN'!$A$1:$O$103,15,0)),0,VLOOKUP($T$798,'TAR FIN'!$A$1:$O$103,15,0))</f>
        <v>214.77</v>
      </c>
      <c r="X798" s="6">
        <f>IF(ISERROR(VLOOKUP($U$798,'TAR FIN'!$A$1:$O$103,15,0)),0,VLOOKUP($U$798,'TAR FIN'!$A$1:$O$103,15,0))</f>
        <v>275.36</v>
      </c>
      <c r="Y798" s="6"/>
      <c r="Z798" s="6">
        <f ca="1">('TUSD BE'!$AM$57+'TUSD BF_350'!$AM$57+'TUSD CVA'!$AM$57)*1</f>
        <v>253.04</v>
      </c>
      <c r="AA798" s="6">
        <f ca="1">('TE BE'!$AB$41+'TE BF_350'!$AB$41+'TE CVA'!$AB$41)*1</f>
        <v>247.20000000000002</v>
      </c>
      <c r="AB798" s="6">
        <f>$K$798*$V$798</f>
        <v>0</v>
      </c>
      <c r="AC798" s="6">
        <f>$M$798*$W$798</f>
        <v>8785.8111600000011</v>
      </c>
      <c r="AD798" s="6">
        <f>$O$798*$X$798</f>
        <v>11264.426880000001</v>
      </c>
      <c r="AE798" s="6">
        <f>$K$798*$Y$798</f>
        <v>0</v>
      </c>
      <c r="AF798" s="6">
        <f ca="1">$M$798*$Z$798</f>
        <v>10351.36032</v>
      </c>
      <c r="AG798" s="6">
        <f ca="1">$O$798*$AA$798</f>
        <v>10112.457600000002</v>
      </c>
    </row>
    <row r="799" spans="1:33" ht="11.25" customHeight="1" x14ac:dyDescent="0.25">
      <c r="A799" s="4" t="s">
        <v>21</v>
      </c>
      <c r="B799" s="4" t="s">
        <v>39</v>
      </c>
      <c r="C799" s="4" t="s">
        <v>36</v>
      </c>
      <c r="D799" s="4" t="s">
        <v>43</v>
      </c>
      <c r="E799" s="4" t="s">
        <v>25</v>
      </c>
      <c r="F799" s="4" t="s">
        <v>25</v>
      </c>
      <c r="G799" s="4" t="s">
        <v>25</v>
      </c>
      <c r="H799" s="4" t="s">
        <v>35</v>
      </c>
      <c r="I799" s="5">
        <v>44621</v>
      </c>
      <c r="J799" s="6">
        <v>0</v>
      </c>
      <c r="K799" s="6">
        <v>0</v>
      </c>
      <c r="L799" s="6">
        <v>37.264000000000003</v>
      </c>
      <c r="M799" s="6">
        <v>37.264000000000003</v>
      </c>
      <c r="N799" s="6">
        <v>37.264000000000003</v>
      </c>
      <c r="O799" s="6">
        <v>37.264000000000003</v>
      </c>
      <c r="P799" s="6">
        <v>0</v>
      </c>
      <c r="Q799" s="4" t="s">
        <v>26</v>
      </c>
      <c r="R799" s="4">
        <v>0</v>
      </c>
      <c r="S799" s="6">
        <v>0</v>
      </c>
      <c r="T799" s="6">
        <v>57</v>
      </c>
      <c r="U799" s="6">
        <v>98</v>
      </c>
      <c r="V799" s="6">
        <f>IF(ISERROR(VLOOKUP($S$799,'TAR FIN'!$A$1:$O$103,15,0)),0,VLOOKUP($S$799,'TAR FIN'!$A$1:$O$103,15,0))</f>
        <v>0</v>
      </c>
      <c r="W799" s="6">
        <f>IF(ISERROR(VLOOKUP($T$799,'TAR FIN'!$A$1:$O$103,15,0)),0,VLOOKUP($T$799,'TAR FIN'!$A$1:$O$103,15,0))</f>
        <v>214.77</v>
      </c>
      <c r="X799" s="6">
        <f>IF(ISERROR(VLOOKUP($U$799,'TAR FIN'!$A$1:$O$103,15,0)),0,VLOOKUP($U$799,'TAR FIN'!$A$1:$O$103,15,0))</f>
        <v>275.36</v>
      </c>
      <c r="Y799" s="6"/>
      <c r="Z799" s="6">
        <f ca="1">('TUSD BE'!$AM$57+'TUSD BF_350'!$AM$57+'TUSD CVA'!$AM$57)*1</f>
        <v>253.04</v>
      </c>
      <c r="AA799" s="6">
        <f ca="1">('TE BE'!$AB$41+'TE BF_350'!$AB$41+'TE CVA'!$AB$41)*1</f>
        <v>247.20000000000002</v>
      </c>
      <c r="AB799" s="6">
        <f>$K$799*$V$799</f>
        <v>0</v>
      </c>
      <c r="AC799" s="6">
        <f>$M$799*$W$799</f>
        <v>8003.1892800000014</v>
      </c>
      <c r="AD799" s="6">
        <f>$O$799*$X$799</f>
        <v>10261.015040000002</v>
      </c>
      <c r="AE799" s="6">
        <f>$K$799*$Y$799</f>
        <v>0</v>
      </c>
      <c r="AF799" s="6">
        <f ca="1">$M$799*$Z$799</f>
        <v>9429.2825599999996</v>
      </c>
      <c r="AG799" s="6">
        <f ca="1">$O$799*$AA$799</f>
        <v>9211.6608000000015</v>
      </c>
    </row>
    <row r="800" spans="1:33" ht="11.25" customHeight="1" x14ac:dyDescent="0.25">
      <c r="A800" s="4" t="s">
        <v>21</v>
      </c>
      <c r="B800" s="4" t="s">
        <v>39</v>
      </c>
      <c r="C800" s="4" t="s">
        <v>36</v>
      </c>
      <c r="D800" s="4" t="s">
        <v>43</v>
      </c>
      <c r="E800" s="4" t="s">
        <v>25</v>
      </c>
      <c r="F800" s="4" t="s">
        <v>25</v>
      </c>
      <c r="G800" s="4" t="s">
        <v>25</v>
      </c>
      <c r="H800" s="4" t="s">
        <v>35</v>
      </c>
      <c r="I800" s="5">
        <v>44652</v>
      </c>
      <c r="J800" s="6">
        <v>0</v>
      </c>
      <c r="K800" s="6">
        <v>0</v>
      </c>
      <c r="L800" s="6">
        <v>30.814</v>
      </c>
      <c r="M800" s="6">
        <v>30.814</v>
      </c>
      <c r="N800" s="6">
        <v>30.814</v>
      </c>
      <c r="O800" s="6">
        <v>30.814</v>
      </c>
      <c r="P800" s="6">
        <v>0</v>
      </c>
      <c r="Q800" s="4" t="s">
        <v>26</v>
      </c>
      <c r="R800" s="4">
        <v>0</v>
      </c>
      <c r="S800" s="6">
        <v>0</v>
      </c>
      <c r="T800" s="6">
        <v>57</v>
      </c>
      <c r="U800" s="6">
        <v>98</v>
      </c>
      <c r="V800" s="6">
        <f>IF(ISERROR(VLOOKUP($S$800,'TAR FIN'!$A$1:$O$103,15,0)),0,VLOOKUP($S$800,'TAR FIN'!$A$1:$O$103,15,0))</f>
        <v>0</v>
      </c>
      <c r="W800" s="6">
        <f>IF(ISERROR(VLOOKUP($T$800,'TAR FIN'!$A$1:$O$103,15,0)),0,VLOOKUP($T$800,'TAR FIN'!$A$1:$O$103,15,0))</f>
        <v>214.77</v>
      </c>
      <c r="X800" s="6">
        <f>IF(ISERROR(VLOOKUP($U$800,'TAR FIN'!$A$1:$O$103,15,0)),0,VLOOKUP($U$800,'TAR FIN'!$A$1:$O$103,15,0))</f>
        <v>275.36</v>
      </c>
      <c r="Y800" s="6"/>
      <c r="Z800" s="6">
        <f ca="1">('TUSD BE'!$AM$57+'TUSD BF_350'!$AM$57+'TUSD CVA'!$AM$57)*1</f>
        <v>253.04</v>
      </c>
      <c r="AA800" s="6">
        <f ca="1">('TE BE'!$AB$41+'TE BF_350'!$AB$41+'TE CVA'!$AB$41)*1</f>
        <v>247.20000000000002</v>
      </c>
      <c r="AB800" s="6">
        <f>$K$800*$V$800</f>
        <v>0</v>
      </c>
      <c r="AC800" s="6">
        <f>$M$800*$W$800</f>
        <v>6617.9227799999999</v>
      </c>
      <c r="AD800" s="6">
        <f>$O$800*$X$800</f>
        <v>8484.9430400000001</v>
      </c>
      <c r="AE800" s="6">
        <f>$K$800*$Y$800</f>
        <v>0</v>
      </c>
      <c r="AF800" s="6">
        <f ca="1">$M$800*$Z$800</f>
        <v>7797.1745599999995</v>
      </c>
      <c r="AG800" s="6">
        <f ca="1">$O$800*$AA$800</f>
        <v>7617.220800000001</v>
      </c>
    </row>
    <row r="801" spans="1:33" ht="11.25" customHeight="1" x14ac:dyDescent="0.25">
      <c r="A801" s="4" t="s">
        <v>28</v>
      </c>
      <c r="B801" s="4" t="s">
        <v>39</v>
      </c>
      <c r="C801" s="4" t="s">
        <v>36</v>
      </c>
      <c r="D801" s="4" t="s">
        <v>43</v>
      </c>
      <c r="E801" s="4" t="s">
        <v>25</v>
      </c>
      <c r="F801" s="4" t="s">
        <v>25</v>
      </c>
      <c r="G801" s="4" t="s">
        <v>25</v>
      </c>
      <c r="H801" s="4" t="s">
        <v>35</v>
      </c>
      <c r="I801" s="5">
        <v>44652</v>
      </c>
      <c r="J801" s="6">
        <v>0</v>
      </c>
      <c r="K801" s="6">
        <v>0</v>
      </c>
      <c r="L801" s="6">
        <v>0.23</v>
      </c>
      <c r="M801" s="6">
        <v>0.23</v>
      </c>
      <c r="N801" s="6">
        <v>0.23</v>
      </c>
      <c r="O801" s="6">
        <v>0.23</v>
      </c>
      <c r="P801" s="6">
        <v>0</v>
      </c>
      <c r="Q801" s="4" t="s">
        <v>26</v>
      </c>
      <c r="R801" s="4">
        <v>0</v>
      </c>
      <c r="S801" s="6">
        <v>0</v>
      </c>
      <c r="T801" s="6">
        <v>57</v>
      </c>
      <c r="U801" s="6">
        <v>98</v>
      </c>
      <c r="V801" s="6">
        <f>IF(ISERROR(VLOOKUP($S$801,'TAR FIN'!$A$1:$O$103,15,0)),0,VLOOKUP($S$801,'TAR FIN'!$A$1:$O$103,15,0))</f>
        <v>0</v>
      </c>
      <c r="W801" s="6">
        <f>IF(ISERROR(VLOOKUP($T$801,'TAR FIN'!$A$1:$O$103,15,0)),0,VLOOKUP($T$801,'TAR FIN'!$A$1:$O$103,15,0))</f>
        <v>214.77</v>
      </c>
      <c r="X801" s="6">
        <f>IF(ISERROR(VLOOKUP($U$801,'TAR FIN'!$A$1:$O$103,15,0)),0,VLOOKUP($U$801,'TAR FIN'!$A$1:$O$103,15,0))</f>
        <v>275.36</v>
      </c>
      <c r="Y801" s="6"/>
      <c r="Z801" s="6">
        <f ca="1">('TUSD BE'!$AM$57+'TUSD BF_350'!$AM$57+'TUSD CVA'!$AM$57)*1</f>
        <v>253.04</v>
      </c>
      <c r="AA801" s="6">
        <f ca="1">('TE BE'!$AB$41+'TE BF_350'!$AB$41+'TE CVA'!$AB$41)*1</f>
        <v>247.20000000000002</v>
      </c>
      <c r="AB801" s="6">
        <f>$K$801*$V$801</f>
        <v>0</v>
      </c>
      <c r="AC801" s="6">
        <f>$M$801*$W$801</f>
        <v>49.397100000000002</v>
      </c>
      <c r="AD801" s="6">
        <f>$O$801*$X$801</f>
        <v>63.332800000000006</v>
      </c>
      <c r="AE801" s="6">
        <f>$K$801*$Y$801</f>
        <v>0</v>
      </c>
      <c r="AF801" s="6">
        <f ca="1">$M$801*$Z$801</f>
        <v>58.199199999999998</v>
      </c>
      <c r="AG801" s="6">
        <f ca="1">$O$801*$AA$801</f>
        <v>56.856000000000009</v>
      </c>
    </row>
    <row r="802" spans="1:33" ht="11.25" customHeight="1" x14ac:dyDescent="0.25">
      <c r="A802" s="4" t="s">
        <v>21</v>
      </c>
      <c r="B802" s="4" t="s">
        <v>39</v>
      </c>
      <c r="C802" s="4" t="s">
        <v>36</v>
      </c>
      <c r="D802" s="4" t="s">
        <v>43</v>
      </c>
      <c r="E802" s="4" t="s">
        <v>25</v>
      </c>
      <c r="F802" s="4" t="s">
        <v>25</v>
      </c>
      <c r="G802" s="4" t="s">
        <v>25</v>
      </c>
      <c r="H802" s="4" t="s">
        <v>35</v>
      </c>
      <c r="I802" s="5">
        <v>44682</v>
      </c>
      <c r="J802" s="6">
        <v>0</v>
      </c>
      <c r="K802" s="6">
        <v>0</v>
      </c>
      <c r="L802" s="6">
        <v>32.301000000000002</v>
      </c>
      <c r="M802" s="6">
        <v>32.301000000000002</v>
      </c>
      <c r="N802" s="6">
        <v>32.301000000000002</v>
      </c>
      <c r="O802" s="6">
        <v>32.301000000000002</v>
      </c>
      <c r="P802" s="6">
        <v>0</v>
      </c>
      <c r="Q802" s="4" t="s">
        <v>26</v>
      </c>
      <c r="R802" s="4">
        <v>0</v>
      </c>
      <c r="S802" s="6">
        <v>0</v>
      </c>
      <c r="T802" s="6">
        <v>57</v>
      </c>
      <c r="U802" s="6">
        <v>98</v>
      </c>
      <c r="V802" s="6">
        <f>IF(ISERROR(VLOOKUP($S$802,'TAR FIN'!$A$1:$O$103,15,0)),0,VLOOKUP($S$802,'TAR FIN'!$A$1:$O$103,15,0))</f>
        <v>0</v>
      </c>
      <c r="W802" s="6">
        <f>IF(ISERROR(VLOOKUP($T$802,'TAR FIN'!$A$1:$O$103,15,0)),0,VLOOKUP($T$802,'TAR FIN'!$A$1:$O$103,15,0))</f>
        <v>214.77</v>
      </c>
      <c r="X802" s="6">
        <f>IF(ISERROR(VLOOKUP($U$802,'TAR FIN'!$A$1:$O$103,15,0)),0,VLOOKUP($U$802,'TAR FIN'!$A$1:$O$103,15,0))</f>
        <v>275.36</v>
      </c>
      <c r="Y802" s="6"/>
      <c r="Z802" s="6">
        <f ca="1">('TUSD BE'!$AM$57+'TUSD BF_350'!$AM$57+'TUSD CVA'!$AM$57)*1</f>
        <v>253.04</v>
      </c>
      <c r="AA802" s="6">
        <f ca="1">('TE BE'!$AB$41+'TE BF_350'!$AB$41+'TE CVA'!$AB$41)*1</f>
        <v>247.20000000000002</v>
      </c>
      <c r="AB802" s="6">
        <f>$K$802*$V$802</f>
        <v>0</v>
      </c>
      <c r="AC802" s="6">
        <f>$M$802*$W$802</f>
        <v>6937.2857700000004</v>
      </c>
      <c r="AD802" s="6">
        <f>$O$802*$X$802</f>
        <v>8894.4033600000002</v>
      </c>
      <c r="AE802" s="6">
        <f>$K$802*$Y$802</f>
        <v>0</v>
      </c>
      <c r="AF802" s="6">
        <f ca="1">$M$802*$Z$802</f>
        <v>8173.4450400000005</v>
      </c>
      <c r="AG802" s="6">
        <f ca="1">$O$802*$AA$802</f>
        <v>7984.8072000000011</v>
      </c>
    </row>
    <row r="803" spans="1:33" ht="11.25" customHeight="1" x14ac:dyDescent="0.25">
      <c r="A803" s="4" t="s">
        <v>21</v>
      </c>
      <c r="B803" s="4" t="s">
        <v>39</v>
      </c>
      <c r="C803" s="4" t="s">
        <v>36</v>
      </c>
      <c r="D803" s="4" t="s">
        <v>43</v>
      </c>
      <c r="E803" s="4" t="s">
        <v>25</v>
      </c>
      <c r="F803" s="4" t="s">
        <v>25</v>
      </c>
      <c r="G803" s="4" t="s">
        <v>25</v>
      </c>
      <c r="H803" s="4" t="s">
        <v>38</v>
      </c>
      <c r="I803" s="5">
        <v>44348</v>
      </c>
      <c r="J803" s="6">
        <v>0</v>
      </c>
      <c r="K803" s="6">
        <v>0</v>
      </c>
      <c r="L803" s="6">
        <v>2.0470000000000002</v>
      </c>
      <c r="M803" s="6">
        <v>2.0470000000000002</v>
      </c>
      <c r="N803" s="6">
        <v>2.0470000000000002</v>
      </c>
      <c r="O803" s="6">
        <v>2.0470000000000002</v>
      </c>
      <c r="P803" s="6">
        <v>0</v>
      </c>
      <c r="Q803" s="4" t="s">
        <v>26</v>
      </c>
      <c r="R803" s="4">
        <v>0</v>
      </c>
      <c r="S803" s="6">
        <v>0</v>
      </c>
      <c r="T803" s="6">
        <v>56</v>
      </c>
      <c r="U803" s="6">
        <v>97</v>
      </c>
      <c r="V803" s="6">
        <f>IF(ISERROR(VLOOKUP($S$803,'TAR FIN'!$A$1:$O$103,15,0)),0,VLOOKUP($S$803,'TAR FIN'!$A$1:$O$103,15,0))</f>
        <v>0</v>
      </c>
      <c r="W803" s="6">
        <f>IF(ISERROR(VLOOKUP($T$803,'TAR FIN'!$A$1:$O$103,15,0)),0,VLOOKUP($T$803,'TAR FIN'!$A$1:$O$103,15,0))</f>
        <v>428.83</v>
      </c>
      <c r="X803" s="6">
        <f>IF(ISERROR(VLOOKUP($U$803,'TAR FIN'!$A$1:$O$103,15,0)),0,VLOOKUP($U$803,'TAR FIN'!$A$1:$O$103,15,0))</f>
        <v>275.36</v>
      </c>
      <c r="Y803" s="6"/>
      <c r="Z803" s="6">
        <f ca="1">('TUSD BE'!$AM$56+'TUSD BF_350'!$AM$56+'TUSD CVA'!$AM$56)*1</f>
        <v>477.29000000000008</v>
      </c>
      <c r="AA803" s="6">
        <f ca="1">('TE BE'!$AB$40+'TE BF_350'!$AB$40+'TE CVA'!$AB$40)*1</f>
        <v>247.20000000000002</v>
      </c>
      <c r="AB803" s="6">
        <f>$K$803*$V$803</f>
        <v>0</v>
      </c>
      <c r="AC803" s="6">
        <f>$M$803*$W$803</f>
        <v>877.81501000000003</v>
      </c>
      <c r="AD803" s="6">
        <f>$O$803*$X$803</f>
        <v>563.66192000000012</v>
      </c>
      <c r="AE803" s="6">
        <f>$K$803*$Y$803</f>
        <v>0</v>
      </c>
      <c r="AF803" s="6">
        <f ca="1">$M$803*$Z$803</f>
        <v>977.01263000000029</v>
      </c>
      <c r="AG803" s="6">
        <f ca="1">$O$803*$AA$803</f>
        <v>506.0184000000001</v>
      </c>
    </row>
    <row r="804" spans="1:33" ht="11.25" customHeight="1" x14ac:dyDescent="0.25">
      <c r="A804" s="4" t="s">
        <v>21</v>
      </c>
      <c r="B804" s="4" t="s">
        <v>39</v>
      </c>
      <c r="C804" s="4" t="s">
        <v>36</v>
      </c>
      <c r="D804" s="4" t="s">
        <v>43</v>
      </c>
      <c r="E804" s="4" t="s">
        <v>25</v>
      </c>
      <c r="F804" s="4" t="s">
        <v>25</v>
      </c>
      <c r="G804" s="4" t="s">
        <v>25</v>
      </c>
      <c r="H804" s="4" t="s">
        <v>38</v>
      </c>
      <c r="I804" s="5">
        <v>44378</v>
      </c>
      <c r="J804" s="6">
        <v>0</v>
      </c>
      <c r="K804" s="6">
        <v>0</v>
      </c>
      <c r="L804" s="6">
        <v>2.145</v>
      </c>
      <c r="M804" s="6">
        <v>2.145</v>
      </c>
      <c r="N804" s="6">
        <v>2.145</v>
      </c>
      <c r="O804" s="6">
        <v>2.145</v>
      </c>
      <c r="P804" s="6">
        <v>0</v>
      </c>
      <c r="Q804" s="4" t="s">
        <v>26</v>
      </c>
      <c r="R804" s="4">
        <v>0</v>
      </c>
      <c r="S804" s="6">
        <v>0</v>
      </c>
      <c r="T804" s="6">
        <v>56</v>
      </c>
      <c r="U804" s="6">
        <v>97</v>
      </c>
      <c r="V804" s="6">
        <f>IF(ISERROR(VLOOKUP($S$804,'TAR FIN'!$A$1:$O$103,15,0)),0,VLOOKUP($S$804,'TAR FIN'!$A$1:$O$103,15,0))</f>
        <v>0</v>
      </c>
      <c r="W804" s="6">
        <f>IF(ISERROR(VLOOKUP($T$804,'TAR FIN'!$A$1:$O$103,15,0)),0,VLOOKUP($T$804,'TAR FIN'!$A$1:$O$103,15,0))</f>
        <v>428.83</v>
      </c>
      <c r="X804" s="6">
        <f>IF(ISERROR(VLOOKUP($U$804,'TAR FIN'!$A$1:$O$103,15,0)),0,VLOOKUP($U$804,'TAR FIN'!$A$1:$O$103,15,0))</f>
        <v>275.36</v>
      </c>
      <c r="Y804" s="6"/>
      <c r="Z804" s="6">
        <f ca="1">('TUSD BE'!$AM$56+'TUSD BF_350'!$AM$56+'TUSD CVA'!$AM$56)*1</f>
        <v>477.29000000000008</v>
      </c>
      <c r="AA804" s="6">
        <f ca="1">('TE BE'!$AB$40+'TE BF_350'!$AB$40+'TE CVA'!$AB$40)*1</f>
        <v>247.20000000000002</v>
      </c>
      <c r="AB804" s="6">
        <f>$K$804*$V$804</f>
        <v>0</v>
      </c>
      <c r="AC804" s="6">
        <f>$M$804*$W$804</f>
        <v>919.84034999999994</v>
      </c>
      <c r="AD804" s="6">
        <f>$O$804*$X$804</f>
        <v>590.6472</v>
      </c>
      <c r="AE804" s="6">
        <f>$K$804*$Y$804</f>
        <v>0</v>
      </c>
      <c r="AF804" s="6">
        <f ca="1">$M$804*$Z$804</f>
        <v>1023.7870500000001</v>
      </c>
      <c r="AG804" s="6">
        <f ca="1">$O$804*$AA$804</f>
        <v>530.24400000000003</v>
      </c>
    </row>
    <row r="805" spans="1:33" ht="11.25" customHeight="1" x14ac:dyDescent="0.25">
      <c r="A805" s="4" t="s">
        <v>21</v>
      </c>
      <c r="B805" s="4" t="s">
        <v>39</v>
      </c>
      <c r="C805" s="4" t="s">
        <v>36</v>
      </c>
      <c r="D805" s="4" t="s">
        <v>43</v>
      </c>
      <c r="E805" s="4" t="s">
        <v>25</v>
      </c>
      <c r="F805" s="4" t="s">
        <v>25</v>
      </c>
      <c r="G805" s="4" t="s">
        <v>25</v>
      </c>
      <c r="H805" s="4" t="s">
        <v>38</v>
      </c>
      <c r="I805" s="5">
        <v>44409</v>
      </c>
      <c r="J805" s="6">
        <v>0</v>
      </c>
      <c r="K805" s="6">
        <v>0</v>
      </c>
      <c r="L805" s="6">
        <v>2.1560000000000001</v>
      </c>
      <c r="M805" s="6">
        <v>2.1560000000000001</v>
      </c>
      <c r="N805" s="6">
        <v>2.1560000000000001</v>
      </c>
      <c r="O805" s="6">
        <v>2.1560000000000001</v>
      </c>
      <c r="P805" s="6">
        <v>0</v>
      </c>
      <c r="Q805" s="4" t="s">
        <v>26</v>
      </c>
      <c r="R805" s="4">
        <v>0</v>
      </c>
      <c r="S805" s="6">
        <v>0</v>
      </c>
      <c r="T805" s="6">
        <v>56</v>
      </c>
      <c r="U805" s="6">
        <v>97</v>
      </c>
      <c r="V805" s="6">
        <f>IF(ISERROR(VLOOKUP($S$805,'TAR FIN'!$A$1:$O$103,15,0)),0,VLOOKUP($S$805,'TAR FIN'!$A$1:$O$103,15,0))</f>
        <v>0</v>
      </c>
      <c r="W805" s="6">
        <f>IF(ISERROR(VLOOKUP($T$805,'TAR FIN'!$A$1:$O$103,15,0)),0,VLOOKUP($T$805,'TAR FIN'!$A$1:$O$103,15,0))</f>
        <v>428.83</v>
      </c>
      <c r="X805" s="6">
        <f>IF(ISERROR(VLOOKUP($U$805,'TAR FIN'!$A$1:$O$103,15,0)),0,VLOOKUP($U$805,'TAR FIN'!$A$1:$O$103,15,0))</f>
        <v>275.36</v>
      </c>
      <c r="Y805" s="6"/>
      <c r="Z805" s="6">
        <f ca="1">('TUSD BE'!$AM$56+'TUSD BF_350'!$AM$56+'TUSD CVA'!$AM$56)*1</f>
        <v>477.29000000000008</v>
      </c>
      <c r="AA805" s="6">
        <f ca="1">('TE BE'!$AB$40+'TE BF_350'!$AB$40+'TE CVA'!$AB$40)*1</f>
        <v>247.20000000000002</v>
      </c>
      <c r="AB805" s="6">
        <f>$K$805*$V$805</f>
        <v>0</v>
      </c>
      <c r="AC805" s="6">
        <f>$M$805*$W$805</f>
        <v>924.55748000000006</v>
      </c>
      <c r="AD805" s="6">
        <f>$O$805*$X$805</f>
        <v>593.6761600000001</v>
      </c>
      <c r="AE805" s="6">
        <f>$K$805*$Y$805</f>
        <v>0</v>
      </c>
      <c r="AF805" s="6">
        <f ca="1">$M$805*$Z$805</f>
        <v>1029.0372400000003</v>
      </c>
      <c r="AG805" s="6">
        <f ca="1">$O$805*$AA$805</f>
        <v>532.96320000000003</v>
      </c>
    </row>
    <row r="806" spans="1:33" ht="11.25" customHeight="1" x14ac:dyDescent="0.25">
      <c r="A806" s="4" t="s">
        <v>21</v>
      </c>
      <c r="B806" s="4" t="s">
        <v>39</v>
      </c>
      <c r="C806" s="4" t="s">
        <v>36</v>
      </c>
      <c r="D806" s="4" t="s">
        <v>43</v>
      </c>
      <c r="E806" s="4" t="s">
        <v>25</v>
      </c>
      <c r="F806" s="4" t="s">
        <v>25</v>
      </c>
      <c r="G806" s="4" t="s">
        <v>25</v>
      </c>
      <c r="H806" s="4" t="s">
        <v>38</v>
      </c>
      <c r="I806" s="5">
        <v>44440</v>
      </c>
      <c r="J806" s="6">
        <v>0</v>
      </c>
      <c r="K806" s="6">
        <v>0</v>
      </c>
      <c r="L806" s="6">
        <v>2.2599999999999998</v>
      </c>
      <c r="M806" s="6">
        <v>2.2599999999999998</v>
      </c>
      <c r="N806" s="6">
        <v>2.2599999999999998</v>
      </c>
      <c r="O806" s="6">
        <v>2.2599999999999998</v>
      </c>
      <c r="P806" s="6">
        <v>0</v>
      </c>
      <c r="Q806" s="4" t="s">
        <v>26</v>
      </c>
      <c r="R806" s="4">
        <v>0</v>
      </c>
      <c r="S806" s="6">
        <v>0</v>
      </c>
      <c r="T806" s="6">
        <v>56</v>
      </c>
      <c r="U806" s="6">
        <v>97</v>
      </c>
      <c r="V806" s="6">
        <f>IF(ISERROR(VLOOKUP($S$806,'TAR FIN'!$A$1:$O$103,15,0)),0,VLOOKUP($S$806,'TAR FIN'!$A$1:$O$103,15,0))</f>
        <v>0</v>
      </c>
      <c r="W806" s="6">
        <f>IF(ISERROR(VLOOKUP($T$806,'TAR FIN'!$A$1:$O$103,15,0)),0,VLOOKUP($T$806,'TAR FIN'!$A$1:$O$103,15,0))</f>
        <v>428.83</v>
      </c>
      <c r="X806" s="6">
        <f>IF(ISERROR(VLOOKUP($U$806,'TAR FIN'!$A$1:$O$103,15,0)),0,VLOOKUP($U$806,'TAR FIN'!$A$1:$O$103,15,0))</f>
        <v>275.36</v>
      </c>
      <c r="Y806" s="6"/>
      <c r="Z806" s="6">
        <f ca="1">('TUSD BE'!$AM$56+'TUSD BF_350'!$AM$56+'TUSD CVA'!$AM$56)*1</f>
        <v>477.29000000000008</v>
      </c>
      <c r="AA806" s="6">
        <f ca="1">('TE BE'!$AB$40+'TE BF_350'!$AB$40+'TE CVA'!$AB$40)*1</f>
        <v>247.20000000000002</v>
      </c>
      <c r="AB806" s="6">
        <f>$K$806*$V$806</f>
        <v>0</v>
      </c>
      <c r="AC806" s="6">
        <f>$M$806*$W$806</f>
        <v>969.15579999999989</v>
      </c>
      <c r="AD806" s="6">
        <f>$O$806*$X$806</f>
        <v>622.31359999999995</v>
      </c>
      <c r="AE806" s="6">
        <f>$K$806*$Y$806</f>
        <v>0</v>
      </c>
      <c r="AF806" s="6">
        <f ca="1">$M$806*$Z$806</f>
        <v>1078.6754000000001</v>
      </c>
      <c r="AG806" s="6">
        <f ca="1">$O$806*$AA$806</f>
        <v>558.67200000000003</v>
      </c>
    </row>
    <row r="807" spans="1:33" ht="11.25" customHeight="1" x14ac:dyDescent="0.25">
      <c r="A807" s="4" t="s">
        <v>21</v>
      </c>
      <c r="B807" s="4" t="s">
        <v>39</v>
      </c>
      <c r="C807" s="4" t="s">
        <v>36</v>
      </c>
      <c r="D807" s="4" t="s">
        <v>43</v>
      </c>
      <c r="E807" s="4" t="s">
        <v>25</v>
      </c>
      <c r="F807" s="4" t="s">
        <v>25</v>
      </c>
      <c r="G807" s="4" t="s">
        <v>25</v>
      </c>
      <c r="H807" s="4" t="s">
        <v>38</v>
      </c>
      <c r="I807" s="5">
        <v>44470</v>
      </c>
      <c r="J807" s="6">
        <v>0</v>
      </c>
      <c r="K807" s="6">
        <v>0</v>
      </c>
      <c r="L807" s="6">
        <v>2.206</v>
      </c>
      <c r="M807" s="6">
        <v>2.206</v>
      </c>
      <c r="N807" s="6">
        <v>2.206</v>
      </c>
      <c r="O807" s="6">
        <v>2.206</v>
      </c>
      <c r="P807" s="6">
        <v>0</v>
      </c>
      <c r="Q807" s="4" t="s">
        <v>26</v>
      </c>
      <c r="R807" s="4">
        <v>0</v>
      </c>
      <c r="S807" s="6">
        <v>0</v>
      </c>
      <c r="T807" s="6">
        <v>56</v>
      </c>
      <c r="U807" s="6">
        <v>97</v>
      </c>
      <c r="V807" s="6">
        <f>IF(ISERROR(VLOOKUP($S$807,'TAR FIN'!$A$1:$O$103,15,0)),0,VLOOKUP($S$807,'TAR FIN'!$A$1:$O$103,15,0))</f>
        <v>0</v>
      </c>
      <c r="W807" s="6">
        <f>IF(ISERROR(VLOOKUP($T$807,'TAR FIN'!$A$1:$O$103,15,0)),0,VLOOKUP($T$807,'TAR FIN'!$A$1:$O$103,15,0))</f>
        <v>428.83</v>
      </c>
      <c r="X807" s="6">
        <f>IF(ISERROR(VLOOKUP($U$807,'TAR FIN'!$A$1:$O$103,15,0)),0,VLOOKUP($U$807,'TAR FIN'!$A$1:$O$103,15,0))</f>
        <v>275.36</v>
      </c>
      <c r="Y807" s="6"/>
      <c r="Z807" s="6">
        <f ca="1">('TUSD BE'!$AM$56+'TUSD BF_350'!$AM$56+'TUSD CVA'!$AM$56)*1</f>
        <v>477.29000000000008</v>
      </c>
      <c r="AA807" s="6">
        <f ca="1">('TE BE'!$AB$40+'TE BF_350'!$AB$40+'TE CVA'!$AB$40)*1</f>
        <v>247.20000000000002</v>
      </c>
      <c r="AB807" s="6">
        <f>$K$807*$V$807</f>
        <v>0</v>
      </c>
      <c r="AC807" s="6">
        <f>$M$807*$W$807</f>
        <v>945.99897999999996</v>
      </c>
      <c r="AD807" s="6">
        <f>$O$807*$X$807</f>
        <v>607.44416000000001</v>
      </c>
      <c r="AE807" s="6">
        <f>$K$807*$Y$807</f>
        <v>0</v>
      </c>
      <c r="AF807" s="6">
        <f ca="1">$M$807*$Z$807</f>
        <v>1052.9017400000002</v>
      </c>
      <c r="AG807" s="6">
        <f ca="1">$O$807*$AA$807</f>
        <v>545.32320000000004</v>
      </c>
    </row>
    <row r="808" spans="1:33" ht="11.25" customHeight="1" x14ac:dyDescent="0.25">
      <c r="A808" s="4" t="s">
        <v>21</v>
      </c>
      <c r="B808" s="4" t="s">
        <v>39</v>
      </c>
      <c r="C808" s="4" t="s">
        <v>36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38</v>
      </c>
      <c r="I808" s="5">
        <v>44501</v>
      </c>
      <c r="J808" s="6">
        <v>0</v>
      </c>
      <c r="K808" s="6">
        <v>0</v>
      </c>
      <c r="L808" s="6">
        <v>2.1429999999999998</v>
      </c>
      <c r="M808" s="6">
        <v>2.1429999999999998</v>
      </c>
      <c r="N808" s="6">
        <v>2.1429999999999998</v>
      </c>
      <c r="O808" s="6">
        <v>2.1429999999999998</v>
      </c>
      <c r="P808" s="6">
        <v>0</v>
      </c>
      <c r="Q808" s="4" t="s">
        <v>26</v>
      </c>
      <c r="R808" s="4">
        <v>0</v>
      </c>
      <c r="S808" s="6">
        <v>0</v>
      </c>
      <c r="T808" s="6">
        <v>56</v>
      </c>
      <c r="U808" s="6">
        <v>97</v>
      </c>
      <c r="V808" s="6">
        <f>IF(ISERROR(VLOOKUP($S$808,'TAR FIN'!$A$1:$O$103,15,0)),0,VLOOKUP($S$808,'TAR FIN'!$A$1:$O$103,15,0))</f>
        <v>0</v>
      </c>
      <c r="W808" s="6">
        <f>IF(ISERROR(VLOOKUP($T$808,'TAR FIN'!$A$1:$O$103,15,0)),0,VLOOKUP($T$808,'TAR FIN'!$A$1:$O$103,15,0))</f>
        <v>428.83</v>
      </c>
      <c r="X808" s="6">
        <f>IF(ISERROR(VLOOKUP($U$808,'TAR FIN'!$A$1:$O$103,15,0)),0,VLOOKUP($U$808,'TAR FIN'!$A$1:$O$103,15,0))</f>
        <v>275.36</v>
      </c>
      <c r="Y808" s="6"/>
      <c r="Z808" s="6">
        <f ca="1">('TUSD BE'!$AM$56+'TUSD BF_350'!$AM$56+'TUSD CVA'!$AM$56)*1</f>
        <v>477.29000000000008</v>
      </c>
      <c r="AA808" s="6">
        <f ca="1">('TE BE'!$AB$40+'TE BF_350'!$AB$40+'TE CVA'!$AB$40)*1</f>
        <v>247.20000000000002</v>
      </c>
      <c r="AB808" s="6">
        <f>$K$808*$V$808</f>
        <v>0</v>
      </c>
      <c r="AC808" s="6">
        <f>$M$808*$W$808</f>
        <v>918.98268999999993</v>
      </c>
      <c r="AD808" s="6">
        <f>$O$808*$X$808</f>
        <v>590.09647999999993</v>
      </c>
      <c r="AE808" s="6">
        <f>$K$808*$Y$808</f>
        <v>0</v>
      </c>
      <c r="AF808" s="6">
        <f ca="1">$M$808*$Z$808</f>
        <v>1022.8324700000001</v>
      </c>
      <c r="AG808" s="6">
        <f ca="1">$O$808*$AA$808</f>
        <v>529.74959999999999</v>
      </c>
    </row>
    <row r="809" spans="1:33" ht="11.25" customHeight="1" x14ac:dyDescent="0.25">
      <c r="A809" s="4" t="s">
        <v>21</v>
      </c>
      <c r="B809" s="4" t="s">
        <v>39</v>
      </c>
      <c r="C809" s="4" t="s">
        <v>36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38</v>
      </c>
      <c r="I809" s="5">
        <v>44531</v>
      </c>
      <c r="J809" s="6">
        <v>0</v>
      </c>
      <c r="K809" s="6">
        <v>0</v>
      </c>
      <c r="L809" s="6">
        <v>2.3980000000000001</v>
      </c>
      <c r="M809" s="6">
        <v>2.3980000000000001</v>
      </c>
      <c r="N809" s="6">
        <v>2.3980000000000001</v>
      </c>
      <c r="O809" s="6">
        <v>2.3980000000000001</v>
      </c>
      <c r="P809" s="6">
        <v>0</v>
      </c>
      <c r="Q809" s="4" t="s">
        <v>26</v>
      </c>
      <c r="R809" s="4">
        <v>0</v>
      </c>
      <c r="S809" s="6">
        <v>0</v>
      </c>
      <c r="T809" s="6">
        <v>56</v>
      </c>
      <c r="U809" s="6">
        <v>97</v>
      </c>
      <c r="V809" s="6">
        <f>IF(ISERROR(VLOOKUP($S$809,'TAR FIN'!$A$1:$O$103,15,0)),0,VLOOKUP($S$809,'TAR FIN'!$A$1:$O$103,15,0))</f>
        <v>0</v>
      </c>
      <c r="W809" s="6">
        <f>IF(ISERROR(VLOOKUP($T$809,'TAR FIN'!$A$1:$O$103,15,0)),0,VLOOKUP($T$809,'TAR FIN'!$A$1:$O$103,15,0))</f>
        <v>428.83</v>
      </c>
      <c r="X809" s="6">
        <f>IF(ISERROR(VLOOKUP($U$809,'TAR FIN'!$A$1:$O$103,15,0)),0,VLOOKUP($U$809,'TAR FIN'!$A$1:$O$103,15,0))</f>
        <v>275.36</v>
      </c>
      <c r="Y809" s="6"/>
      <c r="Z809" s="6">
        <f ca="1">('TUSD BE'!$AM$56+'TUSD BF_350'!$AM$56+'TUSD CVA'!$AM$56)*1</f>
        <v>477.29000000000008</v>
      </c>
      <c r="AA809" s="6">
        <f ca="1">('TE BE'!$AB$40+'TE BF_350'!$AB$40+'TE CVA'!$AB$40)*1</f>
        <v>247.20000000000002</v>
      </c>
      <c r="AB809" s="6">
        <f>$K$809*$V$809</f>
        <v>0</v>
      </c>
      <c r="AC809" s="6">
        <f>$M$809*$W$809</f>
        <v>1028.3343400000001</v>
      </c>
      <c r="AD809" s="6">
        <f>$O$809*$X$809</f>
        <v>660.31328000000008</v>
      </c>
      <c r="AE809" s="6">
        <f>$K$809*$Y$809</f>
        <v>0</v>
      </c>
      <c r="AF809" s="6">
        <f ca="1">$M$809*$Z$809</f>
        <v>1144.5414200000002</v>
      </c>
      <c r="AG809" s="6">
        <f ca="1">$O$809*$AA$809</f>
        <v>592.78560000000004</v>
      </c>
    </row>
    <row r="810" spans="1:33" ht="11.25" customHeight="1" x14ac:dyDescent="0.25">
      <c r="A810" s="4" t="s">
        <v>21</v>
      </c>
      <c r="B810" s="4" t="s">
        <v>39</v>
      </c>
      <c r="C810" s="4" t="s">
        <v>36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38</v>
      </c>
      <c r="I810" s="5">
        <v>44562</v>
      </c>
      <c r="J810" s="6">
        <v>0</v>
      </c>
      <c r="K810" s="6">
        <v>0</v>
      </c>
      <c r="L810" s="6">
        <v>2.5150000000000001</v>
      </c>
      <c r="M810" s="6">
        <v>2.5150000000000001</v>
      </c>
      <c r="N810" s="6">
        <v>2.5150000000000001</v>
      </c>
      <c r="O810" s="6">
        <v>2.5150000000000001</v>
      </c>
      <c r="P810" s="6">
        <v>0</v>
      </c>
      <c r="Q810" s="4" t="s">
        <v>26</v>
      </c>
      <c r="R810" s="4">
        <v>0</v>
      </c>
      <c r="S810" s="6">
        <v>0</v>
      </c>
      <c r="T810" s="6">
        <v>56</v>
      </c>
      <c r="U810" s="6">
        <v>97</v>
      </c>
      <c r="V810" s="6">
        <f>IF(ISERROR(VLOOKUP($S$810,'TAR FIN'!$A$1:$O$103,15,0)),0,VLOOKUP($S$810,'TAR FIN'!$A$1:$O$103,15,0))</f>
        <v>0</v>
      </c>
      <c r="W810" s="6">
        <f>IF(ISERROR(VLOOKUP($T$810,'TAR FIN'!$A$1:$O$103,15,0)),0,VLOOKUP($T$810,'TAR FIN'!$A$1:$O$103,15,0))</f>
        <v>428.83</v>
      </c>
      <c r="X810" s="6">
        <f>IF(ISERROR(VLOOKUP($U$810,'TAR FIN'!$A$1:$O$103,15,0)),0,VLOOKUP($U$810,'TAR FIN'!$A$1:$O$103,15,0))</f>
        <v>275.36</v>
      </c>
      <c r="Y810" s="6"/>
      <c r="Z810" s="6">
        <f ca="1">('TUSD BE'!$AM$56+'TUSD BF_350'!$AM$56+'TUSD CVA'!$AM$56)*1</f>
        <v>477.29000000000008</v>
      </c>
      <c r="AA810" s="6">
        <f ca="1">('TE BE'!$AB$40+'TE BF_350'!$AB$40+'TE CVA'!$AB$40)*1</f>
        <v>247.20000000000002</v>
      </c>
      <c r="AB810" s="6">
        <f>$K$810*$V$810</f>
        <v>0</v>
      </c>
      <c r="AC810" s="6">
        <f>$M$810*$W$810</f>
        <v>1078.5074500000001</v>
      </c>
      <c r="AD810" s="6">
        <f>$O$810*$X$810</f>
        <v>692.5304000000001</v>
      </c>
      <c r="AE810" s="6">
        <f>$K$810*$Y$810</f>
        <v>0</v>
      </c>
      <c r="AF810" s="6">
        <f ca="1">$M$810*$Z$810</f>
        <v>1200.3843500000003</v>
      </c>
      <c r="AG810" s="6">
        <f ca="1">$O$810*$AA$810</f>
        <v>621.70800000000008</v>
      </c>
    </row>
    <row r="811" spans="1:33" ht="11.25" customHeight="1" x14ac:dyDescent="0.25">
      <c r="A811" s="4" t="s">
        <v>21</v>
      </c>
      <c r="B811" s="4" t="s">
        <v>39</v>
      </c>
      <c r="C811" s="4" t="s">
        <v>36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38</v>
      </c>
      <c r="I811" s="5">
        <v>44593</v>
      </c>
      <c r="J811" s="6">
        <v>0</v>
      </c>
      <c r="K811" s="6">
        <v>0</v>
      </c>
      <c r="L811" s="6">
        <v>2.9889999999999999</v>
      </c>
      <c r="M811" s="6">
        <v>2.9889999999999999</v>
      </c>
      <c r="N811" s="6">
        <v>2.9889999999999999</v>
      </c>
      <c r="O811" s="6">
        <v>2.9889999999999999</v>
      </c>
      <c r="P811" s="6">
        <v>0</v>
      </c>
      <c r="Q811" s="4" t="s">
        <v>26</v>
      </c>
      <c r="R811" s="4">
        <v>0</v>
      </c>
      <c r="S811" s="6">
        <v>0</v>
      </c>
      <c r="T811" s="6">
        <v>56</v>
      </c>
      <c r="U811" s="6">
        <v>97</v>
      </c>
      <c r="V811" s="6">
        <f>IF(ISERROR(VLOOKUP($S$811,'TAR FIN'!$A$1:$O$103,15,0)),0,VLOOKUP($S$811,'TAR FIN'!$A$1:$O$103,15,0))</f>
        <v>0</v>
      </c>
      <c r="W811" s="6">
        <f>IF(ISERROR(VLOOKUP($T$811,'TAR FIN'!$A$1:$O$103,15,0)),0,VLOOKUP($T$811,'TAR FIN'!$A$1:$O$103,15,0))</f>
        <v>428.83</v>
      </c>
      <c r="X811" s="6">
        <f>IF(ISERROR(VLOOKUP($U$811,'TAR FIN'!$A$1:$O$103,15,0)),0,VLOOKUP($U$811,'TAR FIN'!$A$1:$O$103,15,0))</f>
        <v>275.36</v>
      </c>
      <c r="Y811" s="6"/>
      <c r="Z811" s="6">
        <f ca="1">('TUSD BE'!$AM$56+'TUSD BF_350'!$AM$56+'TUSD CVA'!$AM$56)*1</f>
        <v>477.29000000000008</v>
      </c>
      <c r="AA811" s="6">
        <f ca="1">('TE BE'!$AB$40+'TE BF_350'!$AB$40+'TE CVA'!$AB$40)*1</f>
        <v>247.20000000000002</v>
      </c>
      <c r="AB811" s="6">
        <f>$K$811*$V$811</f>
        <v>0</v>
      </c>
      <c r="AC811" s="6">
        <f>$M$811*$W$811</f>
        <v>1281.77287</v>
      </c>
      <c r="AD811" s="6">
        <f>$O$811*$X$811</f>
        <v>823.05104000000006</v>
      </c>
      <c r="AE811" s="6">
        <f>$K$811*$Y$811</f>
        <v>0</v>
      </c>
      <c r="AF811" s="6">
        <f ca="1">$M$811*$Z$811</f>
        <v>1426.6198100000001</v>
      </c>
      <c r="AG811" s="6">
        <f ca="1">$O$811*$AA$811</f>
        <v>738.88080000000002</v>
      </c>
    </row>
    <row r="812" spans="1:33" ht="11.25" customHeight="1" x14ac:dyDescent="0.25">
      <c r="A812" s="4" t="s">
        <v>21</v>
      </c>
      <c r="B812" s="4" t="s">
        <v>39</v>
      </c>
      <c r="C812" s="4" t="s">
        <v>36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38</v>
      </c>
      <c r="I812" s="5">
        <v>44621</v>
      </c>
      <c r="J812" s="6">
        <v>0</v>
      </c>
      <c r="K812" s="6">
        <v>0</v>
      </c>
      <c r="L812" s="6">
        <v>2.52</v>
      </c>
      <c r="M812" s="6">
        <v>2.52</v>
      </c>
      <c r="N812" s="6">
        <v>2.52</v>
      </c>
      <c r="O812" s="6">
        <v>2.52</v>
      </c>
      <c r="P812" s="6">
        <v>0</v>
      </c>
      <c r="Q812" s="4" t="s">
        <v>26</v>
      </c>
      <c r="R812" s="4">
        <v>0</v>
      </c>
      <c r="S812" s="6">
        <v>0</v>
      </c>
      <c r="T812" s="6">
        <v>56</v>
      </c>
      <c r="U812" s="6">
        <v>97</v>
      </c>
      <c r="V812" s="6">
        <f>IF(ISERROR(VLOOKUP($S$812,'TAR FIN'!$A$1:$O$103,15,0)),0,VLOOKUP($S$812,'TAR FIN'!$A$1:$O$103,15,0))</f>
        <v>0</v>
      </c>
      <c r="W812" s="6">
        <f>IF(ISERROR(VLOOKUP($T$812,'TAR FIN'!$A$1:$O$103,15,0)),0,VLOOKUP($T$812,'TAR FIN'!$A$1:$O$103,15,0))</f>
        <v>428.83</v>
      </c>
      <c r="X812" s="6">
        <f>IF(ISERROR(VLOOKUP($U$812,'TAR FIN'!$A$1:$O$103,15,0)),0,VLOOKUP($U$812,'TAR FIN'!$A$1:$O$103,15,0))</f>
        <v>275.36</v>
      </c>
      <c r="Y812" s="6"/>
      <c r="Z812" s="6">
        <f ca="1">('TUSD BE'!$AM$56+'TUSD BF_350'!$AM$56+'TUSD CVA'!$AM$56)*1</f>
        <v>477.29000000000008</v>
      </c>
      <c r="AA812" s="6">
        <f ca="1">('TE BE'!$AB$40+'TE BF_350'!$AB$40+'TE CVA'!$AB$40)*1</f>
        <v>247.20000000000002</v>
      </c>
      <c r="AB812" s="6">
        <f>$K$812*$V$812</f>
        <v>0</v>
      </c>
      <c r="AC812" s="6">
        <f>$M$812*$W$812</f>
        <v>1080.6515999999999</v>
      </c>
      <c r="AD812" s="6">
        <f>$O$812*$X$812</f>
        <v>693.90719999999999</v>
      </c>
      <c r="AE812" s="6">
        <f>$K$812*$Y$812</f>
        <v>0</v>
      </c>
      <c r="AF812" s="6">
        <f ca="1">$M$812*$Z$812</f>
        <v>1202.7708000000002</v>
      </c>
      <c r="AG812" s="6">
        <f ca="1">$O$812*$AA$812</f>
        <v>622.94400000000007</v>
      </c>
    </row>
    <row r="813" spans="1:33" ht="11.25" customHeight="1" x14ac:dyDescent="0.25">
      <c r="A813" s="4" t="s">
        <v>21</v>
      </c>
      <c r="B813" s="4" t="s">
        <v>39</v>
      </c>
      <c r="C813" s="4" t="s">
        <v>36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38</v>
      </c>
      <c r="I813" s="5">
        <v>44652</v>
      </c>
      <c r="J813" s="6">
        <v>0</v>
      </c>
      <c r="K813" s="6">
        <v>0</v>
      </c>
      <c r="L813" s="6">
        <v>2.093</v>
      </c>
      <c r="M813" s="6">
        <v>2.093</v>
      </c>
      <c r="N813" s="6">
        <v>2.093</v>
      </c>
      <c r="O813" s="6">
        <v>2.093</v>
      </c>
      <c r="P813" s="6">
        <v>0</v>
      </c>
      <c r="Q813" s="4" t="s">
        <v>26</v>
      </c>
      <c r="R813" s="4">
        <v>0</v>
      </c>
      <c r="S813" s="6">
        <v>0</v>
      </c>
      <c r="T813" s="6">
        <v>56</v>
      </c>
      <c r="U813" s="6">
        <v>97</v>
      </c>
      <c r="V813" s="6">
        <f>IF(ISERROR(VLOOKUP($S$813,'TAR FIN'!$A$1:$O$103,15,0)),0,VLOOKUP($S$813,'TAR FIN'!$A$1:$O$103,15,0))</f>
        <v>0</v>
      </c>
      <c r="W813" s="6">
        <f>IF(ISERROR(VLOOKUP($T$813,'TAR FIN'!$A$1:$O$103,15,0)),0,VLOOKUP($T$813,'TAR FIN'!$A$1:$O$103,15,0))</f>
        <v>428.83</v>
      </c>
      <c r="X813" s="6">
        <f>IF(ISERROR(VLOOKUP($U$813,'TAR FIN'!$A$1:$O$103,15,0)),0,VLOOKUP($U$813,'TAR FIN'!$A$1:$O$103,15,0))</f>
        <v>275.36</v>
      </c>
      <c r="Y813" s="6"/>
      <c r="Z813" s="6">
        <f ca="1">('TUSD BE'!$AM$56+'TUSD BF_350'!$AM$56+'TUSD CVA'!$AM$56)*1</f>
        <v>477.29000000000008</v>
      </c>
      <c r="AA813" s="6">
        <f ca="1">('TE BE'!$AB$40+'TE BF_350'!$AB$40+'TE CVA'!$AB$40)*1</f>
        <v>247.20000000000002</v>
      </c>
      <c r="AB813" s="6">
        <f>$K$813*$V$813</f>
        <v>0</v>
      </c>
      <c r="AC813" s="6">
        <f>$M$813*$W$813</f>
        <v>897.54118999999992</v>
      </c>
      <c r="AD813" s="6">
        <f>$O$813*$X$813</f>
        <v>576.32848000000001</v>
      </c>
      <c r="AE813" s="6">
        <f>$K$813*$Y$813</f>
        <v>0</v>
      </c>
      <c r="AF813" s="6">
        <f ca="1">$M$813*$Z$813</f>
        <v>998.96797000000015</v>
      </c>
      <c r="AG813" s="6">
        <f ca="1">$O$813*$AA$813</f>
        <v>517.38959999999997</v>
      </c>
    </row>
    <row r="814" spans="1:33" ht="11.25" customHeight="1" x14ac:dyDescent="0.25">
      <c r="A814" s="4" t="s">
        <v>28</v>
      </c>
      <c r="B814" s="4" t="s">
        <v>39</v>
      </c>
      <c r="C814" s="4" t="s">
        <v>36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38</v>
      </c>
      <c r="I814" s="5">
        <v>44652</v>
      </c>
      <c r="J814" s="6">
        <v>0</v>
      </c>
      <c r="K814" s="6">
        <v>0</v>
      </c>
      <c r="L814" s="6">
        <v>5.0999999999999997E-2</v>
      </c>
      <c r="M814" s="6">
        <v>5.0999999999999997E-2</v>
      </c>
      <c r="N814" s="6">
        <v>5.0999999999999997E-2</v>
      </c>
      <c r="O814" s="6">
        <v>5.0999999999999997E-2</v>
      </c>
      <c r="P814" s="6">
        <v>0</v>
      </c>
      <c r="Q814" s="4" t="s">
        <v>26</v>
      </c>
      <c r="R814" s="4">
        <v>0</v>
      </c>
      <c r="S814" s="6">
        <v>0</v>
      </c>
      <c r="T814" s="6">
        <v>56</v>
      </c>
      <c r="U814" s="6">
        <v>97</v>
      </c>
      <c r="V814" s="6">
        <f>IF(ISERROR(VLOOKUP($S$814,'TAR FIN'!$A$1:$O$103,15,0)),0,VLOOKUP($S$814,'TAR FIN'!$A$1:$O$103,15,0))</f>
        <v>0</v>
      </c>
      <c r="W814" s="6">
        <f>IF(ISERROR(VLOOKUP($T$814,'TAR FIN'!$A$1:$O$103,15,0)),0,VLOOKUP($T$814,'TAR FIN'!$A$1:$O$103,15,0))</f>
        <v>428.83</v>
      </c>
      <c r="X814" s="6">
        <f>IF(ISERROR(VLOOKUP($U$814,'TAR FIN'!$A$1:$O$103,15,0)),0,VLOOKUP($U$814,'TAR FIN'!$A$1:$O$103,15,0))</f>
        <v>275.36</v>
      </c>
      <c r="Y814" s="6"/>
      <c r="Z814" s="6">
        <f ca="1">('TUSD BE'!$AM$56+'TUSD BF_350'!$AM$56+'TUSD CVA'!$AM$56)*1</f>
        <v>477.29000000000008</v>
      </c>
      <c r="AA814" s="6">
        <f ca="1">('TE BE'!$AB$40+'TE BF_350'!$AB$40+'TE CVA'!$AB$40)*1</f>
        <v>247.20000000000002</v>
      </c>
      <c r="AB814" s="6">
        <f>$K$814*$V$814</f>
        <v>0</v>
      </c>
      <c r="AC814" s="6">
        <f>$M$814*$W$814</f>
        <v>21.870329999999999</v>
      </c>
      <c r="AD814" s="6">
        <f>$O$814*$X$814</f>
        <v>14.04336</v>
      </c>
      <c r="AE814" s="6">
        <f>$K$814*$Y$814</f>
        <v>0</v>
      </c>
      <c r="AF814" s="6">
        <f ca="1">$M$814*$Z$814</f>
        <v>24.341790000000003</v>
      </c>
      <c r="AG814" s="6">
        <f ca="1">$O$814*$AA$814</f>
        <v>12.607200000000001</v>
      </c>
    </row>
    <row r="815" spans="1:33" ht="11.25" customHeight="1" x14ac:dyDescent="0.25">
      <c r="A815" s="4" t="s">
        <v>21</v>
      </c>
      <c r="B815" s="4" t="s">
        <v>39</v>
      </c>
      <c r="C815" s="4" t="s">
        <v>36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38</v>
      </c>
      <c r="I815" s="5">
        <v>44682</v>
      </c>
      <c r="J815" s="6">
        <v>0</v>
      </c>
      <c r="K815" s="6">
        <v>0</v>
      </c>
      <c r="L815" s="6">
        <v>2.1539999999999999</v>
      </c>
      <c r="M815" s="6">
        <v>2.1539999999999999</v>
      </c>
      <c r="N815" s="6">
        <v>2.1539999999999999</v>
      </c>
      <c r="O815" s="6">
        <v>2.1539999999999999</v>
      </c>
      <c r="P815" s="6">
        <v>0</v>
      </c>
      <c r="Q815" s="4" t="s">
        <v>26</v>
      </c>
      <c r="R815" s="4">
        <v>0</v>
      </c>
      <c r="S815" s="6">
        <v>0</v>
      </c>
      <c r="T815" s="6">
        <v>56</v>
      </c>
      <c r="U815" s="6">
        <v>97</v>
      </c>
      <c r="V815" s="6">
        <f>IF(ISERROR(VLOOKUP($S$815,'TAR FIN'!$A$1:$O$103,15,0)),0,VLOOKUP($S$815,'TAR FIN'!$A$1:$O$103,15,0))</f>
        <v>0</v>
      </c>
      <c r="W815" s="6">
        <f>IF(ISERROR(VLOOKUP($T$815,'TAR FIN'!$A$1:$O$103,15,0)),0,VLOOKUP($T$815,'TAR FIN'!$A$1:$O$103,15,0))</f>
        <v>428.83</v>
      </c>
      <c r="X815" s="6">
        <f>IF(ISERROR(VLOOKUP($U$815,'TAR FIN'!$A$1:$O$103,15,0)),0,VLOOKUP($U$815,'TAR FIN'!$A$1:$O$103,15,0))</f>
        <v>275.36</v>
      </c>
      <c r="Y815" s="6"/>
      <c r="Z815" s="6">
        <f ca="1">('TUSD BE'!$AM$56+'TUSD BF_350'!$AM$56+'TUSD CVA'!$AM$56)*1</f>
        <v>477.29000000000008</v>
      </c>
      <c r="AA815" s="6">
        <f ca="1">('TE BE'!$AB$40+'TE BF_350'!$AB$40+'TE CVA'!$AB$40)*1</f>
        <v>247.20000000000002</v>
      </c>
      <c r="AB815" s="6">
        <f>$K$815*$V$815</f>
        <v>0</v>
      </c>
      <c r="AC815" s="6">
        <f>$M$815*$W$815</f>
        <v>923.69981999999993</v>
      </c>
      <c r="AD815" s="6">
        <f>$O$815*$X$815</f>
        <v>593.12544000000003</v>
      </c>
      <c r="AE815" s="6">
        <f>$K$815*$Y$815</f>
        <v>0</v>
      </c>
      <c r="AF815" s="6">
        <f ca="1">$M$815*$Z$815</f>
        <v>1028.08266</v>
      </c>
      <c r="AG815" s="6">
        <f ca="1">$O$815*$AA$815</f>
        <v>532.46879999999999</v>
      </c>
    </row>
    <row r="816" spans="1:33" ht="11.25" customHeight="1" x14ac:dyDescent="0.25">
      <c r="A816" s="4" t="s">
        <v>21</v>
      </c>
      <c r="B816" s="4" t="s">
        <v>39</v>
      </c>
      <c r="C816" s="4" t="s">
        <v>36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37</v>
      </c>
      <c r="I816" s="5">
        <v>44348</v>
      </c>
      <c r="J816" s="6">
        <v>0</v>
      </c>
      <c r="K816" s="6">
        <v>0</v>
      </c>
      <c r="L816" s="6">
        <v>2.8239999999999998</v>
      </c>
      <c r="M816" s="6">
        <v>2.8239999999999998</v>
      </c>
      <c r="N816" s="6">
        <v>2.8239999999999998</v>
      </c>
      <c r="O816" s="6">
        <v>2.8239999999999998</v>
      </c>
      <c r="P816" s="6">
        <v>0</v>
      </c>
      <c r="Q816" s="4" t="s">
        <v>26</v>
      </c>
      <c r="R816" s="4">
        <v>0</v>
      </c>
      <c r="S816" s="6">
        <v>0</v>
      </c>
      <c r="T816" s="6">
        <v>55</v>
      </c>
      <c r="U816" s="6">
        <v>96</v>
      </c>
      <c r="V816" s="6">
        <f>IF(ISERROR(VLOOKUP($S$816,'TAR FIN'!$A$1:$O$103,15,0)),0,VLOOKUP($S$816,'TAR FIN'!$A$1:$O$103,15,0))</f>
        <v>0</v>
      </c>
      <c r="W816" s="6">
        <f>IF(ISERROR(VLOOKUP($T$816,'TAR FIN'!$A$1:$O$103,15,0)),0,VLOOKUP($T$816,'TAR FIN'!$A$1:$O$103,15,0))</f>
        <v>642.88</v>
      </c>
      <c r="X816" s="6">
        <f>IF(ISERROR(VLOOKUP($U$816,'TAR FIN'!$A$1:$O$103,15,0)),0,VLOOKUP($U$816,'TAR FIN'!$A$1:$O$103,15,0))</f>
        <v>437.87</v>
      </c>
      <c r="Y816" s="6"/>
      <c r="Z816" s="6">
        <f ca="1">('TUSD BE'!$AM$55+'TUSD BF_350'!$AM$55+'TUSD CVA'!$AM$55)*1</f>
        <v>701.55</v>
      </c>
      <c r="AA816" s="6">
        <f ca="1">('TE BE'!$AB$39+'TE BF_350'!$AB$39+'TE CVA'!$AB$39)*1</f>
        <v>388.08000000000004</v>
      </c>
      <c r="AB816" s="6">
        <f>$K$816*$V$816</f>
        <v>0</v>
      </c>
      <c r="AC816" s="6">
        <f>$M$816*$W$816</f>
        <v>1815.4931199999999</v>
      </c>
      <c r="AD816" s="6">
        <f>$O$816*$X$816</f>
        <v>1236.5448799999999</v>
      </c>
      <c r="AE816" s="6">
        <f>$K$816*$Y$816</f>
        <v>0</v>
      </c>
      <c r="AF816" s="6">
        <f ca="1">$M$816*$Z$816</f>
        <v>1981.1771999999999</v>
      </c>
      <c r="AG816" s="6">
        <f ca="1">$O$816*$AA$816</f>
        <v>1095.9379200000001</v>
      </c>
    </row>
    <row r="817" spans="1:33" ht="11.25" customHeight="1" x14ac:dyDescent="0.25">
      <c r="A817" s="4" t="s">
        <v>21</v>
      </c>
      <c r="B817" s="4" t="s">
        <v>39</v>
      </c>
      <c r="C817" s="4" t="s">
        <v>36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37</v>
      </c>
      <c r="I817" s="5">
        <v>44378</v>
      </c>
      <c r="J817" s="6">
        <v>0</v>
      </c>
      <c r="K817" s="6">
        <v>0</v>
      </c>
      <c r="L817" s="6">
        <v>3.0110000000000001</v>
      </c>
      <c r="M817" s="6">
        <v>3.0110000000000001</v>
      </c>
      <c r="N817" s="6">
        <v>3.0110000000000001</v>
      </c>
      <c r="O817" s="6">
        <v>3.0110000000000001</v>
      </c>
      <c r="P817" s="6">
        <v>0</v>
      </c>
      <c r="Q817" s="4" t="s">
        <v>26</v>
      </c>
      <c r="R817" s="4">
        <v>0</v>
      </c>
      <c r="S817" s="6">
        <v>0</v>
      </c>
      <c r="T817" s="6">
        <v>55</v>
      </c>
      <c r="U817" s="6">
        <v>96</v>
      </c>
      <c r="V817" s="6">
        <f>IF(ISERROR(VLOOKUP($S$817,'TAR FIN'!$A$1:$O$103,15,0)),0,VLOOKUP($S$817,'TAR FIN'!$A$1:$O$103,15,0))</f>
        <v>0</v>
      </c>
      <c r="W817" s="6">
        <f>IF(ISERROR(VLOOKUP($T$817,'TAR FIN'!$A$1:$O$103,15,0)),0,VLOOKUP($T$817,'TAR FIN'!$A$1:$O$103,15,0))</f>
        <v>642.88</v>
      </c>
      <c r="X817" s="6">
        <f>IF(ISERROR(VLOOKUP($U$817,'TAR FIN'!$A$1:$O$103,15,0)),0,VLOOKUP($U$817,'TAR FIN'!$A$1:$O$103,15,0))</f>
        <v>437.87</v>
      </c>
      <c r="Y817" s="6"/>
      <c r="Z817" s="6">
        <f ca="1">('TUSD BE'!$AM$55+'TUSD BF_350'!$AM$55+'TUSD CVA'!$AM$55)*1</f>
        <v>701.55</v>
      </c>
      <c r="AA817" s="6">
        <f ca="1">('TE BE'!$AB$39+'TE BF_350'!$AB$39+'TE CVA'!$AB$39)*1</f>
        <v>388.08000000000004</v>
      </c>
      <c r="AB817" s="6">
        <f>$K$817*$V$817</f>
        <v>0</v>
      </c>
      <c r="AC817" s="6">
        <f>$M$817*$W$817</f>
        <v>1935.7116800000001</v>
      </c>
      <c r="AD817" s="6">
        <f>$O$817*$X$817</f>
        <v>1318.4265700000001</v>
      </c>
      <c r="AE817" s="6">
        <f>$K$817*$Y$817</f>
        <v>0</v>
      </c>
      <c r="AF817" s="6">
        <f ca="1">$M$817*$Z$817</f>
        <v>2112.3670499999998</v>
      </c>
      <c r="AG817" s="6">
        <f ca="1">$O$817*$AA$817</f>
        <v>1168.5088800000001</v>
      </c>
    </row>
    <row r="818" spans="1:33" ht="11.25" customHeight="1" x14ac:dyDescent="0.25">
      <c r="A818" s="4" t="s">
        <v>21</v>
      </c>
      <c r="B818" s="4" t="s">
        <v>39</v>
      </c>
      <c r="C818" s="4" t="s">
        <v>36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37</v>
      </c>
      <c r="I818" s="5">
        <v>44409</v>
      </c>
      <c r="J818" s="6">
        <v>0</v>
      </c>
      <c r="K818" s="6">
        <v>0</v>
      </c>
      <c r="L818" s="6">
        <v>3.0510000000000002</v>
      </c>
      <c r="M818" s="6">
        <v>3.0510000000000002</v>
      </c>
      <c r="N818" s="6">
        <v>3.0510000000000002</v>
      </c>
      <c r="O818" s="6">
        <v>3.0510000000000002</v>
      </c>
      <c r="P818" s="6">
        <v>0</v>
      </c>
      <c r="Q818" s="4" t="s">
        <v>26</v>
      </c>
      <c r="R818" s="4">
        <v>0</v>
      </c>
      <c r="S818" s="6">
        <v>0</v>
      </c>
      <c r="T818" s="6">
        <v>55</v>
      </c>
      <c r="U818" s="6">
        <v>96</v>
      </c>
      <c r="V818" s="6">
        <f>IF(ISERROR(VLOOKUP($S$818,'TAR FIN'!$A$1:$O$103,15,0)),0,VLOOKUP($S$818,'TAR FIN'!$A$1:$O$103,15,0))</f>
        <v>0</v>
      </c>
      <c r="W818" s="6">
        <f>IF(ISERROR(VLOOKUP($T$818,'TAR FIN'!$A$1:$O$103,15,0)),0,VLOOKUP($T$818,'TAR FIN'!$A$1:$O$103,15,0))</f>
        <v>642.88</v>
      </c>
      <c r="X818" s="6">
        <f>IF(ISERROR(VLOOKUP($U$818,'TAR FIN'!$A$1:$O$103,15,0)),0,VLOOKUP($U$818,'TAR FIN'!$A$1:$O$103,15,0))</f>
        <v>437.87</v>
      </c>
      <c r="Y818" s="6"/>
      <c r="Z818" s="6">
        <f ca="1">('TUSD BE'!$AM$55+'TUSD BF_350'!$AM$55+'TUSD CVA'!$AM$55)*1</f>
        <v>701.55</v>
      </c>
      <c r="AA818" s="6">
        <f ca="1">('TE BE'!$AB$39+'TE BF_350'!$AB$39+'TE CVA'!$AB$39)*1</f>
        <v>388.08000000000004</v>
      </c>
      <c r="AB818" s="6">
        <f>$K$818*$V$818</f>
        <v>0</v>
      </c>
      <c r="AC818" s="6">
        <f>$M$818*$W$818</f>
        <v>1961.42688</v>
      </c>
      <c r="AD818" s="6">
        <f>$O$818*$X$818</f>
        <v>1335.94137</v>
      </c>
      <c r="AE818" s="6">
        <f>$K$818*$Y$818</f>
        <v>0</v>
      </c>
      <c r="AF818" s="6">
        <f ca="1">$M$818*$Z$818</f>
        <v>2140.4290500000002</v>
      </c>
      <c r="AG818" s="6">
        <f ca="1">$O$818*$AA$818</f>
        <v>1184.0320800000002</v>
      </c>
    </row>
    <row r="819" spans="1:33" ht="11.25" customHeight="1" x14ac:dyDescent="0.25">
      <c r="A819" s="4" t="s">
        <v>21</v>
      </c>
      <c r="B819" s="4" t="s">
        <v>39</v>
      </c>
      <c r="C819" s="4" t="s">
        <v>36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37</v>
      </c>
      <c r="I819" s="5">
        <v>44440</v>
      </c>
      <c r="J819" s="6">
        <v>0</v>
      </c>
      <c r="K819" s="6">
        <v>0</v>
      </c>
      <c r="L819" s="6">
        <v>2.9340000000000002</v>
      </c>
      <c r="M819" s="6">
        <v>2.9340000000000002</v>
      </c>
      <c r="N819" s="6">
        <v>2.9340000000000002</v>
      </c>
      <c r="O819" s="6">
        <v>2.9340000000000002</v>
      </c>
      <c r="P819" s="6">
        <v>0</v>
      </c>
      <c r="Q819" s="4" t="s">
        <v>26</v>
      </c>
      <c r="R819" s="4">
        <v>0</v>
      </c>
      <c r="S819" s="6">
        <v>0</v>
      </c>
      <c r="T819" s="6">
        <v>55</v>
      </c>
      <c r="U819" s="6">
        <v>96</v>
      </c>
      <c r="V819" s="6">
        <f>IF(ISERROR(VLOOKUP($S$819,'TAR FIN'!$A$1:$O$103,15,0)),0,VLOOKUP($S$819,'TAR FIN'!$A$1:$O$103,15,0))</f>
        <v>0</v>
      </c>
      <c r="W819" s="6">
        <f>IF(ISERROR(VLOOKUP($T$819,'TAR FIN'!$A$1:$O$103,15,0)),0,VLOOKUP($T$819,'TAR FIN'!$A$1:$O$103,15,0))</f>
        <v>642.88</v>
      </c>
      <c r="X819" s="6">
        <f>IF(ISERROR(VLOOKUP($U$819,'TAR FIN'!$A$1:$O$103,15,0)),0,VLOOKUP($U$819,'TAR FIN'!$A$1:$O$103,15,0))</f>
        <v>437.87</v>
      </c>
      <c r="Y819" s="6"/>
      <c r="Z819" s="6">
        <f ca="1">('TUSD BE'!$AM$55+'TUSD BF_350'!$AM$55+'TUSD CVA'!$AM$55)*1</f>
        <v>701.55</v>
      </c>
      <c r="AA819" s="6">
        <f ca="1">('TE BE'!$AB$39+'TE BF_350'!$AB$39+'TE CVA'!$AB$39)*1</f>
        <v>388.08000000000004</v>
      </c>
      <c r="AB819" s="6">
        <f>$K$819*$V$819</f>
        <v>0</v>
      </c>
      <c r="AC819" s="6">
        <f>$M$819*$W$819</f>
        <v>1886.20992</v>
      </c>
      <c r="AD819" s="6">
        <f>$O$819*$X$819</f>
        <v>1284.7105800000002</v>
      </c>
      <c r="AE819" s="6">
        <f>$K$819*$Y$819</f>
        <v>0</v>
      </c>
      <c r="AF819" s="6">
        <f ca="1">$M$819*$Z$819</f>
        <v>2058.3476999999998</v>
      </c>
      <c r="AG819" s="6">
        <f ca="1">$O$819*$AA$819</f>
        <v>1138.6267200000002</v>
      </c>
    </row>
    <row r="820" spans="1:33" ht="11.25" customHeight="1" x14ac:dyDescent="0.25">
      <c r="A820" s="4" t="s">
        <v>21</v>
      </c>
      <c r="B820" s="4" t="s">
        <v>39</v>
      </c>
      <c r="C820" s="4" t="s">
        <v>36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37</v>
      </c>
      <c r="I820" s="5">
        <v>44470</v>
      </c>
      <c r="J820" s="6">
        <v>0</v>
      </c>
      <c r="K820" s="6">
        <v>0</v>
      </c>
      <c r="L820" s="6">
        <v>3.6360000000000001</v>
      </c>
      <c r="M820" s="6">
        <v>3.6360000000000001</v>
      </c>
      <c r="N820" s="6">
        <v>3.6360000000000001</v>
      </c>
      <c r="O820" s="6">
        <v>3.6360000000000001</v>
      </c>
      <c r="P820" s="6">
        <v>0</v>
      </c>
      <c r="Q820" s="4" t="s">
        <v>26</v>
      </c>
      <c r="R820" s="4">
        <v>0</v>
      </c>
      <c r="S820" s="6">
        <v>0</v>
      </c>
      <c r="T820" s="6">
        <v>55</v>
      </c>
      <c r="U820" s="6">
        <v>96</v>
      </c>
      <c r="V820" s="6">
        <f>IF(ISERROR(VLOOKUP($S$820,'TAR FIN'!$A$1:$O$103,15,0)),0,VLOOKUP($S$820,'TAR FIN'!$A$1:$O$103,15,0))</f>
        <v>0</v>
      </c>
      <c r="W820" s="6">
        <f>IF(ISERROR(VLOOKUP($T$820,'TAR FIN'!$A$1:$O$103,15,0)),0,VLOOKUP($T$820,'TAR FIN'!$A$1:$O$103,15,0))</f>
        <v>642.88</v>
      </c>
      <c r="X820" s="6">
        <f>IF(ISERROR(VLOOKUP($U$820,'TAR FIN'!$A$1:$O$103,15,0)),0,VLOOKUP($U$820,'TAR FIN'!$A$1:$O$103,15,0))</f>
        <v>437.87</v>
      </c>
      <c r="Y820" s="6"/>
      <c r="Z820" s="6">
        <f ca="1">('TUSD BE'!$AM$55+'TUSD BF_350'!$AM$55+'TUSD CVA'!$AM$55)*1</f>
        <v>701.55</v>
      </c>
      <c r="AA820" s="6">
        <f ca="1">('TE BE'!$AB$39+'TE BF_350'!$AB$39+'TE CVA'!$AB$39)*1</f>
        <v>388.08000000000004</v>
      </c>
      <c r="AB820" s="6">
        <f>$K$820*$V$820</f>
        <v>0</v>
      </c>
      <c r="AC820" s="6">
        <f>$M$820*$W$820</f>
        <v>2337.5116800000001</v>
      </c>
      <c r="AD820" s="6">
        <f>$O$820*$X$820</f>
        <v>1592.0953200000001</v>
      </c>
      <c r="AE820" s="6">
        <f>$K$820*$Y$820</f>
        <v>0</v>
      </c>
      <c r="AF820" s="6">
        <f ca="1">$M$820*$Z$820</f>
        <v>2550.8357999999998</v>
      </c>
      <c r="AG820" s="6">
        <f ca="1">$O$820*$AA$820</f>
        <v>1411.0588800000003</v>
      </c>
    </row>
    <row r="821" spans="1:33" ht="11.25" customHeight="1" x14ac:dyDescent="0.25">
      <c r="A821" s="4" t="s">
        <v>21</v>
      </c>
      <c r="B821" s="4" t="s">
        <v>39</v>
      </c>
      <c r="C821" s="4" t="s">
        <v>36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37</v>
      </c>
      <c r="I821" s="5">
        <v>44501</v>
      </c>
      <c r="J821" s="6">
        <v>0</v>
      </c>
      <c r="K821" s="6">
        <v>0</v>
      </c>
      <c r="L821" s="6">
        <v>4.3</v>
      </c>
      <c r="M821" s="6">
        <v>4.3</v>
      </c>
      <c r="N821" s="6">
        <v>4.3</v>
      </c>
      <c r="O821" s="6">
        <v>4.3</v>
      </c>
      <c r="P821" s="6">
        <v>0</v>
      </c>
      <c r="Q821" s="4" t="s">
        <v>26</v>
      </c>
      <c r="R821" s="4">
        <v>0</v>
      </c>
      <c r="S821" s="6">
        <v>0</v>
      </c>
      <c r="T821" s="6">
        <v>55</v>
      </c>
      <c r="U821" s="6">
        <v>96</v>
      </c>
      <c r="V821" s="6">
        <f>IF(ISERROR(VLOOKUP($S$821,'TAR FIN'!$A$1:$O$103,15,0)),0,VLOOKUP($S$821,'TAR FIN'!$A$1:$O$103,15,0))</f>
        <v>0</v>
      </c>
      <c r="W821" s="6">
        <f>IF(ISERROR(VLOOKUP($T$821,'TAR FIN'!$A$1:$O$103,15,0)),0,VLOOKUP($T$821,'TAR FIN'!$A$1:$O$103,15,0))</f>
        <v>642.88</v>
      </c>
      <c r="X821" s="6">
        <f>IF(ISERROR(VLOOKUP($U$821,'TAR FIN'!$A$1:$O$103,15,0)),0,VLOOKUP($U$821,'TAR FIN'!$A$1:$O$103,15,0))</f>
        <v>437.87</v>
      </c>
      <c r="Y821" s="6"/>
      <c r="Z821" s="6">
        <f ca="1">('TUSD BE'!$AM$55+'TUSD BF_350'!$AM$55+'TUSD CVA'!$AM$55)*1</f>
        <v>701.55</v>
      </c>
      <c r="AA821" s="6">
        <f ca="1">('TE BE'!$AB$39+'TE BF_350'!$AB$39+'TE CVA'!$AB$39)*1</f>
        <v>388.08000000000004</v>
      </c>
      <c r="AB821" s="6">
        <f>$K$821*$V$821</f>
        <v>0</v>
      </c>
      <c r="AC821" s="6">
        <f>$M$821*$W$821</f>
        <v>2764.384</v>
      </c>
      <c r="AD821" s="6">
        <f>$O$821*$X$821</f>
        <v>1882.8409999999999</v>
      </c>
      <c r="AE821" s="6">
        <f>$K$821*$Y$821</f>
        <v>0</v>
      </c>
      <c r="AF821" s="6">
        <f ca="1">$M$821*$Z$821</f>
        <v>3016.6649999999995</v>
      </c>
      <c r="AG821" s="6">
        <f ca="1">$O$821*$AA$821</f>
        <v>1668.7440000000001</v>
      </c>
    </row>
    <row r="822" spans="1:33" ht="11.25" customHeight="1" x14ac:dyDescent="0.25">
      <c r="A822" s="4" t="s">
        <v>21</v>
      </c>
      <c r="B822" s="4" t="s">
        <v>39</v>
      </c>
      <c r="C822" s="4" t="s">
        <v>36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37</v>
      </c>
      <c r="I822" s="5">
        <v>44531</v>
      </c>
      <c r="J822" s="6">
        <v>0</v>
      </c>
      <c r="K822" s="6">
        <v>0</v>
      </c>
      <c r="L822" s="6">
        <v>5.367</v>
      </c>
      <c r="M822" s="6">
        <v>5.367</v>
      </c>
      <c r="N822" s="6">
        <v>5.367</v>
      </c>
      <c r="O822" s="6">
        <v>5.367</v>
      </c>
      <c r="P822" s="6">
        <v>0</v>
      </c>
      <c r="Q822" s="4" t="s">
        <v>26</v>
      </c>
      <c r="R822" s="4">
        <v>0</v>
      </c>
      <c r="S822" s="6">
        <v>0</v>
      </c>
      <c r="T822" s="6">
        <v>55</v>
      </c>
      <c r="U822" s="6">
        <v>96</v>
      </c>
      <c r="V822" s="6">
        <f>IF(ISERROR(VLOOKUP($S$822,'TAR FIN'!$A$1:$O$103,15,0)),0,VLOOKUP($S$822,'TAR FIN'!$A$1:$O$103,15,0))</f>
        <v>0</v>
      </c>
      <c r="W822" s="6">
        <f>IF(ISERROR(VLOOKUP($T$822,'TAR FIN'!$A$1:$O$103,15,0)),0,VLOOKUP($T$822,'TAR FIN'!$A$1:$O$103,15,0))</f>
        <v>642.88</v>
      </c>
      <c r="X822" s="6">
        <f>IF(ISERROR(VLOOKUP($U$822,'TAR FIN'!$A$1:$O$103,15,0)),0,VLOOKUP($U$822,'TAR FIN'!$A$1:$O$103,15,0))</f>
        <v>437.87</v>
      </c>
      <c r="Y822" s="6"/>
      <c r="Z822" s="6">
        <f ca="1">('TUSD BE'!$AM$55+'TUSD BF_350'!$AM$55+'TUSD CVA'!$AM$55)*1</f>
        <v>701.55</v>
      </c>
      <c r="AA822" s="6">
        <f ca="1">('TE BE'!$AB$39+'TE BF_350'!$AB$39+'TE CVA'!$AB$39)*1</f>
        <v>388.08000000000004</v>
      </c>
      <c r="AB822" s="6">
        <f>$K$822*$V$822</f>
        <v>0</v>
      </c>
      <c r="AC822" s="6">
        <f>$M$822*$W$822</f>
        <v>3450.3369600000001</v>
      </c>
      <c r="AD822" s="6">
        <f>$O$822*$X$822</f>
        <v>2350.0482900000002</v>
      </c>
      <c r="AE822" s="6">
        <f>$K$822*$Y$822</f>
        <v>0</v>
      </c>
      <c r="AF822" s="6">
        <f ca="1">$M$822*$Z$822</f>
        <v>3765.2188499999997</v>
      </c>
      <c r="AG822" s="6">
        <f ca="1">$O$822*$AA$822</f>
        <v>2082.8253600000003</v>
      </c>
    </row>
    <row r="823" spans="1:33" ht="11.25" customHeight="1" x14ac:dyDescent="0.25">
      <c r="A823" s="4" t="s">
        <v>21</v>
      </c>
      <c r="B823" s="4" t="s">
        <v>39</v>
      </c>
      <c r="C823" s="4" t="s">
        <v>36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37</v>
      </c>
      <c r="I823" s="5">
        <v>44562</v>
      </c>
      <c r="J823" s="6">
        <v>0</v>
      </c>
      <c r="K823" s="6">
        <v>0</v>
      </c>
      <c r="L823" s="6">
        <v>3.3740000000000001</v>
      </c>
      <c r="M823" s="6">
        <v>3.3740000000000001</v>
      </c>
      <c r="N823" s="6">
        <v>3.3740000000000001</v>
      </c>
      <c r="O823" s="6">
        <v>3.3740000000000001</v>
      </c>
      <c r="P823" s="6">
        <v>0</v>
      </c>
      <c r="Q823" s="4" t="s">
        <v>26</v>
      </c>
      <c r="R823" s="4">
        <v>0</v>
      </c>
      <c r="S823" s="6">
        <v>0</v>
      </c>
      <c r="T823" s="6">
        <v>55</v>
      </c>
      <c r="U823" s="6">
        <v>96</v>
      </c>
      <c r="V823" s="6">
        <f>IF(ISERROR(VLOOKUP($S$823,'TAR FIN'!$A$1:$O$103,15,0)),0,VLOOKUP($S$823,'TAR FIN'!$A$1:$O$103,15,0))</f>
        <v>0</v>
      </c>
      <c r="W823" s="6">
        <f>IF(ISERROR(VLOOKUP($T$823,'TAR FIN'!$A$1:$O$103,15,0)),0,VLOOKUP($T$823,'TAR FIN'!$A$1:$O$103,15,0))</f>
        <v>642.88</v>
      </c>
      <c r="X823" s="6">
        <f>IF(ISERROR(VLOOKUP($U$823,'TAR FIN'!$A$1:$O$103,15,0)),0,VLOOKUP($U$823,'TAR FIN'!$A$1:$O$103,15,0))</f>
        <v>437.87</v>
      </c>
      <c r="Y823" s="6"/>
      <c r="Z823" s="6">
        <f ca="1">('TUSD BE'!$AM$55+'TUSD BF_350'!$AM$55+'TUSD CVA'!$AM$55)*1</f>
        <v>701.55</v>
      </c>
      <c r="AA823" s="6">
        <f ca="1">('TE BE'!$AB$39+'TE BF_350'!$AB$39+'TE CVA'!$AB$39)*1</f>
        <v>388.08000000000004</v>
      </c>
      <c r="AB823" s="6">
        <f>$K$823*$V$823</f>
        <v>0</v>
      </c>
      <c r="AC823" s="6">
        <f>$M$823*$W$823</f>
        <v>2169.0771199999999</v>
      </c>
      <c r="AD823" s="6">
        <f>$O$823*$X$823</f>
        <v>1477.37338</v>
      </c>
      <c r="AE823" s="6">
        <f>$K$823*$Y$823</f>
        <v>0</v>
      </c>
      <c r="AF823" s="6">
        <f ca="1">$M$823*$Z$823</f>
        <v>2367.0297</v>
      </c>
      <c r="AG823" s="6">
        <f ca="1">$O$823*$AA$823</f>
        <v>1309.3819200000003</v>
      </c>
    </row>
    <row r="824" spans="1:33" ht="11.25" customHeight="1" x14ac:dyDescent="0.25">
      <c r="A824" s="4" t="s">
        <v>21</v>
      </c>
      <c r="B824" s="4" t="s">
        <v>39</v>
      </c>
      <c r="C824" s="4" t="s">
        <v>36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37</v>
      </c>
      <c r="I824" s="5">
        <v>44593</v>
      </c>
      <c r="J824" s="6">
        <v>0</v>
      </c>
      <c r="K824" s="6">
        <v>0</v>
      </c>
      <c r="L824" s="6">
        <v>3.8740000000000001</v>
      </c>
      <c r="M824" s="6">
        <v>3.8740000000000001</v>
      </c>
      <c r="N824" s="6">
        <v>3.8740000000000001</v>
      </c>
      <c r="O824" s="6">
        <v>3.8740000000000001</v>
      </c>
      <c r="P824" s="6">
        <v>0</v>
      </c>
      <c r="Q824" s="4" t="s">
        <v>26</v>
      </c>
      <c r="R824" s="4">
        <v>0</v>
      </c>
      <c r="S824" s="6">
        <v>0</v>
      </c>
      <c r="T824" s="6">
        <v>55</v>
      </c>
      <c r="U824" s="6">
        <v>96</v>
      </c>
      <c r="V824" s="6">
        <f>IF(ISERROR(VLOOKUP($S$824,'TAR FIN'!$A$1:$O$103,15,0)),0,VLOOKUP($S$824,'TAR FIN'!$A$1:$O$103,15,0))</f>
        <v>0</v>
      </c>
      <c r="W824" s="6">
        <f>IF(ISERROR(VLOOKUP($T$824,'TAR FIN'!$A$1:$O$103,15,0)),0,VLOOKUP($T$824,'TAR FIN'!$A$1:$O$103,15,0))</f>
        <v>642.88</v>
      </c>
      <c r="X824" s="6">
        <f>IF(ISERROR(VLOOKUP($U$824,'TAR FIN'!$A$1:$O$103,15,0)),0,VLOOKUP($U$824,'TAR FIN'!$A$1:$O$103,15,0))</f>
        <v>437.87</v>
      </c>
      <c r="Y824" s="6"/>
      <c r="Z824" s="6">
        <f ca="1">('TUSD BE'!$AM$55+'TUSD BF_350'!$AM$55+'TUSD CVA'!$AM$55)*1</f>
        <v>701.55</v>
      </c>
      <c r="AA824" s="6">
        <f ca="1">('TE BE'!$AB$39+'TE BF_350'!$AB$39+'TE CVA'!$AB$39)*1</f>
        <v>388.08000000000004</v>
      </c>
      <c r="AB824" s="6">
        <f>$K$824*$V$824</f>
        <v>0</v>
      </c>
      <c r="AC824" s="6">
        <f>$M$824*$W$824</f>
        <v>2490.51712</v>
      </c>
      <c r="AD824" s="6">
        <f>$O$824*$X$824</f>
        <v>1696.3083800000002</v>
      </c>
      <c r="AE824" s="6">
        <f>$K$824*$Y$824</f>
        <v>0</v>
      </c>
      <c r="AF824" s="6">
        <f ca="1">$M$824*$Z$824</f>
        <v>2717.8046999999997</v>
      </c>
      <c r="AG824" s="6">
        <f ca="1">$O$824*$AA$824</f>
        <v>1503.4219200000002</v>
      </c>
    </row>
    <row r="825" spans="1:33" ht="11.25" customHeight="1" x14ac:dyDescent="0.25">
      <c r="A825" s="4" t="s">
        <v>21</v>
      </c>
      <c r="B825" s="4" t="s">
        <v>39</v>
      </c>
      <c r="C825" s="4" t="s">
        <v>36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37</v>
      </c>
      <c r="I825" s="5">
        <v>44621</v>
      </c>
      <c r="J825" s="6">
        <v>0</v>
      </c>
      <c r="K825" s="6">
        <v>0</v>
      </c>
      <c r="L825" s="6">
        <v>3.29</v>
      </c>
      <c r="M825" s="6">
        <v>3.29</v>
      </c>
      <c r="N825" s="6">
        <v>3.29</v>
      </c>
      <c r="O825" s="6">
        <v>3.29</v>
      </c>
      <c r="P825" s="6">
        <v>0</v>
      </c>
      <c r="Q825" s="4" t="s">
        <v>26</v>
      </c>
      <c r="R825" s="4">
        <v>0</v>
      </c>
      <c r="S825" s="6">
        <v>0</v>
      </c>
      <c r="T825" s="6">
        <v>55</v>
      </c>
      <c r="U825" s="6">
        <v>96</v>
      </c>
      <c r="V825" s="6">
        <f>IF(ISERROR(VLOOKUP($S$825,'TAR FIN'!$A$1:$O$103,15,0)),0,VLOOKUP($S$825,'TAR FIN'!$A$1:$O$103,15,0))</f>
        <v>0</v>
      </c>
      <c r="W825" s="6">
        <f>IF(ISERROR(VLOOKUP($T$825,'TAR FIN'!$A$1:$O$103,15,0)),0,VLOOKUP($T$825,'TAR FIN'!$A$1:$O$103,15,0))</f>
        <v>642.88</v>
      </c>
      <c r="X825" s="6">
        <f>IF(ISERROR(VLOOKUP($U$825,'TAR FIN'!$A$1:$O$103,15,0)),0,VLOOKUP($U$825,'TAR FIN'!$A$1:$O$103,15,0))</f>
        <v>437.87</v>
      </c>
      <c r="Y825" s="6"/>
      <c r="Z825" s="6">
        <f ca="1">('TUSD BE'!$AM$55+'TUSD BF_350'!$AM$55+'TUSD CVA'!$AM$55)*1</f>
        <v>701.55</v>
      </c>
      <c r="AA825" s="6">
        <f ca="1">('TE BE'!$AB$39+'TE BF_350'!$AB$39+'TE CVA'!$AB$39)*1</f>
        <v>388.08000000000004</v>
      </c>
      <c r="AB825" s="6">
        <f>$K$825*$V$825</f>
        <v>0</v>
      </c>
      <c r="AC825" s="6">
        <f>$M$825*$W$825</f>
        <v>2115.0752000000002</v>
      </c>
      <c r="AD825" s="6">
        <f>$O$825*$X$825</f>
        <v>1440.5923</v>
      </c>
      <c r="AE825" s="6">
        <f>$K$825*$Y$825</f>
        <v>0</v>
      </c>
      <c r="AF825" s="6">
        <f ca="1">$M$825*$Z$825</f>
        <v>2308.0994999999998</v>
      </c>
      <c r="AG825" s="6">
        <f ca="1">$O$825*$AA$825</f>
        <v>1276.7832000000001</v>
      </c>
    </row>
    <row r="826" spans="1:33" ht="11.25" customHeight="1" x14ac:dyDescent="0.25">
      <c r="A826" s="4" t="s">
        <v>21</v>
      </c>
      <c r="B826" s="4" t="s">
        <v>39</v>
      </c>
      <c r="C826" s="4" t="s">
        <v>36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37</v>
      </c>
      <c r="I826" s="5">
        <v>44652</v>
      </c>
      <c r="J826" s="6">
        <v>0</v>
      </c>
      <c r="K826" s="6">
        <v>0</v>
      </c>
      <c r="L826" s="6">
        <v>2.508</v>
      </c>
      <c r="M826" s="6">
        <v>2.508</v>
      </c>
      <c r="N826" s="6">
        <v>2.508</v>
      </c>
      <c r="O826" s="6">
        <v>2.508</v>
      </c>
      <c r="P826" s="6">
        <v>0</v>
      </c>
      <c r="Q826" s="4" t="s">
        <v>26</v>
      </c>
      <c r="R826" s="4">
        <v>0</v>
      </c>
      <c r="S826" s="6">
        <v>0</v>
      </c>
      <c r="T826" s="6">
        <v>55</v>
      </c>
      <c r="U826" s="6">
        <v>96</v>
      </c>
      <c r="V826" s="6">
        <f>IF(ISERROR(VLOOKUP($S$826,'TAR FIN'!$A$1:$O$103,15,0)),0,VLOOKUP($S$826,'TAR FIN'!$A$1:$O$103,15,0))</f>
        <v>0</v>
      </c>
      <c r="W826" s="6">
        <f>IF(ISERROR(VLOOKUP($T$826,'TAR FIN'!$A$1:$O$103,15,0)),0,VLOOKUP($T$826,'TAR FIN'!$A$1:$O$103,15,0))</f>
        <v>642.88</v>
      </c>
      <c r="X826" s="6">
        <f>IF(ISERROR(VLOOKUP($U$826,'TAR FIN'!$A$1:$O$103,15,0)),0,VLOOKUP($U$826,'TAR FIN'!$A$1:$O$103,15,0))</f>
        <v>437.87</v>
      </c>
      <c r="Y826" s="6"/>
      <c r="Z826" s="6">
        <f ca="1">('TUSD BE'!$AM$55+'TUSD BF_350'!$AM$55+'TUSD CVA'!$AM$55)*1</f>
        <v>701.55</v>
      </c>
      <c r="AA826" s="6">
        <f ca="1">('TE BE'!$AB$39+'TE BF_350'!$AB$39+'TE CVA'!$AB$39)*1</f>
        <v>388.08000000000004</v>
      </c>
      <c r="AB826" s="6">
        <f>$K$826*$V$826</f>
        <v>0</v>
      </c>
      <c r="AC826" s="6">
        <f>$M$826*$W$826</f>
        <v>1612.34304</v>
      </c>
      <c r="AD826" s="6">
        <f>$O$826*$X$826</f>
        <v>1098.17796</v>
      </c>
      <c r="AE826" s="6">
        <f>$K$826*$Y$826</f>
        <v>0</v>
      </c>
      <c r="AF826" s="6">
        <f ca="1">$M$826*$Z$826</f>
        <v>1759.4874</v>
      </c>
      <c r="AG826" s="6">
        <f ca="1">$O$826*$AA$826</f>
        <v>973.30464000000006</v>
      </c>
    </row>
    <row r="827" spans="1:33" ht="11.25" customHeight="1" x14ac:dyDescent="0.25">
      <c r="A827" s="4" t="s">
        <v>28</v>
      </c>
      <c r="B827" s="4" t="s">
        <v>39</v>
      </c>
      <c r="C827" s="4" t="s">
        <v>36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37</v>
      </c>
      <c r="I827" s="5">
        <v>44652</v>
      </c>
      <c r="J827" s="6">
        <v>0</v>
      </c>
      <c r="K827" s="6">
        <v>0</v>
      </c>
      <c r="L827" s="6">
        <v>0.82499999999999996</v>
      </c>
      <c r="M827" s="6">
        <v>0.82499999999999996</v>
      </c>
      <c r="N827" s="6">
        <v>0.82499999999999996</v>
      </c>
      <c r="O827" s="6">
        <v>0.82499999999999996</v>
      </c>
      <c r="P827" s="6">
        <v>0</v>
      </c>
      <c r="Q827" s="4" t="s">
        <v>26</v>
      </c>
      <c r="R827" s="4">
        <v>0</v>
      </c>
      <c r="S827" s="6">
        <v>0</v>
      </c>
      <c r="T827" s="6">
        <v>55</v>
      </c>
      <c r="U827" s="6">
        <v>96</v>
      </c>
      <c r="V827" s="6">
        <f>IF(ISERROR(VLOOKUP($S$827,'TAR FIN'!$A$1:$O$103,15,0)),0,VLOOKUP($S$827,'TAR FIN'!$A$1:$O$103,15,0))</f>
        <v>0</v>
      </c>
      <c r="W827" s="6">
        <f>IF(ISERROR(VLOOKUP($T$827,'TAR FIN'!$A$1:$O$103,15,0)),0,VLOOKUP($T$827,'TAR FIN'!$A$1:$O$103,15,0))</f>
        <v>642.88</v>
      </c>
      <c r="X827" s="6">
        <f>IF(ISERROR(VLOOKUP($U$827,'TAR FIN'!$A$1:$O$103,15,0)),0,VLOOKUP($U$827,'TAR FIN'!$A$1:$O$103,15,0))</f>
        <v>437.87</v>
      </c>
      <c r="Y827" s="6"/>
      <c r="Z827" s="6">
        <f ca="1">('TUSD BE'!$AM$55+'TUSD BF_350'!$AM$55+'TUSD CVA'!$AM$55)*1</f>
        <v>701.55</v>
      </c>
      <c r="AA827" s="6">
        <f ca="1">('TE BE'!$AB$39+'TE BF_350'!$AB$39+'TE CVA'!$AB$39)*1</f>
        <v>388.08000000000004</v>
      </c>
      <c r="AB827" s="6">
        <f>$K$827*$V$827</f>
        <v>0</v>
      </c>
      <c r="AC827" s="6">
        <f>$M$827*$W$827</f>
        <v>530.37599999999998</v>
      </c>
      <c r="AD827" s="6">
        <f>$O$827*$X$827</f>
        <v>361.24275</v>
      </c>
      <c r="AE827" s="6">
        <f>$K$827*$Y$827</f>
        <v>0</v>
      </c>
      <c r="AF827" s="6">
        <f ca="1">$M$827*$Z$827</f>
        <v>578.77874999999995</v>
      </c>
      <c r="AG827" s="6">
        <f ca="1">$O$827*$AA$827</f>
        <v>320.166</v>
      </c>
    </row>
    <row r="828" spans="1:33" ht="11.25" customHeight="1" x14ac:dyDescent="0.25">
      <c r="A828" s="4" t="s">
        <v>21</v>
      </c>
      <c r="B828" s="4" t="s">
        <v>39</v>
      </c>
      <c r="C828" s="4" t="s">
        <v>36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37</v>
      </c>
      <c r="I828" s="5">
        <v>44682</v>
      </c>
      <c r="J828" s="6">
        <v>0</v>
      </c>
      <c r="K828" s="6">
        <v>0</v>
      </c>
      <c r="L828" s="6">
        <v>2.8730000000000002</v>
      </c>
      <c r="M828" s="6">
        <v>2.8730000000000002</v>
      </c>
      <c r="N828" s="6">
        <v>2.8730000000000002</v>
      </c>
      <c r="O828" s="6">
        <v>2.8730000000000002</v>
      </c>
      <c r="P828" s="6">
        <v>0</v>
      </c>
      <c r="Q828" s="4" t="s">
        <v>26</v>
      </c>
      <c r="R828" s="4">
        <v>0</v>
      </c>
      <c r="S828" s="6">
        <v>0</v>
      </c>
      <c r="T828" s="6">
        <v>55</v>
      </c>
      <c r="U828" s="6">
        <v>96</v>
      </c>
      <c r="V828" s="6">
        <f>IF(ISERROR(VLOOKUP($S$828,'TAR FIN'!$A$1:$O$103,15,0)),0,VLOOKUP($S$828,'TAR FIN'!$A$1:$O$103,15,0))</f>
        <v>0</v>
      </c>
      <c r="W828" s="6">
        <f>IF(ISERROR(VLOOKUP($T$828,'TAR FIN'!$A$1:$O$103,15,0)),0,VLOOKUP($T$828,'TAR FIN'!$A$1:$O$103,15,0))</f>
        <v>642.88</v>
      </c>
      <c r="X828" s="6">
        <f>IF(ISERROR(VLOOKUP($U$828,'TAR FIN'!$A$1:$O$103,15,0)),0,VLOOKUP($U$828,'TAR FIN'!$A$1:$O$103,15,0))</f>
        <v>437.87</v>
      </c>
      <c r="Y828" s="6"/>
      <c r="Z828" s="6">
        <f ca="1">('TUSD BE'!$AM$55+'TUSD BF_350'!$AM$55+'TUSD CVA'!$AM$55)*1</f>
        <v>701.55</v>
      </c>
      <c r="AA828" s="6">
        <f ca="1">('TE BE'!$AB$39+'TE BF_350'!$AB$39+'TE CVA'!$AB$39)*1</f>
        <v>388.08000000000004</v>
      </c>
      <c r="AB828" s="6">
        <f>$K$828*$V$828</f>
        <v>0</v>
      </c>
      <c r="AC828" s="6">
        <f>$M$828*$W$828</f>
        <v>1846.9942400000002</v>
      </c>
      <c r="AD828" s="6">
        <f>$O$828*$X$828</f>
        <v>1258.0005100000001</v>
      </c>
      <c r="AE828" s="6">
        <f>$K$828*$Y$828</f>
        <v>0</v>
      </c>
      <c r="AF828" s="6">
        <f ca="1">$M$828*$Z$828</f>
        <v>2015.55315</v>
      </c>
      <c r="AG828" s="6">
        <f ca="1">$O$828*$AA$828</f>
        <v>1114.9538400000001</v>
      </c>
    </row>
    <row r="829" spans="1:33" ht="11.25" customHeight="1" x14ac:dyDescent="0.25">
      <c r="A829" s="4" t="s">
        <v>21</v>
      </c>
      <c r="B829" s="4" t="s">
        <v>39</v>
      </c>
      <c r="C829" s="4" t="s">
        <v>36</v>
      </c>
      <c r="D829" s="4" t="s">
        <v>40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44348</v>
      </c>
      <c r="J829" s="6">
        <v>0</v>
      </c>
      <c r="K829" s="6">
        <v>0</v>
      </c>
      <c r="L829" s="6">
        <v>1.972</v>
      </c>
      <c r="M829" s="6">
        <v>1.972</v>
      </c>
      <c r="N829" s="6">
        <v>1.972</v>
      </c>
      <c r="O829" s="6">
        <v>1.972</v>
      </c>
      <c r="P829" s="6">
        <v>0</v>
      </c>
      <c r="Q829" s="4" t="s">
        <v>26</v>
      </c>
      <c r="R829" s="4">
        <v>0</v>
      </c>
      <c r="S829" s="6">
        <v>0</v>
      </c>
      <c r="T829" s="6">
        <v>57</v>
      </c>
      <c r="U829" s="6">
        <v>98</v>
      </c>
      <c r="V829" s="6">
        <f>IF(ISERROR(VLOOKUP($S$829,'TAR FIN'!$A$1:$O$103,15,0)),0,VLOOKUP($S$829,'TAR FIN'!$A$1:$O$103,15,0))</f>
        <v>0</v>
      </c>
      <c r="W829" s="6">
        <f>IF(ISERROR(VLOOKUP($T$829,'TAR FIN'!$A$1:$O$103,15,0)),0,VLOOKUP($T$829,'TAR FIN'!$A$1:$O$103,15,0))</f>
        <v>214.77</v>
      </c>
      <c r="X829" s="6">
        <f>IF(ISERROR(VLOOKUP($U$829,'TAR FIN'!$A$1:$O$103,15,0)),0,VLOOKUP($U$829,'TAR FIN'!$A$1:$O$103,15,0))</f>
        <v>275.36</v>
      </c>
      <c r="Y829" s="6"/>
      <c r="Z829" s="6">
        <f ca="1">('TUSD BE'!$AM$57+'TUSD BF_350'!$AM$57+'TUSD CVA'!$AM$57)*1</f>
        <v>253.04</v>
      </c>
      <c r="AA829" s="6">
        <f ca="1">('TE BE'!$AB$41+'TE BF_350'!$AB$41+'TE CVA'!$AB$41)*1</f>
        <v>247.20000000000002</v>
      </c>
      <c r="AB829" s="6">
        <f>$K$829*$V$829</f>
        <v>0</v>
      </c>
      <c r="AC829" s="6">
        <f>$M$829*$W$829</f>
        <v>423.52644000000004</v>
      </c>
      <c r="AD829" s="6">
        <f>$O$829*$X$829</f>
        <v>543.00991999999997</v>
      </c>
      <c r="AE829" s="6">
        <f>$K$829*$Y$829</f>
        <v>0</v>
      </c>
      <c r="AF829" s="6">
        <f ca="1">$M$829*$Z$829</f>
        <v>498.99487999999997</v>
      </c>
      <c r="AG829" s="6">
        <f ca="1">$O$829*$AA$829</f>
        <v>487.47840000000002</v>
      </c>
    </row>
    <row r="830" spans="1:33" ht="11.25" customHeight="1" x14ac:dyDescent="0.25">
      <c r="A830" s="4" t="s">
        <v>21</v>
      </c>
      <c r="B830" s="4" t="s">
        <v>39</v>
      </c>
      <c r="C830" s="4" t="s">
        <v>36</v>
      </c>
      <c r="D830" s="4" t="s">
        <v>40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44378</v>
      </c>
      <c r="J830" s="6">
        <v>0</v>
      </c>
      <c r="K830" s="6">
        <v>0</v>
      </c>
      <c r="L830" s="6">
        <v>2.1680000000000001</v>
      </c>
      <c r="M830" s="6">
        <v>2.1680000000000001</v>
      </c>
      <c r="N830" s="6">
        <v>2.1680000000000001</v>
      </c>
      <c r="O830" s="6">
        <v>2.1680000000000001</v>
      </c>
      <c r="P830" s="6">
        <v>0</v>
      </c>
      <c r="Q830" s="4" t="s">
        <v>26</v>
      </c>
      <c r="R830" s="4">
        <v>0</v>
      </c>
      <c r="S830" s="6">
        <v>0</v>
      </c>
      <c r="T830" s="6">
        <v>57</v>
      </c>
      <c r="U830" s="6">
        <v>98</v>
      </c>
      <c r="V830" s="6">
        <f>IF(ISERROR(VLOOKUP($S$830,'TAR FIN'!$A$1:$O$103,15,0)),0,VLOOKUP($S$830,'TAR FIN'!$A$1:$O$103,15,0))</f>
        <v>0</v>
      </c>
      <c r="W830" s="6">
        <f>IF(ISERROR(VLOOKUP($T$830,'TAR FIN'!$A$1:$O$103,15,0)),0,VLOOKUP($T$830,'TAR FIN'!$A$1:$O$103,15,0))</f>
        <v>214.77</v>
      </c>
      <c r="X830" s="6">
        <f>IF(ISERROR(VLOOKUP($U$830,'TAR FIN'!$A$1:$O$103,15,0)),0,VLOOKUP($U$830,'TAR FIN'!$A$1:$O$103,15,0))</f>
        <v>275.36</v>
      </c>
      <c r="Y830" s="6"/>
      <c r="Z830" s="6">
        <f ca="1">('TUSD BE'!$AM$57+'TUSD BF_350'!$AM$57+'TUSD CVA'!$AM$57)*1</f>
        <v>253.04</v>
      </c>
      <c r="AA830" s="6">
        <f ca="1">('TE BE'!$AB$41+'TE BF_350'!$AB$41+'TE CVA'!$AB$41)*1</f>
        <v>247.20000000000002</v>
      </c>
      <c r="AB830" s="6">
        <f>$K$830*$V$830</f>
        <v>0</v>
      </c>
      <c r="AC830" s="6">
        <f>$M$830*$W$830</f>
        <v>465.62136000000004</v>
      </c>
      <c r="AD830" s="6">
        <f>$O$830*$X$830</f>
        <v>596.98048000000006</v>
      </c>
      <c r="AE830" s="6">
        <f>$K$830*$Y$830</f>
        <v>0</v>
      </c>
      <c r="AF830" s="6">
        <f ca="1">$M$830*$Z$830</f>
        <v>548.59072000000003</v>
      </c>
      <c r="AG830" s="6">
        <f ca="1">$O$830*$AA$830</f>
        <v>535.92960000000005</v>
      </c>
    </row>
    <row r="831" spans="1:33" ht="11.25" customHeight="1" x14ac:dyDescent="0.25">
      <c r="A831" s="4" t="s">
        <v>21</v>
      </c>
      <c r="B831" s="4" t="s">
        <v>39</v>
      </c>
      <c r="C831" s="4" t="s">
        <v>36</v>
      </c>
      <c r="D831" s="4" t="s">
        <v>40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44409</v>
      </c>
      <c r="J831" s="6">
        <v>0</v>
      </c>
      <c r="K831" s="6">
        <v>0</v>
      </c>
      <c r="L831" s="6">
        <v>2.1709999999999998</v>
      </c>
      <c r="M831" s="6">
        <v>2.1709999999999998</v>
      </c>
      <c r="N831" s="6">
        <v>2.1709999999999998</v>
      </c>
      <c r="O831" s="6">
        <v>2.1709999999999998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57</v>
      </c>
      <c r="U831" s="6">
        <v>98</v>
      </c>
      <c r="V831" s="6">
        <f>IF(ISERROR(VLOOKUP($S$831,'TAR FIN'!$A$1:$O$103,15,0)),0,VLOOKUP($S$831,'TAR FIN'!$A$1:$O$103,15,0))</f>
        <v>0</v>
      </c>
      <c r="W831" s="6">
        <f>IF(ISERROR(VLOOKUP($T$831,'TAR FIN'!$A$1:$O$103,15,0)),0,VLOOKUP($T$831,'TAR FIN'!$A$1:$O$103,15,0))</f>
        <v>214.77</v>
      </c>
      <c r="X831" s="6">
        <f>IF(ISERROR(VLOOKUP($U$831,'TAR FIN'!$A$1:$O$103,15,0)),0,VLOOKUP($U$831,'TAR FIN'!$A$1:$O$103,15,0))</f>
        <v>275.36</v>
      </c>
      <c r="Y831" s="6"/>
      <c r="Z831" s="6">
        <f ca="1">('TUSD BE'!$AM$57+'TUSD BF_350'!$AM$57+'TUSD CVA'!$AM$57)*1</f>
        <v>253.04</v>
      </c>
      <c r="AA831" s="6">
        <f ca="1">('TE BE'!$AB$41+'TE BF_350'!$AB$41+'TE CVA'!$AB$41)*1</f>
        <v>247.20000000000002</v>
      </c>
      <c r="AB831" s="6">
        <f>$K$831*$V$831</f>
        <v>0</v>
      </c>
      <c r="AC831" s="6">
        <f>$M$831*$W$831</f>
        <v>466.26567</v>
      </c>
      <c r="AD831" s="6">
        <f>$O$831*$X$831</f>
        <v>597.80655999999999</v>
      </c>
      <c r="AE831" s="6">
        <f>$K$831*$Y$831</f>
        <v>0</v>
      </c>
      <c r="AF831" s="6">
        <f ca="1">$M$831*$Z$831</f>
        <v>549.34983999999997</v>
      </c>
      <c r="AG831" s="6">
        <f ca="1">$O$831*$AA$831</f>
        <v>536.6712</v>
      </c>
    </row>
    <row r="832" spans="1:33" ht="11.25" customHeight="1" x14ac:dyDescent="0.25">
      <c r="A832" s="4" t="s">
        <v>21</v>
      </c>
      <c r="B832" s="4" t="s">
        <v>39</v>
      </c>
      <c r="C832" s="4" t="s">
        <v>36</v>
      </c>
      <c r="D832" s="4" t="s">
        <v>40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44440</v>
      </c>
      <c r="J832" s="6">
        <v>0</v>
      </c>
      <c r="K832" s="6">
        <v>0</v>
      </c>
      <c r="L832" s="6">
        <v>2.056</v>
      </c>
      <c r="M832" s="6">
        <v>2.056</v>
      </c>
      <c r="N832" s="6">
        <v>2.056</v>
      </c>
      <c r="O832" s="6">
        <v>2.056</v>
      </c>
      <c r="P832" s="6">
        <v>0</v>
      </c>
      <c r="Q832" s="4" t="s">
        <v>26</v>
      </c>
      <c r="R832" s="4">
        <v>0</v>
      </c>
      <c r="S832" s="6">
        <v>0</v>
      </c>
      <c r="T832" s="6">
        <v>57</v>
      </c>
      <c r="U832" s="6">
        <v>98</v>
      </c>
      <c r="V832" s="6">
        <f>IF(ISERROR(VLOOKUP($S$832,'TAR FIN'!$A$1:$O$103,15,0)),0,VLOOKUP($S$832,'TAR FIN'!$A$1:$O$103,15,0))</f>
        <v>0</v>
      </c>
      <c r="W832" s="6">
        <f>IF(ISERROR(VLOOKUP($T$832,'TAR FIN'!$A$1:$O$103,15,0)),0,VLOOKUP($T$832,'TAR FIN'!$A$1:$O$103,15,0))</f>
        <v>214.77</v>
      </c>
      <c r="X832" s="6">
        <f>IF(ISERROR(VLOOKUP($U$832,'TAR FIN'!$A$1:$O$103,15,0)),0,VLOOKUP($U$832,'TAR FIN'!$A$1:$O$103,15,0))</f>
        <v>275.36</v>
      </c>
      <c r="Y832" s="6"/>
      <c r="Z832" s="6">
        <f ca="1">('TUSD BE'!$AM$57+'TUSD BF_350'!$AM$57+'TUSD CVA'!$AM$57)*1</f>
        <v>253.04</v>
      </c>
      <c r="AA832" s="6">
        <f ca="1">('TE BE'!$AB$41+'TE BF_350'!$AB$41+'TE CVA'!$AB$41)*1</f>
        <v>247.20000000000002</v>
      </c>
      <c r="AB832" s="6">
        <f>$K$832*$V$832</f>
        <v>0</v>
      </c>
      <c r="AC832" s="6">
        <f>$M$832*$W$832</f>
        <v>441.56712000000005</v>
      </c>
      <c r="AD832" s="6">
        <f>$O$832*$X$832</f>
        <v>566.14016000000004</v>
      </c>
      <c r="AE832" s="6">
        <f>$K$832*$Y$832</f>
        <v>0</v>
      </c>
      <c r="AF832" s="6">
        <f ca="1">$M$832*$Z$832</f>
        <v>520.25023999999996</v>
      </c>
      <c r="AG832" s="6">
        <f ca="1">$O$832*$AA$832</f>
        <v>508.24320000000006</v>
      </c>
    </row>
    <row r="833" spans="1:33" ht="11.25" customHeight="1" x14ac:dyDescent="0.25">
      <c r="A833" s="4" t="s">
        <v>21</v>
      </c>
      <c r="B833" s="4" t="s">
        <v>39</v>
      </c>
      <c r="C833" s="4" t="s">
        <v>36</v>
      </c>
      <c r="D833" s="4" t="s">
        <v>40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44470</v>
      </c>
      <c r="J833" s="6">
        <v>0</v>
      </c>
      <c r="K833" s="6">
        <v>0</v>
      </c>
      <c r="L833" s="6">
        <v>2.024</v>
      </c>
      <c r="M833" s="6">
        <v>2.024</v>
      </c>
      <c r="N833" s="6">
        <v>2.024</v>
      </c>
      <c r="O833" s="6">
        <v>2.024</v>
      </c>
      <c r="P833" s="6">
        <v>0</v>
      </c>
      <c r="Q833" s="4" t="s">
        <v>26</v>
      </c>
      <c r="R833" s="4">
        <v>0</v>
      </c>
      <c r="S833" s="6">
        <v>0</v>
      </c>
      <c r="T833" s="6">
        <v>57</v>
      </c>
      <c r="U833" s="6">
        <v>98</v>
      </c>
      <c r="V833" s="6">
        <f>IF(ISERROR(VLOOKUP($S$833,'TAR FIN'!$A$1:$O$103,15,0)),0,VLOOKUP($S$833,'TAR FIN'!$A$1:$O$103,15,0))</f>
        <v>0</v>
      </c>
      <c r="W833" s="6">
        <f>IF(ISERROR(VLOOKUP($T$833,'TAR FIN'!$A$1:$O$103,15,0)),0,VLOOKUP($T$833,'TAR FIN'!$A$1:$O$103,15,0))</f>
        <v>214.77</v>
      </c>
      <c r="X833" s="6">
        <f>IF(ISERROR(VLOOKUP($U$833,'TAR FIN'!$A$1:$O$103,15,0)),0,VLOOKUP($U$833,'TAR FIN'!$A$1:$O$103,15,0))</f>
        <v>275.36</v>
      </c>
      <c r="Y833" s="6"/>
      <c r="Z833" s="6">
        <f ca="1">('TUSD BE'!$AM$57+'TUSD BF_350'!$AM$57+'TUSD CVA'!$AM$57)*1</f>
        <v>253.04</v>
      </c>
      <c r="AA833" s="6">
        <f ca="1">('TE BE'!$AB$41+'TE BF_350'!$AB$41+'TE CVA'!$AB$41)*1</f>
        <v>247.20000000000002</v>
      </c>
      <c r="AB833" s="6">
        <f>$K$833*$V$833</f>
        <v>0</v>
      </c>
      <c r="AC833" s="6">
        <f>$M$833*$W$833</f>
        <v>434.69448</v>
      </c>
      <c r="AD833" s="6">
        <f>$O$833*$X$833</f>
        <v>557.32864000000006</v>
      </c>
      <c r="AE833" s="6">
        <f>$K$833*$Y$833</f>
        <v>0</v>
      </c>
      <c r="AF833" s="6">
        <f ca="1">$M$833*$Z$833</f>
        <v>512.15296000000001</v>
      </c>
      <c r="AG833" s="6">
        <f ca="1">$O$833*$AA$833</f>
        <v>500.33280000000002</v>
      </c>
    </row>
    <row r="834" spans="1:33" ht="11.25" customHeight="1" x14ac:dyDescent="0.25">
      <c r="A834" s="4" t="s">
        <v>21</v>
      </c>
      <c r="B834" s="4" t="s">
        <v>39</v>
      </c>
      <c r="C834" s="4" t="s">
        <v>36</v>
      </c>
      <c r="D834" s="4" t="s">
        <v>40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44501</v>
      </c>
      <c r="J834" s="6">
        <v>0</v>
      </c>
      <c r="K834" s="6">
        <v>0</v>
      </c>
      <c r="L834" s="6">
        <v>2.0179999999999998</v>
      </c>
      <c r="M834" s="6">
        <v>2.0179999999999998</v>
      </c>
      <c r="N834" s="6">
        <v>2.0179999999999998</v>
      </c>
      <c r="O834" s="6">
        <v>2.0179999999999998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57</v>
      </c>
      <c r="U834" s="6">
        <v>98</v>
      </c>
      <c r="V834" s="6">
        <f>IF(ISERROR(VLOOKUP($S$834,'TAR FIN'!$A$1:$O$103,15,0)),0,VLOOKUP($S$834,'TAR FIN'!$A$1:$O$103,15,0))</f>
        <v>0</v>
      </c>
      <c r="W834" s="6">
        <f>IF(ISERROR(VLOOKUP($T$834,'TAR FIN'!$A$1:$O$103,15,0)),0,VLOOKUP($T$834,'TAR FIN'!$A$1:$O$103,15,0))</f>
        <v>214.77</v>
      </c>
      <c r="X834" s="6">
        <f>IF(ISERROR(VLOOKUP($U$834,'TAR FIN'!$A$1:$O$103,15,0)),0,VLOOKUP($U$834,'TAR FIN'!$A$1:$O$103,15,0))</f>
        <v>275.36</v>
      </c>
      <c r="Y834" s="6"/>
      <c r="Z834" s="6">
        <f ca="1">('TUSD BE'!$AM$57+'TUSD BF_350'!$AM$57+'TUSD CVA'!$AM$57)*1</f>
        <v>253.04</v>
      </c>
      <c r="AA834" s="6">
        <f ca="1">('TE BE'!$AB$41+'TE BF_350'!$AB$41+'TE CVA'!$AB$41)*1</f>
        <v>247.20000000000002</v>
      </c>
      <c r="AB834" s="6">
        <f>$K$834*$V$834</f>
        <v>0</v>
      </c>
      <c r="AC834" s="6">
        <f>$M$834*$W$834</f>
        <v>433.40585999999996</v>
      </c>
      <c r="AD834" s="6">
        <f>$O$834*$X$834</f>
        <v>555.67647999999997</v>
      </c>
      <c r="AE834" s="6">
        <f>$K$834*$Y$834</f>
        <v>0</v>
      </c>
      <c r="AF834" s="6">
        <f ca="1">$M$834*$Z$834</f>
        <v>510.63471999999996</v>
      </c>
      <c r="AG834" s="6">
        <f ca="1">$O$834*$AA$834</f>
        <v>498.84960000000001</v>
      </c>
    </row>
    <row r="835" spans="1:33" ht="11.25" customHeight="1" x14ac:dyDescent="0.25">
      <c r="A835" s="4" t="s">
        <v>21</v>
      </c>
      <c r="B835" s="4" t="s">
        <v>39</v>
      </c>
      <c r="C835" s="4" t="s">
        <v>36</v>
      </c>
      <c r="D835" s="4" t="s">
        <v>40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44531</v>
      </c>
      <c r="J835" s="6">
        <v>0</v>
      </c>
      <c r="K835" s="6">
        <v>0</v>
      </c>
      <c r="L835" s="6">
        <v>2.08</v>
      </c>
      <c r="M835" s="6">
        <v>2.08</v>
      </c>
      <c r="N835" s="6">
        <v>2.08</v>
      </c>
      <c r="O835" s="6">
        <v>2.08</v>
      </c>
      <c r="P835" s="6">
        <v>0</v>
      </c>
      <c r="Q835" s="4" t="s">
        <v>26</v>
      </c>
      <c r="R835" s="4">
        <v>0</v>
      </c>
      <c r="S835" s="6">
        <v>0</v>
      </c>
      <c r="T835" s="6">
        <v>57</v>
      </c>
      <c r="U835" s="6">
        <v>98</v>
      </c>
      <c r="V835" s="6">
        <f>IF(ISERROR(VLOOKUP($S$835,'TAR FIN'!$A$1:$O$103,15,0)),0,VLOOKUP($S$835,'TAR FIN'!$A$1:$O$103,15,0))</f>
        <v>0</v>
      </c>
      <c r="W835" s="6">
        <f>IF(ISERROR(VLOOKUP($T$835,'TAR FIN'!$A$1:$O$103,15,0)),0,VLOOKUP($T$835,'TAR FIN'!$A$1:$O$103,15,0))</f>
        <v>214.77</v>
      </c>
      <c r="X835" s="6">
        <f>IF(ISERROR(VLOOKUP($U$835,'TAR FIN'!$A$1:$O$103,15,0)),0,VLOOKUP($U$835,'TAR FIN'!$A$1:$O$103,15,0))</f>
        <v>275.36</v>
      </c>
      <c r="Y835" s="6"/>
      <c r="Z835" s="6">
        <f ca="1">('TUSD BE'!$AM$57+'TUSD BF_350'!$AM$57+'TUSD CVA'!$AM$57)*1</f>
        <v>253.04</v>
      </c>
      <c r="AA835" s="6">
        <f ca="1">('TE BE'!$AB$41+'TE BF_350'!$AB$41+'TE CVA'!$AB$41)*1</f>
        <v>247.20000000000002</v>
      </c>
      <c r="AB835" s="6">
        <f>$K$835*$V$835</f>
        <v>0</v>
      </c>
      <c r="AC835" s="6">
        <f>$M$835*$W$835</f>
        <v>446.72160000000002</v>
      </c>
      <c r="AD835" s="6">
        <f>$O$835*$X$835</f>
        <v>572.74880000000007</v>
      </c>
      <c r="AE835" s="6">
        <f>$K$835*$Y$835</f>
        <v>0</v>
      </c>
      <c r="AF835" s="6">
        <f ca="1">$M$835*$Z$835</f>
        <v>526.32320000000004</v>
      </c>
      <c r="AG835" s="6">
        <f ca="1">$O$835*$AA$835</f>
        <v>514.17600000000004</v>
      </c>
    </row>
    <row r="836" spans="1:33" ht="11.25" customHeight="1" x14ac:dyDescent="0.25">
      <c r="A836" s="4" t="s">
        <v>21</v>
      </c>
      <c r="B836" s="4" t="s">
        <v>39</v>
      </c>
      <c r="C836" s="4" t="s">
        <v>36</v>
      </c>
      <c r="D836" s="4" t="s">
        <v>40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44562</v>
      </c>
      <c r="J836" s="6">
        <v>0</v>
      </c>
      <c r="K836" s="6">
        <v>0</v>
      </c>
      <c r="L836" s="6">
        <v>1.895</v>
      </c>
      <c r="M836" s="6">
        <v>1.895</v>
      </c>
      <c r="N836" s="6">
        <v>1.895</v>
      </c>
      <c r="O836" s="6">
        <v>1.895</v>
      </c>
      <c r="P836" s="6">
        <v>0</v>
      </c>
      <c r="Q836" s="4" t="s">
        <v>26</v>
      </c>
      <c r="R836" s="4">
        <v>0</v>
      </c>
      <c r="S836" s="6">
        <v>0</v>
      </c>
      <c r="T836" s="6">
        <v>57</v>
      </c>
      <c r="U836" s="6">
        <v>98</v>
      </c>
      <c r="V836" s="6">
        <f>IF(ISERROR(VLOOKUP($S$836,'TAR FIN'!$A$1:$O$103,15,0)),0,VLOOKUP($S$836,'TAR FIN'!$A$1:$O$103,15,0))</f>
        <v>0</v>
      </c>
      <c r="W836" s="6">
        <f>IF(ISERROR(VLOOKUP($T$836,'TAR FIN'!$A$1:$O$103,15,0)),0,VLOOKUP($T$836,'TAR FIN'!$A$1:$O$103,15,0))</f>
        <v>214.77</v>
      </c>
      <c r="X836" s="6">
        <f>IF(ISERROR(VLOOKUP($U$836,'TAR FIN'!$A$1:$O$103,15,0)),0,VLOOKUP($U$836,'TAR FIN'!$A$1:$O$103,15,0))</f>
        <v>275.36</v>
      </c>
      <c r="Y836" s="6"/>
      <c r="Z836" s="6">
        <f ca="1">('TUSD BE'!$AM$57+'TUSD BF_350'!$AM$57+'TUSD CVA'!$AM$57)*1</f>
        <v>253.04</v>
      </c>
      <c r="AA836" s="6">
        <f ca="1">('TE BE'!$AB$41+'TE BF_350'!$AB$41+'TE CVA'!$AB$41)*1</f>
        <v>247.20000000000002</v>
      </c>
      <c r="AB836" s="6">
        <f>$K$836*$V$836</f>
        <v>0</v>
      </c>
      <c r="AC836" s="6">
        <f>$M$836*$W$836</f>
        <v>406.98915</v>
      </c>
      <c r="AD836" s="6">
        <f>$O$836*$X$836</f>
        <v>521.80720000000008</v>
      </c>
      <c r="AE836" s="6">
        <f>$K$836*$Y$836</f>
        <v>0</v>
      </c>
      <c r="AF836" s="6">
        <f ca="1">$M$836*$Z$836</f>
        <v>479.51080000000002</v>
      </c>
      <c r="AG836" s="6">
        <f ca="1">$O$836*$AA$836</f>
        <v>468.44400000000002</v>
      </c>
    </row>
    <row r="837" spans="1:33" ht="11.25" customHeight="1" x14ac:dyDescent="0.25">
      <c r="A837" s="4" t="s">
        <v>21</v>
      </c>
      <c r="B837" s="4" t="s">
        <v>39</v>
      </c>
      <c r="C837" s="4" t="s">
        <v>36</v>
      </c>
      <c r="D837" s="4" t="s">
        <v>40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44593</v>
      </c>
      <c r="J837" s="6">
        <v>0</v>
      </c>
      <c r="K837" s="6">
        <v>0</v>
      </c>
      <c r="L837" s="6">
        <v>2.2280000000000002</v>
      </c>
      <c r="M837" s="6">
        <v>2.2280000000000002</v>
      </c>
      <c r="N837" s="6">
        <v>2.2280000000000002</v>
      </c>
      <c r="O837" s="6">
        <v>2.2280000000000002</v>
      </c>
      <c r="P837" s="6">
        <v>0</v>
      </c>
      <c r="Q837" s="4" t="s">
        <v>26</v>
      </c>
      <c r="R837" s="4">
        <v>0</v>
      </c>
      <c r="S837" s="6">
        <v>0</v>
      </c>
      <c r="T837" s="6">
        <v>57</v>
      </c>
      <c r="U837" s="6">
        <v>98</v>
      </c>
      <c r="V837" s="6">
        <f>IF(ISERROR(VLOOKUP($S$837,'TAR FIN'!$A$1:$O$103,15,0)),0,VLOOKUP($S$837,'TAR FIN'!$A$1:$O$103,15,0))</f>
        <v>0</v>
      </c>
      <c r="W837" s="6">
        <f>IF(ISERROR(VLOOKUP($T$837,'TAR FIN'!$A$1:$O$103,15,0)),0,VLOOKUP($T$837,'TAR FIN'!$A$1:$O$103,15,0))</f>
        <v>214.77</v>
      </c>
      <c r="X837" s="6">
        <f>IF(ISERROR(VLOOKUP($U$837,'TAR FIN'!$A$1:$O$103,15,0)),0,VLOOKUP($U$837,'TAR FIN'!$A$1:$O$103,15,0))</f>
        <v>275.36</v>
      </c>
      <c r="Y837" s="6"/>
      <c r="Z837" s="6">
        <f ca="1">('TUSD BE'!$AM$57+'TUSD BF_350'!$AM$57+'TUSD CVA'!$AM$57)*1</f>
        <v>253.04</v>
      </c>
      <c r="AA837" s="6">
        <f ca="1">('TE BE'!$AB$41+'TE BF_350'!$AB$41+'TE CVA'!$AB$41)*1</f>
        <v>247.20000000000002</v>
      </c>
      <c r="AB837" s="6">
        <f>$K$837*$V$837</f>
        <v>0</v>
      </c>
      <c r="AC837" s="6">
        <f>$M$837*$W$837</f>
        <v>478.50756000000007</v>
      </c>
      <c r="AD837" s="6">
        <f>$O$837*$X$837</f>
        <v>613.50208000000009</v>
      </c>
      <c r="AE837" s="6">
        <f>$K$837*$Y$837</f>
        <v>0</v>
      </c>
      <c r="AF837" s="6">
        <f ca="1">$M$837*$Z$837</f>
        <v>563.77312000000006</v>
      </c>
      <c r="AG837" s="6">
        <f ca="1">$O$837*$AA$837</f>
        <v>550.76160000000004</v>
      </c>
    </row>
    <row r="838" spans="1:33" ht="11.25" customHeight="1" x14ac:dyDescent="0.25">
      <c r="A838" s="4" t="s">
        <v>21</v>
      </c>
      <c r="B838" s="4" t="s">
        <v>39</v>
      </c>
      <c r="C838" s="4" t="s">
        <v>36</v>
      </c>
      <c r="D838" s="4" t="s">
        <v>40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44621</v>
      </c>
      <c r="J838" s="6">
        <v>0</v>
      </c>
      <c r="K838" s="6">
        <v>0</v>
      </c>
      <c r="L838" s="6">
        <v>2.14</v>
      </c>
      <c r="M838" s="6">
        <v>2.14</v>
      </c>
      <c r="N838" s="6">
        <v>2.14</v>
      </c>
      <c r="O838" s="6">
        <v>2.14</v>
      </c>
      <c r="P838" s="6">
        <v>0</v>
      </c>
      <c r="Q838" s="4" t="s">
        <v>26</v>
      </c>
      <c r="R838" s="4">
        <v>0</v>
      </c>
      <c r="S838" s="6">
        <v>0</v>
      </c>
      <c r="T838" s="6">
        <v>57</v>
      </c>
      <c r="U838" s="6">
        <v>98</v>
      </c>
      <c r="V838" s="6">
        <f>IF(ISERROR(VLOOKUP($S$838,'TAR FIN'!$A$1:$O$103,15,0)),0,VLOOKUP($S$838,'TAR FIN'!$A$1:$O$103,15,0))</f>
        <v>0</v>
      </c>
      <c r="W838" s="6">
        <f>IF(ISERROR(VLOOKUP($T$838,'TAR FIN'!$A$1:$O$103,15,0)),0,VLOOKUP($T$838,'TAR FIN'!$A$1:$O$103,15,0))</f>
        <v>214.77</v>
      </c>
      <c r="X838" s="6">
        <f>IF(ISERROR(VLOOKUP($U$838,'TAR FIN'!$A$1:$O$103,15,0)),0,VLOOKUP($U$838,'TAR FIN'!$A$1:$O$103,15,0))</f>
        <v>275.36</v>
      </c>
      <c r="Y838" s="6"/>
      <c r="Z838" s="6">
        <f ca="1">('TUSD BE'!$AM$57+'TUSD BF_350'!$AM$57+'TUSD CVA'!$AM$57)*1</f>
        <v>253.04</v>
      </c>
      <c r="AA838" s="6">
        <f ca="1">('TE BE'!$AB$41+'TE BF_350'!$AB$41+'TE CVA'!$AB$41)*1</f>
        <v>247.20000000000002</v>
      </c>
      <c r="AB838" s="6">
        <f>$K$838*$V$838</f>
        <v>0</v>
      </c>
      <c r="AC838" s="6">
        <f>$M$838*$W$838</f>
        <v>459.60780000000005</v>
      </c>
      <c r="AD838" s="6">
        <f>$O$838*$X$838</f>
        <v>589.27040000000011</v>
      </c>
      <c r="AE838" s="6">
        <f>$K$838*$Y$838</f>
        <v>0</v>
      </c>
      <c r="AF838" s="6">
        <f ca="1">$M$838*$Z$838</f>
        <v>541.50559999999996</v>
      </c>
      <c r="AG838" s="6">
        <f ca="1">$O$838*$AA$838</f>
        <v>529.00800000000004</v>
      </c>
    </row>
    <row r="839" spans="1:33" ht="11.25" customHeight="1" x14ac:dyDescent="0.25">
      <c r="A839" s="4" t="s">
        <v>21</v>
      </c>
      <c r="B839" s="4" t="s">
        <v>39</v>
      </c>
      <c r="C839" s="4" t="s">
        <v>36</v>
      </c>
      <c r="D839" s="4" t="s">
        <v>40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44652</v>
      </c>
      <c r="J839" s="6">
        <v>0</v>
      </c>
      <c r="K839" s="6">
        <v>0</v>
      </c>
      <c r="L839" s="6">
        <v>2.0470000000000002</v>
      </c>
      <c r="M839" s="6">
        <v>2.0470000000000002</v>
      </c>
      <c r="N839" s="6">
        <v>2.0470000000000002</v>
      </c>
      <c r="O839" s="6">
        <v>2.0470000000000002</v>
      </c>
      <c r="P839" s="6">
        <v>0</v>
      </c>
      <c r="Q839" s="4" t="s">
        <v>26</v>
      </c>
      <c r="R839" s="4">
        <v>0</v>
      </c>
      <c r="S839" s="6">
        <v>0</v>
      </c>
      <c r="T839" s="6">
        <v>57</v>
      </c>
      <c r="U839" s="6">
        <v>98</v>
      </c>
      <c r="V839" s="6">
        <f>IF(ISERROR(VLOOKUP($S$839,'TAR FIN'!$A$1:$O$103,15,0)),0,VLOOKUP($S$839,'TAR FIN'!$A$1:$O$103,15,0))</f>
        <v>0</v>
      </c>
      <c r="W839" s="6">
        <f>IF(ISERROR(VLOOKUP($T$839,'TAR FIN'!$A$1:$O$103,15,0)),0,VLOOKUP($T$839,'TAR FIN'!$A$1:$O$103,15,0))</f>
        <v>214.77</v>
      </c>
      <c r="X839" s="6">
        <f>IF(ISERROR(VLOOKUP($U$839,'TAR FIN'!$A$1:$O$103,15,0)),0,VLOOKUP($U$839,'TAR FIN'!$A$1:$O$103,15,0))</f>
        <v>275.36</v>
      </c>
      <c r="Y839" s="6"/>
      <c r="Z839" s="6">
        <f ca="1">('TUSD BE'!$AM$57+'TUSD BF_350'!$AM$57+'TUSD CVA'!$AM$57)*1</f>
        <v>253.04</v>
      </c>
      <c r="AA839" s="6">
        <f ca="1">('TE BE'!$AB$41+'TE BF_350'!$AB$41+'TE CVA'!$AB$41)*1</f>
        <v>247.20000000000002</v>
      </c>
      <c r="AB839" s="6">
        <f>$K$839*$V$839</f>
        <v>0</v>
      </c>
      <c r="AC839" s="6">
        <f>$M$839*$W$839</f>
        <v>439.63419000000005</v>
      </c>
      <c r="AD839" s="6">
        <f>$O$839*$X$839</f>
        <v>563.66192000000012</v>
      </c>
      <c r="AE839" s="6">
        <f>$K$839*$Y$839</f>
        <v>0</v>
      </c>
      <c r="AF839" s="6">
        <f ca="1">$M$839*$Z$839</f>
        <v>517.97288000000003</v>
      </c>
      <c r="AG839" s="6">
        <f ca="1">$O$839*$AA$839</f>
        <v>506.0184000000001</v>
      </c>
    </row>
    <row r="840" spans="1:33" ht="11.25" customHeight="1" x14ac:dyDescent="0.25">
      <c r="A840" s="4" t="s">
        <v>21</v>
      </c>
      <c r="B840" s="4" t="s">
        <v>39</v>
      </c>
      <c r="C840" s="4" t="s">
        <v>36</v>
      </c>
      <c r="D840" s="4" t="s">
        <v>40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44682</v>
      </c>
      <c r="J840" s="6">
        <v>0</v>
      </c>
      <c r="K840" s="6">
        <v>0</v>
      </c>
      <c r="L840" s="6">
        <v>2.173</v>
      </c>
      <c r="M840" s="6">
        <v>2.173</v>
      </c>
      <c r="N840" s="6">
        <v>2.173</v>
      </c>
      <c r="O840" s="6">
        <v>2.173</v>
      </c>
      <c r="P840" s="6">
        <v>0</v>
      </c>
      <c r="Q840" s="4" t="s">
        <v>26</v>
      </c>
      <c r="R840" s="4">
        <v>0</v>
      </c>
      <c r="S840" s="6">
        <v>0</v>
      </c>
      <c r="T840" s="6">
        <v>57</v>
      </c>
      <c r="U840" s="6">
        <v>98</v>
      </c>
      <c r="V840" s="6">
        <f>IF(ISERROR(VLOOKUP($S$840,'TAR FIN'!$A$1:$O$103,15,0)),0,VLOOKUP($S$840,'TAR FIN'!$A$1:$O$103,15,0))</f>
        <v>0</v>
      </c>
      <c r="W840" s="6">
        <f>IF(ISERROR(VLOOKUP($T$840,'TAR FIN'!$A$1:$O$103,15,0)),0,VLOOKUP($T$840,'TAR FIN'!$A$1:$O$103,15,0))</f>
        <v>214.77</v>
      </c>
      <c r="X840" s="6">
        <f>IF(ISERROR(VLOOKUP($U$840,'TAR FIN'!$A$1:$O$103,15,0)),0,VLOOKUP($U$840,'TAR FIN'!$A$1:$O$103,15,0))</f>
        <v>275.36</v>
      </c>
      <c r="Y840" s="6"/>
      <c r="Z840" s="6">
        <f ca="1">('TUSD BE'!$AM$57+'TUSD BF_350'!$AM$57+'TUSD CVA'!$AM$57)*1</f>
        <v>253.04</v>
      </c>
      <c r="AA840" s="6">
        <f ca="1">('TE BE'!$AB$41+'TE BF_350'!$AB$41+'TE CVA'!$AB$41)*1</f>
        <v>247.20000000000002</v>
      </c>
      <c r="AB840" s="6">
        <f>$K$840*$V$840</f>
        <v>0</v>
      </c>
      <c r="AC840" s="6">
        <f>$M$840*$W$840</f>
        <v>466.69521000000003</v>
      </c>
      <c r="AD840" s="6">
        <f>$O$840*$X$840</f>
        <v>598.35728000000006</v>
      </c>
      <c r="AE840" s="6">
        <f>$K$840*$Y$840</f>
        <v>0</v>
      </c>
      <c r="AF840" s="6">
        <f ca="1">$M$840*$Z$840</f>
        <v>549.85591999999997</v>
      </c>
      <c r="AG840" s="6">
        <f ca="1">$O$840*$AA$840</f>
        <v>537.16560000000004</v>
      </c>
    </row>
    <row r="841" spans="1:33" ht="11.25" customHeight="1" x14ac:dyDescent="0.25">
      <c r="A841" s="4" t="s">
        <v>21</v>
      </c>
      <c r="B841" s="4" t="s">
        <v>39</v>
      </c>
      <c r="C841" s="4" t="s">
        <v>36</v>
      </c>
      <c r="D841" s="4" t="s">
        <v>40</v>
      </c>
      <c r="E841" s="4" t="s">
        <v>25</v>
      </c>
      <c r="F841" s="4" t="s">
        <v>25</v>
      </c>
      <c r="G841" s="4" t="s">
        <v>25</v>
      </c>
      <c r="H841" s="4" t="s">
        <v>38</v>
      </c>
      <c r="I841" s="5">
        <v>44348</v>
      </c>
      <c r="J841" s="6">
        <v>0</v>
      </c>
      <c r="K841" s="6">
        <v>0</v>
      </c>
      <c r="L841" s="6">
        <v>8.2000000000000003E-2</v>
      </c>
      <c r="M841" s="6">
        <v>8.2000000000000003E-2</v>
      </c>
      <c r="N841" s="6">
        <v>8.2000000000000003E-2</v>
      </c>
      <c r="O841" s="6">
        <v>8.2000000000000003E-2</v>
      </c>
      <c r="P841" s="6">
        <v>0</v>
      </c>
      <c r="Q841" s="4" t="s">
        <v>26</v>
      </c>
      <c r="R841" s="4">
        <v>0</v>
      </c>
      <c r="S841" s="6">
        <v>0</v>
      </c>
      <c r="T841" s="6">
        <v>56</v>
      </c>
      <c r="U841" s="6">
        <v>97</v>
      </c>
      <c r="V841" s="6">
        <f>IF(ISERROR(VLOOKUP($S$841,'TAR FIN'!$A$1:$O$103,15,0)),0,VLOOKUP($S$841,'TAR FIN'!$A$1:$O$103,15,0))</f>
        <v>0</v>
      </c>
      <c r="W841" s="6">
        <f>IF(ISERROR(VLOOKUP($T$841,'TAR FIN'!$A$1:$O$103,15,0)),0,VLOOKUP($T$841,'TAR FIN'!$A$1:$O$103,15,0))</f>
        <v>428.83</v>
      </c>
      <c r="X841" s="6">
        <f>IF(ISERROR(VLOOKUP($U$841,'TAR FIN'!$A$1:$O$103,15,0)),0,VLOOKUP($U$841,'TAR FIN'!$A$1:$O$103,15,0))</f>
        <v>275.36</v>
      </c>
      <c r="Y841" s="6"/>
      <c r="Z841" s="6">
        <f ca="1">('TUSD BE'!$AM$56+'TUSD BF_350'!$AM$56+'TUSD CVA'!$AM$56)*1</f>
        <v>477.29000000000008</v>
      </c>
      <c r="AA841" s="6">
        <f ca="1">('TE BE'!$AB$40+'TE BF_350'!$AB$40+'TE CVA'!$AB$40)*1</f>
        <v>247.20000000000002</v>
      </c>
      <c r="AB841" s="6">
        <f>$K$841*$V$841</f>
        <v>0</v>
      </c>
      <c r="AC841" s="6">
        <f>$M$841*$W$841</f>
        <v>35.164059999999999</v>
      </c>
      <c r="AD841" s="6">
        <f>$O$841*$X$841</f>
        <v>22.579520000000002</v>
      </c>
      <c r="AE841" s="6">
        <f>$K$841*$Y$841</f>
        <v>0</v>
      </c>
      <c r="AF841" s="6">
        <f ca="1">$M$841*$Z$841</f>
        <v>39.137780000000006</v>
      </c>
      <c r="AG841" s="6">
        <f ca="1">$O$841*$AA$841</f>
        <v>20.270400000000002</v>
      </c>
    </row>
    <row r="842" spans="1:33" ht="11.25" customHeight="1" x14ac:dyDescent="0.25">
      <c r="A842" s="4" t="s">
        <v>21</v>
      </c>
      <c r="B842" s="4" t="s">
        <v>39</v>
      </c>
      <c r="C842" s="4" t="s">
        <v>36</v>
      </c>
      <c r="D842" s="4" t="s">
        <v>40</v>
      </c>
      <c r="E842" s="4" t="s">
        <v>25</v>
      </c>
      <c r="F842" s="4" t="s">
        <v>25</v>
      </c>
      <c r="G842" s="4" t="s">
        <v>25</v>
      </c>
      <c r="H842" s="4" t="s">
        <v>38</v>
      </c>
      <c r="I842" s="5">
        <v>44378</v>
      </c>
      <c r="J842" s="6">
        <v>0</v>
      </c>
      <c r="K842" s="6">
        <v>0</v>
      </c>
      <c r="L842" s="6">
        <v>9.1999999999999998E-2</v>
      </c>
      <c r="M842" s="6">
        <v>9.1999999999999998E-2</v>
      </c>
      <c r="N842" s="6">
        <v>9.1999999999999998E-2</v>
      </c>
      <c r="O842" s="6">
        <v>9.1999999999999998E-2</v>
      </c>
      <c r="P842" s="6">
        <v>0</v>
      </c>
      <c r="Q842" s="4" t="s">
        <v>26</v>
      </c>
      <c r="R842" s="4">
        <v>0</v>
      </c>
      <c r="S842" s="6">
        <v>0</v>
      </c>
      <c r="T842" s="6">
        <v>56</v>
      </c>
      <c r="U842" s="6">
        <v>97</v>
      </c>
      <c r="V842" s="6">
        <f>IF(ISERROR(VLOOKUP($S$842,'TAR FIN'!$A$1:$O$103,15,0)),0,VLOOKUP($S$842,'TAR FIN'!$A$1:$O$103,15,0))</f>
        <v>0</v>
      </c>
      <c r="W842" s="6">
        <f>IF(ISERROR(VLOOKUP($T$842,'TAR FIN'!$A$1:$O$103,15,0)),0,VLOOKUP($T$842,'TAR FIN'!$A$1:$O$103,15,0))</f>
        <v>428.83</v>
      </c>
      <c r="X842" s="6">
        <f>IF(ISERROR(VLOOKUP($U$842,'TAR FIN'!$A$1:$O$103,15,0)),0,VLOOKUP($U$842,'TAR FIN'!$A$1:$O$103,15,0))</f>
        <v>275.36</v>
      </c>
      <c r="Y842" s="6"/>
      <c r="Z842" s="6">
        <f ca="1">('TUSD BE'!$AM$56+'TUSD BF_350'!$AM$56+'TUSD CVA'!$AM$56)*1</f>
        <v>477.29000000000008</v>
      </c>
      <c r="AA842" s="6">
        <f ca="1">('TE BE'!$AB$40+'TE BF_350'!$AB$40+'TE CVA'!$AB$40)*1</f>
        <v>247.20000000000002</v>
      </c>
      <c r="AB842" s="6">
        <f>$K$842*$V$842</f>
        <v>0</v>
      </c>
      <c r="AC842" s="6">
        <f>$M$842*$W$842</f>
        <v>39.452359999999999</v>
      </c>
      <c r="AD842" s="6">
        <f>$O$842*$X$842</f>
        <v>25.333120000000001</v>
      </c>
      <c r="AE842" s="6">
        <f>$K$842*$Y$842</f>
        <v>0</v>
      </c>
      <c r="AF842" s="6">
        <f ca="1">$M$842*$Z$842</f>
        <v>43.910680000000006</v>
      </c>
      <c r="AG842" s="6">
        <f ca="1">$O$842*$AA$842</f>
        <v>22.7424</v>
      </c>
    </row>
    <row r="843" spans="1:33" ht="11.25" customHeight="1" x14ac:dyDescent="0.25">
      <c r="A843" s="4" t="s">
        <v>21</v>
      </c>
      <c r="B843" s="4" t="s">
        <v>39</v>
      </c>
      <c r="C843" s="4" t="s">
        <v>36</v>
      </c>
      <c r="D843" s="4" t="s">
        <v>40</v>
      </c>
      <c r="E843" s="4" t="s">
        <v>25</v>
      </c>
      <c r="F843" s="4" t="s">
        <v>25</v>
      </c>
      <c r="G843" s="4" t="s">
        <v>25</v>
      </c>
      <c r="H843" s="4" t="s">
        <v>38</v>
      </c>
      <c r="I843" s="5">
        <v>44409</v>
      </c>
      <c r="J843" s="6">
        <v>0</v>
      </c>
      <c r="K843" s="6">
        <v>0</v>
      </c>
      <c r="L843" s="6">
        <v>9.5000000000000001E-2</v>
      </c>
      <c r="M843" s="6">
        <v>9.5000000000000001E-2</v>
      </c>
      <c r="N843" s="6">
        <v>9.5000000000000001E-2</v>
      </c>
      <c r="O843" s="6">
        <v>9.5000000000000001E-2</v>
      </c>
      <c r="P843" s="6">
        <v>0</v>
      </c>
      <c r="Q843" s="4" t="s">
        <v>26</v>
      </c>
      <c r="R843" s="4">
        <v>0</v>
      </c>
      <c r="S843" s="6">
        <v>0</v>
      </c>
      <c r="T843" s="6">
        <v>56</v>
      </c>
      <c r="U843" s="6">
        <v>97</v>
      </c>
      <c r="V843" s="6">
        <f>IF(ISERROR(VLOOKUP($S$843,'TAR FIN'!$A$1:$O$103,15,0)),0,VLOOKUP($S$843,'TAR FIN'!$A$1:$O$103,15,0))</f>
        <v>0</v>
      </c>
      <c r="W843" s="6">
        <f>IF(ISERROR(VLOOKUP($T$843,'TAR FIN'!$A$1:$O$103,15,0)),0,VLOOKUP($T$843,'TAR FIN'!$A$1:$O$103,15,0))</f>
        <v>428.83</v>
      </c>
      <c r="X843" s="6">
        <f>IF(ISERROR(VLOOKUP($U$843,'TAR FIN'!$A$1:$O$103,15,0)),0,VLOOKUP($U$843,'TAR FIN'!$A$1:$O$103,15,0))</f>
        <v>275.36</v>
      </c>
      <c r="Y843" s="6"/>
      <c r="Z843" s="6">
        <f ca="1">('TUSD BE'!$AM$56+'TUSD BF_350'!$AM$56+'TUSD CVA'!$AM$56)*1</f>
        <v>477.29000000000008</v>
      </c>
      <c r="AA843" s="6">
        <f ca="1">('TE BE'!$AB$40+'TE BF_350'!$AB$40+'TE CVA'!$AB$40)*1</f>
        <v>247.20000000000002</v>
      </c>
      <c r="AB843" s="6">
        <f>$K$843*$V$843</f>
        <v>0</v>
      </c>
      <c r="AC843" s="6">
        <f>$M$843*$W$843</f>
        <v>40.738849999999999</v>
      </c>
      <c r="AD843" s="6">
        <f>$O$843*$X$843</f>
        <v>26.159200000000002</v>
      </c>
      <c r="AE843" s="6">
        <f>$K$843*$Y$843</f>
        <v>0</v>
      </c>
      <c r="AF843" s="6">
        <f ca="1">$M$843*$Z$843</f>
        <v>45.34255000000001</v>
      </c>
      <c r="AG843" s="6">
        <f ca="1">$O$843*$AA$843</f>
        <v>23.484000000000002</v>
      </c>
    </row>
    <row r="844" spans="1:33" ht="11.25" customHeight="1" x14ac:dyDescent="0.25">
      <c r="A844" s="4" t="s">
        <v>21</v>
      </c>
      <c r="B844" s="4" t="s">
        <v>39</v>
      </c>
      <c r="C844" s="4" t="s">
        <v>36</v>
      </c>
      <c r="D844" s="4" t="s">
        <v>40</v>
      </c>
      <c r="E844" s="4" t="s">
        <v>25</v>
      </c>
      <c r="F844" s="4" t="s">
        <v>25</v>
      </c>
      <c r="G844" s="4" t="s">
        <v>25</v>
      </c>
      <c r="H844" s="4" t="s">
        <v>38</v>
      </c>
      <c r="I844" s="5">
        <v>44440</v>
      </c>
      <c r="J844" s="6">
        <v>0</v>
      </c>
      <c r="K844" s="6">
        <v>0</v>
      </c>
      <c r="L844" s="6">
        <v>9.7000000000000003E-2</v>
      </c>
      <c r="M844" s="6">
        <v>9.7000000000000003E-2</v>
      </c>
      <c r="N844" s="6">
        <v>9.7000000000000003E-2</v>
      </c>
      <c r="O844" s="6">
        <v>9.7000000000000003E-2</v>
      </c>
      <c r="P844" s="6">
        <v>0</v>
      </c>
      <c r="Q844" s="4" t="s">
        <v>26</v>
      </c>
      <c r="R844" s="4">
        <v>0</v>
      </c>
      <c r="S844" s="6">
        <v>0</v>
      </c>
      <c r="T844" s="6">
        <v>56</v>
      </c>
      <c r="U844" s="6">
        <v>97</v>
      </c>
      <c r="V844" s="6">
        <f>IF(ISERROR(VLOOKUP($S$844,'TAR FIN'!$A$1:$O$103,15,0)),0,VLOOKUP($S$844,'TAR FIN'!$A$1:$O$103,15,0))</f>
        <v>0</v>
      </c>
      <c r="W844" s="6">
        <f>IF(ISERROR(VLOOKUP($T$844,'TAR FIN'!$A$1:$O$103,15,0)),0,VLOOKUP($T$844,'TAR FIN'!$A$1:$O$103,15,0))</f>
        <v>428.83</v>
      </c>
      <c r="X844" s="6">
        <f>IF(ISERROR(VLOOKUP($U$844,'TAR FIN'!$A$1:$O$103,15,0)),0,VLOOKUP($U$844,'TAR FIN'!$A$1:$O$103,15,0))</f>
        <v>275.36</v>
      </c>
      <c r="Y844" s="6"/>
      <c r="Z844" s="6">
        <f ca="1">('TUSD BE'!$AM$56+'TUSD BF_350'!$AM$56+'TUSD CVA'!$AM$56)*1</f>
        <v>477.29000000000008</v>
      </c>
      <c r="AA844" s="6">
        <f ca="1">('TE BE'!$AB$40+'TE BF_350'!$AB$40+'TE CVA'!$AB$40)*1</f>
        <v>247.20000000000002</v>
      </c>
      <c r="AB844" s="6">
        <f>$K$844*$V$844</f>
        <v>0</v>
      </c>
      <c r="AC844" s="6">
        <f>$M$844*$W$844</f>
        <v>41.596510000000002</v>
      </c>
      <c r="AD844" s="6">
        <f>$O$844*$X$844</f>
        <v>26.709920000000004</v>
      </c>
      <c r="AE844" s="6">
        <f>$K$844*$Y$844</f>
        <v>0</v>
      </c>
      <c r="AF844" s="6">
        <f ca="1">$M$844*$Z$844</f>
        <v>46.29713000000001</v>
      </c>
      <c r="AG844" s="6">
        <f ca="1">$O$844*$AA$844</f>
        <v>23.978400000000001</v>
      </c>
    </row>
    <row r="845" spans="1:33" ht="11.25" customHeight="1" x14ac:dyDescent="0.25">
      <c r="A845" s="4" t="s">
        <v>21</v>
      </c>
      <c r="B845" s="4" t="s">
        <v>39</v>
      </c>
      <c r="C845" s="4" t="s">
        <v>36</v>
      </c>
      <c r="D845" s="4" t="s">
        <v>40</v>
      </c>
      <c r="E845" s="4" t="s">
        <v>25</v>
      </c>
      <c r="F845" s="4" t="s">
        <v>25</v>
      </c>
      <c r="G845" s="4" t="s">
        <v>25</v>
      </c>
      <c r="H845" s="4" t="s">
        <v>38</v>
      </c>
      <c r="I845" s="5">
        <v>44470</v>
      </c>
      <c r="J845" s="6">
        <v>0</v>
      </c>
      <c r="K845" s="6">
        <v>0</v>
      </c>
      <c r="L845" s="6">
        <v>8.3000000000000004E-2</v>
      </c>
      <c r="M845" s="6">
        <v>8.3000000000000004E-2</v>
      </c>
      <c r="N845" s="6">
        <v>8.3000000000000004E-2</v>
      </c>
      <c r="O845" s="6">
        <v>8.3000000000000004E-2</v>
      </c>
      <c r="P845" s="6">
        <v>0</v>
      </c>
      <c r="Q845" s="4" t="s">
        <v>26</v>
      </c>
      <c r="R845" s="4">
        <v>0</v>
      </c>
      <c r="S845" s="6">
        <v>0</v>
      </c>
      <c r="T845" s="6">
        <v>56</v>
      </c>
      <c r="U845" s="6">
        <v>97</v>
      </c>
      <c r="V845" s="6">
        <f>IF(ISERROR(VLOOKUP($S$845,'TAR FIN'!$A$1:$O$103,15,0)),0,VLOOKUP($S$845,'TAR FIN'!$A$1:$O$103,15,0))</f>
        <v>0</v>
      </c>
      <c r="W845" s="6">
        <f>IF(ISERROR(VLOOKUP($T$845,'TAR FIN'!$A$1:$O$103,15,0)),0,VLOOKUP($T$845,'TAR FIN'!$A$1:$O$103,15,0))</f>
        <v>428.83</v>
      </c>
      <c r="X845" s="6">
        <f>IF(ISERROR(VLOOKUP($U$845,'TAR FIN'!$A$1:$O$103,15,0)),0,VLOOKUP($U$845,'TAR FIN'!$A$1:$O$103,15,0))</f>
        <v>275.36</v>
      </c>
      <c r="Y845" s="6"/>
      <c r="Z845" s="6">
        <f ca="1">('TUSD BE'!$AM$56+'TUSD BF_350'!$AM$56+'TUSD CVA'!$AM$56)*1</f>
        <v>477.29000000000008</v>
      </c>
      <c r="AA845" s="6">
        <f ca="1">('TE BE'!$AB$40+'TE BF_350'!$AB$40+'TE CVA'!$AB$40)*1</f>
        <v>247.20000000000002</v>
      </c>
      <c r="AB845" s="6">
        <f>$K$845*$V$845</f>
        <v>0</v>
      </c>
      <c r="AC845" s="6">
        <f>$M$845*$W$845</f>
        <v>35.592889999999997</v>
      </c>
      <c r="AD845" s="6">
        <f>$O$845*$X$845</f>
        <v>22.854880000000001</v>
      </c>
      <c r="AE845" s="6">
        <f>$K$845*$Y$845</f>
        <v>0</v>
      </c>
      <c r="AF845" s="6">
        <f ca="1">$M$845*$Z$845</f>
        <v>39.61507000000001</v>
      </c>
      <c r="AG845" s="6">
        <f ca="1">$O$845*$AA$845</f>
        <v>20.517600000000002</v>
      </c>
    </row>
    <row r="846" spans="1:33" ht="11.25" customHeight="1" x14ac:dyDescent="0.25">
      <c r="A846" s="4" t="s">
        <v>21</v>
      </c>
      <c r="B846" s="4" t="s">
        <v>39</v>
      </c>
      <c r="C846" s="4" t="s">
        <v>36</v>
      </c>
      <c r="D846" s="4" t="s">
        <v>40</v>
      </c>
      <c r="E846" s="4" t="s">
        <v>25</v>
      </c>
      <c r="F846" s="4" t="s">
        <v>25</v>
      </c>
      <c r="G846" s="4" t="s">
        <v>25</v>
      </c>
      <c r="H846" s="4" t="s">
        <v>38</v>
      </c>
      <c r="I846" s="5">
        <v>44501</v>
      </c>
      <c r="J846" s="6">
        <v>0</v>
      </c>
      <c r="K846" s="6">
        <v>0</v>
      </c>
      <c r="L846" s="6">
        <v>8.8999999999999996E-2</v>
      </c>
      <c r="M846" s="6">
        <v>8.8999999999999996E-2</v>
      </c>
      <c r="N846" s="6">
        <v>8.8999999999999996E-2</v>
      </c>
      <c r="O846" s="6">
        <v>8.8999999999999996E-2</v>
      </c>
      <c r="P846" s="6">
        <v>0</v>
      </c>
      <c r="Q846" s="4" t="s">
        <v>26</v>
      </c>
      <c r="R846" s="4">
        <v>0</v>
      </c>
      <c r="S846" s="6">
        <v>0</v>
      </c>
      <c r="T846" s="6">
        <v>56</v>
      </c>
      <c r="U846" s="6">
        <v>97</v>
      </c>
      <c r="V846" s="6">
        <f>IF(ISERROR(VLOOKUP($S$846,'TAR FIN'!$A$1:$O$103,15,0)),0,VLOOKUP($S$846,'TAR FIN'!$A$1:$O$103,15,0))</f>
        <v>0</v>
      </c>
      <c r="W846" s="6">
        <f>IF(ISERROR(VLOOKUP($T$846,'TAR FIN'!$A$1:$O$103,15,0)),0,VLOOKUP($T$846,'TAR FIN'!$A$1:$O$103,15,0))</f>
        <v>428.83</v>
      </c>
      <c r="X846" s="6">
        <f>IF(ISERROR(VLOOKUP($U$846,'TAR FIN'!$A$1:$O$103,15,0)),0,VLOOKUP($U$846,'TAR FIN'!$A$1:$O$103,15,0))</f>
        <v>275.36</v>
      </c>
      <c r="Y846" s="6"/>
      <c r="Z846" s="6">
        <f ca="1">('TUSD BE'!$AM$56+'TUSD BF_350'!$AM$56+'TUSD CVA'!$AM$56)*1</f>
        <v>477.29000000000008</v>
      </c>
      <c r="AA846" s="6">
        <f ca="1">('TE BE'!$AB$40+'TE BF_350'!$AB$40+'TE CVA'!$AB$40)*1</f>
        <v>247.20000000000002</v>
      </c>
      <c r="AB846" s="6">
        <f>$K$846*$V$846</f>
        <v>0</v>
      </c>
      <c r="AC846" s="6">
        <f>$M$846*$W$846</f>
        <v>38.165869999999998</v>
      </c>
      <c r="AD846" s="6">
        <f>$O$846*$X$846</f>
        <v>24.50704</v>
      </c>
      <c r="AE846" s="6">
        <f>$K$846*$Y$846</f>
        <v>0</v>
      </c>
      <c r="AF846" s="6">
        <f ca="1">$M$846*$Z$846</f>
        <v>42.478810000000003</v>
      </c>
      <c r="AG846" s="6">
        <f ca="1">$O$846*$AA$846</f>
        <v>22.000800000000002</v>
      </c>
    </row>
    <row r="847" spans="1:33" ht="11.25" customHeight="1" x14ac:dyDescent="0.25">
      <c r="A847" s="4" t="s">
        <v>21</v>
      </c>
      <c r="B847" s="4" t="s">
        <v>39</v>
      </c>
      <c r="C847" s="4" t="s">
        <v>36</v>
      </c>
      <c r="D847" s="4" t="s">
        <v>40</v>
      </c>
      <c r="E847" s="4" t="s">
        <v>25</v>
      </c>
      <c r="F847" s="4" t="s">
        <v>25</v>
      </c>
      <c r="G847" s="4" t="s">
        <v>25</v>
      </c>
      <c r="H847" s="4" t="s">
        <v>38</v>
      </c>
      <c r="I847" s="5">
        <v>44531</v>
      </c>
      <c r="J847" s="6">
        <v>0</v>
      </c>
      <c r="K847" s="6">
        <v>0</v>
      </c>
      <c r="L847" s="6">
        <v>0.11</v>
      </c>
      <c r="M847" s="6">
        <v>0.11</v>
      </c>
      <c r="N847" s="6">
        <v>0.11</v>
      </c>
      <c r="O847" s="6">
        <v>0.11</v>
      </c>
      <c r="P847" s="6">
        <v>0</v>
      </c>
      <c r="Q847" s="4" t="s">
        <v>26</v>
      </c>
      <c r="R847" s="4">
        <v>0</v>
      </c>
      <c r="S847" s="6">
        <v>0</v>
      </c>
      <c r="T847" s="6">
        <v>56</v>
      </c>
      <c r="U847" s="6">
        <v>97</v>
      </c>
      <c r="V847" s="6">
        <f>IF(ISERROR(VLOOKUP($S$847,'TAR FIN'!$A$1:$O$103,15,0)),0,VLOOKUP($S$847,'TAR FIN'!$A$1:$O$103,15,0))</f>
        <v>0</v>
      </c>
      <c r="W847" s="6">
        <f>IF(ISERROR(VLOOKUP($T$847,'TAR FIN'!$A$1:$O$103,15,0)),0,VLOOKUP($T$847,'TAR FIN'!$A$1:$O$103,15,0))</f>
        <v>428.83</v>
      </c>
      <c r="X847" s="6">
        <f>IF(ISERROR(VLOOKUP($U$847,'TAR FIN'!$A$1:$O$103,15,0)),0,VLOOKUP($U$847,'TAR FIN'!$A$1:$O$103,15,0))</f>
        <v>275.36</v>
      </c>
      <c r="Y847" s="6"/>
      <c r="Z847" s="6">
        <f ca="1">('TUSD BE'!$AM$56+'TUSD BF_350'!$AM$56+'TUSD CVA'!$AM$56)*1</f>
        <v>477.29000000000008</v>
      </c>
      <c r="AA847" s="6">
        <f ca="1">('TE BE'!$AB$40+'TE BF_350'!$AB$40+'TE CVA'!$AB$40)*1</f>
        <v>247.20000000000002</v>
      </c>
      <c r="AB847" s="6">
        <f>$K$847*$V$847</f>
        <v>0</v>
      </c>
      <c r="AC847" s="6">
        <f>$M$847*$W$847</f>
        <v>47.171299999999995</v>
      </c>
      <c r="AD847" s="6">
        <f>$O$847*$X$847</f>
        <v>30.2896</v>
      </c>
      <c r="AE847" s="6">
        <f>$K$847*$Y$847</f>
        <v>0</v>
      </c>
      <c r="AF847" s="6">
        <f ca="1">$M$847*$Z$847</f>
        <v>52.501900000000006</v>
      </c>
      <c r="AG847" s="6">
        <f ca="1">$O$847*$AA$847</f>
        <v>27.192000000000004</v>
      </c>
    </row>
    <row r="848" spans="1:33" ht="11.25" customHeight="1" x14ac:dyDescent="0.25">
      <c r="A848" s="4" t="s">
        <v>21</v>
      </c>
      <c r="B848" s="4" t="s">
        <v>39</v>
      </c>
      <c r="C848" s="4" t="s">
        <v>36</v>
      </c>
      <c r="D848" s="4" t="s">
        <v>40</v>
      </c>
      <c r="E848" s="4" t="s">
        <v>25</v>
      </c>
      <c r="F848" s="4" t="s">
        <v>25</v>
      </c>
      <c r="G848" s="4" t="s">
        <v>25</v>
      </c>
      <c r="H848" s="4" t="s">
        <v>38</v>
      </c>
      <c r="I848" s="5">
        <v>44562</v>
      </c>
      <c r="J848" s="6">
        <v>0</v>
      </c>
      <c r="K848" s="6">
        <v>0</v>
      </c>
      <c r="L848" s="6">
        <v>0.104</v>
      </c>
      <c r="M848" s="6">
        <v>0.104</v>
      </c>
      <c r="N848" s="6">
        <v>0.104</v>
      </c>
      <c r="O848" s="6">
        <v>0.104</v>
      </c>
      <c r="P848" s="6">
        <v>0</v>
      </c>
      <c r="Q848" s="4" t="s">
        <v>26</v>
      </c>
      <c r="R848" s="4">
        <v>0</v>
      </c>
      <c r="S848" s="6">
        <v>0</v>
      </c>
      <c r="T848" s="6">
        <v>56</v>
      </c>
      <c r="U848" s="6">
        <v>97</v>
      </c>
      <c r="V848" s="6">
        <f>IF(ISERROR(VLOOKUP($S$848,'TAR FIN'!$A$1:$O$103,15,0)),0,VLOOKUP($S$848,'TAR FIN'!$A$1:$O$103,15,0))</f>
        <v>0</v>
      </c>
      <c r="W848" s="6">
        <f>IF(ISERROR(VLOOKUP($T$848,'TAR FIN'!$A$1:$O$103,15,0)),0,VLOOKUP($T$848,'TAR FIN'!$A$1:$O$103,15,0))</f>
        <v>428.83</v>
      </c>
      <c r="X848" s="6">
        <f>IF(ISERROR(VLOOKUP($U$848,'TAR FIN'!$A$1:$O$103,15,0)),0,VLOOKUP($U$848,'TAR FIN'!$A$1:$O$103,15,0))</f>
        <v>275.36</v>
      </c>
      <c r="Y848" s="6"/>
      <c r="Z848" s="6">
        <f ca="1">('TUSD BE'!$AM$56+'TUSD BF_350'!$AM$56+'TUSD CVA'!$AM$56)*1</f>
        <v>477.29000000000008</v>
      </c>
      <c r="AA848" s="6">
        <f ca="1">('TE BE'!$AB$40+'TE BF_350'!$AB$40+'TE CVA'!$AB$40)*1</f>
        <v>247.20000000000002</v>
      </c>
      <c r="AB848" s="6">
        <f>$K$848*$V$848</f>
        <v>0</v>
      </c>
      <c r="AC848" s="6">
        <f>$M$848*$W$848</f>
        <v>44.598319999999994</v>
      </c>
      <c r="AD848" s="6">
        <f>$O$848*$X$848</f>
        <v>28.637440000000002</v>
      </c>
      <c r="AE848" s="6">
        <f>$K$848*$Y$848</f>
        <v>0</v>
      </c>
      <c r="AF848" s="6">
        <f ca="1">$M$848*$Z$848</f>
        <v>49.638160000000006</v>
      </c>
      <c r="AG848" s="6">
        <f ca="1">$O$848*$AA$848</f>
        <v>25.7088</v>
      </c>
    </row>
    <row r="849" spans="1:33" ht="11.25" customHeight="1" x14ac:dyDescent="0.25">
      <c r="A849" s="4" t="s">
        <v>21</v>
      </c>
      <c r="B849" s="4" t="s">
        <v>39</v>
      </c>
      <c r="C849" s="4" t="s">
        <v>36</v>
      </c>
      <c r="D849" s="4" t="s">
        <v>40</v>
      </c>
      <c r="E849" s="4" t="s">
        <v>25</v>
      </c>
      <c r="F849" s="4" t="s">
        <v>25</v>
      </c>
      <c r="G849" s="4" t="s">
        <v>25</v>
      </c>
      <c r="H849" s="4" t="s">
        <v>38</v>
      </c>
      <c r="I849" s="5">
        <v>44593</v>
      </c>
      <c r="J849" s="6">
        <v>0</v>
      </c>
      <c r="K849" s="6">
        <v>0</v>
      </c>
      <c r="L849" s="6">
        <v>0.11799999999999999</v>
      </c>
      <c r="M849" s="6">
        <v>0.11799999999999999</v>
      </c>
      <c r="N849" s="6">
        <v>0.11799999999999999</v>
      </c>
      <c r="O849" s="6">
        <v>0.11799999999999999</v>
      </c>
      <c r="P849" s="6">
        <v>0</v>
      </c>
      <c r="Q849" s="4" t="s">
        <v>26</v>
      </c>
      <c r="R849" s="4">
        <v>0</v>
      </c>
      <c r="S849" s="6">
        <v>0</v>
      </c>
      <c r="T849" s="6">
        <v>56</v>
      </c>
      <c r="U849" s="6">
        <v>97</v>
      </c>
      <c r="V849" s="6">
        <f>IF(ISERROR(VLOOKUP($S$849,'TAR FIN'!$A$1:$O$103,15,0)),0,VLOOKUP($S$849,'TAR FIN'!$A$1:$O$103,15,0))</f>
        <v>0</v>
      </c>
      <c r="W849" s="6">
        <f>IF(ISERROR(VLOOKUP($T$849,'TAR FIN'!$A$1:$O$103,15,0)),0,VLOOKUP($T$849,'TAR FIN'!$A$1:$O$103,15,0))</f>
        <v>428.83</v>
      </c>
      <c r="X849" s="6">
        <f>IF(ISERROR(VLOOKUP($U$849,'TAR FIN'!$A$1:$O$103,15,0)),0,VLOOKUP($U$849,'TAR FIN'!$A$1:$O$103,15,0))</f>
        <v>275.36</v>
      </c>
      <c r="Y849" s="6"/>
      <c r="Z849" s="6">
        <f ca="1">('TUSD BE'!$AM$56+'TUSD BF_350'!$AM$56+'TUSD CVA'!$AM$56)*1</f>
        <v>477.29000000000008</v>
      </c>
      <c r="AA849" s="6">
        <f ca="1">('TE BE'!$AB$40+'TE BF_350'!$AB$40+'TE CVA'!$AB$40)*1</f>
        <v>247.20000000000002</v>
      </c>
      <c r="AB849" s="6">
        <f>$K$849*$V$849</f>
        <v>0</v>
      </c>
      <c r="AC849" s="6">
        <f>$M$849*$W$849</f>
        <v>50.601939999999992</v>
      </c>
      <c r="AD849" s="6">
        <f>$O$849*$X$849</f>
        <v>32.49248</v>
      </c>
      <c r="AE849" s="6">
        <f>$K$849*$Y$849</f>
        <v>0</v>
      </c>
      <c r="AF849" s="6">
        <f ca="1">$M$849*$Z$849</f>
        <v>56.320220000000006</v>
      </c>
      <c r="AG849" s="6">
        <f ca="1">$O$849*$AA$849</f>
        <v>29.169599999999999</v>
      </c>
    </row>
    <row r="850" spans="1:33" ht="11.25" customHeight="1" x14ac:dyDescent="0.25">
      <c r="A850" s="4" t="s">
        <v>21</v>
      </c>
      <c r="B850" s="4" t="s">
        <v>39</v>
      </c>
      <c r="C850" s="4" t="s">
        <v>36</v>
      </c>
      <c r="D850" s="4" t="s">
        <v>40</v>
      </c>
      <c r="E850" s="4" t="s">
        <v>25</v>
      </c>
      <c r="F850" s="4" t="s">
        <v>25</v>
      </c>
      <c r="G850" s="4" t="s">
        <v>25</v>
      </c>
      <c r="H850" s="4" t="s">
        <v>38</v>
      </c>
      <c r="I850" s="5">
        <v>44621</v>
      </c>
      <c r="J850" s="6">
        <v>0</v>
      </c>
      <c r="K850" s="6">
        <v>0</v>
      </c>
      <c r="L850" s="6">
        <v>9.0999999999999998E-2</v>
      </c>
      <c r="M850" s="6">
        <v>9.0999999999999998E-2</v>
      </c>
      <c r="N850" s="6">
        <v>9.0999999999999998E-2</v>
      </c>
      <c r="O850" s="6">
        <v>9.0999999999999998E-2</v>
      </c>
      <c r="P850" s="6">
        <v>0</v>
      </c>
      <c r="Q850" s="4" t="s">
        <v>26</v>
      </c>
      <c r="R850" s="4">
        <v>0</v>
      </c>
      <c r="S850" s="6">
        <v>0</v>
      </c>
      <c r="T850" s="6">
        <v>56</v>
      </c>
      <c r="U850" s="6">
        <v>97</v>
      </c>
      <c r="V850" s="6">
        <f>IF(ISERROR(VLOOKUP($S$850,'TAR FIN'!$A$1:$O$103,15,0)),0,VLOOKUP($S$850,'TAR FIN'!$A$1:$O$103,15,0))</f>
        <v>0</v>
      </c>
      <c r="W850" s="6">
        <f>IF(ISERROR(VLOOKUP($T$850,'TAR FIN'!$A$1:$O$103,15,0)),0,VLOOKUP($T$850,'TAR FIN'!$A$1:$O$103,15,0))</f>
        <v>428.83</v>
      </c>
      <c r="X850" s="6">
        <f>IF(ISERROR(VLOOKUP($U$850,'TAR FIN'!$A$1:$O$103,15,0)),0,VLOOKUP($U$850,'TAR FIN'!$A$1:$O$103,15,0))</f>
        <v>275.36</v>
      </c>
      <c r="Y850" s="6"/>
      <c r="Z850" s="6">
        <f ca="1">('TUSD BE'!$AM$56+'TUSD BF_350'!$AM$56+'TUSD CVA'!$AM$56)*1</f>
        <v>477.29000000000008</v>
      </c>
      <c r="AA850" s="6">
        <f ca="1">('TE BE'!$AB$40+'TE BF_350'!$AB$40+'TE CVA'!$AB$40)*1</f>
        <v>247.20000000000002</v>
      </c>
      <c r="AB850" s="6">
        <f>$K$850*$V$850</f>
        <v>0</v>
      </c>
      <c r="AC850" s="6">
        <f>$M$850*$W$850</f>
        <v>39.023530000000001</v>
      </c>
      <c r="AD850" s="6">
        <f>$O$850*$X$850</f>
        <v>25.057760000000002</v>
      </c>
      <c r="AE850" s="6">
        <f>$K$850*$Y$850</f>
        <v>0</v>
      </c>
      <c r="AF850" s="6">
        <f ca="1">$M$850*$Z$850</f>
        <v>43.433390000000003</v>
      </c>
      <c r="AG850" s="6">
        <f ca="1">$O$850*$AA$850</f>
        <v>22.495200000000001</v>
      </c>
    </row>
    <row r="851" spans="1:33" ht="11.25" customHeight="1" x14ac:dyDescent="0.25">
      <c r="A851" s="4" t="s">
        <v>21</v>
      </c>
      <c r="B851" s="4" t="s">
        <v>39</v>
      </c>
      <c r="C851" s="4" t="s">
        <v>36</v>
      </c>
      <c r="D851" s="4" t="s">
        <v>40</v>
      </c>
      <c r="E851" s="4" t="s">
        <v>25</v>
      </c>
      <c r="F851" s="4" t="s">
        <v>25</v>
      </c>
      <c r="G851" s="4" t="s">
        <v>25</v>
      </c>
      <c r="H851" s="4" t="s">
        <v>38</v>
      </c>
      <c r="I851" s="5">
        <v>44652</v>
      </c>
      <c r="J851" s="6">
        <v>0</v>
      </c>
      <c r="K851" s="6">
        <v>0</v>
      </c>
      <c r="L851" s="6">
        <v>0.09</v>
      </c>
      <c r="M851" s="6">
        <v>0.09</v>
      </c>
      <c r="N851" s="6">
        <v>0.09</v>
      </c>
      <c r="O851" s="6">
        <v>0.09</v>
      </c>
      <c r="P851" s="6">
        <v>0</v>
      </c>
      <c r="Q851" s="4" t="s">
        <v>26</v>
      </c>
      <c r="R851" s="4">
        <v>0</v>
      </c>
      <c r="S851" s="6">
        <v>0</v>
      </c>
      <c r="T851" s="6">
        <v>56</v>
      </c>
      <c r="U851" s="6">
        <v>97</v>
      </c>
      <c r="V851" s="6">
        <f>IF(ISERROR(VLOOKUP($S$851,'TAR FIN'!$A$1:$O$103,15,0)),0,VLOOKUP($S$851,'TAR FIN'!$A$1:$O$103,15,0))</f>
        <v>0</v>
      </c>
      <c r="W851" s="6">
        <f>IF(ISERROR(VLOOKUP($T$851,'TAR FIN'!$A$1:$O$103,15,0)),0,VLOOKUP($T$851,'TAR FIN'!$A$1:$O$103,15,0))</f>
        <v>428.83</v>
      </c>
      <c r="X851" s="6">
        <f>IF(ISERROR(VLOOKUP($U$851,'TAR FIN'!$A$1:$O$103,15,0)),0,VLOOKUP($U$851,'TAR FIN'!$A$1:$O$103,15,0))</f>
        <v>275.36</v>
      </c>
      <c r="Y851" s="6"/>
      <c r="Z851" s="6">
        <f ca="1">('TUSD BE'!$AM$56+'TUSD BF_350'!$AM$56+'TUSD CVA'!$AM$56)*1</f>
        <v>477.29000000000008</v>
      </c>
      <c r="AA851" s="6">
        <f ca="1">('TE BE'!$AB$40+'TE BF_350'!$AB$40+'TE CVA'!$AB$40)*1</f>
        <v>247.20000000000002</v>
      </c>
      <c r="AB851" s="6">
        <f>$K$851*$V$851</f>
        <v>0</v>
      </c>
      <c r="AC851" s="6">
        <f>$M$851*$W$851</f>
        <v>38.594699999999996</v>
      </c>
      <c r="AD851" s="6">
        <f>$O$851*$X$851</f>
        <v>24.782399999999999</v>
      </c>
      <c r="AE851" s="6">
        <f>$K$851*$Y$851</f>
        <v>0</v>
      </c>
      <c r="AF851" s="6">
        <f ca="1">$M$851*$Z$851</f>
        <v>42.956100000000006</v>
      </c>
      <c r="AG851" s="6">
        <f ca="1">$O$851*$AA$851</f>
        <v>22.248000000000001</v>
      </c>
    </row>
    <row r="852" spans="1:33" ht="11.25" customHeight="1" x14ac:dyDescent="0.25">
      <c r="A852" s="4" t="s">
        <v>21</v>
      </c>
      <c r="B852" s="4" t="s">
        <v>39</v>
      </c>
      <c r="C852" s="4" t="s">
        <v>36</v>
      </c>
      <c r="D852" s="4" t="s">
        <v>40</v>
      </c>
      <c r="E852" s="4" t="s">
        <v>25</v>
      </c>
      <c r="F852" s="4" t="s">
        <v>25</v>
      </c>
      <c r="G852" s="4" t="s">
        <v>25</v>
      </c>
      <c r="H852" s="4" t="s">
        <v>38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0</v>
      </c>
      <c r="Q852" s="4" t="s">
        <v>26</v>
      </c>
      <c r="R852" s="4">
        <v>0</v>
      </c>
      <c r="S852" s="6">
        <v>0</v>
      </c>
      <c r="T852" s="6">
        <v>56</v>
      </c>
      <c r="U852" s="6">
        <v>97</v>
      </c>
      <c r="V852" s="6">
        <f>IF(ISERROR(VLOOKUP($S$852,'TAR FIN'!$A$1:$O$103,15,0)),0,VLOOKUP($S$852,'TAR FIN'!$A$1:$O$103,15,0))</f>
        <v>0</v>
      </c>
      <c r="W852" s="6">
        <f>IF(ISERROR(VLOOKUP($T$852,'TAR FIN'!$A$1:$O$103,15,0)),0,VLOOKUP($T$852,'TAR FIN'!$A$1:$O$103,15,0))</f>
        <v>428.83</v>
      </c>
      <c r="X852" s="6">
        <f>IF(ISERROR(VLOOKUP($U$852,'TAR FIN'!$A$1:$O$103,15,0)),0,VLOOKUP($U$852,'TAR FIN'!$A$1:$O$103,15,0))</f>
        <v>275.36</v>
      </c>
      <c r="Y852" s="6"/>
      <c r="Z852" s="6">
        <f ca="1">('TUSD BE'!$AM$56+'TUSD BF_350'!$AM$56+'TUSD CVA'!$AM$56)*1</f>
        <v>477.29000000000008</v>
      </c>
      <c r="AA852" s="6">
        <f ca="1">('TE BE'!$AB$40+'TE BF_350'!$AB$40+'TE CVA'!$AB$40)*1</f>
        <v>247.20000000000002</v>
      </c>
      <c r="AB852" s="6">
        <f>$K$852*$V$852</f>
        <v>0</v>
      </c>
      <c r="AC852" s="6">
        <f>$M$852*$W$852</f>
        <v>45.884809999999995</v>
      </c>
      <c r="AD852" s="6">
        <f>$O$852*$X$852</f>
        <v>29.463520000000003</v>
      </c>
      <c r="AE852" s="6">
        <f>$K$852*$Y$852</f>
        <v>0</v>
      </c>
      <c r="AF852" s="6">
        <f ca="1">$M$852*$Z$852</f>
        <v>51.07003000000001</v>
      </c>
      <c r="AG852" s="6">
        <f ca="1">$O$852*$AA$852</f>
        <v>26.450400000000002</v>
      </c>
    </row>
    <row r="853" spans="1:33" ht="11.25" customHeight="1" x14ac:dyDescent="0.25">
      <c r="A853" s="4" t="s">
        <v>21</v>
      </c>
      <c r="B853" s="4" t="s">
        <v>39</v>
      </c>
      <c r="C853" s="4" t="s">
        <v>36</v>
      </c>
      <c r="D853" s="4" t="s">
        <v>40</v>
      </c>
      <c r="E853" s="4" t="s">
        <v>25</v>
      </c>
      <c r="F853" s="4" t="s">
        <v>25</v>
      </c>
      <c r="G853" s="4" t="s">
        <v>25</v>
      </c>
      <c r="H853" s="4" t="s">
        <v>37</v>
      </c>
      <c r="I853" s="5">
        <v>44348</v>
      </c>
      <c r="J853" s="6">
        <v>0</v>
      </c>
      <c r="K853" s="6">
        <v>0</v>
      </c>
      <c r="L853" s="6">
        <v>0.11</v>
      </c>
      <c r="M853" s="6">
        <v>0.11</v>
      </c>
      <c r="N853" s="6">
        <v>0.11</v>
      </c>
      <c r="O853" s="6">
        <v>0.11</v>
      </c>
      <c r="P853" s="6">
        <v>0</v>
      </c>
      <c r="Q853" s="4" t="s">
        <v>26</v>
      </c>
      <c r="R853" s="4">
        <v>0</v>
      </c>
      <c r="S853" s="6">
        <v>0</v>
      </c>
      <c r="T853" s="6">
        <v>55</v>
      </c>
      <c r="U853" s="6">
        <v>96</v>
      </c>
      <c r="V853" s="6">
        <f>IF(ISERROR(VLOOKUP($S$853,'TAR FIN'!$A$1:$O$103,15,0)),0,VLOOKUP($S$853,'TAR FIN'!$A$1:$O$103,15,0))</f>
        <v>0</v>
      </c>
      <c r="W853" s="6">
        <f>IF(ISERROR(VLOOKUP($T$853,'TAR FIN'!$A$1:$O$103,15,0)),0,VLOOKUP($T$853,'TAR FIN'!$A$1:$O$103,15,0))</f>
        <v>642.88</v>
      </c>
      <c r="X853" s="6">
        <f>IF(ISERROR(VLOOKUP($U$853,'TAR FIN'!$A$1:$O$103,15,0)),0,VLOOKUP($U$853,'TAR FIN'!$A$1:$O$103,15,0))</f>
        <v>437.87</v>
      </c>
      <c r="Y853" s="6"/>
      <c r="Z853" s="6">
        <f ca="1">('TUSD BE'!$AM$55+'TUSD BF_350'!$AM$55+'TUSD CVA'!$AM$55)*1</f>
        <v>701.55</v>
      </c>
      <c r="AA853" s="6">
        <f ca="1">('TE BE'!$AB$39+'TE BF_350'!$AB$39+'TE CVA'!$AB$39)*1</f>
        <v>388.08000000000004</v>
      </c>
      <c r="AB853" s="6">
        <f>$K$853*$V$853</f>
        <v>0</v>
      </c>
      <c r="AC853" s="6">
        <f>$M$853*$W$853</f>
        <v>70.716800000000006</v>
      </c>
      <c r="AD853" s="6">
        <f>$O$853*$X$853</f>
        <v>48.165700000000001</v>
      </c>
      <c r="AE853" s="6">
        <f>$K$853*$Y$853</f>
        <v>0</v>
      </c>
      <c r="AF853" s="6">
        <f ca="1">$M$853*$Z$853</f>
        <v>77.17049999999999</v>
      </c>
      <c r="AG853" s="6">
        <f ca="1">$O$853*$AA$853</f>
        <v>42.688800000000008</v>
      </c>
    </row>
    <row r="854" spans="1:33" ht="11.25" customHeight="1" x14ac:dyDescent="0.25">
      <c r="A854" s="4" t="s">
        <v>21</v>
      </c>
      <c r="B854" s="4" t="s">
        <v>39</v>
      </c>
      <c r="C854" s="4" t="s">
        <v>36</v>
      </c>
      <c r="D854" s="4" t="s">
        <v>40</v>
      </c>
      <c r="E854" s="4" t="s">
        <v>25</v>
      </c>
      <c r="F854" s="4" t="s">
        <v>25</v>
      </c>
      <c r="G854" s="4" t="s">
        <v>25</v>
      </c>
      <c r="H854" s="4" t="s">
        <v>37</v>
      </c>
      <c r="I854" s="5">
        <v>44378</v>
      </c>
      <c r="J854" s="6">
        <v>0</v>
      </c>
      <c r="K854" s="6">
        <v>0</v>
      </c>
      <c r="L854" s="6">
        <v>0.113</v>
      </c>
      <c r="M854" s="6">
        <v>0.113</v>
      </c>
      <c r="N854" s="6">
        <v>0.113</v>
      </c>
      <c r="O854" s="6">
        <v>0.113</v>
      </c>
      <c r="P854" s="6">
        <v>0</v>
      </c>
      <c r="Q854" s="4" t="s">
        <v>26</v>
      </c>
      <c r="R854" s="4">
        <v>0</v>
      </c>
      <c r="S854" s="6">
        <v>0</v>
      </c>
      <c r="T854" s="6">
        <v>55</v>
      </c>
      <c r="U854" s="6">
        <v>96</v>
      </c>
      <c r="V854" s="6">
        <f>IF(ISERROR(VLOOKUP($S$854,'TAR FIN'!$A$1:$O$103,15,0)),0,VLOOKUP($S$854,'TAR FIN'!$A$1:$O$103,15,0))</f>
        <v>0</v>
      </c>
      <c r="W854" s="6">
        <f>IF(ISERROR(VLOOKUP($T$854,'TAR FIN'!$A$1:$O$103,15,0)),0,VLOOKUP($T$854,'TAR FIN'!$A$1:$O$103,15,0))</f>
        <v>642.88</v>
      </c>
      <c r="X854" s="6">
        <f>IF(ISERROR(VLOOKUP($U$854,'TAR FIN'!$A$1:$O$103,15,0)),0,VLOOKUP($U$854,'TAR FIN'!$A$1:$O$103,15,0))</f>
        <v>437.87</v>
      </c>
      <c r="Y854" s="6"/>
      <c r="Z854" s="6">
        <f ca="1">('TUSD BE'!$AM$55+'TUSD BF_350'!$AM$55+'TUSD CVA'!$AM$55)*1</f>
        <v>701.55</v>
      </c>
      <c r="AA854" s="6">
        <f ca="1">('TE BE'!$AB$39+'TE BF_350'!$AB$39+'TE CVA'!$AB$39)*1</f>
        <v>388.08000000000004</v>
      </c>
      <c r="AB854" s="6">
        <f>$K$854*$V$854</f>
        <v>0</v>
      </c>
      <c r="AC854" s="6">
        <f>$M$854*$W$854</f>
        <v>72.645440000000008</v>
      </c>
      <c r="AD854" s="6">
        <f>$O$854*$X$854</f>
        <v>49.479310000000005</v>
      </c>
      <c r="AE854" s="6">
        <f>$K$854*$Y$854</f>
        <v>0</v>
      </c>
      <c r="AF854" s="6">
        <f ca="1">$M$854*$Z$854</f>
        <v>79.275149999999996</v>
      </c>
      <c r="AG854" s="6">
        <f ca="1">$O$854*$AA$854</f>
        <v>43.853040000000007</v>
      </c>
    </row>
    <row r="855" spans="1:33" ht="11.25" customHeight="1" x14ac:dyDescent="0.25">
      <c r="A855" s="4" t="s">
        <v>21</v>
      </c>
      <c r="B855" s="4" t="s">
        <v>39</v>
      </c>
      <c r="C855" s="4" t="s">
        <v>36</v>
      </c>
      <c r="D855" s="4" t="s">
        <v>40</v>
      </c>
      <c r="E855" s="4" t="s">
        <v>25</v>
      </c>
      <c r="F855" s="4" t="s">
        <v>25</v>
      </c>
      <c r="G855" s="4" t="s">
        <v>25</v>
      </c>
      <c r="H855" s="4" t="s">
        <v>37</v>
      </c>
      <c r="I855" s="5">
        <v>44409</v>
      </c>
      <c r="J855" s="6">
        <v>0</v>
      </c>
      <c r="K855" s="6">
        <v>0</v>
      </c>
      <c r="L855" s="6">
        <v>0.104</v>
      </c>
      <c r="M855" s="6">
        <v>0.104</v>
      </c>
      <c r="N855" s="6">
        <v>0.104</v>
      </c>
      <c r="O855" s="6">
        <v>0.104</v>
      </c>
      <c r="P855" s="6">
        <v>0</v>
      </c>
      <c r="Q855" s="4" t="s">
        <v>26</v>
      </c>
      <c r="R855" s="4">
        <v>0</v>
      </c>
      <c r="S855" s="6">
        <v>0</v>
      </c>
      <c r="T855" s="6">
        <v>55</v>
      </c>
      <c r="U855" s="6">
        <v>96</v>
      </c>
      <c r="V855" s="6">
        <f>IF(ISERROR(VLOOKUP($S$855,'TAR FIN'!$A$1:$O$103,15,0)),0,VLOOKUP($S$855,'TAR FIN'!$A$1:$O$103,15,0))</f>
        <v>0</v>
      </c>
      <c r="W855" s="6">
        <f>IF(ISERROR(VLOOKUP($T$855,'TAR FIN'!$A$1:$O$103,15,0)),0,VLOOKUP($T$855,'TAR FIN'!$A$1:$O$103,15,0))</f>
        <v>642.88</v>
      </c>
      <c r="X855" s="6">
        <f>IF(ISERROR(VLOOKUP($U$855,'TAR FIN'!$A$1:$O$103,15,0)),0,VLOOKUP($U$855,'TAR FIN'!$A$1:$O$103,15,0))</f>
        <v>437.87</v>
      </c>
      <c r="Y855" s="6"/>
      <c r="Z855" s="6">
        <f ca="1">('TUSD BE'!$AM$55+'TUSD BF_350'!$AM$55+'TUSD CVA'!$AM$55)*1</f>
        <v>701.55</v>
      </c>
      <c r="AA855" s="6">
        <f ca="1">('TE BE'!$AB$39+'TE BF_350'!$AB$39+'TE CVA'!$AB$39)*1</f>
        <v>388.08000000000004</v>
      </c>
      <c r="AB855" s="6">
        <f>$K$855*$V$855</f>
        <v>0</v>
      </c>
      <c r="AC855" s="6">
        <f>$M$855*$W$855</f>
        <v>66.859520000000003</v>
      </c>
      <c r="AD855" s="6">
        <f>$O$855*$X$855</f>
        <v>45.53848</v>
      </c>
      <c r="AE855" s="6">
        <f>$K$855*$Y$855</f>
        <v>0</v>
      </c>
      <c r="AF855" s="6">
        <f ca="1">$M$855*$Z$855</f>
        <v>72.961199999999991</v>
      </c>
      <c r="AG855" s="6">
        <f ca="1">$O$855*$AA$855</f>
        <v>40.360320000000002</v>
      </c>
    </row>
    <row r="856" spans="1:33" ht="11.25" customHeight="1" x14ac:dyDescent="0.25">
      <c r="A856" s="4" t="s">
        <v>21</v>
      </c>
      <c r="B856" s="4" t="s">
        <v>39</v>
      </c>
      <c r="C856" s="4" t="s">
        <v>36</v>
      </c>
      <c r="D856" s="4" t="s">
        <v>40</v>
      </c>
      <c r="E856" s="4" t="s">
        <v>25</v>
      </c>
      <c r="F856" s="4" t="s">
        <v>25</v>
      </c>
      <c r="G856" s="4" t="s">
        <v>25</v>
      </c>
      <c r="H856" s="4" t="s">
        <v>37</v>
      </c>
      <c r="I856" s="5">
        <v>44440</v>
      </c>
      <c r="J856" s="6">
        <v>0</v>
      </c>
      <c r="K856" s="6">
        <v>0</v>
      </c>
      <c r="L856" s="6">
        <v>0.108</v>
      </c>
      <c r="M856" s="6">
        <v>0.108</v>
      </c>
      <c r="N856" s="6">
        <v>0.108</v>
      </c>
      <c r="O856" s="6">
        <v>0.108</v>
      </c>
      <c r="P856" s="6">
        <v>0</v>
      </c>
      <c r="Q856" s="4" t="s">
        <v>26</v>
      </c>
      <c r="R856" s="4">
        <v>0</v>
      </c>
      <c r="S856" s="6">
        <v>0</v>
      </c>
      <c r="T856" s="6">
        <v>55</v>
      </c>
      <c r="U856" s="6">
        <v>96</v>
      </c>
      <c r="V856" s="6">
        <f>IF(ISERROR(VLOOKUP($S$856,'TAR FIN'!$A$1:$O$103,15,0)),0,VLOOKUP($S$856,'TAR FIN'!$A$1:$O$103,15,0))</f>
        <v>0</v>
      </c>
      <c r="W856" s="6">
        <f>IF(ISERROR(VLOOKUP($T$856,'TAR FIN'!$A$1:$O$103,15,0)),0,VLOOKUP($T$856,'TAR FIN'!$A$1:$O$103,15,0))</f>
        <v>642.88</v>
      </c>
      <c r="X856" s="6">
        <f>IF(ISERROR(VLOOKUP($U$856,'TAR FIN'!$A$1:$O$103,15,0)),0,VLOOKUP($U$856,'TAR FIN'!$A$1:$O$103,15,0))</f>
        <v>437.87</v>
      </c>
      <c r="Y856" s="6"/>
      <c r="Z856" s="6">
        <f ca="1">('TUSD BE'!$AM$55+'TUSD BF_350'!$AM$55+'TUSD CVA'!$AM$55)*1</f>
        <v>701.55</v>
      </c>
      <c r="AA856" s="6">
        <f ca="1">('TE BE'!$AB$39+'TE BF_350'!$AB$39+'TE CVA'!$AB$39)*1</f>
        <v>388.08000000000004</v>
      </c>
      <c r="AB856" s="6">
        <f>$K$856*$V$856</f>
        <v>0</v>
      </c>
      <c r="AC856" s="6">
        <f>$M$856*$W$856</f>
        <v>69.431039999999996</v>
      </c>
      <c r="AD856" s="6">
        <f>$O$856*$X$856</f>
        <v>47.289960000000001</v>
      </c>
      <c r="AE856" s="6">
        <f>$K$856*$Y$856</f>
        <v>0</v>
      </c>
      <c r="AF856" s="6">
        <f ca="1">$M$856*$Z$856</f>
        <v>75.767399999999995</v>
      </c>
      <c r="AG856" s="6">
        <f ca="1">$O$856*$AA$856</f>
        <v>41.912640000000003</v>
      </c>
    </row>
    <row r="857" spans="1:33" ht="11.25" customHeight="1" x14ac:dyDescent="0.25">
      <c r="A857" s="4" t="s">
        <v>21</v>
      </c>
      <c r="B857" s="4" t="s">
        <v>39</v>
      </c>
      <c r="C857" s="4" t="s">
        <v>36</v>
      </c>
      <c r="D857" s="4" t="s">
        <v>40</v>
      </c>
      <c r="E857" s="4" t="s">
        <v>25</v>
      </c>
      <c r="F857" s="4" t="s">
        <v>25</v>
      </c>
      <c r="G857" s="4" t="s">
        <v>25</v>
      </c>
      <c r="H857" s="4" t="s">
        <v>37</v>
      </c>
      <c r="I857" s="5">
        <v>44470</v>
      </c>
      <c r="J857" s="6">
        <v>0</v>
      </c>
      <c r="K857" s="6">
        <v>0</v>
      </c>
      <c r="L857" s="6">
        <v>0.112</v>
      </c>
      <c r="M857" s="6">
        <v>0.112</v>
      </c>
      <c r="N857" s="6">
        <v>0.112</v>
      </c>
      <c r="O857" s="6">
        <v>0.112</v>
      </c>
      <c r="P857" s="6">
        <v>0</v>
      </c>
      <c r="Q857" s="4" t="s">
        <v>26</v>
      </c>
      <c r="R857" s="4">
        <v>0</v>
      </c>
      <c r="S857" s="6">
        <v>0</v>
      </c>
      <c r="T857" s="6">
        <v>55</v>
      </c>
      <c r="U857" s="6">
        <v>96</v>
      </c>
      <c r="V857" s="6">
        <f>IF(ISERROR(VLOOKUP($S$857,'TAR FIN'!$A$1:$O$103,15,0)),0,VLOOKUP($S$857,'TAR FIN'!$A$1:$O$103,15,0))</f>
        <v>0</v>
      </c>
      <c r="W857" s="6">
        <f>IF(ISERROR(VLOOKUP($T$857,'TAR FIN'!$A$1:$O$103,15,0)),0,VLOOKUP($T$857,'TAR FIN'!$A$1:$O$103,15,0))</f>
        <v>642.88</v>
      </c>
      <c r="X857" s="6">
        <f>IF(ISERROR(VLOOKUP($U$857,'TAR FIN'!$A$1:$O$103,15,0)),0,VLOOKUP($U$857,'TAR FIN'!$A$1:$O$103,15,0))</f>
        <v>437.87</v>
      </c>
      <c r="Y857" s="6"/>
      <c r="Z857" s="6">
        <f ca="1">('TUSD BE'!$AM$55+'TUSD BF_350'!$AM$55+'TUSD CVA'!$AM$55)*1</f>
        <v>701.55</v>
      </c>
      <c r="AA857" s="6">
        <f ca="1">('TE BE'!$AB$39+'TE BF_350'!$AB$39+'TE CVA'!$AB$39)*1</f>
        <v>388.08000000000004</v>
      </c>
      <c r="AB857" s="6">
        <f>$K$857*$V$857</f>
        <v>0</v>
      </c>
      <c r="AC857" s="6">
        <f>$M$857*$W$857</f>
        <v>72.002560000000003</v>
      </c>
      <c r="AD857" s="6">
        <f>$O$857*$X$857</f>
        <v>49.041440000000001</v>
      </c>
      <c r="AE857" s="6">
        <f>$K$857*$Y$857</f>
        <v>0</v>
      </c>
      <c r="AF857" s="6">
        <f ca="1">$M$857*$Z$857</f>
        <v>78.573599999999999</v>
      </c>
      <c r="AG857" s="6">
        <f ca="1">$O$857*$AA$857</f>
        <v>43.464960000000005</v>
      </c>
    </row>
    <row r="858" spans="1:33" ht="11.25" customHeight="1" x14ac:dyDescent="0.25">
      <c r="A858" s="4" t="s">
        <v>21</v>
      </c>
      <c r="B858" s="4" t="s">
        <v>39</v>
      </c>
      <c r="C858" s="4" t="s">
        <v>36</v>
      </c>
      <c r="D858" s="4" t="s">
        <v>40</v>
      </c>
      <c r="E858" s="4" t="s">
        <v>25</v>
      </c>
      <c r="F858" s="4" t="s">
        <v>25</v>
      </c>
      <c r="G858" s="4" t="s">
        <v>25</v>
      </c>
      <c r="H858" s="4" t="s">
        <v>37</v>
      </c>
      <c r="I858" s="5">
        <v>44501</v>
      </c>
      <c r="J858" s="6">
        <v>0</v>
      </c>
      <c r="K858" s="6">
        <v>0</v>
      </c>
      <c r="L858" s="6">
        <v>0.10199999999999999</v>
      </c>
      <c r="M858" s="6">
        <v>0.10199999999999999</v>
      </c>
      <c r="N858" s="6">
        <v>0.10199999999999999</v>
      </c>
      <c r="O858" s="6">
        <v>0.10199999999999999</v>
      </c>
      <c r="P858" s="6">
        <v>0</v>
      </c>
      <c r="Q858" s="4" t="s">
        <v>26</v>
      </c>
      <c r="R858" s="4">
        <v>0</v>
      </c>
      <c r="S858" s="6">
        <v>0</v>
      </c>
      <c r="T858" s="6">
        <v>55</v>
      </c>
      <c r="U858" s="6">
        <v>96</v>
      </c>
      <c r="V858" s="6">
        <f>IF(ISERROR(VLOOKUP($S$858,'TAR FIN'!$A$1:$O$103,15,0)),0,VLOOKUP($S$858,'TAR FIN'!$A$1:$O$103,15,0))</f>
        <v>0</v>
      </c>
      <c r="W858" s="6">
        <f>IF(ISERROR(VLOOKUP($T$858,'TAR FIN'!$A$1:$O$103,15,0)),0,VLOOKUP($T$858,'TAR FIN'!$A$1:$O$103,15,0))</f>
        <v>642.88</v>
      </c>
      <c r="X858" s="6">
        <f>IF(ISERROR(VLOOKUP($U$858,'TAR FIN'!$A$1:$O$103,15,0)),0,VLOOKUP($U$858,'TAR FIN'!$A$1:$O$103,15,0))</f>
        <v>437.87</v>
      </c>
      <c r="Y858" s="6"/>
      <c r="Z858" s="6">
        <f ca="1">('TUSD BE'!$AM$55+'TUSD BF_350'!$AM$55+'TUSD CVA'!$AM$55)*1</f>
        <v>701.55</v>
      </c>
      <c r="AA858" s="6">
        <f ca="1">('TE BE'!$AB$39+'TE BF_350'!$AB$39+'TE CVA'!$AB$39)*1</f>
        <v>388.08000000000004</v>
      </c>
      <c r="AB858" s="6">
        <f>$K$858*$V$858</f>
        <v>0</v>
      </c>
      <c r="AC858" s="6">
        <f>$M$858*$W$858</f>
        <v>65.573759999999993</v>
      </c>
      <c r="AD858" s="6">
        <f>$O$858*$X$858</f>
        <v>44.662739999999999</v>
      </c>
      <c r="AE858" s="6">
        <f>$K$858*$Y$858</f>
        <v>0</v>
      </c>
      <c r="AF858" s="6">
        <f ca="1">$M$858*$Z$858</f>
        <v>71.558099999999996</v>
      </c>
      <c r="AG858" s="6">
        <f ca="1">$O$858*$AA$858</f>
        <v>39.584160000000004</v>
      </c>
    </row>
    <row r="859" spans="1:33" ht="11.25" customHeight="1" x14ac:dyDescent="0.25">
      <c r="A859" s="4" t="s">
        <v>21</v>
      </c>
      <c r="B859" s="4" t="s">
        <v>39</v>
      </c>
      <c r="C859" s="4" t="s">
        <v>36</v>
      </c>
      <c r="D859" s="4" t="s">
        <v>40</v>
      </c>
      <c r="E859" s="4" t="s">
        <v>25</v>
      </c>
      <c r="F859" s="4" t="s">
        <v>25</v>
      </c>
      <c r="G859" s="4" t="s">
        <v>25</v>
      </c>
      <c r="H859" s="4" t="s">
        <v>37</v>
      </c>
      <c r="I859" s="5">
        <v>44531</v>
      </c>
      <c r="J859" s="6">
        <v>0</v>
      </c>
      <c r="K859" s="6">
        <v>0</v>
      </c>
      <c r="L859" s="6">
        <v>0.125</v>
      </c>
      <c r="M859" s="6">
        <v>0.125</v>
      </c>
      <c r="N859" s="6">
        <v>0.125</v>
      </c>
      <c r="O859" s="6">
        <v>0.125</v>
      </c>
      <c r="P859" s="6">
        <v>0</v>
      </c>
      <c r="Q859" s="4" t="s">
        <v>26</v>
      </c>
      <c r="R859" s="4">
        <v>0</v>
      </c>
      <c r="S859" s="6">
        <v>0</v>
      </c>
      <c r="T859" s="6">
        <v>55</v>
      </c>
      <c r="U859" s="6">
        <v>96</v>
      </c>
      <c r="V859" s="6">
        <f>IF(ISERROR(VLOOKUP($S$859,'TAR FIN'!$A$1:$O$103,15,0)),0,VLOOKUP($S$859,'TAR FIN'!$A$1:$O$103,15,0))</f>
        <v>0</v>
      </c>
      <c r="W859" s="6">
        <f>IF(ISERROR(VLOOKUP($T$859,'TAR FIN'!$A$1:$O$103,15,0)),0,VLOOKUP($T$859,'TAR FIN'!$A$1:$O$103,15,0))</f>
        <v>642.88</v>
      </c>
      <c r="X859" s="6">
        <f>IF(ISERROR(VLOOKUP($U$859,'TAR FIN'!$A$1:$O$103,15,0)),0,VLOOKUP($U$859,'TAR FIN'!$A$1:$O$103,15,0))</f>
        <v>437.87</v>
      </c>
      <c r="Y859" s="6"/>
      <c r="Z859" s="6">
        <f ca="1">('TUSD BE'!$AM$55+'TUSD BF_350'!$AM$55+'TUSD CVA'!$AM$55)*1</f>
        <v>701.55</v>
      </c>
      <c r="AA859" s="6">
        <f ca="1">('TE BE'!$AB$39+'TE BF_350'!$AB$39+'TE CVA'!$AB$39)*1</f>
        <v>388.08000000000004</v>
      </c>
      <c r="AB859" s="6">
        <f>$K$859*$V$859</f>
        <v>0</v>
      </c>
      <c r="AC859" s="6">
        <f>$M$859*$W$859</f>
        <v>80.36</v>
      </c>
      <c r="AD859" s="6">
        <f>$O$859*$X$859</f>
        <v>54.733750000000001</v>
      </c>
      <c r="AE859" s="6">
        <f>$K$859*$Y$859</f>
        <v>0</v>
      </c>
      <c r="AF859" s="6">
        <f ca="1">$M$859*$Z$859</f>
        <v>87.693749999999994</v>
      </c>
      <c r="AG859" s="6">
        <f ca="1">$O$859*$AA$859</f>
        <v>48.510000000000005</v>
      </c>
    </row>
    <row r="860" spans="1:33" ht="11.25" customHeight="1" x14ac:dyDescent="0.25">
      <c r="A860" s="4" t="s">
        <v>21</v>
      </c>
      <c r="B860" s="4" t="s">
        <v>39</v>
      </c>
      <c r="C860" s="4" t="s">
        <v>36</v>
      </c>
      <c r="D860" s="4" t="s">
        <v>40</v>
      </c>
      <c r="E860" s="4" t="s">
        <v>25</v>
      </c>
      <c r="F860" s="4" t="s">
        <v>25</v>
      </c>
      <c r="G860" s="4" t="s">
        <v>25</v>
      </c>
      <c r="H860" s="4" t="s">
        <v>37</v>
      </c>
      <c r="I860" s="5">
        <v>44562</v>
      </c>
      <c r="J860" s="6">
        <v>0</v>
      </c>
      <c r="K860" s="6">
        <v>0</v>
      </c>
      <c r="L860" s="6">
        <v>0.125</v>
      </c>
      <c r="M860" s="6">
        <v>0.125</v>
      </c>
      <c r="N860" s="6">
        <v>0.125</v>
      </c>
      <c r="O860" s="6">
        <v>0.125</v>
      </c>
      <c r="P860" s="6">
        <v>0</v>
      </c>
      <c r="Q860" s="4" t="s">
        <v>26</v>
      </c>
      <c r="R860" s="4">
        <v>0</v>
      </c>
      <c r="S860" s="6">
        <v>0</v>
      </c>
      <c r="T860" s="6">
        <v>55</v>
      </c>
      <c r="U860" s="6">
        <v>96</v>
      </c>
      <c r="V860" s="6">
        <f>IF(ISERROR(VLOOKUP($S$860,'TAR FIN'!$A$1:$O$103,15,0)),0,VLOOKUP($S$860,'TAR FIN'!$A$1:$O$103,15,0))</f>
        <v>0</v>
      </c>
      <c r="W860" s="6">
        <f>IF(ISERROR(VLOOKUP($T$860,'TAR FIN'!$A$1:$O$103,15,0)),0,VLOOKUP($T$860,'TAR FIN'!$A$1:$O$103,15,0))</f>
        <v>642.88</v>
      </c>
      <c r="X860" s="6">
        <f>IF(ISERROR(VLOOKUP($U$860,'TAR FIN'!$A$1:$O$103,15,0)),0,VLOOKUP($U$860,'TAR FIN'!$A$1:$O$103,15,0))</f>
        <v>437.87</v>
      </c>
      <c r="Y860" s="6"/>
      <c r="Z860" s="6">
        <f ca="1">('TUSD BE'!$AM$55+'TUSD BF_350'!$AM$55+'TUSD CVA'!$AM$55)*1</f>
        <v>701.55</v>
      </c>
      <c r="AA860" s="6">
        <f ca="1">('TE BE'!$AB$39+'TE BF_350'!$AB$39+'TE CVA'!$AB$39)*1</f>
        <v>388.08000000000004</v>
      </c>
      <c r="AB860" s="6">
        <f>$K$860*$V$860</f>
        <v>0</v>
      </c>
      <c r="AC860" s="6">
        <f>$M$860*$W$860</f>
        <v>80.36</v>
      </c>
      <c r="AD860" s="6">
        <f>$O$860*$X$860</f>
        <v>54.733750000000001</v>
      </c>
      <c r="AE860" s="6">
        <f>$K$860*$Y$860</f>
        <v>0</v>
      </c>
      <c r="AF860" s="6">
        <f ca="1">$M$860*$Z$860</f>
        <v>87.693749999999994</v>
      </c>
      <c r="AG860" s="6">
        <f ca="1">$O$860*$AA$860</f>
        <v>48.510000000000005</v>
      </c>
    </row>
    <row r="861" spans="1:33" ht="11.25" customHeight="1" x14ac:dyDescent="0.25">
      <c r="A861" s="4" t="s">
        <v>21</v>
      </c>
      <c r="B861" s="4" t="s">
        <v>39</v>
      </c>
      <c r="C861" s="4" t="s">
        <v>36</v>
      </c>
      <c r="D861" s="4" t="s">
        <v>40</v>
      </c>
      <c r="E861" s="4" t="s">
        <v>25</v>
      </c>
      <c r="F861" s="4" t="s">
        <v>25</v>
      </c>
      <c r="G861" s="4" t="s">
        <v>25</v>
      </c>
      <c r="H861" s="4" t="s">
        <v>37</v>
      </c>
      <c r="I861" s="5">
        <v>44593</v>
      </c>
      <c r="J861" s="6">
        <v>0</v>
      </c>
      <c r="K861" s="6">
        <v>0</v>
      </c>
      <c r="L861" s="6">
        <v>0.124</v>
      </c>
      <c r="M861" s="6">
        <v>0.124</v>
      </c>
      <c r="N861" s="6">
        <v>0.124</v>
      </c>
      <c r="O861" s="6">
        <v>0.124</v>
      </c>
      <c r="P861" s="6">
        <v>0</v>
      </c>
      <c r="Q861" s="4" t="s">
        <v>26</v>
      </c>
      <c r="R861" s="4">
        <v>0</v>
      </c>
      <c r="S861" s="6">
        <v>0</v>
      </c>
      <c r="T861" s="6">
        <v>55</v>
      </c>
      <c r="U861" s="6">
        <v>96</v>
      </c>
      <c r="V861" s="6">
        <f>IF(ISERROR(VLOOKUP($S$861,'TAR FIN'!$A$1:$O$103,15,0)),0,VLOOKUP($S$861,'TAR FIN'!$A$1:$O$103,15,0))</f>
        <v>0</v>
      </c>
      <c r="W861" s="6">
        <f>IF(ISERROR(VLOOKUP($T$861,'TAR FIN'!$A$1:$O$103,15,0)),0,VLOOKUP($T$861,'TAR FIN'!$A$1:$O$103,15,0))</f>
        <v>642.88</v>
      </c>
      <c r="X861" s="6">
        <f>IF(ISERROR(VLOOKUP($U$861,'TAR FIN'!$A$1:$O$103,15,0)),0,VLOOKUP($U$861,'TAR FIN'!$A$1:$O$103,15,0))</f>
        <v>437.87</v>
      </c>
      <c r="Y861" s="6"/>
      <c r="Z861" s="6">
        <f ca="1">('TUSD BE'!$AM$55+'TUSD BF_350'!$AM$55+'TUSD CVA'!$AM$55)*1</f>
        <v>701.55</v>
      </c>
      <c r="AA861" s="6">
        <f ca="1">('TE BE'!$AB$39+'TE BF_350'!$AB$39+'TE CVA'!$AB$39)*1</f>
        <v>388.08000000000004</v>
      </c>
      <c r="AB861" s="6">
        <f>$K$861*$V$861</f>
        <v>0</v>
      </c>
      <c r="AC861" s="6">
        <f>$M$861*$W$861</f>
        <v>79.717119999999994</v>
      </c>
      <c r="AD861" s="6">
        <f>$O$861*$X$861</f>
        <v>54.295879999999997</v>
      </c>
      <c r="AE861" s="6">
        <f>$K$861*$Y$861</f>
        <v>0</v>
      </c>
      <c r="AF861" s="6">
        <f ca="1">$M$861*$Z$861</f>
        <v>86.992199999999997</v>
      </c>
      <c r="AG861" s="6">
        <f ca="1">$O$861*$AA$861</f>
        <v>48.121920000000003</v>
      </c>
    </row>
    <row r="862" spans="1:33" ht="11.25" customHeight="1" x14ac:dyDescent="0.25">
      <c r="A862" s="4" t="s">
        <v>21</v>
      </c>
      <c r="B862" s="4" t="s">
        <v>39</v>
      </c>
      <c r="C862" s="4" t="s">
        <v>36</v>
      </c>
      <c r="D862" s="4" t="s">
        <v>40</v>
      </c>
      <c r="E862" s="4" t="s">
        <v>25</v>
      </c>
      <c r="F862" s="4" t="s">
        <v>25</v>
      </c>
      <c r="G862" s="4" t="s">
        <v>25</v>
      </c>
      <c r="H862" s="4" t="s">
        <v>37</v>
      </c>
      <c r="I862" s="5">
        <v>44621</v>
      </c>
      <c r="J862" s="6">
        <v>0</v>
      </c>
      <c r="K862" s="6">
        <v>0</v>
      </c>
      <c r="L862" s="6">
        <v>0.114</v>
      </c>
      <c r="M862" s="6">
        <v>0.114</v>
      </c>
      <c r="N862" s="6">
        <v>0.114</v>
      </c>
      <c r="O862" s="6">
        <v>0.114</v>
      </c>
      <c r="P862" s="6">
        <v>0</v>
      </c>
      <c r="Q862" s="4" t="s">
        <v>26</v>
      </c>
      <c r="R862" s="4">
        <v>0</v>
      </c>
      <c r="S862" s="6">
        <v>0</v>
      </c>
      <c r="T862" s="6">
        <v>55</v>
      </c>
      <c r="U862" s="6">
        <v>96</v>
      </c>
      <c r="V862" s="6">
        <f>IF(ISERROR(VLOOKUP($S$862,'TAR FIN'!$A$1:$O$103,15,0)),0,VLOOKUP($S$862,'TAR FIN'!$A$1:$O$103,15,0))</f>
        <v>0</v>
      </c>
      <c r="W862" s="6">
        <f>IF(ISERROR(VLOOKUP($T$862,'TAR FIN'!$A$1:$O$103,15,0)),0,VLOOKUP($T$862,'TAR FIN'!$A$1:$O$103,15,0))</f>
        <v>642.88</v>
      </c>
      <c r="X862" s="6">
        <f>IF(ISERROR(VLOOKUP($U$862,'TAR FIN'!$A$1:$O$103,15,0)),0,VLOOKUP($U$862,'TAR FIN'!$A$1:$O$103,15,0))</f>
        <v>437.87</v>
      </c>
      <c r="Y862" s="6"/>
      <c r="Z862" s="6">
        <f ca="1">('TUSD BE'!$AM$55+'TUSD BF_350'!$AM$55+'TUSD CVA'!$AM$55)*1</f>
        <v>701.55</v>
      </c>
      <c r="AA862" s="6">
        <f ca="1">('TE BE'!$AB$39+'TE BF_350'!$AB$39+'TE CVA'!$AB$39)*1</f>
        <v>388.08000000000004</v>
      </c>
      <c r="AB862" s="6">
        <f>$K$862*$V$862</f>
        <v>0</v>
      </c>
      <c r="AC862" s="6">
        <f>$M$862*$W$862</f>
        <v>73.288319999999999</v>
      </c>
      <c r="AD862" s="6">
        <f>$O$862*$X$862</f>
        <v>49.917180000000002</v>
      </c>
      <c r="AE862" s="6">
        <f>$K$862*$Y$862</f>
        <v>0</v>
      </c>
      <c r="AF862" s="6">
        <f ca="1">$M$862*$Z$862</f>
        <v>79.976699999999994</v>
      </c>
      <c r="AG862" s="6">
        <f ca="1">$O$862*$AA$862</f>
        <v>44.241120000000009</v>
      </c>
    </row>
    <row r="863" spans="1:33" ht="11.25" customHeight="1" x14ac:dyDescent="0.25">
      <c r="A863" s="4" t="s">
        <v>21</v>
      </c>
      <c r="B863" s="4" t="s">
        <v>39</v>
      </c>
      <c r="C863" s="4" t="s">
        <v>36</v>
      </c>
      <c r="D863" s="4" t="s">
        <v>40</v>
      </c>
      <c r="E863" s="4" t="s">
        <v>25</v>
      </c>
      <c r="F863" s="4" t="s">
        <v>25</v>
      </c>
      <c r="G863" s="4" t="s">
        <v>25</v>
      </c>
      <c r="H863" s="4" t="s">
        <v>37</v>
      </c>
      <c r="I863" s="5">
        <v>44652</v>
      </c>
      <c r="J863" s="6">
        <v>0</v>
      </c>
      <c r="K863" s="6">
        <v>0</v>
      </c>
      <c r="L863" s="6">
        <v>0.11600000000000001</v>
      </c>
      <c r="M863" s="6">
        <v>0.11600000000000001</v>
      </c>
      <c r="N863" s="6">
        <v>0.11600000000000001</v>
      </c>
      <c r="O863" s="6">
        <v>0.11600000000000001</v>
      </c>
      <c r="P863" s="6">
        <v>0</v>
      </c>
      <c r="Q863" s="4" t="s">
        <v>26</v>
      </c>
      <c r="R863" s="4">
        <v>0</v>
      </c>
      <c r="S863" s="6">
        <v>0</v>
      </c>
      <c r="T863" s="6">
        <v>55</v>
      </c>
      <c r="U863" s="6">
        <v>96</v>
      </c>
      <c r="V863" s="6">
        <f>IF(ISERROR(VLOOKUP($S$863,'TAR FIN'!$A$1:$O$103,15,0)),0,VLOOKUP($S$863,'TAR FIN'!$A$1:$O$103,15,0))</f>
        <v>0</v>
      </c>
      <c r="W863" s="6">
        <f>IF(ISERROR(VLOOKUP($T$863,'TAR FIN'!$A$1:$O$103,15,0)),0,VLOOKUP($T$863,'TAR FIN'!$A$1:$O$103,15,0))</f>
        <v>642.88</v>
      </c>
      <c r="X863" s="6">
        <f>IF(ISERROR(VLOOKUP($U$863,'TAR FIN'!$A$1:$O$103,15,0)),0,VLOOKUP($U$863,'TAR FIN'!$A$1:$O$103,15,0))</f>
        <v>437.87</v>
      </c>
      <c r="Y863" s="6"/>
      <c r="Z863" s="6">
        <f ca="1">('TUSD BE'!$AM$55+'TUSD BF_350'!$AM$55+'TUSD CVA'!$AM$55)*1</f>
        <v>701.55</v>
      </c>
      <c r="AA863" s="6">
        <f ca="1">('TE BE'!$AB$39+'TE BF_350'!$AB$39+'TE CVA'!$AB$39)*1</f>
        <v>388.08000000000004</v>
      </c>
      <c r="AB863" s="6">
        <f>$K$863*$V$863</f>
        <v>0</v>
      </c>
      <c r="AC863" s="6">
        <f>$M$863*$W$863</f>
        <v>74.574080000000009</v>
      </c>
      <c r="AD863" s="6">
        <f>$O$863*$X$863</f>
        <v>50.792920000000002</v>
      </c>
      <c r="AE863" s="6">
        <f>$K$863*$Y$863</f>
        <v>0</v>
      </c>
      <c r="AF863" s="6">
        <f ca="1">$M$863*$Z$863</f>
        <v>81.379800000000003</v>
      </c>
      <c r="AG863" s="6">
        <f ca="1">$O$863*$AA$863</f>
        <v>45.017280000000007</v>
      </c>
    </row>
    <row r="864" spans="1:33" ht="11.25" customHeight="1" x14ac:dyDescent="0.25">
      <c r="A864" s="4" t="s">
        <v>21</v>
      </c>
      <c r="B864" s="4" t="s">
        <v>39</v>
      </c>
      <c r="C864" s="4" t="s">
        <v>36</v>
      </c>
      <c r="D864" s="4" t="s">
        <v>40</v>
      </c>
      <c r="E864" s="4" t="s">
        <v>25</v>
      </c>
      <c r="F864" s="4" t="s">
        <v>25</v>
      </c>
      <c r="G864" s="4" t="s">
        <v>25</v>
      </c>
      <c r="H864" s="4" t="s">
        <v>37</v>
      </c>
      <c r="I864" s="5">
        <v>44682</v>
      </c>
      <c r="J864" s="6">
        <v>0</v>
      </c>
      <c r="K864" s="6">
        <v>0</v>
      </c>
      <c r="L864" s="6">
        <v>0.114</v>
      </c>
      <c r="M864" s="6">
        <v>0.114</v>
      </c>
      <c r="N864" s="6">
        <v>0.114</v>
      </c>
      <c r="O864" s="6">
        <v>0.114</v>
      </c>
      <c r="P864" s="6">
        <v>0</v>
      </c>
      <c r="Q864" s="4" t="s">
        <v>26</v>
      </c>
      <c r="R864" s="4">
        <v>0</v>
      </c>
      <c r="S864" s="6">
        <v>0</v>
      </c>
      <c r="T864" s="6">
        <v>55</v>
      </c>
      <c r="U864" s="6">
        <v>96</v>
      </c>
      <c r="V864" s="6">
        <f>IF(ISERROR(VLOOKUP($S$864,'TAR FIN'!$A$1:$O$103,15,0)),0,VLOOKUP($S$864,'TAR FIN'!$A$1:$O$103,15,0))</f>
        <v>0</v>
      </c>
      <c r="W864" s="6">
        <f>IF(ISERROR(VLOOKUP($T$864,'TAR FIN'!$A$1:$O$103,15,0)),0,VLOOKUP($T$864,'TAR FIN'!$A$1:$O$103,15,0))</f>
        <v>642.88</v>
      </c>
      <c r="X864" s="6">
        <f>IF(ISERROR(VLOOKUP($U$864,'TAR FIN'!$A$1:$O$103,15,0)),0,VLOOKUP($U$864,'TAR FIN'!$A$1:$O$103,15,0))</f>
        <v>437.87</v>
      </c>
      <c r="Y864" s="6"/>
      <c r="Z864" s="6">
        <f ca="1">('TUSD BE'!$AM$55+'TUSD BF_350'!$AM$55+'TUSD CVA'!$AM$55)*1</f>
        <v>701.55</v>
      </c>
      <c r="AA864" s="6">
        <f ca="1">('TE BE'!$AB$39+'TE BF_350'!$AB$39+'TE CVA'!$AB$39)*1</f>
        <v>388.08000000000004</v>
      </c>
      <c r="AB864" s="6">
        <f>$K$864*$V$864</f>
        <v>0</v>
      </c>
      <c r="AC864" s="6">
        <f>$M$864*$W$864</f>
        <v>73.288319999999999</v>
      </c>
      <c r="AD864" s="6">
        <f>$O$864*$X$864</f>
        <v>49.917180000000002</v>
      </c>
      <c r="AE864" s="6">
        <f>$K$864*$Y$864</f>
        <v>0</v>
      </c>
      <c r="AF864" s="6">
        <f ca="1">$M$864*$Z$864</f>
        <v>79.976699999999994</v>
      </c>
      <c r="AG864" s="6">
        <f ca="1">$O$864*$AA$864</f>
        <v>44.241120000000009</v>
      </c>
    </row>
    <row r="865" spans="1:33" ht="11.25" customHeight="1" x14ac:dyDescent="0.25">
      <c r="A865" s="4" t="s">
        <v>21</v>
      </c>
      <c r="B865" s="4" t="s">
        <v>39</v>
      </c>
      <c r="C865" s="4" t="s">
        <v>23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44348</v>
      </c>
      <c r="J865" s="6">
        <v>0</v>
      </c>
      <c r="K865" s="6">
        <v>0</v>
      </c>
      <c r="L865" s="6">
        <v>1705.5170000000001</v>
      </c>
      <c r="M865" s="6">
        <v>1705.5170000000001</v>
      </c>
      <c r="N865" s="6">
        <v>1705.5170000000001</v>
      </c>
      <c r="O865" s="6">
        <v>1705.5170000000001</v>
      </c>
      <c r="P865" s="6">
        <v>3389</v>
      </c>
      <c r="Q865" s="4" t="s">
        <v>26</v>
      </c>
      <c r="R865" s="4">
        <v>0</v>
      </c>
      <c r="S865" s="6">
        <v>0</v>
      </c>
      <c r="T865" s="6">
        <v>58</v>
      </c>
      <c r="U865" s="6">
        <v>99</v>
      </c>
      <c r="V865" s="6">
        <f>IF(ISERROR(VLOOKUP($S$865,'TAR FIN'!$A$1:$O$103,15,0)),0,VLOOKUP($S$865,'TAR FIN'!$A$1:$O$103,15,0))</f>
        <v>0</v>
      </c>
      <c r="W865" s="6">
        <f>IF(ISERROR(VLOOKUP($T$865,'TAR FIN'!$A$1:$O$103,15,0)),0,VLOOKUP($T$865,'TAR FIN'!$A$1:$O$103,15,0))</f>
        <v>269.91000000000003</v>
      </c>
      <c r="X865" s="6">
        <f>IF(ISERROR(VLOOKUP($U$865,'TAR FIN'!$A$1:$O$103,15,0)),0,VLOOKUP($U$865,'TAR FIN'!$A$1:$O$103,15,0))</f>
        <v>288.89999999999998</v>
      </c>
      <c r="Y865" s="6"/>
      <c r="Z865" s="6">
        <f ca="1">('TUSD BE'!$AM$58+'TUSD BF_350'!$AM$58+'TUSD CVA'!$AM$58)*1</f>
        <v>310.79999999999995</v>
      </c>
      <c r="AA865" s="6">
        <f ca="1">('TE BE'!$AB$42+'TE BF_350'!$AB$42+'TE CVA'!$AB$42)*1</f>
        <v>258.94</v>
      </c>
      <c r="AB865" s="6">
        <f>$K$865*$V$865</f>
        <v>0</v>
      </c>
      <c r="AC865" s="6">
        <f>$M$865*$W$865</f>
        <v>460336.09347000008</v>
      </c>
      <c r="AD865" s="6">
        <f>$O$865*$X$865</f>
        <v>492723.86129999999</v>
      </c>
      <c r="AE865" s="6">
        <f>$K$865*$Y$865</f>
        <v>0</v>
      </c>
      <c r="AF865" s="6">
        <f ca="1">$M$865*$Z$865</f>
        <v>530074.68359999999</v>
      </c>
      <c r="AG865" s="6">
        <f ca="1">$O$865*$AA$865</f>
        <v>441626.57198000001</v>
      </c>
    </row>
    <row r="866" spans="1:33" ht="11.25" customHeight="1" x14ac:dyDescent="0.25">
      <c r="A866" s="4" t="s">
        <v>27</v>
      </c>
      <c r="B866" s="4" t="s">
        <v>39</v>
      </c>
      <c r="C866" s="4" t="s">
        <v>23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44348</v>
      </c>
      <c r="J866" s="6">
        <v>0</v>
      </c>
      <c r="K866" s="6">
        <v>0</v>
      </c>
      <c r="L866" s="6">
        <v>-0.81399999999999995</v>
      </c>
      <c r="M866" s="6">
        <v>-0.81399999999999995</v>
      </c>
      <c r="N866" s="6">
        <v>-0.81399999999999995</v>
      </c>
      <c r="O866" s="6">
        <v>-0.81399999999999995</v>
      </c>
      <c r="P866" s="6">
        <v>0</v>
      </c>
      <c r="Q866" s="4" t="s">
        <v>26</v>
      </c>
      <c r="R866" s="4">
        <v>0</v>
      </c>
      <c r="S866" s="6">
        <v>0</v>
      </c>
      <c r="T866" s="6">
        <v>58</v>
      </c>
      <c r="U866" s="6">
        <v>99</v>
      </c>
      <c r="V866" s="6">
        <f>IF(ISERROR(VLOOKUP($S$866,'TAR FIN'!$A$1:$O$103,15,0)),0,VLOOKUP($S$866,'TAR FIN'!$A$1:$O$103,15,0))</f>
        <v>0</v>
      </c>
      <c r="W866" s="6">
        <f>IF(ISERROR(VLOOKUP($T$866,'TAR FIN'!$A$1:$O$103,15,0)),0,VLOOKUP($T$866,'TAR FIN'!$A$1:$O$103,15,0))</f>
        <v>269.91000000000003</v>
      </c>
      <c r="X866" s="6">
        <f>IF(ISERROR(VLOOKUP($U$866,'TAR FIN'!$A$1:$O$103,15,0)),0,VLOOKUP($U$866,'TAR FIN'!$A$1:$O$103,15,0))</f>
        <v>288.89999999999998</v>
      </c>
      <c r="Y866" s="6"/>
      <c r="Z866" s="6">
        <f ca="1">('TUSD BE'!$AM$58+'TUSD BF_350'!$AM$58+'TUSD CVA'!$AM$58)*1</f>
        <v>310.79999999999995</v>
      </c>
      <c r="AA866" s="6">
        <f ca="1">('TE BE'!$AB$42+'TE BF_350'!$AB$42+'TE CVA'!$AB$42)*1</f>
        <v>258.94</v>
      </c>
      <c r="AB866" s="6">
        <f>$K$866*$V$866</f>
        <v>0</v>
      </c>
      <c r="AC866" s="6">
        <f>$M$866*$W$866</f>
        <v>-219.70674</v>
      </c>
      <c r="AD866" s="6">
        <f>$O$866*$X$866</f>
        <v>-235.16459999999998</v>
      </c>
      <c r="AE866" s="6">
        <f>$K$866*$Y$866</f>
        <v>0</v>
      </c>
      <c r="AF866" s="6">
        <f ca="1">$M$866*$Z$866</f>
        <v>-252.99119999999994</v>
      </c>
      <c r="AG866" s="6">
        <f ca="1">$O$866*$AA$866</f>
        <v>-210.77715999999998</v>
      </c>
    </row>
    <row r="867" spans="1:33" ht="11.25" customHeight="1" x14ac:dyDescent="0.25">
      <c r="A867" s="4" t="s">
        <v>28</v>
      </c>
      <c r="B867" s="4" t="s">
        <v>39</v>
      </c>
      <c r="C867" s="4" t="s">
        <v>23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44348</v>
      </c>
      <c r="J867" s="6">
        <v>0</v>
      </c>
      <c r="K867" s="6">
        <v>0</v>
      </c>
      <c r="L867" s="6">
        <v>42.02</v>
      </c>
      <c r="M867" s="6">
        <v>42.02</v>
      </c>
      <c r="N867" s="6">
        <v>42.02</v>
      </c>
      <c r="O867" s="6">
        <v>42.02</v>
      </c>
      <c r="P867" s="6">
        <v>29</v>
      </c>
      <c r="Q867" s="4" t="s">
        <v>26</v>
      </c>
      <c r="R867" s="4">
        <v>0</v>
      </c>
      <c r="S867" s="6">
        <v>0</v>
      </c>
      <c r="T867" s="6">
        <v>58</v>
      </c>
      <c r="U867" s="6">
        <v>99</v>
      </c>
      <c r="V867" s="6">
        <f>IF(ISERROR(VLOOKUP($S$867,'TAR FIN'!$A$1:$O$103,15,0)),0,VLOOKUP($S$867,'TAR FIN'!$A$1:$O$103,15,0))</f>
        <v>0</v>
      </c>
      <c r="W867" s="6">
        <f>IF(ISERROR(VLOOKUP($T$867,'TAR FIN'!$A$1:$O$103,15,0)),0,VLOOKUP($T$867,'TAR FIN'!$A$1:$O$103,15,0))</f>
        <v>269.91000000000003</v>
      </c>
      <c r="X867" s="6">
        <f>IF(ISERROR(VLOOKUP($U$867,'TAR FIN'!$A$1:$O$103,15,0)),0,VLOOKUP($U$867,'TAR FIN'!$A$1:$O$103,15,0))</f>
        <v>288.89999999999998</v>
      </c>
      <c r="Y867" s="6"/>
      <c r="Z867" s="6">
        <f ca="1">('TUSD BE'!$AM$58+'TUSD BF_350'!$AM$58+'TUSD CVA'!$AM$58)*1</f>
        <v>310.79999999999995</v>
      </c>
      <c r="AA867" s="6">
        <f ca="1">('TE BE'!$AB$42+'TE BF_350'!$AB$42+'TE CVA'!$AB$42)*1</f>
        <v>258.94</v>
      </c>
      <c r="AB867" s="6">
        <f>$K$867*$V$867</f>
        <v>0</v>
      </c>
      <c r="AC867" s="6">
        <f>$M$867*$W$867</f>
        <v>11341.618200000003</v>
      </c>
      <c r="AD867" s="6">
        <f>$O$867*$X$867</f>
        <v>12139.578</v>
      </c>
      <c r="AE867" s="6">
        <f>$K$867*$Y$867</f>
        <v>0</v>
      </c>
      <c r="AF867" s="6">
        <f ca="1">$M$867*$Z$867</f>
        <v>13059.815999999999</v>
      </c>
      <c r="AG867" s="6">
        <f ca="1">$O$867*$AA$867</f>
        <v>10880.658800000001</v>
      </c>
    </row>
    <row r="868" spans="1:33" ht="11.25" customHeight="1" x14ac:dyDescent="0.25">
      <c r="A868" s="4" t="s">
        <v>21</v>
      </c>
      <c r="B868" s="4" t="s">
        <v>39</v>
      </c>
      <c r="C868" s="4" t="s">
        <v>23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44378</v>
      </c>
      <c r="J868" s="6">
        <v>0</v>
      </c>
      <c r="K868" s="6">
        <v>0</v>
      </c>
      <c r="L868" s="6">
        <v>1761.8520000000001</v>
      </c>
      <c r="M868" s="6">
        <v>1761.8520000000001</v>
      </c>
      <c r="N868" s="6">
        <v>1761.8520000000001</v>
      </c>
      <c r="O868" s="6">
        <v>1761.8520000000001</v>
      </c>
      <c r="P868" s="6">
        <v>3395</v>
      </c>
      <c r="Q868" s="4" t="s">
        <v>26</v>
      </c>
      <c r="R868" s="4">
        <v>0</v>
      </c>
      <c r="S868" s="6">
        <v>0</v>
      </c>
      <c r="T868" s="6">
        <v>58</v>
      </c>
      <c r="U868" s="6">
        <v>99</v>
      </c>
      <c r="V868" s="6">
        <f>IF(ISERROR(VLOOKUP($S$868,'TAR FIN'!$A$1:$O$103,15,0)),0,VLOOKUP($S$868,'TAR FIN'!$A$1:$O$103,15,0))</f>
        <v>0</v>
      </c>
      <c r="W868" s="6">
        <f>IF(ISERROR(VLOOKUP($T$868,'TAR FIN'!$A$1:$O$103,15,0)),0,VLOOKUP($T$868,'TAR FIN'!$A$1:$O$103,15,0))</f>
        <v>269.91000000000003</v>
      </c>
      <c r="X868" s="6">
        <f>IF(ISERROR(VLOOKUP($U$868,'TAR FIN'!$A$1:$O$103,15,0)),0,VLOOKUP($U$868,'TAR FIN'!$A$1:$O$103,15,0))</f>
        <v>288.89999999999998</v>
      </c>
      <c r="Y868" s="6"/>
      <c r="Z868" s="6">
        <f ca="1">('TUSD BE'!$AM$58+'TUSD BF_350'!$AM$58+'TUSD CVA'!$AM$58)*1</f>
        <v>310.79999999999995</v>
      </c>
      <c r="AA868" s="6">
        <f ca="1">('TE BE'!$AB$42+'TE BF_350'!$AB$42+'TE CVA'!$AB$42)*1</f>
        <v>258.94</v>
      </c>
      <c r="AB868" s="6">
        <f>$K$868*$V$868</f>
        <v>0</v>
      </c>
      <c r="AC868" s="6">
        <f>$M$868*$W$868</f>
        <v>475541.47332000005</v>
      </c>
      <c r="AD868" s="6">
        <f>$O$868*$X$868</f>
        <v>508999.0428</v>
      </c>
      <c r="AE868" s="6">
        <f>$K$868*$Y$868</f>
        <v>0</v>
      </c>
      <c r="AF868" s="6">
        <f ca="1">$M$868*$Z$868</f>
        <v>547583.60159999994</v>
      </c>
      <c r="AG868" s="6">
        <f ca="1">$O$868*$AA$868</f>
        <v>456213.95688000001</v>
      </c>
    </row>
    <row r="869" spans="1:33" ht="11.25" customHeight="1" x14ac:dyDescent="0.25">
      <c r="A869" s="4" t="s">
        <v>27</v>
      </c>
      <c r="B869" s="4" t="s">
        <v>39</v>
      </c>
      <c r="C869" s="4" t="s">
        <v>23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44378</v>
      </c>
      <c r="J869" s="6">
        <v>0</v>
      </c>
      <c r="K869" s="6">
        <v>0</v>
      </c>
      <c r="L869" s="6">
        <v>-0.50800000000000001</v>
      </c>
      <c r="M869" s="6">
        <v>-0.50800000000000001</v>
      </c>
      <c r="N869" s="6">
        <v>-0.50800000000000001</v>
      </c>
      <c r="O869" s="6">
        <v>-0.50800000000000001</v>
      </c>
      <c r="P869" s="6">
        <v>0</v>
      </c>
      <c r="Q869" s="4" t="s">
        <v>26</v>
      </c>
      <c r="R869" s="4">
        <v>0</v>
      </c>
      <c r="S869" s="6">
        <v>0</v>
      </c>
      <c r="T869" s="6">
        <v>58</v>
      </c>
      <c r="U869" s="6">
        <v>99</v>
      </c>
      <c r="V869" s="6">
        <f>IF(ISERROR(VLOOKUP($S$869,'TAR FIN'!$A$1:$O$103,15,0)),0,VLOOKUP($S$869,'TAR FIN'!$A$1:$O$103,15,0))</f>
        <v>0</v>
      </c>
      <c r="W869" s="6">
        <f>IF(ISERROR(VLOOKUP($T$869,'TAR FIN'!$A$1:$O$103,15,0)),0,VLOOKUP($T$869,'TAR FIN'!$A$1:$O$103,15,0))</f>
        <v>269.91000000000003</v>
      </c>
      <c r="X869" s="6">
        <f>IF(ISERROR(VLOOKUP($U$869,'TAR FIN'!$A$1:$O$103,15,0)),0,VLOOKUP($U$869,'TAR FIN'!$A$1:$O$103,15,0))</f>
        <v>288.89999999999998</v>
      </c>
      <c r="Y869" s="6"/>
      <c r="Z869" s="6">
        <f ca="1">('TUSD BE'!$AM$58+'TUSD BF_350'!$AM$58+'TUSD CVA'!$AM$58)*1</f>
        <v>310.79999999999995</v>
      </c>
      <c r="AA869" s="6">
        <f ca="1">('TE BE'!$AB$42+'TE BF_350'!$AB$42+'TE CVA'!$AB$42)*1</f>
        <v>258.94</v>
      </c>
      <c r="AB869" s="6">
        <f>$K$869*$V$869</f>
        <v>0</v>
      </c>
      <c r="AC869" s="6">
        <f>$M$869*$W$869</f>
        <v>-137.11428000000001</v>
      </c>
      <c r="AD869" s="6">
        <f>$O$869*$X$869</f>
        <v>-146.7612</v>
      </c>
      <c r="AE869" s="6">
        <f>$K$869*$Y$869</f>
        <v>0</v>
      </c>
      <c r="AF869" s="6">
        <f ca="1">$M$869*$Z$869</f>
        <v>-157.88639999999998</v>
      </c>
      <c r="AG869" s="6">
        <f ca="1">$O$869*$AA$869</f>
        <v>-131.54151999999999</v>
      </c>
    </row>
    <row r="870" spans="1:33" ht="11.25" customHeight="1" x14ac:dyDescent="0.25">
      <c r="A870" s="4" t="s">
        <v>28</v>
      </c>
      <c r="B870" s="4" t="s">
        <v>39</v>
      </c>
      <c r="C870" s="4" t="s">
        <v>23</v>
      </c>
      <c r="D870" s="4" t="s">
        <v>43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44378</v>
      </c>
      <c r="J870" s="6">
        <v>0</v>
      </c>
      <c r="K870" s="6">
        <v>0</v>
      </c>
      <c r="L870" s="6">
        <v>44.585999999999999</v>
      </c>
      <c r="M870" s="6">
        <v>44.585999999999999</v>
      </c>
      <c r="N870" s="6">
        <v>44.585999999999999</v>
      </c>
      <c r="O870" s="6">
        <v>44.585999999999999</v>
      </c>
      <c r="P870" s="6">
        <v>30</v>
      </c>
      <c r="Q870" s="4" t="s">
        <v>26</v>
      </c>
      <c r="R870" s="4">
        <v>0</v>
      </c>
      <c r="S870" s="6">
        <v>0</v>
      </c>
      <c r="T870" s="6">
        <v>58</v>
      </c>
      <c r="U870" s="6">
        <v>99</v>
      </c>
      <c r="V870" s="6">
        <f>IF(ISERROR(VLOOKUP($S$870,'TAR FIN'!$A$1:$O$103,15,0)),0,VLOOKUP($S$870,'TAR FIN'!$A$1:$O$103,15,0))</f>
        <v>0</v>
      </c>
      <c r="W870" s="6">
        <f>IF(ISERROR(VLOOKUP($T$870,'TAR FIN'!$A$1:$O$103,15,0)),0,VLOOKUP($T$870,'TAR FIN'!$A$1:$O$103,15,0))</f>
        <v>269.91000000000003</v>
      </c>
      <c r="X870" s="6">
        <f>IF(ISERROR(VLOOKUP($U$870,'TAR FIN'!$A$1:$O$103,15,0)),0,VLOOKUP($U$870,'TAR FIN'!$A$1:$O$103,15,0))</f>
        <v>288.89999999999998</v>
      </c>
      <c r="Y870" s="6"/>
      <c r="Z870" s="6">
        <f ca="1">('TUSD BE'!$AM$58+'TUSD BF_350'!$AM$58+'TUSD CVA'!$AM$58)*1</f>
        <v>310.79999999999995</v>
      </c>
      <c r="AA870" s="6">
        <f ca="1">('TE BE'!$AB$42+'TE BF_350'!$AB$42+'TE CVA'!$AB$42)*1</f>
        <v>258.94</v>
      </c>
      <c r="AB870" s="6">
        <f>$K$870*$V$870</f>
        <v>0</v>
      </c>
      <c r="AC870" s="6">
        <f>$M$870*$W$870</f>
        <v>12034.207260000001</v>
      </c>
      <c r="AD870" s="6">
        <f>$O$870*$X$870</f>
        <v>12880.895399999999</v>
      </c>
      <c r="AE870" s="6">
        <f>$K$870*$Y$870</f>
        <v>0</v>
      </c>
      <c r="AF870" s="6">
        <f ca="1">$M$870*$Z$870</f>
        <v>13857.328799999997</v>
      </c>
      <c r="AG870" s="6">
        <f ca="1">$O$870*$AA$870</f>
        <v>11545.098839999999</v>
      </c>
    </row>
    <row r="871" spans="1:33" ht="11.25" customHeight="1" x14ac:dyDescent="0.25">
      <c r="A871" s="4" t="s">
        <v>21</v>
      </c>
      <c r="B871" s="4" t="s">
        <v>39</v>
      </c>
      <c r="C871" s="4" t="s">
        <v>23</v>
      </c>
      <c r="D871" s="4" t="s">
        <v>43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44409</v>
      </c>
      <c r="J871" s="6">
        <v>0</v>
      </c>
      <c r="K871" s="6">
        <v>0</v>
      </c>
      <c r="L871" s="6">
        <v>1803.2190000000001</v>
      </c>
      <c r="M871" s="6">
        <v>1803.2190000000001</v>
      </c>
      <c r="N871" s="6">
        <v>1803.2190000000001</v>
      </c>
      <c r="O871" s="6">
        <v>1803.2190000000001</v>
      </c>
      <c r="P871" s="6">
        <v>3401</v>
      </c>
      <c r="Q871" s="4" t="s">
        <v>26</v>
      </c>
      <c r="R871" s="4">
        <v>0</v>
      </c>
      <c r="S871" s="6">
        <v>0</v>
      </c>
      <c r="T871" s="6">
        <v>58</v>
      </c>
      <c r="U871" s="6">
        <v>99</v>
      </c>
      <c r="V871" s="6">
        <f>IF(ISERROR(VLOOKUP($S$871,'TAR FIN'!$A$1:$O$103,15,0)),0,VLOOKUP($S$871,'TAR FIN'!$A$1:$O$103,15,0))</f>
        <v>0</v>
      </c>
      <c r="W871" s="6">
        <f>IF(ISERROR(VLOOKUP($T$871,'TAR FIN'!$A$1:$O$103,15,0)),0,VLOOKUP($T$871,'TAR FIN'!$A$1:$O$103,15,0))</f>
        <v>269.91000000000003</v>
      </c>
      <c r="X871" s="6">
        <f>IF(ISERROR(VLOOKUP($U$871,'TAR FIN'!$A$1:$O$103,15,0)),0,VLOOKUP($U$871,'TAR FIN'!$A$1:$O$103,15,0))</f>
        <v>288.89999999999998</v>
      </c>
      <c r="Y871" s="6"/>
      <c r="Z871" s="6">
        <f ca="1">('TUSD BE'!$AM$58+'TUSD BF_350'!$AM$58+'TUSD CVA'!$AM$58)*1</f>
        <v>310.79999999999995</v>
      </c>
      <c r="AA871" s="6">
        <f ca="1">('TE BE'!$AB$42+'TE BF_350'!$AB$42+'TE CVA'!$AB$42)*1</f>
        <v>258.94</v>
      </c>
      <c r="AB871" s="6">
        <f>$K$871*$V$871</f>
        <v>0</v>
      </c>
      <c r="AC871" s="6">
        <f>$M$871*$W$871</f>
        <v>486706.84029000008</v>
      </c>
      <c r="AD871" s="6">
        <f>$O$871*$X$871</f>
        <v>520949.96909999999</v>
      </c>
      <c r="AE871" s="6">
        <f>$K$871*$Y$871</f>
        <v>0</v>
      </c>
      <c r="AF871" s="6">
        <f ca="1">$M$871*$Z$871</f>
        <v>560440.46519999998</v>
      </c>
      <c r="AG871" s="6">
        <f ca="1">$O$871*$AA$871</f>
        <v>466925.52786000003</v>
      </c>
    </row>
    <row r="872" spans="1:33" ht="11.25" customHeight="1" x14ac:dyDescent="0.25">
      <c r="A872" s="4" t="s">
        <v>27</v>
      </c>
      <c r="B872" s="4" t="s">
        <v>39</v>
      </c>
      <c r="C872" s="4" t="s">
        <v>23</v>
      </c>
      <c r="D872" s="4" t="s">
        <v>43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44409</v>
      </c>
      <c r="J872" s="6">
        <v>0</v>
      </c>
      <c r="K872" s="6">
        <v>0</v>
      </c>
      <c r="L872" s="6">
        <v>-0.48099999999999998</v>
      </c>
      <c r="M872" s="6">
        <v>-0.48099999999999998</v>
      </c>
      <c r="N872" s="6">
        <v>-0.48099999999999998</v>
      </c>
      <c r="O872" s="6">
        <v>-0.48099999999999998</v>
      </c>
      <c r="P872" s="6">
        <v>0</v>
      </c>
      <c r="Q872" s="4" t="s">
        <v>26</v>
      </c>
      <c r="R872" s="4">
        <v>0</v>
      </c>
      <c r="S872" s="6">
        <v>0</v>
      </c>
      <c r="T872" s="6">
        <v>58</v>
      </c>
      <c r="U872" s="6">
        <v>99</v>
      </c>
      <c r="V872" s="6">
        <f>IF(ISERROR(VLOOKUP($S$872,'TAR FIN'!$A$1:$O$103,15,0)),0,VLOOKUP($S$872,'TAR FIN'!$A$1:$O$103,15,0))</f>
        <v>0</v>
      </c>
      <c r="W872" s="6">
        <f>IF(ISERROR(VLOOKUP($T$872,'TAR FIN'!$A$1:$O$103,15,0)),0,VLOOKUP($T$872,'TAR FIN'!$A$1:$O$103,15,0))</f>
        <v>269.91000000000003</v>
      </c>
      <c r="X872" s="6">
        <f>IF(ISERROR(VLOOKUP($U$872,'TAR FIN'!$A$1:$O$103,15,0)),0,VLOOKUP($U$872,'TAR FIN'!$A$1:$O$103,15,0))</f>
        <v>288.89999999999998</v>
      </c>
      <c r="Y872" s="6"/>
      <c r="Z872" s="6">
        <f ca="1">('TUSD BE'!$AM$58+'TUSD BF_350'!$AM$58+'TUSD CVA'!$AM$58)*1</f>
        <v>310.79999999999995</v>
      </c>
      <c r="AA872" s="6">
        <f ca="1">('TE BE'!$AB$42+'TE BF_350'!$AB$42+'TE CVA'!$AB$42)*1</f>
        <v>258.94</v>
      </c>
      <c r="AB872" s="6">
        <f>$K$872*$V$872</f>
        <v>0</v>
      </c>
      <c r="AC872" s="6">
        <f>$M$872*$W$872</f>
        <v>-129.82671000000002</v>
      </c>
      <c r="AD872" s="6">
        <f>$O$872*$X$872</f>
        <v>-138.96089999999998</v>
      </c>
      <c r="AE872" s="6">
        <f>$K$872*$Y$872</f>
        <v>0</v>
      </c>
      <c r="AF872" s="6">
        <f ca="1">$M$872*$Z$872</f>
        <v>-149.49479999999997</v>
      </c>
      <c r="AG872" s="6">
        <f ca="1">$O$872*$AA$872</f>
        <v>-124.55014</v>
      </c>
    </row>
    <row r="873" spans="1:33" ht="11.25" customHeight="1" x14ac:dyDescent="0.25">
      <c r="A873" s="4" t="s">
        <v>28</v>
      </c>
      <c r="B873" s="4" t="s">
        <v>39</v>
      </c>
      <c r="C873" s="4" t="s">
        <v>23</v>
      </c>
      <c r="D873" s="4" t="s">
        <v>43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44409</v>
      </c>
      <c r="J873" s="6">
        <v>0</v>
      </c>
      <c r="K873" s="6">
        <v>0</v>
      </c>
      <c r="L873" s="6">
        <v>49.484000000000002</v>
      </c>
      <c r="M873" s="6">
        <v>49.484000000000002</v>
      </c>
      <c r="N873" s="6">
        <v>49.484000000000002</v>
      </c>
      <c r="O873" s="6">
        <v>49.484000000000002</v>
      </c>
      <c r="P873" s="6">
        <v>34</v>
      </c>
      <c r="Q873" s="4" t="s">
        <v>26</v>
      </c>
      <c r="R873" s="4">
        <v>0</v>
      </c>
      <c r="S873" s="6">
        <v>0</v>
      </c>
      <c r="T873" s="6">
        <v>58</v>
      </c>
      <c r="U873" s="6">
        <v>99</v>
      </c>
      <c r="V873" s="6">
        <f>IF(ISERROR(VLOOKUP($S$873,'TAR FIN'!$A$1:$O$103,15,0)),0,VLOOKUP($S$873,'TAR FIN'!$A$1:$O$103,15,0))</f>
        <v>0</v>
      </c>
      <c r="W873" s="6">
        <f>IF(ISERROR(VLOOKUP($T$873,'TAR FIN'!$A$1:$O$103,15,0)),0,VLOOKUP($T$873,'TAR FIN'!$A$1:$O$103,15,0))</f>
        <v>269.91000000000003</v>
      </c>
      <c r="X873" s="6">
        <f>IF(ISERROR(VLOOKUP($U$873,'TAR FIN'!$A$1:$O$103,15,0)),0,VLOOKUP($U$873,'TAR FIN'!$A$1:$O$103,15,0))</f>
        <v>288.89999999999998</v>
      </c>
      <c r="Y873" s="6"/>
      <c r="Z873" s="6">
        <f ca="1">('TUSD BE'!$AM$58+'TUSD BF_350'!$AM$58+'TUSD CVA'!$AM$58)*1</f>
        <v>310.79999999999995</v>
      </c>
      <c r="AA873" s="6">
        <f ca="1">('TE BE'!$AB$42+'TE BF_350'!$AB$42+'TE CVA'!$AB$42)*1</f>
        <v>258.94</v>
      </c>
      <c r="AB873" s="6">
        <f>$K$873*$V$873</f>
        <v>0</v>
      </c>
      <c r="AC873" s="6">
        <f>$M$873*$W$873</f>
        <v>13356.226440000002</v>
      </c>
      <c r="AD873" s="6">
        <f>$O$873*$X$873</f>
        <v>14295.927599999999</v>
      </c>
      <c r="AE873" s="6">
        <f>$K$873*$Y$873</f>
        <v>0</v>
      </c>
      <c r="AF873" s="6">
        <f ca="1">$M$873*$Z$873</f>
        <v>15379.627199999999</v>
      </c>
      <c r="AG873" s="6">
        <f ca="1">$O$873*$AA$873</f>
        <v>12813.38696</v>
      </c>
    </row>
    <row r="874" spans="1:33" ht="11.25" customHeight="1" x14ac:dyDescent="0.25">
      <c r="A874" s="4" t="s">
        <v>21</v>
      </c>
      <c r="B874" s="4" t="s">
        <v>39</v>
      </c>
      <c r="C874" s="4" t="s">
        <v>23</v>
      </c>
      <c r="D874" s="4" t="s">
        <v>43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44440</v>
      </c>
      <c r="J874" s="6">
        <v>0</v>
      </c>
      <c r="K874" s="6">
        <v>0</v>
      </c>
      <c r="L874" s="6">
        <v>1785.528</v>
      </c>
      <c r="M874" s="6">
        <v>1785.528</v>
      </c>
      <c r="N874" s="6">
        <v>1785.528</v>
      </c>
      <c r="O874" s="6">
        <v>1785.528</v>
      </c>
      <c r="P874" s="6">
        <v>3403</v>
      </c>
      <c r="Q874" s="4" t="s">
        <v>26</v>
      </c>
      <c r="R874" s="4">
        <v>0</v>
      </c>
      <c r="S874" s="6">
        <v>0</v>
      </c>
      <c r="T874" s="6">
        <v>58</v>
      </c>
      <c r="U874" s="6">
        <v>99</v>
      </c>
      <c r="V874" s="6">
        <f>IF(ISERROR(VLOOKUP($S$874,'TAR FIN'!$A$1:$O$103,15,0)),0,VLOOKUP($S$874,'TAR FIN'!$A$1:$O$103,15,0))</f>
        <v>0</v>
      </c>
      <c r="W874" s="6">
        <f>IF(ISERROR(VLOOKUP($T$874,'TAR FIN'!$A$1:$O$103,15,0)),0,VLOOKUP($T$874,'TAR FIN'!$A$1:$O$103,15,0))</f>
        <v>269.91000000000003</v>
      </c>
      <c r="X874" s="6">
        <f>IF(ISERROR(VLOOKUP($U$874,'TAR FIN'!$A$1:$O$103,15,0)),0,VLOOKUP($U$874,'TAR FIN'!$A$1:$O$103,15,0))</f>
        <v>288.89999999999998</v>
      </c>
      <c r="Y874" s="6"/>
      <c r="Z874" s="6">
        <f ca="1">('TUSD BE'!$AM$58+'TUSD BF_350'!$AM$58+'TUSD CVA'!$AM$58)*1</f>
        <v>310.79999999999995</v>
      </c>
      <c r="AA874" s="6">
        <f ca="1">('TE BE'!$AB$42+'TE BF_350'!$AB$42+'TE CVA'!$AB$42)*1</f>
        <v>258.94</v>
      </c>
      <c r="AB874" s="6">
        <f>$K$874*$V$874</f>
        <v>0</v>
      </c>
      <c r="AC874" s="6">
        <f>$M$874*$W$874</f>
        <v>481931.86248000007</v>
      </c>
      <c r="AD874" s="6">
        <f>$O$874*$X$874</f>
        <v>515839.03919999994</v>
      </c>
      <c r="AE874" s="6">
        <f>$K$874*$Y$874</f>
        <v>0</v>
      </c>
      <c r="AF874" s="6">
        <f ca="1">$M$874*$Z$874</f>
        <v>554942.10239999997</v>
      </c>
      <c r="AG874" s="6">
        <f ca="1">$O$874*$AA$874</f>
        <v>462344.62031999999</v>
      </c>
    </row>
    <row r="875" spans="1:33" ht="11.25" customHeight="1" x14ac:dyDescent="0.25">
      <c r="A875" s="4" t="s">
        <v>27</v>
      </c>
      <c r="B875" s="4" t="s">
        <v>39</v>
      </c>
      <c r="C875" s="4" t="s">
        <v>23</v>
      </c>
      <c r="D875" s="4" t="s">
        <v>43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44440</v>
      </c>
      <c r="J875" s="6">
        <v>0</v>
      </c>
      <c r="K875" s="6">
        <v>0</v>
      </c>
      <c r="L875" s="6">
        <v>1.4630000000000001</v>
      </c>
      <c r="M875" s="6">
        <v>1.4630000000000001</v>
      </c>
      <c r="N875" s="6">
        <v>1.4630000000000001</v>
      </c>
      <c r="O875" s="6">
        <v>1.4630000000000001</v>
      </c>
      <c r="P875" s="6">
        <v>0</v>
      </c>
      <c r="Q875" s="4" t="s">
        <v>26</v>
      </c>
      <c r="R875" s="4">
        <v>0</v>
      </c>
      <c r="S875" s="6">
        <v>0</v>
      </c>
      <c r="T875" s="6">
        <v>58</v>
      </c>
      <c r="U875" s="6">
        <v>99</v>
      </c>
      <c r="V875" s="6">
        <f>IF(ISERROR(VLOOKUP($S$875,'TAR FIN'!$A$1:$O$103,15,0)),0,VLOOKUP($S$875,'TAR FIN'!$A$1:$O$103,15,0))</f>
        <v>0</v>
      </c>
      <c r="W875" s="6">
        <f>IF(ISERROR(VLOOKUP($T$875,'TAR FIN'!$A$1:$O$103,15,0)),0,VLOOKUP($T$875,'TAR FIN'!$A$1:$O$103,15,0))</f>
        <v>269.91000000000003</v>
      </c>
      <c r="X875" s="6">
        <f>IF(ISERROR(VLOOKUP($U$875,'TAR FIN'!$A$1:$O$103,15,0)),0,VLOOKUP($U$875,'TAR FIN'!$A$1:$O$103,15,0))</f>
        <v>288.89999999999998</v>
      </c>
      <c r="Y875" s="6"/>
      <c r="Z875" s="6">
        <f ca="1">('TUSD BE'!$AM$58+'TUSD BF_350'!$AM$58+'TUSD CVA'!$AM$58)*1</f>
        <v>310.79999999999995</v>
      </c>
      <c r="AA875" s="6">
        <f ca="1">('TE BE'!$AB$42+'TE BF_350'!$AB$42+'TE CVA'!$AB$42)*1</f>
        <v>258.94</v>
      </c>
      <c r="AB875" s="6">
        <f>$K$875*$V$875</f>
        <v>0</v>
      </c>
      <c r="AC875" s="6">
        <f>$M$875*$W$875</f>
        <v>394.87833000000006</v>
      </c>
      <c r="AD875" s="6">
        <f>$O$875*$X$875</f>
        <v>422.66069999999996</v>
      </c>
      <c r="AE875" s="6">
        <f>$K$875*$Y$875</f>
        <v>0</v>
      </c>
      <c r="AF875" s="6">
        <f ca="1">$M$875*$Z$875</f>
        <v>454.70039999999995</v>
      </c>
      <c r="AG875" s="6">
        <f ca="1">$O$875*$AA$875</f>
        <v>378.82922000000002</v>
      </c>
    </row>
    <row r="876" spans="1:33" ht="11.25" customHeight="1" x14ac:dyDescent="0.25">
      <c r="A876" s="4" t="s">
        <v>28</v>
      </c>
      <c r="B876" s="4" t="s">
        <v>39</v>
      </c>
      <c r="C876" s="4" t="s">
        <v>23</v>
      </c>
      <c r="D876" s="4" t="s">
        <v>43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44440</v>
      </c>
      <c r="J876" s="6">
        <v>0</v>
      </c>
      <c r="K876" s="6">
        <v>0</v>
      </c>
      <c r="L876" s="6">
        <v>36.250999999999998</v>
      </c>
      <c r="M876" s="6">
        <v>36.250999999999998</v>
      </c>
      <c r="N876" s="6">
        <v>36.250999999999998</v>
      </c>
      <c r="O876" s="6">
        <v>36.250999999999998</v>
      </c>
      <c r="P876" s="6">
        <v>39</v>
      </c>
      <c r="Q876" s="4" t="s">
        <v>26</v>
      </c>
      <c r="R876" s="4">
        <v>0</v>
      </c>
      <c r="S876" s="6">
        <v>0</v>
      </c>
      <c r="T876" s="6">
        <v>58</v>
      </c>
      <c r="U876" s="6">
        <v>99</v>
      </c>
      <c r="V876" s="6">
        <f>IF(ISERROR(VLOOKUP($S$876,'TAR FIN'!$A$1:$O$103,15,0)),0,VLOOKUP($S$876,'TAR FIN'!$A$1:$O$103,15,0))</f>
        <v>0</v>
      </c>
      <c r="W876" s="6">
        <f>IF(ISERROR(VLOOKUP($T$876,'TAR FIN'!$A$1:$O$103,15,0)),0,VLOOKUP($T$876,'TAR FIN'!$A$1:$O$103,15,0))</f>
        <v>269.91000000000003</v>
      </c>
      <c r="X876" s="6">
        <f>IF(ISERROR(VLOOKUP($U$876,'TAR FIN'!$A$1:$O$103,15,0)),0,VLOOKUP($U$876,'TAR FIN'!$A$1:$O$103,15,0))</f>
        <v>288.89999999999998</v>
      </c>
      <c r="Y876" s="6"/>
      <c r="Z876" s="6">
        <f ca="1">('TUSD BE'!$AM$58+'TUSD BF_350'!$AM$58+'TUSD CVA'!$AM$58)*1</f>
        <v>310.79999999999995</v>
      </c>
      <c r="AA876" s="6">
        <f ca="1">('TE BE'!$AB$42+'TE BF_350'!$AB$42+'TE CVA'!$AB$42)*1</f>
        <v>258.94</v>
      </c>
      <c r="AB876" s="6">
        <f>$K$876*$V$876</f>
        <v>0</v>
      </c>
      <c r="AC876" s="6">
        <f>$M$876*$W$876</f>
        <v>9784.5074100000002</v>
      </c>
      <c r="AD876" s="6">
        <f>$O$876*$X$876</f>
        <v>10472.913899999998</v>
      </c>
      <c r="AE876" s="6">
        <f>$K$876*$Y$876</f>
        <v>0</v>
      </c>
      <c r="AF876" s="6">
        <f ca="1">$M$876*$Z$876</f>
        <v>11266.810799999997</v>
      </c>
      <c r="AG876" s="6">
        <f ca="1">$O$876*$AA$876</f>
        <v>9386.8339399999986</v>
      </c>
    </row>
    <row r="877" spans="1:33" ht="11.25" customHeight="1" x14ac:dyDescent="0.25">
      <c r="A877" s="4" t="s">
        <v>21</v>
      </c>
      <c r="B877" s="4" t="s">
        <v>39</v>
      </c>
      <c r="C877" s="4" t="s">
        <v>23</v>
      </c>
      <c r="D877" s="4" t="s">
        <v>43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44470</v>
      </c>
      <c r="J877" s="6">
        <v>0</v>
      </c>
      <c r="K877" s="6">
        <v>0</v>
      </c>
      <c r="L877" s="6">
        <v>1825.8389999999999</v>
      </c>
      <c r="M877" s="6">
        <v>1825.8389999999999</v>
      </c>
      <c r="N877" s="6">
        <v>1825.8389999999999</v>
      </c>
      <c r="O877" s="6">
        <v>1825.8389999999999</v>
      </c>
      <c r="P877" s="6">
        <v>3466</v>
      </c>
      <c r="Q877" s="4" t="s">
        <v>26</v>
      </c>
      <c r="R877" s="4">
        <v>0</v>
      </c>
      <c r="S877" s="6">
        <v>0</v>
      </c>
      <c r="T877" s="6">
        <v>58</v>
      </c>
      <c r="U877" s="6">
        <v>99</v>
      </c>
      <c r="V877" s="6">
        <f>IF(ISERROR(VLOOKUP($S$877,'TAR FIN'!$A$1:$O$103,15,0)),0,VLOOKUP($S$877,'TAR FIN'!$A$1:$O$103,15,0))</f>
        <v>0</v>
      </c>
      <c r="W877" s="6">
        <f>IF(ISERROR(VLOOKUP($T$877,'TAR FIN'!$A$1:$O$103,15,0)),0,VLOOKUP($T$877,'TAR FIN'!$A$1:$O$103,15,0))</f>
        <v>269.91000000000003</v>
      </c>
      <c r="X877" s="6">
        <f>IF(ISERROR(VLOOKUP($U$877,'TAR FIN'!$A$1:$O$103,15,0)),0,VLOOKUP($U$877,'TAR FIN'!$A$1:$O$103,15,0))</f>
        <v>288.89999999999998</v>
      </c>
      <c r="Y877" s="6"/>
      <c r="Z877" s="6">
        <f ca="1">('TUSD BE'!$AM$58+'TUSD BF_350'!$AM$58+'TUSD CVA'!$AM$58)*1</f>
        <v>310.79999999999995</v>
      </c>
      <c r="AA877" s="6">
        <f ca="1">('TE BE'!$AB$42+'TE BF_350'!$AB$42+'TE CVA'!$AB$42)*1</f>
        <v>258.94</v>
      </c>
      <c r="AB877" s="6">
        <f>$K$877*$V$877</f>
        <v>0</v>
      </c>
      <c r="AC877" s="6">
        <f>$M$877*$W$877</f>
        <v>492812.20449000003</v>
      </c>
      <c r="AD877" s="6">
        <f>$O$877*$X$877</f>
        <v>527484.88709999993</v>
      </c>
      <c r="AE877" s="6">
        <f>$K$877*$Y$877</f>
        <v>0</v>
      </c>
      <c r="AF877" s="6">
        <f ca="1">$M$877*$Z$877</f>
        <v>567470.76119999995</v>
      </c>
      <c r="AG877" s="6">
        <f ca="1">$O$877*$AA$877</f>
        <v>472782.75065999996</v>
      </c>
    </row>
    <row r="878" spans="1:33" ht="11.25" customHeight="1" x14ac:dyDescent="0.25">
      <c r="A878" s="4" t="s">
        <v>27</v>
      </c>
      <c r="B878" s="4" t="s">
        <v>39</v>
      </c>
      <c r="C878" s="4" t="s">
        <v>23</v>
      </c>
      <c r="D878" s="4" t="s">
        <v>43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44470</v>
      </c>
      <c r="J878" s="6">
        <v>0</v>
      </c>
      <c r="K878" s="6">
        <v>0</v>
      </c>
      <c r="L878" s="6">
        <v>1.978</v>
      </c>
      <c r="M878" s="6">
        <v>1.978</v>
      </c>
      <c r="N878" s="6">
        <v>1.978</v>
      </c>
      <c r="O878" s="6">
        <v>1.978</v>
      </c>
      <c r="P878" s="6">
        <v>0</v>
      </c>
      <c r="Q878" s="4" t="s">
        <v>26</v>
      </c>
      <c r="R878" s="4">
        <v>0</v>
      </c>
      <c r="S878" s="6">
        <v>0</v>
      </c>
      <c r="T878" s="6">
        <v>58</v>
      </c>
      <c r="U878" s="6">
        <v>99</v>
      </c>
      <c r="V878" s="6">
        <f>IF(ISERROR(VLOOKUP($S$878,'TAR FIN'!$A$1:$O$103,15,0)),0,VLOOKUP($S$878,'TAR FIN'!$A$1:$O$103,15,0))</f>
        <v>0</v>
      </c>
      <c r="W878" s="6">
        <f>IF(ISERROR(VLOOKUP($T$878,'TAR FIN'!$A$1:$O$103,15,0)),0,VLOOKUP($T$878,'TAR FIN'!$A$1:$O$103,15,0))</f>
        <v>269.91000000000003</v>
      </c>
      <c r="X878" s="6">
        <f>IF(ISERROR(VLOOKUP($U$878,'TAR FIN'!$A$1:$O$103,15,0)),0,VLOOKUP($U$878,'TAR FIN'!$A$1:$O$103,15,0))</f>
        <v>288.89999999999998</v>
      </c>
      <c r="Y878" s="6"/>
      <c r="Z878" s="6">
        <f ca="1">('TUSD BE'!$AM$58+'TUSD BF_350'!$AM$58+'TUSD CVA'!$AM$58)*1</f>
        <v>310.79999999999995</v>
      </c>
      <c r="AA878" s="6">
        <f ca="1">('TE BE'!$AB$42+'TE BF_350'!$AB$42+'TE CVA'!$AB$42)*1</f>
        <v>258.94</v>
      </c>
      <c r="AB878" s="6">
        <f>$K$878*$V$878</f>
        <v>0</v>
      </c>
      <c r="AC878" s="6">
        <f>$M$878*$W$878</f>
        <v>533.88198</v>
      </c>
      <c r="AD878" s="6">
        <f>$O$878*$X$878</f>
        <v>571.44419999999991</v>
      </c>
      <c r="AE878" s="6">
        <f>$K$878*$Y$878</f>
        <v>0</v>
      </c>
      <c r="AF878" s="6">
        <f ca="1">$M$878*$Z$878</f>
        <v>614.76239999999996</v>
      </c>
      <c r="AG878" s="6">
        <f ca="1">$O$878*$AA$878</f>
        <v>512.18331999999998</v>
      </c>
    </row>
    <row r="879" spans="1:33" ht="11.25" customHeight="1" x14ac:dyDescent="0.25">
      <c r="A879" s="4" t="s">
        <v>28</v>
      </c>
      <c r="B879" s="4" t="s">
        <v>39</v>
      </c>
      <c r="C879" s="4" t="s">
        <v>23</v>
      </c>
      <c r="D879" s="4" t="s">
        <v>43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44470</v>
      </c>
      <c r="J879" s="6">
        <v>0</v>
      </c>
      <c r="K879" s="6">
        <v>0</v>
      </c>
      <c r="L879" s="6">
        <v>45.094000000000001</v>
      </c>
      <c r="M879" s="6">
        <v>45.094000000000001</v>
      </c>
      <c r="N879" s="6">
        <v>45.094000000000001</v>
      </c>
      <c r="O879" s="6">
        <v>45.094000000000001</v>
      </c>
      <c r="P879" s="6">
        <v>41</v>
      </c>
      <c r="Q879" s="4" t="s">
        <v>26</v>
      </c>
      <c r="R879" s="4">
        <v>0</v>
      </c>
      <c r="S879" s="6">
        <v>0</v>
      </c>
      <c r="T879" s="6">
        <v>58</v>
      </c>
      <c r="U879" s="6">
        <v>99</v>
      </c>
      <c r="V879" s="6">
        <f>IF(ISERROR(VLOOKUP($S$879,'TAR FIN'!$A$1:$O$103,15,0)),0,VLOOKUP($S$879,'TAR FIN'!$A$1:$O$103,15,0))</f>
        <v>0</v>
      </c>
      <c r="W879" s="6">
        <f>IF(ISERROR(VLOOKUP($T$879,'TAR FIN'!$A$1:$O$103,15,0)),0,VLOOKUP($T$879,'TAR FIN'!$A$1:$O$103,15,0))</f>
        <v>269.91000000000003</v>
      </c>
      <c r="X879" s="6">
        <f>IF(ISERROR(VLOOKUP($U$879,'TAR FIN'!$A$1:$O$103,15,0)),0,VLOOKUP($U$879,'TAR FIN'!$A$1:$O$103,15,0))</f>
        <v>288.89999999999998</v>
      </c>
      <c r="Y879" s="6"/>
      <c r="Z879" s="6">
        <f ca="1">('TUSD BE'!$AM$58+'TUSD BF_350'!$AM$58+'TUSD CVA'!$AM$58)*1</f>
        <v>310.79999999999995</v>
      </c>
      <c r="AA879" s="6">
        <f ca="1">('TE BE'!$AB$42+'TE BF_350'!$AB$42+'TE CVA'!$AB$42)*1</f>
        <v>258.94</v>
      </c>
      <c r="AB879" s="6">
        <f>$K$879*$V$879</f>
        <v>0</v>
      </c>
      <c r="AC879" s="6">
        <f>$M$879*$W$879</f>
        <v>12171.321540000001</v>
      </c>
      <c r="AD879" s="6">
        <f>$O$879*$X$879</f>
        <v>13027.656599999998</v>
      </c>
      <c r="AE879" s="6">
        <f>$K$879*$Y$879</f>
        <v>0</v>
      </c>
      <c r="AF879" s="6">
        <f ca="1">$M$879*$Z$879</f>
        <v>14015.215199999999</v>
      </c>
      <c r="AG879" s="6">
        <f ca="1">$O$879*$AA$879</f>
        <v>11676.640359999999</v>
      </c>
    </row>
    <row r="880" spans="1:33" ht="11.25" customHeight="1" x14ac:dyDescent="0.25">
      <c r="A880" s="4" t="s">
        <v>21</v>
      </c>
      <c r="B880" s="4" t="s">
        <v>39</v>
      </c>
      <c r="C880" s="4" t="s">
        <v>23</v>
      </c>
      <c r="D880" s="4" t="s">
        <v>43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44501</v>
      </c>
      <c r="J880" s="6">
        <v>0</v>
      </c>
      <c r="K880" s="6">
        <v>0</v>
      </c>
      <c r="L880" s="6">
        <v>1845.65</v>
      </c>
      <c r="M880" s="6">
        <v>1845.65</v>
      </c>
      <c r="N880" s="6">
        <v>1845.65</v>
      </c>
      <c r="O880" s="6">
        <v>1845.65</v>
      </c>
      <c r="P880" s="6">
        <v>3478</v>
      </c>
      <c r="Q880" s="4" t="s">
        <v>26</v>
      </c>
      <c r="R880" s="4">
        <v>0</v>
      </c>
      <c r="S880" s="6">
        <v>0</v>
      </c>
      <c r="T880" s="6">
        <v>58</v>
      </c>
      <c r="U880" s="6">
        <v>99</v>
      </c>
      <c r="V880" s="6">
        <f>IF(ISERROR(VLOOKUP($S$880,'TAR FIN'!$A$1:$O$103,15,0)),0,VLOOKUP($S$880,'TAR FIN'!$A$1:$O$103,15,0))</f>
        <v>0</v>
      </c>
      <c r="W880" s="6">
        <f>IF(ISERROR(VLOOKUP($T$880,'TAR FIN'!$A$1:$O$103,15,0)),0,VLOOKUP($T$880,'TAR FIN'!$A$1:$O$103,15,0))</f>
        <v>269.91000000000003</v>
      </c>
      <c r="X880" s="6">
        <f>IF(ISERROR(VLOOKUP($U$880,'TAR FIN'!$A$1:$O$103,15,0)),0,VLOOKUP($U$880,'TAR FIN'!$A$1:$O$103,15,0))</f>
        <v>288.89999999999998</v>
      </c>
      <c r="Y880" s="6"/>
      <c r="Z880" s="6">
        <f ca="1">('TUSD BE'!$AM$58+'TUSD BF_350'!$AM$58+'TUSD CVA'!$AM$58)*1</f>
        <v>310.79999999999995</v>
      </c>
      <c r="AA880" s="6">
        <f ca="1">('TE BE'!$AB$42+'TE BF_350'!$AB$42+'TE CVA'!$AB$42)*1</f>
        <v>258.94</v>
      </c>
      <c r="AB880" s="6">
        <f>$K$880*$V$880</f>
        <v>0</v>
      </c>
      <c r="AC880" s="6">
        <f>$M$880*$W$880</f>
        <v>498159.39150000009</v>
      </c>
      <c r="AD880" s="6">
        <f>$O$880*$X$880</f>
        <v>533208.28500000003</v>
      </c>
      <c r="AE880" s="6">
        <f>$K$880*$Y$880</f>
        <v>0</v>
      </c>
      <c r="AF880" s="6">
        <f ca="1">$M$880*$Z$880</f>
        <v>573628.0199999999</v>
      </c>
      <c r="AG880" s="6">
        <f ca="1">$O$880*$AA$880</f>
        <v>477912.61100000003</v>
      </c>
    </row>
    <row r="881" spans="1:33" ht="11.25" customHeight="1" x14ac:dyDescent="0.25">
      <c r="A881" s="4" t="s">
        <v>27</v>
      </c>
      <c r="B881" s="4" t="s">
        <v>39</v>
      </c>
      <c r="C881" s="4" t="s">
        <v>23</v>
      </c>
      <c r="D881" s="4" t="s">
        <v>43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44501</v>
      </c>
      <c r="J881" s="6">
        <v>0</v>
      </c>
      <c r="K881" s="6">
        <v>0</v>
      </c>
      <c r="L881" s="6">
        <v>-0.35499999999999998</v>
      </c>
      <c r="M881" s="6">
        <v>-0.35499999999999998</v>
      </c>
      <c r="N881" s="6">
        <v>-0.35499999999999998</v>
      </c>
      <c r="O881" s="6">
        <v>-0.35499999999999998</v>
      </c>
      <c r="P881" s="6">
        <v>0</v>
      </c>
      <c r="Q881" s="4" t="s">
        <v>26</v>
      </c>
      <c r="R881" s="4">
        <v>0</v>
      </c>
      <c r="S881" s="6">
        <v>0</v>
      </c>
      <c r="T881" s="6">
        <v>58</v>
      </c>
      <c r="U881" s="6">
        <v>99</v>
      </c>
      <c r="V881" s="6">
        <f>IF(ISERROR(VLOOKUP($S$881,'TAR FIN'!$A$1:$O$103,15,0)),0,VLOOKUP($S$881,'TAR FIN'!$A$1:$O$103,15,0))</f>
        <v>0</v>
      </c>
      <c r="W881" s="6">
        <f>IF(ISERROR(VLOOKUP($T$881,'TAR FIN'!$A$1:$O$103,15,0)),0,VLOOKUP($T$881,'TAR FIN'!$A$1:$O$103,15,0))</f>
        <v>269.91000000000003</v>
      </c>
      <c r="X881" s="6">
        <f>IF(ISERROR(VLOOKUP($U$881,'TAR FIN'!$A$1:$O$103,15,0)),0,VLOOKUP($U$881,'TAR FIN'!$A$1:$O$103,15,0))</f>
        <v>288.89999999999998</v>
      </c>
      <c r="Y881" s="6"/>
      <c r="Z881" s="6">
        <f ca="1">('TUSD BE'!$AM$58+'TUSD BF_350'!$AM$58+'TUSD CVA'!$AM$58)*1</f>
        <v>310.79999999999995</v>
      </c>
      <c r="AA881" s="6">
        <f ca="1">('TE BE'!$AB$42+'TE BF_350'!$AB$42+'TE CVA'!$AB$42)*1</f>
        <v>258.94</v>
      </c>
      <c r="AB881" s="6">
        <f>$K$881*$V$881</f>
        <v>0</v>
      </c>
      <c r="AC881" s="6">
        <f>$M$881*$W$881</f>
        <v>-95.818049999999999</v>
      </c>
      <c r="AD881" s="6">
        <f>$O$881*$X$881</f>
        <v>-102.55949999999999</v>
      </c>
      <c r="AE881" s="6">
        <f>$K$881*$Y$881</f>
        <v>0</v>
      </c>
      <c r="AF881" s="6">
        <f ca="1">$M$881*$Z$881</f>
        <v>-110.33399999999997</v>
      </c>
      <c r="AG881" s="6">
        <f ca="1">$O$881*$AA$881</f>
        <v>-91.923699999999997</v>
      </c>
    </row>
    <row r="882" spans="1:33" ht="11.25" customHeight="1" x14ac:dyDescent="0.25">
      <c r="A882" s="4" t="s">
        <v>28</v>
      </c>
      <c r="B882" s="4" t="s">
        <v>39</v>
      </c>
      <c r="C882" s="4" t="s">
        <v>23</v>
      </c>
      <c r="D882" s="4" t="s">
        <v>43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44501</v>
      </c>
      <c r="J882" s="6">
        <v>0</v>
      </c>
      <c r="K882" s="6">
        <v>0</v>
      </c>
      <c r="L882" s="6">
        <v>35.295999999999999</v>
      </c>
      <c r="M882" s="6">
        <v>35.295999999999999</v>
      </c>
      <c r="N882" s="6">
        <v>35.295999999999999</v>
      </c>
      <c r="O882" s="6">
        <v>35.295999999999999</v>
      </c>
      <c r="P882" s="6">
        <v>45</v>
      </c>
      <c r="Q882" s="4" t="s">
        <v>26</v>
      </c>
      <c r="R882" s="4">
        <v>0</v>
      </c>
      <c r="S882" s="6">
        <v>0</v>
      </c>
      <c r="T882" s="6">
        <v>58</v>
      </c>
      <c r="U882" s="6">
        <v>99</v>
      </c>
      <c r="V882" s="6">
        <f>IF(ISERROR(VLOOKUP($S$882,'TAR FIN'!$A$1:$O$103,15,0)),0,VLOOKUP($S$882,'TAR FIN'!$A$1:$O$103,15,0))</f>
        <v>0</v>
      </c>
      <c r="W882" s="6">
        <f>IF(ISERROR(VLOOKUP($T$882,'TAR FIN'!$A$1:$O$103,15,0)),0,VLOOKUP($T$882,'TAR FIN'!$A$1:$O$103,15,0))</f>
        <v>269.91000000000003</v>
      </c>
      <c r="X882" s="6">
        <f>IF(ISERROR(VLOOKUP($U$882,'TAR FIN'!$A$1:$O$103,15,0)),0,VLOOKUP($U$882,'TAR FIN'!$A$1:$O$103,15,0))</f>
        <v>288.89999999999998</v>
      </c>
      <c r="Y882" s="6"/>
      <c r="Z882" s="6">
        <f ca="1">('TUSD BE'!$AM$58+'TUSD BF_350'!$AM$58+'TUSD CVA'!$AM$58)*1</f>
        <v>310.79999999999995</v>
      </c>
      <c r="AA882" s="6">
        <f ca="1">('TE BE'!$AB$42+'TE BF_350'!$AB$42+'TE CVA'!$AB$42)*1</f>
        <v>258.94</v>
      </c>
      <c r="AB882" s="6">
        <f>$K$882*$V$882</f>
        <v>0</v>
      </c>
      <c r="AC882" s="6">
        <f>$M$882*$W$882</f>
        <v>9526.7433600000004</v>
      </c>
      <c r="AD882" s="6">
        <f>$O$882*$X$882</f>
        <v>10197.014399999998</v>
      </c>
      <c r="AE882" s="6">
        <f>$K$882*$Y$882</f>
        <v>0</v>
      </c>
      <c r="AF882" s="6">
        <f ca="1">$M$882*$Z$882</f>
        <v>10969.996799999999</v>
      </c>
      <c r="AG882" s="6">
        <f ca="1">$O$882*$AA$882</f>
        <v>9139.5462399999997</v>
      </c>
    </row>
    <row r="883" spans="1:33" ht="11.25" customHeight="1" x14ac:dyDescent="0.25">
      <c r="A883" s="4" t="s">
        <v>21</v>
      </c>
      <c r="B883" s="4" t="s">
        <v>39</v>
      </c>
      <c r="C883" s="4" t="s">
        <v>23</v>
      </c>
      <c r="D883" s="4" t="s">
        <v>43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44531</v>
      </c>
      <c r="J883" s="6">
        <v>0</v>
      </c>
      <c r="K883" s="6">
        <v>0</v>
      </c>
      <c r="L883" s="6">
        <v>1962.22</v>
      </c>
      <c r="M883" s="6">
        <v>1962.22</v>
      </c>
      <c r="N883" s="6">
        <v>1962.22</v>
      </c>
      <c r="O883" s="6">
        <v>1962.22</v>
      </c>
      <c r="P883" s="6">
        <v>3468</v>
      </c>
      <c r="Q883" s="4" t="s">
        <v>26</v>
      </c>
      <c r="R883" s="4">
        <v>0</v>
      </c>
      <c r="S883" s="6">
        <v>0</v>
      </c>
      <c r="T883" s="6">
        <v>58</v>
      </c>
      <c r="U883" s="6">
        <v>99</v>
      </c>
      <c r="V883" s="6">
        <f>IF(ISERROR(VLOOKUP($S$883,'TAR FIN'!$A$1:$O$103,15,0)),0,VLOOKUP($S$883,'TAR FIN'!$A$1:$O$103,15,0))</f>
        <v>0</v>
      </c>
      <c r="W883" s="6">
        <f>IF(ISERROR(VLOOKUP($T$883,'TAR FIN'!$A$1:$O$103,15,0)),0,VLOOKUP($T$883,'TAR FIN'!$A$1:$O$103,15,0))</f>
        <v>269.91000000000003</v>
      </c>
      <c r="X883" s="6">
        <f>IF(ISERROR(VLOOKUP($U$883,'TAR FIN'!$A$1:$O$103,15,0)),0,VLOOKUP($U$883,'TAR FIN'!$A$1:$O$103,15,0))</f>
        <v>288.89999999999998</v>
      </c>
      <c r="Y883" s="6"/>
      <c r="Z883" s="6">
        <f ca="1">('TUSD BE'!$AM$58+'TUSD BF_350'!$AM$58+'TUSD CVA'!$AM$58)*1</f>
        <v>310.79999999999995</v>
      </c>
      <c r="AA883" s="6">
        <f ca="1">('TE BE'!$AB$42+'TE BF_350'!$AB$42+'TE CVA'!$AB$42)*1</f>
        <v>258.94</v>
      </c>
      <c r="AB883" s="6">
        <f>$K$883*$V$883</f>
        <v>0</v>
      </c>
      <c r="AC883" s="6">
        <f>$M$883*$W$883</f>
        <v>529622.80020000006</v>
      </c>
      <c r="AD883" s="6">
        <f>$O$883*$X$883</f>
        <v>566885.35800000001</v>
      </c>
      <c r="AE883" s="6">
        <f>$K$883*$Y$883</f>
        <v>0</v>
      </c>
      <c r="AF883" s="6">
        <f ca="1">$M$883*$Z$883</f>
        <v>609857.97599999991</v>
      </c>
      <c r="AG883" s="6">
        <f ca="1">$O$883*$AA$883</f>
        <v>508097.24680000002</v>
      </c>
    </row>
    <row r="884" spans="1:33" ht="11.25" customHeight="1" x14ac:dyDescent="0.25">
      <c r="A884" s="4" t="s">
        <v>27</v>
      </c>
      <c r="B884" s="4" t="s">
        <v>39</v>
      </c>
      <c r="C884" s="4" t="s">
        <v>23</v>
      </c>
      <c r="D884" s="4" t="s">
        <v>43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44531</v>
      </c>
      <c r="J884" s="6">
        <v>0</v>
      </c>
      <c r="K884" s="6">
        <v>0</v>
      </c>
      <c r="L884" s="6">
        <v>-2.1150000000000002</v>
      </c>
      <c r="M884" s="6">
        <v>-2.1150000000000002</v>
      </c>
      <c r="N884" s="6">
        <v>-2.1150000000000002</v>
      </c>
      <c r="O884" s="6">
        <v>-2.1150000000000002</v>
      </c>
      <c r="P884" s="6">
        <v>0</v>
      </c>
      <c r="Q884" s="4" t="s">
        <v>26</v>
      </c>
      <c r="R884" s="4">
        <v>0</v>
      </c>
      <c r="S884" s="6">
        <v>0</v>
      </c>
      <c r="T884" s="6">
        <v>58</v>
      </c>
      <c r="U884" s="6">
        <v>99</v>
      </c>
      <c r="V884" s="6">
        <f>IF(ISERROR(VLOOKUP($S$884,'TAR FIN'!$A$1:$O$103,15,0)),0,VLOOKUP($S$884,'TAR FIN'!$A$1:$O$103,15,0))</f>
        <v>0</v>
      </c>
      <c r="W884" s="6">
        <f>IF(ISERROR(VLOOKUP($T$884,'TAR FIN'!$A$1:$O$103,15,0)),0,VLOOKUP($T$884,'TAR FIN'!$A$1:$O$103,15,0))</f>
        <v>269.91000000000003</v>
      </c>
      <c r="X884" s="6">
        <f>IF(ISERROR(VLOOKUP($U$884,'TAR FIN'!$A$1:$O$103,15,0)),0,VLOOKUP($U$884,'TAR FIN'!$A$1:$O$103,15,0))</f>
        <v>288.89999999999998</v>
      </c>
      <c r="Y884" s="6"/>
      <c r="Z884" s="6">
        <f ca="1">('TUSD BE'!$AM$58+'TUSD BF_350'!$AM$58+'TUSD CVA'!$AM$58)*1</f>
        <v>310.79999999999995</v>
      </c>
      <c r="AA884" s="6">
        <f ca="1">('TE BE'!$AB$42+'TE BF_350'!$AB$42+'TE CVA'!$AB$42)*1</f>
        <v>258.94</v>
      </c>
      <c r="AB884" s="6">
        <f>$K$884*$V$884</f>
        <v>0</v>
      </c>
      <c r="AC884" s="6">
        <f>$M$884*$W$884</f>
        <v>-570.8596500000001</v>
      </c>
      <c r="AD884" s="6">
        <f>$O$884*$X$884</f>
        <v>-611.02350000000001</v>
      </c>
      <c r="AE884" s="6">
        <f>$K$884*$Y$884</f>
        <v>0</v>
      </c>
      <c r="AF884" s="6">
        <f ca="1">$M$884*$Z$884</f>
        <v>-657.34199999999998</v>
      </c>
      <c r="AG884" s="6">
        <f ca="1">$O$884*$AA$884</f>
        <v>-547.6581000000001</v>
      </c>
    </row>
    <row r="885" spans="1:33" ht="11.25" customHeight="1" x14ac:dyDescent="0.25">
      <c r="A885" s="4" t="s">
        <v>28</v>
      </c>
      <c r="B885" s="4" t="s">
        <v>39</v>
      </c>
      <c r="C885" s="4" t="s">
        <v>23</v>
      </c>
      <c r="D885" s="4" t="s">
        <v>43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44531</v>
      </c>
      <c r="J885" s="6">
        <v>0</v>
      </c>
      <c r="K885" s="6">
        <v>0</v>
      </c>
      <c r="L885" s="6">
        <v>30.349</v>
      </c>
      <c r="M885" s="6">
        <v>30.349</v>
      </c>
      <c r="N885" s="6">
        <v>30.349</v>
      </c>
      <c r="O885" s="6">
        <v>30.349</v>
      </c>
      <c r="P885" s="6">
        <v>46</v>
      </c>
      <c r="Q885" s="4" t="s">
        <v>26</v>
      </c>
      <c r="R885" s="4">
        <v>0</v>
      </c>
      <c r="S885" s="6">
        <v>0</v>
      </c>
      <c r="T885" s="6">
        <v>58</v>
      </c>
      <c r="U885" s="6">
        <v>99</v>
      </c>
      <c r="V885" s="6">
        <f>IF(ISERROR(VLOOKUP($S$885,'TAR FIN'!$A$1:$O$103,15,0)),0,VLOOKUP($S$885,'TAR FIN'!$A$1:$O$103,15,0))</f>
        <v>0</v>
      </c>
      <c r="W885" s="6">
        <f>IF(ISERROR(VLOOKUP($T$885,'TAR FIN'!$A$1:$O$103,15,0)),0,VLOOKUP($T$885,'TAR FIN'!$A$1:$O$103,15,0))</f>
        <v>269.91000000000003</v>
      </c>
      <c r="X885" s="6">
        <f>IF(ISERROR(VLOOKUP($U$885,'TAR FIN'!$A$1:$O$103,15,0)),0,VLOOKUP($U$885,'TAR FIN'!$A$1:$O$103,15,0))</f>
        <v>288.89999999999998</v>
      </c>
      <c r="Y885" s="6"/>
      <c r="Z885" s="6">
        <f ca="1">('TUSD BE'!$AM$58+'TUSD BF_350'!$AM$58+'TUSD CVA'!$AM$58)*1</f>
        <v>310.79999999999995</v>
      </c>
      <c r="AA885" s="6">
        <f ca="1">('TE BE'!$AB$42+'TE BF_350'!$AB$42+'TE CVA'!$AB$42)*1</f>
        <v>258.94</v>
      </c>
      <c r="AB885" s="6">
        <f>$K$885*$V$885</f>
        <v>0</v>
      </c>
      <c r="AC885" s="6">
        <f>$M$885*$W$885</f>
        <v>8191.4985900000011</v>
      </c>
      <c r="AD885" s="6">
        <f>$O$885*$X$885</f>
        <v>8767.8261000000002</v>
      </c>
      <c r="AE885" s="6">
        <f>$K$885*$Y$885</f>
        <v>0</v>
      </c>
      <c r="AF885" s="6">
        <f ca="1">$M$885*$Z$885</f>
        <v>9432.4691999999995</v>
      </c>
      <c r="AG885" s="6">
        <f ca="1">$O$885*$AA$885</f>
        <v>7858.57006</v>
      </c>
    </row>
    <row r="886" spans="1:33" ht="11.25" customHeight="1" x14ac:dyDescent="0.25">
      <c r="A886" s="4" t="s">
        <v>21</v>
      </c>
      <c r="B886" s="4" t="s">
        <v>39</v>
      </c>
      <c r="C886" s="4" t="s">
        <v>23</v>
      </c>
      <c r="D886" s="4" t="s">
        <v>43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44562</v>
      </c>
      <c r="J886" s="6">
        <v>0</v>
      </c>
      <c r="K886" s="6">
        <v>0</v>
      </c>
      <c r="L886" s="6">
        <v>1891.8610000000001</v>
      </c>
      <c r="M886" s="6">
        <v>1891.8610000000001</v>
      </c>
      <c r="N886" s="6">
        <v>1891.8610000000001</v>
      </c>
      <c r="O886" s="6">
        <v>1891.8610000000001</v>
      </c>
      <c r="P886" s="6">
        <v>3456</v>
      </c>
      <c r="Q886" s="4" t="s">
        <v>26</v>
      </c>
      <c r="R886" s="4">
        <v>0</v>
      </c>
      <c r="S886" s="6">
        <v>0</v>
      </c>
      <c r="T886" s="6">
        <v>58</v>
      </c>
      <c r="U886" s="6">
        <v>99</v>
      </c>
      <c r="V886" s="6">
        <f>IF(ISERROR(VLOOKUP($S$886,'TAR FIN'!$A$1:$O$103,15,0)),0,VLOOKUP($S$886,'TAR FIN'!$A$1:$O$103,15,0))</f>
        <v>0</v>
      </c>
      <c r="W886" s="6">
        <f>IF(ISERROR(VLOOKUP($T$886,'TAR FIN'!$A$1:$O$103,15,0)),0,VLOOKUP($T$886,'TAR FIN'!$A$1:$O$103,15,0))</f>
        <v>269.91000000000003</v>
      </c>
      <c r="X886" s="6">
        <f>IF(ISERROR(VLOOKUP($U$886,'TAR FIN'!$A$1:$O$103,15,0)),0,VLOOKUP($U$886,'TAR FIN'!$A$1:$O$103,15,0))</f>
        <v>288.89999999999998</v>
      </c>
      <c r="Y886" s="6"/>
      <c r="Z886" s="6">
        <f ca="1">('TUSD BE'!$AM$58+'TUSD BF_350'!$AM$58+'TUSD CVA'!$AM$58)*1</f>
        <v>310.79999999999995</v>
      </c>
      <c r="AA886" s="6">
        <f ca="1">('TE BE'!$AB$42+'TE BF_350'!$AB$42+'TE CVA'!$AB$42)*1</f>
        <v>258.94</v>
      </c>
      <c r="AB886" s="6">
        <f>$K$886*$V$886</f>
        <v>0</v>
      </c>
      <c r="AC886" s="6">
        <f>$M$886*$W$886</f>
        <v>510632.20251000009</v>
      </c>
      <c r="AD886" s="6">
        <f>$O$886*$X$886</f>
        <v>546558.64289999998</v>
      </c>
      <c r="AE886" s="6">
        <f>$K$886*$Y$886</f>
        <v>0</v>
      </c>
      <c r="AF886" s="6">
        <f ca="1">$M$886*$Z$886</f>
        <v>587990.39879999997</v>
      </c>
      <c r="AG886" s="6">
        <f ca="1">$O$886*$AA$886</f>
        <v>489878.48734000005</v>
      </c>
    </row>
    <row r="887" spans="1:33" ht="11.25" customHeight="1" x14ac:dyDescent="0.25">
      <c r="A887" s="4" t="s">
        <v>27</v>
      </c>
      <c r="B887" s="4" t="s">
        <v>39</v>
      </c>
      <c r="C887" s="4" t="s">
        <v>23</v>
      </c>
      <c r="D887" s="4" t="s">
        <v>43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44562</v>
      </c>
      <c r="J887" s="6">
        <v>0</v>
      </c>
      <c r="K887" s="6">
        <v>0</v>
      </c>
      <c r="L887" s="6">
        <v>-3.53</v>
      </c>
      <c r="M887" s="6">
        <v>-3.53</v>
      </c>
      <c r="N887" s="6">
        <v>-3.53</v>
      </c>
      <c r="O887" s="6">
        <v>-3.53</v>
      </c>
      <c r="P887" s="6">
        <v>0</v>
      </c>
      <c r="Q887" s="4" t="s">
        <v>26</v>
      </c>
      <c r="R887" s="4">
        <v>0</v>
      </c>
      <c r="S887" s="6">
        <v>0</v>
      </c>
      <c r="T887" s="6">
        <v>58</v>
      </c>
      <c r="U887" s="6">
        <v>99</v>
      </c>
      <c r="V887" s="6">
        <f>IF(ISERROR(VLOOKUP($S$887,'TAR FIN'!$A$1:$O$103,15,0)),0,VLOOKUP($S$887,'TAR FIN'!$A$1:$O$103,15,0))</f>
        <v>0</v>
      </c>
      <c r="W887" s="6">
        <f>IF(ISERROR(VLOOKUP($T$887,'TAR FIN'!$A$1:$O$103,15,0)),0,VLOOKUP($T$887,'TAR FIN'!$A$1:$O$103,15,0))</f>
        <v>269.91000000000003</v>
      </c>
      <c r="X887" s="6">
        <f>IF(ISERROR(VLOOKUP($U$887,'TAR FIN'!$A$1:$O$103,15,0)),0,VLOOKUP($U$887,'TAR FIN'!$A$1:$O$103,15,0))</f>
        <v>288.89999999999998</v>
      </c>
      <c r="Y887" s="6"/>
      <c r="Z887" s="6">
        <f ca="1">('TUSD BE'!$AM$58+'TUSD BF_350'!$AM$58+'TUSD CVA'!$AM$58)*1</f>
        <v>310.79999999999995</v>
      </c>
      <c r="AA887" s="6">
        <f ca="1">('TE BE'!$AB$42+'TE BF_350'!$AB$42+'TE CVA'!$AB$42)*1</f>
        <v>258.94</v>
      </c>
      <c r="AB887" s="6">
        <f>$K$887*$V$887</f>
        <v>0</v>
      </c>
      <c r="AC887" s="6">
        <f>$M$887*$W$887</f>
        <v>-952.78230000000008</v>
      </c>
      <c r="AD887" s="6">
        <f>$O$887*$X$887</f>
        <v>-1019.8169999999999</v>
      </c>
      <c r="AE887" s="6">
        <f>$K$887*$Y$887</f>
        <v>0</v>
      </c>
      <c r="AF887" s="6">
        <f ca="1">$M$887*$Z$887</f>
        <v>-1097.1239999999998</v>
      </c>
      <c r="AG887" s="6">
        <f ca="1">$O$887*$AA$887</f>
        <v>-914.05819999999994</v>
      </c>
    </row>
    <row r="888" spans="1:33" ht="11.25" customHeight="1" x14ac:dyDescent="0.25">
      <c r="A888" s="4" t="s">
        <v>28</v>
      </c>
      <c r="B888" s="4" t="s">
        <v>39</v>
      </c>
      <c r="C888" s="4" t="s">
        <v>23</v>
      </c>
      <c r="D888" s="4" t="s">
        <v>43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44562</v>
      </c>
      <c r="J888" s="6">
        <v>0</v>
      </c>
      <c r="K888" s="6">
        <v>0</v>
      </c>
      <c r="L888" s="6">
        <v>43.569000000000003</v>
      </c>
      <c r="M888" s="6">
        <v>43.569000000000003</v>
      </c>
      <c r="N888" s="6">
        <v>43.569000000000003</v>
      </c>
      <c r="O888" s="6">
        <v>43.569000000000003</v>
      </c>
      <c r="P888" s="6">
        <v>60</v>
      </c>
      <c r="Q888" s="4" t="s">
        <v>26</v>
      </c>
      <c r="R888" s="4">
        <v>0</v>
      </c>
      <c r="S888" s="6">
        <v>0</v>
      </c>
      <c r="T888" s="6">
        <v>58</v>
      </c>
      <c r="U888" s="6">
        <v>99</v>
      </c>
      <c r="V888" s="6">
        <f>IF(ISERROR(VLOOKUP($S$888,'TAR FIN'!$A$1:$O$103,15,0)),0,VLOOKUP($S$888,'TAR FIN'!$A$1:$O$103,15,0))</f>
        <v>0</v>
      </c>
      <c r="W888" s="6">
        <f>IF(ISERROR(VLOOKUP($T$888,'TAR FIN'!$A$1:$O$103,15,0)),0,VLOOKUP($T$888,'TAR FIN'!$A$1:$O$103,15,0))</f>
        <v>269.91000000000003</v>
      </c>
      <c r="X888" s="6">
        <f>IF(ISERROR(VLOOKUP($U$888,'TAR FIN'!$A$1:$O$103,15,0)),0,VLOOKUP($U$888,'TAR FIN'!$A$1:$O$103,15,0))</f>
        <v>288.89999999999998</v>
      </c>
      <c r="Y888" s="6"/>
      <c r="Z888" s="6">
        <f ca="1">('TUSD BE'!$AM$58+'TUSD BF_350'!$AM$58+'TUSD CVA'!$AM$58)*1</f>
        <v>310.79999999999995</v>
      </c>
      <c r="AA888" s="6">
        <f ca="1">('TE BE'!$AB$42+'TE BF_350'!$AB$42+'TE CVA'!$AB$42)*1</f>
        <v>258.94</v>
      </c>
      <c r="AB888" s="6">
        <f>$K$888*$V$888</f>
        <v>0</v>
      </c>
      <c r="AC888" s="6">
        <f>$M$888*$W$888</f>
        <v>11759.708790000002</v>
      </c>
      <c r="AD888" s="6">
        <f>$O$888*$X$888</f>
        <v>12587.0841</v>
      </c>
      <c r="AE888" s="6">
        <f>$K$888*$Y$888</f>
        <v>0</v>
      </c>
      <c r="AF888" s="6">
        <f ca="1">$M$888*$Z$888</f>
        <v>13541.245199999999</v>
      </c>
      <c r="AG888" s="6">
        <f ca="1">$O$888*$AA$888</f>
        <v>11281.756860000001</v>
      </c>
    </row>
    <row r="889" spans="1:33" ht="11.25" customHeight="1" x14ac:dyDescent="0.25">
      <c r="A889" s="4" t="s">
        <v>21</v>
      </c>
      <c r="B889" s="4" t="s">
        <v>39</v>
      </c>
      <c r="C889" s="4" t="s">
        <v>23</v>
      </c>
      <c r="D889" s="4" t="s">
        <v>43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44593</v>
      </c>
      <c r="J889" s="6">
        <v>0</v>
      </c>
      <c r="K889" s="6">
        <v>0</v>
      </c>
      <c r="L889" s="6">
        <v>2009.923</v>
      </c>
      <c r="M889" s="6">
        <v>2009.923</v>
      </c>
      <c r="N889" s="6">
        <v>2009.923</v>
      </c>
      <c r="O889" s="6">
        <v>2009.923</v>
      </c>
      <c r="P889" s="6">
        <v>3440</v>
      </c>
      <c r="Q889" s="4" t="s">
        <v>26</v>
      </c>
      <c r="R889" s="4">
        <v>0</v>
      </c>
      <c r="S889" s="6">
        <v>0</v>
      </c>
      <c r="T889" s="6">
        <v>58</v>
      </c>
      <c r="U889" s="6">
        <v>99</v>
      </c>
      <c r="V889" s="6">
        <f>IF(ISERROR(VLOOKUP($S$889,'TAR FIN'!$A$1:$O$103,15,0)),0,VLOOKUP($S$889,'TAR FIN'!$A$1:$O$103,15,0))</f>
        <v>0</v>
      </c>
      <c r="W889" s="6">
        <f>IF(ISERROR(VLOOKUP($T$889,'TAR FIN'!$A$1:$O$103,15,0)),0,VLOOKUP($T$889,'TAR FIN'!$A$1:$O$103,15,0))</f>
        <v>269.91000000000003</v>
      </c>
      <c r="X889" s="6">
        <f>IF(ISERROR(VLOOKUP($U$889,'TAR FIN'!$A$1:$O$103,15,0)),0,VLOOKUP($U$889,'TAR FIN'!$A$1:$O$103,15,0))</f>
        <v>288.89999999999998</v>
      </c>
      <c r="Y889" s="6"/>
      <c r="Z889" s="6">
        <f ca="1">('TUSD BE'!$AM$58+'TUSD BF_350'!$AM$58+'TUSD CVA'!$AM$58)*1</f>
        <v>310.79999999999995</v>
      </c>
      <c r="AA889" s="6">
        <f ca="1">('TE BE'!$AB$42+'TE BF_350'!$AB$42+'TE CVA'!$AB$42)*1</f>
        <v>258.94</v>
      </c>
      <c r="AB889" s="6">
        <f>$K$889*$V$889</f>
        <v>0</v>
      </c>
      <c r="AC889" s="6">
        <f>$M$889*$W$889</f>
        <v>542498.31693000009</v>
      </c>
      <c r="AD889" s="6">
        <f>$O$889*$X$889</f>
        <v>580666.75469999993</v>
      </c>
      <c r="AE889" s="6">
        <f>$K$889*$Y$889</f>
        <v>0</v>
      </c>
      <c r="AF889" s="6">
        <f ca="1">$M$889*$Z$889</f>
        <v>624684.06839999987</v>
      </c>
      <c r="AG889" s="6">
        <f ca="1">$O$889*$AA$889</f>
        <v>520449.46162000002</v>
      </c>
    </row>
    <row r="890" spans="1:33" ht="11.25" customHeight="1" x14ac:dyDescent="0.25">
      <c r="A890" s="4" t="s">
        <v>28</v>
      </c>
      <c r="B890" s="4" t="s">
        <v>39</v>
      </c>
      <c r="C890" s="4" t="s">
        <v>23</v>
      </c>
      <c r="D890" s="4" t="s">
        <v>43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44593</v>
      </c>
      <c r="J890" s="6">
        <v>0</v>
      </c>
      <c r="K890" s="6">
        <v>0</v>
      </c>
      <c r="L890" s="6">
        <v>49.106000000000002</v>
      </c>
      <c r="M890" s="6">
        <v>49.106000000000002</v>
      </c>
      <c r="N890" s="6">
        <v>49.106000000000002</v>
      </c>
      <c r="O890" s="6">
        <v>49.106000000000002</v>
      </c>
      <c r="P890" s="6">
        <v>67</v>
      </c>
      <c r="Q890" s="4" t="s">
        <v>26</v>
      </c>
      <c r="R890" s="4">
        <v>0</v>
      </c>
      <c r="S890" s="6">
        <v>0</v>
      </c>
      <c r="T890" s="6">
        <v>58</v>
      </c>
      <c r="U890" s="6">
        <v>99</v>
      </c>
      <c r="V890" s="6">
        <f>IF(ISERROR(VLOOKUP($S$890,'TAR FIN'!$A$1:$O$103,15,0)),0,VLOOKUP($S$890,'TAR FIN'!$A$1:$O$103,15,0))</f>
        <v>0</v>
      </c>
      <c r="W890" s="6">
        <f>IF(ISERROR(VLOOKUP($T$890,'TAR FIN'!$A$1:$O$103,15,0)),0,VLOOKUP($T$890,'TAR FIN'!$A$1:$O$103,15,0))</f>
        <v>269.91000000000003</v>
      </c>
      <c r="X890" s="6">
        <f>IF(ISERROR(VLOOKUP($U$890,'TAR FIN'!$A$1:$O$103,15,0)),0,VLOOKUP($U$890,'TAR FIN'!$A$1:$O$103,15,0))</f>
        <v>288.89999999999998</v>
      </c>
      <c r="Y890" s="6"/>
      <c r="Z890" s="6">
        <f ca="1">('TUSD BE'!$AM$58+'TUSD BF_350'!$AM$58+'TUSD CVA'!$AM$58)*1</f>
        <v>310.79999999999995</v>
      </c>
      <c r="AA890" s="6">
        <f ca="1">('TE BE'!$AB$42+'TE BF_350'!$AB$42+'TE CVA'!$AB$42)*1</f>
        <v>258.94</v>
      </c>
      <c r="AB890" s="6">
        <f>$K$890*$V$890</f>
        <v>0</v>
      </c>
      <c r="AC890" s="6">
        <f>$M$890*$W$890</f>
        <v>13254.200460000002</v>
      </c>
      <c r="AD890" s="6">
        <f>$O$890*$X$890</f>
        <v>14186.723399999999</v>
      </c>
      <c r="AE890" s="6">
        <f>$K$890*$Y$890</f>
        <v>0</v>
      </c>
      <c r="AF890" s="6">
        <f ca="1">$M$890*$Z$890</f>
        <v>15262.144799999998</v>
      </c>
      <c r="AG890" s="6">
        <f ca="1">$O$890*$AA$890</f>
        <v>12715.50764</v>
      </c>
    </row>
    <row r="891" spans="1:33" ht="11.25" customHeight="1" x14ac:dyDescent="0.25">
      <c r="A891" s="4" t="s">
        <v>21</v>
      </c>
      <c r="B891" s="4" t="s">
        <v>39</v>
      </c>
      <c r="C891" s="4" t="s">
        <v>23</v>
      </c>
      <c r="D891" s="4" t="s">
        <v>43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44621</v>
      </c>
      <c r="J891" s="6">
        <v>0</v>
      </c>
      <c r="K891" s="6">
        <v>0</v>
      </c>
      <c r="L891" s="6">
        <v>2002.925</v>
      </c>
      <c r="M891" s="6">
        <v>2002.925</v>
      </c>
      <c r="N891" s="6">
        <v>2002.925</v>
      </c>
      <c r="O891" s="6">
        <v>2002.925</v>
      </c>
      <c r="P891" s="6">
        <v>3434</v>
      </c>
      <c r="Q891" s="4" t="s">
        <v>26</v>
      </c>
      <c r="R891" s="4">
        <v>0</v>
      </c>
      <c r="S891" s="6">
        <v>0</v>
      </c>
      <c r="T891" s="6">
        <v>58</v>
      </c>
      <c r="U891" s="6">
        <v>99</v>
      </c>
      <c r="V891" s="6">
        <f>IF(ISERROR(VLOOKUP($S$891,'TAR FIN'!$A$1:$O$103,15,0)),0,VLOOKUP($S$891,'TAR FIN'!$A$1:$O$103,15,0))</f>
        <v>0</v>
      </c>
      <c r="W891" s="6">
        <f>IF(ISERROR(VLOOKUP($T$891,'TAR FIN'!$A$1:$O$103,15,0)),0,VLOOKUP($T$891,'TAR FIN'!$A$1:$O$103,15,0))</f>
        <v>269.91000000000003</v>
      </c>
      <c r="X891" s="6">
        <f>IF(ISERROR(VLOOKUP($U$891,'TAR FIN'!$A$1:$O$103,15,0)),0,VLOOKUP($U$891,'TAR FIN'!$A$1:$O$103,15,0))</f>
        <v>288.89999999999998</v>
      </c>
      <c r="Y891" s="6"/>
      <c r="Z891" s="6">
        <f ca="1">('TUSD BE'!$AM$58+'TUSD BF_350'!$AM$58+'TUSD CVA'!$AM$58)*1</f>
        <v>310.79999999999995</v>
      </c>
      <c r="AA891" s="6">
        <f ca="1">('TE BE'!$AB$42+'TE BF_350'!$AB$42+'TE CVA'!$AB$42)*1</f>
        <v>258.94</v>
      </c>
      <c r="AB891" s="6">
        <f>$K$891*$V$891</f>
        <v>0</v>
      </c>
      <c r="AC891" s="6">
        <f>$M$891*$W$891</f>
        <v>540609.48675000004</v>
      </c>
      <c r="AD891" s="6">
        <f>$O$891*$X$891</f>
        <v>578645.03249999997</v>
      </c>
      <c r="AE891" s="6">
        <f>$K$891*$Y$891</f>
        <v>0</v>
      </c>
      <c r="AF891" s="6">
        <f ca="1">$M$891*$Z$891</f>
        <v>622509.08999999985</v>
      </c>
      <c r="AG891" s="6">
        <f ca="1">$O$891*$AA$891</f>
        <v>518637.3995</v>
      </c>
    </row>
    <row r="892" spans="1:33" ht="11.25" customHeight="1" x14ac:dyDescent="0.25">
      <c r="A892" s="4" t="s">
        <v>28</v>
      </c>
      <c r="B892" s="4" t="s">
        <v>39</v>
      </c>
      <c r="C892" s="4" t="s">
        <v>23</v>
      </c>
      <c r="D892" s="4" t="s">
        <v>43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44621</v>
      </c>
      <c r="J892" s="6">
        <v>0</v>
      </c>
      <c r="K892" s="6">
        <v>0</v>
      </c>
      <c r="L892" s="6">
        <v>55.305</v>
      </c>
      <c r="M892" s="6">
        <v>55.305</v>
      </c>
      <c r="N892" s="6">
        <v>55.305</v>
      </c>
      <c r="O892" s="6">
        <v>55.305</v>
      </c>
      <c r="P892" s="6">
        <v>67</v>
      </c>
      <c r="Q892" s="4" t="s">
        <v>26</v>
      </c>
      <c r="R892" s="4">
        <v>0</v>
      </c>
      <c r="S892" s="6">
        <v>0</v>
      </c>
      <c r="T892" s="6">
        <v>58</v>
      </c>
      <c r="U892" s="6">
        <v>99</v>
      </c>
      <c r="V892" s="6">
        <f>IF(ISERROR(VLOOKUP($S$892,'TAR FIN'!$A$1:$O$103,15,0)),0,VLOOKUP($S$892,'TAR FIN'!$A$1:$O$103,15,0))</f>
        <v>0</v>
      </c>
      <c r="W892" s="6">
        <f>IF(ISERROR(VLOOKUP($T$892,'TAR FIN'!$A$1:$O$103,15,0)),0,VLOOKUP($T$892,'TAR FIN'!$A$1:$O$103,15,0))</f>
        <v>269.91000000000003</v>
      </c>
      <c r="X892" s="6">
        <f>IF(ISERROR(VLOOKUP($U$892,'TAR FIN'!$A$1:$O$103,15,0)),0,VLOOKUP($U$892,'TAR FIN'!$A$1:$O$103,15,0))</f>
        <v>288.89999999999998</v>
      </c>
      <c r="Y892" s="6"/>
      <c r="Z892" s="6">
        <f ca="1">('TUSD BE'!$AM$58+'TUSD BF_350'!$AM$58+'TUSD CVA'!$AM$58)*1</f>
        <v>310.79999999999995</v>
      </c>
      <c r="AA892" s="6">
        <f ca="1">('TE BE'!$AB$42+'TE BF_350'!$AB$42+'TE CVA'!$AB$42)*1</f>
        <v>258.94</v>
      </c>
      <c r="AB892" s="6">
        <f>$K$892*$V$892</f>
        <v>0</v>
      </c>
      <c r="AC892" s="6">
        <f>$M$892*$W$892</f>
        <v>14927.372550000002</v>
      </c>
      <c r="AD892" s="6">
        <f>$O$892*$X$892</f>
        <v>15977.614499999998</v>
      </c>
      <c r="AE892" s="6">
        <f>$K$892*$Y$892</f>
        <v>0</v>
      </c>
      <c r="AF892" s="6">
        <f ca="1">$M$892*$Z$892</f>
        <v>17188.793999999998</v>
      </c>
      <c r="AG892" s="6">
        <f ca="1">$O$892*$AA$892</f>
        <v>14320.6767</v>
      </c>
    </row>
    <row r="893" spans="1:33" ht="11.25" customHeight="1" x14ac:dyDescent="0.25">
      <c r="A893" s="4" t="s">
        <v>21</v>
      </c>
      <c r="B893" s="4" t="s">
        <v>39</v>
      </c>
      <c r="C893" s="4" t="s">
        <v>23</v>
      </c>
      <c r="D893" s="4" t="s">
        <v>43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44652</v>
      </c>
      <c r="J893" s="6">
        <v>0</v>
      </c>
      <c r="K893" s="6">
        <v>0</v>
      </c>
      <c r="L893" s="6">
        <v>1803.5989999999999</v>
      </c>
      <c r="M893" s="6">
        <v>1803.5989999999999</v>
      </c>
      <c r="N893" s="6">
        <v>1803.5989999999999</v>
      </c>
      <c r="O893" s="6">
        <v>1803.5989999999999</v>
      </c>
      <c r="P893" s="6">
        <v>3430</v>
      </c>
      <c r="Q893" s="4" t="s">
        <v>26</v>
      </c>
      <c r="R893" s="4">
        <v>0</v>
      </c>
      <c r="S893" s="6">
        <v>0</v>
      </c>
      <c r="T893" s="6">
        <v>58</v>
      </c>
      <c r="U893" s="6">
        <v>99</v>
      </c>
      <c r="V893" s="6">
        <f>IF(ISERROR(VLOOKUP($S$893,'TAR FIN'!$A$1:$O$103,15,0)),0,VLOOKUP($S$893,'TAR FIN'!$A$1:$O$103,15,0))</f>
        <v>0</v>
      </c>
      <c r="W893" s="6">
        <f>IF(ISERROR(VLOOKUP($T$893,'TAR FIN'!$A$1:$O$103,15,0)),0,VLOOKUP($T$893,'TAR FIN'!$A$1:$O$103,15,0))</f>
        <v>269.91000000000003</v>
      </c>
      <c r="X893" s="6">
        <f>IF(ISERROR(VLOOKUP($U$893,'TAR FIN'!$A$1:$O$103,15,0)),0,VLOOKUP($U$893,'TAR FIN'!$A$1:$O$103,15,0))</f>
        <v>288.89999999999998</v>
      </c>
      <c r="Y893" s="6"/>
      <c r="Z893" s="6">
        <f ca="1">('TUSD BE'!$AM$58+'TUSD BF_350'!$AM$58+'TUSD CVA'!$AM$58)*1</f>
        <v>310.79999999999995</v>
      </c>
      <c r="AA893" s="6">
        <f ca="1">('TE BE'!$AB$42+'TE BF_350'!$AB$42+'TE CVA'!$AB$42)*1</f>
        <v>258.94</v>
      </c>
      <c r="AB893" s="6">
        <f>$K$893*$V$893</f>
        <v>0</v>
      </c>
      <c r="AC893" s="6">
        <f>$M$893*$W$893</f>
        <v>486809.40609</v>
      </c>
      <c r="AD893" s="6">
        <f>$O$893*$X$893</f>
        <v>521059.75109999994</v>
      </c>
      <c r="AE893" s="6">
        <f>$K$893*$Y$893</f>
        <v>0</v>
      </c>
      <c r="AF893" s="6">
        <f ca="1">$M$893*$Z$893</f>
        <v>560558.56919999991</v>
      </c>
      <c r="AG893" s="6">
        <f ca="1">$O$893*$AA$893</f>
        <v>467023.92505999998</v>
      </c>
    </row>
    <row r="894" spans="1:33" ht="11.25" customHeight="1" x14ac:dyDescent="0.25">
      <c r="A894" s="4" t="s">
        <v>27</v>
      </c>
      <c r="B894" s="4" t="s">
        <v>39</v>
      </c>
      <c r="C894" s="4" t="s">
        <v>23</v>
      </c>
      <c r="D894" s="4" t="s">
        <v>43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44652</v>
      </c>
      <c r="J894" s="6">
        <v>0</v>
      </c>
      <c r="K894" s="6">
        <v>0</v>
      </c>
      <c r="L894" s="6">
        <v>-5.1180000000000003</v>
      </c>
      <c r="M894" s="6">
        <v>-5.1180000000000003</v>
      </c>
      <c r="N894" s="6">
        <v>-5.1180000000000003</v>
      </c>
      <c r="O894" s="6">
        <v>-5.1180000000000003</v>
      </c>
      <c r="P894" s="6">
        <v>0</v>
      </c>
      <c r="Q894" s="4" t="s">
        <v>26</v>
      </c>
      <c r="R894" s="4">
        <v>0</v>
      </c>
      <c r="S894" s="6">
        <v>0</v>
      </c>
      <c r="T894" s="6">
        <v>58</v>
      </c>
      <c r="U894" s="6">
        <v>99</v>
      </c>
      <c r="V894" s="6">
        <f>IF(ISERROR(VLOOKUP($S$894,'TAR FIN'!$A$1:$O$103,15,0)),0,VLOOKUP($S$894,'TAR FIN'!$A$1:$O$103,15,0))</f>
        <v>0</v>
      </c>
      <c r="W894" s="6">
        <f>IF(ISERROR(VLOOKUP($T$894,'TAR FIN'!$A$1:$O$103,15,0)),0,VLOOKUP($T$894,'TAR FIN'!$A$1:$O$103,15,0))</f>
        <v>269.91000000000003</v>
      </c>
      <c r="X894" s="6">
        <f>IF(ISERROR(VLOOKUP($U$894,'TAR FIN'!$A$1:$O$103,15,0)),0,VLOOKUP($U$894,'TAR FIN'!$A$1:$O$103,15,0))</f>
        <v>288.89999999999998</v>
      </c>
      <c r="Y894" s="6"/>
      <c r="Z894" s="6">
        <f ca="1">('TUSD BE'!$AM$58+'TUSD BF_350'!$AM$58+'TUSD CVA'!$AM$58)*1</f>
        <v>310.79999999999995</v>
      </c>
      <c r="AA894" s="6">
        <f ca="1">('TE BE'!$AB$42+'TE BF_350'!$AB$42+'TE CVA'!$AB$42)*1</f>
        <v>258.94</v>
      </c>
      <c r="AB894" s="6">
        <f>$K$894*$V$894</f>
        <v>0</v>
      </c>
      <c r="AC894" s="6">
        <f>$M$894*$W$894</f>
        <v>-1381.3993800000003</v>
      </c>
      <c r="AD894" s="6">
        <f>$O$894*$X$894</f>
        <v>-1478.5901999999999</v>
      </c>
      <c r="AE894" s="6">
        <f>$K$894*$Y$894</f>
        <v>0</v>
      </c>
      <c r="AF894" s="6">
        <f ca="1">$M$894*$Z$894</f>
        <v>-1590.6743999999999</v>
      </c>
      <c r="AG894" s="6">
        <f ca="1">$O$894*$AA$894</f>
        <v>-1325.2549200000001</v>
      </c>
    </row>
    <row r="895" spans="1:33" ht="11.25" customHeight="1" x14ac:dyDescent="0.25">
      <c r="A895" s="4" t="s">
        <v>28</v>
      </c>
      <c r="B895" s="4" t="s">
        <v>39</v>
      </c>
      <c r="C895" s="4" t="s">
        <v>23</v>
      </c>
      <c r="D895" s="4" t="s">
        <v>43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44652</v>
      </c>
      <c r="J895" s="6">
        <v>0</v>
      </c>
      <c r="K895" s="6">
        <v>0</v>
      </c>
      <c r="L895" s="6">
        <v>67.347999999999999</v>
      </c>
      <c r="M895" s="6">
        <v>67.347999999999999</v>
      </c>
      <c r="N895" s="6">
        <v>67.347999999999999</v>
      </c>
      <c r="O895" s="6">
        <v>67.347999999999999</v>
      </c>
      <c r="P895" s="6">
        <v>72</v>
      </c>
      <c r="Q895" s="4" t="s">
        <v>26</v>
      </c>
      <c r="R895" s="4">
        <v>0</v>
      </c>
      <c r="S895" s="6">
        <v>0</v>
      </c>
      <c r="T895" s="6">
        <v>58</v>
      </c>
      <c r="U895" s="6">
        <v>99</v>
      </c>
      <c r="V895" s="6">
        <f>IF(ISERROR(VLOOKUP($S$895,'TAR FIN'!$A$1:$O$103,15,0)),0,VLOOKUP($S$895,'TAR FIN'!$A$1:$O$103,15,0))</f>
        <v>0</v>
      </c>
      <c r="W895" s="6">
        <f>IF(ISERROR(VLOOKUP($T$895,'TAR FIN'!$A$1:$O$103,15,0)),0,VLOOKUP($T$895,'TAR FIN'!$A$1:$O$103,15,0))</f>
        <v>269.91000000000003</v>
      </c>
      <c r="X895" s="6">
        <f>IF(ISERROR(VLOOKUP($U$895,'TAR FIN'!$A$1:$O$103,15,0)),0,VLOOKUP($U$895,'TAR FIN'!$A$1:$O$103,15,0))</f>
        <v>288.89999999999998</v>
      </c>
      <c r="Y895" s="6"/>
      <c r="Z895" s="6">
        <f ca="1">('TUSD BE'!$AM$58+'TUSD BF_350'!$AM$58+'TUSD CVA'!$AM$58)*1</f>
        <v>310.79999999999995</v>
      </c>
      <c r="AA895" s="6">
        <f ca="1">('TE BE'!$AB$42+'TE BF_350'!$AB$42+'TE CVA'!$AB$42)*1</f>
        <v>258.94</v>
      </c>
      <c r="AB895" s="6">
        <f>$K$895*$V$895</f>
        <v>0</v>
      </c>
      <c r="AC895" s="6">
        <f>$M$895*$W$895</f>
        <v>18177.898680000002</v>
      </c>
      <c r="AD895" s="6">
        <f>$O$895*$X$895</f>
        <v>19456.837199999998</v>
      </c>
      <c r="AE895" s="6">
        <f>$K$895*$Y$895</f>
        <v>0</v>
      </c>
      <c r="AF895" s="6">
        <f ca="1">$M$895*$Z$895</f>
        <v>20931.758399999995</v>
      </c>
      <c r="AG895" s="6">
        <f ca="1">$O$895*$AA$895</f>
        <v>17439.091120000001</v>
      </c>
    </row>
    <row r="896" spans="1:33" ht="11.25" customHeight="1" x14ac:dyDescent="0.25">
      <c r="A896" s="4" t="s">
        <v>21</v>
      </c>
      <c r="B896" s="4" t="s">
        <v>39</v>
      </c>
      <c r="C896" s="4" t="s">
        <v>23</v>
      </c>
      <c r="D896" s="4" t="s">
        <v>43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44682</v>
      </c>
      <c r="J896" s="6">
        <v>0</v>
      </c>
      <c r="K896" s="6">
        <v>0</v>
      </c>
      <c r="L896" s="6">
        <v>1746.1179999999999</v>
      </c>
      <c r="M896" s="6">
        <v>1746.1179999999999</v>
      </c>
      <c r="N896" s="6">
        <v>1746.1179999999999</v>
      </c>
      <c r="O896" s="6">
        <v>1746.1179999999999</v>
      </c>
      <c r="P896" s="6">
        <v>3431</v>
      </c>
      <c r="Q896" s="4" t="s">
        <v>26</v>
      </c>
      <c r="R896" s="4">
        <v>0</v>
      </c>
      <c r="S896" s="6">
        <v>0</v>
      </c>
      <c r="T896" s="6">
        <v>58</v>
      </c>
      <c r="U896" s="6">
        <v>99</v>
      </c>
      <c r="V896" s="6">
        <f>IF(ISERROR(VLOOKUP($S$896,'TAR FIN'!$A$1:$O$103,15,0)),0,VLOOKUP($S$896,'TAR FIN'!$A$1:$O$103,15,0))</f>
        <v>0</v>
      </c>
      <c r="W896" s="6">
        <f>IF(ISERROR(VLOOKUP($T$896,'TAR FIN'!$A$1:$O$103,15,0)),0,VLOOKUP($T$896,'TAR FIN'!$A$1:$O$103,15,0))</f>
        <v>269.91000000000003</v>
      </c>
      <c r="X896" s="6">
        <f>IF(ISERROR(VLOOKUP($U$896,'TAR FIN'!$A$1:$O$103,15,0)),0,VLOOKUP($U$896,'TAR FIN'!$A$1:$O$103,15,0))</f>
        <v>288.89999999999998</v>
      </c>
      <c r="Y896" s="6"/>
      <c r="Z896" s="6">
        <f ca="1">('TUSD BE'!$AM$58+'TUSD BF_350'!$AM$58+'TUSD CVA'!$AM$58)*1</f>
        <v>310.79999999999995</v>
      </c>
      <c r="AA896" s="6">
        <f ca="1">('TE BE'!$AB$42+'TE BF_350'!$AB$42+'TE CVA'!$AB$42)*1</f>
        <v>258.94</v>
      </c>
      <c r="AB896" s="6">
        <f>$K$896*$V$896</f>
        <v>0</v>
      </c>
      <c r="AC896" s="6">
        <f>$M$896*$W$896</f>
        <v>471294.70938000001</v>
      </c>
      <c r="AD896" s="6">
        <f>$O$896*$X$896</f>
        <v>504453.49019999994</v>
      </c>
      <c r="AE896" s="6">
        <f>$K$896*$Y$896</f>
        <v>0</v>
      </c>
      <c r="AF896" s="6">
        <f ca="1">$M$896*$Z$896</f>
        <v>542693.47439999995</v>
      </c>
      <c r="AG896" s="6">
        <f ca="1">$O$896*$AA$896</f>
        <v>452139.79491999996</v>
      </c>
    </row>
    <row r="897" spans="1:33" ht="11.25" customHeight="1" x14ac:dyDescent="0.25">
      <c r="A897" s="4" t="s">
        <v>27</v>
      </c>
      <c r="B897" s="4" t="s">
        <v>39</v>
      </c>
      <c r="C897" s="4" t="s">
        <v>23</v>
      </c>
      <c r="D897" s="4" t="s">
        <v>43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44682</v>
      </c>
      <c r="J897" s="6">
        <v>0</v>
      </c>
      <c r="K897" s="6">
        <v>0</v>
      </c>
      <c r="L897" s="6">
        <v>-3.5670000000000002</v>
      </c>
      <c r="M897" s="6">
        <v>-3.5670000000000002</v>
      </c>
      <c r="N897" s="6">
        <v>-3.5670000000000002</v>
      </c>
      <c r="O897" s="6">
        <v>-3.5670000000000002</v>
      </c>
      <c r="P897" s="6">
        <v>0</v>
      </c>
      <c r="Q897" s="4" t="s">
        <v>26</v>
      </c>
      <c r="R897" s="4">
        <v>0</v>
      </c>
      <c r="S897" s="6">
        <v>0</v>
      </c>
      <c r="T897" s="6">
        <v>58</v>
      </c>
      <c r="U897" s="6">
        <v>99</v>
      </c>
      <c r="V897" s="6">
        <f>IF(ISERROR(VLOOKUP($S$897,'TAR FIN'!$A$1:$O$103,15,0)),0,VLOOKUP($S$897,'TAR FIN'!$A$1:$O$103,15,0))</f>
        <v>0</v>
      </c>
      <c r="W897" s="6">
        <f>IF(ISERROR(VLOOKUP($T$897,'TAR FIN'!$A$1:$O$103,15,0)),0,VLOOKUP($T$897,'TAR FIN'!$A$1:$O$103,15,0))</f>
        <v>269.91000000000003</v>
      </c>
      <c r="X897" s="6">
        <f>IF(ISERROR(VLOOKUP($U$897,'TAR FIN'!$A$1:$O$103,15,0)),0,VLOOKUP($U$897,'TAR FIN'!$A$1:$O$103,15,0))</f>
        <v>288.89999999999998</v>
      </c>
      <c r="Y897" s="6"/>
      <c r="Z897" s="6">
        <f ca="1">('TUSD BE'!$AM$58+'TUSD BF_350'!$AM$58+'TUSD CVA'!$AM$58)*1</f>
        <v>310.79999999999995</v>
      </c>
      <c r="AA897" s="6">
        <f ca="1">('TE BE'!$AB$42+'TE BF_350'!$AB$42+'TE CVA'!$AB$42)*1</f>
        <v>258.94</v>
      </c>
      <c r="AB897" s="6">
        <f>$K$897*$V$897</f>
        <v>0</v>
      </c>
      <c r="AC897" s="6">
        <f>$M$897*$W$897</f>
        <v>-962.76897000000008</v>
      </c>
      <c r="AD897" s="6">
        <f>$O$897*$X$897</f>
        <v>-1030.5063</v>
      </c>
      <c r="AE897" s="6">
        <f>$K$897*$Y$897</f>
        <v>0</v>
      </c>
      <c r="AF897" s="6">
        <f ca="1">$M$897*$Z$897</f>
        <v>-1108.6235999999999</v>
      </c>
      <c r="AG897" s="6">
        <f ca="1">$O$897*$AA$897</f>
        <v>-923.63898000000006</v>
      </c>
    </row>
    <row r="898" spans="1:33" ht="11.25" customHeight="1" x14ac:dyDescent="0.25">
      <c r="A898" s="4" t="s">
        <v>28</v>
      </c>
      <c r="B898" s="4" t="s">
        <v>39</v>
      </c>
      <c r="C898" s="4" t="s">
        <v>23</v>
      </c>
      <c r="D898" s="4" t="s">
        <v>43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44682</v>
      </c>
      <c r="J898" s="6">
        <v>0</v>
      </c>
      <c r="K898" s="6">
        <v>0</v>
      </c>
      <c r="L898" s="6">
        <v>61.813000000000002</v>
      </c>
      <c r="M898" s="6">
        <v>61.813000000000002</v>
      </c>
      <c r="N898" s="6">
        <v>61.813000000000002</v>
      </c>
      <c r="O898" s="6">
        <v>61.813000000000002</v>
      </c>
      <c r="P898" s="6">
        <v>76</v>
      </c>
      <c r="Q898" s="4" t="s">
        <v>26</v>
      </c>
      <c r="R898" s="4">
        <v>0</v>
      </c>
      <c r="S898" s="6">
        <v>0</v>
      </c>
      <c r="T898" s="6">
        <v>58</v>
      </c>
      <c r="U898" s="6">
        <v>99</v>
      </c>
      <c r="V898" s="6">
        <f>IF(ISERROR(VLOOKUP($S$898,'TAR FIN'!$A$1:$O$103,15,0)),0,VLOOKUP($S$898,'TAR FIN'!$A$1:$O$103,15,0))</f>
        <v>0</v>
      </c>
      <c r="W898" s="6">
        <f>IF(ISERROR(VLOOKUP($T$898,'TAR FIN'!$A$1:$O$103,15,0)),0,VLOOKUP($T$898,'TAR FIN'!$A$1:$O$103,15,0))</f>
        <v>269.91000000000003</v>
      </c>
      <c r="X898" s="6">
        <f>IF(ISERROR(VLOOKUP($U$898,'TAR FIN'!$A$1:$O$103,15,0)),0,VLOOKUP($U$898,'TAR FIN'!$A$1:$O$103,15,0))</f>
        <v>288.89999999999998</v>
      </c>
      <c r="Y898" s="6"/>
      <c r="Z898" s="6">
        <f ca="1">('TUSD BE'!$AM$58+'TUSD BF_350'!$AM$58+'TUSD CVA'!$AM$58)*1</f>
        <v>310.79999999999995</v>
      </c>
      <c r="AA898" s="6">
        <f ca="1">('TE BE'!$AB$42+'TE BF_350'!$AB$42+'TE CVA'!$AB$42)*1</f>
        <v>258.94</v>
      </c>
      <c r="AB898" s="6">
        <f>$K$898*$V$898</f>
        <v>0</v>
      </c>
      <c r="AC898" s="6">
        <f>$M$898*$W$898</f>
        <v>16683.946830000001</v>
      </c>
      <c r="AD898" s="6">
        <f>$O$898*$X$898</f>
        <v>17857.775699999998</v>
      </c>
      <c r="AE898" s="6">
        <f>$K$898*$Y$898</f>
        <v>0</v>
      </c>
      <c r="AF898" s="6">
        <f ca="1">$M$898*$Z$898</f>
        <v>19211.480399999997</v>
      </c>
      <c r="AG898" s="6">
        <f ca="1">$O$898*$AA$898</f>
        <v>16005.85822</v>
      </c>
    </row>
    <row r="899" spans="1:33" ht="11.25" customHeight="1" x14ac:dyDescent="0.25">
      <c r="A899" s="4" t="s">
        <v>21</v>
      </c>
      <c r="B899" s="4" t="s">
        <v>39</v>
      </c>
      <c r="C899" s="4" t="s">
        <v>23</v>
      </c>
      <c r="D899" s="4" t="s">
        <v>52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44348</v>
      </c>
      <c r="J899" s="6">
        <v>0</v>
      </c>
      <c r="K899" s="6">
        <v>0</v>
      </c>
      <c r="L899" s="6">
        <v>10.805</v>
      </c>
      <c r="M899" s="6">
        <v>10.805</v>
      </c>
      <c r="N899" s="6">
        <v>10.805</v>
      </c>
      <c r="O899" s="6">
        <v>10.805</v>
      </c>
      <c r="P899" s="6">
        <v>3</v>
      </c>
      <c r="Q899" s="4" t="s">
        <v>26</v>
      </c>
      <c r="R899" s="4">
        <v>0</v>
      </c>
      <c r="S899" s="6">
        <v>0</v>
      </c>
      <c r="T899" s="6">
        <v>58</v>
      </c>
      <c r="U899" s="6">
        <v>99</v>
      </c>
      <c r="V899" s="6">
        <f>IF(ISERROR(VLOOKUP($S$899,'TAR FIN'!$A$1:$O$103,15,0)),0,VLOOKUP($S$899,'TAR FIN'!$A$1:$O$103,15,0))</f>
        <v>0</v>
      </c>
      <c r="W899" s="6">
        <f>IF(ISERROR(VLOOKUP($T$899,'TAR FIN'!$A$1:$O$103,15,0)),0,VLOOKUP($T$899,'TAR FIN'!$A$1:$O$103,15,0))</f>
        <v>269.91000000000003</v>
      </c>
      <c r="X899" s="6">
        <f>IF(ISERROR(VLOOKUP($U$899,'TAR FIN'!$A$1:$O$103,15,0)),0,VLOOKUP($U$899,'TAR FIN'!$A$1:$O$103,15,0))</f>
        <v>288.89999999999998</v>
      </c>
      <c r="Y899" s="6"/>
      <c r="Z899" s="6">
        <f ca="1">('TUSD BE'!$AM$58+'TUSD BF_350'!$AM$58+'TUSD CVA'!$AM$58)*1</f>
        <v>310.79999999999995</v>
      </c>
      <c r="AA899" s="6">
        <f ca="1">('TE BE'!$AB$42+'TE BF_350'!$AB$42+'TE CVA'!$AB$42)*1</f>
        <v>258.94</v>
      </c>
      <c r="AB899" s="6">
        <f>$K$899*$V$899</f>
        <v>0</v>
      </c>
      <c r="AC899" s="6">
        <f>$M$899*$W$899</f>
        <v>2916.3775500000002</v>
      </c>
      <c r="AD899" s="6">
        <f>$O$899*$X$899</f>
        <v>3121.5644999999995</v>
      </c>
      <c r="AE899" s="6">
        <f>$K$899*$Y$899</f>
        <v>0</v>
      </c>
      <c r="AF899" s="6">
        <f ca="1">$M$899*$Z$899</f>
        <v>3358.1939999999995</v>
      </c>
      <c r="AG899" s="6">
        <f ca="1">$O$899*$AA$899</f>
        <v>2797.8467000000001</v>
      </c>
    </row>
    <row r="900" spans="1:33" ht="11.25" customHeight="1" x14ac:dyDescent="0.25">
      <c r="A900" s="4" t="s">
        <v>21</v>
      </c>
      <c r="B900" s="4" t="s">
        <v>39</v>
      </c>
      <c r="C900" s="4" t="s">
        <v>23</v>
      </c>
      <c r="D900" s="4" t="s">
        <v>52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44378</v>
      </c>
      <c r="J900" s="6">
        <v>0</v>
      </c>
      <c r="K900" s="6">
        <v>0</v>
      </c>
      <c r="L900" s="6">
        <v>11.516999999999999</v>
      </c>
      <c r="M900" s="6">
        <v>11.516999999999999</v>
      </c>
      <c r="N900" s="6">
        <v>11.516999999999999</v>
      </c>
      <c r="O900" s="6">
        <v>11.516999999999999</v>
      </c>
      <c r="P900" s="6">
        <v>3</v>
      </c>
      <c r="Q900" s="4" t="s">
        <v>26</v>
      </c>
      <c r="R900" s="4">
        <v>0</v>
      </c>
      <c r="S900" s="6">
        <v>0</v>
      </c>
      <c r="T900" s="6">
        <v>58</v>
      </c>
      <c r="U900" s="6">
        <v>99</v>
      </c>
      <c r="V900" s="6">
        <f>IF(ISERROR(VLOOKUP($S$900,'TAR FIN'!$A$1:$O$103,15,0)),0,VLOOKUP($S$900,'TAR FIN'!$A$1:$O$103,15,0))</f>
        <v>0</v>
      </c>
      <c r="W900" s="6">
        <f>IF(ISERROR(VLOOKUP($T$900,'TAR FIN'!$A$1:$O$103,15,0)),0,VLOOKUP($T$900,'TAR FIN'!$A$1:$O$103,15,0))</f>
        <v>269.91000000000003</v>
      </c>
      <c r="X900" s="6">
        <f>IF(ISERROR(VLOOKUP($U$900,'TAR FIN'!$A$1:$O$103,15,0)),0,VLOOKUP($U$900,'TAR FIN'!$A$1:$O$103,15,0))</f>
        <v>288.89999999999998</v>
      </c>
      <c r="Y900" s="6"/>
      <c r="Z900" s="6">
        <f ca="1">('TUSD BE'!$AM$58+'TUSD BF_350'!$AM$58+'TUSD CVA'!$AM$58)*1</f>
        <v>310.79999999999995</v>
      </c>
      <c r="AA900" s="6">
        <f ca="1">('TE BE'!$AB$42+'TE BF_350'!$AB$42+'TE CVA'!$AB$42)*1</f>
        <v>258.94</v>
      </c>
      <c r="AB900" s="6">
        <f>$K$900*$V$900</f>
        <v>0</v>
      </c>
      <c r="AC900" s="6">
        <f>$M$900*$W$900</f>
        <v>3108.5534700000003</v>
      </c>
      <c r="AD900" s="6">
        <f>$O$900*$X$900</f>
        <v>3327.2612999999997</v>
      </c>
      <c r="AE900" s="6">
        <f>$K$900*$Y$900</f>
        <v>0</v>
      </c>
      <c r="AF900" s="6">
        <f ca="1">$M$900*$Z$900</f>
        <v>3579.4835999999991</v>
      </c>
      <c r="AG900" s="6">
        <f ca="1">$O$900*$AA$900</f>
        <v>2982.21198</v>
      </c>
    </row>
    <row r="901" spans="1:33" ht="11.25" customHeight="1" x14ac:dyDescent="0.25">
      <c r="A901" s="4" t="s">
        <v>21</v>
      </c>
      <c r="B901" s="4" t="s">
        <v>39</v>
      </c>
      <c r="C901" s="4" t="s">
        <v>23</v>
      </c>
      <c r="D901" s="4" t="s">
        <v>52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12.363</v>
      </c>
      <c r="M901" s="6">
        <v>12.363</v>
      </c>
      <c r="N901" s="6">
        <v>12.363</v>
      </c>
      <c r="O901" s="6">
        <v>12.363</v>
      </c>
      <c r="P901" s="6">
        <v>3</v>
      </c>
      <c r="Q901" s="4" t="s">
        <v>26</v>
      </c>
      <c r="R901" s="4">
        <v>0</v>
      </c>
      <c r="S901" s="6">
        <v>0</v>
      </c>
      <c r="T901" s="6">
        <v>58</v>
      </c>
      <c r="U901" s="6">
        <v>99</v>
      </c>
      <c r="V901" s="6">
        <f>IF(ISERROR(VLOOKUP($S$901,'TAR FIN'!$A$1:$O$103,15,0)),0,VLOOKUP($S$901,'TAR FIN'!$A$1:$O$103,15,0))</f>
        <v>0</v>
      </c>
      <c r="W901" s="6">
        <f>IF(ISERROR(VLOOKUP($T$901,'TAR FIN'!$A$1:$O$103,15,0)),0,VLOOKUP($T$901,'TAR FIN'!$A$1:$O$103,15,0))</f>
        <v>269.91000000000003</v>
      </c>
      <c r="X901" s="6">
        <f>IF(ISERROR(VLOOKUP($U$901,'TAR FIN'!$A$1:$O$103,15,0)),0,VLOOKUP($U$901,'TAR FIN'!$A$1:$O$103,15,0))</f>
        <v>288.89999999999998</v>
      </c>
      <c r="Y901" s="6"/>
      <c r="Z901" s="6">
        <f ca="1">('TUSD BE'!$AM$58+'TUSD BF_350'!$AM$58+'TUSD CVA'!$AM$58)*1</f>
        <v>310.79999999999995</v>
      </c>
      <c r="AA901" s="6">
        <f ca="1">('TE BE'!$AB$42+'TE BF_350'!$AB$42+'TE CVA'!$AB$42)*1</f>
        <v>258.94</v>
      </c>
      <c r="AB901" s="6">
        <f>$K$901*$V$901</f>
        <v>0</v>
      </c>
      <c r="AC901" s="6">
        <f>$M$901*$W$901</f>
        <v>3336.8973300000002</v>
      </c>
      <c r="AD901" s="6">
        <f>$O$901*$X$901</f>
        <v>3571.6706999999997</v>
      </c>
      <c r="AE901" s="6">
        <f>$K$901*$Y$901</f>
        <v>0</v>
      </c>
      <c r="AF901" s="6">
        <f ca="1">$M$901*$Z$901</f>
        <v>3842.4203999999995</v>
      </c>
      <c r="AG901" s="6">
        <f ca="1">$O$901*$AA$901</f>
        <v>3201.27522</v>
      </c>
    </row>
    <row r="902" spans="1:33" ht="11.25" customHeight="1" x14ac:dyDescent="0.25">
      <c r="A902" s="4" t="s">
        <v>21</v>
      </c>
      <c r="B902" s="4" t="s">
        <v>39</v>
      </c>
      <c r="C902" s="4" t="s">
        <v>23</v>
      </c>
      <c r="D902" s="4" t="s">
        <v>52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44440</v>
      </c>
      <c r="J902" s="6">
        <v>0</v>
      </c>
      <c r="K902" s="6">
        <v>0</v>
      </c>
      <c r="L902" s="6">
        <v>11.031000000000001</v>
      </c>
      <c r="M902" s="6">
        <v>11.031000000000001</v>
      </c>
      <c r="N902" s="6">
        <v>11.031000000000001</v>
      </c>
      <c r="O902" s="6">
        <v>11.031000000000001</v>
      </c>
      <c r="P902" s="6">
        <v>3</v>
      </c>
      <c r="Q902" s="4" t="s">
        <v>26</v>
      </c>
      <c r="R902" s="4">
        <v>0</v>
      </c>
      <c r="S902" s="6">
        <v>0</v>
      </c>
      <c r="T902" s="6">
        <v>58</v>
      </c>
      <c r="U902" s="6">
        <v>99</v>
      </c>
      <c r="V902" s="6">
        <f>IF(ISERROR(VLOOKUP($S$902,'TAR FIN'!$A$1:$O$103,15,0)),0,VLOOKUP($S$902,'TAR FIN'!$A$1:$O$103,15,0))</f>
        <v>0</v>
      </c>
      <c r="W902" s="6">
        <f>IF(ISERROR(VLOOKUP($T$902,'TAR FIN'!$A$1:$O$103,15,0)),0,VLOOKUP($T$902,'TAR FIN'!$A$1:$O$103,15,0))</f>
        <v>269.91000000000003</v>
      </c>
      <c r="X902" s="6">
        <f>IF(ISERROR(VLOOKUP($U$902,'TAR FIN'!$A$1:$O$103,15,0)),0,VLOOKUP($U$902,'TAR FIN'!$A$1:$O$103,15,0))</f>
        <v>288.89999999999998</v>
      </c>
      <c r="Y902" s="6"/>
      <c r="Z902" s="6">
        <f ca="1">('TUSD BE'!$AM$58+'TUSD BF_350'!$AM$58+'TUSD CVA'!$AM$58)*1</f>
        <v>310.79999999999995</v>
      </c>
      <c r="AA902" s="6">
        <f ca="1">('TE BE'!$AB$42+'TE BF_350'!$AB$42+'TE CVA'!$AB$42)*1</f>
        <v>258.94</v>
      </c>
      <c r="AB902" s="6">
        <f>$K$902*$V$902</f>
        <v>0</v>
      </c>
      <c r="AC902" s="6">
        <f>$M$902*$W$902</f>
        <v>2977.3772100000006</v>
      </c>
      <c r="AD902" s="6">
        <f>$O$902*$X$902</f>
        <v>3186.8559</v>
      </c>
      <c r="AE902" s="6">
        <f>$K$902*$Y$902</f>
        <v>0</v>
      </c>
      <c r="AF902" s="6">
        <f ca="1">$M$902*$Z$902</f>
        <v>3428.4347999999995</v>
      </c>
      <c r="AG902" s="6">
        <f ca="1">$O$902*$AA$902</f>
        <v>2856.3671400000003</v>
      </c>
    </row>
    <row r="903" spans="1:33" ht="11.25" customHeight="1" x14ac:dyDescent="0.25">
      <c r="A903" s="4" t="s">
        <v>21</v>
      </c>
      <c r="B903" s="4" t="s">
        <v>39</v>
      </c>
      <c r="C903" s="4" t="s">
        <v>23</v>
      </c>
      <c r="D903" s="4" t="s">
        <v>52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44470</v>
      </c>
      <c r="J903" s="6">
        <v>0</v>
      </c>
      <c r="K903" s="6">
        <v>0</v>
      </c>
      <c r="L903" s="6">
        <v>10.638999999999999</v>
      </c>
      <c r="M903" s="6">
        <v>10.638999999999999</v>
      </c>
      <c r="N903" s="6">
        <v>10.638999999999999</v>
      </c>
      <c r="O903" s="6">
        <v>10.638999999999999</v>
      </c>
      <c r="P903" s="6">
        <v>3</v>
      </c>
      <c r="Q903" s="4" t="s">
        <v>26</v>
      </c>
      <c r="R903" s="4">
        <v>0</v>
      </c>
      <c r="S903" s="6">
        <v>0</v>
      </c>
      <c r="T903" s="6">
        <v>58</v>
      </c>
      <c r="U903" s="6">
        <v>99</v>
      </c>
      <c r="V903" s="6">
        <f>IF(ISERROR(VLOOKUP($S$903,'TAR FIN'!$A$1:$O$103,15,0)),0,VLOOKUP($S$903,'TAR FIN'!$A$1:$O$103,15,0))</f>
        <v>0</v>
      </c>
      <c r="W903" s="6">
        <f>IF(ISERROR(VLOOKUP($T$903,'TAR FIN'!$A$1:$O$103,15,0)),0,VLOOKUP($T$903,'TAR FIN'!$A$1:$O$103,15,0))</f>
        <v>269.91000000000003</v>
      </c>
      <c r="X903" s="6">
        <f>IF(ISERROR(VLOOKUP($U$903,'TAR FIN'!$A$1:$O$103,15,0)),0,VLOOKUP($U$903,'TAR FIN'!$A$1:$O$103,15,0))</f>
        <v>288.89999999999998</v>
      </c>
      <c r="Y903" s="6"/>
      <c r="Z903" s="6">
        <f ca="1">('TUSD BE'!$AM$58+'TUSD BF_350'!$AM$58+'TUSD CVA'!$AM$58)*1</f>
        <v>310.79999999999995</v>
      </c>
      <c r="AA903" s="6">
        <f ca="1">('TE BE'!$AB$42+'TE BF_350'!$AB$42+'TE CVA'!$AB$42)*1</f>
        <v>258.94</v>
      </c>
      <c r="AB903" s="6">
        <f>$K$903*$V$903</f>
        <v>0</v>
      </c>
      <c r="AC903" s="6">
        <f>$M$903*$W$903</f>
        <v>2871.57249</v>
      </c>
      <c r="AD903" s="6">
        <f>$O$903*$X$903</f>
        <v>3073.6070999999997</v>
      </c>
      <c r="AE903" s="6">
        <f>$K$903*$Y$903</f>
        <v>0</v>
      </c>
      <c r="AF903" s="6">
        <f ca="1">$M$903*$Z$903</f>
        <v>3306.6011999999992</v>
      </c>
      <c r="AG903" s="6">
        <f ca="1">$O$903*$AA$903</f>
        <v>2754.8626599999998</v>
      </c>
    </row>
    <row r="904" spans="1:33" ht="11.25" customHeight="1" x14ac:dyDescent="0.25">
      <c r="A904" s="4" t="s">
        <v>21</v>
      </c>
      <c r="B904" s="4" t="s">
        <v>39</v>
      </c>
      <c r="C904" s="4" t="s">
        <v>23</v>
      </c>
      <c r="D904" s="4" t="s">
        <v>52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44501</v>
      </c>
      <c r="J904" s="6">
        <v>0</v>
      </c>
      <c r="K904" s="6">
        <v>0</v>
      </c>
      <c r="L904" s="6">
        <v>10.872</v>
      </c>
      <c r="M904" s="6">
        <v>10.872</v>
      </c>
      <c r="N904" s="6">
        <v>10.872</v>
      </c>
      <c r="O904" s="6">
        <v>10.872</v>
      </c>
      <c r="P904" s="6">
        <v>3</v>
      </c>
      <c r="Q904" s="4" t="s">
        <v>26</v>
      </c>
      <c r="R904" s="4">
        <v>0</v>
      </c>
      <c r="S904" s="6">
        <v>0</v>
      </c>
      <c r="T904" s="6">
        <v>58</v>
      </c>
      <c r="U904" s="6">
        <v>99</v>
      </c>
      <c r="V904" s="6">
        <f>IF(ISERROR(VLOOKUP($S$904,'TAR FIN'!$A$1:$O$103,15,0)),0,VLOOKUP($S$904,'TAR FIN'!$A$1:$O$103,15,0))</f>
        <v>0</v>
      </c>
      <c r="W904" s="6">
        <f>IF(ISERROR(VLOOKUP($T$904,'TAR FIN'!$A$1:$O$103,15,0)),0,VLOOKUP($T$904,'TAR FIN'!$A$1:$O$103,15,0))</f>
        <v>269.91000000000003</v>
      </c>
      <c r="X904" s="6">
        <f>IF(ISERROR(VLOOKUP($U$904,'TAR FIN'!$A$1:$O$103,15,0)),0,VLOOKUP($U$904,'TAR FIN'!$A$1:$O$103,15,0))</f>
        <v>288.89999999999998</v>
      </c>
      <c r="Y904" s="6"/>
      <c r="Z904" s="6">
        <f ca="1">('TUSD BE'!$AM$58+'TUSD BF_350'!$AM$58+'TUSD CVA'!$AM$58)*1</f>
        <v>310.79999999999995</v>
      </c>
      <c r="AA904" s="6">
        <f ca="1">('TE BE'!$AB$42+'TE BF_350'!$AB$42+'TE CVA'!$AB$42)*1</f>
        <v>258.94</v>
      </c>
      <c r="AB904" s="6">
        <f>$K$904*$V$904</f>
        <v>0</v>
      </c>
      <c r="AC904" s="6">
        <f>$M$904*$W$904</f>
        <v>2934.4615200000003</v>
      </c>
      <c r="AD904" s="6">
        <f>$O$904*$X$904</f>
        <v>3140.9207999999999</v>
      </c>
      <c r="AE904" s="6">
        <f>$K$904*$Y$904</f>
        <v>0</v>
      </c>
      <c r="AF904" s="6">
        <f ca="1">$M$904*$Z$904</f>
        <v>3379.0175999999997</v>
      </c>
      <c r="AG904" s="6">
        <f ca="1">$O$904*$AA$904</f>
        <v>2815.1956799999998</v>
      </c>
    </row>
    <row r="905" spans="1:33" ht="11.25" customHeight="1" x14ac:dyDescent="0.25">
      <c r="A905" s="4" t="s">
        <v>21</v>
      </c>
      <c r="B905" s="4" t="s">
        <v>39</v>
      </c>
      <c r="C905" s="4" t="s">
        <v>23</v>
      </c>
      <c r="D905" s="4" t="s">
        <v>52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44531</v>
      </c>
      <c r="J905" s="6">
        <v>0</v>
      </c>
      <c r="K905" s="6">
        <v>0</v>
      </c>
      <c r="L905" s="6">
        <v>11.117000000000001</v>
      </c>
      <c r="M905" s="6">
        <v>11.117000000000001</v>
      </c>
      <c r="N905" s="6">
        <v>11.117000000000001</v>
      </c>
      <c r="O905" s="6">
        <v>11.117000000000001</v>
      </c>
      <c r="P905" s="6">
        <v>3</v>
      </c>
      <c r="Q905" s="4" t="s">
        <v>26</v>
      </c>
      <c r="R905" s="4">
        <v>0</v>
      </c>
      <c r="S905" s="6">
        <v>0</v>
      </c>
      <c r="T905" s="6">
        <v>58</v>
      </c>
      <c r="U905" s="6">
        <v>99</v>
      </c>
      <c r="V905" s="6">
        <f>IF(ISERROR(VLOOKUP($S$905,'TAR FIN'!$A$1:$O$103,15,0)),0,VLOOKUP($S$905,'TAR FIN'!$A$1:$O$103,15,0))</f>
        <v>0</v>
      </c>
      <c r="W905" s="6">
        <f>IF(ISERROR(VLOOKUP($T$905,'TAR FIN'!$A$1:$O$103,15,0)),0,VLOOKUP($T$905,'TAR FIN'!$A$1:$O$103,15,0))</f>
        <v>269.91000000000003</v>
      </c>
      <c r="X905" s="6">
        <f>IF(ISERROR(VLOOKUP($U$905,'TAR FIN'!$A$1:$O$103,15,0)),0,VLOOKUP($U$905,'TAR FIN'!$A$1:$O$103,15,0))</f>
        <v>288.89999999999998</v>
      </c>
      <c r="Y905" s="6"/>
      <c r="Z905" s="6">
        <f ca="1">('TUSD BE'!$AM$58+'TUSD BF_350'!$AM$58+'TUSD CVA'!$AM$58)*1</f>
        <v>310.79999999999995</v>
      </c>
      <c r="AA905" s="6">
        <f ca="1">('TE BE'!$AB$42+'TE BF_350'!$AB$42+'TE CVA'!$AB$42)*1</f>
        <v>258.94</v>
      </c>
      <c r="AB905" s="6">
        <f>$K$905*$V$905</f>
        <v>0</v>
      </c>
      <c r="AC905" s="6">
        <f>$M$905*$W$905</f>
        <v>3000.5894700000003</v>
      </c>
      <c r="AD905" s="6">
        <f>$O$905*$X$905</f>
        <v>3211.7013000000002</v>
      </c>
      <c r="AE905" s="6">
        <f>$K$905*$Y$905</f>
        <v>0</v>
      </c>
      <c r="AF905" s="6">
        <f ca="1">$M$905*$Z$905</f>
        <v>3455.1635999999999</v>
      </c>
      <c r="AG905" s="6">
        <f ca="1">$O$905*$AA$905</f>
        <v>2878.63598</v>
      </c>
    </row>
    <row r="906" spans="1:33" ht="11.25" customHeight="1" x14ac:dyDescent="0.25">
      <c r="A906" s="4" t="s">
        <v>21</v>
      </c>
      <c r="B906" s="4" t="s">
        <v>39</v>
      </c>
      <c r="C906" s="4" t="s">
        <v>23</v>
      </c>
      <c r="D906" s="4" t="s">
        <v>52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44562</v>
      </c>
      <c r="J906" s="6">
        <v>0</v>
      </c>
      <c r="K906" s="6">
        <v>0</v>
      </c>
      <c r="L906" s="6">
        <v>11.391</v>
      </c>
      <c r="M906" s="6">
        <v>11.391</v>
      </c>
      <c r="N906" s="6">
        <v>11.391</v>
      </c>
      <c r="O906" s="6">
        <v>11.391</v>
      </c>
      <c r="P906" s="6">
        <v>3</v>
      </c>
      <c r="Q906" s="4" t="s">
        <v>26</v>
      </c>
      <c r="R906" s="4">
        <v>0</v>
      </c>
      <c r="S906" s="6">
        <v>0</v>
      </c>
      <c r="T906" s="6">
        <v>58</v>
      </c>
      <c r="U906" s="6">
        <v>99</v>
      </c>
      <c r="V906" s="6">
        <f>IF(ISERROR(VLOOKUP($S$906,'TAR FIN'!$A$1:$O$103,15,0)),0,VLOOKUP($S$906,'TAR FIN'!$A$1:$O$103,15,0))</f>
        <v>0</v>
      </c>
      <c r="W906" s="6">
        <f>IF(ISERROR(VLOOKUP($T$906,'TAR FIN'!$A$1:$O$103,15,0)),0,VLOOKUP($T$906,'TAR FIN'!$A$1:$O$103,15,0))</f>
        <v>269.91000000000003</v>
      </c>
      <c r="X906" s="6">
        <f>IF(ISERROR(VLOOKUP($U$906,'TAR FIN'!$A$1:$O$103,15,0)),0,VLOOKUP($U$906,'TAR FIN'!$A$1:$O$103,15,0))</f>
        <v>288.89999999999998</v>
      </c>
      <c r="Y906" s="6"/>
      <c r="Z906" s="6">
        <f ca="1">('TUSD BE'!$AM$58+'TUSD BF_350'!$AM$58+'TUSD CVA'!$AM$58)*1</f>
        <v>310.79999999999995</v>
      </c>
      <c r="AA906" s="6">
        <f ca="1">('TE BE'!$AB$42+'TE BF_350'!$AB$42+'TE CVA'!$AB$42)*1</f>
        <v>258.94</v>
      </c>
      <c r="AB906" s="6">
        <f>$K$906*$V$906</f>
        <v>0</v>
      </c>
      <c r="AC906" s="6">
        <f>$M$906*$W$906</f>
        <v>3074.5448100000003</v>
      </c>
      <c r="AD906" s="6">
        <f>$O$906*$X$906</f>
        <v>3290.8598999999999</v>
      </c>
      <c r="AE906" s="6">
        <f>$K$906*$Y$906</f>
        <v>0</v>
      </c>
      <c r="AF906" s="6">
        <f ca="1">$M$906*$Z$906</f>
        <v>3540.3227999999995</v>
      </c>
      <c r="AG906" s="6">
        <f ca="1">$O$906*$AA$906</f>
        <v>2949.58554</v>
      </c>
    </row>
    <row r="907" spans="1:33" ht="11.25" customHeight="1" x14ac:dyDescent="0.25">
      <c r="A907" s="4" t="s">
        <v>21</v>
      </c>
      <c r="B907" s="4" t="s">
        <v>39</v>
      </c>
      <c r="C907" s="4" t="s">
        <v>23</v>
      </c>
      <c r="D907" s="4" t="s">
        <v>52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44593</v>
      </c>
      <c r="J907" s="6">
        <v>0</v>
      </c>
      <c r="K907" s="6">
        <v>0</v>
      </c>
      <c r="L907" s="6">
        <v>10.548</v>
      </c>
      <c r="M907" s="6">
        <v>10.548</v>
      </c>
      <c r="N907" s="6">
        <v>10.548</v>
      </c>
      <c r="O907" s="6">
        <v>10.548</v>
      </c>
      <c r="P907" s="6">
        <v>3</v>
      </c>
      <c r="Q907" s="4" t="s">
        <v>26</v>
      </c>
      <c r="R907" s="4">
        <v>0</v>
      </c>
      <c r="S907" s="6">
        <v>0</v>
      </c>
      <c r="T907" s="6">
        <v>58</v>
      </c>
      <c r="U907" s="6">
        <v>99</v>
      </c>
      <c r="V907" s="6">
        <f>IF(ISERROR(VLOOKUP($S$907,'TAR FIN'!$A$1:$O$103,15,0)),0,VLOOKUP($S$907,'TAR FIN'!$A$1:$O$103,15,0))</f>
        <v>0</v>
      </c>
      <c r="W907" s="6">
        <f>IF(ISERROR(VLOOKUP($T$907,'TAR FIN'!$A$1:$O$103,15,0)),0,VLOOKUP($T$907,'TAR FIN'!$A$1:$O$103,15,0))</f>
        <v>269.91000000000003</v>
      </c>
      <c r="X907" s="6">
        <f>IF(ISERROR(VLOOKUP($U$907,'TAR FIN'!$A$1:$O$103,15,0)),0,VLOOKUP($U$907,'TAR FIN'!$A$1:$O$103,15,0))</f>
        <v>288.89999999999998</v>
      </c>
      <c r="Y907" s="6"/>
      <c r="Z907" s="6">
        <f ca="1">('TUSD BE'!$AM$58+'TUSD BF_350'!$AM$58+'TUSD CVA'!$AM$58)*1</f>
        <v>310.79999999999995</v>
      </c>
      <c r="AA907" s="6">
        <f ca="1">('TE BE'!$AB$42+'TE BF_350'!$AB$42+'TE CVA'!$AB$42)*1</f>
        <v>258.94</v>
      </c>
      <c r="AB907" s="6">
        <f>$K$907*$V$907</f>
        <v>0</v>
      </c>
      <c r="AC907" s="6">
        <f>$M$907*$W$907</f>
        <v>2847.0106800000003</v>
      </c>
      <c r="AD907" s="6">
        <f>$O$907*$X$907</f>
        <v>3047.3172</v>
      </c>
      <c r="AE907" s="6">
        <f>$K$907*$Y$907</f>
        <v>0</v>
      </c>
      <c r="AF907" s="6">
        <f ca="1">$M$907*$Z$907</f>
        <v>3278.3183999999997</v>
      </c>
      <c r="AG907" s="6">
        <f ca="1">$O$907*$AA$907</f>
        <v>2731.2991200000001</v>
      </c>
    </row>
    <row r="908" spans="1:33" ht="11.25" customHeight="1" x14ac:dyDescent="0.25">
      <c r="A908" s="4" t="s">
        <v>21</v>
      </c>
      <c r="B908" s="4" t="s">
        <v>39</v>
      </c>
      <c r="C908" s="4" t="s">
        <v>23</v>
      </c>
      <c r="D908" s="4" t="s">
        <v>52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44621</v>
      </c>
      <c r="J908" s="6">
        <v>0</v>
      </c>
      <c r="K908" s="6">
        <v>0</v>
      </c>
      <c r="L908" s="6">
        <v>11.641</v>
      </c>
      <c r="M908" s="6">
        <v>11.641</v>
      </c>
      <c r="N908" s="6">
        <v>11.641</v>
      </c>
      <c r="O908" s="6">
        <v>11.641</v>
      </c>
      <c r="P908" s="6">
        <v>3</v>
      </c>
      <c r="Q908" s="4" t="s">
        <v>26</v>
      </c>
      <c r="R908" s="4">
        <v>0</v>
      </c>
      <c r="S908" s="6">
        <v>0</v>
      </c>
      <c r="T908" s="6">
        <v>58</v>
      </c>
      <c r="U908" s="6">
        <v>99</v>
      </c>
      <c r="V908" s="6">
        <f>IF(ISERROR(VLOOKUP($S$908,'TAR FIN'!$A$1:$O$103,15,0)),0,VLOOKUP($S$908,'TAR FIN'!$A$1:$O$103,15,0))</f>
        <v>0</v>
      </c>
      <c r="W908" s="6">
        <f>IF(ISERROR(VLOOKUP($T$908,'TAR FIN'!$A$1:$O$103,15,0)),0,VLOOKUP($T$908,'TAR FIN'!$A$1:$O$103,15,0))</f>
        <v>269.91000000000003</v>
      </c>
      <c r="X908" s="6">
        <f>IF(ISERROR(VLOOKUP($U$908,'TAR FIN'!$A$1:$O$103,15,0)),0,VLOOKUP($U$908,'TAR FIN'!$A$1:$O$103,15,0))</f>
        <v>288.89999999999998</v>
      </c>
      <c r="Y908" s="6"/>
      <c r="Z908" s="6">
        <f ca="1">('TUSD BE'!$AM$58+'TUSD BF_350'!$AM$58+'TUSD CVA'!$AM$58)*1</f>
        <v>310.79999999999995</v>
      </c>
      <c r="AA908" s="6">
        <f ca="1">('TE BE'!$AB$42+'TE BF_350'!$AB$42+'TE CVA'!$AB$42)*1</f>
        <v>258.94</v>
      </c>
      <c r="AB908" s="6">
        <f>$K$908*$V$908</f>
        <v>0</v>
      </c>
      <c r="AC908" s="6">
        <f>$M$908*$W$908</f>
        <v>3142.0223100000003</v>
      </c>
      <c r="AD908" s="6">
        <f>$O$908*$X$908</f>
        <v>3363.0848999999998</v>
      </c>
      <c r="AE908" s="6">
        <f>$K$908*$Y$908</f>
        <v>0</v>
      </c>
      <c r="AF908" s="6">
        <f ca="1">$M$908*$Z$908</f>
        <v>3618.0227999999993</v>
      </c>
      <c r="AG908" s="6">
        <f ca="1">$O$908*$AA$908</f>
        <v>3014.3205400000002</v>
      </c>
    </row>
    <row r="909" spans="1:33" ht="11.25" customHeight="1" x14ac:dyDescent="0.25">
      <c r="A909" s="4" t="s">
        <v>21</v>
      </c>
      <c r="B909" s="4" t="s">
        <v>39</v>
      </c>
      <c r="C909" s="4" t="s">
        <v>23</v>
      </c>
      <c r="D909" s="4" t="s">
        <v>52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44652</v>
      </c>
      <c r="J909" s="6">
        <v>0</v>
      </c>
      <c r="K909" s="6">
        <v>0</v>
      </c>
      <c r="L909" s="6">
        <v>10.666</v>
      </c>
      <c r="M909" s="6">
        <v>10.666</v>
      </c>
      <c r="N909" s="6">
        <v>10.666</v>
      </c>
      <c r="O909" s="6">
        <v>10.666</v>
      </c>
      <c r="P909" s="6">
        <v>3</v>
      </c>
      <c r="Q909" s="4" t="s">
        <v>26</v>
      </c>
      <c r="R909" s="4">
        <v>0</v>
      </c>
      <c r="S909" s="6">
        <v>0</v>
      </c>
      <c r="T909" s="6">
        <v>58</v>
      </c>
      <c r="U909" s="6">
        <v>99</v>
      </c>
      <c r="V909" s="6">
        <f>IF(ISERROR(VLOOKUP($S$909,'TAR FIN'!$A$1:$O$103,15,0)),0,VLOOKUP($S$909,'TAR FIN'!$A$1:$O$103,15,0))</f>
        <v>0</v>
      </c>
      <c r="W909" s="6">
        <f>IF(ISERROR(VLOOKUP($T$909,'TAR FIN'!$A$1:$O$103,15,0)),0,VLOOKUP($T$909,'TAR FIN'!$A$1:$O$103,15,0))</f>
        <v>269.91000000000003</v>
      </c>
      <c r="X909" s="6">
        <f>IF(ISERROR(VLOOKUP($U$909,'TAR FIN'!$A$1:$O$103,15,0)),0,VLOOKUP($U$909,'TAR FIN'!$A$1:$O$103,15,0))</f>
        <v>288.89999999999998</v>
      </c>
      <c r="Y909" s="6"/>
      <c r="Z909" s="6">
        <f ca="1">('TUSD BE'!$AM$58+'TUSD BF_350'!$AM$58+'TUSD CVA'!$AM$58)*1</f>
        <v>310.79999999999995</v>
      </c>
      <c r="AA909" s="6">
        <f ca="1">('TE BE'!$AB$42+'TE BF_350'!$AB$42+'TE CVA'!$AB$42)*1</f>
        <v>258.94</v>
      </c>
      <c r="AB909" s="6">
        <f>$K$909*$V$909</f>
        <v>0</v>
      </c>
      <c r="AC909" s="6">
        <f>$M$909*$W$909</f>
        <v>2878.8600600000004</v>
      </c>
      <c r="AD909" s="6">
        <f>$O$909*$X$909</f>
        <v>3081.4074000000001</v>
      </c>
      <c r="AE909" s="6">
        <f>$K$909*$Y$909</f>
        <v>0</v>
      </c>
      <c r="AF909" s="6">
        <f ca="1">$M$909*$Z$909</f>
        <v>3314.9927999999995</v>
      </c>
      <c r="AG909" s="6">
        <f ca="1">$O$909*$AA$909</f>
        <v>2761.8540400000002</v>
      </c>
    </row>
    <row r="910" spans="1:33" ht="11.25" customHeight="1" x14ac:dyDescent="0.25">
      <c r="A910" s="4" t="s">
        <v>21</v>
      </c>
      <c r="B910" s="4" t="s">
        <v>39</v>
      </c>
      <c r="C910" s="4" t="s">
        <v>23</v>
      </c>
      <c r="D910" s="4" t="s">
        <v>52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44682</v>
      </c>
      <c r="J910" s="6">
        <v>0</v>
      </c>
      <c r="K910" s="6">
        <v>0</v>
      </c>
      <c r="L910" s="6">
        <v>10.265000000000001</v>
      </c>
      <c r="M910" s="6">
        <v>10.265000000000001</v>
      </c>
      <c r="N910" s="6">
        <v>10.265000000000001</v>
      </c>
      <c r="O910" s="6">
        <v>10.265000000000001</v>
      </c>
      <c r="P910" s="6">
        <v>3</v>
      </c>
      <c r="Q910" s="4" t="s">
        <v>26</v>
      </c>
      <c r="R910" s="4">
        <v>0</v>
      </c>
      <c r="S910" s="6">
        <v>0</v>
      </c>
      <c r="T910" s="6">
        <v>58</v>
      </c>
      <c r="U910" s="6">
        <v>99</v>
      </c>
      <c r="V910" s="6">
        <f>IF(ISERROR(VLOOKUP($S$910,'TAR FIN'!$A$1:$O$103,15,0)),0,VLOOKUP($S$910,'TAR FIN'!$A$1:$O$103,15,0))</f>
        <v>0</v>
      </c>
      <c r="W910" s="6">
        <f>IF(ISERROR(VLOOKUP($T$910,'TAR FIN'!$A$1:$O$103,15,0)),0,VLOOKUP($T$910,'TAR FIN'!$A$1:$O$103,15,0))</f>
        <v>269.91000000000003</v>
      </c>
      <c r="X910" s="6">
        <f>IF(ISERROR(VLOOKUP($U$910,'TAR FIN'!$A$1:$O$103,15,0)),0,VLOOKUP($U$910,'TAR FIN'!$A$1:$O$103,15,0))</f>
        <v>288.89999999999998</v>
      </c>
      <c r="Y910" s="6"/>
      <c r="Z910" s="6">
        <f ca="1">('TUSD BE'!$AM$58+'TUSD BF_350'!$AM$58+'TUSD CVA'!$AM$58)*1</f>
        <v>310.79999999999995</v>
      </c>
      <c r="AA910" s="6">
        <f ca="1">('TE BE'!$AB$42+'TE BF_350'!$AB$42+'TE CVA'!$AB$42)*1</f>
        <v>258.94</v>
      </c>
      <c r="AB910" s="6">
        <f>$K$910*$V$910</f>
        <v>0</v>
      </c>
      <c r="AC910" s="6">
        <f>$M$910*$W$910</f>
        <v>2770.6261500000005</v>
      </c>
      <c r="AD910" s="6">
        <f>$O$910*$X$910</f>
        <v>2965.5585000000001</v>
      </c>
      <c r="AE910" s="6">
        <f>$K$910*$Y$910</f>
        <v>0</v>
      </c>
      <c r="AF910" s="6">
        <f ca="1">$M$910*$Z$910</f>
        <v>3190.3619999999996</v>
      </c>
      <c r="AG910" s="6">
        <f ca="1">$O$910*$AA$910</f>
        <v>2658.0191</v>
      </c>
    </row>
    <row r="911" spans="1:33" ht="11.25" customHeight="1" x14ac:dyDescent="0.25">
      <c r="A911" s="4" t="s">
        <v>21</v>
      </c>
      <c r="B911" s="4" t="s">
        <v>39</v>
      </c>
      <c r="C911" s="4" t="s">
        <v>23</v>
      </c>
      <c r="D911" s="4" t="s">
        <v>40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44348</v>
      </c>
      <c r="J911" s="6">
        <v>0</v>
      </c>
      <c r="K911" s="6">
        <v>0</v>
      </c>
      <c r="L911" s="6">
        <v>278.79899999999998</v>
      </c>
      <c r="M911" s="6">
        <v>278.79899999999998</v>
      </c>
      <c r="N911" s="6">
        <v>278.79899999999998</v>
      </c>
      <c r="O911" s="6">
        <v>278.79899999999998</v>
      </c>
      <c r="P911" s="6">
        <v>284</v>
      </c>
      <c r="Q911" s="4" t="s">
        <v>26</v>
      </c>
      <c r="R911" s="4">
        <v>0</v>
      </c>
      <c r="S911" s="6">
        <v>0</v>
      </c>
      <c r="T911" s="6">
        <v>58</v>
      </c>
      <c r="U911" s="6">
        <v>99</v>
      </c>
      <c r="V911" s="6">
        <f>IF(ISERROR(VLOOKUP($S$911,'TAR FIN'!$A$1:$O$103,15,0)),0,VLOOKUP($S$911,'TAR FIN'!$A$1:$O$103,15,0))</f>
        <v>0</v>
      </c>
      <c r="W911" s="6">
        <f>IF(ISERROR(VLOOKUP($T$911,'TAR FIN'!$A$1:$O$103,15,0)),0,VLOOKUP($T$911,'TAR FIN'!$A$1:$O$103,15,0))</f>
        <v>269.91000000000003</v>
      </c>
      <c r="X911" s="6">
        <f>IF(ISERROR(VLOOKUP($U$911,'TAR FIN'!$A$1:$O$103,15,0)),0,VLOOKUP($U$911,'TAR FIN'!$A$1:$O$103,15,0))</f>
        <v>288.89999999999998</v>
      </c>
      <c r="Y911" s="6"/>
      <c r="Z911" s="6">
        <f ca="1">('TUSD BE'!$AM$58+'TUSD BF_350'!$AM$58+'TUSD CVA'!$AM$58)*1</f>
        <v>310.79999999999995</v>
      </c>
      <c r="AA911" s="6">
        <f ca="1">('TE BE'!$AB$42+'TE BF_350'!$AB$42+'TE CVA'!$AB$42)*1</f>
        <v>258.94</v>
      </c>
      <c r="AB911" s="6">
        <f>$K$911*$V$911</f>
        <v>0</v>
      </c>
      <c r="AC911" s="6">
        <f>$M$911*$W$911</f>
        <v>75250.638090000008</v>
      </c>
      <c r="AD911" s="6">
        <f>$O$911*$X$911</f>
        <v>80545.031099999993</v>
      </c>
      <c r="AE911" s="6">
        <f>$K$911*$Y$911</f>
        <v>0</v>
      </c>
      <c r="AF911" s="6">
        <f ca="1">$M$911*$Z$911</f>
        <v>86650.729199999987</v>
      </c>
      <c r="AG911" s="6">
        <f ca="1">$O$911*$AA$911</f>
        <v>72192.213059999995</v>
      </c>
    </row>
    <row r="912" spans="1:33" ht="11.25" customHeight="1" x14ac:dyDescent="0.25">
      <c r="A912" s="4" t="s">
        <v>27</v>
      </c>
      <c r="B912" s="4" t="s">
        <v>39</v>
      </c>
      <c r="C912" s="4" t="s">
        <v>23</v>
      </c>
      <c r="D912" s="4" t="s">
        <v>40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44348</v>
      </c>
      <c r="J912" s="6">
        <v>0</v>
      </c>
      <c r="K912" s="6">
        <v>0</v>
      </c>
      <c r="L912" s="6">
        <v>-1.7999999999999999E-2</v>
      </c>
      <c r="M912" s="6">
        <v>-1.7999999999999999E-2</v>
      </c>
      <c r="N912" s="6">
        <v>-1.7999999999999999E-2</v>
      </c>
      <c r="O912" s="6">
        <v>-1.7999999999999999E-2</v>
      </c>
      <c r="P912" s="6">
        <v>0</v>
      </c>
      <c r="Q912" s="4" t="s">
        <v>26</v>
      </c>
      <c r="R912" s="4">
        <v>0</v>
      </c>
      <c r="S912" s="6">
        <v>0</v>
      </c>
      <c r="T912" s="6">
        <v>58</v>
      </c>
      <c r="U912" s="6">
        <v>99</v>
      </c>
      <c r="V912" s="6">
        <f>IF(ISERROR(VLOOKUP($S$912,'TAR FIN'!$A$1:$O$103,15,0)),0,VLOOKUP($S$912,'TAR FIN'!$A$1:$O$103,15,0))</f>
        <v>0</v>
      </c>
      <c r="W912" s="6">
        <f>IF(ISERROR(VLOOKUP($T$912,'TAR FIN'!$A$1:$O$103,15,0)),0,VLOOKUP($T$912,'TAR FIN'!$A$1:$O$103,15,0))</f>
        <v>269.91000000000003</v>
      </c>
      <c r="X912" s="6">
        <f>IF(ISERROR(VLOOKUP($U$912,'TAR FIN'!$A$1:$O$103,15,0)),0,VLOOKUP($U$912,'TAR FIN'!$A$1:$O$103,15,0))</f>
        <v>288.89999999999998</v>
      </c>
      <c r="Y912" s="6"/>
      <c r="Z912" s="6">
        <f ca="1">('TUSD BE'!$AM$58+'TUSD BF_350'!$AM$58+'TUSD CVA'!$AM$58)*1</f>
        <v>310.79999999999995</v>
      </c>
      <c r="AA912" s="6">
        <f ca="1">('TE BE'!$AB$42+'TE BF_350'!$AB$42+'TE CVA'!$AB$42)*1</f>
        <v>258.94</v>
      </c>
      <c r="AB912" s="6">
        <f>$K$912*$V$912</f>
        <v>0</v>
      </c>
      <c r="AC912" s="6">
        <f>$M$912*$W$912</f>
        <v>-4.8583800000000004</v>
      </c>
      <c r="AD912" s="6">
        <f>$O$912*$X$912</f>
        <v>-5.2001999999999988</v>
      </c>
      <c r="AE912" s="6">
        <f>$K$912*$Y$912</f>
        <v>0</v>
      </c>
      <c r="AF912" s="6">
        <f ca="1">$M$912*$Z$912</f>
        <v>-5.5943999999999985</v>
      </c>
      <c r="AG912" s="6">
        <f ca="1">$O$912*$AA$912</f>
        <v>-4.66092</v>
      </c>
    </row>
    <row r="913" spans="1:33" ht="11.25" customHeight="1" x14ac:dyDescent="0.25">
      <c r="A913" s="4" t="s">
        <v>28</v>
      </c>
      <c r="B913" s="4" t="s">
        <v>39</v>
      </c>
      <c r="C913" s="4" t="s">
        <v>23</v>
      </c>
      <c r="D913" s="4" t="s">
        <v>40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44348</v>
      </c>
      <c r="J913" s="6">
        <v>0</v>
      </c>
      <c r="K913" s="6">
        <v>0</v>
      </c>
      <c r="L913" s="6">
        <v>1.6619999999999999</v>
      </c>
      <c r="M913" s="6">
        <v>1.6619999999999999</v>
      </c>
      <c r="N913" s="6">
        <v>1.6619999999999999</v>
      </c>
      <c r="O913" s="6">
        <v>1.6619999999999999</v>
      </c>
      <c r="P913" s="6">
        <v>2</v>
      </c>
      <c r="Q913" s="4" t="s">
        <v>26</v>
      </c>
      <c r="R913" s="4">
        <v>0</v>
      </c>
      <c r="S913" s="6">
        <v>0</v>
      </c>
      <c r="T913" s="6">
        <v>58</v>
      </c>
      <c r="U913" s="6">
        <v>99</v>
      </c>
      <c r="V913" s="6">
        <f>IF(ISERROR(VLOOKUP($S$913,'TAR FIN'!$A$1:$O$103,15,0)),0,VLOOKUP($S$913,'TAR FIN'!$A$1:$O$103,15,0))</f>
        <v>0</v>
      </c>
      <c r="W913" s="6">
        <f>IF(ISERROR(VLOOKUP($T$913,'TAR FIN'!$A$1:$O$103,15,0)),0,VLOOKUP($T$913,'TAR FIN'!$A$1:$O$103,15,0))</f>
        <v>269.91000000000003</v>
      </c>
      <c r="X913" s="6">
        <f>IF(ISERROR(VLOOKUP($U$913,'TAR FIN'!$A$1:$O$103,15,0)),0,VLOOKUP($U$913,'TAR FIN'!$A$1:$O$103,15,0))</f>
        <v>288.89999999999998</v>
      </c>
      <c r="Y913" s="6"/>
      <c r="Z913" s="6">
        <f ca="1">('TUSD BE'!$AM$58+'TUSD BF_350'!$AM$58+'TUSD CVA'!$AM$58)*1</f>
        <v>310.79999999999995</v>
      </c>
      <c r="AA913" s="6">
        <f ca="1">('TE BE'!$AB$42+'TE BF_350'!$AB$42+'TE CVA'!$AB$42)*1</f>
        <v>258.94</v>
      </c>
      <c r="AB913" s="6">
        <f>$K$913*$V$913</f>
        <v>0</v>
      </c>
      <c r="AC913" s="6">
        <f>$M$913*$W$913</f>
        <v>448.59041999999999</v>
      </c>
      <c r="AD913" s="6">
        <f>$O$913*$X$913</f>
        <v>480.15179999999992</v>
      </c>
      <c r="AE913" s="6">
        <f>$K$913*$Y$913</f>
        <v>0</v>
      </c>
      <c r="AF913" s="6">
        <f ca="1">$M$913*$Z$913</f>
        <v>516.54959999999994</v>
      </c>
      <c r="AG913" s="6">
        <f ca="1">$O$913*$AA$913</f>
        <v>430.35827999999998</v>
      </c>
    </row>
    <row r="914" spans="1:33" ht="11.25" customHeight="1" x14ac:dyDescent="0.25">
      <c r="A914" s="4" t="s">
        <v>21</v>
      </c>
      <c r="B914" s="4" t="s">
        <v>39</v>
      </c>
      <c r="C914" s="4" t="s">
        <v>23</v>
      </c>
      <c r="D914" s="4" t="s">
        <v>40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44378</v>
      </c>
      <c r="J914" s="6">
        <v>0</v>
      </c>
      <c r="K914" s="6">
        <v>0</v>
      </c>
      <c r="L914" s="6">
        <v>291.45699999999999</v>
      </c>
      <c r="M914" s="6">
        <v>291.45699999999999</v>
      </c>
      <c r="N914" s="6">
        <v>291.45699999999999</v>
      </c>
      <c r="O914" s="6">
        <v>291.45699999999999</v>
      </c>
      <c r="P914" s="6">
        <v>283</v>
      </c>
      <c r="Q914" s="4" t="s">
        <v>26</v>
      </c>
      <c r="R914" s="4">
        <v>0</v>
      </c>
      <c r="S914" s="6">
        <v>0</v>
      </c>
      <c r="T914" s="6">
        <v>58</v>
      </c>
      <c r="U914" s="6">
        <v>99</v>
      </c>
      <c r="V914" s="6">
        <f>IF(ISERROR(VLOOKUP($S$914,'TAR FIN'!$A$1:$O$103,15,0)),0,VLOOKUP($S$914,'TAR FIN'!$A$1:$O$103,15,0))</f>
        <v>0</v>
      </c>
      <c r="W914" s="6">
        <f>IF(ISERROR(VLOOKUP($T$914,'TAR FIN'!$A$1:$O$103,15,0)),0,VLOOKUP($T$914,'TAR FIN'!$A$1:$O$103,15,0))</f>
        <v>269.91000000000003</v>
      </c>
      <c r="X914" s="6">
        <f>IF(ISERROR(VLOOKUP($U$914,'TAR FIN'!$A$1:$O$103,15,0)),0,VLOOKUP($U$914,'TAR FIN'!$A$1:$O$103,15,0))</f>
        <v>288.89999999999998</v>
      </c>
      <c r="Y914" s="6"/>
      <c r="Z914" s="6">
        <f ca="1">('TUSD BE'!$AM$58+'TUSD BF_350'!$AM$58+'TUSD CVA'!$AM$58)*1</f>
        <v>310.79999999999995</v>
      </c>
      <c r="AA914" s="6">
        <f ca="1">('TE BE'!$AB$42+'TE BF_350'!$AB$42+'TE CVA'!$AB$42)*1</f>
        <v>258.94</v>
      </c>
      <c r="AB914" s="6">
        <f>$K$914*$V$914</f>
        <v>0</v>
      </c>
      <c r="AC914" s="6">
        <f>$M$914*$W$914</f>
        <v>78667.158869999999</v>
      </c>
      <c r="AD914" s="6">
        <f>$O$914*$X$914</f>
        <v>84201.927299999996</v>
      </c>
      <c r="AE914" s="6">
        <f>$K$914*$Y$914</f>
        <v>0</v>
      </c>
      <c r="AF914" s="6">
        <f ca="1">$M$914*$Z$914</f>
        <v>90584.835599999991</v>
      </c>
      <c r="AG914" s="6">
        <f ca="1">$O$914*$AA$914</f>
        <v>75469.875579999993</v>
      </c>
    </row>
    <row r="915" spans="1:33" ht="11.25" customHeight="1" x14ac:dyDescent="0.25">
      <c r="A915" s="4" t="s">
        <v>27</v>
      </c>
      <c r="B915" s="4" t="s">
        <v>39</v>
      </c>
      <c r="C915" s="4" t="s">
        <v>23</v>
      </c>
      <c r="D915" s="4" t="s">
        <v>40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44378</v>
      </c>
      <c r="J915" s="6">
        <v>0</v>
      </c>
      <c r="K915" s="6">
        <v>0</v>
      </c>
      <c r="L915" s="6">
        <v>-0.51700000000000002</v>
      </c>
      <c r="M915" s="6">
        <v>-0.51700000000000002</v>
      </c>
      <c r="N915" s="6">
        <v>-0.51700000000000002</v>
      </c>
      <c r="O915" s="6">
        <v>-0.51700000000000002</v>
      </c>
      <c r="P915" s="6">
        <v>0</v>
      </c>
      <c r="Q915" s="4" t="s">
        <v>26</v>
      </c>
      <c r="R915" s="4">
        <v>0</v>
      </c>
      <c r="S915" s="6">
        <v>0</v>
      </c>
      <c r="T915" s="6">
        <v>58</v>
      </c>
      <c r="U915" s="6">
        <v>99</v>
      </c>
      <c r="V915" s="6">
        <f>IF(ISERROR(VLOOKUP($S$915,'TAR FIN'!$A$1:$O$103,15,0)),0,VLOOKUP($S$915,'TAR FIN'!$A$1:$O$103,15,0))</f>
        <v>0</v>
      </c>
      <c r="W915" s="6">
        <f>IF(ISERROR(VLOOKUP($T$915,'TAR FIN'!$A$1:$O$103,15,0)),0,VLOOKUP($T$915,'TAR FIN'!$A$1:$O$103,15,0))</f>
        <v>269.91000000000003</v>
      </c>
      <c r="X915" s="6">
        <f>IF(ISERROR(VLOOKUP($U$915,'TAR FIN'!$A$1:$O$103,15,0)),0,VLOOKUP($U$915,'TAR FIN'!$A$1:$O$103,15,0))</f>
        <v>288.89999999999998</v>
      </c>
      <c r="Y915" s="6"/>
      <c r="Z915" s="6">
        <f ca="1">('TUSD BE'!$AM$58+'TUSD BF_350'!$AM$58+'TUSD CVA'!$AM$58)*1</f>
        <v>310.79999999999995</v>
      </c>
      <c r="AA915" s="6">
        <f ca="1">('TE BE'!$AB$42+'TE BF_350'!$AB$42+'TE CVA'!$AB$42)*1</f>
        <v>258.94</v>
      </c>
      <c r="AB915" s="6">
        <f>$K$915*$V$915</f>
        <v>0</v>
      </c>
      <c r="AC915" s="6">
        <f>$M$915*$W$915</f>
        <v>-139.54347000000001</v>
      </c>
      <c r="AD915" s="6">
        <f>$O$915*$X$915</f>
        <v>-149.3613</v>
      </c>
      <c r="AE915" s="6">
        <f>$K$915*$Y$915</f>
        <v>0</v>
      </c>
      <c r="AF915" s="6">
        <f ca="1">$M$915*$Z$915</f>
        <v>-160.68359999999998</v>
      </c>
      <c r="AG915" s="6">
        <f ca="1">$O$915*$AA$915</f>
        <v>-133.87198000000001</v>
      </c>
    </row>
    <row r="916" spans="1:33" ht="11.25" customHeight="1" x14ac:dyDescent="0.25">
      <c r="A916" s="4" t="s">
        <v>28</v>
      </c>
      <c r="B916" s="4" t="s">
        <v>39</v>
      </c>
      <c r="C916" s="4" t="s">
        <v>23</v>
      </c>
      <c r="D916" s="4" t="s">
        <v>40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44378</v>
      </c>
      <c r="J916" s="6">
        <v>0</v>
      </c>
      <c r="K916" s="6">
        <v>0</v>
      </c>
      <c r="L916" s="6">
        <v>1.052</v>
      </c>
      <c r="M916" s="6">
        <v>1.052</v>
      </c>
      <c r="N916" s="6">
        <v>1.052</v>
      </c>
      <c r="O916" s="6">
        <v>1.052</v>
      </c>
      <c r="P916" s="6">
        <v>2</v>
      </c>
      <c r="Q916" s="4" t="s">
        <v>26</v>
      </c>
      <c r="R916" s="4">
        <v>0</v>
      </c>
      <c r="S916" s="6">
        <v>0</v>
      </c>
      <c r="T916" s="6">
        <v>58</v>
      </c>
      <c r="U916" s="6">
        <v>99</v>
      </c>
      <c r="V916" s="6">
        <f>IF(ISERROR(VLOOKUP($S$916,'TAR FIN'!$A$1:$O$103,15,0)),0,VLOOKUP($S$916,'TAR FIN'!$A$1:$O$103,15,0))</f>
        <v>0</v>
      </c>
      <c r="W916" s="6">
        <f>IF(ISERROR(VLOOKUP($T$916,'TAR FIN'!$A$1:$O$103,15,0)),0,VLOOKUP($T$916,'TAR FIN'!$A$1:$O$103,15,0))</f>
        <v>269.91000000000003</v>
      </c>
      <c r="X916" s="6">
        <f>IF(ISERROR(VLOOKUP($U$916,'TAR FIN'!$A$1:$O$103,15,0)),0,VLOOKUP($U$916,'TAR FIN'!$A$1:$O$103,15,0))</f>
        <v>288.89999999999998</v>
      </c>
      <c r="Y916" s="6"/>
      <c r="Z916" s="6">
        <f ca="1">('TUSD BE'!$AM$58+'TUSD BF_350'!$AM$58+'TUSD CVA'!$AM$58)*1</f>
        <v>310.79999999999995</v>
      </c>
      <c r="AA916" s="6">
        <f ca="1">('TE BE'!$AB$42+'TE BF_350'!$AB$42+'TE CVA'!$AB$42)*1</f>
        <v>258.94</v>
      </c>
      <c r="AB916" s="6">
        <f>$K$916*$V$916</f>
        <v>0</v>
      </c>
      <c r="AC916" s="6">
        <f>$M$916*$W$916</f>
        <v>283.94532000000004</v>
      </c>
      <c r="AD916" s="6">
        <f>$O$916*$X$916</f>
        <v>303.9228</v>
      </c>
      <c r="AE916" s="6">
        <f>$K$916*$Y$916</f>
        <v>0</v>
      </c>
      <c r="AF916" s="6">
        <f ca="1">$M$916*$Z$916</f>
        <v>326.96159999999998</v>
      </c>
      <c r="AG916" s="6">
        <f ca="1">$O$916*$AA$916</f>
        <v>272.40487999999999</v>
      </c>
    </row>
    <row r="917" spans="1:33" ht="11.25" customHeight="1" x14ac:dyDescent="0.25">
      <c r="A917" s="4" t="s">
        <v>21</v>
      </c>
      <c r="B917" s="4" t="s">
        <v>39</v>
      </c>
      <c r="C917" s="4" t="s">
        <v>23</v>
      </c>
      <c r="D917" s="4" t="s">
        <v>40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44409</v>
      </c>
      <c r="J917" s="6">
        <v>0</v>
      </c>
      <c r="K917" s="6">
        <v>0</v>
      </c>
      <c r="L917" s="6">
        <v>302.52699999999999</v>
      </c>
      <c r="M917" s="6">
        <v>302.52699999999999</v>
      </c>
      <c r="N917" s="6">
        <v>302.52699999999999</v>
      </c>
      <c r="O917" s="6">
        <v>302.52699999999999</v>
      </c>
      <c r="P917" s="6">
        <v>285</v>
      </c>
      <c r="Q917" s="4" t="s">
        <v>26</v>
      </c>
      <c r="R917" s="4">
        <v>0</v>
      </c>
      <c r="S917" s="6">
        <v>0</v>
      </c>
      <c r="T917" s="6">
        <v>58</v>
      </c>
      <c r="U917" s="6">
        <v>99</v>
      </c>
      <c r="V917" s="6">
        <f>IF(ISERROR(VLOOKUP($S$917,'TAR FIN'!$A$1:$O$103,15,0)),0,VLOOKUP($S$917,'TAR FIN'!$A$1:$O$103,15,0))</f>
        <v>0</v>
      </c>
      <c r="W917" s="6">
        <f>IF(ISERROR(VLOOKUP($T$917,'TAR FIN'!$A$1:$O$103,15,0)),0,VLOOKUP($T$917,'TAR FIN'!$A$1:$O$103,15,0))</f>
        <v>269.91000000000003</v>
      </c>
      <c r="X917" s="6">
        <f>IF(ISERROR(VLOOKUP($U$917,'TAR FIN'!$A$1:$O$103,15,0)),0,VLOOKUP($U$917,'TAR FIN'!$A$1:$O$103,15,0))</f>
        <v>288.89999999999998</v>
      </c>
      <c r="Y917" s="6"/>
      <c r="Z917" s="6">
        <f ca="1">('TUSD BE'!$AM$58+'TUSD BF_350'!$AM$58+'TUSD CVA'!$AM$58)*1</f>
        <v>310.79999999999995</v>
      </c>
      <c r="AA917" s="6">
        <f ca="1">('TE BE'!$AB$42+'TE BF_350'!$AB$42+'TE CVA'!$AB$42)*1</f>
        <v>258.94</v>
      </c>
      <c r="AB917" s="6">
        <f>$K$917*$V$917</f>
        <v>0</v>
      </c>
      <c r="AC917" s="6">
        <f>$M$917*$W$917</f>
        <v>81655.062570000009</v>
      </c>
      <c r="AD917" s="6">
        <f>$O$917*$X$917</f>
        <v>87400.050299999988</v>
      </c>
      <c r="AE917" s="6">
        <f>$K$917*$Y$917</f>
        <v>0</v>
      </c>
      <c r="AF917" s="6">
        <f ca="1">$M$917*$Z$917</f>
        <v>94025.391599999988</v>
      </c>
      <c r="AG917" s="6">
        <f ca="1">$O$917*$AA$917</f>
        <v>78336.341379999998</v>
      </c>
    </row>
    <row r="918" spans="1:33" ht="11.25" customHeight="1" x14ac:dyDescent="0.25">
      <c r="A918" s="4" t="s">
        <v>27</v>
      </c>
      <c r="B918" s="4" t="s">
        <v>39</v>
      </c>
      <c r="C918" s="4" t="s">
        <v>23</v>
      </c>
      <c r="D918" s="4" t="s">
        <v>40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44409</v>
      </c>
      <c r="J918" s="6">
        <v>0</v>
      </c>
      <c r="K918" s="6">
        <v>0</v>
      </c>
      <c r="L918" s="6">
        <v>-0.34</v>
      </c>
      <c r="M918" s="6">
        <v>-0.34</v>
      </c>
      <c r="N918" s="6">
        <v>-0.34</v>
      </c>
      <c r="O918" s="6">
        <v>-0.34</v>
      </c>
      <c r="P918" s="6">
        <v>0</v>
      </c>
      <c r="Q918" s="4" t="s">
        <v>26</v>
      </c>
      <c r="R918" s="4">
        <v>0</v>
      </c>
      <c r="S918" s="6">
        <v>0</v>
      </c>
      <c r="T918" s="6">
        <v>58</v>
      </c>
      <c r="U918" s="6">
        <v>99</v>
      </c>
      <c r="V918" s="6">
        <f>IF(ISERROR(VLOOKUP($S$918,'TAR FIN'!$A$1:$O$103,15,0)),0,VLOOKUP($S$918,'TAR FIN'!$A$1:$O$103,15,0))</f>
        <v>0</v>
      </c>
      <c r="W918" s="6">
        <f>IF(ISERROR(VLOOKUP($T$918,'TAR FIN'!$A$1:$O$103,15,0)),0,VLOOKUP($T$918,'TAR FIN'!$A$1:$O$103,15,0))</f>
        <v>269.91000000000003</v>
      </c>
      <c r="X918" s="6">
        <f>IF(ISERROR(VLOOKUP($U$918,'TAR FIN'!$A$1:$O$103,15,0)),0,VLOOKUP($U$918,'TAR FIN'!$A$1:$O$103,15,0))</f>
        <v>288.89999999999998</v>
      </c>
      <c r="Y918" s="6"/>
      <c r="Z918" s="6">
        <f ca="1">('TUSD BE'!$AM$58+'TUSD BF_350'!$AM$58+'TUSD CVA'!$AM$58)*1</f>
        <v>310.79999999999995</v>
      </c>
      <c r="AA918" s="6">
        <f ca="1">('TE BE'!$AB$42+'TE BF_350'!$AB$42+'TE CVA'!$AB$42)*1</f>
        <v>258.94</v>
      </c>
      <c r="AB918" s="6">
        <f>$K$918*$V$918</f>
        <v>0</v>
      </c>
      <c r="AC918" s="6">
        <f>$M$918*$W$918</f>
        <v>-91.769400000000019</v>
      </c>
      <c r="AD918" s="6">
        <f>$O$918*$X$918</f>
        <v>-98.225999999999999</v>
      </c>
      <c r="AE918" s="6">
        <f>$K$918*$Y$918</f>
        <v>0</v>
      </c>
      <c r="AF918" s="6">
        <f ca="1">$M$918*$Z$918</f>
        <v>-105.672</v>
      </c>
      <c r="AG918" s="6">
        <f ca="1">$O$918*$AA$918</f>
        <v>-88.039600000000007</v>
      </c>
    </row>
    <row r="919" spans="1:33" ht="11.25" customHeight="1" x14ac:dyDescent="0.25">
      <c r="A919" s="4" t="s">
        <v>28</v>
      </c>
      <c r="B919" s="4" t="s">
        <v>39</v>
      </c>
      <c r="C919" s="4" t="s">
        <v>23</v>
      </c>
      <c r="D919" s="4" t="s">
        <v>40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44409</v>
      </c>
      <c r="J919" s="6">
        <v>0</v>
      </c>
      <c r="K919" s="6">
        <v>0</v>
      </c>
      <c r="L919" s="6">
        <v>0.73699999999999999</v>
      </c>
      <c r="M919" s="6">
        <v>0.73699999999999999</v>
      </c>
      <c r="N919" s="6">
        <v>0.73699999999999999</v>
      </c>
      <c r="O919" s="6">
        <v>0.73699999999999999</v>
      </c>
      <c r="P919" s="6">
        <v>2</v>
      </c>
      <c r="Q919" s="4" t="s">
        <v>26</v>
      </c>
      <c r="R919" s="4">
        <v>0</v>
      </c>
      <c r="S919" s="6">
        <v>0</v>
      </c>
      <c r="T919" s="6">
        <v>58</v>
      </c>
      <c r="U919" s="6">
        <v>99</v>
      </c>
      <c r="V919" s="6">
        <f>IF(ISERROR(VLOOKUP($S$919,'TAR FIN'!$A$1:$O$103,15,0)),0,VLOOKUP($S$919,'TAR FIN'!$A$1:$O$103,15,0))</f>
        <v>0</v>
      </c>
      <c r="W919" s="6">
        <f>IF(ISERROR(VLOOKUP($T$919,'TAR FIN'!$A$1:$O$103,15,0)),0,VLOOKUP($T$919,'TAR FIN'!$A$1:$O$103,15,0))</f>
        <v>269.91000000000003</v>
      </c>
      <c r="X919" s="6">
        <f>IF(ISERROR(VLOOKUP($U$919,'TAR FIN'!$A$1:$O$103,15,0)),0,VLOOKUP($U$919,'TAR FIN'!$A$1:$O$103,15,0))</f>
        <v>288.89999999999998</v>
      </c>
      <c r="Y919" s="6"/>
      <c r="Z919" s="6">
        <f ca="1">('TUSD BE'!$AM$58+'TUSD BF_350'!$AM$58+'TUSD CVA'!$AM$58)*1</f>
        <v>310.79999999999995</v>
      </c>
      <c r="AA919" s="6">
        <f ca="1">('TE BE'!$AB$42+'TE BF_350'!$AB$42+'TE CVA'!$AB$42)*1</f>
        <v>258.94</v>
      </c>
      <c r="AB919" s="6">
        <f>$K$919*$V$919</f>
        <v>0</v>
      </c>
      <c r="AC919" s="6">
        <f>$M$919*$W$919</f>
        <v>198.92367000000002</v>
      </c>
      <c r="AD919" s="6">
        <f>$O$919*$X$919</f>
        <v>212.91929999999999</v>
      </c>
      <c r="AE919" s="6">
        <f>$K$919*$Y$919</f>
        <v>0</v>
      </c>
      <c r="AF919" s="6">
        <f ca="1">$M$919*$Z$919</f>
        <v>229.05959999999996</v>
      </c>
      <c r="AG919" s="6">
        <f ca="1">$O$919*$AA$919</f>
        <v>190.83877999999999</v>
      </c>
    </row>
    <row r="920" spans="1:33" ht="11.25" customHeight="1" x14ac:dyDescent="0.25">
      <c r="A920" s="4" t="s">
        <v>21</v>
      </c>
      <c r="B920" s="4" t="s">
        <v>39</v>
      </c>
      <c r="C920" s="4" t="s">
        <v>23</v>
      </c>
      <c r="D920" s="4" t="s">
        <v>40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44440</v>
      </c>
      <c r="J920" s="6">
        <v>0</v>
      </c>
      <c r="K920" s="6">
        <v>0</v>
      </c>
      <c r="L920" s="6">
        <v>295.16800000000001</v>
      </c>
      <c r="M920" s="6">
        <v>295.16800000000001</v>
      </c>
      <c r="N920" s="6">
        <v>295.16800000000001</v>
      </c>
      <c r="O920" s="6">
        <v>295.16800000000001</v>
      </c>
      <c r="P920" s="6">
        <v>284</v>
      </c>
      <c r="Q920" s="4" t="s">
        <v>26</v>
      </c>
      <c r="R920" s="4">
        <v>0</v>
      </c>
      <c r="S920" s="6">
        <v>0</v>
      </c>
      <c r="T920" s="6">
        <v>58</v>
      </c>
      <c r="U920" s="6">
        <v>99</v>
      </c>
      <c r="V920" s="6">
        <f>IF(ISERROR(VLOOKUP($S$920,'TAR FIN'!$A$1:$O$103,15,0)),0,VLOOKUP($S$920,'TAR FIN'!$A$1:$O$103,15,0))</f>
        <v>0</v>
      </c>
      <c r="W920" s="6">
        <f>IF(ISERROR(VLOOKUP($T$920,'TAR FIN'!$A$1:$O$103,15,0)),0,VLOOKUP($T$920,'TAR FIN'!$A$1:$O$103,15,0))</f>
        <v>269.91000000000003</v>
      </c>
      <c r="X920" s="6">
        <f>IF(ISERROR(VLOOKUP($U$920,'TAR FIN'!$A$1:$O$103,15,0)),0,VLOOKUP($U$920,'TAR FIN'!$A$1:$O$103,15,0))</f>
        <v>288.89999999999998</v>
      </c>
      <c r="Y920" s="6"/>
      <c r="Z920" s="6">
        <f ca="1">('TUSD BE'!$AM$58+'TUSD BF_350'!$AM$58+'TUSD CVA'!$AM$58)*1</f>
        <v>310.79999999999995</v>
      </c>
      <c r="AA920" s="6">
        <f ca="1">('TE BE'!$AB$42+'TE BF_350'!$AB$42+'TE CVA'!$AB$42)*1</f>
        <v>258.94</v>
      </c>
      <c r="AB920" s="6">
        <f>$K$920*$V$920</f>
        <v>0</v>
      </c>
      <c r="AC920" s="6">
        <f>$M$920*$W$920</f>
        <v>79668.794880000016</v>
      </c>
      <c r="AD920" s="6">
        <f>$O$920*$X$920</f>
        <v>85274.035199999998</v>
      </c>
      <c r="AE920" s="6">
        <f>$K$920*$Y$920</f>
        <v>0</v>
      </c>
      <c r="AF920" s="6">
        <f ca="1">$M$920*$Z$920</f>
        <v>91738.214399999983</v>
      </c>
      <c r="AG920" s="6">
        <f ca="1">$O$920*$AA$920</f>
        <v>76430.801919999998</v>
      </c>
    </row>
    <row r="921" spans="1:33" ht="11.25" customHeight="1" x14ac:dyDescent="0.25">
      <c r="A921" s="4" t="s">
        <v>28</v>
      </c>
      <c r="B921" s="4" t="s">
        <v>39</v>
      </c>
      <c r="C921" s="4" t="s">
        <v>23</v>
      </c>
      <c r="D921" s="4" t="s">
        <v>40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44440</v>
      </c>
      <c r="J921" s="6">
        <v>0</v>
      </c>
      <c r="K921" s="6">
        <v>0</v>
      </c>
      <c r="L921" s="6">
        <v>0.59</v>
      </c>
      <c r="M921" s="6">
        <v>0.59</v>
      </c>
      <c r="N921" s="6">
        <v>0.59</v>
      </c>
      <c r="O921" s="6">
        <v>0.59</v>
      </c>
      <c r="P921" s="6">
        <v>2</v>
      </c>
      <c r="Q921" s="4" t="s">
        <v>26</v>
      </c>
      <c r="R921" s="4">
        <v>0</v>
      </c>
      <c r="S921" s="6">
        <v>0</v>
      </c>
      <c r="T921" s="6">
        <v>58</v>
      </c>
      <c r="U921" s="6">
        <v>99</v>
      </c>
      <c r="V921" s="6">
        <f>IF(ISERROR(VLOOKUP($S$921,'TAR FIN'!$A$1:$O$103,15,0)),0,VLOOKUP($S$921,'TAR FIN'!$A$1:$O$103,15,0))</f>
        <v>0</v>
      </c>
      <c r="W921" s="6">
        <f>IF(ISERROR(VLOOKUP($T$921,'TAR FIN'!$A$1:$O$103,15,0)),0,VLOOKUP($T$921,'TAR FIN'!$A$1:$O$103,15,0))</f>
        <v>269.91000000000003</v>
      </c>
      <c r="X921" s="6">
        <f>IF(ISERROR(VLOOKUP($U$921,'TAR FIN'!$A$1:$O$103,15,0)),0,VLOOKUP($U$921,'TAR FIN'!$A$1:$O$103,15,0))</f>
        <v>288.89999999999998</v>
      </c>
      <c r="Y921" s="6"/>
      <c r="Z921" s="6">
        <f ca="1">('TUSD BE'!$AM$58+'TUSD BF_350'!$AM$58+'TUSD CVA'!$AM$58)*1</f>
        <v>310.79999999999995</v>
      </c>
      <c r="AA921" s="6">
        <f ca="1">('TE BE'!$AB$42+'TE BF_350'!$AB$42+'TE CVA'!$AB$42)*1</f>
        <v>258.94</v>
      </c>
      <c r="AB921" s="6">
        <f>$K$921*$V$921</f>
        <v>0</v>
      </c>
      <c r="AC921" s="6">
        <f>$M$921*$W$921</f>
        <v>159.24690000000001</v>
      </c>
      <c r="AD921" s="6">
        <f>$O$921*$X$921</f>
        <v>170.45099999999996</v>
      </c>
      <c r="AE921" s="6">
        <f>$K$921*$Y$921</f>
        <v>0</v>
      </c>
      <c r="AF921" s="6">
        <f ca="1">$M$921*$Z$921</f>
        <v>183.37199999999996</v>
      </c>
      <c r="AG921" s="6">
        <f ca="1">$O$921*$AA$921</f>
        <v>152.77459999999999</v>
      </c>
    </row>
    <row r="922" spans="1:33" ht="11.25" customHeight="1" x14ac:dyDescent="0.25">
      <c r="A922" s="4" t="s">
        <v>21</v>
      </c>
      <c r="B922" s="4" t="s">
        <v>39</v>
      </c>
      <c r="C922" s="4" t="s">
        <v>23</v>
      </c>
      <c r="D922" s="4" t="s">
        <v>40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44470</v>
      </c>
      <c r="J922" s="6">
        <v>0</v>
      </c>
      <c r="K922" s="6">
        <v>0</v>
      </c>
      <c r="L922" s="6">
        <v>298.017</v>
      </c>
      <c r="M922" s="6">
        <v>298.017</v>
      </c>
      <c r="N922" s="6">
        <v>298.017</v>
      </c>
      <c r="O922" s="6">
        <v>298.017</v>
      </c>
      <c r="P922" s="6">
        <v>287</v>
      </c>
      <c r="Q922" s="4" t="s">
        <v>26</v>
      </c>
      <c r="R922" s="4">
        <v>0</v>
      </c>
      <c r="S922" s="6">
        <v>0</v>
      </c>
      <c r="T922" s="6">
        <v>58</v>
      </c>
      <c r="U922" s="6">
        <v>99</v>
      </c>
      <c r="V922" s="6">
        <f>IF(ISERROR(VLOOKUP($S$922,'TAR FIN'!$A$1:$O$103,15,0)),0,VLOOKUP($S$922,'TAR FIN'!$A$1:$O$103,15,0))</f>
        <v>0</v>
      </c>
      <c r="W922" s="6">
        <f>IF(ISERROR(VLOOKUP($T$922,'TAR FIN'!$A$1:$O$103,15,0)),0,VLOOKUP($T$922,'TAR FIN'!$A$1:$O$103,15,0))</f>
        <v>269.91000000000003</v>
      </c>
      <c r="X922" s="6">
        <f>IF(ISERROR(VLOOKUP($U$922,'TAR FIN'!$A$1:$O$103,15,0)),0,VLOOKUP($U$922,'TAR FIN'!$A$1:$O$103,15,0))</f>
        <v>288.89999999999998</v>
      </c>
      <c r="Y922" s="6"/>
      <c r="Z922" s="6">
        <f ca="1">('TUSD BE'!$AM$58+'TUSD BF_350'!$AM$58+'TUSD CVA'!$AM$58)*1</f>
        <v>310.79999999999995</v>
      </c>
      <c r="AA922" s="6">
        <f ca="1">('TE BE'!$AB$42+'TE BF_350'!$AB$42+'TE CVA'!$AB$42)*1</f>
        <v>258.94</v>
      </c>
      <c r="AB922" s="6">
        <f>$K$922*$V$922</f>
        <v>0</v>
      </c>
      <c r="AC922" s="6">
        <f>$M$922*$W$922</f>
        <v>80437.76847000001</v>
      </c>
      <c r="AD922" s="6">
        <f>$O$922*$X$922</f>
        <v>86097.11129999999</v>
      </c>
      <c r="AE922" s="6">
        <f>$K$922*$Y$922</f>
        <v>0</v>
      </c>
      <c r="AF922" s="6">
        <f ca="1">$M$922*$Z$922</f>
        <v>92623.683599999989</v>
      </c>
      <c r="AG922" s="6">
        <f ca="1">$O$922*$AA$922</f>
        <v>77168.521980000005</v>
      </c>
    </row>
    <row r="923" spans="1:33" ht="11.25" customHeight="1" x14ac:dyDescent="0.25">
      <c r="A923" s="4" t="s">
        <v>28</v>
      </c>
      <c r="B923" s="4" t="s">
        <v>39</v>
      </c>
      <c r="C923" s="4" t="s">
        <v>23</v>
      </c>
      <c r="D923" s="4" t="s">
        <v>40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44470</v>
      </c>
      <c r="J923" s="6">
        <v>0</v>
      </c>
      <c r="K923" s="6">
        <v>0</v>
      </c>
      <c r="L923" s="6">
        <v>0.68600000000000005</v>
      </c>
      <c r="M923" s="6">
        <v>0.68600000000000005</v>
      </c>
      <c r="N923" s="6">
        <v>0.68600000000000005</v>
      </c>
      <c r="O923" s="6">
        <v>0.68600000000000005</v>
      </c>
      <c r="P923" s="6">
        <v>2</v>
      </c>
      <c r="Q923" s="4" t="s">
        <v>26</v>
      </c>
      <c r="R923" s="4">
        <v>0</v>
      </c>
      <c r="S923" s="6">
        <v>0</v>
      </c>
      <c r="T923" s="6">
        <v>58</v>
      </c>
      <c r="U923" s="6">
        <v>99</v>
      </c>
      <c r="V923" s="6">
        <f>IF(ISERROR(VLOOKUP($S$923,'TAR FIN'!$A$1:$O$103,15,0)),0,VLOOKUP($S$923,'TAR FIN'!$A$1:$O$103,15,0))</f>
        <v>0</v>
      </c>
      <c r="W923" s="6">
        <f>IF(ISERROR(VLOOKUP($T$923,'TAR FIN'!$A$1:$O$103,15,0)),0,VLOOKUP($T$923,'TAR FIN'!$A$1:$O$103,15,0))</f>
        <v>269.91000000000003</v>
      </c>
      <c r="X923" s="6">
        <f>IF(ISERROR(VLOOKUP($U$923,'TAR FIN'!$A$1:$O$103,15,0)),0,VLOOKUP($U$923,'TAR FIN'!$A$1:$O$103,15,0))</f>
        <v>288.89999999999998</v>
      </c>
      <c r="Y923" s="6"/>
      <c r="Z923" s="6">
        <f ca="1">('TUSD BE'!$AM$58+'TUSD BF_350'!$AM$58+'TUSD CVA'!$AM$58)*1</f>
        <v>310.79999999999995</v>
      </c>
      <c r="AA923" s="6">
        <f ca="1">('TE BE'!$AB$42+'TE BF_350'!$AB$42+'TE CVA'!$AB$42)*1</f>
        <v>258.94</v>
      </c>
      <c r="AB923" s="6">
        <f>$K$923*$V$923</f>
        <v>0</v>
      </c>
      <c r="AC923" s="6">
        <f>$M$923*$W$923</f>
        <v>185.15826000000004</v>
      </c>
      <c r="AD923" s="6">
        <f>$O$923*$X$923</f>
        <v>198.18539999999999</v>
      </c>
      <c r="AE923" s="6">
        <f>$K$923*$Y$923</f>
        <v>0</v>
      </c>
      <c r="AF923" s="6">
        <f ca="1">$M$923*$Z$923</f>
        <v>213.2088</v>
      </c>
      <c r="AG923" s="6">
        <f ca="1">$O$923*$AA$923</f>
        <v>177.63284000000002</v>
      </c>
    </row>
    <row r="924" spans="1:33" ht="11.25" customHeight="1" x14ac:dyDescent="0.25">
      <c r="A924" s="4" t="s">
        <v>21</v>
      </c>
      <c r="B924" s="4" t="s">
        <v>39</v>
      </c>
      <c r="C924" s="4" t="s">
        <v>23</v>
      </c>
      <c r="D924" s="4" t="s">
        <v>40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44501</v>
      </c>
      <c r="J924" s="6">
        <v>0</v>
      </c>
      <c r="K924" s="6">
        <v>0</v>
      </c>
      <c r="L924" s="6">
        <v>295.75</v>
      </c>
      <c r="M924" s="6">
        <v>295.75</v>
      </c>
      <c r="N924" s="6">
        <v>295.75</v>
      </c>
      <c r="O924" s="6">
        <v>295.75</v>
      </c>
      <c r="P924" s="6">
        <v>284</v>
      </c>
      <c r="Q924" s="4" t="s">
        <v>26</v>
      </c>
      <c r="R924" s="4">
        <v>0</v>
      </c>
      <c r="S924" s="6">
        <v>0</v>
      </c>
      <c r="T924" s="6">
        <v>58</v>
      </c>
      <c r="U924" s="6">
        <v>99</v>
      </c>
      <c r="V924" s="6">
        <f>IF(ISERROR(VLOOKUP($S$924,'TAR FIN'!$A$1:$O$103,15,0)),0,VLOOKUP($S$924,'TAR FIN'!$A$1:$O$103,15,0))</f>
        <v>0</v>
      </c>
      <c r="W924" s="6">
        <f>IF(ISERROR(VLOOKUP($T$924,'TAR FIN'!$A$1:$O$103,15,0)),0,VLOOKUP($T$924,'TAR FIN'!$A$1:$O$103,15,0))</f>
        <v>269.91000000000003</v>
      </c>
      <c r="X924" s="6">
        <f>IF(ISERROR(VLOOKUP($U$924,'TAR FIN'!$A$1:$O$103,15,0)),0,VLOOKUP($U$924,'TAR FIN'!$A$1:$O$103,15,0))</f>
        <v>288.89999999999998</v>
      </c>
      <c r="Y924" s="6"/>
      <c r="Z924" s="6">
        <f ca="1">('TUSD BE'!$AM$58+'TUSD BF_350'!$AM$58+'TUSD CVA'!$AM$58)*1</f>
        <v>310.79999999999995</v>
      </c>
      <c r="AA924" s="6">
        <f ca="1">('TE BE'!$AB$42+'TE BF_350'!$AB$42+'TE CVA'!$AB$42)*1</f>
        <v>258.94</v>
      </c>
      <c r="AB924" s="6">
        <f>$K$924*$V$924</f>
        <v>0</v>
      </c>
      <c r="AC924" s="6">
        <f>$M$924*$W$924</f>
        <v>79825.882500000007</v>
      </c>
      <c r="AD924" s="6">
        <f>$O$924*$X$924</f>
        <v>85442.174999999988</v>
      </c>
      <c r="AE924" s="6">
        <f>$K$924*$Y$924</f>
        <v>0</v>
      </c>
      <c r="AF924" s="6">
        <f ca="1">$M$924*$Z$924</f>
        <v>91919.099999999991</v>
      </c>
      <c r="AG924" s="6">
        <f ca="1">$O$924*$AA$924</f>
        <v>76581.505000000005</v>
      </c>
    </row>
    <row r="925" spans="1:33" ht="11.25" customHeight="1" x14ac:dyDescent="0.25">
      <c r="A925" s="4" t="s">
        <v>28</v>
      </c>
      <c r="B925" s="4" t="s">
        <v>39</v>
      </c>
      <c r="C925" s="4" t="s">
        <v>23</v>
      </c>
      <c r="D925" s="4" t="s">
        <v>40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0.53600000000000003</v>
      </c>
      <c r="M925" s="6">
        <v>0.53600000000000003</v>
      </c>
      <c r="N925" s="6">
        <v>0.53600000000000003</v>
      </c>
      <c r="O925" s="6">
        <v>0.53600000000000003</v>
      </c>
      <c r="P925" s="6">
        <v>2</v>
      </c>
      <c r="Q925" s="4" t="s">
        <v>26</v>
      </c>
      <c r="R925" s="4">
        <v>0</v>
      </c>
      <c r="S925" s="6">
        <v>0</v>
      </c>
      <c r="T925" s="6">
        <v>58</v>
      </c>
      <c r="U925" s="6">
        <v>99</v>
      </c>
      <c r="V925" s="6">
        <f>IF(ISERROR(VLOOKUP($S$925,'TAR FIN'!$A$1:$O$103,15,0)),0,VLOOKUP($S$925,'TAR FIN'!$A$1:$O$103,15,0))</f>
        <v>0</v>
      </c>
      <c r="W925" s="6">
        <f>IF(ISERROR(VLOOKUP($T$925,'TAR FIN'!$A$1:$O$103,15,0)),0,VLOOKUP($T$925,'TAR FIN'!$A$1:$O$103,15,0))</f>
        <v>269.91000000000003</v>
      </c>
      <c r="X925" s="6">
        <f>IF(ISERROR(VLOOKUP($U$925,'TAR FIN'!$A$1:$O$103,15,0)),0,VLOOKUP($U$925,'TAR FIN'!$A$1:$O$103,15,0))</f>
        <v>288.89999999999998</v>
      </c>
      <c r="Y925" s="6"/>
      <c r="Z925" s="6">
        <f ca="1">('TUSD BE'!$AM$58+'TUSD BF_350'!$AM$58+'TUSD CVA'!$AM$58)*1</f>
        <v>310.79999999999995</v>
      </c>
      <c r="AA925" s="6">
        <f ca="1">('TE BE'!$AB$42+'TE BF_350'!$AB$42+'TE CVA'!$AB$42)*1</f>
        <v>258.94</v>
      </c>
      <c r="AB925" s="6">
        <f>$K$925*$V$925</f>
        <v>0</v>
      </c>
      <c r="AC925" s="6">
        <f>$M$925*$W$925</f>
        <v>144.67176000000003</v>
      </c>
      <c r="AD925" s="6">
        <f>$O$925*$X$925</f>
        <v>154.85040000000001</v>
      </c>
      <c r="AE925" s="6">
        <f>$K$925*$Y$925</f>
        <v>0</v>
      </c>
      <c r="AF925" s="6">
        <f ca="1">$M$925*$Z$925</f>
        <v>166.58879999999999</v>
      </c>
      <c r="AG925" s="6">
        <f ca="1">$O$925*$AA$925</f>
        <v>138.79184000000001</v>
      </c>
    </row>
    <row r="926" spans="1:33" ht="11.25" customHeight="1" x14ac:dyDescent="0.25">
      <c r="A926" s="4" t="s">
        <v>21</v>
      </c>
      <c r="B926" s="4" t="s">
        <v>39</v>
      </c>
      <c r="C926" s="4" t="s">
        <v>23</v>
      </c>
      <c r="D926" s="4" t="s">
        <v>40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302.40300000000002</v>
      </c>
      <c r="M926" s="6">
        <v>302.40300000000002</v>
      </c>
      <c r="N926" s="6">
        <v>302.40300000000002</v>
      </c>
      <c r="O926" s="6">
        <v>302.40300000000002</v>
      </c>
      <c r="P926" s="6">
        <v>279</v>
      </c>
      <c r="Q926" s="4" t="s">
        <v>26</v>
      </c>
      <c r="R926" s="4">
        <v>0</v>
      </c>
      <c r="S926" s="6">
        <v>0</v>
      </c>
      <c r="T926" s="6">
        <v>58</v>
      </c>
      <c r="U926" s="6">
        <v>99</v>
      </c>
      <c r="V926" s="6">
        <f>IF(ISERROR(VLOOKUP($S$926,'TAR FIN'!$A$1:$O$103,15,0)),0,VLOOKUP($S$926,'TAR FIN'!$A$1:$O$103,15,0))</f>
        <v>0</v>
      </c>
      <c r="W926" s="6">
        <f>IF(ISERROR(VLOOKUP($T$926,'TAR FIN'!$A$1:$O$103,15,0)),0,VLOOKUP($T$926,'TAR FIN'!$A$1:$O$103,15,0))</f>
        <v>269.91000000000003</v>
      </c>
      <c r="X926" s="6">
        <f>IF(ISERROR(VLOOKUP($U$926,'TAR FIN'!$A$1:$O$103,15,0)),0,VLOOKUP($U$926,'TAR FIN'!$A$1:$O$103,15,0))</f>
        <v>288.89999999999998</v>
      </c>
      <c r="Y926" s="6"/>
      <c r="Z926" s="6">
        <f ca="1">('TUSD BE'!$AM$58+'TUSD BF_350'!$AM$58+'TUSD CVA'!$AM$58)*1</f>
        <v>310.79999999999995</v>
      </c>
      <c r="AA926" s="6">
        <f ca="1">('TE BE'!$AB$42+'TE BF_350'!$AB$42+'TE CVA'!$AB$42)*1</f>
        <v>258.94</v>
      </c>
      <c r="AB926" s="6">
        <f>$K$926*$V$926</f>
        <v>0</v>
      </c>
      <c r="AC926" s="6">
        <f>$M$926*$W$926</f>
        <v>81621.593730000008</v>
      </c>
      <c r="AD926" s="6">
        <f>$O$926*$X$926</f>
        <v>87364.226699999999</v>
      </c>
      <c r="AE926" s="6">
        <f>$K$926*$Y$926</f>
        <v>0</v>
      </c>
      <c r="AF926" s="6">
        <f ca="1">$M$926*$Z$926</f>
        <v>93986.852399999989</v>
      </c>
      <c r="AG926" s="6">
        <f ca="1">$O$926*$AA$926</f>
        <v>78304.232820000005</v>
      </c>
    </row>
    <row r="927" spans="1:33" ht="11.25" customHeight="1" x14ac:dyDescent="0.25">
      <c r="A927" s="4" t="s">
        <v>27</v>
      </c>
      <c r="B927" s="4" t="s">
        <v>39</v>
      </c>
      <c r="C927" s="4" t="s">
        <v>23</v>
      </c>
      <c r="D927" s="4" t="s">
        <v>40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44531</v>
      </c>
      <c r="J927" s="6">
        <v>0</v>
      </c>
      <c r="K927" s="6">
        <v>0</v>
      </c>
      <c r="L927" s="6">
        <v>-9.9000000000000005E-2</v>
      </c>
      <c r="M927" s="6">
        <v>-9.9000000000000005E-2</v>
      </c>
      <c r="N927" s="6">
        <v>-9.9000000000000005E-2</v>
      </c>
      <c r="O927" s="6">
        <v>-9.9000000000000005E-2</v>
      </c>
      <c r="P927" s="6">
        <v>0</v>
      </c>
      <c r="Q927" s="4" t="s">
        <v>26</v>
      </c>
      <c r="R927" s="4">
        <v>0</v>
      </c>
      <c r="S927" s="6">
        <v>0</v>
      </c>
      <c r="T927" s="6">
        <v>58</v>
      </c>
      <c r="U927" s="6">
        <v>99</v>
      </c>
      <c r="V927" s="6">
        <f>IF(ISERROR(VLOOKUP($S$927,'TAR FIN'!$A$1:$O$103,15,0)),0,VLOOKUP($S$927,'TAR FIN'!$A$1:$O$103,15,0))</f>
        <v>0</v>
      </c>
      <c r="W927" s="6">
        <f>IF(ISERROR(VLOOKUP($T$927,'TAR FIN'!$A$1:$O$103,15,0)),0,VLOOKUP($T$927,'TAR FIN'!$A$1:$O$103,15,0))</f>
        <v>269.91000000000003</v>
      </c>
      <c r="X927" s="6">
        <f>IF(ISERROR(VLOOKUP($U$927,'TAR FIN'!$A$1:$O$103,15,0)),0,VLOOKUP($U$927,'TAR FIN'!$A$1:$O$103,15,0))</f>
        <v>288.89999999999998</v>
      </c>
      <c r="Y927" s="6"/>
      <c r="Z927" s="6">
        <f ca="1">('TUSD BE'!$AM$58+'TUSD BF_350'!$AM$58+'TUSD CVA'!$AM$58)*1</f>
        <v>310.79999999999995</v>
      </c>
      <c r="AA927" s="6">
        <f ca="1">('TE BE'!$AB$42+'TE BF_350'!$AB$42+'TE CVA'!$AB$42)*1</f>
        <v>258.94</v>
      </c>
      <c r="AB927" s="6">
        <f>$K$927*$V$927</f>
        <v>0</v>
      </c>
      <c r="AC927" s="6">
        <f>$M$927*$W$927</f>
        <v>-26.721090000000004</v>
      </c>
      <c r="AD927" s="6">
        <f>$O$927*$X$927</f>
        <v>-28.601099999999999</v>
      </c>
      <c r="AE927" s="6">
        <f>$K$927*$Y$927</f>
        <v>0</v>
      </c>
      <c r="AF927" s="6">
        <f ca="1">$M$927*$Z$927</f>
        <v>-30.769199999999998</v>
      </c>
      <c r="AG927" s="6">
        <f ca="1">$O$927*$AA$927</f>
        <v>-25.635059999999999</v>
      </c>
    </row>
    <row r="928" spans="1:33" ht="11.25" customHeight="1" x14ac:dyDescent="0.25">
      <c r="A928" s="4" t="s">
        <v>28</v>
      </c>
      <c r="B928" s="4" t="s">
        <v>39</v>
      </c>
      <c r="C928" s="4" t="s">
        <v>23</v>
      </c>
      <c r="D928" s="4" t="s">
        <v>40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44531</v>
      </c>
      <c r="J928" s="6">
        <v>0</v>
      </c>
      <c r="K928" s="6">
        <v>0</v>
      </c>
      <c r="L928" s="6">
        <v>0.372</v>
      </c>
      <c r="M928" s="6">
        <v>0.372</v>
      </c>
      <c r="N928" s="6">
        <v>0.372</v>
      </c>
      <c r="O928" s="6">
        <v>0.372</v>
      </c>
      <c r="P928" s="6">
        <v>2</v>
      </c>
      <c r="Q928" s="4" t="s">
        <v>26</v>
      </c>
      <c r="R928" s="4">
        <v>0</v>
      </c>
      <c r="S928" s="6">
        <v>0</v>
      </c>
      <c r="T928" s="6">
        <v>58</v>
      </c>
      <c r="U928" s="6">
        <v>99</v>
      </c>
      <c r="V928" s="6">
        <f>IF(ISERROR(VLOOKUP($S$928,'TAR FIN'!$A$1:$O$103,15,0)),0,VLOOKUP($S$928,'TAR FIN'!$A$1:$O$103,15,0))</f>
        <v>0</v>
      </c>
      <c r="W928" s="6">
        <f>IF(ISERROR(VLOOKUP($T$928,'TAR FIN'!$A$1:$O$103,15,0)),0,VLOOKUP($T$928,'TAR FIN'!$A$1:$O$103,15,0))</f>
        <v>269.91000000000003</v>
      </c>
      <c r="X928" s="6">
        <f>IF(ISERROR(VLOOKUP($U$928,'TAR FIN'!$A$1:$O$103,15,0)),0,VLOOKUP($U$928,'TAR FIN'!$A$1:$O$103,15,0))</f>
        <v>288.89999999999998</v>
      </c>
      <c r="Y928" s="6"/>
      <c r="Z928" s="6">
        <f ca="1">('TUSD BE'!$AM$58+'TUSD BF_350'!$AM$58+'TUSD CVA'!$AM$58)*1</f>
        <v>310.79999999999995</v>
      </c>
      <c r="AA928" s="6">
        <f ca="1">('TE BE'!$AB$42+'TE BF_350'!$AB$42+'TE CVA'!$AB$42)*1</f>
        <v>258.94</v>
      </c>
      <c r="AB928" s="6">
        <f>$K$928*$V$928</f>
        <v>0</v>
      </c>
      <c r="AC928" s="6">
        <f>$M$928*$W$928</f>
        <v>100.40652000000001</v>
      </c>
      <c r="AD928" s="6">
        <f>$O$928*$X$928</f>
        <v>107.4708</v>
      </c>
      <c r="AE928" s="6">
        <f>$K$928*$Y$928</f>
        <v>0</v>
      </c>
      <c r="AF928" s="6">
        <f ca="1">$M$928*$Z$928</f>
        <v>115.61759999999998</v>
      </c>
      <c r="AG928" s="6">
        <f ca="1">$O$928*$AA$928</f>
        <v>96.325680000000006</v>
      </c>
    </row>
    <row r="929" spans="1:33" ht="11.25" customHeight="1" x14ac:dyDescent="0.25">
      <c r="A929" s="4" t="s">
        <v>21</v>
      </c>
      <c r="B929" s="4" t="s">
        <v>39</v>
      </c>
      <c r="C929" s="4" t="s">
        <v>23</v>
      </c>
      <c r="D929" s="4" t="s">
        <v>40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44562</v>
      </c>
      <c r="J929" s="6">
        <v>0</v>
      </c>
      <c r="K929" s="6">
        <v>0</v>
      </c>
      <c r="L929" s="6">
        <v>240.11500000000001</v>
      </c>
      <c r="M929" s="6">
        <v>240.11500000000001</v>
      </c>
      <c r="N929" s="6">
        <v>240.11500000000001</v>
      </c>
      <c r="O929" s="6">
        <v>240.11500000000001</v>
      </c>
      <c r="P929" s="6">
        <v>279</v>
      </c>
      <c r="Q929" s="4" t="s">
        <v>26</v>
      </c>
      <c r="R929" s="4">
        <v>0</v>
      </c>
      <c r="S929" s="6">
        <v>0</v>
      </c>
      <c r="T929" s="6">
        <v>58</v>
      </c>
      <c r="U929" s="6">
        <v>99</v>
      </c>
      <c r="V929" s="6">
        <f>IF(ISERROR(VLOOKUP($S$929,'TAR FIN'!$A$1:$O$103,15,0)),0,VLOOKUP($S$929,'TAR FIN'!$A$1:$O$103,15,0))</f>
        <v>0</v>
      </c>
      <c r="W929" s="6">
        <f>IF(ISERROR(VLOOKUP($T$929,'TAR FIN'!$A$1:$O$103,15,0)),0,VLOOKUP($T$929,'TAR FIN'!$A$1:$O$103,15,0))</f>
        <v>269.91000000000003</v>
      </c>
      <c r="X929" s="6">
        <f>IF(ISERROR(VLOOKUP($U$929,'TAR FIN'!$A$1:$O$103,15,0)),0,VLOOKUP($U$929,'TAR FIN'!$A$1:$O$103,15,0))</f>
        <v>288.89999999999998</v>
      </c>
      <c r="Y929" s="6"/>
      <c r="Z929" s="6">
        <f ca="1">('TUSD BE'!$AM$58+'TUSD BF_350'!$AM$58+'TUSD CVA'!$AM$58)*1</f>
        <v>310.79999999999995</v>
      </c>
      <c r="AA929" s="6">
        <f ca="1">('TE BE'!$AB$42+'TE BF_350'!$AB$42+'TE CVA'!$AB$42)*1</f>
        <v>258.94</v>
      </c>
      <c r="AB929" s="6">
        <f>$K$929*$V$929</f>
        <v>0</v>
      </c>
      <c r="AC929" s="6">
        <f>$M$929*$W$929</f>
        <v>64809.439650000008</v>
      </c>
      <c r="AD929" s="6">
        <f>$O$929*$X$929</f>
        <v>69369.223499999993</v>
      </c>
      <c r="AE929" s="6">
        <f>$K$929*$Y$929</f>
        <v>0</v>
      </c>
      <c r="AF929" s="6">
        <f ca="1">$M$929*$Z$929</f>
        <v>74627.741999999998</v>
      </c>
      <c r="AG929" s="6">
        <f ca="1">$O$929*$AA$929</f>
        <v>62175.378100000002</v>
      </c>
    </row>
    <row r="930" spans="1:33" ht="11.25" customHeight="1" x14ac:dyDescent="0.25">
      <c r="A930" s="4" t="s">
        <v>27</v>
      </c>
      <c r="B930" s="4" t="s">
        <v>39</v>
      </c>
      <c r="C930" s="4" t="s">
        <v>23</v>
      </c>
      <c r="D930" s="4" t="s">
        <v>40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44562</v>
      </c>
      <c r="J930" s="6">
        <v>0</v>
      </c>
      <c r="K930" s="6">
        <v>0</v>
      </c>
      <c r="L930" s="6">
        <v>0.314</v>
      </c>
      <c r="M930" s="6">
        <v>0.314</v>
      </c>
      <c r="N930" s="6">
        <v>0.314</v>
      </c>
      <c r="O930" s="6">
        <v>0.314</v>
      </c>
      <c r="P930" s="6">
        <v>0</v>
      </c>
      <c r="Q930" s="4" t="s">
        <v>26</v>
      </c>
      <c r="R930" s="4">
        <v>0</v>
      </c>
      <c r="S930" s="6">
        <v>0</v>
      </c>
      <c r="T930" s="6">
        <v>58</v>
      </c>
      <c r="U930" s="6">
        <v>99</v>
      </c>
      <c r="V930" s="6">
        <f>IF(ISERROR(VLOOKUP($S$930,'TAR FIN'!$A$1:$O$103,15,0)),0,VLOOKUP($S$930,'TAR FIN'!$A$1:$O$103,15,0))</f>
        <v>0</v>
      </c>
      <c r="W930" s="6">
        <f>IF(ISERROR(VLOOKUP($T$930,'TAR FIN'!$A$1:$O$103,15,0)),0,VLOOKUP($T$930,'TAR FIN'!$A$1:$O$103,15,0))</f>
        <v>269.91000000000003</v>
      </c>
      <c r="X930" s="6">
        <f>IF(ISERROR(VLOOKUP($U$930,'TAR FIN'!$A$1:$O$103,15,0)),0,VLOOKUP($U$930,'TAR FIN'!$A$1:$O$103,15,0))</f>
        <v>288.89999999999998</v>
      </c>
      <c r="Y930" s="6"/>
      <c r="Z930" s="6">
        <f ca="1">('TUSD BE'!$AM$58+'TUSD BF_350'!$AM$58+'TUSD CVA'!$AM$58)*1</f>
        <v>310.79999999999995</v>
      </c>
      <c r="AA930" s="6">
        <f ca="1">('TE BE'!$AB$42+'TE BF_350'!$AB$42+'TE CVA'!$AB$42)*1</f>
        <v>258.94</v>
      </c>
      <c r="AB930" s="6">
        <f>$K$930*$V$930</f>
        <v>0</v>
      </c>
      <c r="AC930" s="6">
        <f>$M$930*$W$930</f>
        <v>84.751740000000012</v>
      </c>
      <c r="AD930" s="6">
        <f>$O$930*$X$930</f>
        <v>90.71459999999999</v>
      </c>
      <c r="AE930" s="6">
        <f>$K$930*$Y$930</f>
        <v>0</v>
      </c>
      <c r="AF930" s="6">
        <f ca="1">$M$930*$Z$930</f>
        <v>97.591199999999986</v>
      </c>
      <c r="AG930" s="6">
        <f ca="1">$O$930*$AA$930</f>
        <v>81.307159999999996</v>
      </c>
    </row>
    <row r="931" spans="1:33" ht="11.25" customHeight="1" x14ac:dyDescent="0.25">
      <c r="A931" s="4" t="s">
        <v>28</v>
      </c>
      <c r="B931" s="4" t="s">
        <v>39</v>
      </c>
      <c r="C931" s="4" t="s">
        <v>23</v>
      </c>
      <c r="D931" s="4" t="s">
        <v>40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44562</v>
      </c>
      <c r="J931" s="6">
        <v>0</v>
      </c>
      <c r="K931" s="6">
        <v>0</v>
      </c>
      <c r="L931" s="6">
        <v>0.36799999999999999</v>
      </c>
      <c r="M931" s="6">
        <v>0.36799999999999999</v>
      </c>
      <c r="N931" s="6">
        <v>0.36799999999999999</v>
      </c>
      <c r="O931" s="6">
        <v>0.36799999999999999</v>
      </c>
      <c r="P931" s="6">
        <v>2</v>
      </c>
      <c r="Q931" s="4" t="s">
        <v>26</v>
      </c>
      <c r="R931" s="4">
        <v>0</v>
      </c>
      <c r="S931" s="6">
        <v>0</v>
      </c>
      <c r="T931" s="6">
        <v>58</v>
      </c>
      <c r="U931" s="6">
        <v>99</v>
      </c>
      <c r="V931" s="6">
        <f>IF(ISERROR(VLOOKUP($S$931,'TAR FIN'!$A$1:$O$103,15,0)),0,VLOOKUP($S$931,'TAR FIN'!$A$1:$O$103,15,0))</f>
        <v>0</v>
      </c>
      <c r="W931" s="6">
        <f>IF(ISERROR(VLOOKUP($T$931,'TAR FIN'!$A$1:$O$103,15,0)),0,VLOOKUP($T$931,'TAR FIN'!$A$1:$O$103,15,0))</f>
        <v>269.91000000000003</v>
      </c>
      <c r="X931" s="6">
        <f>IF(ISERROR(VLOOKUP($U$931,'TAR FIN'!$A$1:$O$103,15,0)),0,VLOOKUP($U$931,'TAR FIN'!$A$1:$O$103,15,0))</f>
        <v>288.89999999999998</v>
      </c>
      <c r="Y931" s="6"/>
      <c r="Z931" s="6">
        <f ca="1">('TUSD BE'!$AM$58+'TUSD BF_350'!$AM$58+'TUSD CVA'!$AM$58)*1</f>
        <v>310.79999999999995</v>
      </c>
      <c r="AA931" s="6">
        <f ca="1">('TE BE'!$AB$42+'TE BF_350'!$AB$42+'TE CVA'!$AB$42)*1</f>
        <v>258.94</v>
      </c>
      <c r="AB931" s="6">
        <f>$K$931*$V$931</f>
        <v>0</v>
      </c>
      <c r="AC931" s="6">
        <f>$M$931*$W$931</f>
        <v>99.326880000000003</v>
      </c>
      <c r="AD931" s="6">
        <f>$O$931*$X$931</f>
        <v>106.31519999999999</v>
      </c>
      <c r="AE931" s="6">
        <f>$K$931*$Y$931</f>
        <v>0</v>
      </c>
      <c r="AF931" s="6">
        <f ca="1">$M$931*$Z$931</f>
        <v>114.37439999999998</v>
      </c>
      <c r="AG931" s="6">
        <f ca="1">$O$931*$AA$931</f>
        <v>95.289919999999995</v>
      </c>
    </row>
    <row r="932" spans="1:33" ht="11.25" customHeight="1" x14ac:dyDescent="0.25">
      <c r="A932" s="4" t="s">
        <v>21</v>
      </c>
      <c r="B932" s="4" t="s">
        <v>39</v>
      </c>
      <c r="C932" s="4" t="s">
        <v>23</v>
      </c>
      <c r="D932" s="4" t="s">
        <v>40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44593</v>
      </c>
      <c r="J932" s="6">
        <v>0</v>
      </c>
      <c r="K932" s="6">
        <v>0</v>
      </c>
      <c r="L932" s="6">
        <v>284.11599999999999</v>
      </c>
      <c r="M932" s="6">
        <v>284.11599999999999</v>
      </c>
      <c r="N932" s="6">
        <v>284.11599999999999</v>
      </c>
      <c r="O932" s="6">
        <v>284.11599999999999</v>
      </c>
      <c r="P932" s="6">
        <v>277</v>
      </c>
      <c r="Q932" s="4" t="s">
        <v>26</v>
      </c>
      <c r="R932" s="4">
        <v>0</v>
      </c>
      <c r="S932" s="6">
        <v>0</v>
      </c>
      <c r="T932" s="6">
        <v>58</v>
      </c>
      <c r="U932" s="6">
        <v>99</v>
      </c>
      <c r="V932" s="6">
        <f>IF(ISERROR(VLOOKUP($S$932,'TAR FIN'!$A$1:$O$103,15,0)),0,VLOOKUP($S$932,'TAR FIN'!$A$1:$O$103,15,0))</f>
        <v>0</v>
      </c>
      <c r="W932" s="6">
        <f>IF(ISERROR(VLOOKUP($T$932,'TAR FIN'!$A$1:$O$103,15,0)),0,VLOOKUP($T$932,'TAR FIN'!$A$1:$O$103,15,0))</f>
        <v>269.91000000000003</v>
      </c>
      <c r="X932" s="6">
        <f>IF(ISERROR(VLOOKUP($U$932,'TAR FIN'!$A$1:$O$103,15,0)),0,VLOOKUP($U$932,'TAR FIN'!$A$1:$O$103,15,0))</f>
        <v>288.89999999999998</v>
      </c>
      <c r="Y932" s="6"/>
      <c r="Z932" s="6">
        <f ca="1">('TUSD BE'!$AM$58+'TUSD BF_350'!$AM$58+'TUSD CVA'!$AM$58)*1</f>
        <v>310.79999999999995</v>
      </c>
      <c r="AA932" s="6">
        <f ca="1">('TE BE'!$AB$42+'TE BF_350'!$AB$42+'TE CVA'!$AB$42)*1</f>
        <v>258.94</v>
      </c>
      <c r="AB932" s="6">
        <f>$K$932*$V$932</f>
        <v>0</v>
      </c>
      <c r="AC932" s="6">
        <f>$M$932*$W$932</f>
        <v>76685.749559999997</v>
      </c>
      <c r="AD932" s="6">
        <f>$O$932*$X$932</f>
        <v>82081.112399999984</v>
      </c>
      <c r="AE932" s="6">
        <f>$K$932*$Y$932</f>
        <v>0</v>
      </c>
      <c r="AF932" s="6">
        <f ca="1">$M$932*$Z$932</f>
        <v>88303.252799999987</v>
      </c>
      <c r="AG932" s="6">
        <f ca="1">$O$932*$AA$932</f>
        <v>73568.997040000002</v>
      </c>
    </row>
    <row r="933" spans="1:33" ht="11.25" customHeight="1" x14ac:dyDescent="0.25">
      <c r="A933" s="4" t="s">
        <v>28</v>
      </c>
      <c r="B933" s="4" t="s">
        <v>39</v>
      </c>
      <c r="C933" s="4" t="s">
        <v>23</v>
      </c>
      <c r="D933" s="4" t="s">
        <v>40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44593</v>
      </c>
      <c r="J933" s="6">
        <v>0</v>
      </c>
      <c r="K933" s="6">
        <v>0</v>
      </c>
      <c r="L933" s="6">
        <v>0.51200000000000001</v>
      </c>
      <c r="M933" s="6">
        <v>0.51200000000000001</v>
      </c>
      <c r="N933" s="6">
        <v>0.51200000000000001</v>
      </c>
      <c r="O933" s="6">
        <v>0.51200000000000001</v>
      </c>
      <c r="P933" s="6">
        <v>2</v>
      </c>
      <c r="Q933" s="4" t="s">
        <v>26</v>
      </c>
      <c r="R933" s="4">
        <v>0</v>
      </c>
      <c r="S933" s="6">
        <v>0</v>
      </c>
      <c r="T933" s="6">
        <v>58</v>
      </c>
      <c r="U933" s="6">
        <v>99</v>
      </c>
      <c r="V933" s="6">
        <f>IF(ISERROR(VLOOKUP($S$933,'TAR FIN'!$A$1:$O$103,15,0)),0,VLOOKUP($S$933,'TAR FIN'!$A$1:$O$103,15,0))</f>
        <v>0</v>
      </c>
      <c r="W933" s="6">
        <f>IF(ISERROR(VLOOKUP($T$933,'TAR FIN'!$A$1:$O$103,15,0)),0,VLOOKUP($T$933,'TAR FIN'!$A$1:$O$103,15,0))</f>
        <v>269.91000000000003</v>
      </c>
      <c r="X933" s="6">
        <f>IF(ISERROR(VLOOKUP($U$933,'TAR FIN'!$A$1:$O$103,15,0)),0,VLOOKUP($U$933,'TAR FIN'!$A$1:$O$103,15,0))</f>
        <v>288.89999999999998</v>
      </c>
      <c r="Y933" s="6"/>
      <c r="Z933" s="6">
        <f ca="1">('TUSD BE'!$AM$58+'TUSD BF_350'!$AM$58+'TUSD CVA'!$AM$58)*1</f>
        <v>310.79999999999995</v>
      </c>
      <c r="AA933" s="6">
        <f ca="1">('TE BE'!$AB$42+'TE BF_350'!$AB$42+'TE CVA'!$AB$42)*1</f>
        <v>258.94</v>
      </c>
      <c r="AB933" s="6">
        <f>$K$933*$V$933</f>
        <v>0</v>
      </c>
      <c r="AC933" s="6">
        <f>$M$933*$W$933</f>
        <v>138.19392000000002</v>
      </c>
      <c r="AD933" s="6">
        <f>$O$933*$X$933</f>
        <v>147.91679999999999</v>
      </c>
      <c r="AE933" s="6">
        <f>$K$933*$Y$933</f>
        <v>0</v>
      </c>
      <c r="AF933" s="6">
        <f ca="1">$M$933*$Z$933</f>
        <v>159.12959999999998</v>
      </c>
      <c r="AG933" s="6">
        <f ca="1">$O$933*$AA$933</f>
        <v>132.57728</v>
      </c>
    </row>
    <row r="934" spans="1:33" ht="11.25" customHeight="1" x14ac:dyDescent="0.25">
      <c r="A934" s="4" t="s">
        <v>21</v>
      </c>
      <c r="B934" s="4" t="s">
        <v>39</v>
      </c>
      <c r="C934" s="4" t="s">
        <v>23</v>
      </c>
      <c r="D934" s="4" t="s">
        <v>40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44621</v>
      </c>
      <c r="J934" s="6">
        <v>0</v>
      </c>
      <c r="K934" s="6">
        <v>0</v>
      </c>
      <c r="L934" s="6">
        <v>289.50700000000001</v>
      </c>
      <c r="M934" s="6">
        <v>289.50700000000001</v>
      </c>
      <c r="N934" s="6">
        <v>289.50700000000001</v>
      </c>
      <c r="O934" s="6">
        <v>289.50700000000001</v>
      </c>
      <c r="P934" s="6">
        <v>276</v>
      </c>
      <c r="Q934" s="4" t="s">
        <v>26</v>
      </c>
      <c r="R934" s="4">
        <v>0</v>
      </c>
      <c r="S934" s="6">
        <v>0</v>
      </c>
      <c r="T934" s="6">
        <v>58</v>
      </c>
      <c r="U934" s="6">
        <v>99</v>
      </c>
      <c r="V934" s="6">
        <f>IF(ISERROR(VLOOKUP($S$934,'TAR FIN'!$A$1:$O$103,15,0)),0,VLOOKUP($S$934,'TAR FIN'!$A$1:$O$103,15,0))</f>
        <v>0</v>
      </c>
      <c r="W934" s="6">
        <f>IF(ISERROR(VLOOKUP($T$934,'TAR FIN'!$A$1:$O$103,15,0)),0,VLOOKUP($T$934,'TAR FIN'!$A$1:$O$103,15,0))</f>
        <v>269.91000000000003</v>
      </c>
      <c r="X934" s="6">
        <f>IF(ISERROR(VLOOKUP($U$934,'TAR FIN'!$A$1:$O$103,15,0)),0,VLOOKUP($U$934,'TAR FIN'!$A$1:$O$103,15,0))</f>
        <v>288.89999999999998</v>
      </c>
      <c r="Y934" s="6"/>
      <c r="Z934" s="6">
        <f ca="1">('TUSD BE'!$AM$58+'TUSD BF_350'!$AM$58+'TUSD CVA'!$AM$58)*1</f>
        <v>310.79999999999995</v>
      </c>
      <c r="AA934" s="6">
        <f ca="1">('TE BE'!$AB$42+'TE BF_350'!$AB$42+'TE CVA'!$AB$42)*1</f>
        <v>258.94</v>
      </c>
      <c r="AB934" s="6">
        <f>$K$934*$V$934</f>
        <v>0</v>
      </c>
      <c r="AC934" s="6">
        <f>$M$934*$W$934</f>
        <v>78140.834370000011</v>
      </c>
      <c r="AD934" s="6">
        <f>$O$934*$X$934</f>
        <v>83638.5723</v>
      </c>
      <c r="AE934" s="6">
        <f>$K$934*$Y$934</f>
        <v>0</v>
      </c>
      <c r="AF934" s="6">
        <f ca="1">$M$934*$Z$934</f>
        <v>89978.775599999994</v>
      </c>
      <c r="AG934" s="6">
        <f ca="1">$O$934*$AA$934</f>
        <v>74964.942580000003</v>
      </c>
    </row>
    <row r="935" spans="1:33" ht="11.25" customHeight="1" x14ac:dyDescent="0.25">
      <c r="A935" s="4" t="s">
        <v>28</v>
      </c>
      <c r="B935" s="4" t="s">
        <v>39</v>
      </c>
      <c r="C935" s="4" t="s">
        <v>23</v>
      </c>
      <c r="D935" s="4" t="s">
        <v>40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44621</v>
      </c>
      <c r="J935" s="6">
        <v>0</v>
      </c>
      <c r="K935" s="6">
        <v>0</v>
      </c>
      <c r="L935" s="6">
        <v>0.504</v>
      </c>
      <c r="M935" s="6">
        <v>0.504</v>
      </c>
      <c r="N935" s="6">
        <v>0.504</v>
      </c>
      <c r="O935" s="6">
        <v>0.504</v>
      </c>
      <c r="P935" s="6">
        <v>2</v>
      </c>
      <c r="Q935" s="4" t="s">
        <v>26</v>
      </c>
      <c r="R935" s="4">
        <v>0</v>
      </c>
      <c r="S935" s="6">
        <v>0</v>
      </c>
      <c r="T935" s="6">
        <v>58</v>
      </c>
      <c r="U935" s="6">
        <v>99</v>
      </c>
      <c r="V935" s="6">
        <f>IF(ISERROR(VLOOKUP($S$935,'TAR FIN'!$A$1:$O$103,15,0)),0,VLOOKUP($S$935,'TAR FIN'!$A$1:$O$103,15,0))</f>
        <v>0</v>
      </c>
      <c r="W935" s="6">
        <f>IF(ISERROR(VLOOKUP($T$935,'TAR FIN'!$A$1:$O$103,15,0)),0,VLOOKUP($T$935,'TAR FIN'!$A$1:$O$103,15,0))</f>
        <v>269.91000000000003</v>
      </c>
      <c r="X935" s="6">
        <f>IF(ISERROR(VLOOKUP($U$935,'TAR FIN'!$A$1:$O$103,15,0)),0,VLOOKUP($U$935,'TAR FIN'!$A$1:$O$103,15,0))</f>
        <v>288.89999999999998</v>
      </c>
      <c r="Y935" s="6"/>
      <c r="Z935" s="6">
        <f ca="1">('TUSD BE'!$AM$58+'TUSD BF_350'!$AM$58+'TUSD CVA'!$AM$58)*1</f>
        <v>310.79999999999995</v>
      </c>
      <c r="AA935" s="6">
        <f ca="1">('TE BE'!$AB$42+'TE BF_350'!$AB$42+'TE CVA'!$AB$42)*1</f>
        <v>258.94</v>
      </c>
      <c r="AB935" s="6">
        <f>$K$935*$V$935</f>
        <v>0</v>
      </c>
      <c r="AC935" s="6">
        <f>$M$935*$W$935</f>
        <v>136.03464000000002</v>
      </c>
      <c r="AD935" s="6">
        <f>$O$935*$X$935</f>
        <v>145.60559999999998</v>
      </c>
      <c r="AE935" s="6">
        <f>$K$935*$Y$935</f>
        <v>0</v>
      </c>
      <c r="AF935" s="6">
        <f ca="1">$M$935*$Z$935</f>
        <v>156.64319999999998</v>
      </c>
      <c r="AG935" s="6">
        <f ca="1">$O$935*$AA$935</f>
        <v>130.50576000000001</v>
      </c>
    </row>
    <row r="936" spans="1:33" ht="11.25" customHeight="1" x14ac:dyDescent="0.25">
      <c r="A936" s="4" t="s">
        <v>21</v>
      </c>
      <c r="B936" s="4" t="s">
        <v>39</v>
      </c>
      <c r="C936" s="4" t="s">
        <v>23</v>
      </c>
      <c r="D936" s="4" t="s">
        <v>40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44652</v>
      </c>
      <c r="J936" s="6">
        <v>0</v>
      </c>
      <c r="K936" s="6">
        <v>0</v>
      </c>
      <c r="L936" s="6">
        <v>271.29899999999998</v>
      </c>
      <c r="M936" s="6">
        <v>271.29899999999998</v>
      </c>
      <c r="N936" s="6">
        <v>271.29899999999998</v>
      </c>
      <c r="O936" s="6">
        <v>271.29899999999998</v>
      </c>
      <c r="P936" s="6">
        <v>266</v>
      </c>
      <c r="Q936" s="4" t="s">
        <v>26</v>
      </c>
      <c r="R936" s="4">
        <v>0</v>
      </c>
      <c r="S936" s="6">
        <v>0</v>
      </c>
      <c r="T936" s="6">
        <v>58</v>
      </c>
      <c r="U936" s="6">
        <v>99</v>
      </c>
      <c r="V936" s="6">
        <f>IF(ISERROR(VLOOKUP($S$936,'TAR FIN'!$A$1:$O$103,15,0)),0,VLOOKUP($S$936,'TAR FIN'!$A$1:$O$103,15,0))</f>
        <v>0</v>
      </c>
      <c r="W936" s="6">
        <f>IF(ISERROR(VLOOKUP($T$936,'TAR FIN'!$A$1:$O$103,15,0)),0,VLOOKUP($T$936,'TAR FIN'!$A$1:$O$103,15,0))</f>
        <v>269.91000000000003</v>
      </c>
      <c r="X936" s="6">
        <f>IF(ISERROR(VLOOKUP($U$936,'TAR FIN'!$A$1:$O$103,15,0)),0,VLOOKUP($U$936,'TAR FIN'!$A$1:$O$103,15,0))</f>
        <v>288.89999999999998</v>
      </c>
      <c r="Y936" s="6"/>
      <c r="Z936" s="6">
        <f ca="1">('TUSD BE'!$AM$58+'TUSD BF_350'!$AM$58+'TUSD CVA'!$AM$58)*1</f>
        <v>310.79999999999995</v>
      </c>
      <c r="AA936" s="6">
        <f ca="1">('TE BE'!$AB$42+'TE BF_350'!$AB$42+'TE CVA'!$AB$42)*1</f>
        <v>258.94</v>
      </c>
      <c r="AB936" s="6">
        <f>$K$936*$V$936</f>
        <v>0</v>
      </c>
      <c r="AC936" s="6">
        <f>$M$936*$W$936</f>
        <v>73226.313089999996</v>
      </c>
      <c r="AD936" s="6">
        <f>$O$936*$X$936</f>
        <v>78378.281099999993</v>
      </c>
      <c r="AE936" s="6">
        <f>$K$936*$Y$936</f>
        <v>0</v>
      </c>
      <c r="AF936" s="6">
        <f ca="1">$M$936*$Z$936</f>
        <v>84319.729199999987</v>
      </c>
      <c r="AG936" s="6">
        <f ca="1">$O$936*$AA$936</f>
        <v>70250.163059999992</v>
      </c>
    </row>
    <row r="937" spans="1:33" ht="11.25" customHeight="1" x14ac:dyDescent="0.25">
      <c r="A937" s="4" t="s">
        <v>28</v>
      </c>
      <c r="B937" s="4" t="s">
        <v>39</v>
      </c>
      <c r="C937" s="4" t="s">
        <v>23</v>
      </c>
      <c r="D937" s="4" t="s">
        <v>40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44652</v>
      </c>
      <c r="J937" s="6">
        <v>0</v>
      </c>
      <c r="K937" s="6">
        <v>0</v>
      </c>
      <c r="L937" s="6">
        <v>0.58899999999999997</v>
      </c>
      <c r="M937" s="6">
        <v>0.58899999999999997</v>
      </c>
      <c r="N937" s="6">
        <v>0.58899999999999997</v>
      </c>
      <c r="O937" s="6">
        <v>0.58899999999999997</v>
      </c>
      <c r="P937" s="6">
        <v>2</v>
      </c>
      <c r="Q937" s="4" t="s">
        <v>26</v>
      </c>
      <c r="R937" s="4">
        <v>0</v>
      </c>
      <c r="S937" s="6">
        <v>0</v>
      </c>
      <c r="T937" s="6">
        <v>58</v>
      </c>
      <c r="U937" s="6">
        <v>99</v>
      </c>
      <c r="V937" s="6">
        <f>IF(ISERROR(VLOOKUP($S$937,'TAR FIN'!$A$1:$O$103,15,0)),0,VLOOKUP($S$937,'TAR FIN'!$A$1:$O$103,15,0))</f>
        <v>0</v>
      </c>
      <c r="W937" s="6">
        <f>IF(ISERROR(VLOOKUP($T$937,'TAR FIN'!$A$1:$O$103,15,0)),0,VLOOKUP($T$937,'TAR FIN'!$A$1:$O$103,15,0))</f>
        <v>269.91000000000003</v>
      </c>
      <c r="X937" s="6">
        <f>IF(ISERROR(VLOOKUP($U$937,'TAR FIN'!$A$1:$O$103,15,0)),0,VLOOKUP($U$937,'TAR FIN'!$A$1:$O$103,15,0))</f>
        <v>288.89999999999998</v>
      </c>
      <c r="Y937" s="6"/>
      <c r="Z937" s="6">
        <f ca="1">('TUSD BE'!$AM$58+'TUSD BF_350'!$AM$58+'TUSD CVA'!$AM$58)*1</f>
        <v>310.79999999999995</v>
      </c>
      <c r="AA937" s="6">
        <f ca="1">('TE BE'!$AB$42+'TE BF_350'!$AB$42+'TE CVA'!$AB$42)*1</f>
        <v>258.94</v>
      </c>
      <c r="AB937" s="6">
        <f>$K$937*$V$937</f>
        <v>0</v>
      </c>
      <c r="AC937" s="6">
        <f>$M$937*$W$937</f>
        <v>158.97699</v>
      </c>
      <c r="AD937" s="6">
        <f>$O$937*$X$937</f>
        <v>170.16209999999998</v>
      </c>
      <c r="AE937" s="6">
        <f>$K$937*$Y$937</f>
        <v>0</v>
      </c>
      <c r="AF937" s="6">
        <f ca="1">$M$937*$Z$937</f>
        <v>183.06119999999996</v>
      </c>
      <c r="AG937" s="6">
        <f ca="1">$O$937*$AA$937</f>
        <v>152.51566</v>
      </c>
    </row>
    <row r="938" spans="1:33" ht="11.25" customHeight="1" x14ac:dyDescent="0.25">
      <c r="A938" s="4" t="s">
        <v>21</v>
      </c>
      <c r="B938" s="4" t="s">
        <v>39</v>
      </c>
      <c r="C938" s="4" t="s">
        <v>23</v>
      </c>
      <c r="D938" s="4" t="s">
        <v>40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44682</v>
      </c>
      <c r="J938" s="6">
        <v>0</v>
      </c>
      <c r="K938" s="6">
        <v>0</v>
      </c>
      <c r="L938" s="6">
        <v>266.976</v>
      </c>
      <c r="M938" s="6">
        <v>266.976</v>
      </c>
      <c r="N938" s="6">
        <v>266.976</v>
      </c>
      <c r="O938" s="6">
        <v>266.976</v>
      </c>
      <c r="P938" s="6">
        <v>262</v>
      </c>
      <c r="Q938" s="4" t="s">
        <v>26</v>
      </c>
      <c r="R938" s="4">
        <v>0</v>
      </c>
      <c r="S938" s="6">
        <v>0</v>
      </c>
      <c r="T938" s="6">
        <v>58</v>
      </c>
      <c r="U938" s="6">
        <v>99</v>
      </c>
      <c r="V938" s="6">
        <f>IF(ISERROR(VLOOKUP($S$938,'TAR FIN'!$A$1:$O$103,15,0)),0,VLOOKUP($S$938,'TAR FIN'!$A$1:$O$103,15,0))</f>
        <v>0</v>
      </c>
      <c r="W938" s="6">
        <f>IF(ISERROR(VLOOKUP($T$938,'TAR FIN'!$A$1:$O$103,15,0)),0,VLOOKUP($T$938,'TAR FIN'!$A$1:$O$103,15,0))</f>
        <v>269.91000000000003</v>
      </c>
      <c r="X938" s="6">
        <f>IF(ISERROR(VLOOKUP($U$938,'TAR FIN'!$A$1:$O$103,15,0)),0,VLOOKUP($U$938,'TAR FIN'!$A$1:$O$103,15,0))</f>
        <v>288.89999999999998</v>
      </c>
      <c r="Y938" s="6"/>
      <c r="Z938" s="6">
        <f ca="1">('TUSD BE'!$AM$58+'TUSD BF_350'!$AM$58+'TUSD CVA'!$AM$58)*1</f>
        <v>310.79999999999995</v>
      </c>
      <c r="AA938" s="6">
        <f ca="1">('TE BE'!$AB$42+'TE BF_350'!$AB$42+'TE CVA'!$AB$42)*1</f>
        <v>258.94</v>
      </c>
      <c r="AB938" s="6">
        <f>$K$938*$V$938</f>
        <v>0</v>
      </c>
      <c r="AC938" s="6">
        <f>$M$938*$W$938</f>
        <v>72059.492160000009</v>
      </c>
      <c r="AD938" s="6">
        <f>$O$938*$X$938</f>
        <v>77129.366399999999</v>
      </c>
      <c r="AE938" s="6">
        <f>$K$938*$Y$938</f>
        <v>0</v>
      </c>
      <c r="AF938" s="6">
        <f ca="1">$M$938*$Z$938</f>
        <v>82976.140799999994</v>
      </c>
      <c r="AG938" s="6">
        <f ca="1">$O$938*$AA$938</f>
        <v>69130.765440000003</v>
      </c>
    </row>
    <row r="939" spans="1:33" ht="11.25" customHeight="1" x14ac:dyDescent="0.25">
      <c r="A939" s="4" t="s">
        <v>28</v>
      </c>
      <c r="B939" s="4" t="s">
        <v>39</v>
      </c>
      <c r="C939" s="4" t="s">
        <v>23</v>
      </c>
      <c r="D939" s="4" t="s">
        <v>40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44682</v>
      </c>
      <c r="J939" s="6">
        <v>0</v>
      </c>
      <c r="K939" s="6">
        <v>0</v>
      </c>
      <c r="L939" s="6">
        <v>0.57799999999999996</v>
      </c>
      <c r="M939" s="6">
        <v>0.57799999999999996</v>
      </c>
      <c r="N939" s="6">
        <v>0.57799999999999996</v>
      </c>
      <c r="O939" s="6">
        <v>0.57799999999999996</v>
      </c>
      <c r="P939" s="6">
        <v>2</v>
      </c>
      <c r="Q939" s="4" t="s">
        <v>26</v>
      </c>
      <c r="R939" s="4">
        <v>0</v>
      </c>
      <c r="S939" s="6">
        <v>0</v>
      </c>
      <c r="T939" s="6">
        <v>58</v>
      </c>
      <c r="U939" s="6">
        <v>99</v>
      </c>
      <c r="V939" s="6">
        <f>IF(ISERROR(VLOOKUP($S$939,'TAR FIN'!$A$1:$O$103,15,0)),0,VLOOKUP($S$939,'TAR FIN'!$A$1:$O$103,15,0))</f>
        <v>0</v>
      </c>
      <c r="W939" s="6">
        <f>IF(ISERROR(VLOOKUP($T$939,'TAR FIN'!$A$1:$O$103,15,0)),0,VLOOKUP($T$939,'TAR FIN'!$A$1:$O$103,15,0))</f>
        <v>269.91000000000003</v>
      </c>
      <c r="X939" s="6">
        <f>IF(ISERROR(VLOOKUP($U$939,'TAR FIN'!$A$1:$O$103,15,0)),0,VLOOKUP($U$939,'TAR FIN'!$A$1:$O$103,15,0))</f>
        <v>288.89999999999998</v>
      </c>
      <c r="Y939" s="6"/>
      <c r="Z939" s="6">
        <f ca="1">('TUSD BE'!$AM$58+'TUSD BF_350'!$AM$58+'TUSD CVA'!$AM$58)*1</f>
        <v>310.79999999999995</v>
      </c>
      <c r="AA939" s="6">
        <f ca="1">('TE BE'!$AB$42+'TE BF_350'!$AB$42+'TE CVA'!$AB$42)*1</f>
        <v>258.94</v>
      </c>
      <c r="AB939" s="6">
        <f>$K$939*$V$939</f>
        <v>0</v>
      </c>
      <c r="AC939" s="6">
        <f>$M$939*$W$939</f>
        <v>156.00798</v>
      </c>
      <c r="AD939" s="6">
        <f>$O$939*$X$939</f>
        <v>166.98419999999999</v>
      </c>
      <c r="AE939" s="6">
        <f>$K$939*$Y$939</f>
        <v>0</v>
      </c>
      <c r="AF939" s="6">
        <f ca="1">$M$939*$Z$939</f>
        <v>179.64239999999995</v>
      </c>
      <c r="AG939" s="6">
        <f ca="1">$O$939*$AA$939</f>
        <v>149.66731999999999</v>
      </c>
    </row>
    <row r="940" spans="1:33" ht="11.25" customHeight="1" x14ac:dyDescent="0.25">
      <c r="A940" s="4" t="s">
        <v>21</v>
      </c>
      <c r="B940" s="4" t="s">
        <v>39</v>
      </c>
      <c r="C940" s="4" t="s">
        <v>23</v>
      </c>
      <c r="D940" s="4" t="s">
        <v>46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44348</v>
      </c>
      <c r="J940" s="6">
        <v>0</v>
      </c>
      <c r="K940" s="6">
        <v>0</v>
      </c>
      <c r="L940" s="6">
        <v>116.09</v>
      </c>
      <c r="M940" s="6">
        <v>116.09</v>
      </c>
      <c r="N940" s="6">
        <v>116.09</v>
      </c>
      <c r="O940" s="6">
        <v>116.09</v>
      </c>
      <c r="P940" s="6">
        <v>305</v>
      </c>
      <c r="Q940" s="4" t="s">
        <v>26</v>
      </c>
      <c r="R940" s="4">
        <v>0</v>
      </c>
      <c r="S940" s="6">
        <v>0</v>
      </c>
      <c r="T940" s="6">
        <v>58</v>
      </c>
      <c r="U940" s="6">
        <v>99</v>
      </c>
      <c r="V940" s="6">
        <f>IF(ISERROR(VLOOKUP($S$940,'TAR FIN'!$A$1:$O$103,15,0)),0,VLOOKUP($S$940,'TAR FIN'!$A$1:$O$103,15,0))</f>
        <v>0</v>
      </c>
      <c r="W940" s="6">
        <f>IF(ISERROR(VLOOKUP($T$940,'TAR FIN'!$A$1:$O$103,15,0)),0,VLOOKUP($T$940,'TAR FIN'!$A$1:$O$103,15,0))</f>
        <v>269.91000000000003</v>
      </c>
      <c r="X940" s="6">
        <f>IF(ISERROR(VLOOKUP($U$940,'TAR FIN'!$A$1:$O$103,15,0)),0,VLOOKUP($U$940,'TAR FIN'!$A$1:$O$103,15,0))</f>
        <v>288.89999999999998</v>
      </c>
      <c r="Y940" s="6"/>
      <c r="Z940" s="6">
        <f ca="1">('TUSD BE'!$AM$58+'TUSD BF_350'!$AM$58+'TUSD CVA'!$AM$58)*1</f>
        <v>310.79999999999995</v>
      </c>
      <c r="AA940" s="6">
        <f ca="1">('TE BE'!$AB$42+'TE BF_350'!$AB$42+'TE CVA'!$AB$42)*1</f>
        <v>258.94</v>
      </c>
      <c r="AB940" s="6">
        <f>$K$940*$V$940</f>
        <v>0</v>
      </c>
      <c r="AC940" s="6">
        <f>$M$940*$W$940</f>
        <v>31333.851900000005</v>
      </c>
      <c r="AD940" s="6">
        <f>$O$940*$X$940</f>
        <v>33538.400999999998</v>
      </c>
      <c r="AE940" s="6">
        <f>$K$940*$Y$940</f>
        <v>0</v>
      </c>
      <c r="AF940" s="6">
        <f ca="1">$M$940*$Z$940</f>
        <v>36080.771999999997</v>
      </c>
      <c r="AG940" s="6">
        <f ca="1">$O$940*$AA$940</f>
        <v>30060.3446</v>
      </c>
    </row>
    <row r="941" spans="1:33" ht="11.25" customHeight="1" x14ac:dyDescent="0.25">
      <c r="A941" s="4" t="s">
        <v>28</v>
      </c>
      <c r="B941" s="4" t="s">
        <v>39</v>
      </c>
      <c r="C941" s="4" t="s">
        <v>23</v>
      </c>
      <c r="D941" s="4" t="s">
        <v>46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44348</v>
      </c>
      <c r="J941" s="6">
        <v>0</v>
      </c>
      <c r="K941" s="6">
        <v>0</v>
      </c>
      <c r="L941" s="6">
        <v>0.56699999999999995</v>
      </c>
      <c r="M941" s="6">
        <v>0.56699999999999995</v>
      </c>
      <c r="N941" s="6">
        <v>0.56699999999999995</v>
      </c>
      <c r="O941" s="6">
        <v>0.56699999999999995</v>
      </c>
      <c r="P941" s="6">
        <v>2</v>
      </c>
      <c r="Q941" s="4" t="s">
        <v>26</v>
      </c>
      <c r="R941" s="4">
        <v>0</v>
      </c>
      <c r="S941" s="6">
        <v>0</v>
      </c>
      <c r="T941" s="6">
        <v>58</v>
      </c>
      <c r="U941" s="6">
        <v>99</v>
      </c>
      <c r="V941" s="6">
        <f>IF(ISERROR(VLOOKUP($S$941,'TAR FIN'!$A$1:$O$103,15,0)),0,VLOOKUP($S$941,'TAR FIN'!$A$1:$O$103,15,0))</f>
        <v>0</v>
      </c>
      <c r="W941" s="6">
        <f>IF(ISERROR(VLOOKUP($T$941,'TAR FIN'!$A$1:$O$103,15,0)),0,VLOOKUP($T$941,'TAR FIN'!$A$1:$O$103,15,0))</f>
        <v>269.91000000000003</v>
      </c>
      <c r="X941" s="6">
        <f>IF(ISERROR(VLOOKUP($U$941,'TAR FIN'!$A$1:$O$103,15,0)),0,VLOOKUP($U$941,'TAR FIN'!$A$1:$O$103,15,0))</f>
        <v>288.89999999999998</v>
      </c>
      <c r="Y941" s="6"/>
      <c r="Z941" s="6">
        <f ca="1">('TUSD BE'!$AM$58+'TUSD BF_350'!$AM$58+'TUSD CVA'!$AM$58)*1</f>
        <v>310.79999999999995</v>
      </c>
      <c r="AA941" s="6">
        <f ca="1">('TE BE'!$AB$42+'TE BF_350'!$AB$42+'TE CVA'!$AB$42)*1</f>
        <v>258.94</v>
      </c>
      <c r="AB941" s="6">
        <f>$K$941*$V$941</f>
        <v>0</v>
      </c>
      <c r="AC941" s="6">
        <f>$M$941*$W$941</f>
        <v>153.03897000000001</v>
      </c>
      <c r="AD941" s="6">
        <f>$O$941*$X$941</f>
        <v>163.80629999999996</v>
      </c>
      <c r="AE941" s="6">
        <f>$K$941*$Y$941</f>
        <v>0</v>
      </c>
      <c r="AF941" s="6">
        <f ca="1">$M$941*$Z$941</f>
        <v>176.22359999999995</v>
      </c>
      <c r="AG941" s="6">
        <f ca="1">$O$941*$AA$941</f>
        <v>146.81897999999998</v>
      </c>
    </row>
    <row r="942" spans="1:33" ht="11.25" customHeight="1" x14ac:dyDescent="0.25">
      <c r="A942" s="4" t="s">
        <v>21</v>
      </c>
      <c r="B942" s="4" t="s">
        <v>39</v>
      </c>
      <c r="C942" s="4" t="s">
        <v>23</v>
      </c>
      <c r="D942" s="4" t="s">
        <v>46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44378</v>
      </c>
      <c r="J942" s="6">
        <v>0</v>
      </c>
      <c r="K942" s="6">
        <v>0</v>
      </c>
      <c r="L942" s="6">
        <v>120.57599999999999</v>
      </c>
      <c r="M942" s="6">
        <v>120.57599999999999</v>
      </c>
      <c r="N942" s="6">
        <v>120.57599999999999</v>
      </c>
      <c r="O942" s="6">
        <v>120.57599999999999</v>
      </c>
      <c r="P942" s="6">
        <v>301</v>
      </c>
      <c r="Q942" s="4" t="s">
        <v>26</v>
      </c>
      <c r="R942" s="4">
        <v>0</v>
      </c>
      <c r="S942" s="6">
        <v>0</v>
      </c>
      <c r="T942" s="6">
        <v>58</v>
      </c>
      <c r="U942" s="6">
        <v>99</v>
      </c>
      <c r="V942" s="6">
        <f>IF(ISERROR(VLOOKUP($S$942,'TAR FIN'!$A$1:$O$103,15,0)),0,VLOOKUP($S$942,'TAR FIN'!$A$1:$O$103,15,0))</f>
        <v>0</v>
      </c>
      <c r="W942" s="6">
        <f>IF(ISERROR(VLOOKUP($T$942,'TAR FIN'!$A$1:$O$103,15,0)),0,VLOOKUP($T$942,'TAR FIN'!$A$1:$O$103,15,0))</f>
        <v>269.91000000000003</v>
      </c>
      <c r="X942" s="6">
        <f>IF(ISERROR(VLOOKUP($U$942,'TAR FIN'!$A$1:$O$103,15,0)),0,VLOOKUP($U$942,'TAR FIN'!$A$1:$O$103,15,0))</f>
        <v>288.89999999999998</v>
      </c>
      <c r="Y942" s="6"/>
      <c r="Z942" s="6">
        <f ca="1">('TUSD BE'!$AM$58+'TUSD BF_350'!$AM$58+'TUSD CVA'!$AM$58)*1</f>
        <v>310.79999999999995</v>
      </c>
      <c r="AA942" s="6">
        <f ca="1">('TE BE'!$AB$42+'TE BF_350'!$AB$42+'TE CVA'!$AB$42)*1</f>
        <v>258.94</v>
      </c>
      <c r="AB942" s="6">
        <f>$K$942*$V$942</f>
        <v>0</v>
      </c>
      <c r="AC942" s="6">
        <f>$M$942*$W$942</f>
        <v>32544.668160000001</v>
      </c>
      <c r="AD942" s="6">
        <f>$O$942*$X$942</f>
        <v>34834.406399999993</v>
      </c>
      <c r="AE942" s="6">
        <f>$K$942*$Y$942</f>
        <v>0</v>
      </c>
      <c r="AF942" s="6">
        <f ca="1">$M$942*$Z$942</f>
        <v>37475.020799999991</v>
      </c>
      <c r="AG942" s="6">
        <f ca="1">$O$942*$AA$942</f>
        <v>31221.949439999997</v>
      </c>
    </row>
    <row r="943" spans="1:33" ht="11.25" customHeight="1" x14ac:dyDescent="0.25">
      <c r="A943" s="4" t="s">
        <v>27</v>
      </c>
      <c r="B943" s="4" t="s">
        <v>39</v>
      </c>
      <c r="C943" s="4" t="s">
        <v>23</v>
      </c>
      <c r="D943" s="4" t="s">
        <v>46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44378</v>
      </c>
      <c r="J943" s="6">
        <v>0</v>
      </c>
      <c r="K943" s="6">
        <v>0</v>
      </c>
      <c r="L943" s="6">
        <v>-0.72299999999999998</v>
      </c>
      <c r="M943" s="6">
        <v>-0.72299999999999998</v>
      </c>
      <c r="N943" s="6">
        <v>-0.72299999999999998</v>
      </c>
      <c r="O943" s="6">
        <v>-0.72299999999999998</v>
      </c>
      <c r="P943" s="6">
        <v>0</v>
      </c>
      <c r="Q943" s="4" t="s">
        <v>26</v>
      </c>
      <c r="R943" s="4">
        <v>0</v>
      </c>
      <c r="S943" s="6">
        <v>0</v>
      </c>
      <c r="T943" s="6">
        <v>58</v>
      </c>
      <c r="U943" s="6">
        <v>99</v>
      </c>
      <c r="V943" s="6">
        <f>IF(ISERROR(VLOOKUP($S$943,'TAR FIN'!$A$1:$O$103,15,0)),0,VLOOKUP($S$943,'TAR FIN'!$A$1:$O$103,15,0))</f>
        <v>0</v>
      </c>
      <c r="W943" s="6">
        <f>IF(ISERROR(VLOOKUP($T$943,'TAR FIN'!$A$1:$O$103,15,0)),0,VLOOKUP($T$943,'TAR FIN'!$A$1:$O$103,15,0))</f>
        <v>269.91000000000003</v>
      </c>
      <c r="X943" s="6">
        <f>IF(ISERROR(VLOOKUP($U$943,'TAR FIN'!$A$1:$O$103,15,0)),0,VLOOKUP($U$943,'TAR FIN'!$A$1:$O$103,15,0))</f>
        <v>288.89999999999998</v>
      </c>
      <c r="Y943" s="6"/>
      <c r="Z943" s="6">
        <f ca="1">('TUSD BE'!$AM$58+'TUSD BF_350'!$AM$58+'TUSD CVA'!$AM$58)*1</f>
        <v>310.79999999999995</v>
      </c>
      <c r="AA943" s="6">
        <f ca="1">('TE BE'!$AB$42+'TE BF_350'!$AB$42+'TE CVA'!$AB$42)*1</f>
        <v>258.94</v>
      </c>
      <c r="AB943" s="6">
        <f>$K$943*$V$943</f>
        <v>0</v>
      </c>
      <c r="AC943" s="6">
        <f>$M$943*$W$943</f>
        <v>-195.14493000000002</v>
      </c>
      <c r="AD943" s="6">
        <f>$O$943*$X$943</f>
        <v>-208.87469999999999</v>
      </c>
      <c r="AE943" s="6">
        <f>$K$943*$Y$943</f>
        <v>0</v>
      </c>
      <c r="AF943" s="6">
        <f ca="1">$M$943*$Z$943</f>
        <v>-224.70839999999995</v>
      </c>
      <c r="AG943" s="6">
        <f ca="1">$O$943*$AA$943</f>
        <v>-187.21361999999999</v>
      </c>
    </row>
    <row r="944" spans="1:33" ht="11.25" customHeight="1" x14ac:dyDescent="0.25">
      <c r="A944" s="4" t="s">
        <v>28</v>
      </c>
      <c r="B944" s="4" t="s">
        <v>39</v>
      </c>
      <c r="C944" s="4" t="s">
        <v>23</v>
      </c>
      <c r="D944" s="4" t="s">
        <v>46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44378</v>
      </c>
      <c r="J944" s="6">
        <v>0</v>
      </c>
      <c r="K944" s="6">
        <v>0</v>
      </c>
      <c r="L944" s="6">
        <v>4.7930000000000001</v>
      </c>
      <c r="M944" s="6">
        <v>4.7930000000000001</v>
      </c>
      <c r="N944" s="6">
        <v>4.7930000000000001</v>
      </c>
      <c r="O944" s="6">
        <v>4.7930000000000001</v>
      </c>
      <c r="P944" s="6">
        <v>5</v>
      </c>
      <c r="Q944" s="4" t="s">
        <v>26</v>
      </c>
      <c r="R944" s="4">
        <v>0</v>
      </c>
      <c r="S944" s="6">
        <v>0</v>
      </c>
      <c r="T944" s="6">
        <v>58</v>
      </c>
      <c r="U944" s="6">
        <v>99</v>
      </c>
      <c r="V944" s="6">
        <f>IF(ISERROR(VLOOKUP($S$944,'TAR FIN'!$A$1:$O$103,15,0)),0,VLOOKUP($S$944,'TAR FIN'!$A$1:$O$103,15,0))</f>
        <v>0</v>
      </c>
      <c r="W944" s="6">
        <f>IF(ISERROR(VLOOKUP($T$944,'TAR FIN'!$A$1:$O$103,15,0)),0,VLOOKUP($T$944,'TAR FIN'!$A$1:$O$103,15,0))</f>
        <v>269.91000000000003</v>
      </c>
      <c r="X944" s="6">
        <f>IF(ISERROR(VLOOKUP($U$944,'TAR FIN'!$A$1:$O$103,15,0)),0,VLOOKUP($U$944,'TAR FIN'!$A$1:$O$103,15,0))</f>
        <v>288.89999999999998</v>
      </c>
      <c r="Y944" s="6"/>
      <c r="Z944" s="6">
        <f ca="1">('TUSD BE'!$AM$58+'TUSD BF_350'!$AM$58+'TUSD CVA'!$AM$58)*1</f>
        <v>310.79999999999995</v>
      </c>
      <c r="AA944" s="6">
        <f ca="1">('TE BE'!$AB$42+'TE BF_350'!$AB$42+'TE CVA'!$AB$42)*1</f>
        <v>258.94</v>
      </c>
      <c r="AB944" s="6">
        <f>$K$944*$V$944</f>
        <v>0</v>
      </c>
      <c r="AC944" s="6">
        <f>$M$944*$W$944</f>
        <v>1293.6786300000001</v>
      </c>
      <c r="AD944" s="6">
        <f>$O$944*$X$944</f>
        <v>1384.6976999999999</v>
      </c>
      <c r="AE944" s="6">
        <f>$K$944*$Y$944</f>
        <v>0</v>
      </c>
      <c r="AF944" s="6">
        <f ca="1">$M$944*$Z$944</f>
        <v>1489.6643999999999</v>
      </c>
      <c r="AG944" s="6">
        <f ca="1">$O$944*$AA$944</f>
        <v>1241.09942</v>
      </c>
    </row>
    <row r="945" spans="1:33" ht="11.25" customHeight="1" x14ac:dyDescent="0.25">
      <c r="A945" s="4" t="s">
        <v>21</v>
      </c>
      <c r="B945" s="4" t="s">
        <v>39</v>
      </c>
      <c r="C945" s="4" t="s">
        <v>23</v>
      </c>
      <c r="D945" s="4" t="s">
        <v>46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44409</v>
      </c>
      <c r="J945" s="6">
        <v>0</v>
      </c>
      <c r="K945" s="6">
        <v>0</v>
      </c>
      <c r="L945" s="6">
        <v>143.05600000000001</v>
      </c>
      <c r="M945" s="6">
        <v>143.05600000000001</v>
      </c>
      <c r="N945" s="6">
        <v>143.05600000000001</v>
      </c>
      <c r="O945" s="6">
        <v>143.05600000000001</v>
      </c>
      <c r="P945" s="6">
        <v>299</v>
      </c>
      <c r="Q945" s="4" t="s">
        <v>26</v>
      </c>
      <c r="R945" s="4">
        <v>0</v>
      </c>
      <c r="S945" s="6">
        <v>0</v>
      </c>
      <c r="T945" s="6">
        <v>58</v>
      </c>
      <c r="U945" s="6">
        <v>99</v>
      </c>
      <c r="V945" s="6">
        <f>IF(ISERROR(VLOOKUP($S$945,'TAR FIN'!$A$1:$O$103,15,0)),0,VLOOKUP($S$945,'TAR FIN'!$A$1:$O$103,15,0))</f>
        <v>0</v>
      </c>
      <c r="W945" s="6">
        <f>IF(ISERROR(VLOOKUP($T$945,'TAR FIN'!$A$1:$O$103,15,0)),0,VLOOKUP($T$945,'TAR FIN'!$A$1:$O$103,15,0))</f>
        <v>269.91000000000003</v>
      </c>
      <c r="X945" s="6">
        <f>IF(ISERROR(VLOOKUP($U$945,'TAR FIN'!$A$1:$O$103,15,0)),0,VLOOKUP($U$945,'TAR FIN'!$A$1:$O$103,15,0))</f>
        <v>288.89999999999998</v>
      </c>
      <c r="Y945" s="6"/>
      <c r="Z945" s="6">
        <f ca="1">('TUSD BE'!$AM$58+'TUSD BF_350'!$AM$58+'TUSD CVA'!$AM$58)*1</f>
        <v>310.79999999999995</v>
      </c>
      <c r="AA945" s="6">
        <f ca="1">('TE BE'!$AB$42+'TE BF_350'!$AB$42+'TE CVA'!$AB$42)*1</f>
        <v>258.94</v>
      </c>
      <c r="AB945" s="6">
        <f>$K$945*$V$945</f>
        <v>0</v>
      </c>
      <c r="AC945" s="6">
        <f>$M$945*$W$945</f>
        <v>38612.244960000004</v>
      </c>
      <c r="AD945" s="6">
        <f>$O$945*$X$945</f>
        <v>41328.878400000001</v>
      </c>
      <c r="AE945" s="6">
        <f>$K$945*$Y$945</f>
        <v>0</v>
      </c>
      <c r="AF945" s="6">
        <f ca="1">$M$945*$Z$945</f>
        <v>44461.804799999998</v>
      </c>
      <c r="AG945" s="6">
        <f ca="1">$O$945*$AA$945</f>
        <v>37042.920640000004</v>
      </c>
    </row>
    <row r="946" spans="1:33" ht="11.25" customHeight="1" x14ac:dyDescent="0.25">
      <c r="A946" s="4" t="s">
        <v>28</v>
      </c>
      <c r="B946" s="4" t="s">
        <v>39</v>
      </c>
      <c r="C946" s="4" t="s">
        <v>23</v>
      </c>
      <c r="D946" s="4" t="s">
        <v>46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44409</v>
      </c>
      <c r="J946" s="6">
        <v>0</v>
      </c>
      <c r="K946" s="6">
        <v>0</v>
      </c>
      <c r="L946" s="6">
        <v>3.0139999999999998</v>
      </c>
      <c r="M946" s="6">
        <v>3.0139999999999998</v>
      </c>
      <c r="N946" s="6">
        <v>3.0139999999999998</v>
      </c>
      <c r="O946" s="6">
        <v>3.0139999999999998</v>
      </c>
      <c r="P946" s="6">
        <v>6</v>
      </c>
      <c r="Q946" s="4" t="s">
        <v>26</v>
      </c>
      <c r="R946" s="4">
        <v>0</v>
      </c>
      <c r="S946" s="6">
        <v>0</v>
      </c>
      <c r="T946" s="6">
        <v>58</v>
      </c>
      <c r="U946" s="6">
        <v>99</v>
      </c>
      <c r="V946" s="6">
        <f>IF(ISERROR(VLOOKUP($S$946,'TAR FIN'!$A$1:$O$103,15,0)),0,VLOOKUP($S$946,'TAR FIN'!$A$1:$O$103,15,0))</f>
        <v>0</v>
      </c>
      <c r="W946" s="6">
        <f>IF(ISERROR(VLOOKUP($T$946,'TAR FIN'!$A$1:$O$103,15,0)),0,VLOOKUP($T$946,'TAR FIN'!$A$1:$O$103,15,0))</f>
        <v>269.91000000000003</v>
      </c>
      <c r="X946" s="6">
        <f>IF(ISERROR(VLOOKUP($U$946,'TAR FIN'!$A$1:$O$103,15,0)),0,VLOOKUP($U$946,'TAR FIN'!$A$1:$O$103,15,0))</f>
        <v>288.89999999999998</v>
      </c>
      <c r="Y946" s="6"/>
      <c r="Z946" s="6">
        <f ca="1">('TUSD BE'!$AM$58+'TUSD BF_350'!$AM$58+'TUSD CVA'!$AM$58)*1</f>
        <v>310.79999999999995</v>
      </c>
      <c r="AA946" s="6">
        <f ca="1">('TE BE'!$AB$42+'TE BF_350'!$AB$42+'TE CVA'!$AB$42)*1</f>
        <v>258.94</v>
      </c>
      <c r="AB946" s="6">
        <f>$K$946*$V$946</f>
        <v>0</v>
      </c>
      <c r="AC946" s="6">
        <f>$M$946*$W$946</f>
        <v>813.50873999999999</v>
      </c>
      <c r="AD946" s="6">
        <f>$O$946*$X$946</f>
        <v>870.74459999999988</v>
      </c>
      <c r="AE946" s="6">
        <f>$K$946*$Y$946</f>
        <v>0</v>
      </c>
      <c r="AF946" s="6">
        <f ca="1">$M$946*$Z$946</f>
        <v>936.75119999999981</v>
      </c>
      <c r="AG946" s="6">
        <f ca="1">$O$946*$AA$946</f>
        <v>780.44515999999999</v>
      </c>
    </row>
    <row r="947" spans="1:33" ht="11.25" customHeight="1" x14ac:dyDescent="0.25">
      <c r="A947" s="4" t="s">
        <v>21</v>
      </c>
      <c r="B947" s="4" t="s">
        <v>39</v>
      </c>
      <c r="C947" s="4" t="s">
        <v>23</v>
      </c>
      <c r="D947" s="4" t="s">
        <v>46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44440</v>
      </c>
      <c r="J947" s="6">
        <v>0</v>
      </c>
      <c r="K947" s="6">
        <v>0</v>
      </c>
      <c r="L947" s="6">
        <v>142.28200000000001</v>
      </c>
      <c r="M947" s="6">
        <v>142.28200000000001</v>
      </c>
      <c r="N947" s="6">
        <v>142.28200000000001</v>
      </c>
      <c r="O947" s="6">
        <v>142.28200000000001</v>
      </c>
      <c r="P947" s="6">
        <v>299</v>
      </c>
      <c r="Q947" s="4" t="s">
        <v>26</v>
      </c>
      <c r="R947" s="4">
        <v>0</v>
      </c>
      <c r="S947" s="6">
        <v>0</v>
      </c>
      <c r="T947" s="6">
        <v>58</v>
      </c>
      <c r="U947" s="6">
        <v>99</v>
      </c>
      <c r="V947" s="6">
        <f>IF(ISERROR(VLOOKUP($S$947,'TAR FIN'!$A$1:$O$103,15,0)),0,VLOOKUP($S$947,'TAR FIN'!$A$1:$O$103,15,0))</f>
        <v>0</v>
      </c>
      <c r="W947" s="6">
        <f>IF(ISERROR(VLOOKUP($T$947,'TAR FIN'!$A$1:$O$103,15,0)),0,VLOOKUP($T$947,'TAR FIN'!$A$1:$O$103,15,0))</f>
        <v>269.91000000000003</v>
      </c>
      <c r="X947" s="6">
        <f>IF(ISERROR(VLOOKUP($U$947,'TAR FIN'!$A$1:$O$103,15,0)),0,VLOOKUP($U$947,'TAR FIN'!$A$1:$O$103,15,0))</f>
        <v>288.89999999999998</v>
      </c>
      <c r="Y947" s="6"/>
      <c r="Z947" s="6">
        <f ca="1">('TUSD BE'!$AM$58+'TUSD BF_350'!$AM$58+'TUSD CVA'!$AM$58)*1</f>
        <v>310.79999999999995</v>
      </c>
      <c r="AA947" s="6">
        <f ca="1">('TE BE'!$AB$42+'TE BF_350'!$AB$42+'TE CVA'!$AB$42)*1</f>
        <v>258.94</v>
      </c>
      <c r="AB947" s="6">
        <f>$K$947*$V$947</f>
        <v>0</v>
      </c>
      <c r="AC947" s="6">
        <f>$M$947*$W$947</f>
        <v>38403.334620000009</v>
      </c>
      <c r="AD947" s="6">
        <f>$O$947*$X$947</f>
        <v>41105.269800000002</v>
      </c>
      <c r="AE947" s="6">
        <f>$K$947*$Y$947</f>
        <v>0</v>
      </c>
      <c r="AF947" s="6">
        <f ca="1">$M$947*$Z$947</f>
        <v>44221.245599999995</v>
      </c>
      <c r="AG947" s="6">
        <f ca="1">$O$947*$AA$947</f>
        <v>36842.501080000002</v>
      </c>
    </row>
    <row r="948" spans="1:33" ht="11.25" customHeight="1" x14ac:dyDescent="0.25">
      <c r="A948" s="4" t="s">
        <v>28</v>
      </c>
      <c r="B948" s="4" t="s">
        <v>39</v>
      </c>
      <c r="C948" s="4" t="s">
        <v>23</v>
      </c>
      <c r="D948" s="4" t="s">
        <v>46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44440</v>
      </c>
      <c r="J948" s="6">
        <v>0</v>
      </c>
      <c r="K948" s="6">
        <v>0</v>
      </c>
      <c r="L948" s="6">
        <v>5.1660000000000004</v>
      </c>
      <c r="M948" s="6">
        <v>5.1660000000000004</v>
      </c>
      <c r="N948" s="6">
        <v>5.1660000000000004</v>
      </c>
      <c r="O948" s="6">
        <v>5.1660000000000004</v>
      </c>
      <c r="P948" s="6">
        <v>6</v>
      </c>
      <c r="Q948" s="4" t="s">
        <v>26</v>
      </c>
      <c r="R948" s="4">
        <v>0</v>
      </c>
      <c r="S948" s="6">
        <v>0</v>
      </c>
      <c r="T948" s="6">
        <v>58</v>
      </c>
      <c r="U948" s="6">
        <v>99</v>
      </c>
      <c r="V948" s="6">
        <f>IF(ISERROR(VLOOKUP($S$948,'TAR FIN'!$A$1:$O$103,15,0)),0,VLOOKUP($S$948,'TAR FIN'!$A$1:$O$103,15,0))</f>
        <v>0</v>
      </c>
      <c r="W948" s="6">
        <f>IF(ISERROR(VLOOKUP($T$948,'TAR FIN'!$A$1:$O$103,15,0)),0,VLOOKUP($T$948,'TAR FIN'!$A$1:$O$103,15,0))</f>
        <v>269.91000000000003</v>
      </c>
      <c r="X948" s="6">
        <f>IF(ISERROR(VLOOKUP($U$948,'TAR FIN'!$A$1:$O$103,15,0)),0,VLOOKUP($U$948,'TAR FIN'!$A$1:$O$103,15,0))</f>
        <v>288.89999999999998</v>
      </c>
      <c r="Y948" s="6"/>
      <c r="Z948" s="6">
        <f ca="1">('TUSD BE'!$AM$58+'TUSD BF_350'!$AM$58+'TUSD CVA'!$AM$58)*1</f>
        <v>310.79999999999995</v>
      </c>
      <c r="AA948" s="6">
        <f ca="1">('TE BE'!$AB$42+'TE BF_350'!$AB$42+'TE CVA'!$AB$42)*1</f>
        <v>258.94</v>
      </c>
      <c r="AB948" s="6">
        <f>$K$948*$V$948</f>
        <v>0</v>
      </c>
      <c r="AC948" s="6">
        <f>$M$948*$W$948</f>
        <v>1394.3550600000003</v>
      </c>
      <c r="AD948" s="6">
        <f>$O$948*$X$948</f>
        <v>1492.4574</v>
      </c>
      <c r="AE948" s="6">
        <f>$K$948*$Y$948</f>
        <v>0</v>
      </c>
      <c r="AF948" s="6">
        <f ca="1">$M$948*$Z$948</f>
        <v>1605.5927999999999</v>
      </c>
      <c r="AG948" s="6">
        <f ca="1">$O$948*$AA$948</f>
        <v>1337.6840400000001</v>
      </c>
    </row>
    <row r="949" spans="1:33" ht="11.25" customHeight="1" x14ac:dyDescent="0.25">
      <c r="A949" s="4" t="s">
        <v>21</v>
      </c>
      <c r="B949" s="4" t="s">
        <v>39</v>
      </c>
      <c r="C949" s="4" t="s">
        <v>23</v>
      </c>
      <c r="D949" s="4" t="s">
        <v>46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44470</v>
      </c>
      <c r="J949" s="6">
        <v>0</v>
      </c>
      <c r="K949" s="6">
        <v>0</v>
      </c>
      <c r="L949" s="6">
        <v>142.167</v>
      </c>
      <c r="M949" s="6">
        <v>142.167</v>
      </c>
      <c r="N949" s="6">
        <v>142.167</v>
      </c>
      <c r="O949" s="6">
        <v>142.167</v>
      </c>
      <c r="P949" s="6">
        <v>299</v>
      </c>
      <c r="Q949" s="4" t="s">
        <v>26</v>
      </c>
      <c r="R949" s="4">
        <v>0</v>
      </c>
      <c r="S949" s="6">
        <v>0</v>
      </c>
      <c r="T949" s="6">
        <v>58</v>
      </c>
      <c r="U949" s="6">
        <v>99</v>
      </c>
      <c r="V949" s="6">
        <f>IF(ISERROR(VLOOKUP($S$949,'TAR FIN'!$A$1:$O$103,15,0)),0,VLOOKUP($S$949,'TAR FIN'!$A$1:$O$103,15,0))</f>
        <v>0</v>
      </c>
      <c r="W949" s="6">
        <f>IF(ISERROR(VLOOKUP($T$949,'TAR FIN'!$A$1:$O$103,15,0)),0,VLOOKUP($T$949,'TAR FIN'!$A$1:$O$103,15,0))</f>
        <v>269.91000000000003</v>
      </c>
      <c r="X949" s="6">
        <f>IF(ISERROR(VLOOKUP($U$949,'TAR FIN'!$A$1:$O$103,15,0)),0,VLOOKUP($U$949,'TAR FIN'!$A$1:$O$103,15,0))</f>
        <v>288.89999999999998</v>
      </c>
      <c r="Y949" s="6"/>
      <c r="Z949" s="6">
        <f ca="1">('TUSD BE'!$AM$58+'TUSD BF_350'!$AM$58+'TUSD CVA'!$AM$58)*1</f>
        <v>310.79999999999995</v>
      </c>
      <c r="AA949" s="6">
        <f ca="1">('TE BE'!$AB$42+'TE BF_350'!$AB$42+'TE CVA'!$AB$42)*1</f>
        <v>258.94</v>
      </c>
      <c r="AB949" s="6">
        <f>$K$949*$V$949</f>
        <v>0</v>
      </c>
      <c r="AC949" s="6">
        <f>$M$949*$W$949</f>
        <v>38372.294970000003</v>
      </c>
      <c r="AD949" s="6">
        <f>$O$949*$X$949</f>
        <v>41072.046299999995</v>
      </c>
      <c r="AE949" s="6">
        <f>$K$949*$Y$949</f>
        <v>0</v>
      </c>
      <c r="AF949" s="6">
        <f ca="1">$M$949*$Z$949</f>
        <v>44185.503599999996</v>
      </c>
      <c r="AG949" s="6">
        <f ca="1">$O$949*$AA$949</f>
        <v>36812.722979999999</v>
      </c>
    </row>
    <row r="950" spans="1:33" ht="11.25" customHeight="1" x14ac:dyDescent="0.25">
      <c r="A950" s="4" t="s">
        <v>28</v>
      </c>
      <c r="B950" s="4" t="s">
        <v>39</v>
      </c>
      <c r="C950" s="4" t="s">
        <v>23</v>
      </c>
      <c r="D950" s="4" t="s">
        <v>46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44470</v>
      </c>
      <c r="J950" s="6">
        <v>0</v>
      </c>
      <c r="K950" s="6">
        <v>0</v>
      </c>
      <c r="L950" s="6">
        <v>6.24</v>
      </c>
      <c r="M950" s="6">
        <v>6.24</v>
      </c>
      <c r="N950" s="6">
        <v>6.24</v>
      </c>
      <c r="O950" s="6">
        <v>6.24</v>
      </c>
      <c r="P950" s="6">
        <v>6</v>
      </c>
      <c r="Q950" s="4" t="s">
        <v>26</v>
      </c>
      <c r="R950" s="4">
        <v>0</v>
      </c>
      <c r="S950" s="6">
        <v>0</v>
      </c>
      <c r="T950" s="6">
        <v>58</v>
      </c>
      <c r="U950" s="6">
        <v>99</v>
      </c>
      <c r="V950" s="6">
        <f>IF(ISERROR(VLOOKUP($S$950,'TAR FIN'!$A$1:$O$103,15,0)),0,VLOOKUP($S$950,'TAR FIN'!$A$1:$O$103,15,0))</f>
        <v>0</v>
      </c>
      <c r="W950" s="6">
        <f>IF(ISERROR(VLOOKUP($T$950,'TAR FIN'!$A$1:$O$103,15,0)),0,VLOOKUP($T$950,'TAR FIN'!$A$1:$O$103,15,0))</f>
        <v>269.91000000000003</v>
      </c>
      <c r="X950" s="6">
        <f>IF(ISERROR(VLOOKUP($U$950,'TAR FIN'!$A$1:$O$103,15,0)),0,VLOOKUP($U$950,'TAR FIN'!$A$1:$O$103,15,0))</f>
        <v>288.89999999999998</v>
      </c>
      <c r="Y950" s="6"/>
      <c r="Z950" s="6">
        <f ca="1">('TUSD BE'!$AM$58+'TUSD BF_350'!$AM$58+'TUSD CVA'!$AM$58)*1</f>
        <v>310.79999999999995</v>
      </c>
      <c r="AA950" s="6">
        <f ca="1">('TE BE'!$AB$42+'TE BF_350'!$AB$42+'TE CVA'!$AB$42)*1</f>
        <v>258.94</v>
      </c>
      <c r="AB950" s="6">
        <f>$K$950*$V$950</f>
        <v>0</v>
      </c>
      <c r="AC950" s="6">
        <f>$M$950*$W$950</f>
        <v>1684.2384000000002</v>
      </c>
      <c r="AD950" s="6">
        <f>$O$950*$X$950</f>
        <v>1802.7359999999999</v>
      </c>
      <c r="AE950" s="6">
        <f>$K$950*$Y$950</f>
        <v>0</v>
      </c>
      <c r="AF950" s="6">
        <f ca="1">$M$950*$Z$950</f>
        <v>1939.3919999999998</v>
      </c>
      <c r="AG950" s="6">
        <f ca="1">$O$950*$AA$950</f>
        <v>1615.7855999999999</v>
      </c>
    </row>
    <row r="951" spans="1:33" ht="11.25" customHeight="1" x14ac:dyDescent="0.25">
      <c r="A951" s="4" t="s">
        <v>21</v>
      </c>
      <c r="B951" s="4" t="s">
        <v>39</v>
      </c>
      <c r="C951" s="4" t="s">
        <v>23</v>
      </c>
      <c r="D951" s="4" t="s">
        <v>46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44501</v>
      </c>
      <c r="J951" s="6">
        <v>0</v>
      </c>
      <c r="K951" s="6">
        <v>0</v>
      </c>
      <c r="L951" s="6">
        <v>136.66200000000001</v>
      </c>
      <c r="M951" s="6">
        <v>136.66200000000001</v>
      </c>
      <c r="N951" s="6">
        <v>136.66200000000001</v>
      </c>
      <c r="O951" s="6">
        <v>136.66200000000001</v>
      </c>
      <c r="P951" s="6">
        <v>299</v>
      </c>
      <c r="Q951" s="4" t="s">
        <v>26</v>
      </c>
      <c r="R951" s="4">
        <v>0</v>
      </c>
      <c r="S951" s="6">
        <v>0</v>
      </c>
      <c r="T951" s="6">
        <v>58</v>
      </c>
      <c r="U951" s="6">
        <v>99</v>
      </c>
      <c r="V951" s="6">
        <f>IF(ISERROR(VLOOKUP($S$951,'TAR FIN'!$A$1:$O$103,15,0)),0,VLOOKUP($S$951,'TAR FIN'!$A$1:$O$103,15,0))</f>
        <v>0</v>
      </c>
      <c r="W951" s="6">
        <f>IF(ISERROR(VLOOKUP($T$951,'TAR FIN'!$A$1:$O$103,15,0)),0,VLOOKUP($T$951,'TAR FIN'!$A$1:$O$103,15,0))</f>
        <v>269.91000000000003</v>
      </c>
      <c r="X951" s="6">
        <f>IF(ISERROR(VLOOKUP($U$951,'TAR FIN'!$A$1:$O$103,15,0)),0,VLOOKUP($U$951,'TAR FIN'!$A$1:$O$103,15,0))</f>
        <v>288.89999999999998</v>
      </c>
      <c r="Y951" s="6"/>
      <c r="Z951" s="6">
        <f ca="1">('TUSD BE'!$AM$58+'TUSD BF_350'!$AM$58+'TUSD CVA'!$AM$58)*1</f>
        <v>310.79999999999995</v>
      </c>
      <c r="AA951" s="6">
        <f ca="1">('TE BE'!$AB$42+'TE BF_350'!$AB$42+'TE CVA'!$AB$42)*1</f>
        <v>258.94</v>
      </c>
      <c r="AB951" s="6">
        <f>$K$951*$V$951</f>
        <v>0</v>
      </c>
      <c r="AC951" s="6">
        <f>$M$951*$W$951</f>
        <v>36886.440420000006</v>
      </c>
      <c r="AD951" s="6">
        <f>$O$951*$X$951</f>
        <v>39481.6518</v>
      </c>
      <c r="AE951" s="6">
        <f>$K$951*$Y$951</f>
        <v>0</v>
      </c>
      <c r="AF951" s="6">
        <f ca="1">$M$951*$Z$951</f>
        <v>42474.549599999998</v>
      </c>
      <c r="AG951" s="6">
        <f ca="1">$O$951*$AA$951</f>
        <v>35387.258280000002</v>
      </c>
    </row>
    <row r="952" spans="1:33" ht="11.25" customHeight="1" x14ac:dyDescent="0.25">
      <c r="A952" s="4" t="s">
        <v>28</v>
      </c>
      <c r="B952" s="4" t="s">
        <v>39</v>
      </c>
      <c r="C952" s="4" t="s">
        <v>23</v>
      </c>
      <c r="D952" s="4" t="s">
        <v>46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44501</v>
      </c>
      <c r="J952" s="6">
        <v>0</v>
      </c>
      <c r="K952" s="6">
        <v>0</v>
      </c>
      <c r="L952" s="6">
        <v>6.6740000000000004</v>
      </c>
      <c r="M952" s="6">
        <v>6.6740000000000004</v>
      </c>
      <c r="N952" s="6">
        <v>6.6740000000000004</v>
      </c>
      <c r="O952" s="6">
        <v>6.6740000000000004</v>
      </c>
      <c r="P952" s="6">
        <v>6</v>
      </c>
      <c r="Q952" s="4" t="s">
        <v>26</v>
      </c>
      <c r="R952" s="4">
        <v>0</v>
      </c>
      <c r="S952" s="6">
        <v>0</v>
      </c>
      <c r="T952" s="6">
        <v>58</v>
      </c>
      <c r="U952" s="6">
        <v>99</v>
      </c>
      <c r="V952" s="6">
        <f>IF(ISERROR(VLOOKUP($S$952,'TAR FIN'!$A$1:$O$103,15,0)),0,VLOOKUP($S$952,'TAR FIN'!$A$1:$O$103,15,0))</f>
        <v>0</v>
      </c>
      <c r="W952" s="6">
        <f>IF(ISERROR(VLOOKUP($T$952,'TAR FIN'!$A$1:$O$103,15,0)),0,VLOOKUP($T$952,'TAR FIN'!$A$1:$O$103,15,0))</f>
        <v>269.91000000000003</v>
      </c>
      <c r="X952" s="6">
        <f>IF(ISERROR(VLOOKUP($U$952,'TAR FIN'!$A$1:$O$103,15,0)),0,VLOOKUP($U$952,'TAR FIN'!$A$1:$O$103,15,0))</f>
        <v>288.89999999999998</v>
      </c>
      <c r="Y952" s="6"/>
      <c r="Z952" s="6">
        <f ca="1">('TUSD BE'!$AM$58+'TUSD BF_350'!$AM$58+'TUSD CVA'!$AM$58)*1</f>
        <v>310.79999999999995</v>
      </c>
      <c r="AA952" s="6">
        <f ca="1">('TE BE'!$AB$42+'TE BF_350'!$AB$42+'TE CVA'!$AB$42)*1</f>
        <v>258.94</v>
      </c>
      <c r="AB952" s="6">
        <f>$K$952*$V$952</f>
        <v>0</v>
      </c>
      <c r="AC952" s="6">
        <f>$M$952*$W$952</f>
        <v>1801.3793400000002</v>
      </c>
      <c r="AD952" s="6">
        <f>$O$952*$X$952</f>
        <v>1928.1186</v>
      </c>
      <c r="AE952" s="6">
        <f>$K$952*$Y$952</f>
        <v>0</v>
      </c>
      <c r="AF952" s="6">
        <f ca="1">$M$952*$Z$952</f>
        <v>2074.2791999999999</v>
      </c>
      <c r="AG952" s="6">
        <f ca="1">$O$952*$AA$952</f>
        <v>1728.1655600000001</v>
      </c>
    </row>
    <row r="953" spans="1:33" ht="11.25" customHeight="1" x14ac:dyDescent="0.25">
      <c r="A953" s="4" t="s">
        <v>21</v>
      </c>
      <c r="B953" s="4" t="s">
        <v>39</v>
      </c>
      <c r="C953" s="4" t="s">
        <v>23</v>
      </c>
      <c r="D953" s="4" t="s">
        <v>46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44531</v>
      </c>
      <c r="J953" s="6">
        <v>0</v>
      </c>
      <c r="K953" s="6">
        <v>0</v>
      </c>
      <c r="L953" s="6">
        <v>145.38200000000001</v>
      </c>
      <c r="M953" s="6">
        <v>145.38200000000001</v>
      </c>
      <c r="N953" s="6">
        <v>145.38200000000001</v>
      </c>
      <c r="O953" s="6">
        <v>145.38200000000001</v>
      </c>
      <c r="P953" s="6">
        <v>302</v>
      </c>
      <c r="Q953" s="4" t="s">
        <v>26</v>
      </c>
      <c r="R953" s="4">
        <v>0</v>
      </c>
      <c r="S953" s="6">
        <v>0</v>
      </c>
      <c r="T953" s="6">
        <v>58</v>
      </c>
      <c r="U953" s="6">
        <v>99</v>
      </c>
      <c r="V953" s="6">
        <f>IF(ISERROR(VLOOKUP($S$953,'TAR FIN'!$A$1:$O$103,15,0)),0,VLOOKUP($S$953,'TAR FIN'!$A$1:$O$103,15,0))</f>
        <v>0</v>
      </c>
      <c r="W953" s="6">
        <f>IF(ISERROR(VLOOKUP($T$953,'TAR FIN'!$A$1:$O$103,15,0)),0,VLOOKUP($T$953,'TAR FIN'!$A$1:$O$103,15,0))</f>
        <v>269.91000000000003</v>
      </c>
      <c r="X953" s="6">
        <f>IF(ISERROR(VLOOKUP($U$953,'TAR FIN'!$A$1:$O$103,15,0)),0,VLOOKUP($U$953,'TAR FIN'!$A$1:$O$103,15,0))</f>
        <v>288.89999999999998</v>
      </c>
      <c r="Y953" s="6"/>
      <c r="Z953" s="6">
        <f ca="1">('TUSD BE'!$AM$58+'TUSD BF_350'!$AM$58+'TUSD CVA'!$AM$58)*1</f>
        <v>310.79999999999995</v>
      </c>
      <c r="AA953" s="6">
        <f ca="1">('TE BE'!$AB$42+'TE BF_350'!$AB$42+'TE CVA'!$AB$42)*1</f>
        <v>258.94</v>
      </c>
      <c r="AB953" s="6">
        <f>$K$953*$V$953</f>
        <v>0</v>
      </c>
      <c r="AC953" s="6">
        <f>$M$953*$W$953</f>
        <v>39240.055620000006</v>
      </c>
      <c r="AD953" s="6">
        <f>$O$953*$X$953</f>
        <v>42000.859799999998</v>
      </c>
      <c r="AE953" s="6">
        <f>$K$953*$Y$953</f>
        <v>0</v>
      </c>
      <c r="AF953" s="6">
        <f ca="1">$M$953*$Z$953</f>
        <v>45184.725599999998</v>
      </c>
      <c r="AG953" s="6">
        <f ca="1">$O$953*$AA$953</f>
        <v>37645.215080000002</v>
      </c>
    </row>
    <row r="954" spans="1:33" ht="11.25" customHeight="1" x14ac:dyDescent="0.25">
      <c r="A954" s="4" t="s">
        <v>28</v>
      </c>
      <c r="B954" s="4" t="s">
        <v>39</v>
      </c>
      <c r="C954" s="4" t="s">
        <v>23</v>
      </c>
      <c r="D954" s="4" t="s">
        <v>46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44531</v>
      </c>
      <c r="J954" s="6">
        <v>0</v>
      </c>
      <c r="K954" s="6">
        <v>0</v>
      </c>
      <c r="L954" s="6">
        <v>6.18</v>
      </c>
      <c r="M954" s="6">
        <v>6.18</v>
      </c>
      <c r="N954" s="6">
        <v>6.18</v>
      </c>
      <c r="O954" s="6">
        <v>6.18</v>
      </c>
      <c r="P954" s="6">
        <v>6</v>
      </c>
      <c r="Q954" s="4" t="s">
        <v>26</v>
      </c>
      <c r="R954" s="4">
        <v>0</v>
      </c>
      <c r="S954" s="6">
        <v>0</v>
      </c>
      <c r="T954" s="6">
        <v>58</v>
      </c>
      <c r="U954" s="6">
        <v>99</v>
      </c>
      <c r="V954" s="6">
        <f>IF(ISERROR(VLOOKUP($S$954,'TAR FIN'!$A$1:$O$103,15,0)),0,VLOOKUP($S$954,'TAR FIN'!$A$1:$O$103,15,0))</f>
        <v>0</v>
      </c>
      <c r="W954" s="6">
        <f>IF(ISERROR(VLOOKUP($T$954,'TAR FIN'!$A$1:$O$103,15,0)),0,VLOOKUP($T$954,'TAR FIN'!$A$1:$O$103,15,0))</f>
        <v>269.91000000000003</v>
      </c>
      <c r="X954" s="6">
        <f>IF(ISERROR(VLOOKUP($U$954,'TAR FIN'!$A$1:$O$103,15,0)),0,VLOOKUP($U$954,'TAR FIN'!$A$1:$O$103,15,0))</f>
        <v>288.89999999999998</v>
      </c>
      <c r="Y954" s="6"/>
      <c r="Z954" s="6">
        <f ca="1">('TUSD BE'!$AM$58+'TUSD BF_350'!$AM$58+'TUSD CVA'!$AM$58)*1</f>
        <v>310.79999999999995</v>
      </c>
      <c r="AA954" s="6">
        <f ca="1">('TE BE'!$AB$42+'TE BF_350'!$AB$42+'TE CVA'!$AB$42)*1</f>
        <v>258.94</v>
      </c>
      <c r="AB954" s="6">
        <f>$K$954*$V$954</f>
        <v>0</v>
      </c>
      <c r="AC954" s="6">
        <f>$M$954*$W$954</f>
        <v>1668.0438000000001</v>
      </c>
      <c r="AD954" s="6">
        <f>$O$954*$X$954</f>
        <v>1785.4019999999998</v>
      </c>
      <c r="AE954" s="6">
        <f>$K$954*$Y$954</f>
        <v>0</v>
      </c>
      <c r="AF954" s="6">
        <f ca="1">$M$954*$Z$954</f>
        <v>1920.7439999999997</v>
      </c>
      <c r="AG954" s="6">
        <f ca="1">$O$954*$AA$954</f>
        <v>1600.2492</v>
      </c>
    </row>
    <row r="955" spans="1:33" ht="11.25" customHeight="1" x14ac:dyDescent="0.25">
      <c r="A955" s="4" t="s">
        <v>21</v>
      </c>
      <c r="B955" s="4" t="s">
        <v>39</v>
      </c>
      <c r="C955" s="4" t="s">
        <v>23</v>
      </c>
      <c r="D955" s="4" t="s">
        <v>46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44562</v>
      </c>
      <c r="J955" s="6">
        <v>0</v>
      </c>
      <c r="K955" s="6">
        <v>0</v>
      </c>
      <c r="L955" s="6">
        <v>109.54900000000001</v>
      </c>
      <c r="M955" s="6">
        <v>109.54900000000001</v>
      </c>
      <c r="N955" s="6">
        <v>109.54900000000001</v>
      </c>
      <c r="O955" s="6">
        <v>109.54900000000001</v>
      </c>
      <c r="P955" s="6">
        <v>302</v>
      </c>
      <c r="Q955" s="4" t="s">
        <v>26</v>
      </c>
      <c r="R955" s="4">
        <v>0</v>
      </c>
      <c r="S955" s="6">
        <v>0</v>
      </c>
      <c r="T955" s="6">
        <v>58</v>
      </c>
      <c r="U955" s="6">
        <v>99</v>
      </c>
      <c r="V955" s="6">
        <f>IF(ISERROR(VLOOKUP($S$955,'TAR FIN'!$A$1:$O$103,15,0)),0,VLOOKUP($S$955,'TAR FIN'!$A$1:$O$103,15,0))</f>
        <v>0</v>
      </c>
      <c r="W955" s="6">
        <f>IF(ISERROR(VLOOKUP($T$955,'TAR FIN'!$A$1:$O$103,15,0)),0,VLOOKUP($T$955,'TAR FIN'!$A$1:$O$103,15,0))</f>
        <v>269.91000000000003</v>
      </c>
      <c r="X955" s="6">
        <f>IF(ISERROR(VLOOKUP($U$955,'TAR FIN'!$A$1:$O$103,15,0)),0,VLOOKUP($U$955,'TAR FIN'!$A$1:$O$103,15,0))</f>
        <v>288.89999999999998</v>
      </c>
      <c r="Y955" s="6"/>
      <c r="Z955" s="6">
        <f ca="1">('TUSD BE'!$AM$58+'TUSD BF_350'!$AM$58+'TUSD CVA'!$AM$58)*1</f>
        <v>310.79999999999995</v>
      </c>
      <c r="AA955" s="6">
        <f ca="1">('TE BE'!$AB$42+'TE BF_350'!$AB$42+'TE CVA'!$AB$42)*1</f>
        <v>258.94</v>
      </c>
      <c r="AB955" s="6">
        <f>$K$955*$V$955</f>
        <v>0</v>
      </c>
      <c r="AC955" s="6">
        <f>$M$955*$W$955</f>
        <v>29568.370590000006</v>
      </c>
      <c r="AD955" s="6">
        <f>$O$955*$X$955</f>
        <v>31648.706099999999</v>
      </c>
      <c r="AE955" s="6">
        <f>$K$955*$Y$955</f>
        <v>0</v>
      </c>
      <c r="AF955" s="6">
        <f ca="1">$M$955*$Z$955</f>
        <v>34047.8292</v>
      </c>
      <c r="AG955" s="6">
        <f ca="1">$O$955*$AA$955</f>
        <v>28366.618060000001</v>
      </c>
    </row>
    <row r="956" spans="1:33" ht="11.25" customHeight="1" x14ac:dyDescent="0.25">
      <c r="A956" s="4" t="s">
        <v>28</v>
      </c>
      <c r="B956" s="4" t="s">
        <v>39</v>
      </c>
      <c r="C956" s="4" t="s">
        <v>23</v>
      </c>
      <c r="D956" s="4" t="s">
        <v>46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44562</v>
      </c>
      <c r="J956" s="6">
        <v>0</v>
      </c>
      <c r="K956" s="6">
        <v>0</v>
      </c>
      <c r="L956" s="6">
        <v>7.5069999999999997</v>
      </c>
      <c r="M956" s="6">
        <v>7.5069999999999997</v>
      </c>
      <c r="N956" s="6">
        <v>7.5069999999999997</v>
      </c>
      <c r="O956" s="6">
        <v>7.5069999999999997</v>
      </c>
      <c r="P956" s="6">
        <v>6</v>
      </c>
      <c r="Q956" s="4" t="s">
        <v>26</v>
      </c>
      <c r="R956" s="4">
        <v>0</v>
      </c>
      <c r="S956" s="6">
        <v>0</v>
      </c>
      <c r="T956" s="6">
        <v>58</v>
      </c>
      <c r="U956" s="6">
        <v>99</v>
      </c>
      <c r="V956" s="6">
        <f>IF(ISERROR(VLOOKUP($S$956,'TAR FIN'!$A$1:$O$103,15,0)),0,VLOOKUP($S$956,'TAR FIN'!$A$1:$O$103,15,0))</f>
        <v>0</v>
      </c>
      <c r="W956" s="6">
        <f>IF(ISERROR(VLOOKUP($T$956,'TAR FIN'!$A$1:$O$103,15,0)),0,VLOOKUP($T$956,'TAR FIN'!$A$1:$O$103,15,0))</f>
        <v>269.91000000000003</v>
      </c>
      <c r="X956" s="6">
        <f>IF(ISERROR(VLOOKUP($U$956,'TAR FIN'!$A$1:$O$103,15,0)),0,VLOOKUP($U$956,'TAR FIN'!$A$1:$O$103,15,0))</f>
        <v>288.89999999999998</v>
      </c>
      <c r="Y956" s="6"/>
      <c r="Z956" s="6">
        <f ca="1">('TUSD BE'!$AM$58+'TUSD BF_350'!$AM$58+'TUSD CVA'!$AM$58)*1</f>
        <v>310.79999999999995</v>
      </c>
      <c r="AA956" s="6">
        <f ca="1">('TE BE'!$AB$42+'TE BF_350'!$AB$42+'TE CVA'!$AB$42)*1</f>
        <v>258.94</v>
      </c>
      <c r="AB956" s="6">
        <f>$K$956*$V$956</f>
        <v>0</v>
      </c>
      <c r="AC956" s="6">
        <f>$M$956*$W$956</f>
        <v>2026.2143700000001</v>
      </c>
      <c r="AD956" s="6">
        <f>$O$956*$X$956</f>
        <v>2168.7722999999996</v>
      </c>
      <c r="AE956" s="6">
        <f>$K$956*$Y$956</f>
        <v>0</v>
      </c>
      <c r="AF956" s="6">
        <f ca="1">$M$956*$Z$956</f>
        <v>2333.1755999999996</v>
      </c>
      <c r="AG956" s="6">
        <f ca="1">$O$956*$AA$956</f>
        <v>1943.86258</v>
      </c>
    </row>
    <row r="957" spans="1:33" ht="11.25" customHeight="1" x14ac:dyDescent="0.25">
      <c r="A957" s="4" t="s">
        <v>21</v>
      </c>
      <c r="B957" s="4" t="s">
        <v>39</v>
      </c>
      <c r="C957" s="4" t="s">
        <v>23</v>
      </c>
      <c r="D957" s="4" t="s">
        <v>46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44593</v>
      </c>
      <c r="J957" s="6">
        <v>0</v>
      </c>
      <c r="K957" s="6">
        <v>0</v>
      </c>
      <c r="L957" s="6">
        <v>135.85599999999999</v>
      </c>
      <c r="M957" s="6">
        <v>135.85599999999999</v>
      </c>
      <c r="N957" s="6">
        <v>135.85599999999999</v>
      </c>
      <c r="O957" s="6">
        <v>135.85599999999999</v>
      </c>
      <c r="P957" s="6">
        <v>303</v>
      </c>
      <c r="Q957" s="4" t="s">
        <v>26</v>
      </c>
      <c r="R957" s="4">
        <v>0</v>
      </c>
      <c r="S957" s="6">
        <v>0</v>
      </c>
      <c r="T957" s="6">
        <v>58</v>
      </c>
      <c r="U957" s="6">
        <v>99</v>
      </c>
      <c r="V957" s="6">
        <f>IF(ISERROR(VLOOKUP($S$957,'TAR FIN'!$A$1:$O$103,15,0)),0,VLOOKUP($S$957,'TAR FIN'!$A$1:$O$103,15,0))</f>
        <v>0</v>
      </c>
      <c r="W957" s="6">
        <f>IF(ISERROR(VLOOKUP($T$957,'TAR FIN'!$A$1:$O$103,15,0)),0,VLOOKUP($T$957,'TAR FIN'!$A$1:$O$103,15,0))</f>
        <v>269.91000000000003</v>
      </c>
      <c r="X957" s="6">
        <f>IF(ISERROR(VLOOKUP($U$957,'TAR FIN'!$A$1:$O$103,15,0)),0,VLOOKUP($U$957,'TAR FIN'!$A$1:$O$103,15,0))</f>
        <v>288.89999999999998</v>
      </c>
      <c r="Y957" s="6"/>
      <c r="Z957" s="6">
        <f ca="1">('TUSD BE'!$AM$58+'TUSD BF_350'!$AM$58+'TUSD CVA'!$AM$58)*1</f>
        <v>310.79999999999995</v>
      </c>
      <c r="AA957" s="6">
        <f ca="1">('TE BE'!$AB$42+'TE BF_350'!$AB$42+'TE CVA'!$AB$42)*1</f>
        <v>258.94</v>
      </c>
      <c r="AB957" s="6">
        <f>$K$957*$V$957</f>
        <v>0</v>
      </c>
      <c r="AC957" s="6">
        <f>$M$957*$W$957</f>
        <v>36668.892960000005</v>
      </c>
      <c r="AD957" s="6">
        <f>$O$957*$X$957</f>
        <v>39248.798399999992</v>
      </c>
      <c r="AE957" s="6">
        <f>$K$957*$Y$957</f>
        <v>0</v>
      </c>
      <c r="AF957" s="6">
        <f ca="1">$M$957*$Z$957</f>
        <v>42224.044799999989</v>
      </c>
      <c r="AG957" s="6">
        <f ca="1">$O$957*$AA$957</f>
        <v>35178.552640000002</v>
      </c>
    </row>
    <row r="958" spans="1:33" ht="11.25" customHeight="1" x14ac:dyDescent="0.25">
      <c r="A958" s="4" t="s">
        <v>21</v>
      </c>
      <c r="B958" s="4" t="s">
        <v>39</v>
      </c>
      <c r="C958" s="4" t="s">
        <v>23</v>
      </c>
      <c r="D958" s="4" t="s">
        <v>46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44621</v>
      </c>
      <c r="J958" s="6">
        <v>0</v>
      </c>
      <c r="K958" s="6">
        <v>0</v>
      </c>
      <c r="L958" s="6">
        <v>161.43600000000001</v>
      </c>
      <c r="M958" s="6">
        <v>161.43600000000001</v>
      </c>
      <c r="N958" s="6">
        <v>161.43600000000001</v>
      </c>
      <c r="O958" s="6">
        <v>161.43600000000001</v>
      </c>
      <c r="P958" s="6">
        <v>304</v>
      </c>
      <c r="Q958" s="4" t="s">
        <v>26</v>
      </c>
      <c r="R958" s="4">
        <v>0</v>
      </c>
      <c r="S958" s="6">
        <v>0</v>
      </c>
      <c r="T958" s="6">
        <v>58</v>
      </c>
      <c r="U958" s="6">
        <v>99</v>
      </c>
      <c r="V958" s="6">
        <f>IF(ISERROR(VLOOKUP($S$958,'TAR FIN'!$A$1:$O$103,15,0)),0,VLOOKUP($S$958,'TAR FIN'!$A$1:$O$103,15,0))</f>
        <v>0</v>
      </c>
      <c r="W958" s="6">
        <f>IF(ISERROR(VLOOKUP($T$958,'TAR FIN'!$A$1:$O$103,15,0)),0,VLOOKUP($T$958,'TAR FIN'!$A$1:$O$103,15,0))</f>
        <v>269.91000000000003</v>
      </c>
      <c r="X958" s="6">
        <f>IF(ISERROR(VLOOKUP($U$958,'TAR FIN'!$A$1:$O$103,15,0)),0,VLOOKUP($U$958,'TAR FIN'!$A$1:$O$103,15,0))</f>
        <v>288.89999999999998</v>
      </c>
      <c r="Y958" s="6"/>
      <c r="Z958" s="6">
        <f ca="1">('TUSD BE'!$AM$58+'TUSD BF_350'!$AM$58+'TUSD CVA'!$AM$58)*1</f>
        <v>310.79999999999995</v>
      </c>
      <c r="AA958" s="6">
        <f ca="1">('TE BE'!$AB$42+'TE BF_350'!$AB$42+'TE CVA'!$AB$42)*1</f>
        <v>258.94</v>
      </c>
      <c r="AB958" s="6">
        <f>$K$958*$V$958</f>
        <v>0</v>
      </c>
      <c r="AC958" s="6">
        <f>$M$958*$W$958</f>
        <v>43573.190760000005</v>
      </c>
      <c r="AD958" s="6">
        <f>$O$958*$X$958</f>
        <v>46638.860399999998</v>
      </c>
      <c r="AE958" s="6">
        <f>$K$958*$Y$958</f>
        <v>0</v>
      </c>
      <c r="AF958" s="6">
        <f ca="1">$M$958*$Z$958</f>
        <v>50174.308799999992</v>
      </c>
      <c r="AG958" s="6">
        <f ca="1">$O$958*$AA$958</f>
        <v>41802.237840000002</v>
      </c>
    </row>
    <row r="959" spans="1:33" ht="11.25" customHeight="1" x14ac:dyDescent="0.25">
      <c r="A959" s="4" t="s">
        <v>28</v>
      </c>
      <c r="B959" s="4" t="s">
        <v>39</v>
      </c>
      <c r="C959" s="4" t="s">
        <v>23</v>
      </c>
      <c r="D959" s="4" t="s">
        <v>46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44621</v>
      </c>
      <c r="J959" s="6">
        <v>0</v>
      </c>
      <c r="K959" s="6">
        <v>0</v>
      </c>
      <c r="L959" s="6">
        <v>3.7759999999999998</v>
      </c>
      <c r="M959" s="6">
        <v>3.7759999999999998</v>
      </c>
      <c r="N959" s="6">
        <v>3.7759999999999998</v>
      </c>
      <c r="O959" s="6">
        <v>3.7759999999999998</v>
      </c>
      <c r="P959" s="6">
        <v>6</v>
      </c>
      <c r="Q959" s="4" t="s">
        <v>26</v>
      </c>
      <c r="R959" s="4">
        <v>0</v>
      </c>
      <c r="S959" s="6">
        <v>0</v>
      </c>
      <c r="T959" s="6">
        <v>58</v>
      </c>
      <c r="U959" s="6">
        <v>99</v>
      </c>
      <c r="V959" s="6">
        <f>IF(ISERROR(VLOOKUP($S$959,'TAR FIN'!$A$1:$O$103,15,0)),0,VLOOKUP($S$959,'TAR FIN'!$A$1:$O$103,15,0))</f>
        <v>0</v>
      </c>
      <c r="W959" s="6">
        <f>IF(ISERROR(VLOOKUP($T$959,'TAR FIN'!$A$1:$O$103,15,0)),0,VLOOKUP($T$959,'TAR FIN'!$A$1:$O$103,15,0))</f>
        <v>269.91000000000003</v>
      </c>
      <c r="X959" s="6">
        <f>IF(ISERROR(VLOOKUP($U$959,'TAR FIN'!$A$1:$O$103,15,0)),0,VLOOKUP($U$959,'TAR FIN'!$A$1:$O$103,15,0))</f>
        <v>288.89999999999998</v>
      </c>
      <c r="Y959" s="6"/>
      <c r="Z959" s="6">
        <f ca="1">('TUSD BE'!$AM$58+'TUSD BF_350'!$AM$58+'TUSD CVA'!$AM$58)*1</f>
        <v>310.79999999999995</v>
      </c>
      <c r="AA959" s="6">
        <f ca="1">('TE BE'!$AB$42+'TE BF_350'!$AB$42+'TE CVA'!$AB$42)*1</f>
        <v>258.94</v>
      </c>
      <c r="AB959" s="6">
        <f>$K$959*$V$959</f>
        <v>0</v>
      </c>
      <c r="AC959" s="6">
        <f>$M$959*$W$959</f>
        <v>1019.18016</v>
      </c>
      <c r="AD959" s="6">
        <f>$O$959*$X$959</f>
        <v>1090.8863999999999</v>
      </c>
      <c r="AE959" s="6">
        <f>$K$959*$Y$959</f>
        <v>0</v>
      </c>
      <c r="AF959" s="6">
        <f ca="1">$M$959*$Z$959</f>
        <v>1173.5807999999997</v>
      </c>
      <c r="AG959" s="6">
        <f ca="1">$O$959*$AA$959</f>
        <v>977.75743999999997</v>
      </c>
    </row>
    <row r="960" spans="1:33" ht="11.25" customHeight="1" x14ac:dyDescent="0.25">
      <c r="A960" s="4" t="s">
        <v>21</v>
      </c>
      <c r="B960" s="4" t="s">
        <v>39</v>
      </c>
      <c r="C960" s="4" t="s">
        <v>23</v>
      </c>
      <c r="D960" s="4" t="s">
        <v>46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44652</v>
      </c>
      <c r="J960" s="6">
        <v>0</v>
      </c>
      <c r="K960" s="6">
        <v>0</v>
      </c>
      <c r="L960" s="6">
        <v>151.37100000000001</v>
      </c>
      <c r="M960" s="6">
        <v>151.37100000000001</v>
      </c>
      <c r="N960" s="6">
        <v>151.37100000000001</v>
      </c>
      <c r="O960" s="6">
        <v>151.37100000000001</v>
      </c>
      <c r="P960" s="6">
        <v>301</v>
      </c>
      <c r="Q960" s="4" t="s">
        <v>26</v>
      </c>
      <c r="R960" s="4">
        <v>0</v>
      </c>
      <c r="S960" s="6">
        <v>0</v>
      </c>
      <c r="T960" s="6">
        <v>58</v>
      </c>
      <c r="U960" s="6">
        <v>99</v>
      </c>
      <c r="V960" s="6">
        <f>IF(ISERROR(VLOOKUP($S$960,'TAR FIN'!$A$1:$O$103,15,0)),0,VLOOKUP($S$960,'TAR FIN'!$A$1:$O$103,15,0))</f>
        <v>0</v>
      </c>
      <c r="W960" s="6">
        <f>IF(ISERROR(VLOOKUP($T$960,'TAR FIN'!$A$1:$O$103,15,0)),0,VLOOKUP($T$960,'TAR FIN'!$A$1:$O$103,15,0))</f>
        <v>269.91000000000003</v>
      </c>
      <c r="X960" s="6">
        <f>IF(ISERROR(VLOOKUP($U$960,'TAR FIN'!$A$1:$O$103,15,0)),0,VLOOKUP($U$960,'TAR FIN'!$A$1:$O$103,15,0))</f>
        <v>288.89999999999998</v>
      </c>
      <c r="Y960" s="6"/>
      <c r="Z960" s="6">
        <f ca="1">('TUSD BE'!$AM$58+'TUSD BF_350'!$AM$58+'TUSD CVA'!$AM$58)*1</f>
        <v>310.79999999999995</v>
      </c>
      <c r="AA960" s="6">
        <f ca="1">('TE BE'!$AB$42+'TE BF_350'!$AB$42+'TE CVA'!$AB$42)*1</f>
        <v>258.94</v>
      </c>
      <c r="AB960" s="6">
        <f>$K$960*$V$960</f>
        <v>0</v>
      </c>
      <c r="AC960" s="6">
        <f>$M$960*$W$960</f>
        <v>40856.546610000005</v>
      </c>
      <c r="AD960" s="6">
        <f>$O$960*$X$960</f>
        <v>43731.081899999997</v>
      </c>
      <c r="AE960" s="6">
        <f>$K$960*$Y$960</f>
        <v>0</v>
      </c>
      <c r="AF960" s="6">
        <f ca="1">$M$960*$Z$960</f>
        <v>47046.106799999994</v>
      </c>
      <c r="AG960" s="6">
        <f ca="1">$O$960*$AA$960</f>
        <v>39196.006740000004</v>
      </c>
    </row>
    <row r="961" spans="1:33" ht="11.25" customHeight="1" x14ac:dyDescent="0.25">
      <c r="A961" s="4" t="s">
        <v>28</v>
      </c>
      <c r="B961" s="4" t="s">
        <v>39</v>
      </c>
      <c r="C961" s="4" t="s">
        <v>23</v>
      </c>
      <c r="D961" s="4" t="s">
        <v>46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44652</v>
      </c>
      <c r="J961" s="6">
        <v>0</v>
      </c>
      <c r="K961" s="6">
        <v>0</v>
      </c>
      <c r="L961" s="6">
        <v>5.266</v>
      </c>
      <c r="M961" s="6">
        <v>5.266</v>
      </c>
      <c r="N961" s="6">
        <v>5.266</v>
      </c>
      <c r="O961" s="6">
        <v>5.266</v>
      </c>
      <c r="P961" s="6">
        <v>6</v>
      </c>
      <c r="Q961" s="4" t="s">
        <v>26</v>
      </c>
      <c r="R961" s="4">
        <v>0</v>
      </c>
      <c r="S961" s="6">
        <v>0</v>
      </c>
      <c r="T961" s="6">
        <v>58</v>
      </c>
      <c r="U961" s="6">
        <v>99</v>
      </c>
      <c r="V961" s="6">
        <f>IF(ISERROR(VLOOKUP($S$961,'TAR FIN'!$A$1:$O$103,15,0)),0,VLOOKUP($S$961,'TAR FIN'!$A$1:$O$103,15,0))</f>
        <v>0</v>
      </c>
      <c r="W961" s="6">
        <f>IF(ISERROR(VLOOKUP($T$961,'TAR FIN'!$A$1:$O$103,15,0)),0,VLOOKUP($T$961,'TAR FIN'!$A$1:$O$103,15,0))</f>
        <v>269.91000000000003</v>
      </c>
      <c r="X961" s="6">
        <f>IF(ISERROR(VLOOKUP($U$961,'TAR FIN'!$A$1:$O$103,15,0)),0,VLOOKUP($U$961,'TAR FIN'!$A$1:$O$103,15,0))</f>
        <v>288.89999999999998</v>
      </c>
      <c r="Y961" s="6"/>
      <c r="Z961" s="6">
        <f ca="1">('TUSD BE'!$AM$58+'TUSD BF_350'!$AM$58+'TUSD CVA'!$AM$58)*1</f>
        <v>310.79999999999995</v>
      </c>
      <c r="AA961" s="6">
        <f ca="1">('TE BE'!$AB$42+'TE BF_350'!$AB$42+'TE CVA'!$AB$42)*1</f>
        <v>258.94</v>
      </c>
      <c r="AB961" s="6">
        <f>$K$961*$V$961</f>
        <v>0</v>
      </c>
      <c r="AC961" s="6">
        <f>$M$961*$W$961</f>
        <v>1421.3460600000001</v>
      </c>
      <c r="AD961" s="6">
        <f>$O$961*$X$961</f>
        <v>1521.3473999999999</v>
      </c>
      <c r="AE961" s="6">
        <f>$K$961*$Y$961</f>
        <v>0</v>
      </c>
      <c r="AF961" s="6">
        <f ca="1">$M$961*$Z$961</f>
        <v>1636.6727999999998</v>
      </c>
      <c r="AG961" s="6">
        <f ca="1">$O$961*$AA$961</f>
        <v>1363.5780400000001</v>
      </c>
    </row>
    <row r="962" spans="1:33" ht="11.25" customHeight="1" x14ac:dyDescent="0.25">
      <c r="A962" s="4" t="s">
        <v>21</v>
      </c>
      <c r="B962" s="4" t="s">
        <v>39</v>
      </c>
      <c r="C962" s="4" t="s">
        <v>23</v>
      </c>
      <c r="D962" s="4" t="s">
        <v>46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44682</v>
      </c>
      <c r="J962" s="6">
        <v>0</v>
      </c>
      <c r="K962" s="6">
        <v>0</v>
      </c>
      <c r="L962" s="6">
        <v>152.90199999999999</v>
      </c>
      <c r="M962" s="6">
        <v>152.90199999999999</v>
      </c>
      <c r="N962" s="6">
        <v>152.90199999999999</v>
      </c>
      <c r="O962" s="6">
        <v>152.90199999999999</v>
      </c>
      <c r="P962" s="6">
        <v>304</v>
      </c>
      <c r="Q962" s="4" t="s">
        <v>26</v>
      </c>
      <c r="R962" s="4">
        <v>0</v>
      </c>
      <c r="S962" s="6">
        <v>0</v>
      </c>
      <c r="T962" s="6">
        <v>58</v>
      </c>
      <c r="U962" s="6">
        <v>99</v>
      </c>
      <c r="V962" s="6">
        <f>IF(ISERROR(VLOOKUP($S$962,'TAR FIN'!$A$1:$O$103,15,0)),0,VLOOKUP($S$962,'TAR FIN'!$A$1:$O$103,15,0))</f>
        <v>0</v>
      </c>
      <c r="W962" s="6">
        <f>IF(ISERROR(VLOOKUP($T$962,'TAR FIN'!$A$1:$O$103,15,0)),0,VLOOKUP($T$962,'TAR FIN'!$A$1:$O$103,15,0))</f>
        <v>269.91000000000003</v>
      </c>
      <c r="X962" s="6">
        <f>IF(ISERROR(VLOOKUP($U$962,'TAR FIN'!$A$1:$O$103,15,0)),0,VLOOKUP($U$962,'TAR FIN'!$A$1:$O$103,15,0))</f>
        <v>288.89999999999998</v>
      </c>
      <c r="Y962" s="6"/>
      <c r="Z962" s="6">
        <f ca="1">('TUSD BE'!$AM$58+'TUSD BF_350'!$AM$58+'TUSD CVA'!$AM$58)*1</f>
        <v>310.79999999999995</v>
      </c>
      <c r="AA962" s="6">
        <f ca="1">('TE BE'!$AB$42+'TE BF_350'!$AB$42+'TE CVA'!$AB$42)*1</f>
        <v>258.94</v>
      </c>
      <c r="AB962" s="6">
        <f>$K$962*$V$962</f>
        <v>0</v>
      </c>
      <c r="AC962" s="6">
        <f>$M$962*$W$962</f>
        <v>41269.77882</v>
      </c>
      <c r="AD962" s="6">
        <f>$O$962*$X$962</f>
        <v>44173.38779999999</v>
      </c>
      <c r="AE962" s="6">
        <f>$K$962*$Y$962</f>
        <v>0</v>
      </c>
      <c r="AF962" s="6">
        <f ca="1">$M$962*$Z$962</f>
        <v>47521.941599999991</v>
      </c>
      <c r="AG962" s="6">
        <f ca="1">$O$962*$AA$962</f>
        <v>39592.443879999999</v>
      </c>
    </row>
    <row r="963" spans="1:33" ht="11.25" customHeight="1" x14ac:dyDescent="0.25">
      <c r="A963" s="4" t="s">
        <v>28</v>
      </c>
      <c r="B963" s="4" t="s">
        <v>39</v>
      </c>
      <c r="C963" s="4" t="s">
        <v>23</v>
      </c>
      <c r="D963" s="4" t="s">
        <v>46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44682</v>
      </c>
      <c r="J963" s="6">
        <v>0</v>
      </c>
      <c r="K963" s="6">
        <v>0</v>
      </c>
      <c r="L963" s="6">
        <v>6.1769999999999996</v>
      </c>
      <c r="M963" s="6">
        <v>6.1769999999999996</v>
      </c>
      <c r="N963" s="6">
        <v>6.1769999999999996</v>
      </c>
      <c r="O963" s="6">
        <v>6.1769999999999996</v>
      </c>
      <c r="P963" s="6">
        <v>6</v>
      </c>
      <c r="Q963" s="4" t="s">
        <v>26</v>
      </c>
      <c r="R963" s="4">
        <v>0</v>
      </c>
      <c r="S963" s="6">
        <v>0</v>
      </c>
      <c r="T963" s="6">
        <v>58</v>
      </c>
      <c r="U963" s="6">
        <v>99</v>
      </c>
      <c r="V963" s="6">
        <f>IF(ISERROR(VLOOKUP($S$963,'TAR FIN'!$A$1:$O$103,15,0)),0,VLOOKUP($S$963,'TAR FIN'!$A$1:$O$103,15,0))</f>
        <v>0</v>
      </c>
      <c r="W963" s="6">
        <f>IF(ISERROR(VLOOKUP($T$963,'TAR FIN'!$A$1:$O$103,15,0)),0,VLOOKUP($T$963,'TAR FIN'!$A$1:$O$103,15,0))</f>
        <v>269.91000000000003</v>
      </c>
      <c r="X963" s="6">
        <f>IF(ISERROR(VLOOKUP($U$963,'TAR FIN'!$A$1:$O$103,15,0)),0,VLOOKUP($U$963,'TAR FIN'!$A$1:$O$103,15,0))</f>
        <v>288.89999999999998</v>
      </c>
      <c r="Y963" s="6"/>
      <c r="Z963" s="6">
        <f ca="1">('TUSD BE'!$AM$58+'TUSD BF_350'!$AM$58+'TUSD CVA'!$AM$58)*1</f>
        <v>310.79999999999995</v>
      </c>
      <c r="AA963" s="6">
        <f ca="1">('TE BE'!$AB$42+'TE BF_350'!$AB$42+'TE CVA'!$AB$42)*1</f>
        <v>258.94</v>
      </c>
      <c r="AB963" s="6">
        <f>$K$963*$V$963</f>
        <v>0</v>
      </c>
      <c r="AC963" s="6">
        <f>$M$963*$W$963</f>
        <v>1667.23407</v>
      </c>
      <c r="AD963" s="6">
        <f>$O$963*$X$963</f>
        <v>1784.5352999999998</v>
      </c>
      <c r="AE963" s="6">
        <f>$K$963*$Y$963</f>
        <v>0</v>
      </c>
      <c r="AF963" s="6">
        <f ca="1">$M$963*$Z$963</f>
        <v>1919.8115999999995</v>
      </c>
      <c r="AG963" s="6">
        <f ca="1">$O$963*$AA$963</f>
        <v>1599.4723799999999</v>
      </c>
    </row>
    <row r="964" spans="1:33" ht="11.25" customHeight="1" x14ac:dyDescent="0.25">
      <c r="A964" s="4" t="s">
        <v>21</v>
      </c>
      <c r="B964" s="4" t="s">
        <v>39</v>
      </c>
      <c r="C964" s="4" t="s">
        <v>23</v>
      </c>
      <c r="D964" s="4" t="s">
        <v>50</v>
      </c>
      <c r="E964" s="4" t="s">
        <v>51</v>
      </c>
      <c r="F964" s="4" t="s">
        <v>25</v>
      </c>
      <c r="G964" s="4" t="s">
        <v>25</v>
      </c>
      <c r="H964" s="4" t="s">
        <v>25</v>
      </c>
      <c r="I964" s="5">
        <v>44348</v>
      </c>
      <c r="J964" s="6">
        <v>0</v>
      </c>
      <c r="K964" s="53">
        <v>0</v>
      </c>
      <c r="L964" s="6">
        <v>42.679000000000002</v>
      </c>
      <c r="M964" s="53">
        <v>42.679000000000002</v>
      </c>
      <c r="N964" s="6">
        <v>42.679000000000002</v>
      </c>
      <c r="O964" s="53">
        <v>42.679000000000002</v>
      </c>
      <c r="P964" s="6">
        <v>49</v>
      </c>
      <c r="Q964" s="4" t="s">
        <v>26</v>
      </c>
      <c r="R964" s="4">
        <v>0</v>
      </c>
      <c r="S964" s="6">
        <v>0</v>
      </c>
      <c r="T964" s="6">
        <v>58</v>
      </c>
      <c r="U964" s="6">
        <v>99</v>
      </c>
      <c r="V964" s="53">
        <f>IF(ISERROR(VLOOKUP($S$964,'TAR FIN'!$A$1:$O$103,15,0)),0,VLOOKUP($S$964,'TAR FIN'!$A$1:$O$103,15,0))</f>
        <v>0</v>
      </c>
      <c r="W964" s="53">
        <f>IF(ISERROR(VLOOKUP($T$964,'TAR FIN'!$A$1:$O$103,15,0)),0,VLOOKUP($T$964,'TAR FIN'!$A$1:$O$103,15,0))*(1-0.06)</f>
        <v>253.71540000000002</v>
      </c>
      <c r="X964" s="53">
        <f>IF(ISERROR(VLOOKUP($U$964,'TAR FIN'!$A$1:$O$103,15,0)),0,VLOOKUP($U$964,'TAR FIN'!$A$1:$O$103,15,0))*(1-0.06)</f>
        <v>271.56599999999997</v>
      </c>
      <c r="Y964" s="53"/>
      <c r="Z964" s="53">
        <f ca="1">('TUSD BE'!$AM$58+'TUSD BF_350'!$AM$58+'TUSD CVA'!$AM$58)*1*(1-0.03)</f>
        <v>301.47599999999994</v>
      </c>
      <c r="AA964" s="53">
        <f ca="1">('TE BE'!$AB$42+'TE BF_350'!$AB$42+'TE CVA'!$AB$42)*1*(1-0.03)</f>
        <v>251.17179999999999</v>
      </c>
      <c r="AB964" s="6">
        <f>$K$964*$V$964</f>
        <v>0</v>
      </c>
      <c r="AC964" s="6">
        <f>$M$964*$W$964</f>
        <v>10828.319556600001</v>
      </c>
      <c r="AD964" s="6">
        <f>$O$964*$X$964</f>
        <v>11590.165314</v>
      </c>
      <c r="AE964" s="6">
        <f>$K$964*$Y$964</f>
        <v>0</v>
      </c>
      <c r="AF964" s="6">
        <f ca="1">$M$964*$Z$964</f>
        <v>12866.694203999998</v>
      </c>
      <c r="AG964" s="6">
        <f ca="1">$O$964*$AA$964</f>
        <v>10719.7612522</v>
      </c>
    </row>
    <row r="965" spans="1:33" ht="11.25" customHeight="1" x14ac:dyDescent="0.25">
      <c r="A965" s="4" t="s">
        <v>21</v>
      </c>
      <c r="B965" s="4" t="s">
        <v>39</v>
      </c>
      <c r="C965" s="4" t="s">
        <v>23</v>
      </c>
      <c r="D965" s="4" t="s">
        <v>50</v>
      </c>
      <c r="E965" s="4" t="s">
        <v>51</v>
      </c>
      <c r="F965" s="4" t="s">
        <v>25</v>
      </c>
      <c r="G965" s="4" t="s">
        <v>25</v>
      </c>
      <c r="H965" s="4" t="s">
        <v>25</v>
      </c>
      <c r="I965" s="5">
        <v>44378</v>
      </c>
      <c r="J965" s="6">
        <v>0</v>
      </c>
      <c r="K965" s="53">
        <v>0</v>
      </c>
      <c r="L965" s="6">
        <v>50.063000000000002</v>
      </c>
      <c r="M965" s="53">
        <v>50.063000000000002</v>
      </c>
      <c r="N965" s="6">
        <v>50.063000000000002</v>
      </c>
      <c r="O965" s="53">
        <v>50.063000000000002</v>
      </c>
      <c r="P965" s="6">
        <v>49</v>
      </c>
      <c r="Q965" s="4" t="s">
        <v>26</v>
      </c>
      <c r="R965" s="4">
        <v>0</v>
      </c>
      <c r="S965" s="6">
        <v>0</v>
      </c>
      <c r="T965" s="6">
        <v>58</v>
      </c>
      <c r="U965" s="6">
        <v>99</v>
      </c>
      <c r="V965" s="53">
        <f>IF(ISERROR(VLOOKUP($S$965,'TAR FIN'!$A$1:$O$103,15,0)),0,VLOOKUP($S$965,'TAR FIN'!$A$1:$O$103,15,0))</f>
        <v>0</v>
      </c>
      <c r="W965" s="53">
        <f>IF(ISERROR(VLOOKUP($T$965,'TAR FIN'!$A$1:$O$103,15,0)),0,VLOOKUP($T$965,'TAR FIN'!$A$1:$O$103,15,0))*(1-0.06)</f>
        <v>253.71540000000002</v>
      </c>
      <c r="X965" s="53">
        <f>IF(ISERROR(VLOOKUP($U$965,'TAR FIN'!$A$1:$O$103,15,0)),0,VLOOKUP($U$965,'TAR FIN'!$A$1:$O$103,15,0))*(1-0.06)</f>
        <v>271.56599999999997</v>
      </c>
      <c r="Y965" s="53"/>
      <c r="Z965" s="53">
        <f ca="1">('TUSD BE'!$AM$58+'TUSD BF_350'!$AM$58+'TUSD CVA'!$AM$58)*1*(1-0.03)</f>
        <v>301.47599999999994</v>
      </c>
      <c r="AA965" s="53">
        <f ca="1">('TE BE'!$AB$42+'TE BF_350'!$AB$42+'TE CVA'!$AB$42)*1*(1-0.03)</f>
        <v>251.17179999999999</v>
      </c>
      <c r="AB965" s="6">
        <f>$K$965*$V$965</f>
        <v>0</v>
      </c>
      <c r="AC965" s="6">
        <f>$M$965*$W$965</f>
        <v>12701.754070200001</v>
      </c>
      <c r="AD965" s="6">
        <f>$O$965*$X$965</f>
        <v>13595.408657999998</v>
      </c>
      <c r="AE965" s="6">
        <f>$K$965*$Y$965</f>
        <v>0</v>
      </c>
      <c r="AF965" s="6">
        <f ca="1">$M$965*$Z$965</f>
        <v>15092.792987999997</v>
      </c>
      <c r="AG965" s="6">
        <f ca="1">$O$965*$AA$965</f>
        <v>12574.4138234</v>
      </c>
    </row>
    <row r="966" spans="1:33" ht="11.25" customHeight="1" x14ac:dyDescent="0.25">
      <c r="A966" s="4" t="s">
        <v>21</v>
      </c>
      <c r="B966" s="4" t="s">
        <v>39</v>
      </c>
      <c r="C966" s="4" t="s">
        <v>23</v>
      </c>
      <c r="D966" s="4" t="s">
        <v>50</v>
      </c>
      <c r="E966" s="4" t="s">
        <v>51</v>
      </c>
      <c r="F966" s="4" t="s">
        <v>25</v>
      </c>
      <c r="G966" s="4" t="s">
        <v>25</v>
      </c>
      <c r="H966" s="4" t="s">
        <v>25</v>
      </c>
      <c r="I966" s="5">
        <v>44409</v>
      </c>
      <c r="J966" s="6">
        <v>0</v>
      </c>
      <c r="K966" s="53">
        <v>0</v>
      </c>
      <c r="L966" s="6">
        <v>49.665999999999997</v>
      </c>
      <c r="M966" s="53">
        <v>49.665999999999997</v>
      </c>
      <c r="N966" s="6">
        <v>49.665999999999997</v>
      </c>
      <c r="O966" s="53">
        <v>49.665999999999997</v>
      </c>
      <c r="P966" s="6">
        <v>49</v>
      </c>
      <c r="Q966" s="4" t="s">
        <v>26</v>
      </c>
      <c r="R966" s="4">
        <v>0</v>
      </c>
      <c r="S966" s="6">
        <v>0</v>
      </c>
      <c r="T966" s="6">
        <v>58</v>
      </c>
      <c r="U966" s="6">
        <v>99</v>
      </c>
      <c r="V966" s="53">
        <f>IF(ISERROR(VLOOKUP($S$966,'TAR FIN'!$A$1:$O$103,15,0)),0,VLOOKUP($S$966,'TAR FIN'!$A$1:$O$103,15,0))</f>
        <v>0</v>
      </c>
      <c r="W966" s="53">
        <f>IF(ISERROR(VLOOKUP($T$966,'TAR FIN'!$A$1:$O$103,15,0)),0,VLOOKUP($T$966,'TAR FIN'!$A$1:$O$103,15,0))*(1-0.06)</f>
        <v>253.71540000000002</v>
      </c>
      <c r="X966" s="53">
        <f>IF(ISERROR(VLOOKUP($U$966,'TAR FIN'!$A$1:$O$103,15,0)),0,VLOOKUP($U$966,'TAR FIN'!$A$1:$O$103,15,0))*(1-0.06)</f>
        <v>271.56599999999997</v>
      </c>
      <c r="Y966" s="53"/>
      <c r="Z966" s="53">
        <f ca="1">('TUSD BE'!$AM$58+'TUSD BF_350'!$AM$58+'TUSD CVA'!$AM$58)*1*(1-0.03)</f>
        <v>301.47599999999994</v>
      </c>
      <c r="AA966" s="53">
        <f ca="1">('TE BE'!$AB$42+'TE BF_350'!$AB$42+'TE CVA'!$AB$42)*1*(1-0.03)</f>
        <v>251.17179999999999</v>
      </c>
      <c r="AB966" s="6">
        <f>$K$966*$V$966</f>
        <v>0</v>
      </c>
      <c r="AC966" s="6">
        <f>$M$966*$W$966</f>
        <v>12601.029056400001</v>
      </c>
      <c r="AD966" s="6">
        <f>$O$966*$X$966</f>
        <v>13487.596955999998</v>
      </c>
      <c r="AE966" s="6">
        <f>$K$966*$Y$966</f>
        <v>0</v>
      </c>
      <c r="AF966" s="6">
        <f ca="1">$M$966*$Z$966</f>
        <v>14973.107015999996</v>
      </c>
      <c r="AG966" s="6">
        <f ca="1">$O$966*$AA$966</f>
        <v>12474.698618799999</v>
      </c>
    </row>
    <row r="967" spans="1:33" ht="11.25" customHeight="1" x14ac:dyDescent="0.25">
      <c r="A967" s="4" t="s">
        <v>21</v>
      </c>
      <c r="B967" s="4" t="s">
        <v>39</v>
      </c>
      <c r="C967" s="4" t="s">
        <v>23</v>
      </c>
      <c r="D967" s="4" t="s">
        <v>50</v>
      </c>
      <c r="E967" s="4" t="s">
        <v>51</v>
      </c>
      <c r="F967" s="4" t="s">
        <v>25</v>
      </c>
      <c r="G967" s="4" t="s">
        <v>25</v>
      </c>
      <c r="H967" s="4" t="s">
        <v>25</v>
      </c>
      <c r="I967" s="5">
        <v>44440</v>
      </c>
      <c r="J967" s="6">
        <v>0</v>
      </c>
      <c r="K967" s="53">
        <v>0</v>
      </c>
      <c r="L967" s="6">
        <v>46.872</v>
      </c>
      <c r="M967" s="53">
        <v>46.872</v>
      </c>
      <c r="N967" s="6">
        <v>46.872</v>
      </c>
      <c r="O967" s="53">
        <v>46.872</v>
      </c>
      <c r="P967" s="6">
        <v>49</v>
      </c>
      <c r="Q967" s="4" t="s">
        <v>26</v>
      </c>
      <c r="R967" s="4">
        <v>0</v>
      </c>
      <c r="S967" s="6">
        <v>0</v>
      </c>
      <c r="T967" s="6">
        <v>58</v>
      </c>
      <c r="U967" s="6">
        <v>99</v>
      </c>
      <c r="V967" s="53">
        <f>IF(ISERROR(VLOOKUP($S$967,'TAR FIN'!$A$1:$O$103,15,0)),0,VLOOKUP($S$967,'TAR FIN'!$A$1:$O$103,15,0))</f>
        <v>0</v>
      </c>
      <c r="W967" s="53">
        <f>IF(ISERROR(VLOOKUP($T$967,'TAR FIN'!$A$1:$O$103,15,0)),0,VLOOKUP($T$967,'TAR FIN'!$A$1:$O$103,15,0))*(1-0.06)</f>
        <v>253.71540000000002</v>
      </c>
      <c r="X967" s="53">
        <f>IF(ISERROR(VLOOKUP($U$967,'TAR FIN'!$A$1:$O$103,15,0)),0,VLOOKUP($U$967,'TAR FIN'!$A$1:$O$103,15,0))*(1-0.06)</f>
        <v>271.56599999999997</v>
      </c>
      <c r="Y967" s="53"/>
      <c r="Z967" s="53">
        <f ca="1">('TUSD BE'!$AM$58+'TUSD BF_350'!$AM$58+'TUSD CVA'!$AM$58)*1*(1-0.03)</f>
        <v>301.47599999999994</v>
      </c>
      <c r="AA967" s="53">
        <f ca="1">('TE BE'!$AB$42+'TE BF_350'!$AB$42+'TE CVA'!$AB$42)*1*(1-0.03)</f>
        <v>251.17179999999999</v>
      </c>
      <c r="AB967" s="6">
        <f>$K$967*$V$967</f>
        <v>0</v>
      </c>
      <c r="AC967" s="6">
        <f>$M$967*$W$967</f>
        <v>11892.148228800001</v>
      </c>
      <c r="AD967" s="6">
        <f>$O$967*$X$967</f>
        <v>12728.841551999998</v>
      </c>
      <c r="AE967" s="6">
        <f>$K$967*$Y$967</f>
        <v>0</v>
      </c>
      <c r="AF967" s="6">
        <f ca="1">$M$967*$Z$967</f>
        <v>14130.783071999997</v>
      </c>
      <c r="AG967" s="6">
        <f ca="1">$O$967*$AA$967</f>
        <v>11772.924609599999</v>
      </c>
    </row>
    <row r="968" spans="1:33" ht="11.25" customHeight="1" x14ac:dyDescent="0.25">
      <c r="A968" s="4" t="s">
        <v>21</v>
      </c>
      <c r="B968" s="4" t="s">
        <v>39</v>
      </c>
      <c r="C968" s="4" t="s">
        <v>23</v>
      </c>
      <c r="D968" s="4" t="s">
        <v>50</v>
      </c>
      <c r="E968" s="4" t="s">
        <v>51</v>
      </c>
      <c r="F968" s="4" t="s">
        <v>25</v>
      </c>
      <c r="G968" s="4" t="s">
        <v>25</v>
      </c>
      <c r="H968" s="4" t="s">
        <v>25</v>
      </c>
      <c r="I968" s="5">
        <v>44470</v>
      </c>
      <c r="J968" s="6">
        <v>0</v>
      </c>
      <c r="K968" s="53">
        <v>0</v>
      </c>
      <c r="L968" s="6">
        <v>44.296999999999997</v>
      </c>
      <c r="M968" s="53">
        <v>44.296999999999997</v>
      </c>
      <c r="N968" s="6">
        <v>44.296999999999997</v>
      </c>
      <c r="O968" s="53">
        <v>44.296999999999997</v>
      </c>
      <c r="P968" s="6">
        <v>49</v>
      </c>
      <c r="Q968" s="4" t="s">
        <v>26</v>
      </c>
      <c r="R968" s="4">
        <v>0</v>
      </c>
      <c r="S968" s="6">
        <v>0</v>
      </c>
      <c r="T968" s="6">
        <v>58</v>
      </c>
      <c r="U968" s="6">
        <v>99</v>
      </c>
      <c r="V968" s="53">
        <f>IF(ISERROR(VLOOKUP($S$968,'TAR FIN'!$A$1:$O$103,15,0)),0,VLOOKUP($S$968,'TAR FIN'!$A$1:$O$103,15,0))</f>
        <v>0</v>
      </c>
      <c r="W968" s="53">
        <f>IF(ISERROR(VLOOKUP($T$968,'TAR FIN'!$A$1:$O$103,15,0)),0,VLOOKUP($T$968,'TAR FIN'!$A$1:$O$103,15,0))*(1-0.06)</f>
        <v>253.71540000000002</v>
      </c>
      <c r="X968" s="53">
        <f>IF(ISERROR(VLOOKUP($U$968,'TAR FIN'!$A$1:$O$103,15,0)),0,VLOOKUP($U$968,'TAR FIN'!$A$1:$O$103,15,0))*(1-0.06)</f>
        <v>271.56599999999997</v>
      </c>
      <c r="Y968" s="53"/>
      <c r="Z968" s="53">
        <f ca="1">('TUSD BE'!$AM$58+'TUSD BF_350'!$AM$58+'TUSD CVA'!$AM$58)*1*(1-0.03)</f>
        <v>301.47599999999994</v>
      </c>
      <c r="AA968" s="53">
        <f ca="1">('TE BE'!$AB$42+'TE BF_350'!$AB$42+'TE CVA'!$AB$42)*1*(1-0.03)</f>
        <v>251.17179999999999</v>
      </c>
      <c r="AB968" s="6">
        <f>$K$968*$V$968</f>
        <v>0</v>
      </c>
      <c r="AC968" s="6">
        <f>$M$968*$W$968</f>
        <v>11238.8310738</v>
      </c>
      <c r="AD968" s="6">
        <f>$O$968*$X$968</f>
        <v>12029.559101999997</v>
      </c>
      <c r="AE968" s="6">
        <f>$K$968*$Y$968</f>
        <v>0</v>
      </c>
      <c r="AF968" s="6">
        <f ca="1">$M$968*$Z$968</f>
        <v>13354.482371999997</v>
      </c>
      <c r="AG968" s="6">
        <f ca="1">$O$968*$AA$968</f>
        <v>11126.1572246</v>
      </c>
    </row>
    <row r="969" spans="1:33" ht="11.25" customHeight="1" x14ac:dyDescent="0.25">
      <c r="A969" s="4" t="s">
        <v>21</v>
      </c>
      <c r="B969" s="4" t="s">
        <v>39</v>
      </c>
      <c r="C969" s="4" t="s">
        <v>23</v>
      </c>
      <c r="D969" s="4" t="s">
        <v>50</v>
      </c>
      <c r="E969" s="4" t="s">
        <v>51</v>
      </c>
      <c r="F969" s="4" t="s">
        <v>25</v>
      </c>
      <c r="G969" s="4" t="s">
        <v>25</v>
      </c>
      <c r="H969" s="4" t="s">
        <v>25</v>
      </c>
      <c r="I969" s="5">
        <v>44501</v>
      </c>
      <c r="J969" s="6">
        <v>0</v>
      </c>
      <c r="K969" s="53">
        <v>0</v>
      </c>
      <c r="L969" s="6">
        <v>44.539000000000001</v>
      </c>
      <c r="M969" s="53">
        <v>44.539000000000001</v>
      </c>
      <c r="N969" s="6">
        <v>44.539000000000001</v>
      </c>
      <c r="O969" s="53">
        <v>44.539000000000001</v>
      </c>
      <c r="P969" s="6">
        <v>49</v>
      </c>
      <c r="Q969" s="4" t="s">
        <v>26</v>
      </c>
      <c r="R969" s="4">
        <v>0</v>
      </c>
      <c r="S969" s="6">
        <v>0</v>
      </c>
      <c r="T969" s="6">
        <v>58</v>
      </c>
      <c r="U969" s="6">
        <v>99</v>
      </c>
      <c r="V969" s="53">
        <f>IF(ISERROR(VLOOKUP($S$969,'TAR FIN'!$A$1:$O$103,15,0)),0,VLOOKUP($S$969,'TAR FIN'!$A$1:$O$103,15,0))</f>
        <v>0</v>
      </c>
      <c r="W969" s="53">
        <f>IF(ISERROR(VLOOKUP($T$969,'TAR FIN'!$A$1:$O$103,15,0)),0,VLOOKUP($T$969,'TAR FIN'!$A$1:$O$103,15,0))*(1-0.06)</f>
        <v>253.71540000000002</v>
      </c>
      <c r="X969" s="53">
        <f>IF(ISERROR(VLOOKUP($U$969,'TAR FIN'!$A$1:$O$103,15,0)),0,VLOOKUP($U$969,'TAR FIN'!$A$1:$O$103,15,0))*(1-0.06)</f>
        <v>271.56599999999997</v>
      </c>
      <c r="Y969" s="53"/>
      <c r="Z969" s="53">
        <f ca="1">('TUSD BE'!$AM$58+'TUSD BF_350'!$AM$58+'TUSD CVA'!$AM$58)*1*(1-0.03)</f>
        <v>301.47599999999994</v>
      </c>
      <c r="AA969" s="53">
        <f ca="1">('TE BE'!$AB$42+'TE BF_350'!$AB$42+'TE CVA'!$AB$42)*1*(1-0.03)</f>
        <v>251.17179999999999</v>
      </c>
      <c r="AB969" s="6">
        <f>$K$969*$V$969</f>
        <v>0</v>
      </c>
      <c r="AC969" s="6">
        <f>$M$969*$W$969</f>
        <v>11300.230200600001</v>
      </c>
      <c r="AD969" s="6">
        <f>$O$969*$X$969</f>
        <v>12095.278074</v>
      </c>
      <c r="AE969" s="6">
        <f>$K$969*$Y$969</f>
        <v>0</v>
      </c>
      <c r="AF969" s="6">
        <f ca="1">$M$969*$Z$969</f>
        <v>13427.439563999998</v>
      </c>
      <c r="AG969" s="6">
        <f ca="1">$O$969*$AA$969</f>
        <v>11186.9408002</v>
      </c>
    </row>
    <row r="970" spans="1:33" ht="11.25" customHeight="1" x14ac:dyDescent="0.25">
      <c r="A970" s="4" t="s">
        <v>21</v>
      </c>
      <c r="B970" s="4" t="s">
        <v>39</v>
      </c>
      <c r="C970" s="4" t="s">
        <v>23</v>
      </c>
      <c r="D970" s="4" t="s">
        <v>50</v>
      </c>
      <c r="E970" s="4" t="s">
        <v>51</v>
      </c>
      <c r="F970" s="4" t="s">
        <v>25</v>
      </c>
      <c r="G970" s="4" t="s">
        <v>25</v>
      </c>
      <c r="H970" s="4" t="s">
        <v>25</v>
      </c>
      <c r="I970" s="5">
        <v>44531</v>
      </c>
      <c r="J970" s="6">
        <v>0</v>
      </c>
      <c r="K970" s="53">
        <v>0</v>
      </c>
      <c r="L970" s="6">
        <v>57.579000000000001</v>
      </c>
      <c r="M970" s="53">
        <v>57.579000000000001</v>
      </c>
      <c r="N970" s="6">
        <v>57.579000000000001</v>
      </c>
      <c r="O970" s="53">
        <v>57.579000000000001</v>
      </c>
      <c r="P970" s="6">
        <v>51</v>
      </c>
      <c r="Q970" s="4" t="s">
        <v>26</v>
      </c>
      <c r="R970" s="4">
        <v>0</v>
      </c>
      <c r="S970" s="6">
        <v>0</v>
      </c>
      <c r="T970" s="6">
        <v>58</v>
      </c>
      <c r="U970" s="6">
        <v>99</v>
      </c>
      <c r="V970" s="53">
        <f>IF(ISERROR(VLOOKUP($S$970,'TAR FIN'!$A$1:$O$103,15,0)),0,VLOOKUP($S$970,'TAR FIN'!$A$1:$O$103,15,0))</f>
        <v>0</v>
      </c>
      <c r="W970" s="53">
        <f>IF(ISERROR(VLOOKUP($T$970,'TAR FIN'!$A$1:$O$103,15,0)),0,VLOOKUP($T$970,'TAR FIN'!$A$1:$O$103,15,0))*(1-0.06)</f>
        <v>253.71540000000002</v>
      </c>
      <c r="X970" s="53">
        <f>IF(ISERROR(VLOOKUP($U$970,'TAR FIN'!$A$1:$O$103,15,0)),0,VLOOKUP($U$970,'TAR FIN'!$A$1:$O$103,15,0))*(1-0.06)</f>
        <v>271.56599999999997</v>
      </c>
      <c r="Y970" s="53"/>
      <c r="Z970" s="53">
        <f ca="1">('TUSD BE'!$AM$58+'TUSD BF_350'!$AM$58+'TUSD CVA'!$AM$58)*1*(1-0.03)</f>
        <v>301.47599999999994</v>
      </c>
      <c r="AA970" s="53">
        <f ca="1">('TE BE'!$AB$42+'TE BF_350'!$AB$42+'TE CVA'!$AB$42)*1*(1-0.03)</f>
        <v>251.17179999999999</v>
      </c>
      <c r="AB970" s="6">
        <f>$K$970*$V$970</f>
        <v>0</v>
      </c>
      <c r="AC970" s="6">
        <f>$M$970*$W$970</f>
        <v>14608.679016600001</v>
      </c>
      <c r="AD970" s="6">
        <f>$O$970*$X$970</f>
        <v>15636.498713999999</v>
      </c>
      <c r="AE970" s="6">
        <f>$K$970*$Y$970</f>
        <v>0</v>
      </c>
      <c r="AF970" s="6">
        <f ca="1">$M$970*$Z$970</f>
        <v>17358.686603999999</v>
      </c>
      <c r="AG970" s="6">
        <f ca="1">$O$970*$AA$970</f>
        <v>14462.2210722</v>
      </c>
    </row>
    <row r="971" spans="1:33" ht="11.25" customHeight="1" x14ac:dyDescent="0.25">
      <c r="A971" s="4" t="s">
        <v>21</v>
      </c>
      <c r="B971" s="4" t="s">
        <v>39</v>
      </c>
      <c r="C971" s="4" t="s">
        <v>23</v>
      </c>
      <c r="D971" s="4" t="s">
        <v>50</v>
      </c>
      <c r="E971" s="4" t="s">
        <v>51</v>
      </c>
      <c r="F971" s="4" t="s">
        <v>25</v>
      </c>
      <c r="G971" s="4" t="s">
        <v>25</v>
      </c>
      <c r="H971" s="4" t="s">
        <v>25</v>
      </c>
      <c r="I971" s="5">
        <v>44562</v>
      </c>
      <c r="J971" s="6">
        <v>0</v>
      </c>
      <c r="K971" s="53">
        <v>0</v>
      </c>
      <c r="L971" s="6">
        <v>61.433999999999997</v>
      </c>
      <c r="M971" s="53">
        <v>61.433999999999997</v>
      </c>
      <c r="N971" s="6">
        <v>61.433999999999997</v>
      </c>
      <c r="O971" s="53">
        <v>61.433999999999997</v>
      </c>
      <c r="P971" s="6">
        <v>51</v>
      </c>
      <c r="Q971" s="4" t="s">
        <v>26</v>
      </c>
      <c r="R971" s="4">
        <v>0</v>
      </c>
      <c r="S971" s="6">
        <v>0</v>
      </c>
      <c r="T971" s="6">
        <v>58</v>
      </c>
      <c r="U971" s="6">
        <v>99</v>
      </c>
      <c r="V971" s="53">
        <f>IF(ISERROR(VLOOKUP($S$971,'TAR FIN'!$A$1:$O$103,15,0)),0,VLOOKUP($S$971,'TAR FIN'!$A$1:$O$103,15,0))</f>
        <v>0</v>
      </c>
      <c r="W971" s="53">
        <f>IF(ISERROR(VLOOKUP($T$971,'TAR FIN'!$A$1:$O$103,15,0)),0,VLOOKUP($T$971,'TAR FIN'!$A$1:$O$103,15,0))*(1-0.06)</f>
        <v>253.71540000000002</v>
      </c>
      <c r="X971" s="53">
        <f>IF(ISERROR(VLOOKUP($U$971,'TAR FIN'!$A$1:$O$103,15,0)),0,VLOOKUP($U$971,'TAR FIN'!$A$1:$O$103,15,0))*(1-0.06)</f>
        <v>271.56599999999997</v>
      </c>
      <c r="Y971" s="53"/>
      <c r="Z971" s="53">
        <f ca="1">('TUSD BE'!$AM$58+'TUSD BF_350'!$AM$58+'TUSD CVA'!$AM$58)*1*(1-0.03)</f>
        <v>301.47599999999994</v>
      </c>
      <c r="AA971" s="53">
        <f ca="1">('TE BE'!$AB$42+'TE BF_350'!$AB$42+'TE CVA'!$AB$42)*1*(1-0.03)</f>
        <v>251.17179999999999</v>
      </c>
      <c r="AB971" s="6">
        <f>$K$971*$V$971</f>
        <v>0</v>
      </c>
      <c r="AC971" s="6">
        <f>$M$971*$W$971</f>
        <v>15586.7518836</v>
      </c>
      <c r="AD971" s="6">
        <f>$O$971*$X$971</f>
        <v>16683.385643999998</v>
      </c>
      <c r="AE971" s="6">
        <f>$K$971*$Y$971</f>
        <v>0</v>
      </c>
      <c r="AF971" s="6">
        <f ca="1">$M$971*$Z$971</f>
        <v>18520.876583999994</v>
      </c>
      <c r="AG971" s="6">
        <f ca="1">$O$971*$AA$971</f>
        <v>15430.488361199999</v>
      </c>
    </row>
    <row r="972" spans="1:33" ht="11.25" customHeight="1" x14ac:dyDescent="0.25">
      <c r="A972" s="4" t="s">
        <v>21</v>
      </c>
      <c r="B972" s="4" t="s">
        <v>39</v>
      </c>
      <c r="C972" s="4" t="s">
        <v>23</v>
      </c>
      <c r="D972" s="4" t="s">
        <v>50</v>
      </c>
      <c r="E972" s="4" t="s">
        <v>51</v>
      </c>
      <c r="F972" s="4" t="s">
        <v>25</v>
      </c>
      <c r="G972" s="4" t="s">
        <v>25</v>
      </c>
      <c r="H972" s="4" t="s">
        <v>25</v>
      </c>
      <c r="I972" s="5">
        <v>44593</v>
      </c>
      <c r="J972" s="6">
        <v>0</v>
      </c>
      <c r="K972" s="53">
        <v>0</v>
      </c>
      <c r="L972" s="6">
        <v>66.64</v>
      </c>
      <c r="M972" s="53">
        <v>66.64</v>
      </c>
      <c r="N972" s="6">
        <v>66.64</v>
      </c>
      <c r="O972" s="53">
        <v>66.64</v>
      </c>
      <c r="P972" s="6">
        <v>51</v>
      </c>
      <c r="Q972" s="4" t="s">
        <v>26</v>
      </c>
      <c r="R972" s="4">
        <v>0</v>
      </c>
      <c r="S972" s="6">
        <v>0</v>
      </c>
      <c r="T972" s="6">
        <v>58</v>
      </c>
      <c r="U972" s="6">
        <v>99</v>
      </c>
      <c r="V972" s="53">
        <f>IF(ISERROR(VLOOKUP($S$972,'TAR FIN'!$A$1:$O$103,15,0)),0,VLOOKUP($S$972,'TAR FIN'!$A$1:$O$103,15,0))</f>
        <v>0</v>
      </c>
      <c r="W972" s="53">
        <f>IF(ISERROR(VLOOKUP($T$972,'TAR FIN'!$A$1:$O$103,15,0)),0,VLOOKUP($T$972,'TAR FIN'!$A$1:$O$103,15,0))*(1-0.06)</f>
        <v>253.71540000000002</v>
      </c>
      <c r="X972" s="53">
        <f>IF(ISERROR(VLOOKUP($U$972,'TAR FIN'!$A$1:$O$103,15,0)),0,VLOOKUP($U$972,'TAR FIN'!$A$1:$O$103,15,0))*(1-0.06)</f>
        <v>271.56599999999997</v>
      </c>
      <c r="Y972" s="53"/>
      <c r="Z972" s="53">
        <f ca="1">('TUSD BE'!$AM$58+'TUSD BF_350'!$AM$58+'TUSD CVA'!$AM$58)*1*(1-0.03)</f>
        <v>301.47599999999994</v>
      </c>
      <c r="AA972" s="53">
        <f ca="1">('TE BE'!$AB$42+'TE BF_350'!$AB$42+'TE CVA'!$AB$42)*1*(1-0.03)</f>
        <v>251.17179999999999</v>
      </c>
      <c r="AB972" s="6">
        <f>$K$972*$V$972</f>
        <v>0</v>
      </c>
      <c r="AC972" s="6">
        <f>$M$972*$W$972</f>
        <v>16907.594256</v>
      </c>
      <c r="AD972" s="6">
        <f>$O$972*$X$972</f>
        <v>18097.158239999997</v>
      </c>
      <c r="AE972" s="6">
        <f>$K$972*$Y$972</f>
        <v>0</v>
      </c>
      <c r="AF972" s="6">
        <f ca="1">$M$972*$Z$972</f>
        <v>20090.360639999995</v>
      </c>
      <c r="AG972" s="6">
        <f ca="1">$O$972*$AA$972</f>
        <v>16738.088752</v>
      </c>
    </row>
    <row r="973" spans="1:33" ht="11.25" customHeight="1" x14ac:dyDescent="0.25">
      <c r="A973" s="4" t="s">
        <v>21</v>
      </c>
      <c r="B973" s="4" t="s">
        <v>39</v>
      </c>
      <c r="C973" s="4" t="s">
        <v>23</v>
      </c>
      <c r="D973" s="4" t="s">
        <v>50</v>
      </c>
      <c r="E973" s="4" t="s">
        <v>51</v>
      </c>
      <c r="F973" s="4" t="s">
        <v>25</v>
      </c>
      <c r="G973" s="4" t="s">
        <v>25</v>
      </c>
      <c r="H973" s="4" t="s">
        <v>25</v>
      </c>
      <c r="I973" s="5">
        <v>44621</v>
      </c>
      <c r="J973" s="6">
        <v>0</v>
      </c>
      <c r="K973" s="53">
        <v>0</v>
      </c>
      <c r="L973" s="6">
        <v>65.355000000000004</v>
      </c>
      <c r="M973" s="53">
        <v>65.355000000000004</v>
      </c>
      <c r="N973" s="6">
        <v>65.355000000000004</v>
      </c>
      <c r="O973" s="53">
        <v>65.355000000000004</v>
      </c>
      <c r="P973" s="6">
        <v>51</v>
      </c>
      <c r="Q973" s="4" t="s">
        <v>26</v>
      </c>
      <c r="R973" s="4">
        <v>0</v>
      </c>
      <c r="S973" s="6">
        <v>0</v>
      </c>
      <c r="T973" s="6">
        <v>58</v>
      </c>
      <c r="U973" s="6">
        <v>99</v>
      </c>
      <c r="V973" s="53">
        <f>IF(ISERROR(VLOOKUP($S$973,'TAR FIN'!$A$1:$O$103,15,0)),0,VLOOKUP($S$973,'TAR FIN'!$A$1:$O$103,15,0))</f>
        <v>0</v>
      </c>
      <c r="W973" s="53">
        <f>IF(ISERROR(VLOOKUP($T$973,'TAR FIN'!$A$1:$O$103,15,0)),0,VLOOKUP($T$973,'TAR FIN'!$A$1:$O$103,15,0))*(1-0.06)</f>
        <v>253.71540000000002</v>
      </c>
      <c r="X973" s="53">
        <f>IF(ISERROR(VLOOKUP($U$973,'TAR FIN'!$A$1:$O$103,15,0)),0,VLOOKUP($U$973,'TAR FIN'!$A$1:$O$103,15,0))*(1-0.06)</f>
        <v>271.56599999999997</v>
      </c>
      <c r="Y973" s="53"/>
      <c r="Z973" s="53">
        <f ca="1">('TUSD BE'!$AM$58+'TUSD BF_350'!$AM$58+'TUSD CVA'!$AM$58)*1*(1-0.03)</f>
        <v>301.47599999999994</v>
      </c>
      <c r="AA973" s="53">
        <f ca="1">('TE BE'!$AB$42+'TE BF_350'!$AB$42+'TE CVA'!$AB$42)*1*(1-0.03)</f>
        <v>251.17179999999999</v>
      </c>
      <c r="AB973" s="6">
        <f>$K$973*$V$973</f>
        <v>0</v>
      </c>
      <c r="AC973" s="6">
        <f>$M$973*$W$973</f>
        <v>16581.569967000003</v>
      </c>
      <c r="AD973" s="6">
        <f>$O$973*$X$973</f>
        <v>17748.195929999998</v>
      </c>
      <c r="AE973" s="6">
        <f>$K$973*$Y$973</f>
        <v>0</v>
      </c>
      <c r="AF973" s="6">
        <f ca="1">$M$973*$Z$973</f>
        <v>19702.963979999997</v>
      </c>
      <c r="AG973" s="6">
        <f ca="1">$O$973*$AA$973</f>
        <v>16415.332988999999</v>
      </c>
    </row>
    <row r="974" spans="1:33" ht="11.25" customHeight="1" x14ac:dyDescent="0.25">
      <c r="A974" s="4" t="s">
        <v>21</v>
      </c>
      <c r="B974" s="4" t="s">
        <v>39</v>
      </c>
      <c r="C974" s="4" t="s">
        <v>23</v>
      </c>
      <c r="D974" s="4" t="s">
        <v>50</v>
      </c>
      <c r="E974" s="4" t="s">
        <v>51</v>
      </c>
      <c r="F974" s="4" t="s">
        <v>25</v>
      </c>
      <c r="G974" s="4" t="s">
        <v>25</v>
      </c>
      <c r="H974" s="4" t="s">
        <v>25</v>
      </c>
      <c r="I974" s="5">
        <v>44652</v>
      </c>
      <c r="J974" s="6">
        <v>0</v>
      </c>
      <c r="K974" s="53">
        <v>0</v>
      </c>
      <c r="L974" s="6">
        <v>63.993000000000002</v>
      </c>
      <c r="M974" s="53">
        <v>63.993000000000002</v>
      </c>
      <c r="N974" s="6">
        <v>63.993000000000002</v>
      </c>
      <c r="O974" s="53">
        <v>63.993000000000002</v>
      </c>
      <c r="P974" s="6">
        <v>50</v>
      </c>
      <c r="Q974" s="4" t="s">
        <v>26</v>
      </c>
      <c r="R974" s="4">
        <v>0</v>
      </c>
      <c r="S974" s="6">
        <v>0</v>
      </c>
      <c r="T974" s="6">
        <v>58</v>
      </c>
      <c r="U974" s="6">
        <v>99</v>
      </c>
      <c r="V974" s="53">
        <f>IF(ISERROR(VLOOKUP($S$974,'TAR FIN'!$A$1:$O$103,15,0)),0,VLOOKUP($S$974,'TAR FIN'!$A$1:$O$103,15,0))</f>
        <v>0</v>
      </c>
      <c r="W974" s="53">
        <f>IF(ISERROR(VLOOKUP($T$974,'TAR FIN'!$A$1:$O$103,15,0)),0,VLOOKUP($T$974,'TAR FIN'!$A$1:$O$103,15,0))*(1-0.06)</f>
        <v>253.71540000000002</v>
      </c>
      <c r="X974" s="53">
        <f>IF(ISERROR(VLOOKUP($U$974,'TAR FIN'!$A$1:$O$103,15,0)),0,VLOOKUP($U$974,'TAR FIN'!$A$1:$O$103,15,0))*(1-0.06)</f>
        <v>271.56599999999997</v>
      </c>
      <c r="Y974" s="53"/>
      <c r="Z974" s="53">
        <f ca="1">('TUSD BE'!$AM$58+'TUSD BF_350'!$AM$58+'TUSD CVA'!$AM$58)*1*(1-0.03)</f>
        <v>301.47599999999994</v>
      </c>
      <c r="AA974" s="53">
        <f ca="1">('TE BE'!$AB$42+'TE BF_350'!$AB$42+'TE CVA'!$AB$42)*1*(1-0.03)</f>
        <v>251.17179999999999</v>
      </c>
      <c r="AB974" s="6">
        <f>$K$974*$V$974</f>
        <v>0</v>
      </c>
      <c r="AC974" s="6">
        <f>$M$974*$W$974</f>
        <v>16236.009592200002</v>
      </c>
      <c r="AD974" s="6">
        <f>$O$974*$X$974</f>
        <v>17378.323037999999</v>
      </c>
      <c r="AE974" s="6">
        <f>$K$974*$Y$974</f>
        <v>0</v>
      </c>
      <c r="AF974" s="6">
        <f ca="1">$M$974*$Z$974</f>
        <v>19292.353667999996</v>
      </c>
      <c r="AG974" s="6">
        <f ca="1">$O$974*$AA$974</f>
        <v>16073.236997399999</v>
      </c>
    </row>
    <row r="975" spans="1:33" ht="11.25" customHeight="1" x14ac:dyDescent="0.25">
      <c r="A975" s="4" t="s">
        <v>21</v>
      </c>
      <c r="B975" s="4" t="s">
        <v>39</v>
      </c>
      <c r="C975" s="4" t="s">
        <v>23</v>
      </c>
      <c r="D975" s="4" t="s">
        <v>50</v>
      </c>
      <c r="E975" s="4" t="s">
        <v>51</v>
      </c>
      <c r="F975" s="4" t="s">
        <v>25</v>
      </c>
      <c r="G975" s="4" t="s">
        <v>25</v>
      </c>
      <c r="H975" s="4" t="s">
        <v>25</v>
      </c>
      <c r="I975" s="5">
        <v>44682</v>
      </c>
      <c r="J975" s="6">
        <v>0</v>
      </c>
      <c r="K975" s="53">
        <v>0</v>
      </c>
      <c r="L975" s="6">
        <v>65.480999999999995</v>
      </c>
      <c r="M975" s="53">
        <v>65.480999999999995</v>
      </c>
      <c r="N975" s="6">
        <v>65.480999999999995</v>
      </c>
      <c r="O975" s="53">
        <v>65.480999999999995</v>
      </c>
      <c r="P975" s="6">
        <v>50</v>
      </c>
      <c r="Q975" s="4" t="s">
        <v>26</v>
      </c>
      <c r="R975" s="4">
        <v>0</v>
      </c>
      <c r="S975" s="6">
        <v>0</v>
      </c>
      <c r="T975" s="6">
        <v>58</v>
      </c>
      <c r="U975" s="6">
        <v>99</v>
      </c>
      <c r="V975" s="53">
        <f>IF(ISERROR(VLOOKUP($S$975,'TAR FIN'!$A$1:$O$103,15,0)),0,VLOOKUP($S$975,'TAR FIN'!$A$1:$O$103,15,0))</f>
        <v>0</v>
      </c>
      <c r="W975" s="53">
        <f>IF(ISERROR(VLOOKUP($T$975,'TAR FIN'!$A$1:$O$103,15,0)),0,VLOOKUP($T$975,'TAR FIN'!$A$1:$O$103,15,0))*(1-0.06)</f>
        <v>253.71540000000002</v>
      </c>
      <c r="X975" s="53">
        <f>IF(ISERROR(VLOOKUP($U$975,'TAR FIN'!$A$1:$O$103,15,0)),0,VLOOKUP($U$975,'TAR FIN'!$A$1:$O$103,15,0))*(1-0.06)</f>
        <v>271.56599999999997</v>
      </c>
      <c r="Y975" s="53"/>
      <c r="Z975" s="53">
        <f ca="1">('TUSD BE'!$AM$58+'TUSD BF_350'!$AM$58+'TUSD CVA'!$AM$58)*1*(1-0.03)</f>
        <v>301.47599999999994</v>
      </c>
      <c r="AA975" s="53">
        <f ca="1">('TE BE'!$AB$42+'TE BF_350'!$AB$42+'TE CVA'!$AB$42)*1*(1-0.03)</f>
        <v>251.17179999999999</v>
      </c>
      <c r="AB975" s="6">
        <f>$K$975*$V$975</f>
        <v>0</v>
      </c>
      <c r="AC975" s="6">
        <f>$M$975*$W$975</f>
        <v>16613.5381074</v>
      </c>
      <c r="AD975" s="6">
        <f>$O$975*$X$975</f>
        <v>17782.413245999996</v>
      </c>
      <c r="AE975" s="6">
        <f>$K$975*$Y$975</f>
        <v>0</v>
      </c>
      <c r="AF975" s="6">
        <f ca="1">$M$975*$Z$975</f>
        <v>19740.949955999993</v>
      </c>
      <c r="AG975" s="6">
        <f ca="1">$O$975*$AA$975</f>
        <v>16446.980635799999</v>
      </c>
    </row>
    <row r="976" spans="1:33" ht="11.25" customHeight="1" x14ac:dyDescent="0.25">
      <c r="A976" s="4" t="s">
        <v>21</v>
      </c>
      <c r="B976" s="4" t="s">
        <v>47</v>
      </c>
      <c r="C976" s="4" t="s">
        <v>23</v>
      </c>
      <c r="D976" s="4" t="s">
        <v>48</v>
      </c>
      <c r="E976" s="4" t="s">
        <v>49</v>
      </c>
      <c r="F976" s="4" t="s">
        <v>25</v>
      </c>
      <c r="G976" s="4" t="s">
        <v>25</v>
      </c>
      <c r="H976" s="4" t="s">
        <v>25</v>
      </c>
      <c r="I976" s="5">
        <v>44348</v>
      </c>
      <c r="J976" s="6">
        <v>0</v>
      </c>
      <c r="K976" s="6">
        <v>0</v>
      </c>
      <c r="L976" s="6">
        <v>993.76</v>
      </c>
      <c r="M976" s="6">
        <v>993.76</v>
      </c>
      <c r="N976" s="6">
        <v>993.76</v>
      </c>
      <c r="O976" s="6">
        <v>993.76</v>
      </c>
      <c r="P976" s="6">
        <v>1</v>
      </c>
      <c r="Q976" s="4" t="s">
        <v>26</v>
      </c>
      <c r="R976" s="4">
        <v>0</v>
      </c>
      <c r="S976" s="6">
        <v>0</v>
      </c>
      <c r="T976" s="6">
        <v>60</v>
      </c>
      <c r="U976" s="6">
        <v>101</v>
      </c>
      <c r="V976" s="6">
        <f>IF(ISERROR(VLOOKUP($S$976,'TAR FIN'!$A$1:$O$103,15,0)),0,VLOOKUP($S$976,'TAR FIN'!$A$1:$O$103,15,0))</f>
        <v>0</v>
      </c>
      <c r="W976" s="6">
        <f>IF(ISERROR(VLOOKUP($T$976,'TAR FIN'!$A$1:$O$103,15,0)),0,VLOOKUP($T$976,'TAR FIN'!$A$1:$O$103,15,0))</f>
        <v>148.44999999999999</v>
      </c>
      <c r="X976" s="6">
        <f>IF(ISERROR(VLOOKUP($U$976,'TAR FIN'!$A$1:$O$103,15,0)),0,VLOOKUP($U$976,'TAR FIN'!$A$1:$O$103,15,0))</f>
        <v>158.9</v>
      </c>
      <c r="Y976" s="6"/>
      <c r="Z976" s="6">
        <f ca="1">('TUSD BE'!$AM$60+'TUSD BF_350'!$AM$60+'TUSD CVA'!$AM$60)*1</f>
        <v>170.94</v>
      </c>
      <c r="AA976" s="6">
        <f ca="1">('TE BE'!$AB$44+'TE BF_350'!$AB$44+'TE CVA'!$AB$44)*1</f>
        <v>142.41999999999999</v>
      </c>
      <c r="AB976" s="6">
        <f>$K$976*$V$976</f>
        <v>0</v>
      </c>
      <c r="AC976" s="6">
        <f>$M$976*$W$976</f>
        <v>147523.67199999999</v>
      </c>
      <c r="AD976" s="6">
        <f>$O$976*$X$976</f>
        <v>157908.46400000001</v>
      </c>
      <c r="AE976" s="6">
        <f>$K$976*$Y$976</f>
        <v>0</v>
      </c>
      <c r="AF976" s="6">
        <f ca="1">$M$976*$Z$976</f>
        <v>169873.33439999999</v>
      </c>
      <c r="AG976" s="6">
        <f ca="1">$O$976*$AA$976</f>
        <v>141531.29919999998</v>
      </c>
    </row>
    <row r="977" spans="1:33" ht="11.25" customHeight="1" x14ac:dyDescent="0.25">
      <c r="A977" s="4" t="s">
        <v>21</v>
      </c>
      <c r="B977" s="4" t="s">
        <v>47</v>
      </c>
      <c r="C977" s="4" t="s">
        <v>23</v>
      </c>
      <c r="D977" s="4" t="s">
        <v>48</v>
      </c>
      <c r="E977" s="4" t="s">
        <v>49</v>
      </c>
      <c r="F977" s="4" t="s">
        <v>25</v>
      </c>
      <c r="G977" s="4" t="s">
        <v>25</v>
      </c>
      <c r="H977" s="4" t="s">
        <v>25</v>
      </c>
      <c r="I977" s="5">
        <v>44378</v>
      </c>
      <c r="J977" s="6">
        <v>0</v>
      </c>
      <c r="K977" s="6">
        <v>0</v>
      </c>
      <c r="L977" s="6">
        <v>1093.136</v>
      </c>
      <c r="M977" s="6">
        <v>1093.136</v>
      </c>
      <c r="N977" s="6">
        <v>1093.136</v>
      </c>
      <c r="O977" s="6">
        <v>1093.136</v>
      </c>
      <c r="P977" s="6">
        <v>1</v>
      </c>
      <c r="Q977" s="4" t="s">
        <v>26</v>
      </c>
      <c r="R977" s="4">
        <v>0</v>
      </c>
      <c r="S977" s="6">
        <v>0</v>
      </c>
      <c r="T977" s="6">
        <v>60</v>
      </c>
      <c r="U977" s="6">
        <v>101</v>
      </c>
      <c r="V977" s="6">
        <f>IF(ISERROR(VLOOKUP($S$977,'TAR FIN'!$A$1:$O$103,15,0)),0,VLOOKUP($S$977,'TAR FIN'!$A$1:$O$103,15,0))</f>
        <v>0</v>
      </c>
      <c r="W977" s="6">
        <f>IF(ISERROR(VLOOKUP($T$977,'TAR FIN'!$A$1:$O$103,15,0)),0,VLOOKUP($T$977,'TAR FIN'!$A$1:$O$103,15,0))</f>
        <v>148.44999999999999</v>
      </c>
      <c r="X977" s="6">
        <f>IF(ISERROR(VLOOKUP($U$977,'TAR FIN'!$A$1:$O$103,15,0)),0,VLOOKUP($U$977,'TAR FIN'!$A$1:$O$103,15,0))</f>
        <v>158.9</v>
      </c>
      <c r="Y977" s="6"/>
      <c r="Z977" s="6">
        <f ca="1">('TUSD BE'!$AM$60+'TUSD BF_350'!$AM$60+'TUSD CVA'!$AM$60)*1</f>
        <v>170.94</v>
      </c>
      <c r="AA977" s="6">
        <f ca="1">('TE BE'!$AB$44+'TE BF_350'!$AB$44+'TE CVA'!$AB$44)*1</f>
        <v>142.41999999999999</v>
      </c>
      <c r="AB977" s="6">
        <f>$K$977*$V$977</f>
        <v>0</v>
      </c>
      <c r="AC977" s="6">
        <f>$M$977*$W$977</f>
        <v>162276.03919999997</v>
      </c>
      <c r="AD977" s="6">
        <f>$O$977*$X$977</f>
        <v>173699.31039999999</v>
      </c>
      <c r="AE977" s="6">
        <f>$K$977*$Y$977</f>
        <v>0</v>
      </c>
      <c r="AF977" s="6">
        <f ca="1">$M$977*$Z$977</f>
        <v>186860.66783999998</v>
      </c>
      <c r="AG977" s="6">
        <f ca="1">$O$977*$AA$977</f>
        <v>155684.42911999999</v>
      </c>
    </row>
    <row r="978" spans="1:33" ht="11.25" customHeight="1" x14ac:dyDescent="0.25">
      <c r="A978" s="4" t="s">
        <v>21</v>
      </c>
      <c r="B978" s="4" t="s">
        <v>47</v>
      </c>
      <c r="C978" s="4" t="s">
        <v>23</v>
      </c>
      <c r="D978" s="4" t="s">
        <v>48</v>
      </c>
      <c r="E978" s="4" t="s">
        <v>49</v>
      </c>
      <c r="F978" s="4" t="s">
        <v>25</v>
      </c>
      <c r="G978" s="4" t="s">
        <v>25</v>
      </c>
      <c r="H978" s="4" t="s">
        <v>25</v>
      </c>
      <c r="I978" s="5">
        <v>44409</v>
      </c>
      <c r="J978" s="6">
        <v>0</v>
      </c>
      <c r="K978" s="6">
        <v>0</v>
      </c>
      <c r="L978" s="6">
        <v>1093.135</v>
      </c>
      <c r="M978" s="6">
        <v>1093.135</v>
      </c>
      <c r="N978" s="6">
        <v>1093.135</v>
      </c>
      <c r="O978" s="6">
        <v>1093.135</v>
      </c>
      <c r="P978" s="6">
        <v>1</v>
      </c>
      <c r="Q978" s="4" t="s">
        <v>26</v>
      </c>
      <c r="R978" s="4">
        <v>0</v>
      </c>
      <c r="S978" s="6">
        <v>0</v>
      </c>
      <c r="T978" s="6">
        <v>60</v>
      </c>
      <c r="U978" s="6">
        <v>101</v>
      </c>
      <c r="V978" s="6">
        <f>IF(ISERROR(VLOOKUP($S$978,'TAR FIN'!$A$1:$O$103,15,0)),0,VLOOKUP($S$978,'TAR FIN'!$A$1:$O$103,15,0))</f>
        <v>0</v>
      </c>
      <c r="W978" s="6">
        <f>IF(ISERROR(VLOOKUP($T$978,'TAR FIN'!$A$1:$O$103,15,0)),0,VLOOKUP($T$978,'TAR FIN'!$A$1:$O$103,15,0))</f>
        <v>148.44999999999999</v>
      </c>
      <c r="X978" s="6">
        <f>IF(ISERROR(VLOOKUP($U$978,'TAR FIN'!$A$1:$O$103,15,0)),0,VLOOKUP($U$978,'TAR FIN'!$A$1:$O$103,15,0))</f>
        <v>158.9</v>
      </c>
      <c r="Y978" s="6"/>
      <c r="Z978" s="6">
        <f ca="1">('TUSD BE'!$AM$60+'TUSD BF_350'!$AM$60+'TUSD CVA'!$AM$60)*1</f>
        <v>170.94</v>
      </c>
      <c r="AA978" s="6">
        <f ca="1">('TE BE'!$AB$44+'TE BF_350'!$AB$44+'TE CVA'!$AB$44)*1</f>
        <v>142.41999999999999</v>
      </c>
      <c r="AB978" s="6">
        <f>$K$978*$V$978</f>
        <v>0</v>
      </c>
      <c r="AC978" s="6">
        <f>$M$978*$W$978</f>
        <v>162275.89074999999</v>
      </c>
      <c r="AD978" s="6">
        <f>$O$978*$X$978</f>
        <v>173699.15150000001</v>
      </c>
      <c r="AE978" s="6">
        <f>$K$978*$Y$978</f>
        <v>0</v>
      </c>
      <c r="AF978" s="6">
        <f ca="1">$M$978*$Z$978</f>
        <v>186860.4969</v>
      </c>
      <c r="AG978" s="6">
        <f ca="1">$O$978*$AA$978</f>
        <v>155684.2867</v>
      </c>
    </row>
    <row r="979" spans="1:33" ht="11.25" customHeight="1" x14ac:dyDescent="0.25">
      <c r="A979" s="4" t="s">
        <v>21</v>
      </c>
      <c r="B979" s="4" t="s">
        <v>47</v>
      </c>
      <c r="C979" s="4" t="s">
        <v>23</v>
      </c>
      <c r="D979" s="4" t="s">
        <v>48</v>
      </c>
      <c r="E979" s="4" t="s">
        <v>49</v>
      </c>
      <c r="F979" s="4" t="s">
        <v>25</v>
      </c>
      <c r="G979" s="4" t="s">
        <v>25</v>
      </c>
      <c r="H979" s="4" t="s">
        <v>25</v>
      </c>
      <c r="I979" s="5">
        <v>44440</v>
      </c>
      <c r="J979" s="6">
        <v>0</v>
      </c>
      <c r="K979" s="6">
        <v>0</v>
      </c>
      <c r="L979" s="6">
        <v>1026.885</v>
      </c>
      <c r="M979" s="6">
        <v>1026.885</v>
      </c>
      <c r="N979" s="6">
        <v>1026.885</v>
      </c>
      <c r="O979" s="6">
        <v>1026.885</v>
      </c>
      <c r="P979" s="6">
        <v>1</v>
      </c>
      <c r="Q979" s="4" t="s">
        <v>26</v>
      </c>
      <c r="R979" s="4">
        <v>0</v>
      </c>
      <c r="S979" s="6">
        <v>0</v>
      </c>
      <c r="T979" s="6">
        <v>60</v>
      </c>
      <c r="U979" s="6">
        <v>101</v>
      </c>
      <c r="V979" s="6">
        <f>IF(ISERROR(VLOOKUP($S$979,'TAR FIN'!$A$1:$O$103,15,0)),0,VLOOKUP($S$979,'TAR FIN'!$A$1:$O$103,15,0))</f>
        <v>0</v>
      </c>
      <c r="W979" s="6">
        <f>IF(ISERROR(VLOOKUP($T$979,'TAR FIN'!$A$1:$O$103,15,0)),0,VLOOKUP($T$979,'TAR FIN'!$A$1:$O$103,15,0))</f>
        <v>148.44999999999999</v>
      </c>
      <c r="X979" s="6">
        <f>IF(ISERROR(VLOOKUP($U$979,'TAR FIN'!$A$1:$O$103,15,0)),0,VLOOKUP($U$979,'TAR FIN'!$A$1:$O$103,15,0))</f>
        <v>158.9</v>
      </c>
      <c r="Y979" s="6"/>
      <c r="Z979" s="6">
        <f ca="1">('TUSD BE'!$AM$60+'TUSD BF_350'!$AM$60+'TUSD CVA'!$AM$60)*1</f>
        <v>170.94</v>
      </c>
      <c r="AA979" s="6">
        <f ca="1">('TE BE'!$AB$44+'TE BF_350'!$AB$44+'TE CVA'!$AB$44)*1</f>
        <v>142.41999999999999</v>
      </c>
      <c r="AB979" s="6">
        <f>$K$979*$V$979</f>
        <v>0</v>
      </c>
      <c r="AC979" s="6">
        <f>$M$979*$W$979</f>
        <v>152441.07824999999</v>
      </c>
      <c r="AD979" s="6">
        <f>$O$979*$X$979</f>
        <v>163172.02650000001</v>
      </c>
      <c r="AE979" s="6">
        <f>$K$979*$Y$979</f>
        <v>0</v>
      </c>
      <c r="AF979" s="6">
        <f ca="1">$M$979*$Z$979</f>
        <v>175535.7219</v>
      </c>
      <c r="AG979" s="6">
        <f ca="1">$O$979*$AA$979</f>
        <v>146248.96169999999</v>
      </c>
    </row>
    <row r="980" spans="1:33" ht="11.25" customHeight="1" x14ac:dyDescent="0.25">
      <c r="A980" s="4" t="s">
        <v>21</v>
      </c>
      <c r="B980" s="4" t="s">
        <v>47</v>
      </c>
      <c r="C980" s="4" t="s">
        <v>23</v>
      </c>
      <c r="D980" s="4" t="s">
        <v>48</v>
      </c>
      <c r="E980" s="4" t="s">
        <v>49</v>
      </c>
      <c r="F980" s="4" t="s">
        <v>25</v>
      </c>
      <c r="G980" s="4" t="s">
        <v>25</v>
      </c>
      <c r="H980" s="4" t="s">
        <v>25</v>
      </c>
      <c r="I980" s="5">
        <v>44470</v>
      </c>
      <c r="J980" s="6">
        <v>0</v>
      </c>
      <c r="K980" s="6">
        <v>0</v>
      </c>
      <c r="L980" s="6">
        <v>1026.885</v>
      </c>
      <c r="M980" s="6">
        <v>1026.885</v>
      </c>
      <c r="N980" s="6">
        <v>1026.885</v>
      </c>
      <c r="O980" s="6">
        <v>1026.885</v>
      </c>
      <c r="P980" s="6">
        <v>1</v>
      </c>
      <c r="Q980" s="4" t="s">
        <v>26</v>
      </c>
      <c r="R980" s="4">
        <v>0</v>
      </c>
      <c r="S980" s="6">
        <v>0</v>
      </c>
      <c r="T980" s="6">
        <v>60</v>
      </c>
      <c r="U980" s="6">
        <v>101</v>
      </c>
      <c r="V980" s="6">
        <f>IF(ISERROR(VLOOKUP($S$980,'TAR FIN'!$A$1:$O$103,15,0)),0,VLOOKUP($S$980,'TAR FIN'!$A$1:$O$103,15,0))</f>
        <v>0</v>
      </c>
      <c r="W980" s="6">
        <f>IF(ISERROR(VLOOKUP($T$980,'TAR FIN'!$A$1:$O$103,15,0)),0,VLOOKUP($T$980,'TAR FIN'!$A$1:$O$103,15,0))</f>
        <v>148.44999999999999</v>
      </c>
      <c r="X980" s="6">
        <f>IF(ISERROR(VLOOKUP($U$980,'TAR FIN'!$A$1:$O$103,15,0)),0,VLOOKUP($U$980,'TAR FIN'!$A$1:$O$103,15,0))</f>
        <v>158.9</v>
      </c>
      <c r="Y980" s="6"/>
      <c r="Z980" s="6">
        <f ca="1">('TUSD BE'!$AM$60+'TUSD BF_350'!$AM$60+'TUSD CVA'!$AM$60)*1</f>
        <v>170.94</v>
      </c>
      <c r="AA980" s="6">
        <f ca="1">('TE BE'!$AB$44+'TE BF_350'!$AB$44+'TE CVA'!$AB$44)*1</f>
        <v>142.41999999999999</v>
      </c>
      <c r="AB980" s="6">
        <f>$K$980*$V$980</f>
        <v>0</v>
      </c>
      <c r="AC980" s="6">
        <f>$M$980*$W$980</f>
        <v>152441.07824999999</v>
      </c>
      <c r="AD980" s="6">
        <f>$O$980*$X$980</f>
        <v>163172.02650000001</v>
      </c>
      <c r="AE980" s="6">
        <f>$K$980*$Y$980</f>
        <v>0</v>
      </c>
      <c r="AF980" s="6">
        <f ca="1">$M$980*$Z$980</f>
        <v>175535.7219</v>
      </c>
      <c r="AG980" s="6">
        <f ca="1">$O$980*$AA$980</f>
        <v>146248.96169999999</v>
      </c>
    </row>
    <row r="981" spans="1:33" ht="11.25" customHeight="1" x14ac:dyDescent="0.25">
      <c r="A981" s="4" t="s">
        <v>21</v>
      </c>
      <c r="B981" s="4" t="s">
        <v>47</v>
      </c>
      <c r="C981" s="4" t="s">
        <v>23</v>
      </c>
      <c r="D981" s="4" t="s">
        <v>48</v>
      </c>
      <c r="E981" s="4" t="s">
        <v>49</v>
      </c>
      <c r="F981" s="4" t="s">
        <v>25</v>
      </c>
      <c r="G981" s="4" t="s">
        <v>25</v>
      </c>
      <c r="H981" s="4" t="s">
        <v>25</v>
      </c>
      <c r="I981" s="5">
        <v>44501</v>
      </c>
      <c r="J981" s="6">
        <v>0</v>
      </c>
      <c r="K981" s="6">
        <v>0</v>
      </c>
      <c r="L981" s="6">
        <v>993.76</v>
      </c>
      <c r="M981" s="6">
        <v>993.76</v>
      </c>
      <c r="N981" s="6">
        <v>993.76</v>
      </c>
      <c r="O981" s="6">
        <v>993.76</v>
      </c>
      <c r="P981" s="6">
        <v>1</v>
      </c>
      <c r="Q981" s="4" t="s">
        <v>26</v>
      </c>
      <c r="R981" s="4">
        <v>0</v>
      </c>
      <c r="S981" s="6">
        <v>0</v>
      </c>
      <c r="T981" s="6">
        <v>60</v>
      </c>
      <c r="U981" s="6">
        <v>101</v>
      </c>
      <c r="V981" s="6">
        <f>IF(ISERROR(VLOOKUP($S$981,'TAR FIN'!$A$1:$O$103,15,0)),0,VLOOKUP($S$981,'TAR FIN'!$A$1:$O$103,15,0))</f>
        <v>0</v>
      </c>
      <c r="W981" s="6">
        <f>IF(ISERROR(VLOOKUP($T$981,'TAR FIN'!$A$1:$O$103,15,0)),0,VLOOKUP($T$981,'TAR FIN'!$A$1:$O$103,15,0))</f>
        <v>148.44999999999999</v>
      </c>
      <c r="X981" s="6">
        <f>IF(ISERROR(VLOOKUP($U$981,'TAR FIN'!$A$1:$O$103,15,0)),0,VLOOKUP($U$981,'TAR FIN'!$A$1:$O$103,15,0))</f>
        <v>158.9</v>
      </c>
      <c r="Y981" s="6"/>
      <c r="Z981" s="6">
        <f ca="1">('TUSD BE'!$AM$60+'TUSD BF_350'!$AM$60+'TUSD CVA'!$AM$60)*1</f>
        <v>170.94</v>
      </c>
      <c r="AA981" s="6">
        <f ca="1">('TE BE'!$AB$44+'TE BF_350'!$AB$44+'TE CVA'!$AB$44)*1</f>
        <v>142.41999999999999</v>
      </c>
      <c r="AB981" s="6">
        <f>$K$981*$V$981</f>
        <v>0</v>
      </c>
      <c r="AC981" s="6">
        <f>$M$981*$W$981</f>
        <v>147523.67199999999</v>
      </c>
      <c r="AD981" s="6">
        <f>$O$981*$X$981</f>
        <v>157908.46400000001</v>
      </c>
      <c r="AE981" s="6">
        <f>$K$981*$Y$981</f>
        <v>0</v>
      </c>
      <c r="AF981" s="6">
        <f ca="1">$M$981*$Z$981</f>
        <v>169873.33439999999</v>
      </c>
      <c r="AG981" s="6">
        <f ca="1">$O$981*$AA$981</f>
        <v>141531.29919999998</v>
      </c>
    </row>
    <row r="982" spans="1:33" ht="11.25" customHeight="1" x14ac:dyDescent="0.25">
      <c r="A982" s="4" t="s">
        <v>21</v>
      </c>
      <c r="B982" s="4" t="s">
        <v>47</v>
      </c>
      <c r="C982" s="4" t="s">
        <v>23</v>
      </c>
      <c r="D982" s="4" t="s">
        <v>48</v>
      </c>
      <c r="E982" s="4" t="s">
        <v>49</v>
      </c>
      <c r="F982" s="4" t="s">
        <v>25</v>
      </c>
      <c r="G982" s="4" t="s">
        <v>25</v>
      </c>
      <c r="H982" s="4" t="s">
        <v>25</v>
      </c>
      <c r="I982" s="5">
        <v>44531</v>
      </c>
      <c r="J982" s="6">
        <v>0</v>
      </c>
      <c r="K982" s="6">
        <v>0</v>
      </c>
      <c r="L982" s="6">
        <v>1026.885</v>
      </c>
      <c r="M982" s="6">
        <v>1026.885</v>
      </c>
      <c r="N982" s="6">
        <v>1026.885</v>
      </c>
      <c r="O982" s="6">
        <v>1026.885</v>
      </c>
      <c r="P982" s="6">
        <v>1</v>
      </c>
      <c r="Q982" s="4" t="s">
        <v>26</v>
      </c>
      <c r="R982" s="4">
        <v>0</v>
      </c>
      <c r="S982" s="6">
        <v>0</v>
      </c>
      <c r="T982" s="6">
        <v>60</v>
      </c>
      <c r="U982" s="6">
        <v>101</v>
      </c>
      <c r="V982" s="6">
        <f>IF(ISERROR(VLOOKUP($S$982,'TAR FIN'!$A$1:$O$103,15,0)),0,VLOOKUP($S$982,'TAR FIN'!$A$1:$O$103,15,0))</f>
        <v>0</v>
      </c>
      <c r="W982" s="6">
        <f>IF(ISERROR(VLOOKUP($T$982,'TAR FIN'!$A$1:$O$103,15,0)),0,VLOOKUP($T$982,'TAR FIN'!$A$1:$O$103,15,0))</f>
        <v>148.44999999999999</v>
      </c>
      <c r="X982" s="6">
        <f>IF(ISERROR(VLOOKUP($U$982,'TAR FIN'!$A$1:$O$103,15,0)),0,VLOOKUP($U$982,'TAR FIN'!$A$1:$O$103,15,0))</f>
        <v>158.9</v>
      </c>
      <c r="Y982" s="6"/>
      <c r="Z982" s="6">
        <f ca="1">('TUSD BE'!$AM$60+'TUSD BF_350'!$AM$60+'TUSD CVA'!$AM$60)*1</f>
        <v>170.94</v>
      </c>
      <c r="AA982" s="6">
        <f ca="1">('TE BE'!$AB$44+'TE BF_350'!$AB$44+'TE CVA'!$AB$44)*1</f>
        <v>142.41999999999999</v>
      </c>
      <c r="AB982" s="6">
        <f>$K$982*$V$982</f>
        <v>0</v>
      </c>
      <c r="AC982" s="6">
        <f>$M$982*$W$982</f>
        <v>152441.07824999999</v>
      </c>
      <c r="AD982" s="6">
        <f>$O$982*$X$982</f>
        <v>163172.02650000001</v>
      </c>
      <c r="AE982" s="6">
        <f>$K$982*$Y$982</f>
        <v>0</v>
      </c>
      <c r="AF982" s="6">
        <f ca="1">$M$982*$Z$982</f>
        <v>175535.7219</v>
      </c>
      <c r="AG982" s="6">
        <f ca="1">$O$982*$AA$982</f>
        <v>146248.96169999999</v>
      </c>
    </row>
    <row r="983" spans="1:33" ht="11.25" customHeight="1" x14ac:dyDescent="0.25">
      <c r="A983" s="4" t="s">
        <v>21</v>
      </c>
      <c r="B983" s="4" t="s">
        <v>47</v>
      </c>
      <c r="C983" s="4" t="s">
        <v>23</v>
      </c>
      <c r="D983" s="4" t="s">
        <v>48</v>
      </c>
      <c r="E983" s="4" t="s">
        <v>49</v>
      </c>
      <c r="F983" s="4" t="s">
        <v>25</v>
      </c>
      <c r="G983" s="4" t="s">
        <v>25</v>
      </c>
      <c r="H983" s="4" t="s">
        <v>25</v>
      </c>
      <c r="I983" s="5">
        <v>44562</v>
      </c>
      <c r="J983" s="6">
        <v>0</v>
      </c>
      <c r="K983" s="6">
        <v>0</v>
      </c>
      <c r="L983" s="6">
        <v>899.43499999999995</v>
      </c>
      <c r="M983" s="6">
        <v>899.43499999999995</v>
      </c>
      <c r="N983" s="6">
        <v>899.43499999999995</v>
      </c>
      <c r="O983" s="6">
        <v>899.43499999999995</v>
      </c>
      <c r="P983" s="6">
        <v>1</v>
      </c>
      <c r="Q983" s="4" t="s">
        <v>26</v>
      </c>
      <c r="R983" s="4">
        <v>0</v>
      </c>
      <c r="S983" s="6">
        <v>0</v>
      </c>
      <c r="T983" s="6">
        <v>60</v>
      </c>
      <c r="U983" s="6">
        <v>101</v>
      </c>
      <c r="V983" s="6">
        <f>IF(ISERROR(VLOOKUP($S$983,'TAR FIN'!$A$1:$O$103,15,0)),0,VLOOKUP($S$983,'TAR FIN'!$A$1:$O$103,15,0))</f>
        <v>0</v>
      </c>
      <c r="W983" s="6">
        <f>IF(ISERROR(VLOOKUP($T$983,'TAR FIN'!$A$1:$O$103,15,0)),0,VLOOKUP($T$983,'TAR FIN'!$A$1:$O$103,15,0))</f>
        <v>148.44999999999999</v>
      </c>
      <c r="X983" s="6">
        <f>IF(ISERROR(VLOOKUP($U$983,'TAR FIN'!$A$1:$O$103,15,0)),0,VLOOKUP($U$983,'TAR FIN'!$A$1:$O$103,15,0))</f>
        <v>158.9</v>
      </c>
      <c r="Y983" s="6"/>
      <c r="Z983" s="6">
        <f ca="1">('TUSD BE'!$AM$60+'TUSD BF_350'!$AM$60+'TUSD CVA'!$AM$60)*1</f>
        <v>170.94</v>
      </c>
      <c r="AA983" s="6">
        <f ca="1">('TE BE'!$AB$44+'TE BF_350'!$AB$44+'TE CVA'!$AB$44)*1</f>
        <v>142.41999999999999</v>
      </c>
      <c r="AB983" s="6">
        <f>$K$983*$V$983</f>
        <v>0</v>
      </c>
      <c r="AC983" s="6">
        <f>$M$983*$W$983</f>
        <v>133521.12574999998</v>
      </c>
      <c r="AD983" s="6">
        <f>$O$983*$X$983</f>
        <v>142920.22149999999</v>
      </c>
      <c r="AE983" s="6">
        <f>$K$983*$Y$983</f>
        <v>0</v>
      </c>
      <c r="AF983" s="6">
        <f ca="1">$M$983*$Z$983</f>
        <v>153749.41889999999</v>
      </c>
      <c r="AG983" s="6">
        <f ca="1">$O$983*$AA$983</f>
        <v>128097.53269999998</v>
      </c>
    </row>
    <row r="984" spans="1:33" ht="11.25" customHeight="1" x14ac:dyDescent="0.25">
      <c r="A984" s="4" t="s">
        <v>21</v>
      </c>
      <c r="B984" s="4" t="s">
        <v>47</v>
      </c>
      <c r="C984" s="4" t="s">
        <v>23</v>
      </c>
      <c r="D984" s="4" t="s">
        <v>48</v>
      </c>
      <c r="E984" s="4" t="s">
        <v>49</v>
      </c>
      <c r="F984" s="4" t="s">
        <v>25</v>
      </c>
      <c r="G984" s="4" t="s">
        <v>25</v>
      </c>
      <c r="H984" s="4" t="s">
        <v>25</v>
      </c>
      <c r="I984" s="5">
        <v>44593</v>
      </c>
      <c r="J984" s="6">
        <v>0</v>
      </c>
      <c r="K984" s="6">
        <v>0</v>
      </c>
      <c r="L984" s="6">
        <v>858.42399999999998</v>
      </c>
      <c r="M984" s="6">
        <v>858.42399999999998</v>
      </c>
      <c r="N984" s="6">
        <v>858.42399999999998</v>
      </c>
      <c r="O984" s="6">
        <v>858.42399999999998</v>
      </c>
      <c r="P984" s="6">
        <v>1</v>
      </c>
      <c r="Q984" s="4" t="s">
        <v>26</v>
      </c>
      <c r="R984" s="4">
        <v>0</v>
      </c>
      <c r="S984" s="6">
        <v>0</v>
      </c>
      <c r="T984" s="6">
        <v>60</v>
      </c>
      <c r="U984" s="6">
        <v>101</v>
      </c>
      <c r="V984" s="6">
        <f>IF(ISERROR(VLOOKUP($S$984,'TAR FIN'!$A$1:$O$103,15,0)),0,VLOOKUP($S$984,'TAR FIN'!$A$1:$O$103,15,0))</f>
        <v>0</v>
      </c>
      <c r="W984" s="6">
        <f>IF(ISERROR(VLOOKUP($T$984,'TAR FIN'!$A$1:$O$103,15,0)),0,VLOOKUP($T$984,'TAR FIN'!$A$1:$O$103,15,0))</f>
        <v>148.44999999999999</v>
      </c>
      <c r="X984" s="6">
        <f>IF(ISERROR(VLOOKUP($U$984,'TAR FIN'!$A$1:$O$103,15,0)),0,VLOOKUP($U$984,'TAR FIN'!$A$1:$O$103,15,0))</f>
        <v>158.9</v>
      </c>
      <c r="Y984" s="6"/>
      <c r="Z984" s="6">
        <f ca="1">('TUSD BE'!$AM$60+'TUSD BF_350'!$AM$60+'TUSD CVA'!$AM$60)*1</f>
        <v>170.94</v>
      </c>
      <c r="AA984" s="6">
        <f ca="1">('TE BE'!$AB$44+'TE BF_350'!$AB$44+'TE CVA'!$AB$44)*1</f>
        <v>142.41999999999999</v>
      </c>
      <c r="AB984" s="6">
        <f>$K$984*$V$984</f>
        <v>0</v>
      </c>
      <c r="AC984" s="6">
        <f>$M$984*$W$984</f>
        <v>127433.04279999998</v>
      </c>
      <c r="AD984" s="6">
        <f>$O$984*$X$984</f>
        <v>136403.5736</v>
      </c>
      <c r="AE984" s="6">
        <f>$K$984*$Y$984</f>
        <v>0</v>
      </c>
      <c r="AF984" s="6">
        <f ca="1">$M$984*$Z$984</f>
        <v>146738.99856000001</v>
      </c>
      <c r="AG984" s="6">
        <f ca="1">$O$984*$AA$984</f>
        <v>122256.74607999998</v>
      </c>
    </row>
    <row r="985" spans="1:33" ht="11.25" customHeight="1" x14ac:dyDescent="0.25">
      <c r="A985" s="4" t="s">
        <v>21</v>
      </c>
      <c r="B985" s="4" t="s">
        <v>47</v>
      </c>
      <c r="C985" s="4" t="s">
        <v>23</v>
      </c>
      <c r="D985" s="4" t="s">
        <v>48</v>
      </c>
      <c r="E985" s="4" t="s">
        <v>49</v>
      </c>
      <c r="F985" s="4" t="s">
        <v>25</v>
      </c>
      <c r="G985" s="4" t="s">
        <v>25</v>
      </c>
      <c r="H985" s="4" t="s">
        <v>25</v>
      </c>
      <c r="I985" s="5">
        <v>44621</v>
      </c>
      <c r="J985" s="6">
        <v>0</v>
      </c>
      <c r="K985" s="6">
        <v>0</v>
      </c>
      <c r="L985" s="6">
        <v>1004.369</v>
      </c>
      <c r="M985" s="6">
        <v>1004.369</v>
      </c>
      <c r="N985" s="6">
        <v>1004.369</v>
      </c>
      <c r="O985" s="6">
        <v>1004.369</v>
      </c>
      <c r="P985" s="6">
        <v>1</v>
      </c>
      <c r="Q985" s="4" t="s">
        <v>26</v>
      </c>
      <c r="R985" s="4">
        <v>0</v>
      </c>
      <c r="S985" s="6">
        <v>0</v>
      </c>
      <c r="T985" s="6">
        <v>60</v>
      </c>
      <c r="U985" s="6">
        <v>101</v>
      </c>
      <c r="V985" s="6">
        <f>IF(ISERROR(VLOOKUP($S$985,'TAR FIN'!$A$1:$O$103,15,0)),0,VLOOKUP($S$985,'TAR FIN'!$A$1:$O$103,15,0))</f>
        <v>0</v>
      </c>
      <c r="W985" s="6">
        <f>IF(ISERROR(VLOOKUP($T$985,'TAR FIN'!$A$1:$O$103,15,0)),0,VLOOKUP($T$985,'TAR FIN'!$A$1:$O$103,15,0))</f>
        <v>148.44999999999999</v>
      </c>
      <c r="X985" s="6">
        <f>IF(ISERROR(VLOOKUP($U$985,'TAR FIN'!$A$1:$O$103,15,0)),0,VLOOKUP($U$985,'TAR FIN'!$A$1:$O$103,15,0))</f>
        <v>158.9</v>
      </c>
      <c r="Y985" s="6"/>
      <c r="Z985" s="6">
        <f ca="1">('TUSD BE'!$AM$60+'TUSD BF_350'!$AM$60+'TUSD CVA'!$AM$60)*1</f>
        <v>170.94</v>
      </c>
      <c r="AA985" s="6">
        <f ca="1">('TE BE'!$AB$44+'TE BF_350'!$AB$44+'TE CVA'!$AB$44)*1</f>
        <v>142.41999999999999</v>
      </c>
      <c r="AB985" s="6">
        <f>$K$985*$V$985</f>
        <v>0</v>
      </c>
      <c r="AC985" s="6">
        <f>$M$985*$W$985</f>
        <v>149098.57804999998</v>
      </c>
      <c r="AD985" s="6">
        <f>$O$985*$X$985</f>
        <v>159594.2341</v>
      </c>
      <c r="AE985" s="6">
        <f>$K$985*$Y$985</f>
        <v>0</v>
      </c>
      <c r="AF985" s="6">
        <f ca="1">$M$985*$Z$985</f>
        <v>171686.83686000001</v>
      </c>
      <c r="AG985" s="6">
        <f ca="1">$O$985*$AA$985</f>
        <v>143042.23298</v>
      </c>
    </row>
    <row r="986" spans="1:33" ht="11.25" customHeight="1" x14ac:dyDescent="0.25">
      <c r="A986" s="4" t="s">
        <v>21</v>
      </c>
      <c r="B986" s="4" t="s">
        <v>47</v>
      </c>
      <c r="C986" s="4" t="s">
        <v>23</v>
      </c>
      <c r="D986" s="4" t="s">
        <v>48</v>
      </c>
      <c r="E986" s="4" t="s">
        <v>49</v>
      </c>
      <c r="F986" s="4" t="s">
        <v>25</v>
      </c>
      <c r="G986" s="4" t="s">
        <v>25</v>
      </c>
      <c r="H986" s="4" t="s">
        <v>25</v>
      </c>
      <c r="I986" s="5">
        <v>44652</v>
      </c>
      <c r="J986" s="6">
        <v>0</v>
      </c>
      <c r="K986" s="6">
        <v>0</v>
      </c>
      <c r="L986" s="6">
        <v>1044.548</v>
      </c>
      <c r="M986" s="6">
        <v>1044.548</v>
      </c>
      <c r="N986" s="6">
        <v>1044.548</v>
      </c>
      <c r="O986" s="6">
        <v>1044.548</v>
      </c>
      <c r="P986" s="6">
        <v>1</v>
      </c>
      <c r="Q986" s="4" t="s">
        <v>26</v>
      </c>
      <c r="R986" s="4">
        <v>0</v>
      </c>
      <c r="S986" s="6">
        <v>0</v>
      </c>
      <c r="T986" s="6">
        <v>60</v>
      </c>
      <c r="U986" s="6">
        <v>101</v>
      </c>
      <c r="V986" s="6">
        <f>IF(ISERROR(VLOOKUP($S$986,'TAR FIN'!$A$1:$O$103,15,0)),0,VLOOKUP($S$986,'TAR FIN'!$A$1:$O$103,15,0))</f>
        <v>0</v>
      </c>
      <c r="W986" s="6">
        <f>IF(ISERROR(VLOOKUP($T$986,'TAR FIN'!$A$1:$O$103,15,0)),0,VLOOKUP($T$986,'TAR FIN'!$A$1:$O$103,15,0))</f>
        <v>148.44999999999999</v>
      </c>
      <c r="X986" s="6">
        <f>IF(ISERROR(VLOOKUP($U$986,'TAR FIN'!$A$1:$O$103,15,0)),0,VLOOKUP($U$986,'TAR FIN'!$A$1:$O$103,15,0))</f>
        <v>158.9</v>
      </c>
      <c r="Y986" s="6"/>
      <c r="Z986" s="6">
        <f ca="1">('TUSD BE'!$AM$60+'TUSD BF_350'!$AM$60+'TUSD CVA'!$AM$60)*1</f>
        <v>170.94</v>
      </c>
      <c r="AA986" s="6">
        <f ca="1">('TE BE'!$AB$44+'TE BF_350'!$AB$44+'TE CVA'!$AB$44)*1</f>
        <v>142.41999999999999</v>
      </c>
      <c r="AB986" s="6">
        <f>$K$986*$V$986</f>
        <v>0</v>
      </c>
      <c r="AC986" s="6">
        <f>$M$986*$W$986</f>
        <v>155063.15059999999</v>
      </c>
      <c r="AD986" s="6">
        <f>$O$986*$X$986</f>
        <v>165978.67720000001</v>
      </c>
      <c r="AE986" s="6">
        <f>$K$986*$Y$986</f>
        <v>0</v>
      </c>
      <c r="AF986" s="6">
        <f ca="1">$M$986*$Z$986</f>
        <v>178555.03511999999</v>
      </c>
      <c r="AG986" s="6">
        <f ca="1">$O$986*$AA$986</f>
        <v>148764.52615999998</v>
      </c>
    </row>
    <row r="987" spans="1:33" ht="11.25" customHeight="1" x14ac:dyDescent="0.25">
      <c r="A987" s="4" t="s">
        <v>21</v>
      </c>
      <c r="B987" s="4" t="s">
        <v>47</v>
      </c>
      <c r="C987" s="4" t="s">
        <v>23</v>
      </c>
      <c r="D987" s="4" t="s">
        <v>48</v>
      </c>
      <c r="E987" s="4" t="s">
        <v>49</v>
      </c>
      <c r="F987" s="4" t="s">
        <v>25</v>
      </c>
      <c r="G987" s="4" t="s">
        <v>25</v>
      </c>
      <c r="H987" s="4" t="s">
        <v>25</v>
      </c>
      <c r="I987" s="5">
        <v>44682</v>
      </c>
      <c r="J987" s="6">
        <v>0</v>
      </c>
      <c r="K987" s="6">
        <v>0</v>
      </c>
      <c r="L987" s="6">
        <v>1139.2840000000001</v>
      </c>
      <c r="M987" s="6">
        <v>1139.2840000000001</v>
      </c>
      <c r="N987" s="6">
        <v>1139.2840000000001</v>
      </c>
      <c r="O987" s="6">
        <v>1139.2840000000001</v>
      </c>
      <c r="P987" s="6">
        <v>1</v>
      </c>
      <c r="Q987" s="4" t="s">
        <v>26</v>
      </c>
      <c r="R987" s="4">
        <v>0</v>
      </c>
      <c r="S987" s="6">
        <v>0</v>
      </c>
      <c r="T987" s="6">
        <v>60</v>
      </c>
      <c r="U987" s="6">
        <v>101</v>
      </c>
      <c r="V987" s="6">
        <f>IF(ISERROR(VLOOKUP($S$987,'TAR FIN'!$A$1:$O$103,15,0)),0,VLOOKUP($S$987,'TAR FIN'!$A$1:$O$103,15,0))</f>
        <v>0</v>
      </c>
      <c r="W987" s="6">
        <f>IF(ISERROR(VLOOKUP($T$987,'TAR FIN'!$A$1:$O$103,15,0)),0,VLOOKUP($T$987,'TAR FIN'!$A$1:$O$103,15,0))</f>
        <v>148.44999999999999</v>
      </c>
      <c r="X987" s="6">
        <f>IF(ISERROR(VLOOKUP($U$987,'TAR FIN'!$A$1:$O$103,15,0)),0,VLOOKUP($U$987,'TAR FIN'!$A$1:$O$103,15,0))</f>
        <v>158.9</v>
      </c>
      <c r="Y987" s="6"/>
      <c r="Z987" s="6">
        <f ca="1">('TUSD BE'!$AM$60+'TUSD BF_350'!$AM$60+'TUSD CVA'!$AM$60)*1</f>
        <v>170.94</v>
      </c>
      <c r="AA987" s="6">
        <f ca="1">('TE BE'!$AB$44+'TE BF_350'!$AB$44+'TE CVA'!$AB$44)*1</f>
        <v>142.41999999999999</v>
      </c>
      <c r="AB987" s="6">
        <f>$K$987*$V$987</f>
        <v>0</v>
      </c>
      <c r="AC987" s="6">
        <f>$M$987*$W$987</f>
        <v>169126.70980000001</v>
      </c>
      <c r="AD987" s="6">
        <f>$O$987*$X$987</f>
        <v>181032.22760000001</v>
      </c>
      <c r="AE987" s="6">
        <f>$K$987*$Y$987</f>
        <v>0</v>
      </c>
      <c r="AF987" s="6">
        <f ca="1">$M$987*$Z$987</f>
        <v>194749.20696000001</v>
      </c>
      <c r="AG987" s="6">
        <f ca="1">$O$987*$AA$987</f>
        <v>162256.82728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F2543-2CFE-45BD-835C-321271C6D603}">
  <sheetPr>
    <tabColor theme="4" tint="-0.249977111117893"/>
  </sheetPr>
  <dimension ref="B1:AB42"/>
  <sheetViews>
    <sheetView topLeftCell="A7" workbookViewId="0">
      <selection activeCell="H31" sqref="H31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15.5703125" bestFit="1" customWidth="1"/>
    <col min="7" max="7" width="13.7109375" bestFit="1" customWidth="1"/>
    <col min="8" max="8" width="28.85546875" bestFit="1" customWidth="1"/>
    <col min="9" max="9" width="14.28515625" bestFit="1" customWidth="1"/>
    <col min="10" max="10" width="28.7109375" bestFit="1" customWidth="1"/>
    <col min="11" max="11" width="14.28515625" bestFit="1" customWidth="1"/>
    <col min="12" max="12" width="9.5703125" bestFit="1" customWidth="1"/>
    <col min="28" max="28" width="5" bestFit="1" customWidth="1"/>
  </cols>
  <sheetData>
    <row r="1" spans="2:28" x14ac:dyDescent="0.25">
      <c r="AA1" t="s">
        <v>1265</v>
      </c>
      <c r="AB1">
        <v>2866</v>
      </c>
    </row>
    <row r="2" spans="2:28" x14ac:dyDescent="0.25">
      <c r="AA2" t="s">
        <v>1266</v>
      </c>
      <c r="AB2">
        <v>2022</v>
      </c>
    </row>
    <row r="3" spans="2:28" x14ac:dyDescent="0.25">
      <c r="AA3" t="s">
        <v>724</v>
      </c>
      <c r="AB3">
        <v>0</v>
      </c>
    </row>
    <row r="4" spans="2:28" ht="15.75" thickBot="1" x14ac:dyDescent="0.3">
      <c r="B4" s="82" t="s">
        <v>620</v>
      </c>
      <c r="C4" s="82" t="s">
        <v>61</v>
      </c>
      <c r="D4" s="82" t="s">
        <v>62</v>
      </c>
      <c r="E4" s="82" t="s">
        <v>67</v>
      </c>
      <c r="F4" s="82" t="s">
        <v>1267</v>
      </c>
      <c r="G4" s="82" t="s">
        <v>1268</v>
      </c>
      <c r="H4" s="82" t="s">
        <v>1269</v>
      </c>
      <c r="I4" s="82" t="s">
        <v>1270</v>
      </c>
      <c r="J4" s="82" t="s">
        <v>1271</v>
      </c>
    </row>
    <row r="5" spans="2:28" x14ac:dyDescent="0.25">
      <c r="B5" s="85" t="s">
        <v>581</v>
      </c>
      <c r="C5" s="86" t="s">
        <v>42</v>
      </c>
      <c r="D5" s="86" t="s">
        <v>41</v>
      </c>
      <c r="E5" s="86" t="s">
        <v>1272</v>
      </c>
      <c r="F5" s="90">
        <f>SUMIFS(Mercado_Receita!J:J,Mercado_Receita!B:B,"=A3a",Mercado_Receita!C:C,"=AZUL",Mercado_Receita!H:H,"=Ponta")</f>
        <v>0</v>
      </c>
      <c r="G5" s="90">
        <f ca="1">ROUND('TUSD BE'!$AM$5+'TUSD BF'!$AM$5+'TUSD CVA'!$AM$5,2)</f>
        <v>42.42</v>
      </c>
      <c r="H5" s="90">
        <v>37.770000000000003</v>
      </c>
      <c r="I5" s="90">
        <f t="shared" ref="I5:I24" ca="1" si="0">F5*G5</f>
        <v>0</v>
      </c>
      <c r="J5" s="91">
        <f t="shared" ref="J5:J24" si="1">F5*H5</f>
        <v>0</v>
      </c>
    </row>
    <row r="6" spans="2:28" x14ac:dyDescent="0.25">
      <c r="B6" s="83" t="s">
        <v>581</v>
      </c>
      <c r="C6" s="33" t="s">
        <v>42</v>
      </c>
      <c r="D6" s="33" t="s">
        <v>41</v>
      </c>
      <c r="E6" s="33" t="s">
        <v>1273</v>
      </c>
      <c r="F6" s="92">
        <f>SUMIFS(Mercado_Receita!J:J,Mercado_Receita!B:B,"=A3a",Mercado_Receita!C:C,"=AZUL",Mercado_Receita!H:H,"=Fora Ponta")</f>
        <v>0</v>
      </c>
      <c r="G6" s="92">
        <f ca="1">ROUND('TUSD BE'!$AM$6+'TUSD BF'!$AM$6+'TUSD CVA'!$AM$6,2)</f>
        <v>16.52</v>
      </c>
      <c r="H6" s="92">
        <v>17.579999999999998</v>
      </c>
      <c r="I6" s="92">
        <f t="shared" ca="1" si="0"/>
        <v>0</v>
      </c>
      <c r="J6" s="93">
        <f t="shared" si="1"/>
        <v>0</v>
      </c>
    </row>
    <row r="7" spans="2:28" x14ac:dyDescent="0.25">
      <c r="B7" s="83" t="s">
        <v>581</v>
      </c>
      <c r="C7" s="33" t="s">
        <v>42</v>
      </c>
      <c r="D7" s="33" t="s">
        <v>41</v>
      </c>
      <c r="E7" s="33" t="s">
        <v>11</v>
      </c>
      <c r="F7" s="92">
        <f>SUMIFS(Mercado_Receita!L:L,Mercado_Receita!B:B,"=A3a",Mercado_Receita!C:C,"=AZUL",Mercado_Receita!H:H,"&lt;&gt;Não se aplica",Mercado_Receita!Q:Q,"=Cativo")+SUMIFS(Mercado_Receita!L:L,Mercado_Receita!B:B,"=A3a",Mercado_Receita!C:C,"=AZUL",Mercado_Receita!H:H,"=Não se aplica",Mercado_Receita!Q:Q,"=Livre")</f>
        <v>0</v>
      </c>
      <c r="G7" s="92">
        <f ca="1">ROUND('TUSD BE'!$AM$7+'TUSD BF'!$AM$7+'TUSD CVA'!$AM$7,2)</f>
        <v>111.24</v>
      </c>
      <c r="H7" s="92">
        <v>110.85</v>
      </c>
      <c r="I7" s="92">
        <f t="shared" ca="1" si="0"/>
        <v>0</v>
      </c>
      <c r="J7" s="93">
        <f t="shared" si="1"/>
        <v>0</v>
      </c>
    </row>
    <row r="8" spans="2:28" x14ac:dyDescent="0.25">
      <c r="B8" s="83" t="s">
        <v>609</v>
      </c>
      <c r="C8" s="33" t="s">
        <v>42</v>
      </c>
      <c r="D8" s="33" t="s">
        <v>41</v>
      </c>
      <c r="E8" s="33" t="s">
        <v>1274</v>
      </c>
      <c r="F8" s="92">
        <f>SUMIFS(Mercado_Receita!N:N,Mercado_Receita!B:B,"=A3a",Mercado_Receita!C:C,"=AZUL",Mercado_Receita!H:H,"=Ponta",Mercado_Receita!Q:Q,"=Cativo")</f>
        <v>0</v>
      </c>
      <c r="G8" s="92">
        <f>ROUND('TE BE'!$AB$5+'TE BF'!$AB$5+'TE CVA'!$AB$5,2)</f>
        <v>415.05</v>
      </c>
      <c r="H8" s="92">
        <v>388.08</v>
      </c>
      <c r="I8" s="92">
        <f t="shared" si="0"/>
        <v>0</v>
      </c>
      <c r="J8" s="93">
        <f t="shared" si="1"/>
        <v>0</v>
      </c>
    </row>
    <row r="9" spans="2:28" ht="15.75" thickBot="1" x14ac:dyDescent="0.3">
      <c r="B9" s="84" t="s">
        <v>609</v>
      </c>
      <c r="C9" s="32" t="s">
        <v>42</v>
      </c>
      <c r="D9" s="32" t="s">
        <v>41</v>
      </c>
      <c r="E9" s="32" t="s">
        <v>1275</v>
      </c>
      <c r="F9" s="96">
        <f>SUMIFS(Mercado_Receita!N:N,Mercado_Receita!B:B,"=A3a",Mercado_Receita!C:C,"=AZUL",Mercado_Receita!H:H,"=Fora Ponta",Mercado_Receita!Q:Q,"=Cativo")</f>
        <v>0</v>
      </c>
      <c r="G9" s="96">
        <f>ROUND('TE BE'!$AB$6+'TE BF'!$AB$6+'TE CVA'!$AB$6,2)</f>
        <v>259.04000000000002</v>
      </c>
      <c r="H9" s="96">
        <v>247.2</v>
      </c>
      <c r="I9" s="96">
        <f t="shared" si="0"/>
        <v>0</v>
      </c>
      <c r="J9" s="97">
        <f t="shared" si="1"/>
        <v>0</v>
      </c>
    </row>
    <row r="10" spans="2:28" x14ac:dyDescent="0.25">
      <c r="B10" s="85" t="s">
        <v>581</v>
      </c>
      <c r="C10" s="86" t="s">
        <v>42</v>
      </c>
      <c r="D10" s="86" t="s">
        <v>34</v>
      </c>
      <c r="E10" s="86" t="s">
        <v>9</v>
      </c>
      <c r="F10" s="90">
        <f>SUMIFS(Mercado_Receita!J:J,Mercado_Receita!B:B,"=A3a",Mercado_Receita!C:C,"=VERDE",Mercado_Receita!H:H,"=Não se aplica")</f>
        <v>50780</v>
      </c>
      <c r="G10" s="90">
        <f ca="1">ROUND('TUSD BE'!$AM$10+'TUSD BF'!$AM$10+'TUSD CVA'!$AM$10,2)</f>
        <v>16.52</v>
      </c>
      <c r="H10" s="90">
        <v>17.579999999999998</v>
      </c>
      <c r="I10" s="90">
        <f t="shared" ca="1" si="0"/>
        <v>838885.6</v>
      </c>
      <c r="J10" s="91">
        <f t="shared" si="1"/>
        <v>892712.39999999991</v>
      </c>
    </row>
    <row r="11" spans="2:28" x14ac:dyDescent="0.25">
      <c r="B11" s="83" t="s">
        <v>581</v>
      </c>
      <c r="C11" s="33" t="s">
        <v>42</v>
      </c>
      <c r="D11" s="33" t="s">
        <v>34</v>
      </c>
      <c r="E11" s="33" t="s">
        <v>1276</v>
      </c>
      <c r="F11" s="92">
        <f>SUMIFS(Mercado_Receita!L:L,Mercado_Receita!B:B,"=A3a",Mercado_Receita!C:C,"=VERDE",Mercado_Receita!H:H,"=Ponta")</f>
        <v>678.48799999999994</v>
      </c>
      <c r="G11" s="92">
        <f ca="1">ROUND('TUSD BE'!$AM$11+'TUSD BF'!$AM$11+'TUSD CVA'!$AM$11,2)</f>
        <v>1146.3800000000001</v>
      </c>
      <c r="H11" s="92">
        <v>1027.46</v>
      </c>
      <c r="I11" s="92">
        <f t="shared" ca="1" si="0"/>
        <v>777805.07344000007</v>
      </c>
      <c r="J11" s="93">
        <f t="shared" si="1"/>
        <v>697119.28047999996</v>
      </c>
    </row>
    <row r="12" spans="2:28" x14ac:dyDescent="0.25">
      <c r="B12" s="83" t="s">
        <v>581</v>
      </c>
      <c r="C12" s="33" t="s">
        <v>42</v>
      </c>
      <c r="D12" s="33" t="s">
        <v>34</v>
      </c>
      <c r="E12" s="33" t="s">
        <v>1277</v>
      </c>
      <c r="F12" s="92">
        <f>SUMIFS(Mercado_Receita!L:L,Mercado_Receita!B:B,"=A3a",Mercado_Receita!C:C,"=VERDE",Mercado_Receita!H:H,"=Fora Ponta")</f>
        <v>8521.732</v>
      </c>
      <c r="G12" s="92">
        <f ca="1">ROUND('TUSD BE'!$AM$12+'TUSD BF'!$AM$12+'TUSD CVA'!$AM$12,2)</f>
        <v>111.24</v>
      </c>
      <c r="H12" s="92">
        <v>110.85</v>
      </c>
      <c r="I12" s="92">
        <f t="shared" ca="1" si="0"/>
        <v>947957.46768</v>
      </c>
      <c r="J12" s="93">
        <f t="shared" si="1"/>
        <v>944633.99219999998</v>
      </c>
    </row>
    <row r="13" spans="2:28" x14ac:dyDescent="0.25">
      <c r="B13" s="83" t="s">
        <v>609</v>
      </c>
      <c r="C13" s="33" t="s">
        <v>42</v>
      </c>
      <c r="D13" s="33" t="s">
        <v>34</v>
      </c>
      <c r="E13" s="33" t="s">
        <v>1274</v>
      </c>
      <c r="F13" s="92">
        <f>SUMIFS(Mercado_Receita!N:N,Mercado_Receita!B:B,"=A3a",Mercado_Receita!C:C,"=VERDE",Mercado_Receita!H:H,"=Ponta",Mercado_Receita!Q:Q,"=Cativo")</f>
        <v>235.87100000000004</v>
      </c>
      <c r="G13" s="92">
        <f>ROUND('TE BE'!$AB$5+'TE BF'!$AB$5+'TE CVA'!$AB$5,2)</f>
        <v>415.05</v>
      </c>
      <c r="H13" s="92">
        <v>388.08</v>
      </c>
      <c r="I13" s="92">
        <f t="shared" si="0"/>
        <v>97898.258550000013</v>
      </c>
      <c r="J13" s="93">
        <f t="shared" si="1"/>
        <v>91536.817680000007</v>
      </c>
    </row>
    <row r="14" spans="2:28" ht="15.75" thickBot="1" x14ac:dyDescent="0.3">
      <c r="B14" s="84" t="s">
        <v>609</v>
      </c>
      <c r="C14" s="32" t="s">
        <v>42</v>
      </c>
      <c r="D14" s="32" t="s">
        <v>34</v>
      </c>
      <c r="E14" s="32" t="s">
        <v>1275</v>
      </c>
      <c r="F14" s="96">
        <f>SUMIFS(Mercado_Receita!N:N,Mercado_Receita!B:B,"=A3a",Mercado_Receita!C:C,"=VERDE",Mercado_Receita!H:H,"=Fora Ponta",Mercado_Receita!Q:Q,"=Cativo")</f>
        <v>3882.7039999999993</v>
      </c>
      <c r="G14" s="96">
        <f>ROUND('TE BE'!$AB$6+'TE BF'!$AB$6+'TE CVA'!$AB$6,2)</f>
        <v>259.04000000000002</v>
      </c>
      <c r="H14" s="96">
        <v>247.2</v>
      </c>
      <c r="I14" s="96">
        <f t="shared" si="0"/>
        <v>1005775.6441599999</v>
      </c>
      <c r="J14" s="97">
        <f t="shared" si="1"/>
        <v>959804.42879999976</v>
      </c>
      <c r="K14" s="128">
        <f ca="1">SUM(I10:I12)</f>
        <v>2564648.1411199998</v>
      </c>
      <c r="L14" s="103">
        <f>F11+F12</f>
        <v>9200.2199999999993</v>
      </c>
      <c r="M14">
        <f ca="1">K14/L14</f>
        <v>278.75943630913173</v>
      </c>
    </row>
    <row r="15" spans="2:28" x14ac:dyDescent="0.25">
      <c r="B15" s="85" t="s">
        <v>581</v>
      </c>
      <c r="C15" s="86" t="s">
        <v>33</v>
      </c>
      <c r="D15" s="86" t="s">
        <v>41</v>
      </c>
      <c r="E15" s="86" t="s">
        <v>1272</v>
      </c>
      <c r="F15" s="90">
        <f>SUMIFS(Mercado_Receita!J:J,Mercado_Receita!B:B,"=A4",Mercado_Receita!C:C,"=AZUL",Mercado_Receita!H:H,"=Ponta")</f>
        <v>176625</v>
      </c>
      <c r="G15" s="90">
        <f ca="1">ROUND('TUSD BE'!$AM$15+'TUSD BF'!$AM$15+'TUSD CVA'!$AM$15,2)</f>
        <v>42.42</v>
      </c>
      <c r="H15" s="90">
        <v>37.770000000000003</v>
      </c>
      <c r="I15" s="90">
        <f t="shared" ca="1" si="0"/>
        <v>7492432.5</v>
      </c>
      <c r="J15" s="91">
        <f t="shared" si="1"/>
        <v>6671126.2500000009</v>
      </c>
    </row>
    <row r="16" spans="2:28" x14ac:dyDescent="0.25">
      <c r="B16" s="83" t="s">
        <v>581</v>
      </c>
      <c r="C16" s="33" t="s">
        <v>33</v>
      </c>
      <c r="D16" s="33" t="s">
        <v>41</v>
      </c>
      <c r="E16" s="33" t="s">
        <v>1273</v>
      </c>
      <c r="F16" s="92">
        <f>SUMIFS(Mercado_Receita!J:J,Mercado_Receita!B:B,"=A4",Mercado_Receita!C:C,"=AZUL",Mercado_Receita!H:H,"=Fora Ponta")</f>
        <v>187845</v>
      </c>
      <c r="G16" s="92">
        <f ca="1">ROUND('TUSD BE'!$AM$16+'TUSD BF'!$AM$16+'TUSD CVA'!$AM$16,2)</f>
        <v>16.52</v>
      </c>
      <c r="H16" s="92">
        <v>17.579999999999998</v>
      </c>
      <c r="I16" s="92">
        <f t="shared" ca="1" si="0"/>
        <v>3103199.4</v>
      </c>
      <c r="J16" s="93">
        <f t="shared" si="1"/>
        <v>3302315.0999999996</v>
      </c>
    </row>
    <row r="17" spans="2:12" x14ac:dyDescent="0.25">
      <c r="B17" s="83" t="s">
        <v>581</v>
      </c>
      <c r="C17" s="33" t="s">
        <v>33</v>
      </c>
      <c r="D17" s="33" t="s">
        <v>41</v>
      </c>
      <c r="E17" s="33" t="s">
        <v>11</v>
      </c>
      <c r="F17" s="102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102751.91799999996</v>
      </c>
      <c r="G17" s="92">
        <f ca="1">ROUND('TUSD BE'!$AM$17+'TUSD BF'!$AM$17+'TUSD CVA'!$AM$17,2)</f>
        <v>111.24</v>
      </c>
      <c r="H17" s="92">
        <v>110.85</v>
      </c>
      <c r="I17" s="92">
        <f t="shared" ca="1" si="0"/>
        <v>11430123.358319996</v>
      </c>
      <c r="J17" s="93">
        <f t="shared" si="1"/>
        <v>11390050.110299995</v>
      </c>
    </row>
    <row r="18" spans="2:12" x14ac:dyDescent="0.25">
      <c r="B18" s="83" t="s">
        <v>609</v>
      </c>
      <c r="C18" s="33" t="s">
        <v>33</v>
      </c>
      <c r="D18" s="33" t="s">
        <v>41</v>
      </c>
      <c r="E18" s="33" t="s">
        <v>1274</v>
      </c>
      <c r="F18" s="92">
        <f>SUMIFS(Mercado_Receita!N:N,Mercado_Receita!B:B,"=A4",Mercado_Receita!C:C,"=AZUL",Mercado_Receita!H:H,"=Ponta",Mercado_Receita!Q:Q,"=Cativo")</f>
        <v>380.00700000000006</v>
      </c>
      <c r="G18" s="92">
        <f>ROUND('TE BE'!$AB$8+'TE BF'!$AB$8+'TE CVA'!$AB$8,2)</f>
        <v>415.05</v>
      </c>
      <c r="H18" s="92">
        <v>388.08</v>
      </c>
      <c r="I18" s="92">
        <f t="shared" si="0"/>
        <v>157721.90535000002</v>
      </c>
      <c r="J18" s="93">
        <f t="shared" si="1"/>
        <v>147473.11656000002</v>
      </c>
    </row>
    <row r="19" spans="2:12" ht="15.75" thickBot="1" x14ac:dyDescent="0.3">
      <c r="B19" s="84" t="s">
        <v>609</v>
      </c>
      <c r="C19" s="32" t="s">
        <v>33</v>
      </c>
      <c r="D19" s="32" t="s">
        <v>41</v>
      </c>
      <c r="E19" s="32" t="s">
        <v>1275</v>
      </c>
      <c r="F19" s="96">
        <f>SUMIFS(Mercado_Receita!N:N,Mercado_Receita!B:B,"=A4",Mercado_Receita!C:C,"=AZUL",Mercado_Receita!H:H,"=Fora Ponta",Mercado_Receita!Q:Q,"=Cativo")</f>
        <v>3413.4230000000002</v>
      </c>
      <c r="G19" s="96">
        <f>ROUND('TE BE'!$AB$9+'TE BF'!$AB$9+'TE CVA'!$AB$9,2)</f>
        <v>259.04000000000002</v>
      </c>
      <c r="H19" s="96">
        <v>247.2</v>
      </c>
      <c r="I19" s="96">
        <f t="shared" si="0"/>
        <v>884213.09392000013</v>
      </c>
      <c r="J19" s="97">
        <f t="shared" si="1"/>
        <v>843798.16560000007</v>
      </c>
    </row>
    <row r="20" spans="2:12" x14ac:dyDescent="0.25">
      <c r="B20" s="85" t="s">
        <v>581</v>
      </c>
      <c r="C20" s="86" t="s">
        <v>33</v>
      </c>
      <c r="D20" s="86" t="s">
        <v>34</v>
      </c>
      <c r="E20" s="86" t="s">
        <v>9</v>
      </c>
      <c r="F20" s="90">
        <f>SUMIFS(Mercado_Receita!J:J,Mercado_Receita!B:B,"=A4",Mercado_Receita!C:C,"=VERDE",Mercado_Receita!H:H,"=Não se aplica")</f>
        <v>408542</v>
      </c>
      <c r="G20" s="90">
        <f ca="1">ROUND('TUSD BE'!$AM$20+'TUSD BF'!$AM$20+'TUSD CVA'!$AM$20,2)</f>
        <v>16.52</v>
      </c>
      <c r="H20" s="90">
        <v>17.579999999999998</v>
      </c>
      <c r="I20" s="90">
        <f t="shared" ca="1" si="0"/>
        <v>6749113.8399999999</v>
      </c>
      <c r="J20" s="91">
        <f t="shared" si="1"/>
        <v>7182168.3599999994</v>
      </c>
    </row>
    <row r="21" spans="2:12" x14ac:dyDescent="0.25">
      <c r="B21" s="83" t="s">
        <v>581</v>
      </c>
      <c r="C21" s="33" t="s">
        <v>33</v>
      </c>
      <c r="D21" s="33" t="s">
        <v>34</v>
      </c>
      <c r="E21" s="33" t="s">
        <v>1276</v>
      </c>
      <c r="F21" s="92">
        <f>SUMIFS(Mercado_Receita!L:L,Mercado_Receita!B:B,"=A4",Mercado_Receita!C:C,"=VERDE",Mercado_Receita!H:H,"=Ponta")</f>
        <v>7358.4650000000011</v>
      </c>
      <c r="G21" s="92">
        <f ca="1">ROUND('TUSD BE'!$AM$21+'TUSD BF'!$AM$21+'TUSD CVA'!$AM$21,2)</f>
        <v>1146.3800000000001</v>
      </c>
      <c r="H21" s="92">
        <v>1027.46</v>
      </c>
      <c r="I21" s="92">
        <f t="shared" ca="1" si="0"/>
        <v>8435597.1067000013</v>
      </c>
      <c r="J21" s="93">
        <f t="shared" si="1"/>
        <v>7560528.4489000011</v>
      </c>
    </row>
    <row r="22" spans="2:12" x14ac:dyDescent="0.25">
      <c r="B22" s="83" t="s">
        <v>581</v>
      </c>
      <c r="C22" s="33" t="s">
        <v>33</v>
      </c>
      <c r="D22" s="33" t="s">
        <v>34</v>
      </c>
      <c r="E22" s="33" t="s">
        <v>1277</v>
      </c>
      <c r="F22" s="92">
        <f>SUMIFS(Mercado_Receita!L:L,Mercado_Receita!B:B,"=A4",Mercado_Receita!C:C,"=VERDE",Mercado_Receita!H:H,"=Fora Ponta")</f>
        <v>90681.956999999951</v>
      </c>
      <c r="G22" s="92">
        <f ca="1">ROUND('TUSD BE'!$AM$22+'TUSD BF'!$AM$22+'TUSD CVA'!$AM$22,2)</f>
        <v>111.24</v>
      </c>
      <c r="H22" s="92">
        <v>110.85</v>
      </c>
      <c r="I22" s="92">
        <f t="shared" ca="1" si="0"/>
        <v>10087460.896679994</v>
      </c>
      <c r="J22" s="93">
        <f t="shared" si="1"/>
        <v>10052094.933449995</v>
      </c>
    </row>
    <row r="23" spans="2:12" x14ac:dyDescent="0.25">
      <c r="B23" s="83" t="s">
        <v>609</v>
      </c>
      <c r="C23" s="33" t="s">
        <v>33</v>
      </c>
      <c r="D23" s="33" t="s">
        <v>34</v>
      </c>
      <c r="E23" s="33" t="s">
        <v>1274</v>
      </c>
      <c r="F23" s="92">
        <f>SUMIFS(Mercado_Receita!N:N,Mercado_Receita!B:B,"=A4",Mercado_Receita!C:C,"=VERDE",Mercado_Receita!H:H,"=Ponta",Mercado_Receita!Q:Q,"=Cativo")</f>
        <v>3240.8869999999997</v>
      </c>
      <c r="G23" s="92">
        <f>ROUND('TE BE'!$AB$8+'TE BF'!$AB$8+'TE CVA'!$AB$8,2)</f>
        <v>415.05</v>
      </c>
      <c r="H23" s="92">
        <v>388.08</v>
      </c>
      <c r="I23" s="92">
        <f t="shared" si="0"/>
        <v>1345130.1493499998</v>
      </c>
      <c r="J23" s="93">
        <f t="shared" si="1"/>
        <v>1257723.4269599998</v>
      </c>
    </row>
    <row r="24" spans="2:12" ht="15.75" thickBot="1" x14ac:dyDescent="0.3">
      <c r="B24" s="87" t="s">
        <v>609</v>
      </c>
      <c r="C24" s="88" t="s">
        <v>33</v>
      </c>
      <c r="D24" s="88" t="s">
        <v>34</v>
      </c>
      <c r="E24" s="88" t="s">
        <v>1275</v>
      </c>
      <c r="F24" s="94">
        <f>SUMIFS(Mercado_Receita!N:N,Mercado_Receita!B:B,"=A4",Mercado_Receita!C:C,"=VERDE",Mercado_Receita!H:H,"=Fora Ponta",Mercado_Receita!Q:Q,"=Cativo")</f>
        <v>47623.004000000001</v>
      </c>
      <c r="G24" s="94">
        <f>ROUND('TE BE'!$AB$9+'TE BF'!$AB$9+'TE CVA'!$AB$9,2)</f>
        <v>259.04000000000002</v>
      </c>
      <c r="H24" s="94">
        <v>247.2</v>
      </c>
      <c r="I24" s="94">
        <f t="shared" si="0"/>
        <v>12336262.956160001</v>
      </c>
      <c r="J24" s="95">
        <f t="shared" si="1"/>
        <v>11772406.5888</v>
      </c>
    </row>
    <row r="26" spans="2:12" ht="15.75" thickBot="1" x14ac:dyDescent="0.3">
      <c r="D26" t="s">
        <v>1278</v>
      </c>
      <c r="E26" t="s">
        <v>1279</v>
      </c>
      <c r="F26" t="s">
        <v>1280</v>
      </c>
      <c r="G26" t="s">
        <v>1287</v>
      </c>
    </row>
    <row r="27" spans="2:12" x14ac:dyDescent="0.25">
      <c r="B27" t="s">
        <v>1281</v>
      </c>
      <c r="C27" s="85" t="s">
        <v>42</v>
      </c>
      <c r="D27" s="90">
        <f ca="1">SUMIFS($I$5:$I$24,$C$5:$C$24,C27,$B$5:$B$24,"TUSD")/(SUMIFS($F$5:$F$24,$C$5:$C$24,C27,$B$5:$B$24,"TUSD",$E$5:$E$24,"TUSD_E")+SUMIFS($F$5:$F$24,$C$5:$C$24,C27,$B$5:$B$24,"TUSD",$E$5:$E$24,"TUSD_E P")+SUMIFS($F$5:$F$24,$C$5:$C$24,C27,$B$5:$B$24,"TUSD",$E$5:$E$24,"TUSD_E FP"))</f>
        <v>278.75943630913173</v>
      </c>
      <c r="E27" s="90">
        <f>SUMIFS($J$5:$J$24,$C$5:$C$24,C27,$B$5:$B$24,"TUSD")/(SUMIFS($F$5:$F$24,$C$5:$C$24,C27,$B$5:$B$24,"TUSD",$E$5:$E$24,"TUSD_E")+SUMIFS($F$5:$F$24,$C$5:$C$24,C27,$B$5:$B$24,"TUSD",$E$5:$E$24,"TUSD_E P")+SUMIFS($F$5:$F$24,$C$5:$C$24,C27,$B$5:$B$24,"TUSD",$E$5:$E$24,"TUSD_E FP"))</f>
        <v>275.47881166754706</v>
      </c>
      <c r="F27" s="89" t="str">
        <f ca="1">IF(D27&lt;=E27,"NÃO ALTERAR","AVALIAR TUSD")</f>
        <v>AVALIAR TUSD</v>
      </c>
      <c r="G27" s="105">
        <f ca="1">IF($G$31=1,IF(D27&gt;E27,1,0),0)</f>
        <v>1</v>
      </c>
      <c r="H27" s="103">
        <f ca="1">I10+I11+I12</f>
        <v>2564648.1411199998</v>
      </c>
      <c r="I27" s="103">
        <f>F11+F12</f>
        <v>9200.2199999999993</v>
      </c>
      <c r="J27" s="104">
        <f ca="1">H27/I27</f>
        <v>278.75943630913173</v>
      </c>
      <c r="K27" s="103">
        <f>J10+J11+J12</f>
        <v>2534465.6726799998</v>
      </c>
      <c r="L27">
        <f>K27/I27</f>
        <v>275.47881166754706</v>
      </c>
    </row>
    <row r="28" spans="2:12" ht="15.75" thickBot="1" x14ac:dyDescent="0.3">
      <c r="C28" s="84" t="s">
        <v>33</v>
      </c>
      <c r="D28" s="96">
        <f ca="1">SUMIFS($I$5:$I$24,$C$5:$C$24,C28,$B$5:$B$24,"TUSD")/(SUMIFS($F$5:$F$24,$C$5:$C$24,C28,$B$5:$B$24,"TUSD",$E$5:$E$24,"TUSD_E")+SUMIFS($F$5:$F$24,$C$5:$C$24,C28,$B$5:$B$24,"TUSD",$E$5:$E$24,"TUSD_E P")+SUMIFS($F$5:$F$24,$C$5:$C$24,C28,$B$5:$B$24,"TUSD",$E$5:$E$24,"TUSD_E FP"))</f>
        <v>235.55643159345627</v>
      </c>
      <c r="E28" s="96">
        <f>SUMIFS($J$5:$J$24,$C$5:$C$24,C28,$B$5:$B$24,"TUSD")/(SUMIFS($F$5:$F$24,$C$5:$C$24,C28,$B$5:$B$24,"TUSD",$E$5:$E$24,"TUSD_E")+SUMIFS($F$5:$F$24,$C$5:$C$24,C28,$B$5:$B$24,"TUSD",$E$5:$E$24,"TUSD_E P")+SUMIFS($F$5:$F$24,$C$5:$C$24,C28,$B$5:$B$24,"TUSD",$E$5:$E$24,"TUSD_E FP"))</f>
        <v>229.88069765335678</v>
      </c>
      <c r="F28" s="98" t="str">
        <f ca="1">IF(D28&lt;=E28,"NÃO ALTERAR","AVALIAR TUSD")</f>
        <v>AVALIAR TUSD</v>
      </c>
      <c r="G28" s="105">
        <f ca="1">IF($G$31=1,IF(D28&gt;E28,1,0),0)</f>
        <v>1</v>
      </c>
      <c r="H28" s="103">
        <f ca="1">I15+I16+I17+I20+I21+I22</f>
        <v>47297927.101699993</v>
      </c>
      <c r="I28" s="103">
        <f>F17+F21+F22</f>
        <v>200792.33999999991</v>
      </c>
      <c r="J28" s="104">
        <f ca="1">H28/I28</f>
        <v>235.55643159345627</v>
      </c>
      <c r="K28" s="103">
        <f>J15+J16+J17+J20+J21+J22</f>
        <v>46158283.202649996</v>
      </c>
      <c r="L28">
        <f>K28/I28</f>
        <v>229.88069765335678</v>
      </c>
    </row>
    <row r="29" spans="2:12" x14ac:dyDescent="0.25">
      <c r="B29" t="s">
        <v>1282</v>
      </c>
      <c r="C29" s="85" t="s">
        <v>42</v>
      </c>
      <c r="D29" s="90">
        <f>IF((SUMIFS($F$5:$F$24,$C$5:$C$24,C29,$B$5:$B$24,"TE",$E$5:$E$24,"TE P")+SUMIFS($F$5:$F$24,$C$5:$C$24,C29,$B$5:$B$24,"TE",$E$5:$E$24,"TE FP") = 0),0,SUMIFS($I$5:$I$24,$C$5:$C$24,C29,$B$5:$B$24,"TE")/(SUMIFS($F$5:$F$24,$C$5:$C$24,C29,$B$5:$B$24,"TUSD",$E$5:$E$24,"TUSD_E")+SUMIFS($F$5:$F$24,$C$5:$C$24,C29,$B$5:$B$24,"TUSD",$E$5:$E$24,"TUSD_E P")+SUMIFS($F$5:$F$24,$C$5:$C$24,C29,$B$5:$B$24,"TUSD",$E$5:$E$24,"TUSD_E FP")))</f>
        <v>119.96168599337841</v>
      </c>
      <c r="E29" s="90">
        <f>IF((SUMIFS($F$5:$F$24,$C$5:$C$24,C29,$B$5:$B$24,"TE",$E$5:$E$24,"TE P")+SUMIFS($F$5:$F$24,$C$5:$C$24,C29,$B$5:$B$24,"TE",$E$5:$E$24,"TE FP") = 0),0,SUMIFS($J$5:$J$24,$C$5:$C$24,C29,$B$5:$B$24,"TE")/(SUMIFS($F$5:$F$24,$C$5:$C$24,C29,$B$5:$B$24,"TUSD",$E$5:$E$24,"TUSD_E")+SUMIFS($F$5:$F$24,$C$5:$C$24,C29,$B$5:$B$24,"TUSD",$E$5:$E$24,"TUSD_E P")+SUMIFS($F$5:$F$24,$C$5:$C$24,C29,$B$5:$B$24,"TUSD",$E$5:$E$24,"TUSD_E FP")))</f>
        <v>114.27348981654785</v>
      </c>
      <c r="F29" s="89" t="str">
        <f>IF(D29&lt;=E29,"NÃO ALTERAR","AVALIAR TE")</f>
        <v>AVALIAR TE</v>
      </c>
      <c r="G29" s="105">
        <f ca="1">IF($G$31=1,IF(D29&gt;E29,1,0),0)</f>
        <v>1</v>
      </c>
      <c r="H29" s="103">
        <f>I13+I14</f>
        <v>1103673.9027099998</v>
      </c>
      <c r="I29">
        <f>H29/I27</f>
        <v>119.96168599337841</v>
      </c>
      <c r="J29" s="103">
        <f>J13+J14</f>
        <v>1051341.2464799997</v>
      </c>
      <c r="K29">
        <f>J29/I27</f>
        <v>114.27348981654785</v>
      </c>
    </row>
    <row r="30" spans="2:12" ht="15.75" thickBot="1" x14ac:dyDescent="0.3">
      <c r="C30" s="84" t="s">
        <v>33</v>
      </c>
      <c r="D30" s="96">
        <f>IF((SUMIFS($F$5:$F$24,$C$5:$C$24,C30,$B$5:$B$24,"TE",$E$5:$E$24,"TE P")+SUMIFS($F$5:$F$24,$C$5:$C$24,C30,$B$5:$B$24,"TE",$E$5:$E$24,"TE FP") = 0),0,SUMIFS($I$5:$I$24,$C$5:$C$24,C30,$B$5:$B$24,"TE")/(SUMIFS($F$5:$F$24,$C$5:$C$24,C30,$B$5:$B$24,"TUSD",$E$5:$E$24,"TUSD_E")+SUMIFS($F$5:$F$24,$C$5:$C$24,C30,$B$5:$B$24,"TUSD",$E$5:$E$24,"TUSD_E P")+SUMIFS($F$5:$F$24,$C$5:$C$24,C30,$B$5:$B$24,"TUSD",$E$5:$E$24,"TUSD_E FP")))</f>
        <v>73.32614433787667</v>
      </c>
      <c r="E30" s="96">
        <f>IF((SUMIFS($F$5:$F$24,$C$5:$C$24,C30,$B$5:$B$24,"TE",$E$5:$E$24,"TE P")+SUMIFS($F$5:$F$24,$C$5:$C$24,C30,$B$5:$B$24,"TE",$E$5:$E$24,"TE FP") = 0),0,SUMIFS($J$5:$J$24,$C$5:$C$24,C30,$B$5:$B$24,"TE")/(SUMIFS($F$5:$F$24,$C$5:$C$24,C30,$B$5:$B$24,"TUSD",$E$5:$E$24,"TUSD_E")+SUMIFS($F$5:$F$24,$C$5:$C$24,C30,$B$5:$B$24,"TUSD",$E$5:$E$24,"TUSD_E P")+SUMIFS($F$5:$F$24,$C$5:$C$24,C30,$B$5:$B$24,"TUSD",$E$5:$E$24,"TUSD_E FP")))</f>
        <v>69.830359554154342</v>
      </c>
      <c r="F30" s="98" t="str">
        <f>IF(D30&lt;=E30,"NÃO ALTERAR","AVALIAR TE")</f>
        <v>AVALIAR TE</v>
      </c>
      <c r="G30" s="105">
        <f ca="1">IF($G$31=1,IF(D30&gt;E30,1,0),0)</f>
        <v>1</v>
      </c>
      <c r="H30" s="103">
        <f>I18+I19+I23+I24</f>
        <v>14723328.104780002</v>
      </c>
      <c r="I30">
        <f>H30/I28</f>
        <v>73.32614433787667</v>
      </c>
      <c r="J30" s="103">
        <f>J18+J19+J23+J24</f>
        <v>14021401.29792</v>
      </c>
      <c r="K30">
        <f>J30/I28</f>
        <v>69.830359554154342</v>
      </c>
    </row>
    <row r="31" spans="2:12" x14ac:dyDescent="0.25">
      <c r="B31" t="s">
        <v>1283</v>
      </c>
      <c r="C31" s="85" t="s">
        <v>42</v>
      </c>
      <c r="D31" s="90">
        <f ca="1">SUMIFS(D$27:D$30,C$27:C$30,C31)</f>
        <v>398.72112230251014</v>
      </c>
      <c r="E31" s="90">
        <f>SUMIFS(E$27:E$30,C$27:C$30,C31)</f>
        <v>389.75230148409491</v>
      </c>
      <c r="F31" s="89" t="str">
        <f ca="1">IF(D31&lt;=E31,"CHECK TARIFA SG - NÃO","CHECK TARIFA SG - SIM")</f>
        <v>CHECK TARIFA SG - SIM</v>
      </c>
      <c r="G31" s="105">
        <f ca="1">IF(D31&gt;E31,1,0)</f>
        <v>1</v>
      </c>
    </row>
    <row r="32" spans="2:12" ht="15.75" thickBot="1" x14ac:dyDescent="0.3">
      <c r="C32" s="84" t="s">
        <v>33</v>
      </c>
      <c r="D32" s="96">
        <f ca="1">SUMIFS(D$27:D$30,C$27:C$30,C32)</f>
        <v>308.88257593133295</v>
      </c>
      <c r="E32" s="96">
        <f>SUMIFS(E$27:E$30,C$27:C$30,C32)</f>
        <v>299.71105720751109</v>
      </c>
      <c r="F32" s="98" t="str">
        <f ca="1">IF(D32&lt;=E32,"CHECK TARIFA SG - NÃO","CHECK TARIFA SG - SIM")</f>
        <v>CHECK TARIFA SG - SIM</v>
      </c>
      <c r="G32" s="105">
        <f ca="1">IF(D32&gt;E32,1,0)</f>
        <v>1</v>
      </c>
    </row>
    <row r="33" spans="2:7" ht="15.75" thickBot="1" x14ac:dyDescent="0.3">
      <c r="B33" t="s">
        <v>1284</v>
      </c>
      <c r="C33" s="99" t="s">
        <v>1285</v>
      </c>
      <c r="D33" s="101">
        <f ca="1">ROUND('TE BE'!$AB$14+'TE BF'!$AB$14+'TE CVA'!$AB$14,2)+ROUND('TUSD BE'!$AM$30+'TUSD BF'!$AM$30+'TUSD CVA'!$AM$30,2)</f>
        <v>634.53</v>
      </c>
      <c r="E33" s="101">
        <v>569.74</v>
      </c>
      <c r="F33" s="100" t="str">
        <f ca="1">IF(D33&lt;=E33,"NÃO ALTERAR","AVALIAR TarB1")</f>
        <v>AVALIAR TarB1</v>
      </c>
      <c r="G33" s="105">
        <f ca="1">IF(D33&gt;E33,1,0)</f>
        <v>1</v>
      </c>
    </row>
    <row r="36" spans="2:7" x14ac:dyDescent="0.25">
      <c r="D36" t="s">
        <v>581</v>
      </c>
      <c r="E36" t="s">
        <v>609</v>
      </c>
    </row>
    <row r="37" spans="2:7" x14ac:dyDescent="0.25">
      <c r="C37" t="s">
        <v>42</v>
      </c>
      <c r="D37">
        <f ca="1">G27</f>
        <v>1</v>
      </c>
      <c r="E37">
        <f ca="1">G29</f>
        <v>1</v>
      </c>
    </row>
    <row r="38" spans="2:7" x14ac:dyDescent="0.25">
      <c r="C38" t="s">
        <v>33</v>
      </c>
      <c r="D38">
        <f ca="1">G28</f>
        <v>1</v>
      </c>
      <c r="E38">
        <f ca="1">G30</f>
        <v>1</v>
      </c>
    </row>
    <row r="39" spans="2:7" x14ac:dyDescent="0.25">
      <c r="C39" t="s">
        <v>22</v>
      </c>
      <c r="D39">
        <f ca="1">G33</f>
        <v>1</v>
      </c>
      <c r="E39">
        <f ca="1">G33</f>
        <v>1</v>
      </c>
    </row>
    <row r="40" spans="2:7" x14ac:dyDescent="0.25">
      <c r="C40" t="s">
        <v>44</v>
      </c>
      <c r="D40">
        <f ca="1">$D$39</f>
        <v>1</v>
      </c>
      <c r="E40">
        <f ca="1">$E$39</f>
        <v>1</v>
      </c>
    </row>
    <row r="41" spans="2:7" x14ac:dyDescent="0.25">
      <c r="C41" t="s">
        <v>39</v>
      </c>
      <c r="D41">
        <f t="shared" ref="D41:D42" ca="1" si="2">$D$39</f>
        <v>1</v>
      </c>
      <c r="E41">
        <f t="shared" ref="E41:E42" ca="1" si="3">$E$39</f>
        <v>1</v>
      </c>
    </row>
    <row r="42" spans="2:7" x14ac:dyDescent="0.25">
      <c r="C42" t="s">
        <v>47</v>
      </c>
      <c r="D42">
        <f t="shared" ca="1" si="2"/>
        <v>1</v>
      </c>
      <c r="E42">
        <f t="shared" ca="1" si="3"/>
        <v>1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DE72B-99DF-401B-A5E5-DAF7F824EE49}">
  <dimension ref="A1:AJ988"/>
  <sheetViews>
    <sheetView showGridLines="0" topLeftCell="T259" workbookViewId="0">
      <selection activeCell="AE269" sqref="AE26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5" width="10" style="4" bestFit="1" customWidth="1"/>
    <col min="36" max="36" width="15.2851562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729</v>
      </c>
      <c r="W1" s="1" t="s">
        <v>730</v>
      </c>
      <c r="X1" s="1" t="s">
        <v>731</v>
      </c>
      <c r="Y1" s="1" t="s">
        <v>732</v>
      </c>
      <c r="Z1" s="1" t="s">
        <v>733</v>
      </c>
      <c r="AA1" s="1" t="s">
        <v>734</v>
      </c>
      <c r="AB1" s="1" t="s">
        <v>772</v>
      </c>
      <c r="AC1" s="1" t="s">
        <v>773</v>
      </c>
      <c r="AD1" s="1" t="s">
        <v>774</v>
      </c>
      <c r="AE1" s="1" t="s">
        <v>775</v>
      </c>
      <c r="AF1" s="1" t="s">
        <v>776</v>
      </c>
      <c r="AH1" s="34" t="s">
        <v>776</v>
      </c>
      <c r="AI1" s="34" t="s">
        <v>781</v>
      </c>
      <c r="AJ1" s="34" t="s">
        <v>782</v>
      </c>
    </row>
    <row r="2" spans="1:36" ht="11.25" customHeight="1" x14ac:dyDescent="0.25">
      <c r="A2" s="4" t="s">
        <v>21</v>
      </c>
      <c r="B2" s="4" t="s">
        <v>42</v>
      </c>
      <c r="C2" s="4" t="s">
        <v>34</v>
      </c>
      <c r="D2" s="4" t="s">
        <v>40</v>
      </c>
      <c r="E2" s="4" t="s">
        <v>25</v>
      </c>
      <c r="F2" s="4" t="s">
        <v>54</v>
      </c>
      <c r="G2" s="4" t="s">
        <v>25</v>
      </c>
      <c r="H2" s="4" t="s">
        <v>35</v>
      </c>
      <c r="I2" s="5">
        <v>44348</v>
      </c>
      <c r="J2" s="6">
        <v>0</v>
      </c>
      <c r="K2" s="6">
        <v>0</v>
      </c>
      <c r="L2" s="6">
        <v>376.49400000000003</v>
      </c>
      <c r="M2" s="6">
        <v>376.49400000000003</v>
      </c>
      <c r="N2" s="6">
        <v>0</v>
      </c>
      <c r="O2" s="6">
        <v>0</v>
      </c>
      <c r="P2" s="6">
        <v>0</v>
      </c>
      <c r="Q2" s="4" t="s">
        <v>53</v>
      </c>
      <c r="R2" s="4">
        <v>0</v>
      </c>
      <c r="S2" s="4">
        <v>0</v>
      </c>
      <c r="T2" s="4">
        <v>8</v>
      </c>
      <c r="U2" s="4">
        <v>0</v>
      </c>
      <c r="V2" s="6">
        <f>IF(ISERROR(VLOOKUP($S$2,'TAR FIN'!$A$1:$O$103,15,0)),0,VLOOKUP($S$2,'TAR FIN'!$A$1:$O$103,15,0))</f>
        <v>0</v>
      </c>
      <c r="W2" s="6">
        <f>IF(ISERROR(VLOOKUP($T$2,'TAR FIN'!$A$1:$O$103,15,0)),0,VLOOKUP($T$2,'TAR FIN'!$A$1:$O$103,15,0))</f>
        <v>69.37</v>
      </c>
      <c r="X2" s="6">
        <f>IF(ISERROR(VLOOKUP($U$2,'TAR FIN'!$A$1:$O$103,15,0)),0,VLOOKUP($U$2,'TAR FIN'!$A$1:$O$103,15,0))</f>
        <v>0</v>
      </c>
      <c r="Y2" s="6"/>
      <c r="Z2" s="6">
        <f ca="1">('TUSD BE'!$AM$12+'TUSD BF'!$AM$12+'TUSD CVA'!$AM$12)*1</f>
        <v>111.236500713561</v>
      </c>
      <c r="AA2" s="6"/>
      <c r="AB2" s="6">
        <f t="shared" ref="AB2:AB46" si="0">(J2-K2)*V2</f>
        <v>0</v>
      </c>
      <c r="AC2" s="6">
        <f t="shared" ref="AC2:AC33" si="1">(L2-M2)*W2+(N2-O2)*X2</f>
        <v>0</v>
      </c>
      <c r="AD2" s="6">
        <f t="shared" ref="AD2:AD46" si="2">(J2-K2)*Y2</f>
        <v>0</v>
      </c>
      <c r="AE2" s="6">
        <f t="shared" ref="AE2:AE33" ca="1" si="3">(L2-M2)*Z2+(N2-O2)*AA2</f>
        <v>0</v>
      </c>
      <c r="AF2" s="4" t="s">
        <v>777</v>
      </c>
      <c r="AH2" s="35" t="s">
        <v>777</v>
      </c>
      <c r="AI2" s="36">
        <f t="shared" ref="AI2:AI9" si="4">SUMIF($AF$2:$AF$988,AH2,$AB$2:$AB$988)+SUMIF($AF$2:$AF$988,AH2,$AC$2:$AC$988)</f>
        <v>2164295.5417649997</v>
      </c>
      <c r="AJ2" s="36">
        <f t="shared" ref="AJ2:AJ9" ca="1" si="5">SUMIF($AF$2:$AF$988,AH2,$AD$2:$AD$988)+SUMIF($AF$2:$AF$988,AH2,$AE$2:$AE$988)</f>
        <v>2923695.2949436894</v>
      </c>
    </row>
    <row r="3" spans="1:36" ht="11.25" customHeight="1" x14ac:dyDescent="0.25">
      <c r="A3" s="4" t="s">
        <v>21</v>
      </c>
      <c r="B3" s="4" t="s">
        <v>42</v>
      </c>
      <c r="C3" s="4" t="s">
        <v>34</v>
      </c>
      <c r="D3" s="4" t="s">
        <v>40</v>
      </c>
      <c r="E3" s="4" t="s">
        <v>25</v>
      </c>
      <c r="F3" s="4" t="s">
        <v>54</v>
      </c>
      <c r="G3" s="4" t="s">
        <v>25</v>
      </c>
      <c r="H3" s="4" t="s">
        <v>35</v>
      </c>
      <c r="I3" s="5">
        <v>44378</v>
      </c>
      <c r="J3" s="6">
        <v>0</v>
      </c>
      <c r="K3" s="6">
        <v>0</v>
      </c>
      <c r="L3" s="6">
        <v>381.70499999999998</v>
      </c>
      <c r="M3" s="6">
        <v>381.70499999999998</v>
      </c>
      <c r="N3" s="6">
        <v>0</v>
      </c>
      <c r="O3" s="6">
        <v>0</v>
      </c>
      <c r="P3" s="6">
        <v>0</v>
      </c>
      <c r="Q3" s="4" t="s">
        <v>53</v>
      </c>
      <c r="R3" s="4">
        <v>0</v>
      </c>
      <c r="S3" s="4">
        <v>0</v>
      </c>
      <c r="T3" s="4">
        <v>8</v>
      </c>
      <c r="U3" s="4">
        <v>0</v>
      </c>
      <c r="V3" s="6">
        <f>IF(ISERROR(VLOOKUP($S$3,'TAR FIN'!$A$1:$O$103,15,0)),0,VLOOKUP($S$3,'TAR FIN'!$A$1:$O$103,15,0))</f>
        <v>0</v>
      </c>
      <c r="W3" s="6">
        <f>IF(ISERROR(VLOOKUP($T$3,'TAR FIN'!$A$1:$O$103,15,0)),0,VLOOKUP($T$3,'TAR FIN'!$A$1:$O$103,15,0))</f>
        <v>69.37</v>
      </c>
      <c r="X3" s="6">
        <f>IF(ISERROR(VLOOKUP($U$3,'TAR FIN'!$A$1:$O$103,15,0)),0,VLOOKUP($U$3,'TAR FIN'!$A$1:$O$103,15,0))</f>
        <v>0</v>
      </c>
      <c r="Y3" s="6"/>
      <c r="Z3" s="6">
        <f ca="1">('TUSD BE'!$AM$12+'TUSD BF'!$AM$12+'TUSD CVA'!$AM$12)*1</f>
        <v>111.236500713561</v>
      </c>
      <c r="AA3" s="6"/>
      <c r="AB3" s="6">
        <f t="shared" si="0"/>
        <v>0</v>
      </c>
      <c r="AC3" s="6">
        <f t="shared" si="1"/>
        <v>0</v>
      </c>
      <c r="AD3" s="6">
        <f t="shared" si="2"/>
        <v>0</v>
      </c>
      <c r="AE3" s="6">
        <f t="shared" ca="1" si="3"/>
        <v>0</v>
      </c>
      <c r="AF3" s="4" t="s">
        <v>777</v>
      </c>
      <c r="AH3" s="35" t="s">
        <v>783</v>
      </c>
      <c r="AI3" s="36">
        <f t="shared" si="4"/>
        <v>0</v>
      </c>
      <c r="AJ3" s="36">
        <f t="shared" si="5"/>
        <v>0</v>
      </c>
    </row>
    <row r="4" spans="1:36" ht="11.25" customHeight="1" x14ac:dyDescent="0.25">
      <c r="A4" s="4" t="s">
        <v>21</v>
      </c>
      <c r="B4" s="4" t="s">
        <v>42</v>
      </c>
      <c r="C4" s="4" t="s">
        <v>34</v>
      </c>
      <c r="D4" s="4" t="s">
        <v>40</v>
      </c>
      <c r="E4" s="4" t="s">
        <v>25</v>
      </c>
      <c r="F4" s="4" t="s">
        <v>54</v>
      </c>
      <c r="G4" s="4" t="s">
        <v>25</v>
      </c>
      <c r="H4" s="4" t="s">
        <v>35</v>
      </c>
      <c r="I4" s="5">
        <v>44409</v>
      </c>
      <c r="J4" s="6">
        <v>0</v>
      </c>
      <c r="K4" s="6">
        <v>0</v>
      </c>
      <c r="L4" s="6">
        <v>336.59899999999999</v>
      </c>
      <c r="M4" s="6">
        <v>336.59899999999999</v>
      </c>
      <c r="N4" s="6">
        <v>0</v>
      </c>
      <c r="O4" s="6">
        <v>0</v>
      </c>
      <c r="P4" s="6">
        <v>0</v>
      </c>
      <c r="Q4" s="4" t="s">
        <v>53</v>
      </c>
      <c r="R4" s="4">
        <v>0</v>
      </c>
      <c r="S4" s="4">
        <v>0</v>
      </c>
      <c r="T4" s="4">
        <v>8</v>
      </c>
      <c r="U4" s="4">
        <v>0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69.37</v>
      </c>
      <c r="X4" s="6">
        <f>IF(ISERROR(VLOOKUP($U$4,'TAR FIN'!$A$1:$O$103,15,0)),0,VLOOKUP($U$4,'TAR FIN'!$A$1:$O$103,15,0))</f>
        <v>0</v>
      </c>
      <c r="Y4" s="6"/>
      <c r="Z4" s="6">
        <f ca="1">('TUSD BE'!$AM$12+'TUSD BF'!$AM$12+'TUSD CVA'!$AM$12)*1</f>
        <v>111.236500713561</v>
      </c>
      <c r="AA4" s="6"/>
      <c r="AB4" s="6">
        <f t="shared" si="0"/>
        <v>0</v>
      </c>
      <c r="AC4" s="6">
        <f t="shared" si="1"/>
        <v>0</v>
      </c>
      <c r="AD4" s="6">
        <f t="shared" si="2"/>
        <v>0</v>
      </c>
      <c r="AE4" s="6">
        <f t="shared" ca="1" si="3"/>
        <v>0</v>
      </c>
      <c r="AF4" s="4" t="s">
        <v>777</v>
      </c>
      <c r="AH4" s="35" t="s">
        <v>784</v>
      </c>
      <c r="AI4" s="36">
        <f t="shared" si="4"/>
        <v>0</v>
      </c>
      <c r="AJ4" s="36">
        <f t="shared" si="5"/>
        <v>0</v>
      </c>
    </row>
    <row r="5" spans="1:36" ht="11.25" customHeight="1" x14ac:dyDescent="0.25">
      <c r="A5" s="4" t="s">
        <v>21</v>
      </c>
      <c r="B5" s="4" t="s">
        <v>42</v>
      </c>
      <c r="C5" s="4" t="s">
        <v>34</v>
      </c>
      <c r="D5" s="4" t="s">
        <v>40</v>
      </c>
      <c r="E5" s="4" t="s">
        <v>25</v>
      </c>
      <c r="F5" s="4" t="s">
        <v>54</v>
      </c>
      <c r="G5" s="4" t="s">
        <v>25</v>
      </c>
      <c r="H5" s="4" t="s">
        <v>35</v>
      </c>
      <c r="I5" s="5">
        <v>44440</v>
      </c>
      <c r="J5" s="6">
        <v>0</v>
      </c>
      <c r="K5" s="6">
        <v>0</v>
      </c>
      <c r="L5" s="6">
        <v>346.28800000000001</v>
      </c>
      <c r="M5" s="6">
        <v>346.28800000000001</v>
      </c>
      <c r="N5" s="6">
        <v>0</v>
      </c>
      <c r="O5" s="6">
        <v>0</v>
      </c>
      <c r="P5" s="6">
        <v>0</v>
      </c>
      <c r="Q5" s="4" t="s">
        <v>53</v>
      </c>
      <c r="R5" s="4">
        <v>0</v>
      </c>
      <c r="S5" s="4">
        <v>0</v>
      </c>
      <c r="T5" s="4">
        <v>8</v>
      </c>
      <c r="U5" s="4">
        <v>0</v>
      </c>
      <c r="V5" s="6">
        <f>IF(ISERROR(VLOOKUP($S$5,'TAR FIN'!$A$1:$O$103,15,0)),0,VLOOKUP($S$5,'TAR FIN'!$A$1:$O$103,15,0))</f>
        <v>0</v>
      </c>
      <c r="W5" s="6">
        <f>IF(ISERROR(VLOOKUP($T$5,'TAR FIN'!$A$1:$O$103,15,0)),0,VLOOKUP($T$5,'TAR FIN'!$A$1:$O$103,15,0))</f>
        <v>69.37</v>
      </c>
      <c r="X5" s="6">
        <f>IF(ISERROR(VLOOKUP($U$5,'TAR FIN'!$A$1:$O$103,15,0)),0,VLOOKUP($U$5,'TAR FIN'!$A$1:$O$103,15,0))</f>
        <v>0</v>
      </c>
      <c r="Y5" s="6"/>
      <c r="Z5" s="6">
        <f ca="1">('TUSD BE'!$AM$12+'TUSD BF'!$AM$12+'TUSD CVA'!$AM$12)*1</f>
        <v>111.236500713561</v>
      </c>
      <c r="AA5" s="6"/>
      <c r="AB5" s="6">
        <f t="shared" si="0"/>
        <v>0</v>
      </c>
      <c r="AC5" s="6">
        <f t="shared" si="1"/>
        <v>0</v>
      </c>
      <c r="AD5" s="6">
        <f t="shared" si="2"/>
        <v>0</v>
      </c>
      <c r="AE5" s="6">
        <f t="shared" ca="1" si="3"/>
        <v>0</v>
      </c>
      <c r="AF5" s="4" t="s">
        <v>777</v>
      </c>
      <c r="AH5" s="35" t="s">
        <v>778</v>
      </c>
      <c r="AI5" s="36">
        <f t="shared" si="4"/>
        <v>200721.47332320001</v>
      </c>
      <c r="AJ5" s="36">
        <f t="shared" ca="1" si="5"/>
        <v>112221.79526331491</v>
      </c>
    </row>
    <row r="6" spans="1:36" ht="11.25" customHeight="1" x14ac:dyDescent="0.25">
      <c r="A6" s="4" t="s">
        <v>21</v>
      </c>
      <c r="B6" s="4" t="s">
        <v>42</v>
      </c>
      <c r="C6" s="4" t="s">
        <v>34</v>
      </c>
      <c r="D6" s="4" t="s">
        <v>40</v>
      </c>
      <c r="E6" s="4" t="s">
        <v>25</v>
      </c>
      <c r="F6" s="4" t="s">
        <v>54</v>
      </c>
      <c r="G6" s="4" t="s">
        <v>25</v>
      </c>
      <c r="H6" s="4" t="s">
        <v>35</v>
      </c>
      <c r="I6" s="5">
        <v>44470</v>
      </c>
      <c r="J6" s="6">
        <v>0</v>
      </c>
      <c r="K6" s="6">
        <v>0</v>
      </c>
      <c r="L6" s="6">
        <v>373.08699999999999</v>
      </c>
      <c r="M6" s="6">
        <v>373.08699999999999</v>
      </c>
      <c r="N6" s="6">
        <v>0</v>
      </c>
      <c r="O6" s="6">
        <v>0</v>
      </c>
      <c r="P6" s="6">
        <v>0</v>
      </c>
      <c r="Q6" s="4" t="s">
        <v>53</v>
      </c>
      <c r="R6" s="4">
        <v>0</v>
      </c>
      <c r="S6" s="4">
        <v>0</v>
      </c>
      <c r="T6" s="4">
        <v>8</v>
      </c>
      <c r="U6" s="4">
        <v>0</v>
      </c>
      <c r="V6" s="6">
        <f>IF(ISERROR(VLOOKUP($S$6,'TAR FIN'!$A$1:$O$103,15,0)),0,VLOOKUP($S$6,'TAR FIN'!$A$1:$O$103,15,0))</f>
        <v>0</v>
      </c>
      <c r="W6" s="6">
        <f>IF(ISERROR(VLOOKUP($T$6,'TAR FIN'!$A$1:$O$103,15,0)),0,VLOOKUP($T$6,'TAR FIN'!$A$1:$O$103,15,0))</f>
        <v>69.37</v>
      </c>
      <c r="X6" s="6">
        <f>IF(ISERROR(VLOOKUP($U$6,'TAR FIN'!$A$1:$O$103,15,0)),0,VLOOKUP($U$6,'TAR FIN'!$A$1:$O$103,15,0))</f>
        <v>0</v>
      </c>
      <c r="Y6" s="6"/>
      <c r="Z6" s="6">
        <f ca="1">('TUSD BE'!$AM$12+'TUSD BF'!$AM$12+'TUSD CVA'!$AM$12)*1</f>
        <v>111.236500713561</v>
      </c>
      <c r="AA6" s="6"/>
      <c r="AB6" s="6">
        <f t="shared" si="0"/>
        <v>0</v>
      </c>
      <c r="AC6" s="6">
        <f t="shared" si="1"/>
        <v>0</v>
      </c>
      <c r="AD6" s="6">
        <f t="shared" si="2"/>
        <v>0</v>
      </c>
      <c r="AE6" s="6">
        <f t="shared" ca="1" si="3"/>
        <v>0</v>
      </c>
      <c r="AF6" s="4" t="s">
        <v>777</v>
      </c>
      <c r="AH6" s="35" t="s">
        <v>779</v>
      </c>
      <c r="AI6" s="36">
        <f t="shared" si="4"/>
        <v>426337.84284359985</v>
      </c>
      <c r="AJ6" s="36">
        <f t="shared" ca="1" si="5"/>
        <v>242049.78152606657</v>
      </c>
    </row>
    <row r="7" spans="1:36" ht="11.25" customHeight="1" x14ac:dyDescent="0.25">
      <c r="A7" s="4" t="s">
        <v>21</v>
      </c>
      <c r="B7" s="4" t="s">
        <v>42</v>
      </c>
      <c r="C7" s="4" t="s">
        <v>34</v>
      </c>
      <c r="D7" s="4" t="s">
        <v>40</v>
      </c>
      <c r="E7" s="4" t="s">
        <v>25</v>
      </c>
      <c r="F7" s="4" t="s">
        <v>54</v>
      </c>
      <c r="G7" s="4" t="s">
        <v>25</v>
      </c>
      <c r="H7" s="4" t="s">
        <v>35</v>
      </c>
      <c r="I7" s="5">
        <v>44501</v>
      </c>
      <c r="J7" s="6">
        <v>0</v>
      </c>
      <c r="K7" s="6">
        <v>0</v>
      </c>
      <c r="L7" s="6">
        <v>314.17099999999999</v>
      </c>
      <c r="M7" s="6">
        <v>314.17099999999999</v>
      </c>
      <c r="N7" s="6">
        <v>0</v>
      </c>
      <c r="O7" s="6">
        <v>0</v>
      </c>
      <c r="P7" s="6">
        <v>0</v>
      </c>
      <c r="Q7" s="4" t="s">
        <v>53</v>
      </c>
      <c r="R7" s="4">
        <v>0</v>
      </c>
      <c r="S7" s="4">
        <v>0</v>
      </c>
      <c r="T7" s="4">
        <v>8</v>
      </c>
      <c r="U7" s="4">
        <v>0</v>
      </c>
      <c r="V7" s="6">
        <f>IF(ISERROR(VLOOKUP($S$7,'TAR FIN'!$A$1:$O$103,15,0)),0,VLOOKUP($S$7,'TAR FIN'!$A$1:$O$103,15,0))</f>
        <v>0</v>
      </c>
      <c r="W7" s="6">
        <f>IF(ISERROR(VLOOKUP($T$7,'TAR FIN'!$A$1:$O$103,15,0)),0,VLOOKUP($T$7,'TAR FIN'!$A$1:$O$103,15,0))</f>
        <v>69.37</v>
      </c>
      <c r="X7" s="6">
        <f>IF(ISERROR(VLOOKUP($U$7,'TAR FIN'!$A$1:$O$103,15,0)),0,VLOOKUP($U$7,'TAR FIN'!$A$1:$O$103,15,0))</f>
        <v>0</v>
      </c>
      <c r="Y7" s="6"/>
      <c r="Z7" s="6">
        <f ca="1">('TUSD BE'!$AM$12+'TUSD BF'!$AM$12+'TUSD CVA'!$AM$12)*1</f>
        <v>111.236500713561</v>
      </c>
      <c r="AA7" s="6"/>
      <c r="AB7" s="6">
        <f t="shared" si="0"/>
        <v>0</v>
      </c>
      <c r="AC7" s="6">
        <f t="shared" si="1"/>
        <v>0</v>
      </c>
      <c r="AD7" s="6">
        <f t="shared" si="2"/>
        <v>0</v>
      </c>
      <c r="AE7" s="6">
        <f t="shared" ca="1" si="3"/>
        <v>0</v>
      </c>
      <c r="AF7" s="4" t="s">
        <v>777</v>
      </c>
      <c r="AH7" s="35" t="s">
        <v>785</v>
      </c>
      <c r="AI7" s="36">
        <f t="shared" si="4"/>
        <v>0</v>
      </c>
      <c r="AJ7" s="36">
        <f t="shared" si="5"/>
        <v>0</v>
      </c>
    </row>
    <row r="8" spans="1:36" ht="11.25" customHeight="1" x14ac:dyDescent="0.25">
      <c r="A8" s="4" t="s">
        <v>21</v>
      </c>
      <c r="B8" s="4" t="s">
        <v>42</v>
      </c>
      <c r="C8" s="4" t="s">
        <v>34</v>
      </c>
      <c r="D8" s="4" t="s">
        <v>40</v>
      </c>
      <c r="E8" s="4" t="s">
        <v>25</v>
      </c>
      <c r="F8" s="4" t="s">
        <v>54</v>
      </c>
      <c r="G8" s="4" t="s">
        <v>25</v>
      </c>
      <c r="H8" s="4" t="s">
        <v>35</v>
      </c>
      <c r="I8" s="5">
        <v>44531</v>
      </c>
      <c r="J8" s="6">
        <v>0</v>
      </c>
      <c r="K8" s="6">
        <v>0</v>
      </c>
      <c r="L8" s="6">
        <v>296.71800000000002</v>
      </c>
      <c r="M8" s="6">
        <v>296.71800000000002</v>
      </c>
      <c r="N8" s="6">
        <v>0</v>
      </c>
      <c r="O8" s="6">
        <v>0</v>
      </c>
      <c r="P8" s="6">
        <v>0</v>
      </c>
      <c r="Q8" s="4" t="s">
        <v>53</v>
      </c>
      <c r="R8" s="4">
        <v>0</v>
      </c>
      <c r="S8" s="4">
        <v>0</v>
      </c>
      <c r="T8" s="4">
        <v>8</v>
      </c>
      <c r="U8" s="4">
        <v>0</v>
      </c>
      <c r="V8" s="6">
        <f>IF(ISERROR(VLOOKUP($S$8,'TAR FIN'!$A$1:$O$103,15,0)),0,VLOOKUP($S$8,'TAR FIN'!$A$1:$O$103,15,0))</f>
        <v>0</v>
      </c>
      <c r="W8" s="6">
        <f>IF(ISERROR(VLOOKUP($T$8,'TAR FIN'!$A$1:$O$103,15,0)),0,VLOOKUP($T$8,'TAR FIN'!$A$1:$O$103,15,0))</f>
        <v>69.37</v>
      </c>
      <c r="X8" s="6">
        <f>IF(ISERROR(VLOOKUP($U$8,'TAR FIN'!$A$1:$O$103,15,0)),0,VLOOKUP($U$8,'TAR FIN'!$A$1:$O$103,15,0))</f>
        <v>0</v>
      </c>
      <c r="Y8" s="6"/>
      <c r="Z8" s="6">
        <f ca="1">('TUSD BE'!$AM$12+'TUSD BF'!$AM$12+'TUSD CVA'!$AM$12)*1</f>
        <v>111.236500713561</v>
      </c>
      <c r="AA8" s="6"/>
      <c r="AB8" s="6">
        <f t="shared" si="0"/>
        <v>0</v>
      </c>
      <c r="AC8" s="6">
        <f t="shared" si="1"/>
        <v>0</v>
      </c>
      <c r="AD8" s="6">
        <f t="shared" si="2"/>
        <v>0</v>
      </c>
      <c r="AE8" s="6">
        <f t="shared" ca="1" si="3"/>
        <v>0</v>
      </c>
      <c r="AF8" s="4" t="s">
        <v>777</v>
      </c>
      <c r="AH8" s="35" t="s">
        <v>780</v>
      </c>
      <c r="AI8" s="36">
        <f t="shared" si="4"/>
        <v>1288879.3894500001</v>
      </c>
      <c r="AJ8" s="36">
        <f t="shared" ca="1" si="5"/>
        <v>1366956.7503468485</v>
      </c>
    </row>
    <row r="9" spans="1:36" ht="11.25" customHeight="1" x14ac:dyDescent="0.25">
      <c r="A9" s="4" t="s">
        <v>21</v>
      </c>
      <c r="B9" s="4" t="s">
        <v>42</v>
      </c>
      <c r="C9" s="4" t="s">
        <v>34</v>
      </c>
      <c r="D9" s="4" t="s">
        <v>40</v>
      </c>
      <c r="E9" s="4" t="s">
        <v>25</v>
      </c>
      <c r="F9" s="4" t="s">
        <v>54</v>
      </c>
      <c r="G9" s="4" t="s">
        <v>25</v>
      </c>
      <c r="H9" s="4" t="s">
        <v>35</v>
      </c>
      <c r="I9" s="5">
        <v>44562</v>
      </c>
      <c r="J9" s="6">
        <v>0</v>
      </c>
      <c r="K9" s="6">
        <v>0</v>
      </c>
      <c r="L9" s="6">
        <v>302.404</v>
      </c>
      <c r="M9" s="6">
        <v>302.404</v>
      </c>
      <c r="N9" s="6">
        <v>0</v>
      </c>
      <c r="O9" s="6">
        <v>0</v>
      </c>
      <c r="P9" s="6">
        <v>0</v>
      </c>
      <c r="Q9" s="4" t="s">
        <v>53</v>
      </c>
      <c r="R9" s="4">
        <v>0</v>
      </c>
      <c r="S9" s="4">
        <v>0</v>
      </c>
      <c r="T9" s="4">
        <v>8</v>
      </c>
      <c r="U9" s="4">
        <v>0</v>
      </c>
      <c r="V9" s="6">
        <f>IF(ISERROR(VLOOKUP($S$9,'TAR FIN'!$A$1:$O$103,15,0)),0,VLOOKUP($S$9,'TAR FIN'!$A$1:$O$103,15,0))</f>
        <v>0</v>
      </c>
      <c r="W9" s="6">
        <f>IF(ISERROR(VLOOKUP($T$9,'TAR FIN'!$A$1:$O$103,15,0)),0,VLOOKUP($T$9,'TAR FIN'!$A$1:$O$103,15,0))</f>
        <v>69.37</v>
      </c>
      <c r="X9" s="6">
        <f>IF(ISERROR(VLOOKUP($U$9,'TAR FIN'!$A$1:$O$103,15,0)),0,VLOOKUP($U$9,'TAR FIN'!$A$1:$O$103,15,0))</f>
        <v>0</v>
      </c>
      <c r="Y9" s="6"/>
      <c r="Z9" s="6">
        <f ca="1">('TUSD BE'!$AM$12+'TUSD BF'!$AM$12+'TUSD CVA'!$AM$12)*1</f>
        <v>111.236500713561</v>
      </c>
      <c r="AA9" s="6"/>
      <c r="AB9" s="6">
        <f t="shared" si="0"/>
        <v>0</v>
      </c>
      <c r="AC9" s="6">
        <f t="shared" si="1"/>
        <v>0</v>
      </c>
      <c r="AD9" s="6">
        <f t="shared" si="2"/>
        <v>0</v>
      </c>
      <c r="AE9" s="6">
        <f t="shared" ca="1" si="3"/>
        <v>0</v>
      </c>
      <c r="AF9" s="4" t="s">
        <v>777</v>
      </c>
      <c r="AH9" s="35" t="s">
        <v>786</v>
      </c>
      <c r="AI9" s="36">
        <f t="shared" si="4"/>
        <v>0</v>
      </c>
      <c r="AJ9" s="36">
        <f t="shared" si="5"/>
        <v>0</v>
      </c>
    </row>
    <row r="10" spans="1:36" ht="11.25" customHeight="1" x14ac:dyDescent="0.25">
      <c r="A10" s="4" t="s">
        <v>21</v>
      </c>
      <c r="B10" s="4" t="s">
        <v>42</v>
      </c>
      <c r="C10" s="4" t="s">
        <v>34</v>
      </c>
      <c r="D10" s="4" t="s">
        <v>40</v>
      </c>
      <c r="E10" s="4" t="s">
        <v>25</v>
      </c>
      <c r="F10" s="4" t="s">
        <v>54</v>
      </c>
      <c r="G10" s="4" t="s">
        <v>25</v>
      </c>
      <c r="H10" s="4" t="s">
        <v>35</v>
      </c>
      <c r="I10" s="5">
        <v>44593</v>
      </c>
      <c r="J10" s="6">
        <v>0</v>
      </c>
      <c r="K10" s="6">
        <v>0</v>
      </c>
      <c r="L10" s="6">
        <v>309.673</v>
      </c>
      <c r="M10" s="6">
        <v>309.673</v>
      </c>
      <c r="N10" s="6">
        <v>0</v>
      </c>
      <c r="O10" s="6">
        <v>0</v>
      </c>
      <c r="P10" s="6">
        <v>0</v>
      </c>
      <c r="Q10" s="4" t="s">
        <v>53</v>
      </c>
      <c r="R10" s="4">
        <v>0</v>
      </c>
      <c r="S10" s="4">
        <v>0</v>
      </c>
      <c r="T10" s="4">
        <v>8</v>
      </c>
      <c r="U10" s="4">
        <v>0</v>
      </c>
      <c r="V10" s="6">
        <f>IF(ISERROR(VLOOKUP($S$10,'TAR FIN'!$A$1:$O$103,15,0)),0,VLOOKUP($S$10,'TAR FIN'!$A$1:$O$103,15,0))</f>
        <v>0</v>
      </c>
      <c r="W10" s="6">
        <f>IF(ISERROR(VLOOKUP($T$10,'TAR FIN'!$A$1:$O$103,15,0)),0,VLOOKUP($T$10,'TAR FIN'!$A$1:$O$103,15,0))</f>
        <v>69.37</v>
      </c>
      <c r="X10" s="6">
        <f>IF(ISERROR(VLOOKUP($U$10,'TAR FIN'!$A$1:$O$103,15,0)),0,VLOOKUP($U$10,'TAR FIN'!$A$1:$O$103,15,0))</f>
        <v>0</v>
      </c>
      <c r="Y10" s="6"/>
      <c r="Z10" s="6">
        <f ca="1">('TUSD BE'!$AM$12+'TUSD BF'!$AM$12+'TUSD CVA'!$AM$12)*1</f>
        <v>111.236500713561</v>
      </c>
      <c r="AA10" s="6"/>
      <c r="AB10" s="6">
        <f t="shared" si="0"/>
        <v>0</v>
      </c>
      <c r="AC10" s="6">
        <f t="shared" si="1"/>
        <v>0</v>
      </c>
      <c r="AD10" s="6">
        <f t="shared" si="2"/>
        <v>0</v>
      </c>
      <c r="AE10" s="6">
        <f t="shared" ca="1" si="3"/>
        <v>0</v>
      </c>
      <c r="AF10" s="4" t="s">
        <v>777</v>
      </c>
      <c r="AI10" s="6">
        <f>SUM(AI2:AI9)</f>
        <v>4080234.2473817994</v>
      </c>
      <c r="AJ10" s="6">
        <f ca="1">SUM(AJ2:AJ9)</f>
        <v>4644923.6220799191</v>
      </c>
    </row>
    <row r="11" spans="1:36" ht="11.25" customHeight="1" x14ac:dyDescent="0.25">
      <c r="A11" s="4" t="s">
        <v>21</v>
      </c>
      <c r="B11" s="4" t="s">
        <v>42</v>
      </c>
      <c r="C11" s="4" t="s">
        <v>34</v>
      </c>
      <c r="D11" s="4" t="s">
        <v>40</v>
      </c>
      <c r="E11" s="4" t="s">
        <v>25</v>
      </c>
      <c r="F11" s="4" t="s">
        <v>54</v>
      </c>
      <c r="G11" s="4" t="s">
        <v>25</v>
      </c>
      <c r="H11" s="4" t="s">
        <v>35</v>
      </c>
      <c r="I11" s="5">
        <v>44621</v>
      </c>
      <c r="J11" s="6">
        <v>0</v>
      </c>
      <c r="K11" s="6">
        <v>0</v>
      </c>
      <c r="L11" s="6">
        <v>315.755</v>
      </c>
      <c r="M11" s="6">
        <v>315.755</v>
      </c>
      <c r="N11" s="6">
        <v>0</v>
      </c>
      <c r="O11" s="6">
        <v>0</v>
      </c>
      <c r="P11" s="6">
        <v>0</v>
      </c>
      <c r="Q11" s="4" t="s">
        <v>53</v>
      </c>
      <c r="R11" s="4">
        <v>0</v>
      </c>
      <c r="S11" s="4">
        <v>0</v>
      </c>
      <c r="T11" s="4">
        <v>8</v>
      </c>
      <c r="U11" s="4">
        <v>0</v>
      </c>
      <c r="V11" s="6">
        <f>IF(ISERROR(VLOOKUP($S$11,'TAR FIN'!$A$1:$O$103,15,0)),0,VLOOKUP($S$11,'TAR FIN'!$A$1:$O$103,15,0))</f>
        <v>0</v>
      </c>
      <c r="W11" s="6">
        <f>IF(ISERROR(VLOOKUP($T$11,'TAR FIN'!$A$1:$O$103,15,0)),0,VLOOKUP($T$11,'TAR FIN'!$A$1:$O$103,15,0))</f>
        <v>69.37</v>
      </c>
      <c r="X11" s="6">
        <f>IF(ISERROR(VLOOKUP($U$11,'TAR FIN'!$A$1:$O$103,15,0)),0,VLOOKUP($U$11,'TAR FIN'!$A$1:$O$103,15,0))</f>
        <v>0</v>
      </c>
      <c r="Y11" s="6"/>
      <c r="Z11" s="6">
        <f ca="1">('TUSD BE'!$AM$12+'TUSD BF'!$AM$12+'TUSD CVA'!$AM$12)*1</f>
        <v>111.236500713561</v>
      </c>
      <c r="AA11" s="6"/>
      <c r="AB11" s="6">
        <f t="shared" si="0"/>
        <v>0</v>
      </c>
      <c r="AC11" s="6">
        <f t="shared" si="1"/>
        <v>0</v>
      </c>
      <c r="AD11" s="6">
        <f t="shared" si="2"/>
        <v>0</v>
      </c>
      <c r="AE11" s="6">
        <f t="shared" ca="1" si="3"/>
        <v>0</v>
      </c>
      <c r="AF11" s="4" t="s">
        <v>777</v>
      </c>
      <c r="AJ11" s="6"/>
    </row>
    <row r="12" spans="1:36" ht="11.25" customHeight="1" x14ac:dyDescent="0.25">
      <c r="A12" s="4" t="s">
        <v>21</v>
      </c>
      <c r="B12" s="4" t="s">
        <v>42</v>
      </c>
      <c r="C12" s="4" t="s">
        <v>34</v>
      </c>
      <c r="D12" s="4" t="s">
        <v>40</v>
      </c>
      <c r="E12" s="4" t="s">
        <v>25</v>
      </c>
      <c r="F12" s="4" t="s">
        <v>54</v>
      </c>
      <c r="G12" s="4" t="s">
        <v>25</v>
      </c>
      <c r="H12" s="4" t="s">
        <v>35</v>
      </c>
      <c r="I12" s="5">
        <v>44652</v>
      </c>
      <c r="J12" s="6">
        <v>0</v>
      </c>
      <c r="K12" s="6">
        <v>0</v>
      </c>
      <c r="L12" s="6">
        <v>367.464</v>
      </c>
      <c r="M12" s="6">
        <v>367.464</v>
      </c>
      <c r="N12" s="6">
        <v>0</v>
      </c>
      <c r="O12" s="6">
        <v>0</v>
      </c>
      <c r="P12" s="6">
        <v>0</v>
      </c>
      <c r="Q12" s="4" t="s">
        <v>53</v>
      </c>
      <c r="R12" s="4">
        <v>0</v>
      </c>
      <c r="S12" s="4">
        <v>0</v>
      </c>
      <c r="T12" s="4">
        <v>8</v>
      </c>
      <c r="U12" s="4">
        <v>0</v>
      </c>
      <c r="V12" s="6">
        <f>IF(ISERROR(VLOOKUP($S$12,'TAR FIN'!$A$1:$O$103,15,0)),0,VLOOKUP($S$12,'TAR FIN'!$A$1:$O$103,15,0))</f>
        <v>0</v>
      </c>
      <c r="W12" s="6">
        <f>IF(ISERROR(VLOOKUP($T$12,'TAR FIN'!$A$1:$O$103,15,0)),0,VLOOKUP($T$12,'TAR FIN'!$A$1:$O$103,15,0))</f>
        <v>69.37</v>
      </c>
      <c r="X12" s="6">
        <f>IF(ISERROR(VLOOKUP($U$12,'TAR FIN'!$A$1:$O$103,15,0)),0,VLOOKUP($U$12,'TAR FIN'!$A$1:$O$103,15,0))</f>
        <v>0</v>
      </c>
      <c r="Y12" s="6"/>
      <c r="Z12" s="6">
        <f ca="1">('TUSD BE'!$AM$12+'TUSD BF'!$AM$12+'TUSD CVA'!$AM$12)*1</f>
        <v>111.236500713561</v>
      </c>
      <c r="AA12" s="6"/>
      <c r="AB12" s="6">
        <f t="shared" si="0"/>
        <v>0</v>
      </c>
      <c r="AC12" s="6">
        <f t="shared" si="1"/>
        <v>0</v>
      </c>
      <c r="AD12" s="6">
        <f t="shared" si="2"/>
        <v>0</v>
      </c>
      <c r="AE12" s="6">
        <f t="shared" ca="1" si="3"/>
        <v>0</v>
      </c>
      <c r="AF12" s="4" t="s">
        <v>777</v>
      </c>
    </row>
    <row r="13" spans="1:36" ht="11.25" customHeight="1" x14ac:dyDescent="0.25">
      <c r="A13" s="4" t="s">
        <v>21</v>
      </c>
      <c r="B13" s="4" t="s">
        <v>42</v>
      </c>
      <c r="C13" s="4" t="s">
        <v>34</v>
      </c>
      <c r="D13" s="4" t="s">
        <v>40</v>
      </c>
      <c r="E13" s="4" t="s">
        <v>25</v>
      </c>
      <c r="F13" s="4" t="s">
        <v>54</v>
      </c>
      <c r="G13" s="4" t="s">
        <v>25</v>
      </c>
      <c r="H13" s="4" t="s">
        <v>35</v>
      </c>
      <c r="I13" s="5">
        <v>44682</v>
      </c>
      <c r="J13" s="6">
        <v>0</v>
      </c>
      <c r="K13" s="6">
        <v>0</v>
      </c>
      <c r="L13" s="6">
        <v>918.67</v>
      </c>
      <c r="M13" s="6">
        <v>918.67</v>
      </c>
      <c r="N13" s="6">
        <v>0</v>
      </c>
      <c r="O13" s="6">
        <v>0</v>
      </c>
      <c r="P13" s="6">
        <v>0</v>
      </c>
      <c r="Q13" s="4" t="s">
        <v>53</v>
      </c>
      <c r="R13" s="4">
        <v>0</v>
      </c>
      <c r="S13" s="4">
        <v>0</v>
      </c>
      <c r="T13" s="4">
        <v>8</v>
      </c>
      <c r="U13" s="4">
        <v>0</v>
      </c>
      <c r="V13" s="6">
        <f>IF(ISERROR(VLOOKUP($S$13,'TAR FIN'!$A$1:$O$103,15,0)),0,VLOOKUP($S$13,'TAR FIN'!$A$1:$O$103,15,0))</f>
        <v>0</v>
      </c>
      <c r="W13" s="6">
        <f>IF(ISERROR(VLOOKUP($T$13,'TAR FIN'!$A$1:$O$103,15,0)),0,VLOOKUP($T$13,'TAR FIN'!$A$1:$O$103,15,0))</f>
        <v>69.37</v>
      </c>
      <c r="X13" s="6">
        <f>IF(ISERROR(VLOOKUP($U$13,'TAR FIN'!$A$1:$O$103,15,0)),0,VLOOKUP($U$13,'TAR FIN'!$A$1:$O$103,15,0))</f>
        <v>0</v>
      </c>
      <c r="Y13" s="6"/>
      <c r="Z13" s="6">
        <f ca="1">('TUSD BE'!$AM$12+'TUSD BF'!$AM$12+'TUSD CVA'!$AM$12)*1</f>
        <v>111.236500713561</v>
      </c>
      <c r="AA13" s="6"/>
      <c r="AB13" s="6">
        <f t="shared" si="0"/>
        <v>0</v>
      </c>
      <c r="AC13" s="6">
        <f t="shared" si="1"/>
        <v>0</v>
      </c>
      <c r="AD13" s="6">
        <f t="shared" si="2"/>
        <v>0</v>
      </c>
      <c r="AE13" s="6">
        <f t="shared" ca="1" si="3"/>
        <v>0</v>
      </c>
      <c r="AF13" s="4" t="s">
        <v>777</v>
      </c>
    </row>
    <row r="14" spans="1:36" ht="11.25" customHeight="1" x14ac:dyDescent="0.25">
      <c r="A14" s="4" t="s">
        <v>21</v>
      </c>
      <c r="B14" s="4" t="s">
        <v>42</v>
      </c>
      <c r="C14" s="4" t="s">
        <v>34</v>
      </c>
      <c r="D14" s="4" t="s">
        <v>40</v>
      </c>
      <c r="E14" s="4" t="s">
        <v>25</v>
      </c>
      <c r="F14" s="4" t="s">
        <v>54</v>
      </c>
      <c r="G14" s="4" t="s">
        <v>25</v>
      </c>
      <c r="H14" s="4" t="s">
        <v>25</v>
      </c>
      <c r="I14" s="5">
        <v>44348</v>
      </c>
      <c r="J14" s="6">
        <v>2450</v>
      </c>
      <c r="K14" s="6">
        <v>1225</v>
      </c>
      <c r="L14" s="6">
        <v>0</v>
      </c>
      <c r="M14" s="6">
        <v>0</v>
      </c>
      <c r="N14" s="6">
        <v>0</v>
      </c>
      <c r="O14" s="6">
        <v>0</v>
      </c>
      <c r="P14" s="6">
        <v>2</v>
      </c>
      <c r="Q14" s="4" t="s">
        <v>53</v>
      </c>
      <c r="R14" s="4">
        <v>0</v>
      </c>
      <c r="S14" s="4">
        <v>6</v>
      </c>
      <c r="T14" s="4">
        <v>0</v>
      </c>
      <c r="U14" s="4">
        <v>0</v>
      </c>
      <c r="V14" s="6">
        <f>IF(ISERROR(VLOOKUP($S$14,'TAR FIN'!$A$1:$O$103,15,0)),0,VLOOKUP($S$14,'TAR FIN'!$A$1:$O$103,15,0))</f>
        <v>12.42</v>
      </c>
      <c r="W14" s="6">
        <f>IF(ISERROR(VLOOKUP($T$14,'TAR FIN'!$A$1:$O$103,15,0)),0,VLOOKUP($T$14,'TAR FIN'!$A$1:$O$103,15,0))</f>
        <v>0</v>
      </c>
      <c r="X14" s="6">
        <f>IF(ISERROR(VLOOKUP($U$14,'TAR FIN'!$A$1:$O$103,15,0)),0,VLOOKUP($U$14,'TAR FIN'!$A$1:$O$103,15,0))</f>
        <v>0</v>
      </c>
      <c r="Y14" s="6">
        <f ca="1">('TUSD BE'!$AM$10+'TUSD BF'!$AM$10+'TUSD CVA'!$AM$10)*1</f>
        <v>16.518304697547443</v>
      </c>
      <c r="Z14" s="6"/>
      <c r="AA14" s="6"/>
      <c r="AB14" s="6">
        <f t="shared" si="0"/>
        <v>15214.5</v>
      </c>
      <c r="AC14" s="6">
        <f t="shared" si="1"/>
        <v>0</v>
      </c>
      <c r="AD14" s="6">
        <f t="shared" ca="1" si="2"/>
        <v>20234.923254495618</v>
      </c>
      <c r="AE14" s="6">
        <f t="shared" si="3"/>
        <v>0</v>
      </c>
      <c r="AF14" s="4" t="s">
        <v>777</v>
      </c>
    </row>
    <row r="15" spans="1:36" ht="11.25" customHeight="1" x14ac:dyDescent="0.25">
      <c r="A15" s="4" t="s">
        <v>21</v>
      </c>
      <c r="B15" s="4" t="s">
        <v>42</v>
      </c>
      <c r="C15" s="4" t="s">
        <v>34</v>
      </c>
      <c r="D15" s="4" t="s">
        <v>40</v>
      </c>
      <c r="E15" s="4" t="s">
        <v>25</v>
      </c>
      <c r="F15" s="4" t="s">
        <v>54</v>
      </c>
      <c r="G15" s="4" t="s">
        <v>25</v>
      </c>
      <c r="H15" s="4" t="s">
        <v>25</v>
      </c>
      <c r="I15" s="5">
        <v>44378</v>
      </c>
      <c r="J15" s="6">
        <v>2450</v>
      </c>
      <c r="K15" s="6">
        <v>1225</v>
      </c>
      <c r="L15" s="6">
        <v>0</v>
      </c>
      <c r="M15" s="6">
        <v>0</v>
      </c>
      <c r="N15" s="6">
        <v>0</v>
      </c>
      <c r="O15" s="6">
        <v>0</v>
      </c>
      <c r="P15" s="6">
        <v>2</v>
      </c>
      <c r="Q15" s="4" t="s">
        <v>53</v>
      </c>
      <c r="R15" s="4">
        <v>0</v>
      </c>
      <c r="S15" s="4">
        <v>6</v>
      </c>
      <c r="T15" s="4">
        <v>0</v>
      </c>
      <c r="U15" s="4">
        <v>0</v>
      </c>
      <c r="V15" s="6">
        <f>IF(ISERROR(VLOOKUP($S$15,'TAR FIN'!$A$1:$O$103,15,0)),0,VLOOKUP($S$15,'TAR FIN'!$A$1:$O$103,15,0))</f>
        <v>12.42</v>
      </c>
      <c r="W15" s="6">
        <f>IF(ISERROR(VLOOKUP($T$15,'TAR FIN'!$A$1:$O$103,15,0)),0,VLOOKUP($T$15,'TAR FIN'!$A$1:$O$103,15,0))</f>
        <v>0</v>
      </c>
      <c r="X15" s="6">
        <f>IF(ISERROR(VLOOKUP($U$15,'TAR FIN'!$A$1:$O$103,15,0)),0,VLOOKUP($U$15,'TAR FIN'!$A$1:$O$103,15,0))</f>
        <v>0</v>
      </c>
      <c r="Y15" s="6">
        <f ca="1">('TUSD BE'!$AM$10+'TUSD BF'!$AM$10+'TUSD CVA'!$AM$10)*1</f>
        <v>16.518304697547443</v>
      </c>
      <c r="Z15" s="6"/>
      <c r="AA15" s="6"/>
      <c r="AB15" s="6">
        <f t="shared" si="0"/>
        <v>15214.5</v>
      </c>
      <c r="AC15" s="6">
        <f t="shared" si="1"/>
        <v>0</v>
      </c>
      <c r="AD15" s="6">
        <f t="shared" ca="1" si="2"/>
        <v>20234.923254495618</v>
      </c>
      <c r="AE15" s="6">
        <f t="shared" si="3"/>
        <v>0</v>
      </c>
      <c r="AF15" s="4" t="s">
        <v>777</v>
      </c>
    </row>
    <row r="16" spans="1:36" ht="11.25" customHeight="1" x14ac:dyDescent="0.25">
      <c r="A16" s="4" t="s">
        <v>21</v>
      </c>
      <c r="B16" s="4" t="s">
        <v>42</v>
      </c>
      <c r="C16" s="4" t="s">
        <v>34</v>
      </c>
      <c r="D16" s="4" t="s">
        <v>40</v>
      </c>
      <c r="E16" s="4" t="s">
        <v>25</v>
      </c>
      <c r="F16" s="4" t="s">
        <v>54</v>
      </c>
      <c r="G16" s="4" t="s">
        <v>25</v>
      </c>
      <c r="H16" s="4" t="s">
        <v>25</v>
      </c>
      <c r="I16" s="5">
        <v>44409</v>
      </c>
      <c r="J16" s="6">
        <v>2450</v>
      </c>
      <c r="K16" s="6">
        <v>1225</v>
      </c>
      <c r="L16" s="6">
        <v>0</v>
      </c>
      <c r="M16" s="6">
        <v>0</v>
      </c>
      <c r="N16" s="6">
        <v>0</v>
      </c>
      <c r="O16" s="6">
        <v>0</v>
      </c>
      <c r="P16" s="6">
        <v>2</v>
      </c>
      <c r="Q16" s="4" t="s">
        <v>53</v>
      </c>
      <c r="R16" s="4">
        <v>0</v>
      </c>
      <c r="S16" s="4">
        <v>6</v>
      </c>
      <c r="T16" s="4">
        <v>0</v>
      </c>
      <c r="U16" s="4">
        <v>0</v>
      </c>
      <c r="V16" s="6">
        <f>IF(ISERROR(VLOOKUP($S$16,'TAR FIN'!$A$1:$O$103,15,0)),0,VLOOKUP($S$16,'TAR FIN'!$A$1:$O$103,15,0))</f>
        <v>12.42</v>
      </c>
      <c r="W16" s="6">
        <f>IF(ISERROR(VLOOKUP($T$16,'TAR FIN'!$A$1:$O$103,15,0)),0,VLOOKUP($T$16,'TAR FIN'!$A$1:$O$103,15,0))</f>
        <v>0</v>
      </c>
      <c r="X16" s="6">
        <f>IF(ISERROR(VLOOKUP($U$16,'TAR FIN'!$A$1:$O$103,15,0)),0,VLOOKUP($U$16,'TAR FIN'!$A$1:$O$103,15,0))</f>
        <v>0</v>
      </c>
      <c r="Y16" s="6">
        <f ca="1">('TUSD BE'!$AM$10+'TUSD BF'!$AM$10+'TUSD CVA'!$AM$10)*1</f>
        <v>16.518304697547443</v>
      </c>
      <c r="Z16" s="6"/>
      <c r="AA16" s="6"/>
      <c r="AB16" s="6">
        <f t="shared" si="0"/>
        <v>15214.5</v>
      </c>
      <c r="AC16" s="6">
        <f t="shared" si="1"/>
        <v>0</v>
      </c>
      <c r="AD16" s="6">
        <f t="shared" ca="1" si="2"/>
        <v>20234.923254495618</v>
      </c>
      <c r="AE16" s="6">
        <f t="shared" si="3"/>
        <v>0</v>
      </c>
      <c r="AF16" s="4" t="s">
        <v>777</v>
      </c>
    </row>
    <row r="17" spans="1:32" ht="11.25" customHeight="1" x14ac:dyDescent="0.25">
      <c r="A17" s="4" t="s">
        <v>21</v>
      </c>
      <c r="B17" s="4" t="s">
        <v>42</v>
      </c>
      <c r="C17" s="4" t="s">
        <v>34</v>
      </c>
      <c r="D17" s="4" t="s">
        <v>40</v>
      </c>
      <c r="E17" s="4" t="s">
        <v>25</v>
      </c>
      <c r="F17" s="4" t="s">
        <v>54</v>
      </c>
      <c r="G17" s="4" t="s">
        <v>25</v>
      </c>
      <c r="H17" s="4" t="s">
        <v>25</v>
      </c>
      <c r="I17" s="5">
        <v>44440</v>
      </c>
      <c r="J17" s="6">
        <v>2462</v>
      </c>
      <c r="K17" s="6">
        <v>1231</v>
      </c>
      <c r="L17" s="6">
        <v>0</v>
      </c>
      <c r="M17" s="6">
        <v>0</v>
      </c>
      <c r="N17" s="6">
        <v>0</v>
      </c>
      <c r="O17" s="6">
        <v>0</v>
      </c>
      <c r="P17" s="6">
        <v>2</v>
      </c>
      <c r="Q17" s="4" t="s">
        <v>53</v>
      </c>
      <c r="R17" s="4">
        <v>0</v>
      </c>
      <c r="S17" s="4">
        <v>6</v>
      </c>
      <c r="T17" s="4">
        <v>0</v>
      </c>
      <c r="U17" s="4">
        <v>0</v>
      </c>
      <c r="V17" s="6">
        <f>IF(ISERROR(VLOOKUP($S$17,'TAR FIN'!$A$1:$O$103,15,0)),0,VLOOKUP($S$17,'TAR FIN'!$A$1:$O$103,15,0))</f>
        <v>12.42</v>
      </c>
      <c r="W17" s="6">
        <f>IF(ISERROR(VLOOKUP($T$17,'TAR FIN'!$A$1:$O$103,15,0)),0,VLOOKUP($T$17,'TAR FIN'!$A$1:$O$103,15,0))</f>
        <v>0</v>
      </c>
      <c r="X17" s="6">
        <f>IF(ISERROR(VLOOKUP($U$17,'TAR FIN'!$A$1:$O$103,15,0)),0,VLOOKUP($U$17,'TAR FIN'!$A$1:$O$103,15,0))</f>
        <v>0</v>
      </c>
      <c r="Y17" s="6">
        <f ca="1">('TUSD BE'!$AM$10+'TUSD BF'!$AM$10+'TUSD CVA'!$AM$10)*1</f>
        <v>16.518304697547443</v>
      </c>
      <c r="Z17" s="6"/>
      <c r="AA17" s="6"/>
      <c r="AB17" s="6">
        <f t="shared" si="0"/>
        <v>15289.02</v>
      </c>
      <c r="AC17" s="6">
        <f t="shared" si="1"/>
        <v>0</v>
      </c>
      <c r="AD17" s="6">
        <f t="shared" ca="1" si="2"/>
        <v>20334.0330826809</v>
      </c>
      <c r="AE17" s="6">
        <f t="shared" si="3"/>
        <v>0</v>
      </c>
      <c r="AF17" s="4" t="s">
        <v>777</v>
      </c>
    </row>
    <row r="18" spans="1:32" ht="11.25" customHeight="1" x14ac:dyDescent="0.25">
      <c r="A18" s="4" t="s">
        <v>21</v>
      </c>
      <c r="B18" s="4" t="s">
        <v>42</v>
      </c>
      <c r="C18" s="4" t="s">
        <v>34</v>
      </c>
      <c r="D18" s="4" t="s">
        <v>40</v>
      </c>
      <c r="E18" s="4" t="s">
        <v>25</v>
      </c>
      <c r="F18" s="4" t="s">
        <v>54</v>
      </c>
      <c r="G18" s="4" t="s">
        <v>25</v>
      </c>
      <c r="H18" s="4" t="s">
        <v>25</v>
      </c>
      <c r="I18" s="5">
        <v>44470</v>
      </c>
      <c r="J18" s="6">
        <v>2450</v>
      </c>
      <c r="K18" s="6">
        <v>1225</v>
      </c>
      <c r="L18" s="6">
        <v>0</v>
      </c>
      <c r="M18" s="6">
        <v>0</v>
      </c>
      <c r="N18" s="6">
        <v>0</v>
      </c>
      <c r="O18" s="6">
        <v>0</v>
      </c>
      <c r="P18" s="6">
        <v>2</v>
      </c>
      <c r="Q18" s="4" t="s">
        <v>53</v>
      </c>
      <c r="R18" s="4">
        <v>0</v>
      </c>
      <c r="S18" s="4">
        <v>6</v>
      </c>
      <c r="T18" s="4">
        <v>0</v>
      </c>
      <c r="U18" s="4">
        <v>0</v>
      </c>
      <c r="V18" s="6">
        <f>IF(ISERROR(VLOOKUP($S$18,'TAR FIN'!$A$1:$O$103,15,0)),0,VLOOKUP($S$18,'TAR FIN'!$A$1:$O$103,15,0))</f>
        <v>12.42</v>
      </c>
      <c r="W18" s="6">
        <f>IF(ISERROR(VLOOKUP($T$18,'TAR FIN'!$A$1:$O$103,15,0)),0,VLOOKUP($T$18,'TAR FIN'!$A$1:$O$103,15,0))</f>
        <v>0</v>
      </c>
      <c r="X18" s="6">
        <f>IF(ISERROR(VLOOKUP($U$18,'TAR FIN'!$A$1:$O$103,15,0)),0,VLOOKUP($U$18,'TAR FIN'!$A$1:$O$103,15,0))</f>
        <v>0</v>
      </c>
      <c r="Y18" s="6">
        <f ca="1">('TUSD BE'!$AM$10+'TUSD BF'!$AM$10+'TUSD CVA'!$AM$10)*1</f>
        <v>16.518304697547443</v>
      </c>
      <c r="Z18" s="6"/>
      <c r="AA18" s="6"/>
      <c r="AB18" s="6">
        <f t="shared" si="0"/>
        <v>15214.5</v>
      </c>
      <c r="AC18" s="6">
        <f t="shared" si="1"/>
        <v>0</v>
      </c>
      <c r="AD18" s="6">
        <f t="shared" ca="1" si="2"/>
        <v>20234.923254495618</v>
      </c>
      <c r="AE18" s="6">
        <f t="shared" si="3"/>
        <v>0</v>
      </c>
      <c r="AF18" s="4" t="s">
        <v>777</v>
      </c>
    </row>
    <row r="19" spans="1:32" ht="11.25" customHeight="1" x14ac:dyDescent="0.25">
      <c r="A19" s="4" t="s">
        <v>21</v>
      </c>
      <c r="B19" s="4" t="s">
        <v>42</v>
      </c>
      <c r="C19" s="4" t="s">
        <v>34</v>
      </c>
      <c r="D19" s="4" t="s">
        <v>40</v>
      </c>
      <c r="E19" s="4" t="s">
        <v>25</v>
      </c>
      <c r="F19" s="4" t="s">
        <v>54</v>
      </c>
      <c r="G19" s="4" t="s">
        <v>25</v>
      </c>
      <c r="H19" s="4" t="s">
        <v>25</v>
      </c>
      <c r="I19" s="5">
        <v>44501</v>
      </c>
      <c r="J19" s="6">
        <v>2450</v>
      </c>
      <c r="K19" s="6">
        <v>1225</v>
      </c>
      <c r="L19" s="6">
        <v>0</v>
      </c>
      <c r="M19" s="6">
        <v>0</v>
      </c>
      <c r="N19" s="6">
        <v>0</v>
      </c>
      <c r="O19" s="6">
        <v>0</v>
      </c>
      <c r="P19" s="6">
        <v>2</v>
      </c>
      <c r="Q19" s="4" t="s">
        <v>53</v>
      </c>
      <c r="R19" s="4">
        <v>0</v>
      </c>
      <c r="S19" s="4">
        <v>6</v>
      </c>
      <c r="T19" s="4">
        <v>0</v>
      </c>
      <c r="U19" s="4">
        <v>0</v>
      </c>
      <c r="V19" s="6">
        <f>IF(ISERROR(VLOOKUP($S$19,'TAR FIN'!$A$1:$O$103,15,0)),0,VLOOKUP($S$19,'TAR FIN'!$A$1:$O$103,15,0))</f>
        <v>12.42</v>
      </c>
      <c r="W19" s="6">
        <f>IF(ISERROR(VLOOKUP($T$19,'TAR FIN'!$A$1:$O$103,15,0)),0,VLOOKUP($T$19,'TAR FIN'!$A$1:$O$103,15,0))</f>
        <v>0</v>
      </c>
      <c r="X19" s="6">
        <f>IF(ISERROR(VLOOKUP($U$19,'TAR FIN'!$A$1:$O$103,15,0)),0,VLOOKUP($U$19,'TAR FIN'!$A$1:$O$103,15,0))</f>
        <v>0</v>
      </c>
      <c r="Y19" s="6">
        <f ca="1">('TUSD BE'!$AM$10+'TUSD BF'!$AM$10+'TUSD CVA'!$AM$10)*1</f>
        <v>16.518304697547443</v>
      </c>
      <c r="Z19" s="6"/>
      <c r="AA19" s="6"/>
      <c r="AB19" s="6">
        <f t="shared" si="0"/>
        <v>15214.5</v>
      </c>
      <c r="AC19" s="6">
        <f t="shared" si="1"/>
        <v>0</v>
      </c>
      <c r="AD19" s="6">
        <f t="shared" ca="1" si="2"/>
        <v>20234.923254495618</v>
      </c>
      <c r="AE19" s="6">
        <f t="shared" si="3"/>
        <v>0</v>
      </c>
      <c r="AF19" s="4" t="s">
        <v>777</v>
      </c>
    </row>
    <row r="20" spans="1:32" ht="11.25" customHeight="1" x14ac:dyDescent="0.25">
      <c r="A20" s="4" t="s">
        <v>21</v>
      </c>
      <c r="B20" s="4" t="s">
        <v>42</v>
      </c>
      <c r="C20" s="4" t="s">
        <v>34</v>
      </c>
      <c r="D20" s="4" t="s">
        <v>40</v>
      </c>
      <c r="E20" s="4" t="s">
        <v>25</v>
      </c>
      <c r="F20" s="4" t="s">
        <v>54</v>
      </c>
      <c r="G20" s="4" t="s">
        <v>25</v>
      </c>
      <c r="H20" s="4" t="s">
        <v>25</v>
      </c>
      <c r="I20" s="5">
        <v>44531</v>
      </c>
      <c r="J20" s="6">
        <v>2450</v>
      </c>
      <c r="K20" s="6">
        <v>1225</v>
      </c>
      <c r="L20" s="6">
        <v>0</v>
      </c>
      <c r="M20" s="6">
        <v>0</v>
      </c>
      <c r="N20" s="6">
        <v>0</v>
      </c>
      <c r="O20" s="6">
        <v>0</v>
      </c>
      <c r="P20" s="6">
        <v>2</v>
      </c>
      <c r="Q20" s="4" t="s">
        <v>53</v>
      </c>
      <c r="R20" s="4">
        <v>0</v>
      </c>
      <c r="S20" s="4">
        <v>6</v>
      </c>
      <c r="T20" s="4">
        <v>0</v>
      </c>
      <c r="U20" s="4">
        <v>0</v>
      </c>
      <c r="V20" s="6">
        <f>IF(ISERROR(VLOOKUP($S$20,'TAR FIN'!$A$1:$O$103,15,0)),0,VLOOKUP($S$20,'TAR FIN'!$A$1:$O$103,15,0))</f>
        <v>12.42</v>
      </c>
      <c r="W20" s="6">
        <f>IF(ISERROR(VLOOKUP($T$20,'TAR FIN'!$A$1:$O$103,15,0)),0,VLOOKUP($T$20,'TAR FIN'!$A$1:$O$103,15,0))</f>
        <v>0</v>
      </c>
      <c r="X20" s="6">
        <f>IF(ISERROR(VLOOKUP($U$20,'TAR FIN'!$A$1:$O$103,15,0)),0,VLOOKUP($U$20,'TAR FIN'!$A$1:$O$103,15,0))</f>
        <v>0</v>
      </c>
      <c r="Y20" s="6">
        <f ca="1">('TUSD BE'!$AM$10+'TUSD BF'!$AM$10+'TUSD CVA'!$AM$10)*1</f>
        <v>16.518304697547443</v>
      </c>
      <c r="Z20" s="6"/>
      <c r="AA20" s="6"/>
      <c r="AB20" s="6">
        <f t="shared" si="0"/>
        <v>15214.5</v>
      </c>
      <c r="AC20" s="6">
        <f t="shared" si="1"/>
        <v>0</v>
      </c>
      <c r="AD20" s="6">
        <f t="shared" ca="1" si="2"/>
        <v>20234.923254495618</v>
      </c>
      <c r="AE20" s="6">
        <f t="shared" si="3"/>
        <v>0</v>
      </c>
      <c r="AF20" s="4" t="s">
        <v>777</v>
      </c>
    </row>
    <row r="21" spans="1:32" ht="11.25" customHeight="1" x14ac:dyDescent="0.25">
      <c r="A21" s="4" t="s">
        <v>21</v>
      </c>
      <c r="B21" s="4" t="s">
        <v>42</v>
      </c>
      <c r="C21" s="4" t="s">
        <v>34</v>
      </c>
      <c r="D21" s="4" t="s">
        <v>40</v>
      </c>
      <c r="E21" s="4" t="s">
        <v>25</v>
      </c>
      <c r="F21" s="4" t="s">
        <v>54</v>
      </c>
      <c r="G21" s="4" t="s">
        <v>25</v>
      </c>
      <c r="H21" s="4" t="s">
        <v>25</v>
      </c>
      <c r="I21" s="5">
        <v>44562</v>
      </c>
      <c r="J21" s="6">
        <v>2450</v>
      </c>
      <c r="K21" s="6">
        <v>1225</v>
      </c>
      <c r="L21" s="6">
        <v>0</v>
      </c>
      <c r="M21" s="6">
        <v>0</v>
      </c>
      <c r="N21" s="6">
        <v>0</v>
      </c>
      <c r="O21" s="6">
        <v>0</v>
      </c>
      <c r="P21" s="6">
        <v>2</v>
      </c>
      <c r="Q21" s="4" t="s">
        <v>53</v>
      </c>
      <c r="R21" s="4">
        <v>0</v>
      </c>
      <c r="S21" s="4">
        <v>6</v>
      </c>
      <c r="T21" s="4">
        <v>0</v>
      </c>
      <c r="U21" s="4">
        <v>0</v>
      </c>
      <c r="V21" s="6">
        <f>IF(ISERROR(VLOOKUP($S$21,'TAR FIN'!$A$1:$O$103,15,0)),0,VLOOKUP($S$21,'TAR FIN'!$A$1:$O$103,15,0))</f>
        <v>12.42</v>
      </c>
      <c r="W21" s="6">
        <f>IF(ISERROR(VLOOKUP($T$21,'TAR FIN'!$A$1:$O$103,15,0)),0,VLOOKUP($T$21,'TAR FIN'!$A$1:$O$103,15,0))</f>
        <v>0</v>
      </c>
      <c r="X21" s="6">
        <f>IF(ISERROR(VLOOKUP($U$21,'TAR FIN'!$A$1:$O$103,15,0)),0,VLOOKUP($U$21,'TAR FIN'!$A$1:$O$103,15,0))</f>
        <v>0</v>
      </c>
      <c r="Y21" s="6">
        <f ca="1">('TUSD BE'!$AM$10+'TUSD BF'!$AM$10+'TUSD CVA'!$AM$10)*1</f>
        <v>16.518304697547443</v>
      </c>
      <c r="Z21" s="6"/>
      <c r="AA21" s="6"/>
      <c r="AB21" s="6">
        <f t="shared" si="0"/>
        <v>15214.5</v>
      </c>
      <c r="AC21" s="6">
        <f t="shared" si="1"/>
        <v>0</v>
      </c>
      <c r="AD21" s="6">
        <f t="shared" ca="1" si="2"/>
        <v>20234.923254495618</v>
      </c>
      <c r="AE21" s="6">
        <f t="shared" si="3"/>
        <v>0</v>
      </c>
      <c r="AF21" s="4" t="s">
        <v>777</v>
      </c>
    </row>
    <row r="22" spans="1:32" ht="11.25" customHeight="1" x14ac:dyDescent="0.25">
      <c r="A22" s="4" t="s">
        <v>21</v>
      </c>
      <c r="B22" s="4" t="s">
        <v>42</v>
      </c>
      <c r="C22" s="4" t="s">
        <v>34</v>
      </c>
      <c r="D22" s="4" t="s">
        <v>40</v>
      </c>
      <c r="E22" s="4" t="s">
        <v>25</v>
      </c>
      <c r="F22" s="4" t="s">
        <v>54</v>
      </c>
      <c r="G22" s="4" t="s">
        <v>25</v>
      </c>
      <c r="H22" s="4" t="s">
        <v>25</v>
      </c>
      <c r="I22" s="5">
        <v>44593</v>
      </c>
      <c r="J22" s="6">
        <v>2450</v>
      </c>
      <c r="K22" s="6">
        <v>1225</v>
      </c>
      <c r="L22" s="6">
        <v>0</v>
      </c>
      <c r="M22" s="6">
        <v>0</v>
      </c>
      <c r="N22" s="6">
        <v>0</v>
      </c>
      <c r="O22" s="6">
        <v>0</v>
      </c>
      <c r="P22" s="6">
        <v>2</v>
      </c>
      <c r="Q22" s="4" t="s">
        <v>53</v>
      </c>
      <c r="R22" s="4">
        <v>0</v>
      </c>
      <c r="S22" s="4">
        <v>6</v>
      </c>
      <c r="T22" s="4">
        <v>0</v>
      </c>
      <c r="U22" s="4">
        <v>0</v>
      </c>
      <c r="V22" s="6">
        <f>IF(ISERROR(VLOOKUP($S$22,'TAR FIN'!$A$1:$O$103,15,0)),0,VLOOKUP($S$22,'TAR FIN'!$A$1:$O$103,15,0))</f>
        <v>12.42</v>
      </c>
      <c r="W22" s="6">
        <f>IF(ISERROR(VLOOKUP($T$22,'TAR FIN'!$A$1:$O$103,15,0)),0,VLOOKUP($T$22,'TAR FIN'!$A$1:$O$103,15,0))</f>
        <v>0</v>
      </c>
      <c r="X22" s="6">
        <f>IF(ISERROR(VLOOKUP($U$22,'TAR FIN'!$A$1:$O$103,15,0)),0,VLOOKUP($U$22,'TAR FIN'!$A$1:$O$103,15,0))</f>
        <v>0</v>
      </c>
      <c r="Y22" s="6">
        <f ca="1">('TUSD BE'!$AM$10+'TUSD BF'!$AM$10+'TUSD CVA'!$AM$10)*1</f>
        <v>16.518304697547443</v>
      </c>
      <c r="Z22" s="6"/>
      <c r="AA22" s="6"/>
      <c r="AB22" s="6">
        <f t="shared" si="0"/>
        <v>15214.5</v>
      </c>
      <c r="AC22" s="6">
        <f t="shared" si="1"/>
        <v>0</v>
      </c>
      <c r="AD22" s="6">
        <f t="shared" ca="1" si="2"/>
        <v>20234.923254495618</v>
      </c>
      <c r="AE22" s="6">
        <f t="shared" si="3"/>
        <v>0</v>
      </c>
      <c r="AF22" s="4" t="s">
        <v>777</v>
      </c>
    </row>
    <row r="23" spans="1:32" ht="11.25" customHeight="1" x14ac:dyDescent="0.25">
      <c r="A23" s="4" t="s">
        <v>21</v>
      </c>
      <c r="B23" s="4" t="s">
        <v>42</v>
      </c>
      <c r="C23" s="4" t="s">
        <v>34</v>
      </c>
      <c r="D23" s="4" t="s">
        <v>40</v>
      </c>
      <c r="E23" s="4" t="s">
        <v>25</v>
      </c>
      <c r="F23" s="4" t="s">
        <v>54</v>
      </c>
      <c r="G23" s="4" t="s">
        <v>25</v>
      </c>
      <c r="H23" s="4" t="s">
        <v>25</v>
      </c>
      <c r="I23" s="5">
        <v>44621</v>
      </c>
      <c r="J23" s="6">
        <v>2450</v>
      </c>
      <c r="K23" s="6">
        <v>1225</v>
      </c>
      <c r="L23" s="6">
        <v>0</v>
      </c>
      <c r="M23" s="6">
        <v>0</v>
      </c>
      <c r="N23" s="6">
        <v>0</v>
      </c>
      <c r="O23" s="6">
        <v>0</v>
      </c>
      <c r="P23" s="6">
        <v>2</v>
      </c>
      <c r="Q23" s="4" t="s">
        <v>53</v>
      </c>
      <c r="R23" s="4">
        <v>0</v>
      </c>
      <c r="S23" s="4">
        <v>6</v>
      </c>
      <c r="T23" s="4">
        <v>0</v>
      </c>
      <c r="U23" s="4">
        <v>0</v>
      </c>
      <c r="V23" s="6">
        <f>IF(ISERROR(VLOOKUP($S$23,'TAR FIN'!$A$1:$O$103,15,0)),0,VLOOKUP($S$23,'TAR FIN'!$A$1:$O$103,15,0))</f>
        <v>12.42</v>
      </c>
      <c r="W23" s="6">
        <f>IF(ISERROR(VLOOKUP($T$23,'TAR FIN'!$A$1:$O$103,15,0)),0,VLOOKUP($T$23,'TAR FIN'!$A$1:$O$103,15,0))</f>
        <v>0</v>
      </c>
      <c r="X23" s="6">
        <f>IF(ISERROR(VLOOKUP($U$23,'TAR FIN'!$A$1:$O$103,15,0)),0,VLOOKUP($U$23,'TAR FIN'!$A$1:$O$103,15,0))</f>
        <v>0</v>
      </c>
      <c r="Y23" s="6">
        <f ca="1">('TUSD BE'!$AM$10+'TUSD BF'!$AM$10+'TUSD CVA'!$AM$10)*1</f>
        <v>16.518304697547443</v>
      </c>
      <c r="Z23" s="6"/>
      <c r="AA23" s="6"/>
      <c r="AB23" s="6">
        <f t="shared" si="0"/>
        <v>15214.5</v>
      </c>
      <c r="AC23" s="6">
        <f t="shared" si="1"/>
        <v>0</v>
      </c>
      <c r="AD23" s="6">
        <f t="shared" ca="1" si="2"/>
        <v>20234.923254495618</v>
      </c>
      <c r="AE23" s="6">
        <f t="shared" si="3"/>
        <v>0</v>
      </c>
      <c r="AF23" s="4" t="s">
        <v>777</v>
      </c>
    </row>
    <row r="24" spans="1:32" ht="11.25" customHeight="1" x14ac:dyDescent="0.25">
      <c r="A24" s="4" t="s">
        <v>21</v>
      </c>
      <c r="B24" s="4" t="s">
        <v>42</v>
      </c>
      <c r="C24" s="4" t="s">
        <v>34</v>
      </c>
      <c r="D24" s="4" t="s">
        <v>40</v>
      </c>
      <c r="E24" s="4" t="s">
        <v>25</v>
      </c>
      <c r="F24" s="4" t="s">
        <v>54</v>
      </c>
      <c r="G24" s="4" t="s">
        <v>25</v>
      </c>
      <c r="H24" s="4" t="s">
        <v>25</v>
      </c>
      <c r="I24" s="5">
        <v>44652</v>
      </c>
      <c r="J24" s="6">
        <v>2486</v>
      </c>
      <c r="K24" s="6">
        <v>1243</v>
      </c>
      <c r="L24" s="6">
        <v>0</v>
      </c>
      <c r="M24" s="6">
        <v>0</v>
      </c>
      <c r="N24" s="6">
        <v>0</v>
      </c>
      <c r="O24" s="6">
        <v>0</v>
      </c>
      <c r="P24" s="6">
        <v>2</v>
      </c>
      <c r="Q24" s="4" t="s">
        <v>53</v>
      </c>
      <c r="R24" s="4">
        <v>0</v>
      </c>
      <c r="S24" s="4">
        <v>6</v>
      </c>
      <c r="T24" s="4">
        <v>0</v>
      </c>
      <c r="U24" s="4">
        <v>0</v>
      </c>
      <c r="V24" s="6">
        <f>IF(ISERROR(VLOOKUP($S$24,'TAR FIN'!$A$1:$O$103,15,0)),0,VLOOKUP($S$24,'TAR FIN'!$A$1:$O$103,15,0))</f>
        <v>12.42</v>
      </c>
      <c r="W24" s="6">
        <f>IF(ISERROR(VLOOKUP($T$24,'TAR FIN'!$A$1:$O$103,15,0)),0,VLOOKUP($T$24,'TAR FIN'!$A$1:$O$103,15,0))</f>
        <v>0</v>
      </c>
      <c r="X24" s="6">
        <f>IF(ISERROR(VLOOKUP($U$24,'TAR FIN'!$A$1:$O$103,15,0)),0,VLOOKUP($U$24,'TAR FIN'!$A$1:$O$103,15,0))</f>
        <v>0</v>
      </c>
      <c r="Y24" s="6">
        <f ca="1">('TUSD BE'!$AM$10+'TUSD BF'!$AM$10+'TUSD CVA'!$AM$10)*1</f>
        <v>16.518304697547443</v>
      </c>
      <c r="Z24" s="6"/>
      <c r="AA24" s="6"/>
      <c r="AB24" s="6">
        <f t="shared" si="0"/>
        <v>15438.06</v>
      </c>
      <c r="AC24" s="6">
        <f t="shared" si="1"/>
        <v>0</v>
      </c>
      <c r="AD24" s="6">
        <f t="shared" ca="1" si="2"/>
        <v>20532.25273905147</v>
      </c>
      <c r="AE24" s="6">
        <f t="shared" si="3"/>
        <v>0</v>
      </c>
      <c r="AF24" s="4" t="s">
        <v>777</v>
      </c>
    </row>
    <row r="25" spans="1:32" ht="11.25" customHeight="1" x14ac:dyDescent="0.25">
      <c r="A25" s="4" t="s">
        <v>21</v>
      </c>
      <c r="B25" s="4" t="s">
        <v>42</v>
      </c>
      <c r="C25" s="4" t="s">
        <v>34</v>
      </c>
      <c r="D25" s="4" t="s">
        <v>40</v>
      </c>
      <c r="E25" s="4" t="s">
        <v>25</v>
      </c>
      <c r="F25" s="4" t="s">
        <v>54</v>
      </c>
      <c r="G25" s="4" t="s">
        <v>25</v>
      </c>
      <c r="H25" s="4" t="s">
        <v>25</v>
      </c>
      <c r="I25" s="5">
        <v>44682</v>
      </c>
      <c r="J25" s="6">
        <v>4014</v>
      </c>
      <c r="K25" s="6">
        <v>2007</v>
      </c>
      <c r="L25" s="6">
        <v>0</v>
      </c>
      <c r="M25" s="6">
        <v>0</v>
      </c>
      <c r="N25" s="6">
        <v>0</v>
      </c>
      <c r="O25" s="6">
        <v>0</v>
      </c>
      <c r="P25" s="6">
        <v>3</v>
      </c>
      <c r="Q25" s="4" t="s">
        <v>53</v>
      </c>
      <c r="R25" s="4">
        <v>0</v>
      </c>
      <c r="S25" s="4">
        <v>6</v>
      </c>
      <c r="T25" s="4">
        <v>0</v>
      </c>
      <c r="U25" s="4">
        <v>0</v>
      </c>
      <c r="V25" s="6">
        <f>IF(ISERROR(VLOOKUP($S$25,'TAR FIN'!$A$1:$O$103,15,0)),0,VLOOKUP($S$25,'TAR FIN'!$A$1:$O$103,15,0))</f>
        <v>12.42</v>
      </c>
      <c r="W25" s="6">
        <f>IF(ISERROR(VLOOKUP($T$25,'TAR FIN'!$A$1:$O$103,15,0)),0,VLOOKUP($T$25,'TAR FIN'!$A$1:$O$103,15,0))</f>
        <v>0</v>
      </c>
      <c r="X25" s="6">
        <f>IF(ISERROR(VLOOKUP($U$25,'TAR FIN'!$A$1:$O$103,15,0)),0,VLOOKUP($U$25,'TAR FIN'!$A$1:$O$103,15,0))</f>
        <v>0</v>
      </c>
      <c r="Y25" s="6">
        <f ca="1">('TUSD BE'!$AM$10+'TUSD BF'!$AM$10+'TUSD CVA'!$AM$10)*1</f>
        <v>16.518304697547443</v>
      </c>
      <c r="Z25" s="6"/>
      <c r="AA25" s="6"/>
      <c r="AB25" s="6">
        <f t="shared" si="0"/>
        <v>24926.94</v>
      </c>
      <c r="AC25" s="6">
        <f t="shared" si="1"/>
        <v>0</v>
      </c>
      <c r="AD25" s="6">
        <f t="shared" ca="1" si="2"/>
        <v>33152.237527977719</v>
      </c>
      <c r="AE25" s="6">
        <f t="shared" si="3"/>
        <v>0</v>
      </c>
      <c r="AF25" s="4" t="s">
        <v>777</v>
      </c>
    </row>
    <row r="26" spans="1:32" ht="11.25" customHeight="1" x14ac:dyDescent="0.25">
      <c r="A26" s="4" t="s">
        <v>21</v>
      </c>
      <c r="B26" s="4" t="s">
        <v>42</v>
      </c>
      <c r="C26" s="4" t="s">
        <v>34</v>
      </c>
      <c r="D26" s="4" t="s">
        <v>40</v>
      </c>
      <c r="E26" s="4" t="s">
        <v>25</v>
      </c>
      <c r="F26" s="4" t="s">
        <v>54</v>
      </c>
      <c r="G26" s="4" t="s">
        <v>25</v>
      </c>
      <c r="H26" s="4" t="s">
        <v>37</v>
      </c>
      <c r="I26" s="5">
        <v>44348</v>
      </c>
      <c r="J26" s="6">
        <v>0</v>
      </c>
      <c r="K26" s="6">
        <v>0</v>
      </c>
      <c r="L26" s="6">
        <v>42.637999999999998</v>
      </c>
      <c r="M26" s="6">
        <v>21.318999999999999</v>
      </c>
      <c r="N26" s="6">
        <v>0</v>
      </c>
      <c r="O26" s="6">
        <v>0</v>
      </c>
      <c r="P26" s="6">
        <v>0</v>
      </c>
      <c r="Q26" s="4" t="s">
        <v>53</v>
      </c>
      <c r="R26" s="4">
        <v>0</v>
      </c>
      <c r="S26" s="4">
        <v>0</v>
      </c>
      <c r="T26" s="4">
        <v>7</v>
      </c>
      <c r="U26" s="4">
        <v>0</v>
      </c>
      <c r="V26" s="6">
        <f>IF(ISERROR(VLOOKUP($S$26,'TAR FIN'!$A$1:$O$103,15,0)),0,VLOOKUP($S$26,'TAR FIN'!$A$1:$O$103,15,0))</f>
        <v>0</v>
      </c>
      <c r="W26" s="6">
        <f>IF(ISERROR(VLOOKUP($T$26,'TAR FIN'!$A$1:$O$103,15,0)),0,VLOOKUP($T$26,'TAR FIN'!$A$1:$O$103,15,0))</f>
        <v>842.31</v>
      </c>
      <c r="X26" s="6">
        <f>IF(ISERROR(VLOOKUP($U$26,'TAR FIN'!$A$1:$O$103,15,0)),0,VLOOKUP($U$26,'TAR FIN'!$A$1:$O$103,15,0))</f>
        <v>0</v>
      </c>
      <c r="Y26" s="6"/>
      <c r="Z26" s="6">
        <f ca="1">('TUSD BE'!$AM$11+'TUSD BF'!$AM$11+'TUSD CVA'!$AM$11)*1</f>
        <v>1146.3801365962368</v>
      </c>
      <c r="AA26" s="6"/>
      <c r="AB26" s="6">
        <f t="shared" si="0"/>
        <v>0</v>
      </c>
      <c r="AC26" s="6">
        <f t="shared" si="1"/>
        <v>17957.206889999998</v>
      </c>
      <c r="AD26" s="6">
        <f t="shared" si="2"/>
        <v>0</v>
      </c>
      <c r="AE26" s="6">
        <f t="shared" ca="1" si="3"/>
        <v>24439.67813209517</v>
      </c>
      <c r="AF26" s="4" t="s">
        <v>777</v>
      </c>
    </row>
    <row r="27" spans="1:32" ht="11.25" customHeight="1" x14ac:dyDescent="0.25">
      <c r="A27" s="4" t="s">
        <v>21</v>
      </c>
      <c r="B27" s="4" t="s">
        <v>42</v>
      </c>
      <c r="C27" s="4" t="s">
        <v>34</v>
      </c>
      <c r="D27" s="4" t="s">
        <v>40</v>
      </c>
      <c r="E27" s="4" t="s">
        <v>25</v>
      </c>
      <c r="F27" s="4" t="s">
        <v>54</v>
      </c>
      <c r="G27" s="4" t="s">
        <v>25</v>
      </c>
      <c r="H27" s="4" t="s">
        <v>37</v>
      </c>
      <c r="I27" s="5">
        <v>44378</v>
      </c>
      <c r="J27" s="6">
        <v>0</v>
      </c>
      <c r="K27" s="6">
        <v>0</v>
      </c>
      <c r="L27" s="6">
        <v>37.92</v>
      </c>
      <c r="M27" s="6">
        <v>18.96</v>
      </c>
      <c r="N27" s="6">
        <v>0</v>
      </c>
      <c r="O27" s="6">
        <v>0</v>
      </c>
      <c r="P27" s="6">
        <v>0</v>
      </c>
      <c r="Q27" s="4" t="s">
        <v>53</v>
      </c>
      <c r="R27" s="4">
        <v>0</v>
      </c>
      <c r="S27" s="4">
        <v>0</v>
      </c>
      <c r="T27" s="4">
        <v>7</v>
      </c>
      <c r="U27" s="4">
        <v>0</v>
      </c>
      <c r="V27" s="6">
        <f>IF(ISERROR(VLOOKUP($S$27,'TAR FIN'!$A$1:$O$103,15,0)),0,VLOOKUP($S$27,'TAR FIN'!$A$1:$O$103,15,0))</f>
        <v>0</v>
      </c>
      <c r="W27" s="6">
        <f>IF(ISERROR(VLOOKUP($T$27,'TAR FIN'!$A$1:$O$103,15,0)),0,VLOOKUP($T$27,'TAR FIN'!$A$1:$O$103,15,0))</f>
        <v>842.31</v>
      </c>
      <c r="X27" s="6">
        <f>IF(ISERROR(VLOOKUP($U$27,'TAR FIN'!$A$1:$O$103,15,0)),0,VLOOKUP($U$27,'TAR FIN'!$A$1:$O$103,15,0))</f>
        <v>0</v>
      </c>
      <c r="Y27" s="6"/>
      <c r="Z27" s="6">
        <f ca="1">('TUSD BE'!$AM$11+'TUSD BF'!$AM$11+'TUSD CVA'!$AM$11)*1</f>
        <v>1146.3801365962368</v>
      </c>
      <c r="AA27" s="6"/>
      <c r="AB27" s="6">
        <f t="shared" si="0"/>
        <v>0</v>
      </c>
      <c r="AC27" s="6">
        <f t="shared" si="1"/>
        <v>15970.1976</v>
      </c>
      <c r="AD27" s="6">
        <f t="shared" si="2"/>
        <v>0</v>
      </c>
      <c r="AE27" s="6">
        <f t="shared" ca="1" si="3"/>
        <v>21735.367389864648</v>
      </c>
      <c r="AF27" s="4" t="s">
        <v>777</v>
      </c>
    </row>
    <row r="28" spans="1:32" ht="11.25" customHeight="1" x14ac:dyDescent="0.25">
      <c r="A28" s="4" t="s">
        <v>21</v>
      </c>
      <c r="B28" s="4" t="s">
        <v>42</v>
      </c>
      <c r="C28" s="4" t="s">
        <v>34</v>
      </c>
      <c r="D28" s="4" t="s">
        <v>40</v>
      </c>
      <c r="E28" s="4" t="s">
        <v>25</v>
      </c>
      <c r="F28" s="4" t="s">
        <v>54</v>
      </c>
      <c r="G28" s="4" t="s">
        <v>25</v>
      </c>
      <c r="H28" s="4" t="s">
        <v>37</v>
      </c>
      <c r="I28" s="5">
        <v>44409</v>
      </c>
      <c r="J28" s="6">
        <v>0</v>
      </c>
      <c r="K28" s="6">
        <v>0</v>
      </c>
      <c r="L28" s="6">
        <v>9.3849999999999998</v>
      </c>
      <c r="M28" s="6">
        <v>4.6924999999999999</v>
      </c>
      <c r="N28" s="6">
        <v>0</v>
      </c>
      <c r="O28" s="6">
        <v>0</v>
      </c>
      <c r="P28" s="6">
        <v>0</v>
      </c>
      <c r="Q28" s="4" t="s">
        <v>53</v>
      </c>
      <c r="R28" s="4">
        <v>0</v>
      </c>
      <c r="S28" s="4">
        <v>0</v>
      </c>
      <c r="T28" s="4">
        <v>7</v>
      </c>
      <c r="U28" s="4">
        <v>0</v>
      </c>
      <c r="V28" s="6">
        <f>IF(ISERROR(VLOOKUP($S$28,'TAR FIN'!$A$1:$O$103,15,0)),0,VLOOKUP($S$28,'TAR FIN'!$A$1:$O$103,15,0))</f>
        <v>0</v>
      </c>
      <c r="W28" s="6">
        <f>IF(ISERROR(VLOOKUP($T$28,'TAR FIN'!$A$1:$O$103,15,0)),0,VLOOKUP($T$28,'TAR FIN'!$A$1:$O$103,15,0))</f>
        <v>842.31</v>
      </c>
      <c r="X28" s="6">
        <f>IF(ISERROR(VLOOKUP($U$28,'TAR FIN'!$A$1:$O$103,15,0)),0,VLOOKUP($U$28,'TAR FIN'!$A$1:$O$103,15,0))</f>
        <v>0</v>
      </c>
      <c r="Y28" s="6"/>
      <c r="Z28" s="6">
        <f ca="1">('TUSD BE'!$AM$11+'TUSD BF'!$AM$11+'TUSD CVA'!$AM$11)*1</f>
        <v>1146.3801365962368</v>
      </c>
      <c r="AA28" s="6"/>
      <c r="AB28" s="6">
        <f t="shared" si="0"/>
        <v>0</v>
      </c>
      <c r="AC28" s="6">
        <f t="shared" si="1"/>
        <v>3952.5396749999995</v>
      </c>
      <c r="AD28" s="6">
        <f t="shared" si="2"/>
        <v>0</v>
      </c>
      <c r="AE28" s="6">
        <f t="shared" ca="1" si="3"/>
        <v>5379.3887909778405</v>
      </c>
      <c r="AF28" s="4" t="s">
        <v>777</v>
      </c>
    </row>
    <row r="29" spans="1:32" ht="11.25" customHeight="1" x14ac:dyDescent="0.25">
      <c r="A29" s="4" t="s">
        <v>21</v>
      </c>
      <c r="B29" s="4" t="s">
        <v>42</v>
      </c>
      <c r="C29" s="4" t="s">
        <v>34</v>
      </c>
      <c r="D29" s="4" t="s">
        <v>40</v>
      </c>
      <c r="E29" s="4" t="s">
        <v>25</v>
      </c>
      <c r="F29" s="4" t="s">
        <v>54</v>
      </c>
      <c r="G29" s="4" t="s">
        <v>25</v>
      </c>
      <c r="H29" s="4" t="s">
        <v>37</v>
      </c>
      <c r="I29" s="5">
        <v>44440</v>
      </c>
      <c r="J29" s="6">
        <v>0</v>
      </c>
      <c r="K29" s="6">
        <v>0</v>
      </c>
      <c r="L29" s="6">
        <v>8.7360000000000007</v>
      </c>
      <c r="M29" s="6">
        <v>4.3680000000000003</v>
      </c>
      <c r="N29" s="6">
        <v>0</v>
      </c>
      <c r="O29" s="6">
        <v>0</v>
      </c>
      <c r="P29" s="6">
        <v>0</v>
      </c>
      <c r="Q29" s="4" t="s">
        <v>53</v>
      </c>
      <c r="R29" s="4">
        <v>0</v>
      </c>
      <c r="S29" s="4">
        <v>0</v>
      </c>
      <c r="T29" s="4">
        <v>7</v>
      </c>
      <c r="U29" s="4">
        <v>0</v>
      </c>
      <c r="V29" s="6">
        <f>IF(ISERROR(VLOOKUP($S$29,'TAR FIN'!$A$1:$O$103,15,0)),0,VLOOKUP($S$29,'TAR FIN'!$A$1:$O$103,15,0))</f>
        <v>0</v>
      </c>
      <c r="W29" s="6">
        <f>IF(ISERROR(VLOOKUP($T$29,'TAR FIN'!$A$1:$O$103,15,0)),0,VLOOKUP($T$29,'TAR FIN'!$A$1:$O$103,15,0))</f>
        <v>842.31</v>
      </c>
      <c r="X29" s="6">
        <f>IF(ISERROR(VLOOKUP($U$29,'TAR FIN'!$A$1:$O$103,15,0)),0,VLOOKUP($U$29,'TAR FIN'!$A$1:$O$103,15,0))</f>
        <v>0</v>
      </c>
      <c r="Y29" s="6"/>
      <c r="Z29" s="6">
        <f ca="1">('TUSD BE'!$AM$11+'TUSD BF'!$AM$11+'TUSD CVA'!$AM$11)*1</f>
        <v>1146.3801365962368</v>
      </c>
      <c r="AA29" s="6"/>
      <c r="AB29" s="6">
        <f t="shared" si="0"/>
        <v>0</v>
      </c>
      <c r="AC29" s="6">
        <f t="shared" si="1"/>
        <v>3679.2100799999998</v>
      </c>
      <c r="AD29" s="6">
        <f t="shared" si="2"/>
        <v>0</v>
      </c>
      <c r="AE29" s="6">
        <f t="shared" ca="1" si="3"/>
        <v>5007.3884366523625</v>
      </c>
      <c r="AF29" s="4" t="s">
        <v>777</v>
      </c>
    </row>
    <row r="30" spans="1:32" ht="11.25" customHeight="1" x14ac:dyDescent="0.25">
      <c r="A30" s="4" t="s">
        <v>21</v>
      </c>
      <c r="B30" s="4" t="s">
        <v>42</v>
      </c>
      <c r="C30" s="4" t="s">
        <v>34</v>
      </c>
      <c r="D30" s="4" t="s">
        <v>40</v>
      </c>
      <c r="E30" s="4" t="s">
        <v>25</v>
      </c>
      <c r="F30" s="4" t="s">
        <v>54</v>
      </c>
      <c r="G30" s="4" t="s">
        <v>25</v>
      </c>
      <c r="H30" s="4" t="s">
        <v>37</v>
      </c>
      <c r="I30" s="5">
        <v>44470</v>
      </c>
      <c r="J30" s="6">
        <v>0</v>
      </c>
      <c r="K30" s="6">
        <v>0</v>
      </c>
      <c r="L30" s="6">
        <v>38.771000000000001</v>
      </c>
      <c r="M30" s="6">
        <v>19.3855</v>
      </c>
      <c r="N30" s="6">
        <v>0</v>
      </c>
      <c r="O30" s="6">
        <v>0</v>
      </c>
      <c r="P30" s="6">
        <v>0</v>
      </c>
      <c r="Q30" s="4" t="s">
        <v>53</v>
      </c>
      <c r="R30" s="4">
        <v>0</v>
      </c>
      <c r="S30" s="4">
        <v>0</v>
      </c>
      <c r="T30" s="4">
        <v>7</v>
      </c>
      <c r="U30" s="4">
        <v>0</v>
      </c>
      <c r="V30" s="6">
        <f>IF(ISERROR(VLOOKUP($S$30,'TAR FIN'!$A$1:$O$103,15,0)),0,VLOOKUP($S$30,'TAR FIN'!$A$1:$O$103,15,0))</f>
        <v>0</v>
      </c>
      <c r="W30" s="6">
        <f>IF(ISERROR(VLOOKUP($T$30,'TAR FIN'!$A$1:$O$103,15,0)),0,VLOOKUP($T$30,'TAR FIN'!$A$1:$O$103,15,0))</f>
        <v>842.31</v>
      </c>
      <c r="X30" s="6">
        <f>IF(ISERROR(VLOOKUP($U$30,'TAR FIN'!$A$1:$O$103,15,0)),0,VLOOKUP($U$30,'TAR FIN'!$A$1:$O$103,15,0))</f>
        <v>0</v>
      </c>
      <c r="Y30" s="6"/>
      <c r="Z30" s="6">
        <f ca="1">('TUSD BE'!$AM$11+'TUSD BF'!$AM$11+'TUSD CVA'!$AM$11)*1</f>
        <v>1146.3801365962368</v>
      </c>
      <c r="AA30" s="6"/>
      <c r="AB30" s="6">
        <f t="shared" si="0"/>
        <v>0</v>
      </c>
      <c r="AC30" s="6">
        <f t="shared" si="1"/>
        <v>16328.600504999999</v>
      </c>
      <c r="AD30" s="6">
        <f t="shared" si="2"/>
        <v>0</v>
      </c>
      <c r="AE30" s="6">
        <f t="shared" ca="1" si="3"/>
        <v>22223.152137986348</v>
      </c>
      <c r="AF30" s="4" t="s">
        <v>777</v>
      </c>
    </row>
    <row r="31" spans="1:32" ht="11.25" customHeight="1" x14ac:dyDescent="0.25">
      <c r="A31" s="4" t="s">
        <v>21</v>
      </c>
      <c r="B31" s="4" t="s">
        <v>42</v>
      </c>
      <c r="C31" s="4" t="s">
        <v>34</v>
      </c>
      <c r="D31" s="4" t="s">
        <v>40</v>
      </c>
      <c r="E31" s="4" t="s">
        <v>25</v>
      </c>
      <c r="F31" s="4" t="s">
        <v>54</v>
      </c>
      <c r="G31" s="4" t="s">
        <v>25</v>
      </c>
      <c r="H31" s="4" t="s">
        <v>37</v>
      </c>
      <c r="I31" s="5">
        <v>44501</v>
      </c>
      <c r="J31" s="6">
        <v>0</v>
      </c>
      <c r="K31" s="6">
        <v>0</v>
      </c>
      <c r="L31" s="6">
        <v>35.023000000000003</v>
      </c>
      <c r="M31" s="6">
        <v>17.511500000000002</v>
      </c>
      <c r="N31" s="6">
        <v>0</v>
      </c>
      <c r="O31" s="6">
        <v>0</v>
      </c>
      <c r="P31" s="6">
        <v>0</v>
      </c>
      <c r="Q31" s="4" t="s">
        <v>53</v>
      </c>
      <c r="R31" s="4">
        <v>0</v>
      </c>
      <c r="S31" s="4">
        <v>0</v>
      </c>
      <c r="T31" s="4">
        <v>7</v>
      </c>
      <c r="U31" s="4">
        <v>0</v>
      </c>
      <c r="V31" s="6">
        <f>IF(ISERROR(VLOOKUP($S$31,'TAR FIN'!$A$1:$O$103,15,0)),0,VLOOKUP($S$31,'TAR FIN'!$A$1:$O$103,15,0))</f>
        <v>0</v>
      </c>
      <c r="W31" s="6">
        <f>IF(ISERROR(VLOOKUP($T$31,'TAR FIN'!$A$1:$O$103,15,0)),0,VLOOKUP($T$31,'TAR FIN'!$A$1:$O$103,15,0))</f>
        <v>842.31</v>
      </c>
      <c r="X31" s="6">
        <f>IF(ISERROR(VLOOKUP($U$31,'TAR FIN'!$A$1:$O$103,15,0)),0,VLOOKUP($U$31,'TAR FIN'!$A$1:$O$103,15,0))</f>
        <v>0</v>
      </c>
      <c r="Y31" s="6"/>
      <c r="Z31" s="6">
        <f ca="1">('TUSD BE'!$AM$11+'TUSD BF'!$AM$11+'TUSD CVA'!$AM$11)*1</f>
        <v>1146.3801365962368</v>
      </c>
      <c r="AA31" s="6"/>
      <c r="AB31" s="6">
        <f t="shared" si="0"/>
        <v>0</v>
      </c>
      <c r="AC31" s="6">
        <f t="shared" si="1"/>
        <v>14750.111565000001</v>
      </c>
      <c r="AD31" s="6">
        <f t="shared" si="2"/>
        <v>0</v>
      </c>
      <c r="AE31" s="6">
        <f t="shared" ca="1" si="3"/>
        <v>20074.835762005001</v>
      </c>
      <c r="AF31" s="4" t="s">
        <v>777</v>
      </c>
    </row>
    <row r="32" spans="1:32" ht="11.25" customHeight="1" x14ac:dyDescent="0.25">
      <c r="A32" s="4" t="s">
        <v>21</v>
      </c>
      <c r="B32" s="4" t="s">
        <v>42</v>
      </c>
      <c r="C32" s="4" t="s">
        <v>34</v>
      </c>
      <c r="D32" s="4" t="s">
        <v>40</v>
      </c>
      <c r="E32" s="4" t="s">
        <v>25</v>
      </c>
      <c r="F32" s="4" t="s">
        <v>54</v>
      </c>
      <c r="G32" s="4" t="s">
        <v>25</v>
      </c>
      <c r="H32" s="4" t="s">
        <v>37</v>
      </c>
      <c r="I32" s="5">
        <v>44531</v>
      </c>
      <c r="J32" s="6">
        <v>0</v>
      </c>
      <c r="K32" s="6">
        <v>0</v>
      </c>
      <c r="L32" s="6">
        <v>33.156999999999996</v>
      </c>
      <c r="M32" s="6">
        <v>16.578499999999998</v>
      </c>
      <c r="N32" s="6">
        <v>0</v>
      </c>
      <c r="O32" s="6">
        <v>0</v>
      </c>
      <c r="P32" s="6">
        <v>0</v>
      </c>
      <c r="Q32" s="4" t="s">
        <v>53</v>
      </c>
      <c r="R32" s="4">
        <v>0</v>
      </c>
      <c r="S32" s="4">
        <v>0</v>
      </c>
      <c r="T32" s="4">
        <v>7</v>
      </c>
      <c r="U32" s="4">
        <v>0</v>
      </c>
      <c r="V32" s="6">
        <f>IF(ISERROR(VLOOKUP($S$32,'TAR FIN'!$A$1:$O$103,15,0)),0,VLOOKUP($S$32,'TAR FIN'!$A$1:$O$103,15,0))</f>
        <v>0</v>
      </c>
      <c r="W32" s="6">
        <f>IF(ISERROR(VLOOKUP($T$32,'TAR FIN'!$A$1:$O$103,15,0)),0,VLOOKUP($T$32,'TAR FIN'!$A$1:$O$103,15,0))</f>
        <v>842.31</v>
      </c>
      <c r="X32" s="6">
        <f>IF(ISERROR(VLOOKUP($U$32,'TAR FIN'!$A$1:$O$103,15,0)),0,VLOOKUP($U$32,'TAR FIN'!$A$1:$O$103,15,0))</f>
        <v>0</v>
      </c>
      <c r="Y32" s="6"/>
      <c r="Z32" s="6">
        <f ca="1">('TUSD BE'!$AM$11+'TUSD BF'!$AM$11+'TUSD CVA'!$AM$11)*1</f>
        <v>1146.3801365962368</v>
      </c>
      <c r="AA32" s="6"/>
      <c r="AB32" s="6">
        <f t="shared" si="0"/>
        <v>0</v>
      </c>
      <c r="AC32" s="6">
        <f t="shared" si="1"/>
        <v>13964.236334999998</v>
      </c>
      <c r="AD32" s="6">
        <f t="shared" si="2"/>
        <v>0</v>
      </c>
      <c r="AE32" s="6">
        <f t="shared" ca="1" si="3"/>
        <v>19005.263094560709</v>
      </c>
      <c r="AF32" s="4" t="s">
        <v>777</v>
      </c>
    </row>
    <row r="33" spans="1:32" ht="11.25" customHeight="1" x14ac:dyDescent="0.25">
      <c r="A33" s="4" t="s">
        <v>21</v>
      </c>
      <c r="B33" s="4" t="s">
        <v>42</v>
      </c>
      <c r="C33" s="4" t="s">
        <v>34</v>
      </c>
      <c r="D33" s="4" t="s">
        <v>40</v>
      </c>
      <c r="E33" s="4" t="s">
        <v>25</v>
      </c>
      <c r="F33" s="4" t="s">
        <v>54</v>
      </c>
      <c r="G33" s="4" t="s">
        <v>25</v>
      </c>
      <c r="H33" s="4" t="s">
        <v>37</v>
      </c>
      <c r="I33" s="5">
        <v>44562</v>
      </c>
      <c r="J33" s="6">
        <v>0</v>
      </c>
      <c r="K33" s="6">
        <v>0</v>
      </c>
      <c r="L33" s="6">
        <v>34.494</v>
      </c>
      <c r="M33" s="6">
        <v>17.247</v>
      </c>
      <c r="N33" s="6">
        <v>0</v>
      </c>
      <c r="O33" s="6">
        <v>0</v>
      </c>
      <c r="P33" s="6">
        <v>0</v>
      </c>
      <c r="Q33" s="4" t="s">
        <v>53</v>
      </c>
      <c r="R33" s="4">
        <v>0</v>
      </c>
      <c r="S33" s="4">
        <v>0</v>
      </c>
      <c r="T33" s="4">
        <v>7</v>
      </c>
      <c r="U33" s="4">
        <v>0</v>
      </c>
      <c r="V33" s="6">
        <f>IF(ISERROR(VLOOKUP($S$33,'TAR FIN'!$A$1:$O$103,15,0)),0,VLOOKUP($S$33,'TAR FIN'!$A$1:$O$103,15,0))</f>
        <v>0</v>
      </c>
      <c r="W33" s="6">
        <f>IF(ISERROR(VLOOKUP($T$33,'TAR FIN'!$A$1:$O$103,15,0)),0,VLOOKUP($T$33,'TAR FIN'!$A$1:$O$103,15,0))</f>
        <v>842.31</v>
      </c>
      <c r="X33" s="6">
        <f>IF(ISERROR(VLOOKUP($U$33,'TAR FIN'!$A$1:$O$103,15,0)),0,VLOOKUP($U$33,'TAR FIN'!$A$1:$O$103,15,0))</f>
        <v>0</v>
      </c>
      <c r="Y33" s="6"/>
      <c r="Z33" s="6">
        <f ca="1">('TUSD BE'!$AM$11+'TUSD BF'!$AM$11+'TUSD CVA'!$AM$11)*1</f>
        <v>1146.3801365962368</v>
      </c>
      <c r="AA33" s="6"/>
      <c r="AB33" s="6">
        <f t="shared" si="0"/>
        <v>0</v>
      </c>
      <c r="AC33" s="6">
        <f t="shared" si="1"/>
        <v>14527.32057</v>
      </c>
      <c r="AD33" s="6">
        <f t="shared" si="2"/>
        <v>0</v>
      </c>
      <c r="AE33" s="6">
        <f t="shared" ca="1" si="3"/>
        <v>19771.618215875296</v>
      </c>
      <c r="AF33" s="4" t="s">
        <v>777</v>
      </c>
    </row>
    <row r="34" spans="1:32" ht="11.25" customHeight="1" x14ac:dyDescent="0.25">
      <c r="A34" s="4" t="s">
        <v>21</v>
      </c>
      <c r="B34" s="4" t="s">
        <v>42</v>
      </c>
      <c r="C34" s="4" t="s">
        <v>34</v>
      </c>
      <c r="D34" s="4" t="s">
        <v>40</v>
      </c>
      <c r="E34" s="4" t="s">
        <v>25</v>
      </c>
      <c r="F34" s="4" t="s">
        <v>54</v>
      </c>
      <c r="G34" s="4" t="s">
        <v>25</v>
      </c>
      <c r="H34" s="4" t="s">
        <v>37</v>
      </c>
      <c r="I34" s="5">
        <v>44593</v>
      </c>
      <c r="J34" s="6">
        <v>0</v>
      </c>
      <c r="K34" s="6">
        <v>0</v>
      </c>
      <c r="L34" s="6">
        <v>30.69</v>
      </c>
      <c r="M34" s="6">
        <v>15.345000000000001</v>
      </c>
      <c r="N34" s="6">
        <v>0</v>
      </c>
      <c r="O34" s="6">
        <v>0</v>
      </c>
      <c r="P34" s="6">
        <v>0</v>
      </c>
      <c r="Q34" s="4" t="s">
        <v>53</v>
      </c>
      <c r="R34" s="4">
        <v>0</v>
      </c>
      <c r="S34" s="4">
        <v>0</v>
      </c>
      <c r="T34" s="4">
        <v>7</v>
      </c>
      <c r="U34" s="4">
        <v>0</v>
      </c>
      <c r="V34" s="6">
        <f>IF(ISERROR(VLOOKUP($S$34,'TAR FIN'!$A$1:$O$103,15,0)),0,VLOOKUP($S$34,'TAR FIN'!$A$1:$O$103,15,0))</f>
        <v>0</v>
      </c>
      <c r="W34" s="6">
        <f>IF(ISERROR(VLOOKUP($T$34,'TAR FIN'!$A$1:$O$103,15,0)),0,VLOOKUP($T$34,'TAR FIN'!$A$1:$O$103,15,0))</f>
        <v>842.31</v>
      </c>
      <c r="X34" s="6">
        <f>IF(ISERROR(VLOOKUP($U$34,'TAR FIN'!$A$1:$O$103,15,0)),0,VLOOKUP($U$34,'TAR FIN'!$A$1:$O$103,15,0))</f>
        <v>0</v>
      </c>
      <c r="Y34" s="6"/>
      <c r="Z34" s="6">
        <f ca="1">('TUSD BE'!$AM$11+'TUSD BF'!$AM$11+'TUSD CVA'!$AM$11)*1</f>
        <v>1146.3801365962368</v>
      </c>
      <c r="AA34" s="6"/>
      <c r="AB34" s="6">
        <f t="shared" si="0"/>
        <v>0</v>
      </c>
      <c r="AC34" s="6">
        <f t="shared" ref="AC34:AC46" si="6">(L34-M34)*W34+(N34-O34)*X34</f>
        <v>12925.246949999999</v>
      </c>
      <c r="AD34" s="6">
        <f t="shared" si="2"/>
        <v>0</v>
      </c>
      <c r="AE34" s="6">
        <f t="shared" ref="AE34:AE46" ca="1" si="7">(L34-M34)*Z34+(N34-O34)*AA34</f>
        <v>17591.203196069255</v>
      </c>
      <c r="AF34" s="4" t="s">
        <v>777</v>
      </c>
    </row>
    <row r="35" spans="1:32" ht="11.25" customHeight="1" x14ac:dyDescent="0.25">
      <c r="A35" s="4" t="s">
        <v>21</v>
      </c>
      <c r="B35" s="4" t="s">
        <v>42</v>
      </c>
      <c r="C35" s="4" t="s">
        <v>34</v>
      </c>
      <c r="D35" s="4" t="s">
        <v>40</v>
      </c>
      <c r="E35" s="4" t="s">
        <v>25</v>
      </c>
      <c r="F35" s="4" t="s">
        <v>54</v>
      </c>
      <c r="G35" s="4" t="s">
        <v>25</v>
      </c>
      <c r="H35" s="4" t="s">
        <v>37</v>
      </c>
      <c r="I35" s="5">
        <v>44621</v>
      </c>
      <c r="J35" s="6">
        <v>0</v>
      </c>
      <c r="K35" s="6">
        <v>0</v>
      </c>
      <c r="L35" s="6">
        <v>37.658999999999999</v>
      </c>
      <c r="M35" s="6">
        <v>18.829499999999999</v>
      </c>
      <c r="N35" s="6">
        <v>0</v>
      </c>
      <c r="O35" s="6">
        <v>0</v>
      </c>
      <c r="P35" s="6">
        <v>0</v>
      </c>
      <c r="Q35" s="4" t="s">
        <v>53</v>
      </c>
      <c r="R35" s="4">
        <v>0</v>
      </c>
      <c r="S35" s="4">
        <v>0</v>
      </c>
      <c r="T35" s="4">
        <v>7</v>
      </c>
      <c r="U35" s="4">
        <v>0</v>
      </c>
      <c r="V35" s="6">
        <f>IF(ISERROR(VLOOKUP($S$35,'TAR FIN'!$A$1:$O$103,15,0)),0,VLOOKUP($S$35,'TAR FIN'!$A$1:$O$103,15,0))</f>
        <v>0</v>
      </c>
      <c r="W35" s="6">
        <f>IF(ISERROR(VLOOKUP($T$35,'TAR FIN'!$A$1:$O$103,15,0)),0,VLOOKUP($T$35,'TAR FIN'!$A$1:$O$103,15,0))</f>
        <v>842.31</v>
      </c>
      <c r="X35" s="6">
        <f>IF(ISERROR(VLOOKUP($U$35,'TAR FIN'!$A$1:$O$103,15,0)),0,VLOOKUP($U$35,'TAR FIN'!$A$1:$O$103,15,0))</f>
        <v>0</v>
      </c>
      <c r="Y35" s="6"/>
      <c r="Z35" s="6">
        <f ca="1">('TUSD BE'!$AM$11+'TUSD BF'!$AM$11+'TUSD CVA'!$AM$11)*1</f>
        <v>1146.3801365962368</v>
      </c>
      <c r="AA35" s="6"/>
      <c r="AB35" s="6">
        <f t="shared" si="0"/>
        <v>0</v>
      </c>
      <c r="AC35" s="6">
        <f t="shared" si="6"/>
        <v>15860.276144999998</v>
      </c>
      <c r="AD35" s="6">
        <f t="shared" si="2"/>
        <v>0</v>
      </c>
      <c r="AE35" s="6">
        <f t="shared" ca="1" si="7"/>
        <v>21585.764782038841</v>
      </c>
      <c r="AF35" s="4" t="s">
        <v>777</v>
      </c>
    </row>
    <row r="36" spans="1:32" ht="11.25" customHeight="1" x14ac:dyDescent="0.25">
      <c r="A36" s="4" t="s">
        <v>21</v>
      </c>
      <c r="B36" s="4" t="s">
        <v>42</v>
      </c>
      <c r="C36" s="4" t="s">
        <v>34</v>
      </c>
      <c r="D36" s="4" t="s">
        <v>40</v>
      </c>
      <c r="E36" s="4" t="s">
        <v>25</v>
      </c>
      <c r="F36" s="4" t="s">
        <v>54</v>
      </c>
      <c r="G36" s="4" t="s">
        <v>25</v>
      </c>
      <c r="H36" s="4" t="s">
        <v>37</v>
      </c>
      <c r="I36" s="5">
        <v>44652</v>
      </c>
      <c r="J36" s="6">
        <v>0</v>
      </c>
      <c r="K36" s="6">
        <v>0</v>
      </c>
      <c r="L36" s="6">
        <v>44.530999999999999</v>
      </c>
      <c r="M36" s="6">
        <v>22.265499999999999</v>
      </c>
      <c r="N36" s="6">
        <v>0</v>
      </c>
      <c r="O36" s="6">
        <v>0</v>
      </c>
      <c r="P36" s="6">
        <v>0</v>
      </c>
      <c r="Q36" s="4" t="s">
        <v>53</v>
      </c>
      <c r="R36" s="4">
        <v>0</v>
      </c>
      <c r="S36" s="4">
        <v>0</v>
      </c>
      <c r="T36" s="4">
        <v>7</v>
      </c>
      <c r="U36" s="4">
        <v>0</v>
      </c>
      <c r="V36" s="6">
        <f>IF(ISERROR(VLOOKUP($S$36,'TAR FIN'!$A$1:$O$103,15,0)),0,VLOOKUP($S$36,'TAR FIN'!$A$1:$O$103,15,0))</f>
        <v>0</v>
      </c>
      <c r="W36" s="6">
        <f>IF(ISERROR(VLOOKUP($T$36,'TAR FIN'!$A$1:$O$103,15,0)),0,VLOOKUP($T$36,'TAR FIN'!$A$1:$O$103,15,0))</f>
        <v>842.31</v>
      </c>
      <c r="X36" s="6">
        <f>IF(ISERROR(VLOOKUP($U$36,'TAR FIN'!$A$1:$O$103,15,0)),0,VLOOKUP($U$36,'TAR FIN'!$A$1:$O$103,15,0))</f>
        <v>0</v>
      </c>
      <c r="Y36" s="6"/>
      <c r="Z36" s="6">
        <f ca="1">('TUSD BE'!$AM$11+'TUSD BF'!$AM$11+'TUSD CVA'!$AM$11)*1</f>
        <v>1146.3801365962368</v>
      </c>
      <c r="AA36" s="6"/>
      <c r="AB36" s="6">
        <f t="shared" si="0"/>
        <v>0</v>
      </c>
      <c r="AC36" s="6">
        <f t="shared" si="6"/>
        <v>18754.453304999999</v>
      </c>
      <c r="AD36" s="6">
        <f t="shared" si="2"/>
        <v>0</v>
      </c>
      <c r="AE36" s="6">
        <f t="shared" ca="1" si="7"/>
        <v>25524.72693138351</v>
      </c>
      <c r="AF36" s="4" t="s">
        <v>777</v>
      </c>
    </row>
    <row r="37" spans="1:32" ht="11.25" customHeight="1" x14ac:dyDescent="0.25">
      <c r="A37" s="4" t="s">
        <v>21</v>
      </c>
      <c r="B37" s="4" t="s">
        <v>42</v>
      </c>
      <c r="C37" s="4" t="s">
        <v>34</v>
      </c>
      <c r="D37" s="4" t="s">
        <v>40</v>
      </c>
      <c r="E37" s="4" t="s">
        <v>25</v>
      </c>
      <c r="F37" s="4" t="s">
        <v>54</v>
      </c>
      <c r="G37" s="4" t="s">
        <v>25</v>
      </c>
      <c r="H37" s="4" t="s">
        <v>37</v>
      </c>
      <c r="I37" s="5">
        <v>44682</v>
      </c>
      <c r="J37" s="6">
        <v>0</v>
      </c>
      <c r="K37" s="6">
        <v>0</v>
      </c>
      <c r="L37" s="6">
        <v>89.613</v>
      </c>
      <c r="M37" s="6">
        <v>44.8065</v>
      </c>
      <c r="N37" s="6">
        <v>0</v>
      </c>
      <c r="O37" s="6">
        <v>0</v>
      </c>
      <c r="P37" s="6">
        <v>0</v>
      </c>
      <c r="Q37" s="4" t="s">
        <v>53</v>
      </c>
      <c r="R37" s="4">
        <v>0</v>
      </c>
      <c r="S37" s="4">
        <v>0</v>
      </c>
      <c r="T37" s="4">
        <v>7</v>
      </c>
      <c r="U37" s="4">
        <v>0</v>
      </c>
      <c r="V37" s="6">
        <f>IF(ISERROR(VLOOKUP($S$37,'TAR FIN'!$A$1:$O$103,15,0)),0,VLOOKUP($S$37,'TAR FIN'!$A$1:$O$103,15,0))</f>
        <v>0</v>
      </c>
      <c r="W37" s="6">
        <f>IF(ISERROR(VLOOKUP($T$37,'TAR FIN'!$A$1:$O$103,15,0)),0,VLOOKUP($T$37,'TAR FIN'!$A$1:$O$103,15,0))</f>
        <v>842.31</v>
      </c>
      <c r="X37" s="6">
        <f>IF(ISERROR(VLOOKUP($U$37,'TAR FIN'!$A$1:$O$103,15,0)),0,VLOOKUP($U$37,'TAR FIN'!$A$1:$O$103,15,0))</f>
        <v>0</v>
      </c>
      <c r="Y37" s="6"/>
      <c r="Z37" s="6">
        <f ca="1">('TUSD BE'!$AM$11+'TUSD BF'!$AM$11+'TUSD CVA'!$AM$11)*1</f>
        <v>1146.3801365962368</v>
      </c>
      <c r="AA37" s="6"/>
      <c r="AB37" s="6">
        <f t="shared" si="0"/>
        <v>0</v>
      </c>
      <c r="AC37" s="6">
        <f t="shared" si="6"/>
        <v>37740.963014999994</v>
      </c>
      <c r="AD37" s="6">
        <f t="shared" si="2"/>
        <v>0</v>
      </c>
      <c r="AE37" s="6">
        <f t="shared" ca="1" si="7"/>
        <v>51365.281590399281</v>
      </c>
      <c r="AF37" s="4" t="s">
        <v>777</v>
      </c>
    </row>
    <row r="38" spans="1:32" ht="11.25" customHeight="1" x14ac:dyDescent="0.25">
      <c r="A38" s="4" t="s">
        <v>21</v>
      </c>
      <c r="B38" s="4" t="s">
        <v>33</v>
      </c>
      <c r="C38" s="4" t="s">
        <v>41</v>
      </c>
      <c r="D38" s="4" t="s">
        <v>40</v>
      </c>
      <c r="E38" s="4" t="s">
        <v>25</v>
      </c>
      <c r="F38" s="4" t="s">
        <v>54</v>
      </c>
      <c r="G38" s="4" t="s">
        <v>25</v>
      </c>
      <c r="H38" s="4" t="s">
        <v>35</v>
      </c>
      <c r="I38" s="5">
        <v>44621</v>
      </c>
      <c r="J38" s="6">
        <v>500</v>
      </c>
      <c r="K38" s="6">
        <v>250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53</v>
      </c>
      <c r="R38" s="4">
        <v>0</v>
      </c>
      <c r="S38" s="4">
        <v>14</v>
      </c>
      <c r="T38" s="4">
        <v>0</v>
      </c>
      <c r="U38" s="4">
        <v>0</v>
      </c>
      <c r="V38" s="6">
        <f>IF(ISERROR(VLOOKUP($S$38,'TAR FIN'!$A$1:$O$103,15,0)),0,VLOOKUP($S$38,'TAR FIN'!$A$1:$O$103,15,0))</f>
        <v>12.42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BE'!$AM$16+'TUSD BF'!$AM$16+'TUSD CVA'!$AM$16)*1</f>
        <v>16.518304697547443</v>
      </c>
      <c r="Z38" s="6">
        <f ca="1">('TUSD BE'!$AM$17+'TUSD BF'!$AM$17+'TUSD CVA'!$AM$17)*1</f>
        <v>111.236500713561</v>
      </c>
      <c r="AA38" s="6"/>
      <c r="AB38" s="6">
        <f t="shared" si="0"/>
        <v>3105</v>
      </c>
      <c r="AC38" s="6">
        <f t="shared" si="6"/>
        <v>0</v>
      </c>
      <c r="AD38" s="6">
        <f t="shared" ca="1" si="2"/>
        <v>4129.5761743868607</v>
      </c>
      <c r="AE38" s="6">
        <f t="shared" ca="1" si="7"/>
        <v>0</v>
      </c>
      <c r="AF38" s="4" t="s">
        <v>777</v>
      </c>
    </row>
    <row r="39" spans="1:32" ht="11.25" customHeight="1" x14ac:dyDescent="0.25">
      <c r="A39" s="4" t="s">
        <v>21</v>
      </c>
      <c r="B39" s="4" t="s">
        <v>33</v>
      </c>
      <c r="C39" s="4" t="s">
        <v>41</v>
      </c>
      <c r="D39" s="4" t="s">
        <v>40</v>
      </c>
      <c r="E39" s="4" t="s">
        <v>25</v>
      </c>
      <c r="F39" s="4" t="s">
        <v>54</v>
      </c>
      <c r="G39" s="4" t="s">
        <v>25</v>
      </c>
      <c r="H39" s="4" t="s">
        <v>35</v>
      </c>
      <c r="I39" s="5">
        <v>44652</v>
      </c>
      <c r="J39" s="6">
        <v>500</v>
      </c>
      <c r="K39" s="6">
        <v>250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53</v>
      </c>
      <c r="R39" s="4">
        <v>0</v>
      </c>
      <c r="S39" s="4">
        <v>14</v>
      </c>
      <c r="T39" s="4">
        <v>0</v>
      </c>
      <c r="U39" s="4">
        <v>0</v>
      </c>
      <c r="V39" s="6">
        <f>IF(ISERROR(VLOOKUP($S$39,'TAR FIN'!$A$1:$O$103,15,0)),0,VLOOKUP($S$39,'TAR FIN'!$A$1:$O$103,15,0))</f>
        <v>12.42</v>
      </c>
      <c r="W39" s="6">
        <f>IF(ISERROR(VLOOKUP($T$39,'TAR FIN'!$A$1:$O$103,15,0)),0,VLOOKUP($T$39,'TAR FIN'!$A$1:$O$103,15,0))</f>
        <v>0</v>
      </c>
      <c r="X39" s="6">
        <f>IF(ISERROR(VLOOKUP($U$39,'TAR FIN'!$A$1:$O$103,15,0)),0,VLOOKUP($U$39,'TAR FIN'!$A$1:$O$103,15,0))</f>
        <v>0</v>
      </c>
      <c r="Y39" s="6">
        <f ca="1">('TUSD BE'!$AM$16+'TUSD BF'!$AM$16+'TUSD CVA'!$AM$16)*1</f>
        <v>16.518304697547443</v>
      </c>
      <c r="Z39" s="6">
        <f ca="1">('TUSD BE'!$AM$17+'TUSD BF'!$AM$17+'TUSD CVA'!$AM$17)*1</f>
        <v>111.236500713561</v>
      </c>
      <c r="AA39" s="6"/>
      <c r="AB39" s="6">
        <f t="shared" si="0"/>
        <v>3105</v>
      </c>
      <c r="AC39" s="6">
        <f t="shared" si="6"/>
        <v>0</v>
      </c>
      <c r="AD39" s="6">
        <f t="shared" ca="1" si="2"/>
        <v>4129.5761743868607</v>
      </c>
      <c r="AE39" s="6">
        <f t="shared" ca="1" si="7"/>
        <v>0</v>
      </c>
      <c r="AF39" s="4" t="s">
        <v>777</v>
      </c>
    </row>
    <row r="40" spans="1:32" ht="11.25" customHeight="1" x14ac:dyDescent="0.25">
      <c r="A40" s="4" t="s">
        <v>21</v>
      </c>
      <c r="B40" s="4" t="s">
        <v>33</v>
      </c>
      <c r="C40" s="4" t="s">
        <v>41</v>
      </c>
      <c r="D40" s="4" t="s">
        <v>40</v>
      </c>
      <c r="E40" s="4" t="s">
        <v>25</v>
      </c>
      <c r="F40" s="4" t="s">
        <v>54</v>
      </c>
      <c r="G40" s="4" t="s">
        <v>25</v>
      </c>
      <c r="H40" s="4" t="s">
        <v>35</v>
      </c>
      <c r="I40" s="5">
        <v>44682</v>
      </c>
      <c r="J40" s="6">
        <v>500</v>
      </c>
      <c r="K40" s="6">
        <v>250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53</v>
      </c>
      <c r="R40" s="4">
        <v>0</v>
      </c>
      <c r="S40" s="4">
        <v>14</v>
      </c>
      <c r="T40" s="4">
        <v>0</v>
      </c>
      <c r="U40" s="4">
        <v>0</v>
      </c>
      <c r="V40" s="6">
        <f>IF(ISERROR(VLOOKUP($S$40,'TAR FIN'!$A$1:$O$103,15,0)),0,VLOOKUP($S$40,'TAR FIN'!$A$1:$O$103,15,0))</f>
        <v>12.42</v>
      </c>
      <c r="W40" s="6">
        <f>IF(ISERROR(VLOOKUP($T$40,'TAR FIN'!$A$1:$O$103,15,0)),0,VLOOKUP($T$40,'TAR FIN'!$A$1:$O$103,15,0))</f>
        <v>0</v>
      </c>
      <c r="X40" s="6">
        <f>IF(ISERROR(VLOOKUP($U$40,'TAR FIN'!$A$1:$O$103,15,0)),0,VLOOKUP($U$40,'TAR FIN'!$A$1:$O$103,15,0))</f>
        <v>0</v>
      </c>
      <c r="Y40" s="6">
        <f ca="1">('TUSD BE'!$AM$16+'TUSD BF'!$AM$16+'TUSD CVA'!$AM$16)*1</f>
        <v>16.518304697547443</v>
      </c>
      <c r="Z40" s="6">
        <f ca="1">('TUSD BE'!$AM$17+'TUSD BF'!$AM$17+'TUSD CVA'!$AM$17)*1</f>
        <v>111.236500713561</v>
      </c>
      <c r="AA40" s="6"/>
      <c r="AB40" s="6">
        <f t="shared" si="0"/>
        <v>3105</v>
      </c>
      <c r="AC40" s="6">
        <f t="shared" si="6"/>
        <v>0</v>
      </c>
      <c r="AD40" s="6">
        <f t="shared" ca="1" si="2"/>
        <v>4129.5761743868607</v>
      </c>
      <c r="AE40" s="6">
        <f t="shared" ca="1" si="7"/>
        <v>0</v>
      </c>
      <c r="AF40" s="4" t="s">
        <v>777</v>
      </c>
    </row>
    <row r="41" spans="1:32" ht="11.25" customHeight="1" x14ac:dyDescent="0.25">
      <c r="A41" s="4" t="s">
        <v>21</v>
      </c>
      <c r="B41" s="4" t="s">
        <v>33</v>
      </c>
      <c r="C41" s="4" t="s">
        <v>41</v>
      </c>
      <c r="D41" s="4" t="s">
        <v>40</v>
      </c>
      <c r="E41" s="4" t="s">
        <v>25</v>
      </c>
      <c r="F41" s="4" t="s">
        <v>54</v>
      </c>
      <c r="G41" s="4" t="s">
        <v>25</v>
      </c>
      <c r="H41" s="4" t="s">
        <v>25</v>
      </c>
      <c r="I41" s="5">
        <v>44621</v>
      </c>
      <c r="J41" s="6">
        <v>0</v>
      </c>
      <c r="K41" s="6">
        <v>0</v>
      </c>
      <c r="L41" s="6">
        <v>115.642</v>
      </c>
      <c r="M41" s="6">
        <v>115.642</v>
      </c>
      <c r="N41" s="6">
        <v>0</v>
      </c>
      <c r="O41" s="6">
        <v>0</v>
      </c>
      <c r="P41" s="6">
        <v>2</v>
      </c>
      <c r="Q41" s="4" t="s">
        <v>53</v>
      </c>
      <c r="R41" s="4">
        <v>0</v>
      </c>
      <c r="S41" s="4">
        <v>0</v>
      </c>
      <c r="T41" s="4">
        <v>15</v>
      </c>
      <c r="U41" s="4">
        <v>0</v>
      </c>
      <c r="V41" s="6">
        <f>IF(ISERROR(VLOOKUP($S$41,'TAR FIN'!$A$1:$O$103,15,0)),0,VLOOKUP($S$41,'TAR FIN'!$A$1:$O$103,15,0))</f>
        <v>0</v>
      </c>
      <c r="W41" s="6">
        <f>IF(ISERROR(VLOOKUP($T$41,'TAR FIN'!$A$1:$O$103,15,0)),0,VLOOKUP($T$41,'TAR FIN'!$A$1:$O$103,15,0))</f>
        <v>69.37</v>
      </c>
      <c r="X41" s="6">
        <f>IF(ISERROR(VLOOKUP($U$41,'TAR FIN'!$A$1:$O$103,15,0)),0,VLOOKUP($U$41,'TAR FIN'!$A$1:$O$103,15,0))</f>
        <v>0</v>
      </c>
      <c r="Y41" s="6"/>
      <c r="Z41" s="6">
        <f ca="1">('TUSD BE'!$AM$17+'TUSD BF'!$AM$17+'TUSD CVA'!$AM$17)*1</f>
        <v>111.236500713561</v>
      </c>
      <c r="AA41" s="6"/>
      <c r="AB41" s="6">
        <f t="shared" si="0"/>
        <v>0</v>
      </c>
      <c r="AC41" s="6">
        <f t="shared" si="6"/>
        <v>0</v>
      </c>
      <c r="AD41" s="6">
        <f t="shared" si="2"/>
        <v>0</v>
      </c>
      <c r="AE41" s="6">
        <f t="shared" ca="1" si="7"/>
        <v>0</v>
      </c>
      <c r="AF41" s="4" t="s">
        <v>777</v>
      </c>
    </row>
    <row r="42" spans="1:32" ht="11.25" customHeight="1" x14ac:dyDescent="0.25">
      <c r="A42" s="4" t="s">
        <v>21</v>
      </c>
      <c r="B42" s="4" t="s">
        <v>33</v>
      </c>
      <c r="C42" s="4" t="s">
        <v>41</v>
      </c>
      <c r="D42" s="4" t="s">
        <v>40</v>
      </c>
      <c r="E42" s="4" t="s">
        <v>25</v>
      </c>
      <c r="F42" s="4" t="s">
        <v>54</v>
      </c>
      <c r="G42" s="4" t="s">
        <v>25</v>
      </c>
      <c r="H42" s="4" t="s">
        <v>25</v>
      </c>
      <c r="I42" s="5">
        <v>44652</v>
      </c>
      <c r="J42" s="6">
        <v>0</v>
      </c>
      <c r="K42" s="6">
        <v>0</v>
      </c>
      <c r="L42" s="6">
        <v>138.791</v>
      </c>
      <c r="M42" s="6">
        <v>138.791</v>
      </c>
      <c r="N42" s="6">
        <v>0</v>
      </c>
      <c r="O42" s="6">
        <v>0</v>
      </c>
      <c r="P42" s="6">
        <v>2</v>
      </c>
      <c r="Q42" s="4" t="s">
        <v>53</v>
      </c>
      <c r="R42" s="4">
        <v>0</v>
      </c>
      <c r="S42" s="4">
        <v>0</v>
      </c>
      <c r="T42" s="4">
        <v>15</v>
      </c>
      <c r="U42" s="4">
        <v>0</v>
      </c>
      <c r="V42" s="6">
        <f>IF(ISERROR(VLOOKUP($S$42,'TAR FIN'!$A$1:$O$103,15,0)),0,VLOOKUP($S$42,'TAR FIN'!$A$1:$O$103,15,0))</f>
        <v>0</v>
      </c>
      <c r="W42" s="6">
        <f>IF(ISERROR(VLOOKUP($T$42,'TAR FIN'!$A$1:$O$103,15,0)),0,VLOOKUP($T$42,'TAR FIN'!$A$1:$O$103,15,0))</f>
        <v>69.37</v>
      </c>
      <c r="X42" s="6">
        <f>IF(ISERROR(VLOOKUP($U$42,'TAR FIN'!$A$1:$O$103,15,0)),0,VLOOKUP($U$42,'TAR FIN'!$A$1:$O$103,15,0))</f>
        <v>0</v>
      </c>
      <c r="Y42" s="6"/>
      <c r="Z42" s="6">
        <f ca="1">('TUSD BE'!$AM$17+'TUSD BF'!$AM$17+'TUSD CVA'!$AM$17)*1</f>
        <v>111.236500713561</v>
      </c>
      <c r="AA42" s="6"/>
      <c r="AB42" s="6">
        <f t="shared" si="0"/>
        <v>0</v>
      </c>
      <c r="AC42" s="6">
        <f t="shared" si="6"/>
        <v>0</v>
      </c>
      <c r="AD42" s="6">
        <f t="shared" si="2"/>
        <v>0</v>
      </c>
      <c r="AE42" s="6">
        <f t="shared" ca="1" si="7"/>
        <v>0</v>
      </c>
      <c r="AF42" s="4" t="s">
        <v>777</v>
      </c>
    </row>
    <row r="43" spans="1:32" ht="11.25" customHeight="1" x14ac:dyDescent="0.25">
      <c r="A43" s="4" t="s">
        <v>21</v>
      </c>
      <c r="B43" s="4" t="s">
        <v>33</v>
      </c>
      <c r="C43" s="4" t="s">
        <v>41</v>
      </c>
      <c r="D43" s="4" t="s">
        <v>40</v>
      </c>
      <c r="E43" s="4" t="s">
        <v>25</v>
      </c>
      <c r="F43" s="4" t="s">
        <v>54</v>
      </c>
      <c r="G43" s="4" t="s">
        <v>25</v>
      </c>
      <c r="H43" s="4" t="s">
        <v>25</v>
      </c>
      <c r="I43" s="5">
        <v>44682</v>
      </c>
      <c r="J43" s="6">
        <v>0</v>
      </c>
      <c r="K43" s="6">
        <v>0</v>
      </c>
      <c r="L43" s="6">
        <v>138.709</v>
      </c>
      <c r="M43" s="6">
        <v>138.709</v>
      </c>
      <c r="N43" s="6">
        <v>0</v>
      </c>
      <c r="O43" s="6">
        <v>0</v>
      </c>
      <c r="P43" s="6">
        <v>2</v>
      </c>
      <c r="Q43" s="4" t="s">
        <v>53</v>
      </c>
      <c r="R43" s="4">
        <v>0</v>
      </c>
      <c r="S43" s="4">
        <v>0</v>
      </c>
      <c r="T43" s="4">
        <v>15</v>
      </c>
      <c r="U43" s="4">
        <v>0</v>
      </c>
      <c r="V43" s="6">
        <f>IF(ISERROR(VLOOKUP($S$43,'TAR FIN'!$A$1:$O$103,15,0)),0,VLOOKUP($S$43,'TAR FIN'!$A$1:$O$103,15,0))</f>
        <v>0</v>
      </c>
      <c r="W43" s="6">
        <f>IF(ISERROR(VLOOKUP($T$43,'TAR FIN'!$A$1:$O$103,15,0)),0,VLOOKUP($T$43,'TAR FIN'!$A$1:$O$103,15,0))</f>
        <v>69.37</v>
      </c>
      <c r="X43" s="6">
        <f>IF(ISERROR(VLOOKUP($U$43,'TAR FIN'!$A$1:$O$103,15,0)),0,VLOOKUP($U$43,'TAR FIN'!$A$1:$O$103,15,0))</f>
        <v>0</v>
      </c>
      <c r="Y43" s="6"/>
      <c r="Z43" s="6">
        <f ca="1">('TUSD BE'!$AM$17+'TUSD BF'!$AM$17+'TUSD CVA'!$AM$17)*1</f>
        <v>111.236500713561</v>
      </c>
      <c r="AA43" s="6"/>
      <c r="AB43" s="6">
        <f t="shared" si="0"/>
        <v>0</v>
      </c>
      <c r="AC43" s="6">
        <f t="shared" si="6"/>
        <v>0</v>
      </c>
      <c r="AD43" s="6">
        <f t="shared" si="2"/>
        <v>0</v>
      </c>
      <c r="AE43" s="6">
        <f t="shared" ca="1" si="7"/>
        <v>0</v>
      </c>
      <c r="AF43" s="4" t="s">
        <v>777</v>
      </c>
    </row>
    <row r="44" spans="1:32" ht="11.25" customHeight="1" x14ac:dyDescent="0.25">
      <c r="A44" s="4" t="s">
        <v>21</v>
      </c>
      <c r="B44" s="4" t="s">
        <v>33</v>
      </c>
      <c r="C44" s="4" t="s">
        <v>41</v>
      </c>
      <c r="D44" s="4" t="s">
        <v>40</v>
      </c>
      <c r="E44" s="4" t="s">
        <v>25</v>
      </c>
      <c r="F44" s="4" t="s">
        <v>54</v>
      </c>
      <c r="G44" s="4" t="s">
        <v>25</v>
      </c>
      <c r="H44" s="4" t="s">
        <v>37</v>
      </c>
      <c r="I44" s="5">
        <v>44621</v>
      </c>
      <c r="J44" s="6">
        <v>389</v>
      </c>
      <c r="K44" s="6">
        <v>194.5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53</v>
      </c>
      <c r="R44" s="4">
        <v>0</v>
      </c>
      <c r="S44" s="4">
        <v>13</v>
      </c>
      <c r="T44" s="4">
        <v>0</v>
      </c>
      <c r="U44" s="4">
        <v>0</v>
      </c>
      <c r="V44" s="6">
        <f>IF(ISERROR(VLOOKUP($S$44,'TAR FIN'!$A$1:$O$103,15,0)),0,VLOOKUP($S$44,'TAR FIN'!$A$1:$O$103,15,0))</f>
        <v>31.72</v>
      </c>
      <c r="W44" s="6">
        <f>IF(ISERROR(VLOOKUP($T$44,'TAR FIN'!$A$1:$O$103,15,0)),0,VLOOKUP($T$44,'TAR FIN'!$A$1:$O$103,15,0))</f>
        <v>0</v>
      </c>
      <c r="X44" s="6">
        <f>IF(ISERROR(VLOOKUP($U$44,'TAR FIN'!$A$1:$O$103,15,0)),0,VLOOKUP($U$44,'TAR FIN'!$A$1:$O$103,15,0))</f>
        <v>0</v>
      </c>
      <c r="Y44" s="6">
        <f ca="1">('TUSD BE'!$AM$15+'TUSD BF'!$AM$15+'TUSD CVA'!$AM$15)*1</f>
        <v>42.424687369311435</v>
      </c>
      <c r="Z44" s="6">
        <f ca="1">('TUSD BE'!$AM$17+'TUSD BF'!$AM$17+'TUSD CVA'!$AM$17)*1</f>
        <v>111.236500713561</v>
      </c>
      <c r="AA44" s="6"/>
      <c r="AB44" s="6">
        <f t="shared" si="0"/>
        <v>6169.54</v>
      </c>
      <c r="AC44" s="6">
        <f t="shared" si="6"/>
        <v>0</v>
      </c>
      <c r="AD44" s="6">
        <f t="shared" ca="1" si="2"/>
        <v>8251.6016933310748</v>
      </c>
      <c r="AE44" s="6">
        <f t="shared" ca="1" si="7"/>
        <v>0</v>
      </c>
      <c r="AF44" s="4" t="s">
        <v>777</v>
      </c>
    </row>
    <row r="45" spans="1:32" ht="11.25" customHeight="1" x14ac:dyDescent="0.25">
      <c r="A45" s="4" t="s">
        <v>21</v>
      </c>
      <c r="B45" s="4" t="s">
        <v>33</v>
      </c>
      <c r="C45" s="4" t="s">
        <v>41</v>
      </c>
      <c r="D45" s="4" t="s">
        <v>40</v>
      </c>
      <c r="E45" s="4" t="s">
        <v>25</v>
      </c>
      <c r="F45" s="4" t="s">
        <v>54</v>
      </c>
      <c r="G45" s="4" t="s">
        <v>25</v>
      </c>
      <c r="H45" s="4" t="s">
        <v>37</v>
      </c>
      <c r="I45" s="5">
        <v>44652</v>
      </c>
      <c r="J45" s="6">
        <v>389</v>
      </c>
      <c r="K45" s="6">
        <v>194.5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53</v>
      </c>
      <c r="R45" s="4">
        <v>0</v>
      </c>
      <c r="S45" s="4">
        <v>13</v>
      </c>
      <c r="T45" s="4">
        <v>0</v>
      </c>
      <c r="U45" s="4">
        <v>0</v>
      </c>
      <c r="V45" s="6">
        <f>IF(ISERROR(VLOOKUP($S$45,'TAR FIN'!$A$1:$O$103,15,0)),0,VLOOKUP($S$45,'TAR FIN'!$A$1:$O$103,15,0))</f>
        <v>31.72</v>
      </c>
      <c r="W45" s="6">
        <f>IF(ISERROR(VLOOKUP($T$45,'TAR FIN'!$A$1:$O$103,15,0)),0,VLOOKUP($T$45,'TAR FIN'!$A$1:$O$103,15,0))</f>
        <v>0</v>
      </c>
      <c r="X45" s="6">
        <f>IF(ISERROR(VLOOKUP($U$45,'TAR FIN'!$A$1:$O$103,15,0)),0,VLOOKUP($U$45,'TAR FIN'!$A$1:$O$103,15,0))</f>
        <v>0</v>
      </c>
      <c r="Y45" s="6">
        <f ca="1">('TUSD BE'!$AM$15+'TUSD BF'!$AM$15+'TUSD CVA'!$AM$15)*1</f>
        <v>42.424687369311435</v>
      </c>
      <c r="Z45" s="6">
        <f ca="1">('TUSD BE'!$AM$17+'TUSD BF'!$AM$17+'TUSD CVA'!$AM$17)*1</f>
        <v>111.236500713561</v>
      </c>
      <c r="AA45" s="6"/>
      <c r="AB45" s="6">
        <f t="shared" si="0"/>
        <v>6169.54</v>
      </c>
      <c r="AC45" s="6">
        <f t="shared" si="6"/>
        <v>0</v>
      </c>
      <c r="AD45" s="6">
        <f t="shared" ca="1" si="2"/>
        <v>8251.6016933310748</v>
      </c>
      <c r="AE45" s="6">
        <f t="shared" ca="1" si="7"/>
        <v>0</v>
      </c>
      <c r="AF45" s="4" t="s">
        <v>777</v>
      </c>
    </row>
    <row r="46" spans="1:32" ht="11.25" customHeight="1" x14ac:dyDescent="0.25">
      <c r="A46" s="4" t="s">
        <v>21</v>
      </c>
      <c r="B46" s="4" t="s">
        <v>33</v>
      </c>
      <c r="C46" s="4" t="s">
        <v>41</v>
      </c>
      <c r="D46" s="4" t="s">
        <v>40</v>
      </c>
      <c r="E46" s="4" t="s">
        <v>25</v>
      </c>
      <c r="F46" s="4" t="s">
        <v>54</v>
      </c>
      <c r="G46" s="4" t="s">
        <v>25</v>
      </c>
      <c r="H46" s="4" t="s">
        <v>37</v>
      </c>
      <c r="I46" s="5">
        <v>44682</v>
      </c>
      <c r="J46" s="6">
        <v>389</v>
      </c>
      <c r="K46" s="6">
        <v>194.5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53</v>
      </c>
      <c r="R46" s="4">
        <v>0</v>
      </c>
      <c r="S46" s="4">
        <v>13</v>
      </c>
      <c r="T46" s="4">
        <v>0</v>
      </c>
      <c r="U46" s="4">
        <v>0</v>
      </c>
      <c r="V46" s="6">
        <f>IF(ISERROR(VLOOKUP($S$46,'TAR FIN'!$A$1:$O$103,15,0)),0,VLOOKUP($S$46,'TAR FIN'!$A$1:$O$103,15,0))</f>
        <v>31.72</v>
      </c>
      <c r="W46" s="6">
        <f>IF(ISERROR(VLOOKUP($T$46,'TAR FIN'!$A$1:$O$103,15,0)),0,VLOOKUP($T$46,'TAR FIN'!$A$1:$O$103,15,0))</f>
        <v>0</v>
      </c>
      <c r="X46" s="6">
        <f>IF(ISERROR(VLOOKUP($U$46,'TAR FIN'!$A$1:$O$103,15,0)),0,VLOOKUP($U$46,'TAR FIN'!$A$1:$O$103,15,0))</f>
        <v>0</v>
      </c>
      <c r="Y46" s="6">
        <f ca="1">('TUSD BE'!$AM$15+'TUSD BF'!$AM$15+'TUSD CVA'!$AM$15)*1</f>
        <v>42.424687369311435</v>
      </c>
      <c r="Z46" s="6">
        <f ca="1">('TUSD BE'!$AM$17+'TUSD BF'!$AM$17+'TUSD CVA'!$AM$17)*1</f>
        <v>111.236500713561</v>
      </c>
      <c r="AA46" s="6"/>
      <c r="AB46" s="6">
        <f t="shared" si="0"/>
        <v>6169.54</v>
      </c>
      <c r="AC46" s="6">
        <f t="shared" si="6"/>
        <v>0</v>
      </c>
      <c r="AD46" s="6">
        <f t="shared" ca="1" si="2"/>
        <v>8251.6016933310748</v>
      </c>
      <c r="AE46" s="6">
        <f t="shared" ca="1" si="7"/>
        <v>0</v>
      </c>
      <c r="AF46" s="4" t="s">
        <v>777</v>
      </c>
    </row>
    <row r="47" spans="1:32" ht="11.25" customHeight="1" x14ac:dyDescent="0.25">
      <c r="A47" s="4" t="s">
        <v>21</v>
      </c>
      <c r="B47" s="4" t="s">
        <v>33</v>
      </c>
      <c r="C47" s="4" t="s">
        <v>41</v>
      </c>
      <c r="D47" s="4" t="s">
        <v>50</v>
      </c>
      <c r="E47" s="4" t="s">
        <v>51</v>
      </c>
      <c r="F47" s="4" t="s">
        <v>25</v>
      </c>
      <c r="G47" s="4" t="s">
        <v>25</v>
      </c>
      <c r="H47" s="4" t="s">
        <v>35</v>
      </c>
      <c r="I47" s="5">
        <v>44348</v>
      </c>
      <c r="J47" s="6">
        <v>228</v>
      </c>
      <c r="K47" s="52">
        <v>228</v>
      </c>
      <c r="L47" s="6">
        <v>32.115000000000002</v>
      </c>
      <c r="M47" s="53">
        <v>32.115000000000002</v>
      </c>
      <c r="N47" s="6">
        <v>32.115000000000002</v>
      </c>
      <c r="O47" s="53">
        <v>32.115000000000002</v>
      </c>
      <c r="P47" s="6">
        <v>0</v>
      </c>
      <c r="Q47" s="4" t="s">
        <v>26</v>
      </c>
      <c r="R47" s="4">
        <v>0</v>
      </c>
      <c r="S47" s="4">
        <v>14</v>
      </c>
      <c r="T47" s="4">
        <v>15</v>
      </c>
      <c r="U47" s="4">
        <v>66</v>
      </c>
      <c r="V47" s="53">
        <f>IF(ISERROR(VLOOKUP($S$47,'TAR FIN'!$A$1:$O$103,15,0)),0,VLOOKUP($S$47,'TAR FIN'!$A$1:$O$103,15,0))*(1-0.06)</f>
        <v>11.674799999999999</v>
      </c>
      <c r="W47" s="53">
        <f>IF(ISERROR(VLOOKUP($T$47,'TAR FIN'!$A$1:$O$103,15,0)),0,VLOOKUP($T$47,'TAR FIN'!$A$1:$O$103,15,0))*(1-0.06)</f>
        <v>65.207800000000006</v>
      </c>
      <c r="X47" s="53">
        <f>IF(ISERROR(VLOOKUP($U$47,'TAR FIN'!$A$1:$O$103,15,0)),0,VLOOKUP($U$47,'TAR FIN'!$A$1:$O$103,15,0))*(1-0.06)</f>
        <v>267.29840000000002</v>
      </c>
      <c r="Y47" s="53">
        <f ca="1">('TUSD BE'!$AM$16+'TUSD BF'!$AM$16+'TUSD CVA'!$AM$16)*1*(1-0.03)</f>
        <v>16.022755556621018</v>
      </c>
      <c r="Z47" s="53">
        <f ca="1">('TUSD BE'!$AM$17+'TUSD BF'!$AM$17+'TUSD CVA'!$AM$17)*1*(1-0.03)</f>
        <v>107.89940569215416</v>
      </c>
      <c r="AA47" s="53">
        <f>('TE BE'!$AB$9+'TE BF'!$AB$9+'TE CVA'!$AB$9)*1*(1-0.03)</f>
        <v>251.26567196807298</v>
      </c>
      <c r="AB47" s="53">
        <f>(SUBSIDIO!$J$47*SUBSIDIO!$V$47)*(0.06)/(1-0.06)</f>
        <v>169.90559999999999</v>
      </c>
      <c r="AC47" s="53">
        <f>((SUBSIDIO!$L$47*SUBSIDIO!$W$47)+(SUBSIDIO!$N$47*SUBSIDIO!$X$47))*(0.06)/(1-0.06)</f>
        <v>681.60233700000003</v>
      </c>
      <c r="AD47" s="53">
        <f ca="1">(SUBSIDIO!$J$47*SUBSIDIO!$Y$47)*(0.03)/(1-0.03)</f>
        <v>112.98520413122451</v>
      </c>
      <c r="AE47" s="53">
        <f ca="1">((SUBSIDIO!$L$47*SUBSIDIO!$Z$47)+(SUBSIDIO!$N$47*SUBSIDIO!$AA$47))*(0.03)/(1-0.03)</f>
        <v>356.73978770283077</v>
      </c>
      <c r="AF47" s="4" t="s">
        <v>778</v>
      </c>
    </row>
    <row r="48" spans="1:32" ht="11.25" customHeight="1" x14ac:dyDescent="0.25">
      <c r="A48" s="4" t="s">
        <v>21</v>
      </c>
      <c r="B48" s="4" t="s">
        <v>33</v>
      </c>
      <c r="C48" s="4" t="s">
        <v>41</v>
      </c>
      <c r="D48" s="4" t="s">
        <v>50</v>
      </c>
      <c r="E48" s="4" t="s">
        <v>51</v>
      </c>
      <c r="F48" s="4" t="s">
        <v>25</v>
      </c>
      <c r="G48" s="4" t="s">
        <v>25</v>
      </c>
      <c r="H48" s="4" t="s">
        <v>35</v>
      </c>
      <c r="I48" s="5">
        <v>44378</v>
      </c>
      <c r="J48" s="6">
        <v>228</v>
      </c>
      <c r="K48" s="52">
        <v>228</v>
      </c>
      <c r="L48" s="6">
        <v>48.148000000000003</v>
      </c>
      <c r="M48" s="53">
        <v>48.148000000000003</v>
      </c>
      <c r="N48" s="6">
        <v>48.148000000000003</v>
      </c>
      <c r="O48" s="53">
        <v>48.148000000000003</v>
      </c>
      <c r="P48" s="6">
        <v>0</v>
      </c>
      <c r="Q48" s="4" t="s">
        <v>26</v>
      </c>
      <c r="R48" s="4">
        <v>0</v>
      </c>
      <c r="S48" s="4">
        <v>14</v>
      </c>
      <c r="T48" s="4">
        <v>15</v>
      </c>
      <c r="U48" s="4">
        <v>66</v>
      </c>
      <c r="V48" s="53">
        <f>IF(ISERROR(VLOOKUP($S$48,'TAR FIN'!$A$1:$O$103,15,0)),0,VLOOKUP($S$48,'TAR FIN'!$A$1:$O$103,15,0))*(1-0.06)</f>
        <v>11.674799999999999</v>
      </c>
      <c r="W48" s="53">
        <f>IF(ISERROR(VLOOKUP($T$48,'TAR FIN'!$A$1:$O$103,15,0)),0,VLOOKUP($T$48,'TAR FIN'!$A$1:$O$103,15,0))*(1-0.06)</f>
        <v>65.207800000000006</v>
      </c>
      <c r="X48" s="53">
        <f>IF(ISERROR(VLOOKUP($U$48,'TAR FIN'!$A$1:$O$103,15,0)),0,VLOOKUP($U$48,'TAR FIN'!$A$1:$O$103,15,0))*(1-0.06)</f>
        <v>267.29840000000002</v>
      </c>
      <c r="Y48" s="53">
        <f ca="1">('TUSD BE'!$AM$16+'TUSD BF'!$AM$16+'TUSD CVA'!$AM$16)*1*(1-0.03)</f>
        <v>16.022755556621018</v>
      </c>
      <c r="Z48" s="53">
        <f ca="1">('TUSD BE'!$AM$17+'TUSD BF'!$AM$17+'TUSD CVA'!$AM$17)*1*(1-0.03)</f>
        <v>107.89940569215416</v>
      </c>
      <c r="AA48" s="53">
        <f>('TE BE'!$AB$9+'TE BF'!$AB$9+'TE CVA'!$AB$9)*1*(1-0.03)</f>
        <v>251.26567196807298</v>
      </c>
      <c r="AB48" s="53">
        <f>(SUBSIDIO!$J$48*SUBSIDIO!$V$48)*(0.06)/(1-0.06)</f>
        <v>169.90559999999999</v>
      </c>
      <c r="AC48" s="53">
        <f>((SUBSIDIO!$L$48*SUBSIDIO!$W$48)+(SUBSIDIO!$N$48*SUBSIDIO!$X$48))*(0.06)/(1-0.06)</f>
        <v>1021.8835224000002</v>
      </c>
      <c r="AD48" s="53">
        <f ca="1">(SUBSIDIO!$J$48*SUBSIDIO!$Y$48)*(0.03)/(1-0.03)</f>
        <v>112.98520413122451</v>
      </c>
      <c r="AE48" s="53">
        <f ca="1">((SUBSIDIO!$L$48*SUBSIDIO!$Z$48)+(SUBSIDIO!$N$48*SUBSIDIO!$AA$48))*(0.03)/(1-0.03)</f>
        <v>534.83753069643149</v>
      </c>
      <c r="AF48" s="4" t="s">
        <v>778</v>
      </c>
    </row>
    <row r="49" spans="1:32" ht="11.25" customHeight="1" x14ac:dyDescent="0.25">
      <c r="A49" s="4" t="s">
        <v>21</v>
      </c>
      <c r="B49" s="4" t="s">
        <v>33</v>
      </c>
      <c r="C49" s="4" t="s">
        <v>41</v>
      </c>
      <c r="D49" s="4" t="s">
        <v>50</v>
      </c>
      <c r="E49" s="4" t="s">
        <v>51</v>
      </c>
      <c r="F49" s="4" t="s">
        <v>25</v>
      </c>
      <c r="G49" s="4" t="s">
        <v>25</v>
      </c>
      <c r="H49" s="4" t="s">
        <v>35</v>
      </c>
      <c r="I49" s="5">
        <v>44409</v>
      </c>
      <c r="J49" s="6">
        <v>228</v>
      </c>
      <c r="K49" s="52">
        <v>228</v>
      </c>
      <c r="L49" s="6">
        <v>47.905000000000001</v>
      </c>
      <c r="M49" s="53">
        <v>47.905000000000001</v>
      </c>
      <c r="N49" s="6">
        <v>47.905000000000001</v>
      </c>
      <c r="O49" s="53">
        <v>47.905000000000001</v>
      </c>
      <c r="P49" s="6">
        <v>0</v>
      </c>
      <c r="Q49" s="4" t="s">
        <v>26</v>
      </c>
      <c r="R49" s="4">
        <v>0</v>
      </c>
      <c r="S49" s="4">
        <v>14</v>
      </c>
      <c r="T49" s="4">
        <v>15</v>
      </c>
      <c r="U49" s="4">
        <v>66</v>
      </c>
      <c r="V49" s="53">
        <f>IF(ISERROR(VLOOKUP($S$49,'TAR FIN'!$A$1:$O$103,15,0)),0,VLOOKUP($S$49,'TAR FIN'!$A$1:$O$103,15,0))*(1-0.06)</f>
        <v>11.674799999999999</v>
      </c>
      <c r="W49" s="53">
        <f>IF(ISERROR(VLOOKUP($T$49,'TAR FIN'!$A$1:$O$103,15,0)),0,VLOOKUP($T$49,'TAR FIN'!$A$1:$O$103,15,0))*(1-0.06)</f>
        <v>65.207800000000006</v>
      </c>
      <c r="X49" s="53">
        <f>IF(ISERROR(VLOOKUP($U$49,'TAR FIN'!$A$1:$O$103,15,0)),0,VLOOKUP($U$49,'TAR FIN'!$A$1:$O$103,15,0))*(1-0.06)</f>
        <v>267.29840000000002</v>
      </c>
      <c r="Y49" s="53">
        <f ca="1">('TUSD BE'!$AM$16+'TUSD BF'!$AM$16+'TUSD CVA'!$AM$16)*1*(1-0.03)</f>
        <v>16.022755556621018</v>
      </c>
      <c r="Z49" s="53">
        <f ca="1">('TUSD BE'!$AM$17+'TUSD BF'!$AM$17+'TUSD CVA'!$AM$17)*1*(1-0.03)</f>
        <v>107.89940569215416</v>
      </c>
      <c r="AA49" s="53">
        <f>('TE BE'!$AB$9+'TE BF'!$AB$9+'TE CVA'!$AB$9)*1*(1-0.03)</f>
        <v>251.26567196807298</v>
      </c>
      <c r="AB49" s="53">
        <f>(SUBSIDIO!$J$49*SUBSIDIO!$V$49)*(0.06)/(1-0.06)</f>
        <v>169.90559999999999</v>
      </c>
      <c r="AC49" s="53">
        <f>((SUBSIDIO!$L$49*SUBSIDIO!$W$49)+(SUBSIDIO!$N$49*SUBSIDIO!$X$49))*(0.06)/(1-0.06)</f>
        <v>1016.726139</v>
      </c>
      <c r="AD49" s="53">
        <f ca="1">(SUBSIDIO!$J$49*SUBSIDIO!$Y$49)*(0.03)/(1-0.03)</f>
        <v>112.98520413122451</v>
      </c>
      <c r="AE49" s="53">
        <f ca="1">((SUBSIDIO!$L$49*SUBSIDIO!$Z$49)+(SUBSIDIO!$N$49*SUBSIDIO!$AA$49))*(0.03)/(1-0.03)</f>
        <v>532.13823851484051</v>
      </c>
      <c r="AF49" s="4" t="s">
        <v>778</v>
      </c>
    </row>
    <row r="50" spans="1:32" ht="11.25" customHeight="1" x14ac:dyDescent="0.25">
      <c r="A50" s="4" t="s">
        <v>21</v>
      </c>
      <c r="B50" s="4" t="s">
        <v>33</v>
      </c>
      <c r="C50" s="4" t="s">
        <v>41</v>
      </c>
      <c r="D50" s="4" t="s">
        <v>50</v>
      </c>
      <c r="E50" s="4" t="s">
        <v>51</v>
      </c>
      <c r="F50" s="4" t="s">
        <v>25</v>
      </c>
      <c r="G50" s="4" t="s">
        <v>25</v>
      </c>
      <c r="H50" s="4" t="s">
        <v>35</v>
      </c>
      <c r="I50" s="5">
        <v>44440</v>
      </c>
      <c r="J50" s="6">
        <v>228</v>
      </c>
      <c r="K50" s="52">
        <v>228</v>
      </c>
      <c r="L50" s="6">
        <v>33.082999999999998</v>
      </c>
      <c r="M50" s="53">
        <v>33.082999999999998</v>
      </c>
      <c r="N50" s="6">
        <v>33.082999999999998</v>
      </c>
      <c r="O50" s="53">
        <v>33.082999999999998</v>
      </c>
      <c r="P50" s="6">
        <v>0</v>
      </c>
      <c r="Q50" s="4" t="s">
        <v>26</v>
      </c>
      <c r="R50" s="4">
        <v>0</v>
      </c>
      <c r="S50" s="4">
        <v>14</v>
      </c>
      <c r="T50" s="4">
        <v>15</v>
      </c>
      <c r="U50" s="4">
        <v>66</v>
      </c>
      <c r="V50" s="53">
        <f>IF(ISERROR(VLOOKUP($S$50,'TAR FIN'!$A$1:$O$103,15,0)),0,VLOOKUP($S$50,'TAR FIN'!$A$1:$O$103,15,0))*(1-0.06)</f>
        <v>11.674799999999999</v>
      </c>
      <c r="W50" s="53">
        <f>IF(ISERROR(VLOOKUP($T$50,'TAR FIN'!$A$1:$O$103,15,0)),0,VLOOKUP($T$50,'TAR FIN'!$A$1:$O$103,15,0))*(1-0.06)</f>
        <v>65.207800000000006</v>
      </c>
      <c r="X50" s="53">
        <f>IF(ISERROR(VLOOKUP($U$50,'TAR FIN'!$A$1:$O$103,15,0)),0,VLOOKUP($U$50,'TAR FIN'!$A$1:$O$103,15,0))*(1-0.06)</f>
        <v>267.29840000000002</v>
      </c>
      <c r="Y50" s="53">
        <f ca="1">('TUSD BE'!$AM$16+'TUSD BF'!$AM$16+'TUSD CVA'!$AM$16)*1*(1-0.03)</f>
        <v>16.022755556621018</v>
      </c>
      <c r="Z50" s="53">
        <f ca="1">('TUSD BE'!$AM$17+'TUSD BF'!$AM$17+'TUSD CVA'!$AM$17)*1*(1-0.03)</f>
        <v>107.89940569215416</v>
      </c>
      <c r="AA50" s="53">
        <f>('TE BE'!$AB$9+'TE BF'!$AB$9+'TE CVA'!$AB$9)*1*(1-0.03)</f>
        <v>251.26567196807298</v>
      </c>
      <c r="AB50" s="53">
        <f>(SUBSIDIO!$J$50*SUBSIDIO!$V$50)*(0.06)/(1-0.06)</f>
        <v>169.90559999999999</v>
      </c>
      <c r="AC50" s="53">
        <f>((SUBSIDIO!$L$50*SUBSIDIO!$W$50)+(SUBSIDIO!$N$50*SUBSIDIO!$X$50))*(0.06)/(1-0.06)</f>
        <v>702.14697540000009</v>
      </c>
      <c r="AD50" s="53">
        <f ca="1">(SUBSIDIO!$J$50*SUBSIDIO!$Y$50)*(0.03)/(1-0.03)</f>
        <v>112.98520413122451</v>
      </c>
      <c r="AE50" s="53">
        <f ca="1">((SUBSIDIO!$L$50*SUBSIDIO!$Z$50)+(SUBSIDIO!$N$50*SUBSIDIO!$AA$50))*(0.03)/(1-0.03)</f>
        <v>367.49252363608127</v>
      </c>
      <c r="AF50" s="4" t="s">
        <v>778</v>
      </c>
    </row>
    <row r="51" spans="1:32" ht="11.25" customHeight="1" x14ac:dyDescent="0.25">
      <c r="A51" s="4" t="s">
        <v>21</v>
      </c>
      <c r="B51" s="4" t="s">
        <v>33</v>
      </c>
      <c r="C51" s="4" t="s">
        <v>41</v>
      </c>
      <c r="D51" s="4" t="s">
        <v>50</v>
      </c>
      <c r="E51" s="4" t="s">
        <v>51</v>
      </c>
      <c r="F51" s="4" t="s">
        <v>25</v>
      </c>
      <c r="G51" s="4" t="s">
        <v>25</v>
      </c>
      <c r="H51" s="4" t="s">
        <v>35</v>
      </c>
      <c r="I51" s="5">
        <v>44470</v>
      </c>
      <c r="J51" s="6">
        <v>228</v>
      </c>
      <c r="K51" s="52">
        <v>228</v>
      </c>
      <c r="L51" s="6">
        <v>61.505000000000003</v>
      </c>
      <c r="M51" s="53">
        <v>61.505000000000003</v>
      </c>
      <c r="N51" s="6">
        <v>61.505000000000003</v>
      </c>
      <c r="O51" s="53">
        <v>61.505000000000003</v>
      </c>
      <c r="P51" s="6">
        <v>0</v>
      </c>
      <c r="Q51" s="4" t="s">
        <v>26</v>
      </c>
      <c r="R51" s="4">
        <v>0</v>
      </c>
      <c r="S51" s="4">
        <v>14</v>
      </c>
      <c r="T51" s="4">
        <v>15</v>
      </c>
      <c r="U51" s="4">
        <v>66</v>
      </c>
      <c r="V51" s="53">
        <f>IF(ISERROR(VLOOKUP($S$51,'TAR FIN'!$A$1:$O$103,15,0)),0,VLOOKUP($S$51,'TAR FIN'!$A$1:$O$103,15,0))*(1-0.06)</f>
        <v>11.674799999999999</v>
      </c>
      <c r="W51" s="53">
        <f>IF(ISERROR(VLOOKUP($T$51,'TAR FIN'!$A$1:$O$103,15,0)),0,VLOOKUP($T$51,'TAR FIN'!$A$1:$O$103,15,0))*(1-0.06)</f>
        <v>65.207800000000006</v>
      </c>
      <c r="X51" s="53">
        <f>IF(ISERROR(VLOOKUP($U$51,'TAR FIN'!$A$1:$O$103,15,0)),0,VLOOKUP($U$51,'TAR FIN'!$A$1:$O$103,15,0))*(1-0.06)</f>
        <v>267.29840000000002</v>
      </c>
      <c r="Y51" s="53">
        <f ca="1">('TUSD BE'!$AM$16+'TUSD BF'!$AM$16+'TUSD CVA'!$AM$16)*1*(1-0.03)</f>
        <v>16.022755556621018</v>
      </c>
      <c r="Z51" s="53">
        <f ca="1">('TUSD BE'!$AM$17+'TUSD BF'!$AM$17+'TUSD CVA'!$AM$17)*1*(1-0.03)</f>
        <v>107.89940569215416</v>
      </c>
      <c r="AA51" s="53">
        <f>('TE BE'!$AB$9+'TE BF'!$AB$9+'TE CVA'!$AB$9)*1*(1-0.03)</f>
        <v>251.26567196807298</v>
      </c>
      <c r="AB51" s="53">
        <f>(SUBSIDIO!$J$51*SUBSIDIO!$V$51)*(0.06)/(1-0.06)</f>
        <v>169.90559999999999</v>
      </c>
      <c r="AC51" s="53">
        <f>((SUBSIDIO!$L$51*SUBSIDIO!$W$51)+(SUBSIDIO!$N$51*SUBSIDIO!$X$51))*(0.06)/(1-0.06)</f>
        <v>1305.3698190000002</v>
      </c>
      <c r="AD51" s="53">
        <f ca="1">(SUBSIDIO!$J$51*SUBSIDIO!$Y$51)*(0.03)/(1-0.03)</f>
        <v>112.98520413122451</v>
      </c>
      <c r="AE51" s="53">
        <f ca="1">((SUBSIDIO!$L$51*SUBSIDIO!$Z$51)+(SUBSIDIO!$N$51*SUBSIDIO!$AA$51))*(0.03)/(1-0.03)</f>
        <v>683.20973509769919</v>
      </c>
      <c r="AF51" s="4" t="s">
        <v>778</v>
      </c>
    </row>
    <row r="52" spans="1:32" ht="11.25" customHeight="1" x14ac:dyDescent="0.25">
      <c r="A52" s="4" t="s">
        <v>21</v>
      </c>
      <c r="B52" s="4" t="s">
        <v>33</v>
      </c>
      <c r="C52" s="4" t="s">
        <v>41</v>
      </c>
      <c r="D52" s="4" t="s">
        <v>50</v>
      </c>
      <c r="E52" s="4" t="s">
        <v>51</v>
      </c>
      <c r="F52" s="4" t="s">
        <v>25</v>
      </c>
      <c r="G52" s="4" t="s">
        <v>25</v>
      </c>
      <c r="H52" s="4" t="s">
        <v>35</v>
      </c>
      <c r="I52" s="5">
        <v>44501</v>
      </c>
      <c r="J52" s="6">
        <v>228</v>
      </c>
      <c r="K52" s="52">
        <v>228</v>
      </c>
      <c r="L52" s="6">
        <v>38.808</v>
      </c>
      <c r="M52" s="53">
        <v>38.808</v>
      </c>
      <c r="N52" s="6">
        <v>38.808</v>
      </c>
      <c r="O52" s="53">
        <v>38.808</v>
      </c>
      <c r="P52" s="6">
        <v>0</v>
      </c>
      <c r="Q52" s="4" t="s">
        <v>26</v>
      </c>
      <c r="R52" s="4">
        <v>0</v>
      </c>
      <c r="S52" s="4">
        <v>14</v>
      </c>
      <c r="T52" s="4">
        <v>15</v>
      </c>
      <c r="U52" s="4">
        <v>66</v>
      </c>
      <c r="V52" s="53">
        <f>IF(ISERROR(VLOOKUP($S$52,'TAR FIN'!$A$1:$O$103,15,0)),0,VLOOKUP($S$52,'TAR FIN'!$A$1:$O$103,15,0))*(1-0.06)</f>
        <v>11.674799999999999</v>
      </c>
      <c r="W52" s="53">
        <f>IF(ISERROR(VLOOKUP($T$52,'TAR FIN'!$A$1:$O$103,15,0)),0,VLOOKUP($T$52,'TAR FIN'!$A$1:$O$103,15,0))*(1-0.06)</f>
        <v>65.207800000000006</v>
      </c>
      <c r="X52" s="53">
        <f>IF(ISERROR(VLOOKUP($U$52,'TAR FIN'!$A$1:$O$103,15,0)),0,VLOOKUP($U$52,'TAR FIN'!$A$1:$O$103,15,0))*(1-0.06)</f>
        <v>267.29840000000002</v>
      </c>
      <c r="Y52" s="53">
        <f ca="1">('TUSD BE'!$AM$16+'TUSD BF'!$AM$16+'TUSD CVA'!$AM$16)*1*(1-0.03)</f>
        <v>16.022755556621018</v>
      </c>
      <c r="Z52" s="53">
        <f ca="1">('TUSD BE'!$AM$17+'TUSD BF'!$AM$17+'TUSD CVA'!$AM$17)*1*(1-0.03)</f>
        <v>107.89940569215416</v>
      </c>
      <c r="AA52" s="53">
        <f>('TE BE'!$AB$9+'TE BF'!$AB$9+'TE CVA'!$AB$9)*1*(1-0.03)</f>
        <v>251.26567196807298</v>
      </c>
      <c r="AB52" s="53">
        <f>(SUBSIDIO!$J$52*SUBSIDIO!$V$52)*(0.06)/(1-0.06)</f>
        <v>169.90559999999999</v>
      </c>
      <c r="AC52" s="53">
        <f>((SUBSIDIO!$L$52*SUBSIDIO!$W$52)+(SUBSIDIO!$N$52*SUBSIDIO!$X$52))*(0.06)/(1-0.06)</f>
        <v>823.65323039999998</v>
      </c>
      <c r="AD52" s="53">
        <f ca="1">(SUBSIDIO!$J$52*SUBSIDIO!$Y$52)*(0.03)/(1-0.03)</f>
        <v>112.98520413122451</v>
      </c>
      <c r="AE52" s="53">
        <f ca="1">((SUBSIDIO!$L$52*SUBSIDIO!$Z$52)+(SUBSIDIO!$N$52*SUBSIDIO!$AA$52))*(0.03)/(1-0.03)</f>
        <v>431.08695877849777</v>
      </c>
      <c r="AF52" s="4" t="s">
        <v>778</v>
      </c>
    </row>
    <row r="53" spans="1:32" ht="11.25" customHeight="1" x14ac:dyDescent="0.25">
      <c r="A53" s="4" t="s">
        <v>21</v>
      </c>
      <c r="B53" s="4" t="s">
        <v>33</v>
      </c>
      <c r="C53" s="4" t="s">
        <v>41</v>
      </c>
      <c r="D53" s="4" t="s">
        <v>50</v>
      </c>
      <c r="E53" s="4" t="s">
        <v>51</v>
      </c>
      <c r="F53" s="4" t="s">
        <v>25</v>
      </c>
      <c r="G53" s="4" t="s">
        <v>25</v>
      </c>
      <c r="H53" s="4" t="s">
        <v>35</v>
      </c>
      <c r="I53" s="5">
        <v>44531</v>
      </c>
      <c r="J53" s="6">
        <v>228</v>
      </c>
      <c r="K53" s="52">
        <v>228</v>
      </c>
      <c r="L53" s="6">
        <v>31.431999999999999</v>
      </c>
      <c r="M53" s="53">
        <v>31.431999999999999</v>
      </c>
      <c r="N53" s="6">
        <v>31.431999999999999</v>
      </c>
      <c r="O53" s="53">
        <v>31.431999999999999</v>
      </c>
      <c r="P53" s="6">
        <v>0</v>
      </c>
      <c r="Q53" s="4" t="s">
        <v>26</v>
      </c>
      <c r="R53" s="4">
        <v>0</v>
      </c>
      <c r="S53" s="4">
        <v>14</v>
      </c>
      <c r="T53" s="4">
        <v>15</v>
      </c>
      <c r="U53" s="4">
        <v>66</v>
      </c>
      <c r="V53" s="53">
        <f>IF(ISERROR(VLOOKUP($S$53,'TAR FIN'!$A$1:$O$103,15,0)),0,VLOOKUP($S$53,'TAR FIN'!$A$1:$O$103,15,0))*(1-0.06)</f>
        <v>11.674799999999999</v>
      </c>
      <c r="W53" s="53">
        <f>IF(ISERROR(VLOOKUP($T$53,'TAR FIN'!$A$1:$O$103,15,0)),0,VLOOKUP($T$53,'TAR FIN'!$A$1:$O$103,15,0))*(1-0.06)</f>
        <v>65.207800000000006</v>
      </c>
      <c r="X53" s="53">
        <f>IF(ISERROR(VLOOKUP($U$53,'TAR FIN'!$A$1:$O$103,15,0)),0,VLOOKUP($U$53,'TAR FIN'!$A$1:$O$103,15,0))*(1-0.06)</f>
        <v>267.29840000000002</v>
      </c>
      <c r="Y53" s="53">
        <f ca="1">('TUSD BE'!$AM$16+'TUSD BF'!$AM$16+'TUSD CVA'!$AM$16)*1*(1-0.03)</f>
        <v>16.022755556621018</v>
      </c>
      <c r="Z53" s="53">
        <f ca="1">('TUSD BE'!$AM$17+'TUSD BF'!$AM$17+'TUSD CVA'!$AM$17)*1*(1-0.03)</f>
        <v>107.89940569215416</v>
      </c>
      <c r="AA53" s="53">
        <f>('TE BE'!$AB$9+'TE BF'!$AB$9+'TE CVA'!$AB$9)*1*(1-0.03)</f>
        <v>251.26567196807298</v>
      </c>
      <c r="AB53" s="53">
        <f>(SUBSIDIO!$J$53*SUBSIDIO!$V$53)*(0.06)/(1-0.06)</f>
        <v>169.90559999999999</v>
      </c>
      <c r="AC53" s="53">
        <f>((SUBSIDIO!$L$53*SUBSIDIO!$W$53)+(SUBSIDIO!$N$53*SUBSIDIO!$X$53))*(0.06)/(1-0.06)</f>
        <v>667.10648159999994</v>
      </c>
      <c r="AD53" s="53">
        <f ca="1">(SUBSIDIO!$J$53*SUBSIDIO!$Y$53)*(0.03)/(1-0.03)</f>
        <v>112.98520413122451</v>
      </c>
      <c r="AE53" s="53">
        <f ca="1">((SUBSIDIO!$L$53*SUBSIDIO!$Z$53)+(SUBSIDIO!$N$53*SUBSIDIO!$AA$53))*(0.03)/(1-0.03)</f>
        <v>349.15288827885342</v>
      </c>
      <c r="AF53" s="4" t="s">
        <v>778</v>
      </c>
    </row>
    <row r="54" spans="1:32" ht="11.25" customHeight="1" x14ac:dyDescent="0.25">
      <c r="A54" s="4" t="s">
        <v>21</v>
      </c>
      <c r="B54" s="4" t="s">
        <v>33</v>
      </c>
      <c r="C54" s="4" t="s">
        <v>41</v>
      </c>
      <c r="D54" s="4" t="s">
        <v>50</v>
      </c>
      <c r="E54" s="4" t="s">
        <v>51</v>
      </c>
      <c r="F54" s="4" t="s">
        <v>25</v>
      </c>
      <c r="G54" s="4" t="s">
        <v>25</v>
      </c>
      <c r="H54" s="4" t="s">
        <v>35</v>
      </c>
      <c r="I54" s="5">
        <v>44562</v>
      </c>
      <c r="J54" s="6">
        <v>228</v>
      </c>
      <c r="K54" s="52">
        <v>228</v>
      </c>
      <c r="L54" s="6">
        <v>37.186</v>
      </c>
      <c r="M54" s="53">
        <v>37.186</v>
      </c>
      <c r="N54" s="6">
        <v>37.186</v>
      </c>
      <c r="O54" s="53">
        <v>37.186</v>
      </c>
      <c r="P54" s="6">
        <v>0</v>
      </c>
      <c r="Q54" s="4" t="s">
        <v>26</v>
      </c>
      <c r="R54" s="4">
        <v>0</v>
      </c>
      <c r="S54" s="4">
        <v>14</v>
      </c>
      <c r="T54" s="4">
        <v>15</v>
      </c>
      <c r="U54" s="4">
        <v>66</v>
      </c>
      <c r="V54" s="53">
        <f>IF(ISERROR(VLOOKUP($S$54,'TAR FIN'!$A$1:$O$103,15,0)),0,VLOOKUP($S$54,'TAR FIN'!$A$1:$O$103,15,0))*(1-0.06)</f>
        <v>11.674799999999999</v>
      </c>
      <c r="W54" s="53">
        <f>IF(ISERROR(VLOOKUP($T$54,'TAR FIN'!$A$1:$O$103,15,0)),0,VLOOKUP($T$54,'TAR FIN'!$A$1:$O$103,15,0))*(1-0.06)</f>
        <v>65.207800000000006</v>
      </c>
      <c r="X54" s="53">
        <f>IF(ISERROR(VLOOKUP($U$54,'TAR FIN'!$A$1:$O$103,15,0)),0,VLOOKUP($U$54,'TAR FIN'!$A$1:$O$103,15,0))*(1-0.06)</f>
        <v>267.29840000000002</v>
      </c>
      <c r="Y54" s="53">
        <f ca="1">('TUSD BE'!$AM$16+'TUSD BF'!$AM$16+'TUSD CVA'!$AM$16)*1*(1-0.03)</f>
        <v>16.022755556621018</v>
      </c>
      <c r="Z54" s="53">
        <f ca="1">('TUSD BE'!$AM$17+'TUSD BF'!$AM$17+'TUSD CVA'!$AM$17)*1*(1-0.03)</f>
        <v>107.89940569215416</v>
      </c>
      <c r="AA54" s="53">
        <f>('TE BE'!$AB$9+'TE BF'!$AB$9+'TE CVA'!$AB$9)*1*(1-0.03)</f>
        <v>251.26567196807298</v>
      </c>
      <c r="AB54" s="53">
        <f>(SUBSIDIO!$J$54*SUBSIDIO!$V$54)*(0.06)/(1-0.06)</f>
        <v>169.90559999999999</v>
      </c>
      <c r="AC54" s="53">
        <f>((SUBSIDIO!$L$54*SUBSIDIO!$W$54)+(SUBSIDIO!$N$54*SUBSIDIO!$X$54))*(0.06)/(1-0.06)</f>
        <v>789.22822680000013</v>
      </c>
      <c r="AD54" s="53">
        <f ca="1">(SUBSIDIO!$J$54*SUBSIDIO!$Y$54)*(0.03)/(1-0.03)</f>
        <v>112.98520413122451</v>
      </c>
      <c r="AE54" s="53">
        <f ca="1">((SUBSIDIO!$L$54*SUBSIDIO!$Z$54)+(SUBSIDIO!$N$54*SUBSIDIO!$AA$54))*(0.03)/(1-0.03)</f>
        <v>413.06946117133629</v>
      </c>
      <c r="AF54" s="4" t="s">
        <v>778</v>
      </c>
    </row>
    <row r="55" spans="1:32" ht="11.25" customHeight="1" x14ac:dyDescent="0.25">
      <c r="A55" s="4" t="s">
        <v>21</v>
      </c>
      <c r="B55" s="4" t="s">
        <v>33</v>
      </c>
      <c r="C55" s="4" t="s">
        <v>41</v>
      </c>
      <c r="D55" s="4" t="s">
        <v>50</v>
      </c>
      <c r="E55" s="4" t="s">
        <v>51</v>
      </c>
      <c r="F55" s="4" t="s">
        <v>25</v>
      </c>
      <c r="G55" s="4" t="s">
        <v>25</v>
      </c>
      <c r="H55" s="4" t="s">
        <v>35</v>
      </c>
      <c r="I55" s="5">
        <v>44593</v>
      </c>
      <c r="J55" s="6">
        <v>228</v>
      </c>
      <c r="K55" s="52">
        <v>228</v>
      </c>
      <c r="L55" s="6">
        <v>56.317</v>
      </c>
      <c r="M55" s="53">
        <v>56.317</v>
      </c>
      <c r="N55" s="6">
        <v>56.317</v>
      </c>
      <c r="O55" s="53">
        <v>56.317</v>
      </c>
      <c r="P55" s="6">
        <v>0</v>
      </c>
      <c r="Q55" s="4" t="s">
        <v>26</v>
      </c>
      <c r="R55" s="4">
        <v>0</v>
      </c>
      <c r="S55" s="4">
        <v>14</v>
      </c>
      <c r="T55" s="4">
        <v>15</v>
      </c>
      <c r="U55" s="4">
        <v>66</v>
      </c>
      <c r="V55" s="53">
        <f>IF(ISERROR(VLOOKUP($S$55,'TAR FIN'!$A$1:$O$103,15,0)),0,VLOOKUP($S$55,'TAR FIN'!$A$1:$O$103,15,0))*(1-0.06)</f>
        <v>11.674799999999999</v>
      </c>
      <c r="W55" s="53">
        <f>IF(ISERROR(VLOOKUP($T$55,'TAR FIN'!$A$1:$O$103,15,0)),0,VLOOKUP($T$55,'TAR FIN'!$A$1:$O$103,15,0))*(1-0.06)</f>
        <v>65.207800000000006</v>
      </c>
      <c r="X55" s="53">
        <f>IF(ISERROR(VLOOKUP($U$55,'TAR FIN'!$A$1:$O$103,15,0)),0,VLOOKUP($U$55,'TAR FIN'!$A$1:$O$103,15,0))*(1-0.06)</f>
        <v>267.29840000000002</v>
      </c>
      <c r="Y55" s="53">
        <f ca="1">('TUSD BE'!$AM$16+'TUSD BF'!$AM$16+'TUSD CVA'!$AM$16)*1*(1-0.03)</f>
        <v>16.022755556621018</v>
      </c>
      <c r="Z55" s="53">
        <f ca="1">('TUSD BE'!$AM$17+'TUSD BF'!$AM$17+'TUSD CVA'!$AM$17)*1*(1-0.03)</f>
        <v>107.89940569215416</v>
      </c>
      <c r="AA55" s="53">
        <f>('TE BE'!$AB$9+'TE BF'!$AB$9+'TE CVA'!$AB$9)*1*(1-0.03)</f>
        <v>251.26567196807298</v>
      </c>
      <c r="AB55" s="53">
        <f>(SUBSIDIO!$J$55*SUBSIDIO!$V$55)*(0.06)/(1-0.06)</f>
        <v>169.90559999999999</v>
      </c>
      <c r="AC55" s="53">
        <f>((SUBSIDIO!$L$55*SUBSIDIO!$W$55)+(SUBSIDIO!$N$55*SUBSIDIO!$X$55))*(0.06)/(1-0.06)</f>
        <v>1195.2607446000002</v>
      </c>
      <c r="AD55" s="53">
        <f ca="1">(SUBSIDIO!$J$55*SUBSIDIO!$Y$55)*(0.03)/(1-0.03)</f>
        <v>112.98520413122451</v>
      </c>
      <c r="AE55" s="53">
        <f ca="1">((SUBSIDIO!$L$55*SUBSIDIO!$Z$55)+(SUBSIDIO!$N$55*SUBSIDIO!$AA$55))*(0.03)/(1-0.03)</f>
        <v>625.58040243064977</v>
      </c>
      <c r="AF55" s="4" t="s">
        <v>778</v>
      </c>
    </row>
    <row r="56" spans="1:32" ht="11.25" customHeight="1" x14ac:dyDescent="0.25">
      <c r="A56" s="4" t="s">
        <v>21</v>
      </c>
      <c r="B56" s="4" t="s">
        <v>33</v>
      </c>
      <c r="C56" s="4" t="s">
        <v>41</v>
      </c>
      <c r="D56" s="4" t="s">
        <v>50</v>
      </c>
      <c r="E56" s="4" t="s">
        <v>51</v>
      </c>
      <c r="F56" s="4" t="s">
        <v>25</v>
      </c>
      <c r="G56" s="4" t="s">
        <v>25</v>
      </c>
      <c r="H56" s="4" t="s">
        <v>35</v>
      </c>
      <c r="I56" s="5">
        <v>44621</v>
      </c>
      <c r="J56" s="6">
        <v>228</v>
      </c>
      <c r="K56" s="52">
        <v>228</v>
      </c>
      <c r="L56" s="6">
        <v>20.756</v>
      </c>
      <c r="M56" s="53">
        <v>20.756</v>
      </c>
      <c r="N56" s="6">
        <v>20.756</v>
      </c>
      <c r="O56" s="53">
        <v>20.756</v>
      </c>
      <c r="P56" s="6">
        <v>0</v>
      </c>
      <c r="Q56" s="4" t="s">
        <v>26</v>
      </c>
      <c r="R56" s="4">
        <v>0</v>
      </c>
      <c r="S56" s="4">
        <v>14</v>
      </c>
      <c r="T56" s="4">
        <v>15</v>
      </c>
      <c r="U56" s="4">
        <v>66</v>
      </c>
      <c r="V56" s="53">
        <f>IF(ISERROR(VLOOKUP($S$56,'TAR FIN'!$A$1:$O$103,15,0)),0,VLOOKUP($S$56,'TAR FIN'!$A$1:$O$103,15,0))*(1-0.06)</f>
        <v>11.674799999999999</v>
      </c>
      <c r="W56" s="53">
        <f>IF(ISERROR(VLOOKUP($T$56,'TAR FIN'!$A$1:$O$103,15,0)),0,VLOOKUP($T$56,'TAR FIN'!$A$1:$O$103,15,0))*(1-0.06)</f>
        <v>65.207800000000006</v>
      </c>
      <c r="X56" s="53">
        <f>IF(ISERROR(VLOOKUP($U$56,'TAR FIN'!$A$1:$O$103,15,0)),0,VLOOKUP($U$56,'TAR FIN'!$A$1:$O$103,15,0))*(1-0.06)</f>
        <v>267.29840000000002</v>
      </c>
      <c r="Y56" s="53">
        <f ca="1">('TUSD BE'!$AM$16+'TUSD BF'!$AM$16+'TUSD CVA'!$AM$16)*1*(1-0.03)</f>
        <v>16.022755556621018</v>
      </c>
      <c r="Z56" s="53">
        <f ca="1">('TUSD BE'!$AM$17+'TUSD BF'!$AM$17+'TUSD CVA'!$AM$17)*1*(1-0.03)</f>
        <v>107.89940569215416</v>
      </c>
      <c r="AA56" s="53">
        <f>('TE BE'!$AB$9+'TE BF'!$AB$9+'TE CVA'!$AB$9)*1*(1-0.03)</f>
        <v>251.26567196807298</v>
      </c>
      <c r="AB56" s="53">
        <f>(SUBSIDIO!$J$56*SUBSIDIO!$V$56)*(0.06)/(1-0.06)</f>
        <v>169.90559999999999</v>
      </c>
      <c r="AC56" s="53">
        <f>((SUBSIDIO!$L$56*SUBSIDIO!$W$56)+(SUBSIDIO!$N$56*SUBSIDIO!$X$56))*(0.06)/(1-0.06)</f>
        <v>440.52119279999999</v>
      </c>
      <c r="AD56" s="53">
        <f ca="1">(SUBSIDIO!$J$56*SUBSIDIO!$Y$56)*(0.03)/(1-0.03)</f>
        <v>112.98520413122451</v>
      </c>
      <c r="AE56" s="53">
        <f ca="1">((SUBSIDIO!$L$56*SUBSIDIO!$Z$56)+(SUBSIDIO!$N$56*SUBSIDIO!$AA$56))*(0.03)/(1-0.03)</f>
        <v>230.56176346130951</v>
      </c>
      <c r="AF56" s="4" t="s">
        <v>778</v>
      </c>
    </row>
    <row r="57" spans="1:32" ht="11.25" customHeight="1" x14ac:dyDescent="0.25">
      <c r="A57" s="4" t="s">
        <v>21</v>
      </c>
      <c r="B57" s="4" t="s">
        <v>33</v>
      </c>
      <c r="C57" s="4" t="s">
        <v>41</v>
      </c>
      <c r="D57" s="4" t="s">
        <v>50</v>
      </c>
      <c r="E57" s="4" t="s">
        <v>51</v>
      </c>
      <c r="F57" s="4" t="s">
        <v>25</v>
      </c>
      <c r="G57" s="4" t="s">
        <v>25</v>
      </c>
      <c r="H57" s="4" t="s">
        <v>35</v>
      </c>
      <c r="I57" s="5">
        <v>44652</v>
      </c>
      <c r="J57" s="6">
        <v>228</v>
      </c>
      <c r="K57" s="52">
        <v>228</v>
      </c>
      <c r="L57" s="6">
        <v>24.324999999999999</v>
      </c>
      <c r="M57" s="53">
        <v>24.324999999999999</v>
      </c>
      <c r="N57" s="6">
        <v>24.324999999999999</v>
      </c>
      <c r="O57" s="53">
        <v>24.324999999999999</v>
      </c>
      <c r="P57" s="6">
        <v>0</v>
      </c>
      <c r="Q57" s="4" t="s">
        <v>26</v>
      </c>
      <c r="R57" s="4">
        <v>0</v>
      </c>
      <c r="S57" s="4">
        <v>14</v>
      </c>
      <c r="T57" s="4">
        <v>15</v>
      </c>
      <c r="U57" s="4">
        <v>66</v>
      </c>
      <c r="V57" s="53">
        <f>IF(ISERROR(VLOOKUP($S$57,'TAR FIN'!$A$1:$O$103,15,0)),0,VLOOKUP($S$57,'TAR FIN'!$A$1:$O$103,15,0))*(1-0.06)</f>
        <v>11.674799999999999</v>
      </c>
      <c r="W57" s="53">
        <f>IF(ISERROR(VLOOKUP($T$57,'TAR FIN'!$A$1:$O$103,15,0)),0,VLOOKUP($T$57,'TAR FIN'!$A$1:$O$103,15,0))*(1-0.06)</f>
        <v>65.207800000000006</v>
      </c>
      <c r="X57" s="53">
        <f>IF(ISERROR(VLOOKUP($U$57,'TAR FIN'!$A$1:$O$103,15,0)),0,VLOOKUP($U$57,'TAR FIN'!$A$1:$O$103,15,0))*(1-0.06)</f>
        <v>267.29840000000002</v>
      </c>
      <c r="Y57" s="53">
        <f ca="1">('TUSD BE'!$AM$16+'TUSD BF'!$AM$16+'TUSD CVA'!$AM$16)*1*(1-0.03)</f>
        <v>16.022755556621018</v>
      </c>
      <c r="Z57" s="53">
        <f ca="1">('TUSD BE'!$AM$17+'TUSD BF'!$AM$17+'TUSD CVA'!$AM$17)*1*(1-0.03)</f>
        <v>107.89940569215416</v>
      </c>
      <c r="AA57" s="53">
        <f>('TE BE'!$AB$9+'TE BF'!$AB$9+'TE CVA'!$AB$9)*1*(1-0.03)</f>
        <v>251.26567196807298</v>
      </c>
      <c r="AB57" s="53">
        <f>(SUBSIDIO!$J$57*SUBSIDIO!$V$57)*(0.06)/(1-0.06)</f>
        <v>169.90559999999999</v>
      </c>
      <c r="AC57" s="53">
        <f>((SUBSIDIO!$L$57*SUBSIDIO!$W$57)+(SUBSIDIO!$N$57*SUBSIDIO!$X$57))*(0.06)/(1-0.06)</f>
        <v>516.26893500000006</v>
      </c>
      <c r="AD57" s="53">
        <f ca="1">(SUBSIDIO!$J$57*SUBSIDIO!$Y$57)*(0.03)/(1-0.03)</f>
        <v>112.98520413122451</v>
      </c>
      <c r="AE57" s="53">
        <f ca="1">((SUBSIDIO!$L$57*SUBSIDIO!$Z$57)+(SUBSIDIO!$N$57*SUBSIDIO!$AA$57))*(0.03)/(1-0.03)</f>
        <v>270.2069231160317</v>
      </c>
      <c r="AF57" s="4" t="s">
        <v>778</v>
      </c>
    </row>
    <row r="58" spans="1:32" ht="11.25" customHeight="1" x14ac:dyDescent="0.25">
      <c r="A58" s="4" t="s">
        <v>21</v>
      </c>
      <c r="B58" s="4" t="s">
        <v>33</v>
      </c>
      <c r="C58" s="4" t="s">
        <v>41</v>
      </c>
      <c r="D58" s="4" t="s">
        <v>50</v>
      </c>
      <c r="E58" s="4" t="s">
        <v>51</v>
      </c>
      <c r="F58" s="4" t="s">
        <v>25</v>
      </c>
      <c r="G58" s="4" t="s">
        <v>25</v>
      </c>
      <c r="H58" s="4" t="s">
        <v>35</v>
      </c>
      <c r="I58" s="5">
        <v>44682</v>
      </c>
      <c r="J58" s="6">
        <v>228</v>
      </c>
      <c r="K58" s="52">
        <v>228</v>
      </c>
      <c r="L58" s="6">
        <v>29.733000000000001</v>
      </c>
      <c r="M58" s="53">
        <v>29.733000000000001</v>
      </c>
      <c r="N58" s="6">
        <v>29.733000000000001</v>
      </c>
      <c r="O58" s="53">
        <v>29.733000000000001</v>
      </c>
      <c r="P58" s="6">
        <v>0</v>
      </c>
      <c r="Q58" s="4" t="s">
        <v>26</v>
      </c>
      <c r="R58" s="4">
        <v>0</v>
      </c>
      <c r="S58" s="4">
        <v>14</v>
      </c>
      <c r="T58" s="4">
        <v>15</v>
      </c>
      <c r="U58" s="4">
        <v>66</v>
      </c>
      <c r="V58" s="53">
        <f>IF(ISERROR(VLOOKUP($S$58,'TAR FIN'!$A$1:$O$103,15,0)),0,VLOOKUP($S$58,'TAR FIN'!$A$1:$O$103,15,0))*(1-0.06)</f>
        <v>11.674799999999999</v>
      </c>
      <c r="W58" s="53">
        <f>IF(ISERROR(VLOOKUP($T$58,'TAR FIN'!$A$1:$O$103,15,0)),0,VLOOKUP($T$58,'TAR FIN'!$A$1:$O$103,15,0))*(1-0.06)</f>
        <v>65.207800000000006</v>
      </c>
      <c r="X58" s="53">
        <f>IF(ISERROR(VLOOKUP($U$58,'TAR FIN'!$A$1:$O$103,15,0)),0,VLOOKUP($U$58,'TAR FIN'!$A$1:$O$103,15,0))*(1-0.06)</f>
        <v>267.29840000000002</v>
      </c>
      <c r="Y58" s="53">
        <f ca="1">('TUSD BE'!$AM$16+'TUSD BF'!$AM$16+'TUSD CVA'!$AM$16)*1*(1-0.03)</f>
        <v>16.022755556621018</v>
      </c>
      <c r="Z58" s="53">
        <f ca="1">('TUSD BE'!$AM$17+'TUSD BF'!$AM$17+'TUSD CVA'!$AM$17)*1*(1-0.03)</f>
        <v>107.89940569215416</v>
      </c>
      <c r="AA58" s="53">
        <f>('TE BE'!$AB$9+'TE BF'!$AB$9+'TE CVA'!$AB$9)*1*(1-0.03)</f>
        <v>251.26567196807298</v>
      </c>
      <c r="AB58" s="53">
        <f>(SUBSIDIO!$J$58*SUBSIDIO!$V$58)*(0.06)/(1-0.06)</f>
        <v>169.90559999999999</v>
      </c>
      <c r="AC58" s="53">
        <f>((SUBSIDIO!$L$58*SUBSIDIO!$W$58)+(SUBSIDIO!$N$58*SUBSIDIO!$X$58))*(0.06)/(1-0.06)</f>
        <v>631.04724540000018</v>
      </c>
      <c r="AD58" s="53">
        <f ca="1">(SUBSIDIO!$J$58*SUBSIDIO!$Y$58)*(0.03)/(1-0.03)</f>
        <v>112.98520413122451</v>
      </c>
      <c r="AE58" s="53">
        <f ca="1">((SUBSIDIO!$L$58*SUBSIDIO!$Z$58)+(SUBSIDIO!$N$58*SUBSIDIO!$AA$58))*(0.03)/(1-0.03)</f>
        <v>330.2800594042742</v>
      </c>
      <c r="AF58" s="4" t="s">
        <v>778</v>
      </c>
    </row>
    <row r="59" spans="1:32" ht="11.25" customHeight="1" x14ac:dyDescent="0.25">
      <c r="A59" s="4" t="s">
        <v>21</v>
      </c>
      <c r="B59" s="4" t="s">
        <v>33</v>
      </c>
      <c r="C59" s="4" t="s">
        <v>41</v>
      </c>
      <c r="D59" s="4" t="s">
        <v>50</v>
      </c>
      <c r="E59" s="4" t="s">
        <v>51</v>
      </c>
      <c r="F59" s="4" t="s">
        <v>25</v>
      </c>
      <c r="G59" s="4" t="s">
        <v>25</v>
      </c>
      <c r="H59" s="4" t="s">
        <v>37</v>
      </c>
      <c r="I59" s="5">
        <v>44348</v>
      </c>
      <c r="J59" s="6">
        <v>228</v>
      </c>
      <c r="K59" s="52">
        <v>228</v>
      </c>
      <c r="L59" s="6">
        <v>4.1959999999999997</v>
      </c>
      <c r="M59" s="53">
        <v>4.1959999999999997</v>
      </c>
      <c r="N59" s="6">
        <v>4.1959999999999997</v>
      </c>
      <c r="O59" s="53">
        <v>4.1959999999999997</v>
      </c>
      <c r="P59" s="6">
        <v>0</v>
      </c>
      <c r="Q59" s="4" t="s">
        <v>26</v>
      </c>
      <c r="R59" s="4">
        <v>0</v>
      </c>
      <c r="S59" s="4">
        <v>13</v>
      </c>
      <c r="T59" s="4">
        <v>15</v>
      </c>
      <c r="U59" s="4">
        <v>65</v>
      </c>
      <c r="V59" s="53">
        <f>IF(ISERROR(VLOOKUP($S$59,'TAR FIN'!$A$1:$O$103,15,0)),0,VLOOKUP($S$59,'TAR FIN'!$A$1:$O$103,15,0))*(1-0.06)</f>
        <v>29.816799999999997</v>
      </c>
      <c r="W59" s="53">
        <f>IF(ISERROR(VLOOKUP($T$59,'TAR FIN'!$A$1:$O$103,15,0)),0,VLOOKUP($T$59,'TAR FIN'!$A$1:$O$103,15,0))*(1-0.06)</f>
        <v>65.207800000000006</v>
      </c>
      <c r="X59" s="53">
        <f>IF(ISERROR(VLOOKUP($U$59,'TAR FIN'!$A$1:$O$103,15,0)),0,VLOOKUP($U$59,'TAR FIN'!$A$1:$O$103,15,0))*(1-0.06)</f>
        <v>427.60599999999994</v>
      </c>
      <c r="Y59" s="53">
        <f ca="1">('TUSD BE'!$AM$15+'TUSD BF'!$AM$15+'TUSD CVA'!$AM$15)*1*(1-0.03)</f>
        <v>41.151946748232092</v>
      </c>
      <c r="Z59" s="53">
        <f ca="1">('TUSD BE'!$AM$17+'TUSD BF'!$AM$17+'TUSD CVA'!$AM$17)*1*(1-0.03)</f>
        <v>107.89940569215416</v>
      </c>
      <c r="AA59" s="53">
        <f>('TE BE'!$AB$8+'TE BF'!$AB$8+'TE CVA'!$AB$8)*1*(1-0.03)</f>
        <v>402.60285579025447</v>
      </c>
      <c r="AB59" s="53">
        <f>(SUBSIDIO!$J$59*SUBSIDIO!$V$59)*(0.06)/(1-0.06)</f>
        <v>433.92959999999994</v>
      </c>
      <c r="AC59" s="53">
        <f>((SUBSIDIO!$L$59*SUBSIDIO!$W$59)+(SUBSIDIO!$N$59*SUBSIDIO!$X$59))*(0.06)/(1-0.06)</f>
        <v>131.99021519999997</v>
      </c>
      <c r="AD59" s="53">
        <f ca="1">(SUBSIDIO!$J$59*SUBSIDIO!$Y$59)*(0.03)/(1-0.03)</f>
        <v>290.18486160609024</v>
      </c>
      <c r="AE59" s="53">
        <f ca="1">((SUBSIDIO!$L$59*SUBSIDIO!$Z$59)+(SUBSIDIO!$N$59*SUBSIDIO!$AA$59))*(0.03)/(1-0.03)</f>
        <v>66.249509974644937</v>
      </c>
      <c r="AF59" s="4" t="s">
        <v>778</v>
      </c>
    </row>
    <row r="60" spans="1:32" ht="11.25" customHeight="1" x14ac:dyDescent="0.25">
      <c r="A60" s="4" t="s">
        <v>21</v>
      </c>
      <c r="B60" s="4" t="s">
        <v>33</v>
      </c>
      <c r="C60" s="4" t="s">
        <v>41</v>
      </c>
      <c r="D60" s="4" t="s">
        <v>50</v>
      </c>
      <c r="E60" s="4" t="s">
        <v>51</v>
      </c>
      <c r="F60" s="4" t="s">
        <v>25</v>
      </c>
      <c r="G60" s="4" t="s">
        <v>25</v>
      </c>
      <c r="H60" s="4" t="s">
        <v>37</v>
      </c>
      <c r="I60" s="5">
        <v>44378</v>
      </c>
      <c r="J60" s="6">
        <v>228</v>
      </c>
      <c r="K60" s="52">
        <v>228</v>
      </c>
      <c r="L60" s="6">
        <v>6.3650000000000002</v>
      </c>
      <c r="M60" s="53">
        <v>6.3650000000000002</v>
      </c>
      <c r="N60" s="6">
        <v>6.3650000000000002</v>
      </c>
      <c r="O60" s="53">
        <v>6.3650000000000002</v>
      </c>
      <c r="P60" s="6">
        <v>0</v>
      </c>
      <c r="Q60" s="4" t="s">
        <v>26</v>
      </c>
      <c r="R60" s="4">
        <v>0</v>
      </c>
      <c r="S60" s="4">
        <v>13</v>
      </c>
      <c r="T60" s="4">
        <v>15</v>
      </c>
      <c r="U60" s="4">
        <v>65</v>
      </c>
      <c r="V60" s="53">
        <f>IF(ISERROR(VLOOKUP($S$60,'TAR FIN'!$A$1:$O$103,15,0)),0,VLOOKUP($S$60,'TAR FIN'!$A$1:$O$103,15,0))*(1-0.06)</f>
        <v>29.816799999999997</v>
      </c>
      <c r="W60" s="53">
        <f>IF(ISERROR(VLOOKUP($T$60,'TAR FIN'!$A$1:$O$103,15,0)),0,VLOOKUP($T$60,'TAR FIN'!$A$1:$O$103,15,0))*(1-0.06)</f>
        <v>65.207800000000006</v>
      </c>
      <c r="X60" s="53">
        <f>IF(ISERROR(VLOOKUP($U$60,'TAR FIN'!$A$1:$O$103,15,0)),0,VLOOKUP($U$60,'TAR FIN'!$A$1:$O$103,15,0))*(1-0.06)</f>
        <v>427.60599999999994</v>
      </c>
      <c r="Y60" s="53">
        <f ca="1">('TUSD BE'!$AM$15+'TUSD BF'!$AM$15+'TUSD CVA'!$AM$15)*1*(1-0.03)</f>
        <v>41.151946748232092</v>
      </c>
      <c r="Z60" s="53">
        <f ca="1">('TUSD BE'!$AM$17+'TUSD BF'!$AM$17+'TUSD CVA'!$AM$17)*1*(1-0.03)</f>
        <v>107.89940569215416</v>
      </c>
      <c r="AA60" s="53">
        <f>('TE BE'!$AB$8+'TE BF'!$AB$8+'TE CVA'!$AB$8)*1*(1-0.03)</f>
        <v>402.60285579025447</v>
      </c>
      <c r="AB60" s="53">
        <f>(SUBSIDIO!$J$60*SUBSIDIO!$V$60)*(0.06)/(1-0.06)</f>
        <v>433.92959999999994</v>
      </c>
      <c r="AC60" s="53">
        <f>((SUBSIDIO!$L$60*SUBSIDIO!$W$60)+(SUBSIDIO!$N$60*SUBSIDIO!$X$60))*(0.06)/(1-0.06)</f>
        <v>200.21871299999998</v>
      </c>
      <c r="AD60" s="53">
        <f ca="1">(SUBSIDIO!$J$60*SUBSIDIO!$Y$60)*(0.03)/(1-0.03)</f>
        <v>290.18486160609024</v>
      </c>
      <c r="AE60" s="53">
        <f ca="1">((SUBSIDIO!$L$60*SUBSIDIO!$Z$60)+(SUBSIDIO!$N$60*SUBSIDIO!$AA$60))*(0.03)/(1-0.03)</f>
        <v>100.49526477326386</v>
      </c>
      <c r="AF60" s="4" t="s">
        <v>778</v>
      </c>
    </row>
    <row r="61" spans="1:32" ht="11.25" customHeight="1" x14ac:dyDescent="0.25">
      <c r="A61" s="4" t="s">
        <v>21</v>
      </c>
      <c r="B61" s="4" t="s">
        <v>33</v>
      </c>
      <c r="C61" s="4" t="s">
        <v>41</v>
      </c>
      <c r="D61" s="4" t="s">
        <v>50</v>
      </c>
      <c r="E61" s="4" t="s">
        <v>51</v>
      </c>
      <c r="F61" s="4" t="s">
        <v>25</v>
      </c>
      <c r="G61" s="4" t="s">
        <v>25</v>
      </c>
      <c r="H61" s="4" t="s">
        <v>37</v>
      </c>
      <c r="I61" s="5">
        <v>44409</v>
      </c>
      <c r="J61" s="6">
        <v>228</v>
      </c>
      <c r="K61" s="52">
        <v>228</v>
      </c>
      <c r="L61" s="6">
        <v>6.4050000000000002</v>
      </c>
      <c r="M61" s="53">
        <v>6.4050000000000002</v>
      </c>
      <c r="N61" s="6">
        <v>6.4050000000000002</v>
      </c>
      <c r="O61" s="53">
        <v>6.4050000000000002</v>
      </c>
      <c r="P61" s="6">
        <v>0</v>
      </c>
      <c r="Q61" s="4" t="s">
        <v>26</v>
      </c>
      <c r="R61" s="4">
        <v>0</v>
      </c>
      <c r="S61" s="4">
        <v>13</v>
      </c>
      <c r="T61" s="4">
        <v>15</v>
      </c>
      <c r="U61" s="4">
        <v>65</v>
      </c>
      <c r="V61" s="53">
        <f>IF(ISERROR(VLOOKUP($S$61,'TAR FIN'!$A$1:$O$103,15,0)),0,VLOOKUP($S$61,'TAR FIN'!$A$1:$O$103,15,0))*(1-0.06)</f>
        <v>29.816799999999997</v>
      </c>
      <c r="W61" s="53">
        <f>IF(ISERROR(VLOOKUP($T$61,'TAR FIN'!$A$1:$O$103,15,0)),0,VLOOKUP($T$61,'TAR FIN'!$A$1:$O$103,15,0))*(1-0.06)</f>
        <v>65.207800000000006</v>
      </c>
      <c r="X61" s="53">
        <f>IF(ISERROR(VLOOKUP($U$61,'TAR FIN'!$A$1:$O$103,15,0)),0,VLOOKUP($U$61,'TAR FIN'!$A$1:$O$103,15,0))*(1-0.06)</f>
        <v>427.60599999999994</v>
      </c>
      <c r="Y61" s="53">
        <f ca="1">('TUSD BE'!$AM$15+'TUSD BF'!$AM$15+'TUSD CVA'!$AM$15)*1*(1-0.03)</f>
        <v>41.151946748232092</v>
      </c>
      <c r="Z61" s="53">
        <f ca="1">('TUSD BE'!$AM$17+'TUSD BF'!$AM$17+'TUSD CVA'!$AM$17)*1*(1-0.03)</f>
        <v>107.89940569215416</v>
      </c>
      <c r="AA61" s="53">
        <f>('TE BE'!$AB$8+'TE BF'!$AB$8+'TE CVA'!$AB$8)*1*(1-0.03)</f>
        <v>402.60285579025447</v>
      </c>
      <c r="AB61" s="53">
        <f>(SUBSIDIO!$J$61*SUBSIDIO!$V$61)*(0.06)/(1-0.06)</f>
        <v>433.92959999999994</v>
      </c>
      <c r="AC61" s="53">
        <f>((SUBSIDIO!$L$61*SUBSIDIO!$W$61)+(SUBSIDIO!$N$61*SUBSIDIO!$X$61))*(0.06)/(1-0.06)</f>
        <v>201.47696100000002</v>
      </c>
      <c r="AD61" s="53">
        <f ca="1">(SUBSIDIO!$J$61*SUBSIDIO!$Y$61)*(0.03)/(1-0.03)</f>
        <v>290.18486160609024</v>
      </c>
      <c r="AE61" s="53">
        <f ca="1">((SUBSIDIO!$L$61*SUBSIDIO!$Z$61)+(SUBSIDIO!$N$61*SUBSIDIO!$AA$61))*(0.03)/(1-0.03)</f>
        <v>101.12681396272662</v>
      </c>
      <c r="AF61" s="4" t="s">
        <v>778</v>
      </c>
    </row>
    <row r="62" spans="1:32" ht="11.25" customHeight="1" x14ac:dyDescent="0.25">
      <c r="A62" s="4" t="s">
        <v>21</v>
      </c>
      <c r="B62" s="4" t="s">
        <v>33</v>
      </c>
      <c r="C62" s="4" t="s">
        <v>41</v>
      </c>
      <c r="D62" s="4" t="s">
        <v>50</v>
      </c>
      <c r="E62" s="4" t="s">
        <v>51</v>
      </c>
      <c r="F62" s="4" t="s">
        <v>25</v>
      </c>
      <c r="G62" s="4" t="s">
        <v>25</v>
      </c>
      <c r="H62" s="4" t="s">
        <v>37</v>
      </c>
      <c r="I62" s="5">
        <v>44440</v>
      </c>
      <c r="J62" s="6">
        <v>228</v>
      </c>
      <c r="K62" s="52">
        <v>228</v>
      </c>
      <c r="L62" s="6">
        <v>3.7879999999999998</v>
      </c>
      <c r="M62" s="53">
        <v>3.7879999999999998</v>
      </c>
      <c r="N62" s="6">
        <v>3.7879999999999998</v>
      </c>
      <c r="O62" s="53">
        <v>3.7879999999999998</v>
      </c>
      <c r="P62" s="6">
        <v>0</v>
      </c>
      <c r="Q62" s="4" t="s">
        <v>26</v>
      </c>
      <c r="R62" s="4">
        <v>0</v>
      </c>
      <c r="S62" s="4">
        <v>13</v>
      </c>
      <c r="T62" s="4">
        <v>15</v>
      </c>
      <c r="U62" s="4">
        <v>65</v>
      </c>
      <c r="V62" s="53">
        <f>IF(ISERROR(VLOOKUP($S$62,'TAR FIN'!$A$1:$O$103,15,0)),0,VLOOKUP($S$62,'TAR FIN'!$A$1:$O$103,15,0))*(1-0.06)</f>
        <v>29.816799999999997</v>
      </c>
      <c r="W62" s="53">
        <f>IF(ISERROR(VLOOKUP($T$62,'TAR FIN'!$A$1:$O$103,15,0)),0,VLOOKUP($T$62,'TAR FIN'!$A$1:$O$103,15,0))*(1-0.06)</f>
        <v>65.207800000000006</v>
      </c>
      <c r="X62" s="53">
        <f>IF(ISERROR(VLOOKUP($U$62,'TAR FIN'!$A$1:$O$103,15,0)),0,VLOOKUP($U$62,'TAR FIN'!$A$1:$O$103,15,0))*(1-0.06)</f>
        <v>427.60599999999994</v>
      </c>
      <c r="Y62" s="53">
        <f ca="1">('TUSD BE'!$AM$15+'TUSD BF'!$AM$15+'TUSD CVA'!$AM$15)*1*(1-0.03)</f>
        <v>41.151946748232092</v>
      </c>
      <c r="Z62" s="53">
        <f ca="1">('TUSD BE'!$AM$17+'TUSD BF'!$AM$17+'TUSD CVA'!$AM$17)*1*(1-0.03)</f>
        <v>107.89940569215416</v>
      </c>
      <c r="AA62" s="53">
        <f>('TE BE'!$AB$8+'TE BF'!$AB$8+'TE CVA'!$AB$8)*1*(1-0.03)</f>
        <v>402.60285579025447</v>
      </c>
      <c r="AB62" s="53">
        <f>(SUBSIDIO!$J$62*SUBSIDIO!$V$62)*(0.06)/(1-0.06)</f>
        <v>433.92959999999994</v>
      </c>
      <c r="AC62" s="53">
        <f>((SUBSIDIO!$L$62*SUBSIDIO!$W$62)+(SUBSIDIO!$N$62*SUBSIDIO!$X$62))*(0.06)/(1-0.06)</f>
        <v>119.15608559999998</v>
      </c>
      <c r="AD62" s="53">
        <f ca="1">(SUBSIDIO!$J$62*SUBSIDIO!$Y$62)*(0.03)/(1-0.03)</f>
        <v>290.18486160609024</v>
      </c>
      <c r="AE62" s="53">
        <f ca="1">((SUBSIDIO!$L$62*SUBSIDIO!$Z$62)+(SUBSIDIO!$N$62*SUBSIDIO!$AA$62))*(0.03)/(1-0.03)</f>
        <v>59.807708242124654</v>
      </c>
      <c r="AF62" s="4" t="s">
        <v>778</v>
      </c>
    </row>
    <row r="63" spans="1:32" ht="11.25" customHeight="1" x14ac:dyDescent="0.25">
      <c r="A63" s="4" t="s">
        <v>21</v>
      </c>
      <c r="B63" s="4" t="s">
        <v>33</v>
      </c>
      <c r="C63" s="4" t="s">
        <v>41</v>
      </c>
      <c r="D63" s="4" t="s">
        <v>50</v>
      </c>
      <c r="E63" s="4" t="s">
        <v>51</v>
      </c>
      <c r="F63" s="4" t="s">
        <v>25</v>
      </c>
      <c r="G63" s="4" t="s">
        <v>25</v>
      </c>
      <c r="H63" s="4" t="s">
        <v>37</v>
      </c>
      <c r="I63" s="5">
        <v>44470</v>
      </c>
      <c r="J63" s="6">
        <v>228</v>
      </c>
      <c r="K63" s="52">
        <v>228</v>
      </c>
      <c r="L63" s="6">
        <v>8.0120000000000005</v>
      </c>
      <c r="M63" s="53">
        <v>8.0120000000000005</v>
      </c>
      <c r="N63" s="6">
        <v>8.0120000000000005</v>
      </c>
      <c r="O63" s="53">
        <v>8.0120000000000005</v>
      </c>
      <c r="P63" s="6">
        <v>0</v>
      </c>
      <c r="Q63" s="4" t="s">
        <v>26</v>
      </c>
      <c r="R63" s="4">
        <v>0</v>
      </c>
      <c r="S63" s="4">
        <v>13</v>
      </c>
      <c r="T63" s="4">
        <v>15</v>
      </c>
      <c r="U63" s="4">
        <v>65</v>
      </c>
      <c r="V63" s="53">
        <f>IF(ISERROR(VLOOKUP($S$63,'TAR FIN'!$A$1:$O$103,15,0)),0,VLOOKUP($S$63,'TAR FIN'!$A$1:$O$103,15,0))*(1-0.06)</f>
        <v>29.816799999999997</v>
      </c>
      <c r="W63" s="53">
        <f>IF(ISERROR(VLOOKUP($T$63,'TAR FIN'!$A$1:$O$103,15,0)),0,VLOOKUP($T$63,'TAR FIN'!$A$1:$O$103,15,0))*(1-0.06)</f>
        <v>65.207800000000006</v>
      </c>
      <c r="X63" s="53">
        <f>IF(ISERROR(VLOOKUP($U$63,'TAR FIN'!$A$1:$O$103,15,0)),0,VLOOKUP($U$63,'TAR FIN'!$A$1:$O$103,15,0))*(1-0.06)</f>
        <v>427.60599999999994</v>
      </c>
      <c r="Y63" s="53">
        <f ca="1">('TUSD BE'!$AM$15+'TUSD BF'!$AM$15+'TUSD CVA'!$AM$15)*1*(1-0.03)</f>
        <v>41.151946748232092</v>
      </c>
      <c r="Z63" s="53">
        <f ca="1">('TUSD BE'!$AM$17+'TUSD BF'!$AM$17+'TUSD CVA'!$AM$17)*1*(1-0.03)</f>
        <v>107.89940569215416</v>
      </c>
      <c r="AA63" s="53">
        <f>('TE BE'!$AB$8+'TE BF'!$AB$8+'TE CVA'!$AB$8)*1*(1-0.03)</f>
        <v>402.60285579025447</v>
      </c>
      <c r="AB63" s="53">
        <f>(SUBSIDIO!$J$63*SUBSIDIO!$V$63)*(0.06)/(1-0.06)</f>
        <v>433.92959999999994</v>
      </c>
      <c r="AC63" s="53">
        <f>((SUBSIDIO!$L$63*SUBSIDIO!$W$63)+(SUBSIDIO!$N$63*SUBSIDIO!$X$63))*(0.06)/(1-0.06)</f>
        <v>252.02707439999998</v>
      </c>
      <c r="AD63" s="53">
        <f ca="1">(SUBSIDIO!$J$63*SUBSIDIO!$Y$63)*(0.03)/(1-0.03)</f>
        <v>290.18486160609024</v>
      </c>
      <c r="AE63" s="53">
        <f ca="1">((SUBSIDIO!$L$63*SUBSIDIO!$Z$63)+(SUBSIDIO!$N$63*SUBSIDIO!$AA$63))*(0.03)/(1-0.03)</f>
        <v>126.49930264939354</v>
      </c>
      <c r="AF63" s="4" t="s">
        <v>778</v>
      </c>
    </row>
    <row r="64" spans="1:32" ht="11.25" customHeight="1" x14ac:dyDescent="0.25">
      <c r="A64" s="4" t="s">
        <v>21</v>
      </c>
      <c r="B64" s="4" t="s">
        <v>33</v>
      </c>
      <c r="C64" s="4" t="s">
        <v>41</v>
      </c>
      <c r="D64" s="4" t="s">
        <v>50</v>
      </c>
      <c r="E64" s="4" t="s">
        <v>51</v>
      </c>
      <c r="F64" s="4" t="s">
        <v>25</v>
      </c>
      <c r="G64" s="4" t="s">
        <v>25</v>
      </c>
      <c r="H64" s="4" t="s">
        <v>37</v>
      </c>
      <c r="I64" s="5">
        <v>44501</v>
      </c>
      <c r="J64" s="6">
        <v>228</v>
      </c>
      <c r="K64" s="52">
        <v>228</v>
      </c>
      <c r="L64" s="6">
        <v>4.8719999999999999</v>
      </c>
      <c r="M64" s="53">
        <v>4.8719999999999999</v>
      </c>
      <c r="N64" s="6">
        <v>4.8719999999999999</v>
      </c>
      <c r="O64" s="53">
        <v>4.8719999999999999</v>
      </c>
      <c r="P64" s="6">
        <v>0</v>
      </c>
      <c r="Q64" s="4" t="s">
        <v>26</v>
      </c>
      <c r="R64" s="4">
        <v>0</v>
      </c>
      <c r="S64" s="4">
        <v>13</v>
      </c>
      <c r="T64" s="4">
        <v>15</v>
      </c>
      <c r="U64" s="4">
        <v>65</v>
      </c>
      <c r="V64" s="53">
        <f>IF(ISERROR(VLOOKUP($S$64,'TAR FIN'!$A$1:$O$103,15,0)),0,VLOOKUP($S$64,'TAR FIN'!$A$1:$O$103,15,0))*(1-0.06)</f>
        <v>29.816799999999997</v>
      </c>
      <c r="W64" s="53">
        <f>IF(ISERROR(VLOOKUP($T$64,'TAR FIN'!$A$1:$O$103,15,0)),0,VLOOKUP($T$64,'TAR FIN'!$A$1:$O$103,15,0))*(1-0.06)</f>
        <v>65.207800000000006</v>
      </c>
      <c r="X64" s="53">
        <f>IF(ISERROR(VLOOKUP($U$64,'TAR FIN'!$A$1:$O$103,15,0)),0,VLOOKUP($U$64,'TAR FIN'!$A$1:$O$103,15,0))*(1-0.06)</f>
        <v>427.60599999999994</v>
      </c>
      <c r="Y64" s="53">
        <f ca="1">('TUSD BE'!$AM$15+'TUSD BF'!$AM$15+'TUSD CVA'!$AM$15)*1*(1-0.03)</f>
        <v>41.151946748232092</v>
      </c>
      <c r="Z64" s="53">
        <f ca="1">('TUSD BE'!$AM$17+'TUSD BF'!$AM$17+'TUSD CVA'!$AM$17)*1*(1-0.03)</f>
        <v>107.89940569215416</v>
      </c>
      <c r="AA64" s="53">
        <f>('TE BE'!$AB$8+'TE BF'!$AB$8+'TE CVA'!$AB$8)*1*(1-0.03)</f>
        <v>402.60285579025447</v>
      </c>
      <c r="AB64" s="53">
        <f>(SUBSIDIO!$J$64*SUBSIDIO!$V$64)*(0.06)/(1-0.06)</f>
        <v>433.92959999999994</v>
      </c>
      <c r="AC64" s="53">
        <f>((SUBSIDIO!$L$64*SUBSIDIO!$W$64)+(SUBSIDIO!$N$64*SUBSIDIO!$X$64))*(0.06)/(1-0.06)</f>
        <v>153.25460639999997</v>
      </c>
      <c r="AD64" s="53">
        <f ca="1">(SUBSIDIO!$J$64*SUBSIDIO!$Y$64)*(0.03)/(1-0.03)</f>
        <v>290.18486160609024</v>
      </c>
      <c r="AE64" s="53">
        <f ca="1">((SUBSIDIO!$L$64*SUBSIDIO!$Z$64)+(SUBSIDIO!$N$64*SUBSIDIO!$AA$64))*(0.03)/(1-0.03)</f>
        <v>76.922691276565814</v>
      </c>
      <c r="AF64" s="4" t="s">
        <v>778</v>
      </c>
    </row>
    <row r="65" spans="1:32" ht="11.25" customHeight="1" x14ac:dyDescent="0.25">
      <c r="A65" s="4" t="s">
        <v>21</v>
      </c>
      <c r="B65" s="4" t="s">
        <v>33</v>
      </c>
      <c r="C65" s="4" t="s">
        <v>41</v>
      </c>
      <c r="D65" s="4" t="s">
        <v>50</v>
      </c>
      <c r="E65" s="4" t="s">
        <v>51</v>
      </c>
      <c r="F65" s="4" t="s">
        <v>25</v>
      </c>
      <c r="G65" s="4" t="s">
        <v>25</v>
      </c>
      <c r="H65" s="4" t="s">
        <v>37</v>
      </c>
      <c r="I65" s="5">
        <v>44531</v>
      </c>
      <c r="J65" s="6">
        <v>228</v>
      </c>
      <c r="K65" s="52">
        <v>228</v>
      </c>
      <c r="L65" s="6">
        <v>1.9990000000000001</v>
      </c>
      <c r="M65" s="53">
        <v>1.9990000000000001</v>
      </c>
      <c r="N65" s="6">
        <v>1.9990000000000001</v>
      </c>
      <c r="O65" s="53">
        <v>1.9990000000000001</v>
      </c>
      <c r="P65" s="6">
        <v>0</v>
      </c>
      <c r="Q65" s="4" t="s">
        <v>26</v>
      </c>
      <c r="R65" s="4">
        <v>0</v>
      </c>
      <c r="S65" s="4">
        <v>13</v>
      </c>
      <c r="T65" s="4">
        <v>15</v>
      </c>
      <c r="U65" s="4">
        <v>65</v>
      </c>
      <c r="V65" s="53">
        <f>IF(ISERROR(VLOOKUP($S$65,'TAR FIN'!$A$1:$O$103,15,0)),0,VLOOKUP($S$65,'TAR FIN'!$A$1:$O$103,15,0))*(1-0.06)</f>
        <v>29.816799999999997</v>
      </c>
      <c r="W65" s="53">
        <f>IF(ISERROR(VLOOKUP($T$65,'TAR FIN'!$A$1:$O$103,15,0)),0,VLOOKUP($T$65,'TAR FIN'!$A$1:$O$103,15,0))*(1-0.06)</f>
        <v>65.207800000000006</v>
      </c>
      <c r="X65" s="53">
        <f>IF(ISERROR(VLOOKUP($U$65,'TAR FIN'!$A$1:$O$103,15,0)),0,VLOOKUP($U$65,'TAR FIN'!$A$1:$O$103,15,0))*(1-0.06)</f>
        <v>427.60599999999994</v>
      </c>
      <c r="Y65" s="53">
        <f ca="1">('TUSD BE'!$AM$15+'TUSD BF'!$AM$15+'TUSD CVA'!$AM$15)*1*(1-0.03)</f>
        <v>41.151946748232092</v>
      </c>
      <c r="Z65" s="53">
        <f ca="1">('TUSD BE'!$AM$17+'TUSD BF'!$AM$17+'TUSD CVA'!$AM$17)*1*(1-0.03)</f>
        <v>107.89940569215416</v>
      </c>
      <c r="AA65" s="53">
        <f>('TE BE'!$AB$8+'TE BF'!$AB$8+'TE CVA'!$AB$8)*1*(1-0.03)</f>
        <v>402.60285579025447</v>
      </c>
      <c r="AB65" s="53">
        <f>(SUBSIDIO!$J$65*SUBSIDIO!$V$65)*(0.06)/(1-0.06)</f>
        <v>433.92959999999994</v>
      </c>
      <c r="AC65" s="53">
        <f>((SUBSIDIO!$L$65*SUBSIDIO!$W$65)+(SUBSIDIO!$N$65*SUBSIDIO!$X$65))*(0.06)/(1-0.06)</f>
        <v>62.88094379999999</v>
      </c>
      <c r="AD65" s="53">
        <f ca="1">(SUBSIDIO!$J$65*SUBSIDIO!$Y$65)*(0.03)/(1-0.03)</f>
        <v>290.18486160609024</v>
      </c>
      <c r="AE65" s="53">
        <f ca="1">((SUBSIDIO!$L$65*SUBSIDIO!$Z$65)+(SUBSIDIO!$N$65*SUBSIDIO!$AA$65))*(0.03)/(1-0.03)</f>
        <v>31.561670743402111</v>
      </c>
      <c r="AF65" s="4" t="s">
        <v>778</v>
      </c>
    </row>
    <row r="66" spans="1:32" ht="11.25" customHeight="1" x14ac:dyDescent="0.25">
      <c r="A66" s="4" t="s">
        <v>21</v>
      </c>
      <c r="B66" s="4" t="s">
        <v>33</v>
      </c>
      <c r="C66" s="4" t="s">
        <v>41</v>
      </c>
      <c r="D66" s="4" t="s">
        <v>50</v>
      </c>
      <c r="E66" s="4" t="s">
        <v>51</v>
      </c>
      <c r="F66" s="4" t="s">
        <v>25</v>
      </c>
      <c r="G66" s="4" t="s">
        <v>25</v>
      </c>
      <c r="H66" s="4" t="s">
        <v>37</v>
      </c>
      <c r="I66" s="5">
        <v>44562</v>
      </c>
      <c r="J66" s="6">
        <v>228</v>
      </c>
      <c r="K66" s="52">
        <v>228</v>
      </c>
      <c r="L66" s="6">
        <v>4.0750000000000002</v>
      </c>
      <c r="M66" s="53">
        <v>4.0750000000000002</v>
      </c>
      <c r="N66" s="6">
        <v>4.0750000000000002</v>
      </c>
      <c r="O66" s="53">
        <v>4.0750000000000002</v>
      </c>
      <c r="P66" s="6">
        <v>0</v>
      </c>
      <c r="Q66" s="4" t="s">
        <v>26</v>
      </c>
      <c r="R66" s="4">
        <v>0</v>
      </c>
      <c r="S66" s="4">
        <v>13</v>
      </c>
      <c r="T66" s="4">
        <v>15</v>
      </c>
      <c r="U66" s="4">
        <v>65</v>
      </c>
      <c r="V66" s="53">
        <f>IF(ISERROR(VLOOKUP($S$66,'TAR FIN'!$A$1:$O$103,15,0)),0,VLOOKUP($S$66,'TAR FIN'!$A$1:$O$103,15,0))*(1-0.06)</f>
        <v>29.816799999999997</v>
      </c>
      <c r="W66" s="53">
        <f>IF(ISERROR(VLOOKUP($T$66,'TAR FIN'!$A$1:$O$103,15,0)),0,VLOOKUP($T$66,'TAR FIN'!$A$1:$O$103,15,0))*(1-0.06)</f>
        <v>65.207800000000006</v>
      </c>
      <c r="X66" s="53">
        <f>IF(ISERROR(VLOOKUP($U$66,'TAR FIN'!$A$1:$O$103,15,0)),0,VLOOKUP($U$66,'TAR FIN'!$A$1:$O$103,15,0))*(1-0.06)</f>
        <v>427.60599999999994</v>
      </c>
      <c r="Y66" s="53">
        <f ca="1">('TUSD BE'!$AM$15+'TUSD BF'!$AM$15+'TUSD CVA'!$AM$15)*1*(1-0.03)</f>
        <v>41.151946748232092</v>
      </c>
      <c r="Z66" s="53">
        <f ca="1">('TUSD BE'!$AM$17+'TUSD BF'!$AM$17+'TUSD CVA'!$AM$17)*1*(1-0.03)</f>
        <v>107.89940569215416</v>
      </c>
      <c r="AA66" s="53">
        <f>('TE BE'!$AB$8+'TE BF'!$AB$8+'TE CVA'!$AB$8)*1*(1-0.03)</f>
        <v>402.60285579025447</v>
      </c>
      <c r="AB66" s="53">
        <f>(SUBSIDIO!$J$66*SUBSIDIO!$V$66)*(0.06)/(1-0.06)</f>
        <v>433.92959999999994</v>
      </c>
      <c r="AC66" s="53">
        <f>((SUBSIDIO!$L$66*SUBSIDIO!$W$66)+(SUBSIDIO!$N$66*SUBSIDIO!$X$66))*(0.06)/(1-0.06)</f>
        <v>128.18401499999999</v>
      </c>
      <c r="AD66" s="53">
        <f ca="1">(SUBSIDIO!$J$66*SUBSIDIO!$Y$66)*(0.03)/(1-0.03)</f>
        <v>290.18486160609024</v>
      </c>
      <c r="AE66" s="53">
        <f ca="1">((SUBSIDIO!$L$66*SUBSIDIO!$Z$66)+(SUBSIDIO!$N$66*SUBSIDIO!$AA$66))*(0.03)/(1-0.03)</f>
        <v>64.339073676520059</v>
      </c>
      <c r="AF66" s="4" t="s">
        <v>778</v>
      </c>
    </row>
    <row r="67" spans="1:32" ht="11.25" customHeight="1" x14ac:dyDescent="0.25">
      <c r="A67" s="4" t="s">
        <v>21</v>
      </c>
      <c r="B67" s="4" t="s">
        <v>33</v>
      </c>
      <c r="C67" s="4" t="s">
        <v>41</v>
      </c>
      <c r="D67" s="4" t="s">
        <v>50</v>
      </c>
      <c r="E67" s="4" t="s">
        <v>51</v>
      </c>
      <c r="F67" s="4" t="s">
        <v>25</v>
      </c>
      <c r="G67" s="4" t="s">
        <v>25</v>
      </c>
      <c r="H67" s="4" t="s">
        <v>37</v>
      </c>
      <c r="I67" s="5">
        <v>44593</v>
      </c>
      <c r="J67" s="6">
        <v>228</v>
      </c>
      <c r="K67" s="52">
        <v>228</v>
      </c>
      <c r="L67" s="6">
        <v>1.7290000000000001</v>
      </c>
      <c r="M67" s="53">
        <v>1.7290000000000001</v>
      </c>
      <c r="N67" s="6">
        <v>1.7290000000000001</v>
      </c>
      <c r="O67" s="53">
        <v>1.7290000000000001</v>
      </c>
      <c r="P67" s="6">
        <v>0</v>
      </c>
      <c r="Q67" s="4" t="s">
        <v>26</v>
      </c>
      <c r="R67" s="4">
        <v>0</v>
      </c>
      <c r="S67" s="4">
        <v>13</v>
      </c>
      <c r="T67" s="4">
        <v>15</v>
      </c>
      <c r="U67" s="4">
        <v>65</v>
      </c>
      <c r="V67" s="53">
        <f>IF(ISERROR(VLOOKUP($S$67,'TAR FIN'!$A$1:$O$103,15,0)),0,VLOOKUP($S$67,'TAR FIN'!$A$1:$O$103,15,0))*(1-0.06)</f>
        <v>29.816799999999997</v>
      </c>
      <c r="W67" s="53">
        <f>IF(ISERROR(VLOOKUP($T$67,'TAR FIN'!$A$1:$O$103,15,0)),0,VLOOKUP($T$67,'TAR FIN'!$A$1:$O$103,15,0))*(1-0.06)</f>
        <v>65.207800000000006</v>
      </c>
      <c r="X67" s="53">
        <f>IF(ISERROR(VLOOKUP($U$67,'TAR FIN'!$A$1:$O$103,15,0)),0,VLOOKUP($U$67,'TAR FIN'!$A$1:$O$103,15,0))*(1-0.06)</f>
        <v>427.60599999999994</v>
      </c>
      <c r="Y67" s="53">
        <f ca="1">('TUSD BE'!$AM$15+'TUSD BF'!$AM$15+'TUSD CVA'!$AM$15)*1*(1-0.03)</f>
        <v>41.151946748232092</v>
      </c>
      <c r="Z67" s="53">
        <f ca="1">('TUSD BE'!$AM$17+'TUSD BF'!$AM$17+'TUSD CVA'!$AM$17)*1*(1-0.03)</f>
        <v>107.89940569215416</v>
      </c>
      <c r="AA67" s="53">
        <f>('TE BE'!$AB$8+'TE BF'!$AB$8+'TE CVA'!$AB$8)*1*(1-0.03)</f>
        <v>402.60285579025447</v>
      </c>
      <c r="AB67" s="53">
        <f>(SUBSIDIO!$J$67*SUBSIDIO!$V$67)*(0.06)/(1-0.06)</f>
        <v>433.92959999999994</v>
      </c>
      <c r="AC67" s="53">
        <f>((SUBSIDIO!$L$67*SUBSIDIO!$W$67)+(SUBSIDIO!$N$67*SUBSIDIO!$X$67))*(0.06)/(1-0.06)</f>
        <v>54.387769799999994</v>
      </c>
      <c r="AD67" s="53">
        <f ca="1">(SUBSIDIO!$J$67*SUBSIDIO!$Y$67)*(0.03)/(1-0.03)</f>
        <v>290.18486160609024</v>
      </c>
      <c r="AE67" s="53">
        <f ca="1">((SUBSIDIO!$L$67*SUBSIDIO!$Z$67)+(SUBSIDIO!$N$67*SUBSIDIO!$AA$67))*(0.03)/(1-0.03)</f>
        <v>27.29871371452839</v>
      </c>
      <c r="AF67" s="4" t="s">
        <v>778</v>
      </c>
    </row>
    <row r="68" spans="1:32" ht="11.25" customHeight="1" x14ac:dyDescent="0.25">
      <c r="A68" s="4" t="s">
        <v>21</v>
      </c>
      <c r="B68" s="4" t="s">
        <v>33</v>
      </c>
      <c r="C68" s="4" t="s">
        <v>41</v>
      </c>
      <c r="D68" s="4" t="s">
        <v>50</v>
      </c>
      <c r="E68" s="4" t="s">
        <v>51</v>
      </c>
      <c r="F68" s="4" t="s">
        <v>25</v>
      </c>
      <c r="G68" s="4" t="s">
        <v>25</v>
      </c>
      <c r="H68" s="4" t="s">
        <v>37</v>
      </c>
      <c r="I68" s="5">
        <v>44621</v>
      </c>
      <c r="J68" s="6">
        <v>228</v>
      </c>
      <c r="K68" s="52">
        <v>228</v>
      </c>
      <c r="L68" s="6">
        <v>0.53400000000000003</v>
      </c>
      <c r="M68" s="53">
        <v>0.53400000000000003</v>
      </c>
      <c r="N68" s="6">
        <v>0.53400000000000003</v>
      </c>
      <c r="O68" s="53">
        <v>0.53400000000000003</v>
      </c>
      <c r="P68" s="6">
        <v>0</v>
      </c>
      <c r="Q68" s="4" t="s">
        <v>26</v>
      </c>
      <c r="R68" s="4">
        <v>0</v>
      </c>
      <c r="S68" s="4">
        <v>13</v>
      </c>
      <c r="T68" s="4">
        <v>15</v>
      </c>
      <c r="U68" s="4">
        <v>65</v>
      </c>
      <c r="V68" s="53">
        <f>IF(ISERROR(VLOOKUP($S$68,'TAR FIN'!$A$1:$O$103,15,0)),0,VLOOKUP($S$68,'TAR FIN'!$A$1:$O$103,15,0))*(1-0.06)</f>
        <v>29.816799999999997</v>
      </c>
      <c r="W68" s="53">
        <f>IF(ISERROR(VLOOKUP($T$68,'TAR FIN'!$A$1:$O$103,15,0)),0,VLOOKUP($T$68,'TAR FIN'!$A$1:$O$103,15,0))*(1-0.06)</f>
        <v>65.207800000000006</v>
      </c>
      <c r="X68" s="53">
        <f>IF(ISERROR(VLOOKUP($U$68,'TAR FIN'!$A$1:$O$103,15,0)),0,VLOOKUP($U$68,'TAR FIN'!$A$1:$O$103,15,0))*(1-0.06)</f>
        <v>427.60599999999994</v>
      </c>
      <c r="Y68" s="53">
        <f ca="1">('TUSD BE'!$AM$15+'TUSD BF'!$AM$15+'TUSD CVA'!$AM$15)*1*(1-0.03)</f>
        <v>41.151946748232092</v>
      </c>
      <c r="Z68" s="53">
        <f ca="1">('TUSD BE'!$AM$17+'TUSD BF'!$AM$17+'TUSD CVA'!$AM$17)*1*(1-0.03)</f>
        <v>107.89940569215416</v>
      </c>
      <c r="AA68" s="53">
        <f>('TE BE'!$AB$8+'TE BF'!$AB$8+'TE CVA'!$AB$8)*1*(1-0.03)</f>
        <v>402.60285579025447</v>
      </c>
      <c r="AB68" s="53">
        <f>(SUBSIDIO!$J$68*SUBSIDIO!$V$68)*(0.06)/(1-0.06)</f>
        <v>433.92959999999994</v>
      </c>
      <c r="AC68" s="53">
        <f>((SUBSIDIO!$L$68*SUBSIDIO!$W$68)+(SUBSIDIO!$N$68*SUBSIDIO!$X$68))*(0.06)/(1-0.06)</f>
        <v>16.797610800000001</v>
      </c>
      <c r="AD68" s="53">
        <f ca="1">(SUBSIDIO!$J$68*SUBSIDIO!$Y$68)*(0.03)/(1-0.03)</f>
        <v>290.18486160609024</v>
      </c>
      <c r="AE68" s="53">
        <f ca="1">((SUBSIDIO!$L$68*SUBSIDIO!$Z$68)+(SUBSIDIO!$N$68*SUBSIDIO!$AA$68))*(0.03)/(1-0.03)</f>
        <v>8.4311816793280272</v>
      </c>
      <c r="AF68" s="4" t="s">
        <v>778</v>
      </c>
    </row>
    <row r="69" spans="1:32" ht="11.25" customHeight="1" x14ac:dyDescent="0.25">
      <c r="A69" s="4" t="s">
        <v>21</v>
      </c>
      <c r="B69" s="4" t="s">
        <v>33</v>
      </c>
      <c r="C69" s="4" t="s">
        <v>41</v>
      </c>
      <c r="D69" s="4" t="s">
        <v>50</v>
      </c>
      <c r="E69" s="4" t="s">
        <v>51</v>
      </c>
      <c r="F69" s="4" t="s">
        <v>25</v>
      </c>
      <c r="G69" s="4" t="s">
        <v>25</v>
      </c>
      <c r="H69" s="4" t="s">
        <v>37</v>
      </c>
      <c r="I69" s="5">
        <v>44652</v>
      </c>
      <c r="J69" s="6">
        <v>228</v>
      </c>
      <c r="K69" s="52">
        <v>228</v>
      </c>
      <c r="L69" s="6">
        <v>0.55200000000000005</v>
      </c>
      <c r="M69" s="53">
        <v>0.55200000000000005</v>
      </c>
      <c r="N69" s="6">
        <v>0.55200000000000005</v>
      </c>
      <c r="O69" s="53">
        <v>0.55200000000000005</v>
      </c>
      <c r="P69" s="6">
        <v>0</v>
      </c>
      <c r="Q69" s="4" t="s">
        <v>26</v>
      </c>
      <c r="R69" s="4">
        <v>0</v>
      </c>
      <c r="S69" s="4">
        <v>13</v>
      </c>
      <c r="T69" s="4">
        <v>15</v>
      </c>
      <c r="U69" s="4">
        <v>65</v>
      </c>
      <c r="V69" s="53">
        <f>IF(ISERROR(VLOOKUP($S$69,'TAR FIN'!$A$1:$O$103,15,0)),0,VLOOKUP($S$69,'TAR FIN'!$A$1:$O$103,15,0))*(1-0.06)</f>
        <v>29.816799999999997</v>
      </c>
      <c r="W69" s="53">
        <f>IF(ISERROR(VLOOKUP($T$69,'TAR FIN'!$A$1:$O$103,15,0)),0,VLOOKUP($T$69,'TAR FIN'!$A$1:$O$103,15,0))*(1-0.06)</f>
        <v>65.207800000000006</v>
      </c>
      <c r="X69" s="53">
        <f>IF(ISERROR(VLOOKUP($U$69,'TAR FIN'!$A$1:$O$103,15,0)),0,VLOOKUP($U$69,'TAR FIN'!$A$1:$O$103,15,0))*(1-0.06)</f>
        <v>427.60599999999994</v>
      </c>
      <c r="Y69" s="53">
        <f ca="1">('TUSD BE'!$AM$15+'TUSD BF'!$AM$15+'TUSD CVA'!$AM$15)*1*(1-0.03)</f>
        <v>41.151946748232092</v>
      </c>
      <c r="Z69" s="53">
        <f ca="1">('TUSD BE'!$AM$17+'TUSD BF'!$AM$17+'TUSD CVA'!$AM$17)*1*(1-0.03)</f>
        <v>107.89940569215416</v>
      </c>
      <c r="AA69" s="53">
        <f>('TE BE'!$AB$8+'TE BF'!$AB$8+'TE CVA'!$AB$8)*1*(1-0.03)</f>
        <v>402.60285579025447</v>
      </c>
      <c r="AB69" s="53">
        <f>(SUBSIDIO!$J$69*SUBSIDIO!$V$69)*(0.06)/(1-0.06)</f>
        <v>433.92959999999994</v>
      </c>
      <c r="AC69" s="53">
        <f>((SUBSIDIO!$L$69*SUBSIDIO!$W$69)+(SUBSIDIO!$N$69*SUBSIDIO!$X$69))*(0.06)/(1-0.06)</f>
        <v>17.3638224</v>
      </c>
      <c r="AD69" s="53">
        <f ca="1">(SUBSIDIO!$J$69*SUBSIDIO!$Y$69)*(0.03)/(1-0.03)</f>
        <v>290.18486160609024</v>
      </c>
      <c r="AE69" s="53">
        <f ca="1">((SUBSIDIO!$L$69*SUBSIDIO!$Z$69)+(SUBSIDIO!$N$69*SUBSIDIO!$AA$69))*(0.03)/(1-0.03)</f>
        <v>8.7153788145862752</v>
      </c>
      <c r="AF69" s="4" t="s">
        <v>778</v>
      </c>
    </row>
    <row r="70" spans="1:32" ht="11.25" customHeight="1" x14ac:dyDescent="0.25">
      <c r="A70" s="4" t="s">
        <v>21</v>
      </c>
      <c r="B70" s="4" t="s">
        <v>33</v>
      </c>
      <c r="C70" s="4" t="s">
        <v>41</v>
      </c>
      <c r="D70" s="4" t="s">
        <v>50</v>
      </c>
      <c r="E70" s="4" t="s">
        <v>51</v>
      </c>
      <c r="F70" s="4" t="s">
        <v>25</v>
      </c>
      <c r="G70" s="4" t="s">
        <v>25</v>
      </c>
      <c r="H70" s="4" t="s">
        <v>37</v>
      </c>
      <c r="I70" s="5">
        <v>44682</v>
      </c>
      <c r="J70" s="6">
        <v>228</v>
      </c>
      <c r="K70" s="52">
        <v>228</v>
      </c>
      <c r="L70" s="6">
        <v>0.63400000000000001</v>
      </c>
      <c r="M70" s="53">
        <v>0.63400000000000001</v>
      </c>
      <c r="N70" s="6">
        <v>0.63400000000000001</v>
      </c>
      <c r="O70" s="53">
        <v>0.63400000000000001</v>
      </c>
      <c r="P70" s="6">
        <v>0</v>
      </c>
      <c r="Q70" s="4" t="s">
        <v>26</v>
      </c>
      <c r="R70" s="4">
        <v>0</v>
      </c>
      <c r="S70" s="4">
        <v>13</v>
      </c>
      <c r="T70" s="4">
        <v>15</v>
      </c>
      <c r="U70" s="4">
        <v>65</v>
      </c>
      <c r="V70" s="53">
        <f>IF(ISERROR(VLOOKUP($S$70,'TAR FIN'!$A$1:$O$103,15,0)),0,VLOOKUP($S$70,'TAR FIN'!$A$1:$O$103,15,0))*(1-0.06)</f>
        <v>29.816799999999997</v>
      </c>
      <c r="W70" s="53">
        <f>IF(ISERROR(VLOOKUP($T$70,'TAR FIN'!$A$1:$O$103,15,0)),0,VLOOKUP($T$70,'TAR FIN'!$A$1:$O$103,15,0))*(1-0.06)</f>
        <v>65.207800000000006</v>
      </c>
      <c r="X70" s="53">
        <f>IF(ISERROR(VLOOKUP($U$70,'TAR FIN'!$A$1:$O$103,15,0)),0,VLOOKUP($U$70,'TAR FIN'!$A$1:$O$103,15,0))*(1-0.06)</f>
        <v>427.60599999999994</v>
      </c>
      <c r="Y70" s="53">
        <f ca="1">('TUSD BE'!$AM$15+'TUSD BF'!$AM$15+'TUSD CVA'!$AM$15)*1*(1-0.03)</f>
        <v>41.151946748232092</v>
      </c>
      <c r="Z70" s="53">
        <f ca="1">('TUSD BE'!$AM$17+'TUSD BF'!$AM$17+'TUSD CVA'!$AM$17)*1*(1-0.03)</f>
        <v>107.89940569215416</v>
      </c>
      <c r="AA70" s="53">
        <f>('TE BE'!$AB$8+'TE BF'!$AB$8+'TE CVA'!$AB$8)*1*(1-0.03)</f>
        <v>402.60285579025447</v>
      </c>
      <c r="AB70" s="53">
        <f>(SUBSIDIO!$J$70*SUBSIDIO!$V$70)*(0.06)/(1-0.06)</f>
        <v>433.92959999999994</v>
      </c>
      <c r="AC70" s="53">
        <f>((SUBSIDIO!$L$70*SUBSIDIO!$W$70)+(SUBSIDIO!$N$70*SUBSIDIO!$X$70))*(0.06)/(1-0.06)</f>
        <v>19.943230799999995</v>
      </c>
      <c r="AD70" s="53">
        <f ca="1">(SUBSIDIO!$J$70*SUBSIDIO!$Y$70)*(0.03)/(1-0.03)</f>
        <v>290.18486160609024</v>
      </c>
      <c r="AE70" s="53">
        <f ca="1">((SUBSIDIO!$L$70*SUBSIDIO!$Z$70)+(SUBSIDIO!$N$70*SUBSIDIO!$AA$70))*(0.03)/(1-0.03)</f>
        <v>10.010054652984961</v>
      </c>
      <c r="AF70" s="4" t="s">
        <v>778</v>
      </c>
    </row>
    <row r="71" spans="1:32" ht="11.25" customHeight="1" x14ac:dyDescent="0.25">
      <c r="A71" s="4" t="s">
        <v>21</v>
      </c>
      <c r="B71" s="4" t="s">
        <v>33</v>
      </c>
      <c r="C71" s="4" t="s">
        <v>34</v>
      </c>
      <c r="D71" s="4" t="s">
        <v>40</v>
      </c>
      <c r="E71" s="4" t="s">
        <v>25</v>
      </c>
      <c r="F71" s="4" t="s">
        <v>54</v>
      </c>
      <c r="G71" s="4" t="s">
        <v>25</v>
      </c>
      <c r="H71" s="4" t="s">
        <v>35</v>
      </c>
      <c r="I71" s="5">
        <v>44348</v>
      </c>
      <c r="J71" s="6">
        <v>0</v>
      </c>
      <c r="K71" s="6">
        <v>0</v>
      </c>
      <c r="L71" s="6">
        <v>2193.7249999999999</v>
      </c>
      <c r="M71" s="6">
        <v>2193.7249999999999</v>
      </c>
      <c r="N71" s="6">
        <v>0</v>
      </c>
      <c r="O71" s="6">
        <v>0</v>
      </c>
      <c r="P71" s="6">
        <v>0</v>
      </c>
      <c r="Q71" s="4" t="s">
        <v>53</v>
      </c>
      <c r="R71" s="4">
        <v>0</v>
      </c>
      <c r="S71" s="4">
        <v>0</v>
      </c>
      <c r="T71" s="4">
        <v>20</v>
      </c>
      <c r="U71" s="4">
        <v>0</v>
      </c>
      <c r="V71" s="6">
        <f>IF(ISERROR(VLOOKUP($S$71,'TAR FIN'!$A$1:$O$103,15,0)),0,VLOOKUP($S$71,'TAR FIN'!$A$1:$O$103,15,0))</f>
        <v>0</v>
      </c>
      <c r="W71" s="6">
        <f>IF(ISERROR(VLOOKUP($T$71,'TAR FIN'!$A$1:$O$103,15,0)),0,VLOOKUP($T$71,'TAR FIN'!$A$1:$O$103,15,0))</f>
        <v>69.37</v>
      </c>
      <c r="X71" s="6">
        <f>IF(ISERROR(VLOOKUP($U$71,'TAR FIN'!$A$1:$O$103,15,0)),0,VLOOKUP($U$71,'TAR FIN'!$A$1:$O$103,15,0))</f>
        <v>0</v>
      </c>
      <c r="Y71" s="6"/>
      <c r="Z71" s="6">
        <f ca="1">('TUSD BE'!$AM$22+'TUSD BF'!$AM$22+'TUSD CVA'!$AM$22)*1</f>
        <v>111.236500713561</v>
      </c>
      <c r="AA71" s="6"/>
      <c r="AB71" s="6">
        <f t="shared" ref="AB71:AB106" si="8">(J71-K71)*V71</f>
        <v>0</v>
      </c>
      <c r="AC71" s="6">
        <f t="shared" ref="AC71:AC97" si="9">(L71-M71)*W71+(N71-O71)*X71</f>
        <v>0</v>
      </c>
      <c r="AD71" s="6">
        <f t="shared" ref="AD71:AD106" si="10">(J71-K71)*Y71</f>
        <v>0</v>
      </c>
      <c r="AE71" s="6">
        <f t="shared" ref="AE71:AE97" ca="1" si="11">(L71-M71)*Z71+(N71-O71)*AA71</f>
        <v>0</v>
      </c>
      <c r="AF71" s="4" t="s">
        <v>777</v>
      </c>
    </row>
    <row r="72" spans="1:32" ht="11.25" customHeight="1" x14ac:dyDescent="0.25">
      <c r="A72" s="4" t="s">
        <v>21</v>
      </c>
      <c r="B72" s="4" t="s">
        <v>33</v>
      </c>
      <c r="C72" s="4" t="s">
        <v>34</v>
      </c>
      <c r="D72" s="4" t="s">
        <v>40</v>
      </c>
      <c r="E72" s="4" t="s">
        <v>25</v>
      </c>
      <c r="F72" s="4" t="s">
        <v>54</v>
      </c>
      <c r="G72" s="4" t="s">
        <v>25</v>
      </c>
      <c r="H72" s="4" t="s">
        <v>35</v>
      </c>
      <c r="I72" s="5">
        <v>44378</v>
      </c>
      <c r="J72" s="6">
        <v>0</v>
      </c>
      <c r="K72" s="6">
        <v>0</v>
      </c>
      <c r="L72" s="6">
        <v>2078.8359999999998</v>
      </c>
      <c r="M72" s="6">
        <v>2078.8359999999998</v>
      </c>
      <c r="N72" s="6">
        <v>0</v>
      </c>
      <c r="O72" s="6">
        <v>0</v>
      </c>
      <c r="P72" s="6">
        <v>0</v>
      </c>
      <c r="Q72" s="4" t="s">
        <v>53</v>
      </c>
      <c r="R72" s="4">
        <v>0</v>
      </c>
      <c r="S72" s="4">
        <v>0</v>
      </c>
      <c r="T72" s="4">
        <v>20</v>
      </c>
      <c r="U72" s="4">
        <v>0</v>
      </c>
      <c r="V72" s="6">
        <f>IF(ISERROR(VLOOKUP($S$72,'TAR FIN'!$A$1:$O$103,15,0)),0,VLOOKUP($S$72,'TAR FIN'!$A$1:$O$103,15,0))</f>
        <v>0</v>
      </c>
      <c r="W72" s="6">
        <f>IF(ISERROR(VLOOKUP($T$72,'TAR FIN'!$A$1:$O$103,15,0)),0,VLOOKUP($T$72,'TAR FIN'!$A$1:$O$103,15,0))</f>
        <v>69.37</v>
      </c>
      <c r="X72" s="6">
        <f>IF(ISERROR(VLOOKUP($U$72,'TAR FIN'!$A$1:$O$103,15,0)),0,VLOOKUP($U$72,'TAR FIN'!$A$1:$O$103,15,0))</f>
        <v>0</v>
      </c>
      <c r="Y72" s="6"/>
      <c r="Z72" s="6">
        <f ca="1">('TUSD BE'!$AM$22+'TUSD BF'!$AM$22+'TUSD CVA'!$AM$22)*1</f>
        <v>111.236500713561</v>
      </c>
      <c r="AA72" s="6"/>
      <c r="AB72" s="6">
        <f t="shared" si="8"/>
        <v>0</v>
      </c>
      <c r="AC72" s="6">
        <f t="shared" si="9"/>
        <v>0</v>
      </c>
      <c r="AD72" s="6">
        <f t="shared" si="10"/>
        <v>0</v>
      </c>
      <c r="AE72" s="6">
        <f t="shared" ca="1" si="11"/>
        <v>0</v>
      </c>
      <c r="AF72" s="4" t="s">
        <v>777</v>
      </c>
    </row>
    <row r="73" spans="1:32" ht="11.25" customHeight="1" x14ac:dyDescent="0.25">
      <c r="A73" s="4" t="s">
        <v>21</v>
      </c>
      <c r="B73" s="4" t="s">
        <v>33</v>
      </c>
      <c r="C73" s="4" t="s">
        <v>34</v>
      </c>
      <c r="D73" s="4" t="s">
        <v>40</v>
      </c>
      <c r="E73" s="4" t="s">
        <v>25</v>
      </c>
      <c r="F73" s="4" t="s">
        <v>54</v>
      </c>
      <c r="G73" s="4" t="s">
        <v>25</v>
      </c>
      <c r="H73" s="4" t="s">
        <v>35</v>
      </c>
      <c r="I73" s="5">
        <v>44409</v>
      </c>
      <c r="J73" s="6">
        <v>0</v>
      </c>
      <c r="K73" s="6">
        <v>0</v>
      </c>
      <c r="L73" s="6">
        <v>2262.5709999999999</v>
      </c>
      <c r="M73" s="6">
        <v>2262.5709999999999</v>
      </c>
      <c r="N73" s="6">
        <v>0</v>
      </c>
      <c r="O73" s="6">
        <v>0</v>
      </c>
      <c r="P73" s="6">
        <v>0</v>
      </c>
      <c r="Q73" s="4" t="s">
        <v>53</v>
      </c>
      <c r="R73" s="4">
        <v>0</v>
      </c>
      <c r="S73" s="4">
        <v>0</v>
      </c>
      <c r="T73" s="4">
        <v>20</v>
      </c>
      <c r="U73" s="4">
        <v>0</v>
      </c>
      <c r="V73" s="6">
        <f>IF(ISERROR(VLOOKUP($S$73,'TAR FIN'!$A$1:$O$103,15,0)),0,VLOOKUP($S$73,'TAR FIN'!$A$1:$O$103,15,0))</f>
        <v>0</v>
      </c>
      <c r="W73" s="6">
        <f>IF(ISERROR(VLOOKUP($T$73,'TAR FIN'!$A$1:$O$103,15,0)),0,VLOOKUP($T$73,'TAR FIN'!$A$1:$O$103,15,0))</f>
        <v>69.37</v>
      </c>
      <c r="X73" s="6">
        <f>IF(ISERROR(VLOOKUP($U$73,'TAR FIN'!$A$1:$O$103,15,0)),0,VLOOKUP($U$73,'TAR FIN'!$A$1:$O$103,15,0))</f>
        <v>0</v>
      </c>
      <c r="Y73" s="6"/>
      <c r="Z73" s="6">
        <f ca="1">('TUSD BE'!$AM$22+'TUSD BF'!$AM$22+'TUSD CVA'!$AM$22)*1</f>
        <v>111.236500713561</v>
      </c>
      <c r="AA73" s="6"/>
      <c r="AB73" s="6">
        <f t="shared" si="8"/>
        <v>0</v>
      </c>
      <c r="AC73" s="6">
        <f t="shared" si="9"/>
        <v>0</v>
      </c>
      <c r="AD73" s="6">
        <f t="shared" si="10"/>
        <v>0</v>
      </c>
      <c r="AE73" s="6">
        <f t="shared" ca="1" si="11"/>
        <v>0</v>
      </c>
      <c r="AF73" s="4" t="s">
        <v>777</v>
      </c>
    </row>
    <row r="74" spans="1:32" ht="11.25" customHeight="1" x14ac:dyDescent="0.25">
      <c r="A74" s="4" t="s">
        <v>21</v>
      </c>
      <c r="B74" s="4" t="s">
        <v>33</v>
      </c>
      <c r="C74" s="4" t="s">
        <v>34</v>
      </c>
      <c r="D74" s="4" t="s">
        <v>40</v>
      </c>
      <c r="E74" s="4" t="s">
        <v>25</v>
      </c>
      <c r="F74" s="4" t="s">
        <v>54</v>
      </c>
      <c r="G74" s="4" t="s">
        <v>25</v>
      </c>
      <c r="H74" s="4" t="s">
        <v>35</v>
      </c>
      <c r="I74" s="5">
        <v>44440</v>
      </c>
      <c r="J74" s="6">
        <v>0</v>
      </c>
      <c r="K74" s="6">
        <v>0</v>
      </c>
      <c r="L74" s="6">
        <v>1877.665</v>
      </c>
      <c r="M74" s="6">
        <v>1877.665</v>
      </c>
      <c r="N74" s="6">
        <v>0</v>
      </c>
      <c r="O74" s="6">
        <v>0</v>
      </c>
      <c r="P74" s="6">
        <v>0</v>
      </c>
      <c r="Q74" s="4" t="s">
        <v>53</v>
      </c>
      <c r="R74" s="4">
        <v>0</v>
      </c>
      <c r="S74" s="4">
        <v>0</v>
      </c>
      <c r="T74" s="4">
        <v>20</v>
      </c>
      <c r="U74" s="4">
        <v>0</v>
      </c>
      <c r="V74" s="6">
        <f>IF(ISERROR(VLOOKUP($S$74,'TAR FIN'!$A$1:$O$103,15,0)),0,VLOOKUP($S$74,'TAR FIN'!$A$1:$O$103,15,0))</f>
        <v>0</v>
      </c>
      <c r="W74" s="6">
        <f>IF(ISERROR(VLOOKUP($T$74,'TAR FIN'!$A$1:$O$103,15,0)),0,VLOOKUP($T$74,'TAR FIN'!$A$1:$O$103,15,0))</f>
        <v>69.37</v>
      </c>
      <c r="X74" s="6">
        <f>IF(ISERROR(VLOOKUP($U$74,'TAR FIN'!$A$1:$O$103,15,0)),0,VLOOKUP($U$74,'TAR FIN'!$A$1:$O$103,15,0))</f>
        <v>0</v>
      </c>
      <c r="Y74" s="6"/>
      <c r="Z74" s="6">
        <f ca="1">('TUSD BE'!$AM$22+'TUSD BF'!$AM$22+'TUSD CVA'!$AM$22)*1</f>
        <v>111.236500713561</v>
      </c>
      <c r="AA74" s="6"/>
      <c r="AB74" s="6">
        <f t="shared" si="8"/>
        <v>0</v>
      </c>
      <c r="AC74" s="6">
        <f t="shared" si="9"/>
        <v>0</v>
      </c>
      <c r="AD74" s="6">
        <f t="shared" si="10"/>
        <v>0</v>
      </c>
      <c r="AE74" s="6">
        <f t="shared" ca="1" si="11"/>
        <v>0</v>
      </c>
      <c r="AF74" s="4" t="s">
        <v>777</v>
      </c>
    </row>
    <row r="75" spans="1:32" ht="11.25" customHeight="1" x14ac:dyDescent="0.25">
      <c r="A75" s="4" t="s">
        <v>21</v>
      </c>
      <c r="B75" s="4" t="s">
        <v>33</v>
      </c>
      <c r="C75" s="4" t="s">
        <v>34</v>
      </c>
      <c r="D75" s="4" t="s">
        <v>40</v>
      </c>
      <c r="E75" s="4" t="s">
        <v>25</v>
      </c>
      <c r="F75" s="4" t="s">
        <v>54</v>
      </c>
      <c r="G75" s="4" t="s">
        <v>25</v>
      </c>
      <c r="H75" s="4" t="s">
        <v>35</v>
      </c>
      <c r="I75" s="5">
        <v>44470</v>
      </c>
      <c r="J75" s="6">
        <v>0</v>
      </c>
      <c r="K75" s="6">
        <v>0</v>
      </c>
      <c r="L75" s="6">
        <v>2452.4029999999998</v>
      </c>
      <c r="M75" s="6">
        <v>2452.4029999999998</v>
      </c>
      <c r="N75" s="6">
        <v>0</v>
      </c>
      <c r="O75" s="6">
        <v>0</v>
      </c>
      <c r="P75" s="6">
        <v>0</v>
      </c>
      <c r="Q75" s="4" t="s">
        <v>53</v>
      </c>
      <c r="R75" s="4">
        <v>0</v>
      </c>
      <c r="S75" s="4">
        <v>0</v>
      </c>
      <c r="T75" s="4">
        <v>20</v>
      </c>
      <c r="U75" s="4">
        <v>0</v>
      </c>
      <c r="V75" s="6">
        <f>IF(ISERROR(VLOOKUP($S$75,'TAR FIN'!$A$1:$O$103,15,0)),0,VLOOKUP($S$75,'TAR FIN'!$A$1:$O$103,15,0))</f>
        <v>0</v>
      </c>
      <c r="W75" s="6">
        <f>IF(ISERROR(VLOOKUP($T$75,'TAR FIN'!$A$1:$O$103,15,0)),0,VLOOKUP($T$75,'TAR FIN'!$A$1:$O$103,15,0))</f>
        <v>69.37</v>
      </c>
      <c r="X75" s="6">
        <f>IF(ISERROR(VLOOKUP($U$75,'TAR FIN'!$A$1:$O$103,15,0)),0,VLOOKUP($U$75,'TAR FIN'!$A$1:$O$103,15,0))</f>
        <v>0</v>
      </c>
      <c r="Y75" s="6"/>
      <c r="Z75" s="6">
        <f ca="1">('TUSD BE'!$AM$22+'TUSD BF'!$AM$22+'TUSD CVA'!$AM$22)*1</f>
        <v>111.236500713561</v>
      </c>
      <c r="AA75" s="6"/>
      <c r="AB75" s="6">
        <f t="shared" si="8"/>
        <v>0</v>
      </c>
      <c r="AC75" s="6">
        <f t="shared" si="9"/>
        <v>0</v>
      </c>
      <c r="AD75" s="6">
        <f t="shared" si="10"/>
        <v>0</v>
      </c>
      <c r="AE75" s="6">
        <f t="shared" ca="1" si="11"/>
        <v>0</v>
      </c>
      <c r="AF75" s="4" t="s">
        <v>777</v>
      </c>
    </row>
    <row r="76" spans="1:32" ht="11.25" customHeight="1" x14ac:dyDescent="0.25">
      <c r="A76" s="4" t="s">
        <v>21</v>
      </c>
      <c r="B76" s="4" t="s">
        <v>33</v>
      </c>
      <c r="C76" s="4" t="s">
        <v>34</v>
      </c>
      <c r="D76" s="4" t="s">
        <v>40</v>
      </c>
      <c r="E76" s="4" t="s">
        <v>25</v>
      </c>
      <c r="F76" s="4" t="s">
        <v>54</v>
      </c>
      <c r="G76" s="4" t="s">
        <v>25</v>
      </c>
      <c r="H76" s="4" t="s">
        <v>35</v>
      </c>
      <c r="I76" s="5">
        <v>44501</v>
      </c>
      <c r="J76" s="6">
        <v>0</v>
      </c>
      <c r="K76" s="6">
        <v>0</v>
      </c>
      <c r="L76" s="6">
        <v>2507.5810000000001</v>
      </c>
      <c r="M76" s="6">
        <v>2507.5810000000001</v>
      </c>
      <c r="N76" s="6">
        <v>0</v>
      </c>
      <c r="O76" s="6">
        <v>0</v>
      </c>
      <c r="P76" s="6">
        <v>0</v>
      </c>
      <c r="Q76" s="4" t="s">
        <v>53</v>
      </c>
      <c r="R76" s="4">
        <v>0</v>
      </c>
      <c r="S76" s="4">
        <v>0</v>
      </c>
      <c r="T76" s="4">
        <v>20</v>
      </c>
      <c r="U76" s="4">
        <v>0</v>
      </c>
      <c r="V76" s="6">
        <f>IF(ISERROR(VLOOKUP($S$76,'TAR FIN'!$A$1:$O$103,15,0)),0,VLOOKUP($S$76,'TAR FIN'!$A$1:$O$103,15,0))</f>
        <v>0</v>
      </c>
      <c r="W76" s="6">
        <f>IF(ISERROR(VLOOKUP($T$76,'TAR FIN'!$A$1:$O$103,15,0)),0,VLOOKUP($T$76,'TAR FIN'!$A$1:$O$103,15,0))</f>
        <v>69.37</v>
      </c>
      <c r="X76" s="6">
        <f>IF(ISERROR(VLOOKUP($U$76,'TAR FIN'!$A$1:$O$103,15,0)),0,VLOOKUP($U$76,'TAR FIN'!$A$1:$O$103,15,0))</f>
        <v>0</v>
      </c>
      <c r="Y76" s="6"/>
      <c r="Z76" s="6">
        <f ca="1">('TUSD BE'!$AM$22+'TUSD BF'!$AM$22+'TUSD CVA'!$AM$22)*1</f>
        <v>111.236500713561</v>
      </c>
      <c r="AA76" s="6"/>
      <c r="AB76" s="6">
        <f t="shared" si="8"/>
        <v>0</v>
      </c>
      <c r="AC76" s="6">
        <f t="shared" si="9"/>
        <v>0</v>
      </c>
      <c r="AD76" s="6">
        <f t="shared" si="10"/>
        <v>0</v>
      </c>
      <c r="AE76" s="6">
        <f t="shared" ca="1" si="11"/>
        <v>0</v>
      </c>
      <c r="AF76" s="4" t="s">
        <v>777</v>
      </c>
    </row>
    <row r="77" spans="1:32" ht="11.25" customHeight="1" x14ac:dyDescent="0.25">
      <c r="A77" s="4" t="s">
        <v>21</v>
      </c>
      <c r="B77" s="4" t="s">
        <v>33</v>
      </c>
      <c r="C77" s="4" t="s">
        <v>34</v>
      </c>
      <c r="D77" s="4" t="s">
        <v>40</v>
      </c>
      <c r="E77" s="4" t="s">
        <v>25</v>
      </c>
      <c r="F77" s="4" t="s">
        <v>54</v>
      </c>
      <c r="G77" s="4" t="s">
        <v>25</v>
      </c>
      <c r="H77" s="4" t="s">
        <v>35</v>
      </c>
      <c r="I77" s="5">
        <v>44531</v>
      </c>
      <c r="J77" s="6">
        <v>0</v>
      </c>
      <c r="K77" s="6">
        <v>0</v>
      </c>
      <c r="L77" s="6">
        <v>2568.9499999999998</v>
      </c>
      <c r="M77" s="6">
        <v>2568.9499999999998</v>
      </c>
      <c r="N77" s="6">
        <v>0</v>
      </c>
      <c r="O77" s="6">
        <v>0</v>
      </c>
      <c r="P77" s="6">
        <v>0</v>
      </c>
      <c r="Q77" s="4" t="s">
        <v>53</v>
      </c>
      <c r="R77" s="4">
        <v>0</v>
      </c>
      <c r="S77" s="4">
        <v>0</v>
      </c>
      <c r="T77" s="4">
        <v>20</v>
      </c>
      <c r="U77" s="4">
        <v>0</v>
      </c>
      <c r="V77" s="6">
        <f>IF(ISERROR(VLOOKUP($S$77,'TAR FIN'!$A$1:$O$103,15,0)),0,VLOOKUP($S$77,'TAR FIN'!$A$1:$O$103,15,0))</f>
        <v>0</v>
      </c>
      <c r="W77" s="6">
        <f>IF(ISERROR(VLOOKUP($T$77,'TAR FIN'!$A$1:$O$103,15,0)),0,VLOOKUP($T$77,'TAR FIN'!$A$1:$O$103,15,0))</f>
        <v>69.37</v>
      </c>
      <c r="X77" s="6">
        <f>IF(ISERROR(VLOOKUP($U$77,'TAR FIN'!$A$1:$O$103,15,0)),0,VLOOKUP($U$77,'TAR FIN'!$A$1:$O$103,15,0))</f>
        <v>0</v>
      </c>
      <c r="Y77" s="6"/>
      <c r="Z77" s="6">
        <f ca="1">('TUSD BE'!$AM$22+'TUSD BF'!$AM$22+'TUSD CVA'!$AM$22)*1</f>
        <v>111.236500713561</v>
      </c>
      <c r="AA77" s="6"/>
      <c r="AB77" s="6">
        <f t="shared" si="8"/>
        <v>0</v>
      </c>
      <c r="AC77" s="6">
        <f t="shared" si="9"/>
        <v>0</v>
      </c>
      <c r="AD77" s="6">
        <f t="shared" si="10"/>
        <v>0</v>
      </c>
      <c r="AE77" s="6">
        <f t="shared" ca="1" si="11"/>
        <v>0</v>
      </c>
      <c r="AF77" s="4" t="s">
        <v>777</v>
      </c>
    </row>
    <row r="78" spans="1:32" ht="11.25" customHeight="1" x14ac:dyDescent="0.25">
      <c r="A78" s="4" t="s">
        <v>21</v>
      </c>
      <c r="B78" s="4" t="s">
        <v>33</v>
      </c>
      <c r="C78" s="4" t="s">
        <v>34</v>
      </c>
      <c r="D78" s="4" t="s">
        <v>40</v>
      </c>
      <c r="E78" s="4" t="s">
        <v>25</v>
      </c>
      <c r="F78" s="4" t="s">
        <v>54</v>
      </c>
      <c r="G78" s="4" t="s">
        <v>25</v>
      </c>
      <c r="H78" s="4" t="s">
        <v>35</v>
      </c>
      <c r="I78" s="5">
        <v>44562</v>
      </c>
      <c r="J78" s="6">
        <v>0</v>
      </c>
      <c r="K78" s="6">
        <v>0</v>
      </c>
      <c r="L78" s="6">
        <v>2392.5479999999998</v>
      </c>
      <c r="M78" s="6">
        <v>2392.5479999999998</v>
      </c>
      <c r="N78" s="6">
        <v>0</v>
      </c>
      <c r="O78" s="6">
        <v>0</v>
      </c>
      <c r="P78" s="6">
        <v>0</v>
      </c>
      <c r="Q78" s="4" t="s">
        <v>53</v>
      </c>
      <c r="R78" s="4">
        <v>0</v>
      </c>
      <c r="S78" s="4">
        <v>0</v>
      </c>
      <c r="T78" s="4">
        <v>20</v>
      </c>
      <c r="U78" s="4">
        <v>0</v>
      </c>
      <c r="V78" s="6">
        <f>IF(ISERROR(VLOOKUP($S$78,'TAR FIN'!$A$1:$O$103,15,0)),0,VLOOKUP($S$78,'TAR FIN'!$A$1:$O$103,15,0))</f>
        <v>0</v>
      </c>
      <c r="W78" s="6">
        <f>IF(ISERROR(VLOOKUP($T$78,'TAR FIN'!$A$1:$O$103,15,0)),0,VLOOKUP($T$78,'TAR FIN'!$A$1:$O$103,15,0))</f>
        <v>69.37</v>
      </c>
      <c r="X78" s="6">
        <f>IF(ISERROR(VLOOKUP($U$78,'TAR FIN'!$A$1:$O$103,15,0)),0,VLOOKUP($U$78,'TAR FIN'!$A$1:$O$103,15,0))</f>
        <v>0</v>
      </c>
      <c r="Y78" s="6"/>
      <c r="Z78" s="6">
        <f ca="1">('TUSD BE'!$AM$22+'TUSD BF'!$AM$22+'TUSD CVA'!$AM$22)*1</f>
        <v>111.236500713561</v>
      </c>
      <c r="AA78" s="6"/>
      <c r="AB78" s="6">
        <f t="shared" si="8"/>
        <v>0</v>
      </c>
      <c r="AC78" s="6">
        <f t="shared" si="9"/>
        <v>0</v>
      </c>
      <c r="AD78" s="6">
        <f t="shared" si="10"/>
        <v>0</v>
      </c>
      <c r="AE78" s="6">
        <f t="shared" ca="1" si="11"/>
        <v>0</v>
      </c>
      <c r="AF78" s="4" t="s">
        <v>777</v>
      </c>
    </row>
    <row r="79" spans="1:32" ht="11.25" customHeight="1" x14ac:dyDescent="0.25">
      <c r="A79" s="4" t="s">
        <v>21</v>
      </c>
      <c r="B79" s="4" t="s">
        <v>33</v>
      </c>
      <c r="C79" s="4" t="s">
        <v>34</v>
      </c>
      <c r="D79" s="4" t="s">
        <v>40</v>
      </c>
      <c r="E79" s="4" t="s">
        <v>25</v>
      </c>
      <c r="F79" s="4" t="s">
        <v>54</v>
      </c>
      <c r="G79" s="4" t="s">
        <v>25</v>
      </c>
      <c r="H79" s="4" t="s">
        <v>35</v>
      </c>
      <c r="I79" s="5">
        <v>44593</v>
      </c>
      <c r="J79" s="6">
        <v>0</v>
      </c>
      <c r="K79" s="6">
        <v>0</v>
      </c>
      <c r="L79" s="6">
        <v>2477.0079999999998</v>
      </c>
      <c r="M79" s="6">
        <v>2477.0079999999998</v>
      </c>
      <c r="N79" s="6">
        <v>0</v>
      </c>
      <c r="O79" s="6">
        <v>0</v>
      </c>
      <c r="P79" s="6">
        <v>0</v>
      </c>
      <c r="Q79" s="4" t="s">
        <v>53</v>
      </c>
      <c r="R79" s="4">
        <v>0</v>
      </c>
      <c r="S79" s="4">
        <v>0</v>
      </c>
      <c r="T79" s="4">
        <v>20</v>
      </c>
      <c r="U79" s="4">
        <v>0</v>
      </c>
      <c r="V79" s="6">
        <f>IF(ISERROR(VLOOKUP($S$79,'TAR FIN'!$A$1:$O$103,15,0)),0,VLOOKUP($S$79,'TAR FIN'!$A$1:$O$103,15,0))</f>
        <v>0</v>
      </c>
      <c r="W79" s="6">
        <f>IF(ISERROR(VLOOKUP($T$79,'TAR FIN'!$A$1:$O$103,15,0)),0,VLOOKUP($T$79,'TAR FIN'!$A$1:$O$103,15,0))</f>
        <v>69.37</v>
      </c>
      <c r="X79" s="6">
        <f>IF(ISERROR(VLOOKUP($U$79,'TAR FIN'!$A$1:$O$103,15,0)),0,VLOOKUP($U$79,'TAR FIN'!$A$1:$O$103,15,0))</f>
        <v>0</v>
      </c>
      <c r="Y79" s="6"/>
      <c r="Z79" s="6">
        <f ca="1">('TUSD BE'!$AM$22+'TUSD BF'!$AM$22+'TUSD CVA'!$AM$22)*1</f>
        <v>111.236500713561</v>
      </c>
      <c r="AA79" s="6"/>
      <c r="AB79" s="6">
        <f t="shared" si="8"/>
        <v>0</v>
      </c>
      <c r="AC79" s="6">
        <f t="shared" si="9"/>
        <v>0</v>
      </c>
      <c r="AD79" s="6">
        <f t="shared" si="10"/>
        <v>0</v>
      </c>
      <c r="AE79" s="6">
        <f t="shared" ca="1" si="11"/>
        <v>0</v>
      </c>
      <c r="AF79" s="4" t="s">
        <v>777</v>
      </c>
    </row>
    <row r="80" spans="1:32" ht="11.25" customHeight="1" x14ac:dyDescent="0.25">
      <c r="A80" s="4" t="s">
        <v>21</v>
      </c>
      <c r="B80" s="4" t="s">
        <v>33</v>
      </c>
      <c r="C80" s="4" t="s">
        <v>34</v>
      </c>
      <c r="D80" s="4" t="s">
        <v>40</v>
      </c>
      <c r="E80" s="4" t="s">
        <v>25</v>
      </c>
      <c r="F80" s="4" t="s">
        <v>54</v>
      </c>
      <c r="G80" s="4" t="s">
        <v>25</v>
      </c>
      <c r="H80" s="4" t="s">
        <v>35</v>
      </c>
      <c r="I80" s="5">
        <v>44621</v>
      </c>
      <c r="J80" s="6">
        <v>0</v>
      </c>
      <c r="K80" s="6">
        <v>0</v>
      </c>
      <c r="L80" s="6">
        <v>2495.9270000000001</v>
      </c>
      <c r="M80" s="6">
        <v>2495.9270000000001</v>
      </c>
      <c r="N80" s="6">
        <v>0</v>
      </c>
      <c r="O80" s="6">
        <v>0</v>
      </c>
      <c r="P80" s="6">
        <v>0</v>
      </c>
      <c r="Q80" s="4" t="s">
        <v>53</v>
      </c>
      <c r="R80" s="4">
        <v>0</v>
      </c>
      <c r="S80" s="4">
        <v>0</v>
      </c>
      <c r="T80" s="4">
        <v>20</v>
      </c>
      <c r="U80" s="4">
        <v>0</v>
      </c>
      <c r="V80" s="6">
        <f>IF(ISERROR(VLOOKUP($S$80,'TAR FIN'!$A$1:$O$103,15,0)),0,VLOOKUP($S$80,'TAR FIN'!$A$1:$O$103,15,0))</f>
        <v>0</v>
      </c>
      <c r="W80" s="6">
        <f>IF(ISERROR(VLOOKUP($T$80,'TAR FIN'!$A$1:$O$103,15,0)),0,VLOOKUP($T$80,'TAR FIN'!$A$1:$O$103,15,0))</f>
        <v>69.37</v>
      </c>
      <c r="X80" s="6">
        <f>IF(ISERROR(VLOOKUP($U$80,'TAR FIN'!$A$1:$O$103,15,0)),0,VLOOKUP($U$80,'TAR FIN'!$A$1:$O$103,15,0))</f>
        <v>0</v>
      </c>
      <c r="Y80" s="6"/>
      <c r="Z80" s="6">
        <f ca="1">('TUSD BE'!$AM$22+'TUSD BF'!$AM$22+'TUSD CVA'!$AM$22)*1</f>
        <v>111.236500713561</v>
      </c>
      <c r="AA80" s="6"/>
      <c r="AB80" s="6">
        <f t="shared" si="8"/>
        <v>0</v>
      </c>
      <c r="AC80" s="6">
        <f t="shared" si="9"/>
        <v>0</v>
      </c>
      <c r="AD80" s="6">
        <f t="shared" si="10"/>
        <v>0</v>
      </c>
      <c r="AE80" s="6">
        <f t="shared" ca="1" si="11"/>
        <v>0</v>
      </c>
      <c r="AF80" s="4" t="s">
        <v>777</v>
      </c>
    </row>
    <row r="81" spans="1:32" ht="11.25" customHeight="1" x14ac:dyDescent="0.25">
      <c r="A81" s="4" t="s">
        <v>21</v>
      </c>
      <c r="B81" s="4" t="s">
        <v>33</v>
      </c>
      <c r="C81" s="4" t="s">
        <v>34</v>
      </c>
      <c r="D81" s="4" t="s">
        <v>40</v>
      </c>
      <c r="E81" s="4" t="s">
        <v>25</v>
      </c>
      <c r="F81" s="4" t="s">
        <v>54</v>
      </c>
      <c r="G81" s="4" t="s">
        <v>25</v>
      </c>
      <c r="H81" s="4" t="s">
        <v>35</v>
      </c>
      <c r="I81" s="5">
        <v>44652</v>
      </c>
      <c r="J81" s="6">
        <v>0</v>
      </c>
      <c r="K81" s="6">
        <v>0</v>
      </c>
      <c r="L81" s="6">
        <v>2841.056</v>
      </c>
      <c r="M81" s="6">
        <v>2841.056</v>
      </c>
      <c r="N81" s="6">
        <v>0</v>
      </c>
      <c r="O81" s="6">
        <v>0</v>
      </c>
      <c r="P81" s="6">
        <v>0</v>
      </c>
      <c r="Q81" s="4" t="s">
        <v>53</v>
      </c>
      <c r="R81" s="4">
        <v>0</v>
      </c>
      <c r="S81" s="4">
        <v>0</v>
      </c>
      <c r="T81" s="4">
        <v>20</v>
      </c>
      <c r="U81" s="4">
        <v>0</v>
      </c>
      <c r="V81" s="6">
        <f>IF(ISERROR(VLOOKUP($S$81,'TAR FIN'!$A$1:$O$103,15,0)),0,VLOOKUP($S$81,'TAR FIN'!$A$1:$O$103,15,0))</f>
        <v>0</v>
      </c>
      <c r="W81" s="6">
        <f>IF(ISERROR(VLOOKUP($T$81,'TAR FIN'!$A$1:$O$103,15,0)),0,VLOOKUP($T$81,'TAR FIN'!$A$1:$O$103,15,0))</f>
        <v>69.37</v>
      </c>
      <c r="X81" s="6">
        <f>IF(ISERROR(VLOOKUP($U$81,'TAR FIN'!$A$1:$O$103,15,0)),0,VLOOKUP($U$81,'TAR FIN'!$A$1:$O$103,15,0))</f>
        <v>0</v>
      </c>
      <c r="Y81" s="6"/>
      <c r="Z81" s="6">
        <f ca="1">('TUSD BE'!$AM$22+'TUSD BF'!$AM$22+'TUSD CVA'!$AM$22)*1</f>
        <v>111.236500713561</v>
      </c>
      <c r="AA81" s="6"/>
      <c r="AB81" s="6">
        <f t="shared" si="8"/>
        <v>0</v>
      </c>
      <c r="AC81" s="6">
        <f t="shared" si="9"/>
        <v>0</v>
      </c>
      <c r="AD81" s="6">
        <f t="shared" si="10"/>
        <v>0</v>
      </c>
      <c r="AE81" s="6">
        <f t="shared" ca="1" si="11"/>
        <v>0</v>
      </c>
      <c r="AF81" s="4" t="s">
        <v>777</v>
      </c>
    </row>
    <row r="82" spans="1:32" ht="11.25" customHeight="1" x14ac:dyDescent="0.25">
      <c r="A82" s="4" t="s">
        <v>21</v>
      </c>
      <c r="B82" s="4" t="s">
        <v>33</v>
      </c>
      <c r="C82" s="4" t="s">
        <v>34</v>
      </c>
      <c r="D82" s="4" t="s">
        <v>40</v>
      </c>
      <c r="E82" s="4" t="s">
        <v>25</v>
      </c>
      <c r="F82" s="4" t="s">
        <v>54</v>
      </c>
      <c r="G82" s="4" t="s">
        <v>25</v>
      </c>
      <c r="H82" s="4" t="s">
        <v>35</v>
      </c>
      <c r="I82" s="5">
        <v>44682</v>
      </c>
      <c r="J82" s="6">
        <v>0</v>
      </c>
      <c r="K82" s="6">
        <v>0</v>
      </c>
      <c r="L82" s="6">
        <v>1900.19</v>
      </c>
      <c r="M82" s="6">
        <v>1900.19</v>
      </c>
      <c r="N82" s="6">
        <v>0</v>
      </c>
      <c r="O82" s="6">
        <v>0</v>
      </c>
      <c r="P82" s="6">
        <v>0</v>
      </c>
      <c r="Q82" s="4" t="s">
        <v>53</v>
      </c>
      <c r="R82" s="4">
        <v>0</v>
      </c>
      <c r="S82" s="4">
        <v>0</v>
      </c>
      <c r="T82" s="4">
        <v>20</v>
      </c>
      <c r="U82" s="4">
        <v>0</v>
      </c>
      <c r="V82" s="6">
        <f>IF(ISERROR(VLOOKUP($S$82,'TAR FIN'!$A$1:$O$103,15,0)),0,VLOOKUP($S$82,'TAR FIN'!$A$1:$O$103,15,0))</f>
        <v>0</v>
      </c>
      <c r="W82" s="6">
        <f>IF(ISERROR(VLOOKUP($T$82,'TAR FIN'!$A$1:$O$103,15,0)),0,VLOOKUP($T$82,'TAR FIN'!$A$1:$O$103,15,0))</f>
        <v>69.37</v>
      </c>
      <c r="X82" s="6">
        <f>IF(ISERROR(VLOOKUP($U$82,'TAR FIN'!$A$1:$O$103,15,0)),0,VLOOKUP($U$82,'TAR FIN'!$A$1:$O$103,15,0))</f>
        <v>0</v>
      </c>
      <c r="Y82" s="6"/>
      <c r="Z82" s="6">
        <f ca="1">('TUSD BE'!$AM$22+'TUSD BF'!$AM$22+'TUSD CVA'!$AM$22)*1</f>
        <v>111.236500713561</v>
      </c>
      <c r="AA82" s="6"/>
      <c r="AB82" s="6">
        <f t="shared" si="8"/>
        <v>0</v>
      </c>
      <c r="AC82" s="6">
        <f t="shared" si="9"/>
        <v>0</v>
      </c>
      <c r="AD82" s="6">
        <f t="shared" si="10"/>
        <v>0</v>
      </c>
      <c r="AE82" s="6">
        <f t="shared" ca="1" si="11"/>
        <v>0</v>
      </c>
      <c r="AF82" s="4" t="s">
        <v>777</v>
      </c>
    </row>
    <row r="83" spans="1:32" ht="11.25" customHeight="1" x14ac:dyDescent="0.25">
      <c r="A83" s="4" t="s">
        <v>21</v>
      </c>
      <c r="B83" s="4" t="s">
        <v>33</v>
      </c>
      <c r="C83" s="4" t="s">
        <v>34</v>
      </c>
      <c r="D83" s="4" t="s">
        <v>40</v>
      </c>
      <c r="E83" s="4" t="s">
        <v>25</v>
      </c>
      <c r="F83" s="4" t="s">
        <v>54</v>
      </c>
      <c r="G83" s="4" t="s">
        <v>25</v>
      </c>
      <c r="H83" s="4" t="s">
        <v>25</v>
      </c>
      <c r="I83" s="5">
        <v>44348</v>
      </c>
      <c r="J83" s="6">
        <v>6743</v>
      </c>
      <c r="K83" s="6">
        <v>3371.5</v>
      </c>
      <c r="L83" s="6">
        <v>0</v>
      </c>
      <c r="M83" s="6">
        <v>0</v>
      </c>
      <c r="N83" s="6">
        <v>0</v>
      </c>
      <c r="O83" s="6">
        <v>0</v>
      </c>
      <c r="P83" s="6">
        <v>10</v>
      </c>
      <c r="Q83" s="4" t="s">
        <v>53</v>
      </c>
      <c r="R83" s="4">
        <v>0</v>
      </c>
      <c r="S83" s="4">
        <v>18</v>
      </c>
      <c r="T83" s="4">
        <v>0</v>
      </c>
      <c r="U83" s="4">
        <v>0</v>
      </c>
      <c r="V83" s="6">
        <f>IF(ISERROR(VLOOKUP($S$83,'TAR FIN'!$A$1:$O$103,15,0)),0,VLOOKUP($S$83,'TAR FIN'!$A$1:$O$103,15,0))</f>
        <v>12.42</v>
      </c>
      <c r="W83" s="6">
        <f>IF(ISERROR(VLOOKUP($T$83,'TAR FIN'!$A$1:$O$103,15,0)),0,VLOOKUP($T$83,'TAR FIN'!$A$1:$O$103,15,0))</f>
        <v>0</v>
      </c>
      <c r="X83" s="6">
        <f>IF(ISERROR(VLOOKUP($U$83,'TAR FIN'!$A$1:$O$103,15,0)),0,VLOOKUP($U$83,'TAR FIN'!$A$1:$O$103,15,0))</f>
        <v>0</v>
      </c>
      <c r="Y83" s="6">
        <f ca="1">('TUSD BE'!$AM$20+'TUSD BF'!$AM$20+'TUSD CVA'!$AM$20)*1</f>
        <v>16.518304697547443</v>
      </c>
      <c r="Z83" s="6"/>
      <c r="AA83" s="6"/>
      <c r="AB83" s="6">
        <f t="shared" si="8"/>
        <v>41874.03</v>
      </c>
      <c r="AC83" s="6">
        <f t="shared" si="9"/>
        <v>0</v>
      </c>
      <c r="AD83" s="6">
        <f t="shared" ca="1" si="10"/>
        <v>55691.4642877812</v>
      </c>
      <c r="AE83" s="6">
        <f t="shared" si="11"/>
        <v>0</v>
      </c>
      <c r="AF83" s="4" t="s">
        <v>777</v>
      </c>
    </row>
    <row r="84" spans="1:32" ht="11.25" customHeight="1" x14ac:dyDescent="0.25">
      <c r="A84" s="4" t="s">
        <v>21</v>
      </c>
      <c r="B84" s="4" t="s">
        <v>33</v>
      </c>
      <c r="C84" s="4" t="s">
        <v>34</v>
      </c>
      <c r="D84" s="4" t="s">
        <v>40</v>
      </c>
      <c r="E84" s="4" t="s">
        <v>25</v>
      </c>
      <c r="F84" s="4" t="s">
        <v>54</v>
      </c>
      <c r="G84" s="4" t="s">
        <v>25</v>
      </c>
      <c r="H84" s="4" t="s">
        <v>25</v>
      </c>
      <c r="I84" s="5">
        <v>44378</v>
      </c>
      <c r="J84" s="6">
        <v>6840</v>
      </c>
      <c r="K84" s="6">
        <v>3420</v>
      </c>
      <c r="L84" s="6">
        <v>0</v>
      </c>
      <c r="M84" s="6">
        <v>0</v>
      </c>
      <c r="N84" s="6">
        <v>0</v>
      </c>
      <c r="O84" s="6">
        <v>0</v>
      </c>
      <c r="P84" s="6">
        <v>10</v>
      </c>
      <c r="Q84" s="4" t="s">
        <v>53</v>
      </c>
      <c r="R84" s="4">
        <v>0</v>
      </c>
      <c r="S84" s="4">
        <v>18</v>
      </c>
      <c r="T84" s="4">
        <v>0</v>
      </c>
      <c r="U84" s="4">
        <v>0</v>
      </c>
      <c r="V84" s="6">
        <f>IF(ISERROR(VLOOKUP($S$84,'TAR FIN'!$A$1:$O$103,15,0)),0,VLOOKUP($S$84,'TAR FIN'!$A$1:$O$103,15,0))</f>
        <v>12.42</v>
      </c>
      <c r="W84" s="6">
        <f>IF(ISERROR(VLOOKUP($T$84,'TAR FIN'!$A$1:$O$103,15,0)),0,VLOOKUP($T$84,'TAR FIN'!$A$1:$O$103,15,0))</f>
        <v>0</v>
      </c>
      <c r="X84" s="6">
        <f>IF(ISERROR(VLOOKUP($U$84,'TAR FIN'!$A$1:$O$103,15,0)),0,VLOOKUP($U$84,'TAR FIN'!$A$1:$O$103,15,0))</f>
        <v>0</v>
      </c>
      <c r="Y84" s="6">
        <f ca="1">('TUSD BE'!$AM$20+'TUSD BF'!$AM$20+'TUSD CVA'!$AM$20)*1</f>
        <v>16.518304697547443</v>
      </c>
      <c r="Z84" s="6"/>
      <c r="AA84" s="6"/>
      <c r="AB84" s="6">
        <f t="shared" si="8"/>
        <v>42476.4</v>
      </c>
      <c r="AC84" s="6">
        <f t="shared" si="9"/>
        <v>0</v>
      </c>
      <c r="AD84" s="6">
        <f t="shared" ca="1" si="10"/>
        <v>56492.602065612256</v>
      </c>
      <c r="AE84" s="6">
        <f t="shared" si="11"/>
        <v>0</v>
      </c>
      <c r="AF84" s="4" t="s">
        <v>777</v>
      </c>
    </row>
    <row r="85" spans="1:32" ht="11.25" customHeight="1" x14ac:dyDescent="0.25">
      <c r="A85" s="4" t="s">
        <v>21</v>
      </c>
      <c r="B85" s="4" t="s">
        <v>33</v>
      </c>
      <c r="C85" s="4" t="s">
        <v>34</v>
      </c>
      <c r="D85" s="4" t="s">
        <v>40</v>
      </c>
      <c r="E85" s="4" t="s">
        <v>25</v>
      </c>
      <c r="F85" s="4" t="s">
        <v>54</v>
      </c>
      <c r="G85" s="4" t="s">
        <v>25</v>
      </c>
      <c r="H85" s="4" t="s">
        <v>25</v>
      </c>
      <c r="I85" s="5">
        <v>44409</v>
      </c>
      <c r="J85" s="6">
        <v>6855</v>
      </c>
      <c r="K85" s="6">
        <v>3427.5</v>
      </c>
      <c r="L85" s="6">
        <v>0</v>
      </c>
      <c r="M85" s="6">
        <v>0</v>
      </c>
      <c r="N85" s="6">
        <v>0</v>
      </c>
      <c r="O85" s="6">
        <v>0</v>
      </c>
      <c r="P85" s="6">
        <v>10</v>
      </c>
      <c r="Q85" s="4" t="s">
        <v>53</v>
      </c>
      <c r="R85" s="4">
        <v>0</v>
      </c>
      <c r="S85" s="4">
        <v>18</v>
      </c>
      <c r="T85" s="4">
        <v>0</v>
      </c>
      <c r="U85" s="4">
        <v>0</v>
      </c>
      <c r="V85" s="6">
        <f>IF(ISERROR(VLOOKUP($S$85,'TAR FIN'!$A$1:$O$103,15,0)),0,VLOOKUP($S$85,'TAR FIN'!$A$1:$O$103,15,0))</f>
        <v>12.42</v>
      </c>
      <c r="W85" s="6">
        <f>IF(ISERROR(VLOOKUP($T$85,'TAR FIN'!$A$1:$O$103,15,0)),0,VLOOKUP($T$85,'TAR FIN'!$A$1:$O$103,15,0))</f>
        <v>0</v>
      </c>
      <c r="X85" s="6">
        <f>IF(ISERROR(VLOOKUP($U$85,'TAR FIN'!$A$1:$O$103,15,0)),0,VLOOKUP($U$85,'TAR FIN'!$A$1:$O$103,15,0))</f>
        <v>0</v>
      </c>
      <c r="Y85" s="6">
        <f ca="1">('TUSD BE'!$AM$20+'TUSD BF'!$AM$20+'TUSD CVA'!$AM$20)*1</f>
        <v>16.518304697547443</v>
      </c>
      <c r="Z85" s="6"/>
      <c r="AA85" s="6"/>
      <c r="AB85" s="6">
        <f t="shared" si="8"/>
        <v>42569.55</v>
      </c>
      <c r="AC85" s="6">
        <f t="shared" si="9"/>
        <v>0</v>
      </c>
      <c r="AD85" s="6">
        <f t="shared" ca="1" si="10"/>
        <v>56616.489350843862</v>
      </c>
      <c r="AE85" s="6">
        <f t="shared" si="11"/>
        <v>0</v>
      </c>
      <c r="AF85" s="4" t="s">
        <v>777</v>
      </c>
    </row>
    <row r="86" spans="1:32" ht="11.25" customHeight="1" x14ac:dyDescent="0.25">
      <c r="A86" s="4" t="s">
        <v>21</v>
      </c>
      <c r="B86" s="4" t="s">
        <v>33</v>
      </c>
      <c r="C86" s="4" t="s">
        <v>34</v>
      </c>
      <c r="D86" s="4" t="s">
        <v>40</v>
      </c>
      <c r="E86" s="4" t="s">
        <v>25</v>
      </c>
      <c r="F86" s="4" t="s">
        <v>54</v>
      </c>
      <c r="G86" s="4" t="s">
        <v>25</v>
      </c>
      <c r="H86" s="4" t="s">
        <v>25</v>
      </c>
      <c r="I86" s="5">
        <v>44440</v>
      </c>
      <c r="J86" s="6">
        <v>5195</v>
      </c>
      <c r="K86" s="6">
        <v>2597.5</v>
      </c>
      <c r="L86" s="6">
        <v>0</v>
      </c>
      <c r="M86" s="6">
        <v>0</v>
      </c>
      <c r="N86" s="6">
        <v>0</v>
      </c>
      <c r="O86" s="6">
        <v>0</v>
      </c>
      <c r="P86" s="6">
        <v>10</v>
      </c>
      <c r="Q86" s="4" t="s">
        <v>53</v>
      </c>
      <c r="R86" s="4">
        <v>0</v>
      </c>
      <c r="S86" s="4">
        <v>18</v>
      </c>
      <c r="T86" s="4">
        <v>0</v>
      </c>
      <c r="U86" s="4">
        <v>0</v>
      </c>
      <c r="V86" s="6">
        <f>IF(ISERROR(VLOOKUP($S$86,'TAR FIN'!$A$1:$O$103,15,0)),0,VLOOKUP($S$86,'TAR FIN'!$A$1:$O$103,15,0))</f>
        <v>12.42</v>
      </c>
      <c r="W86" s="6">
        <f>IF(ISERROR(VLOOKUP($T$86,'TAR FIN'!$A$1:$O$103,15,0)),0,VLOOKUP($T$86,'TAR FIN'!$A$1:$O$103,15,0))</f>
        <v>0</v>
      </c>
      <c r="X86" s="6">
        <f>IF(ISERROR(VLOOKUP($U$86,'TAR FIN'!$A$1:$O$103,15,0)),0,VLOOKUP($U$86,'TAR FIN'!$A$1:$O$103,15,0))</f>
        <v>0</v>
      </c>
      <c r="Y86" s="6">
        <f ca="1">('TUSD BE'!$AM$20+'TUSD BF'!$AM$20+'TUSD CVA'!$AM$20)*1</f>
        <v>16.518304697547443</v>
      </c>
      <c r="Z86" s="6"/>
      <c r="AA86" s="6"/>
      <c r="AB86" s="6">
        <f t="shared" si="8"/>
        <v>32260.95</v>
      </c>
      <c r="AC86" s="6">
        <f t="shared" si="9"/>
        <v>0</v>
      </c>
      <c r="AD86" s="6">
        <f t="shared" ca="1" si="10"/>
        <v>42906.296451879483</v>
      </c>
      <c r="AE86" s="6">
        <f t="shared" si="11"/>
        <v>0</v>
      </c>
      <c r="AF86" s="4" t="s">
        <v>777</v>
      </c>
    </row>
    <row r="87" spans="1:32" ht="11.25" customHeight="1" x14ac:dyDescent="0.25">
      <c r="A87" s="4" t="s">
        <v>21</v>
      </c>
      <c r="B87" s="4" t="s">
        <v>33</v>
      </c>
      <c r="C87" s="4" t="s">
        <v>34</v>
      </c>
      <c r="D87" s="4" t="s">
        <v>40</v>
      </c>
      <c r="E87" s="4" t="s">
        <v>25</v>
      </c>
      <c r="F87" s="4" t="s">
        <v>54</v>
      </c>
      <c r="G87" s="4" t="s">
        <v>25</v>
      </c>
      <c r="H87" s="4" t="s">
        <v>25</v>
      </c>
      <c r="I87" s="5">
        <v>44470</v>
      </c>
      <c r="J87" s="6">
        <v>6646</v>
      </c>
      <c r="K87" s="6">
        <v>3323</v>
      </c>
      <c r="L87" s="6">
        <v>0</v>
      </c>
      <c r="M87" s="6">
        <v>0</v>
      </c>
      <c r="N87" s="6">
        <v>0</v>
      </c>
      <c r="O87" s="6">
        <v>0</v>
      </c>
      <c r="P87" s="6">
        <v>11</v>
      </c>
      <c r="Q87" s="4" t="s">
        <v>53</v>
      </c>
      <c r="R87" s="4">
        <v>0</v>
      </c>
      <c r="S87" s="4">
        <v>18</v>
      </c>
      <c r="T87" s="4">
        <v>0</v>
      </c>
      <c r="U87" s="4">
        <v>0</v>
      </c>
      <c r="V87" s="6">
        <f>IF(ISERROR(VLOOKUP($S$87,'TAR FIN'!$A$1:$O$103,15,0)),0,VLOOKUP($S$87,'TAR FIN'!$A$1:$O$103,15,0))</f>
        <v>12.42</v>
      </c>
      <c r="W87" s="6">
        <f>IF(ISERROR(VLOOKUP($T$87,'TAR FIN'!$A$1:$O$103,15,0)),0,VLOOKUP($T$87,'TAR FIN'!$A$1:$O$103,15,0))</f>
        <v>0</v>
      </c>
      <c r="X87" s="6">
        <f>IF(ISERROR(VLOOKUP($U$87,'TAR FIN'!$A$1:$O$103,15,0)),0,VLOOKUP($U$87,'TAR FIN'!$A$1:$O$103,15,0))</f>
        <v>0</v>
      </c>
      <c r="Y87" s="6">
        <f ca="1">('TUSD BE'!$AM$20+'TUSD BF'!$AM$20+'TUSD CVA'!$AM$20)*1</f>
        <v>16.518304697547443</v>
      </c>
      <c r="Z87" s="6"/>
      <c r="AA87" s="6"/>
      <c r="AB87" s="6">
        <f t="shared" si="8"/>
        <v>41271.659999999996</v>
      </c>
      <c r="AC87" s="6">
        <f t="shared" si="9"/>
        <v>0</v>
      </c>
      <c r="AD87" s="6">
        <f t="shared" ca="1" si="10"/>
        <v>54890.326509950151</v>
      </c>
      <c r="AE87" s="6">
        <f t="shared" si="11"/>
        <v>0</v>
      </c>
      <c r="AF87" s="4" t="s">
        <v>777</v>
      </c>
    </row>
    <row r="88" spans="1:32" ht="11.25" customHeight="1" x14ac:dyDescent="0.25">
      <c r="A88" s="4" t="s">
        <v>21</v>
      </c>
      <c r="B88" s="4" t="s">
        <v>33</v>
      </c>
      <c r="C88" s="4" t="s">
        <v>34</v>
      </c>
      <c r="D88" s="4" t="s">
        <v>40</v>
      </c>
      <c r="E88" s="4" t="s">
        <v>25</v>
      </c>
      <c r="F88" s="4" t="s">
        <v>54</v>
      </c>
      <c r="G88" s="4" t="s">
        <v>25</v>
      </c>
      <c r="H88" s="4" t="s">
        <v>25</v>
      </c>
      <c r="I88" s="5">
        <v>44501</v>
      </c>
      <c r="J88" s="6">
        <v>6803</v>
      </c>
      <c r="K88" s="6">
        <v>3401.5</v>
      </c>
      <c r="L88" s="6">
        <v>0</v>
      </c>
      <c r="M88" s="6">
        <v>0</v>
      </c>
      <c r="N88" s="6">
        <v>0</v>
      </c>
      <c r="O88" s="6">
        <v>0</v>
      </c>
      <c r="P88" s="6">
        <v>12</v>
      </c>
      <c r="Q88" s="4" t="s">
        <v>53</v>
      </c>
      <c r="R88" s="4">
        <v>0</v>
      </c>
      <c r="S88" s="4">
        <v>18</v>
      </c>
      <c r="T88" s="4">
        <v>0</v>
      </c>
      <c r="U88" s="4">
        <v>0</v>
      </c>
      <c r="V88" s="6">
        <f>IF(ISERROR(VLOOKUP($S$88,'TAR FIN'!$A$1:$O$103,15,0)),0,VLOOKUP($S$88,'TAR FIN'!$A$1:$O$103,15,0))</f>
        <v>12.42</v>
      </c>
      <c r="W88" s="6">
        <f>IF(ISERROR(VLOOKUP($T$88,'TAR FIN'!$A$1:$O$103,15,0)),0,VLOOKUP($T$88,'TAR FIN'!$A$1:$O$103,15,0))</f>
        <v>0</v>
      </c>
      <c r="X88" s="6">
        <f>IF(ISERROR(VLOOKUP($U$88,'TAR FIN'!$A$1:$O$103,15,0)),0,VLOOKUP($U$88,'TAR FIN'!$A$1:$O$103,15,0))</f>
        <v>0</v>
      </c>
      <c r="Y88" s="6">
        <f ca="1">('TUSD BE'!$AM$20+'TUSD BF'!$AM$20+'TUSD CVA'!$AM$20)*1</f>
        <v>16.518304697547443</v>
      </c>
      <c r="Z88" s="6"/>
      <c r="AA88" s="6"/>
      <c r="AB88" s="6">
        <f t="shared" si="8"/>
        <v>42246.63</v>
      </c>
      <c r="AC88" s="6">
        <f t="shared" si="9"/>
        <v>0</v>
      </c>
      <c r="AD88" s="6">
        <f t="shared" ca="1" si="10"/>
        <v>56187.013428707629</v>
      </c>
      <c r="AE88" s="6">
        <f t="shared" si="11"/>
        <v>0</v>
      </c>
      <c r="AF88" s="4" t="s">
        <v>777</v>
      </c>
    </row>
    <row r="89" spans="1:32" ht="11.25" customHeight="1" x14ac:dyDescent="0.25">
      <c r="A89" s="4" t="s">
        <v>21</v>
      </c>
      <c r="B89" s="4" t="s">
        <v>33</v>
      </c>
      <c r="C89" s="4" t="s">
        <v>34</v>
      </c>
      <c r="D89" s="4" t="s">
        <v>40</v>
      </c>
      <c r="E89" s="4" t="s">
        <v>25</v>
      </c>
      <c r="F89" s="4" t="s">
        <v>54</v>
      </c>
      <c r="G89" s="4" t="s">
        <v>25</v>
      </c>
      <c r="H89" s="4" t="s">
        <v>25</v>
      </c>
      <c r="I89" s="5">
        <v>44531</v>
      </c>
      <c r="J89" s="6">
        <v>6862</v>
      </c>
      <c r="K89" s="6">
        <v>3431</v>
      </c>
      <c r="L89" s="6">
        <v>0</v>
      </c>
      <c r="M89" s="6">
        <v>0</v>
      </c>
      <c r="N89" s="6">
        <v>0</v>
      </c>
      <c r="O89" s="6">
        <v>0</v>
      </c>
      <c r="P89" s="6">
        <v>12</v>
      </c>
      <c r="Q89" s="4" t="s">
        <v>53</v>
      </c>
      <c r="R89" s="4">
        <v>0</v>
      </c>
      <c r="S89" s="4">
        <v>18</v>
      </c>
      <c r="T89" s="4">
        <v>0</v>
      </c>
      <c r="U89" s="4">
        <v>0</v>
      </c>
      <c r="V89" s="6">
        <f>IF(ISERROR(VLOOKUP($S$89,'TAR FIN'!$A$1:$O$103,15,0)),0,VLOOKUP($S$89,'TAR FIN'!$A$1:$O$103,15,0))</f>
        <v>12.42</v>
      </c>
      <c r="W89" s="6">
        <f>IF(ISERROR(VLOOKUP($T$89,'TAR FIN'!$A$1:$O$103,15,0)),0,VLOOKUP($T$89,'TAR FIN'!$A$1:$O$103,15,0))</f>
        <v>0</v>
      </c>
      <c r="X89" s="6">
        <f>IF(ISERROR(VLOOKUP($U$89,'TAR FIN'!$A$1:$O$103,15,0)),0,VLOOKUP($U$89,'TAR FIN'!$A$1:$O$103,15,0))</f>
        <v>0</v>
      </c>
      <c r="Y89" s="6">
        <f ca="1">('TUSD BE'!$AM$20+'TUSD BF'!$AM$20+'TUSD CVA'!$AM$20)*1</f>
        <v>16.518304697547443</v>
      </c>
      <c r="Z89" s="6"/>
      <c r="AA89" s="6"/>
      <c r="AB89" s="6">
        <f t="shared" si="8"/>
        <v>42613.02</v>
      </c>
      <c r="AC89" s="6">
        <f t="shared" si="9"/>
        <v>0</v>
      </c>
      <c r="AD89" s="6">
        <f t="shared" ca="1" si="10"/>
        <v>56674.303417285279</v>
      </c>
      <c r="AE89" s="6">
        <f t="shared" si="11"/>
        <v>0</v>
      </c>
      <c r="AF89" s="4" t="s">
        <v>777</v>
      </c>
    </row>
    <row r="90" spans="1:32" ht="11.25" customHeight="1" x14ac:dyDescent="0.25">
      <c r="A90" s="4" t="s">
        <v>21</v>
      </c>
      <c r="B90" s="4" t="s">
        <v>33</v>
      </c>
      <c r="C90" s="4" t="s">
        <v>34</v>
      </c>
      <c r="D90" s="4" t="s">
        <v>40</v>
      </c>
      <c r="E90" s="4" t="s">
        <v>25</v>
      </c>
      <c r="F90" s="4" t="s">
        <v>54</v>
      </c>
      <c r="G90" s="4" t="s">
        <v>25</v>
      </c>
      <c r="H90" s="4" t="s">
        <v>25</v>
      </c>
      <c r="I90" s="5">
        <v>44562</v>
      </c>
      <c r="J90" s="6">
        <v>6817</v>
      </c>
      <c r="K90" s="6">
        <v>3408.5</v>
      </c>
      <c r="L90" s="6">
        <v>0</v>
      </c>
      <c r="M90" s="6">
        <v>0</v>
      </c>
      <c r="N90" s="6">
        <v>0</v>
      </c>
      <c r="O90" s="6">
        <v>0</v>
      </c>
      <c r="P90" s="6">
        <v>12</v>
      </c>
      <c r="Q90" s="4" t="s">
        <v>53</v>
      </c>
      <c r="R90" s="4">
        <v>0</v>
      </c>
      <c r="S90" s="4">
        <v>18</v>
      </c>
      <c r="T90" s="4">
        <v>0</v>
      </c>
      <c r="U90" s="4">
        <v>0</v>
      </c>
      <c r="V90" s="6">
        <f>IF(ISERROR(VLOOKUP($S$90,'TAR FIN'!$A$1:$O$103,15,0)),0,VLOOKUP($S$90,'TAR FIN'!$A$1:$O$103,15,0))</f>
        <v>12.42</v>
      </c>
      <c r="W90" s="6">
        <f>IF(ISERROR(VLOOKUP($T$90,'TAR FIN'!$A$1:$O$103,15,0)),0,VLOOKUP($T$90,'TAR FIN'!$A$1:$O$103,15,0))</f>
        <v>0</v>
      </c>
      <c r="X90" s="6">
        <f>IF(ISERROR(VLOOKUP($U$90,'TAR FIN'!$A$1:$O$103,15,0)),0,VLOOKUP($U$90,'TAR FIN'!$A$1:$O$103,15,0))</f>
        <v>0</v>
      </c>
      <c r="Y90" s="6">
        <f ca="1">('TUSD BE'!$AM$20+'TUSD BF'!$AM$20+'TUSD CVA'!$AM$20)*1</f>
        <v>16.518304697547443</v>
      </c>
      <c r="Z90" s="6"/>
      <c r="AA90" s="6"/>
      <c r="AB90" s="6">
        <f t="shared" si="8"/>
        <v>42333.57</v>
      </c>
      <c r="AC90" s="6">
        <f t="shared" si="9"/>
        <v>0</v>
      </c>
      <c r="AD90" s="6">
        <f t="shared" ca="1" si="10"/>
        <v>56302.641561590455</v>
      </c>
      <c r="AE90" s="6">
        <f t="shared" si="11"/>
        <v>0</v>
      </c>
      <c r="AF90" s="4" t="s">
        <v>777</v>
      </c>
    </row>
    <row r="91" spans="1:32" ht="11.25" customHeight="1" x14ac:dyDescent="0.25">
      <c r="A91" s="4" t="s">
        <v>21</v>
      </c>
      <c r="B91" s="4" t="s">
        <v>33</v>
      </c>
      <c r="C91" s="4" t="s">
        <v>34</v>
      </c>
      <c r="D91" s="4" t="s">
        <v>40</v>
      </c>
      <c r="E91" s="4" t="s">
        <v>25</v>
      </c>
      <c r="F91" s="4" t="s">
        <v>54</v>
      </c>
      <c r="G91" s="4" t="s">
        <v>25</v>
      </c>
      <c r="H91" s="4" t="s">
        <v>25</v>
      </c>
      <c r="I91" s="5">
        <v>44593</v>
      </c>
      <c r="J91" s="6">
        <v>6956</v>
      </c>
      <c r="K91" s="6">
        <v>3478</v>
      </c>
      <c r="L91" s="6">
        <v>0</v>
      </c>
      <c r="M91" s="6">
        <v>0</v>
      </c>
      <c r="N91" s="6">
        <v>0</v>
      </c>
      <c r="O91" s="6">
        <v>0</v>
      </c>
      <c r="P91" s="6">
        <v>12</v>
      </c>
      <c r="Q91" s="4" t="s">
        <v>53</v>
      </c>
      <c r="R91" s="4">
        <v>0</v>
      </c>
      <c r="S91" s="4">
        <v>18</v>
      </c>
      <c r="T91" s="4">
        <v>0</v>
      </c>
      <c r="U91" s="4">
        <v>0</v>
      </c>
      <c r="V91" s="6">
        <f>IF(ISERROR(VLOOKUP($S$91,'TAR FIN'!$A$1:$O$103,15,0)),0,VLOOKUP($S$91,'TAR FIN'!$A$1:$O$103,15,0))</f>
        <v>12.42</v>
      </c>
      <c r="W91" s="6">
        <f>IF(ISERROR(VLOOKUP($T$91,'TAR FIN'!$A$1:$O$103,15,0)),0,VLOOKUP($T$91,'TAR FIN'!$A$1:$O$103,15,0))</f>
        <v>0</v>
      </c>
      <c r="X91" s="6">
        <f>IF(ISERROR(VLOOKUP($U$91,'TAR FIN'!$A$1:$O$103,15,0)),0,VLOOKUP($U$91,'TAR FIN'!$A$1:$O$103,15,0))</f>
        <v>0</v>
      </c>
      <c r="Y91" s="6">
        <f ca="1">('TUSD BE'!$AM$20+'TUSD BF'!$AM$20+'TUSD CVA'!$AM$20)*1</f>
        <v>16.518304697547443</v>
      </c>
      <c r="Z91" s="6"/>
      <c r="AA91" s="6"/>
      <c r="AB91" s="6">
        <f t="shared" si="8"/>
        <v>43196.76</v>
      </c>
      <c r="AC91" s="6">
        <f t="shared" si="9"/>
        <v>0</v>
      </c>
      <c r="AD91" s="6">
        <f t="shared" ca="1" si="10"/>
        <v>57450.663738070005</v>
      </c>
      <c r="AE91" s="6">
        <f t="shared" si="11"/>
        <v>0</v>
      </c>
      <c r="AF91" s="4" t="s">
        <v>777</v>
      </c>
    </row>
    <row r="92" spans="1:32" ht="11.25" customHeight="1" x14ac:dyDescent="0.25">
      <c r="A92" s="4" t="s">
        <v>21</v>
      </c>
      <c r="B92" s="4" t="s">
        <v>33</v>
      </c>
      <c r="C92" s="4" t="s">
        <v>34</v>
      </c>
      <c r="D92" s="4" t="s">
        <v>40</v>
      </c>
      <c r="E92" s="4" t="s">
        <v>25</v>
      </c>
      <c r="F92" s="4" t="s">
        <v>54</v>
      </c>
      <c r="G92" s="4" t="s">
        <v>25</v>
      </c>
      <c r="H92" s="4" t="s">
        <v>25</v>
      </c>
      <c r="I92" s="5">
        <v>44621</v>
      </c>
      <c r="J92" s="6">
        <v>6826</v>
      </c>
      <c r="K92" s="6">
        <v>3413</v>
      </c>
      <c r="L92" s="6">
        <v>0</v>
      </c>
      <c r="M92" s="6">
        <v>0</v>
      </c>
      <c r="N92" s="6">
        <v>0</v>
      </c>
      <c r="O92" s="6">
        <v>0</v>
      </c>
      <c r="P92" s="6">
        <v>12</v>
      </c>
      <c r="Q92" s="4" t="s">
        <v>53</v>
      </c>
      <c r="R92" s="4">
        <v>0</v>
      </c>
      <c r="S92" s="4">
        <v>18</v>
      </c>
      <c r="T92" s="4">
        <v>0</v>
      </c>
      <c r="U92" s="4">
        <v>0</v>
      </c>
      <c r="V92" s="6">
        <f>IF(ISERROR(VLOOKUP($S$92,'TAR FIN'!$A$1:$O$103,15,0)),0,VLOOKUP($S$92,'TAR FIN'!$A$1:$O$103,15,0))</f>
        <v>12.42</v>
      </c>
      <c r="W92" s="6">
        <f>IF(ISERROR(VLOOKUP($T$92,'TAR FIN'!$A$1:$O$103,15,0)),0,VLOOKUP($T$92,'TAR FIN'!$A$1:$O$103,15,0))</f>
        <v>0</v>
      </c>
      <c r="X92" s="6">
        <f>IF(ISERROR(VLOOKUP($U$92,'TAR FIN'!$A$1:$O$103,15,0)),0,VLOOKUP($U$92,'TAR FIN'!$A$1:$O$103,15,0))</f>
        <v>0</v>
      </c>
      <c r="Y92" s="6">
        <f ca="1">('TUSD BE'!$AM$20+'TUSD BF'!$AM$20+'TUSD CVA'!$AM$20)*1</f>
        <v>16.518304697547443</v>
      </c>
      <c r="Z92" s="6"/>
      <c r="AA92" s="6"/>
      <c r="AB92" s="6">
        <f t="shared" si="8"/>
        <v>42389.46</v>
      </c>
      <c r="AC92" s="6">
        <f t="shared" si="9"/>
        <v>0</v>
      </c>
      <c r="AD92" s="6">
        <f t="shared" ca="1" si="10"/>
        <v>56376.973932729423</v>
      </c>
      <c r="AE92" s="6">
        <f t="shared" si="11"/>
        <v>0</v>
      </c>
      <c r="AF92" s="4" t="s">
        <v>777</v>
      </c>
    </row>
    <row r="93" spans="1:32" ht="11.25" customHeight="1" x14ac:dyDescent="0.25">
      <c r="A93" s="4" t="s">
        <v>21</v>
      </c>
      <c r="B93" s="4" t="s">
        <v>33</v>
      </c>
      <c r="C93" s="4" t="s">
        <v>34</v>
      </c>
      <c r="D93" s="4" t="s">
        <v>40</v>
      </c>
      <c r="E93" s="4" t="s">
        <v>25</v>
      </c>
      <c r="F93" s="4" t="s">
        <v>54</v>
      </c>
      <c r="G93" s="4" t="s">
        <v>25</v>
      </c>
      <c r="H93" s="4" t="s">
        <v>25</v>
      </c>
      <c r="I93" s="5">
        <v>44652</v>
      </c>
      <c r="J93" s="6">
        <v>7054</v>
      </c>
      <c r="K93" s="6">
        <v>3527</v>
      </c>
      <c r="L93" s="6">
        <v>0</v>
      </c>
      <c r="M93" s="6">
        <v>0</v>
      </c>
      <c r="N93" s="6">
        <v>0</v>
      </c>
      <c r="O93" s="6">
        <v>0</v>
      </c>
      <c r="P93" s="6">
        <v>12</v>
      </c>
      <c r="Q93" s="4" t="s">
        <v>53</v>
      </c>
      <c r="R93" s="4">
        <v>0</v>
      </c>
      <c r="S93" s="4">
        <v>18</v>
      </c>
      <c r="T93" s="4">
        <v>0</v>
      </c>
      <c r="U93" s="4">
        <v>0</v>
      </c>
      <c r="V93" s="6">
        <f>IF(ISERROR(VLOOKUP($S$93,'TAR FIN'!$A$1:$O$103,15,0)),0,VLOOKUP($S$93,'TAR FIN'!$A$1:$O$103,15,0))</f>
        <v>12.42</v>
      </c>
      <c r="W93" s="6">
        <f>IF(ISERROR(VLOOKUP($T$93,'TAR FIN'!$A$1:$O$103,15,0)),0,VLOOKUP($T$93,'TAR FIN'!$A$1:$O$103,15,0))</f>
        <v>0</v>
      </c>
      <c r="X93" s="6">
        <f>IF(ISERROR(VLOOKUP($U$93,'TAR FIN'!$A$1:$O$103,15,0)),0,VLOOKUP($U$93,'TAR FIN'!$A$1:$O$103,15,0))</f>
        <v>0</v>
      </c>
      <c r="Y93" s="6">
        <f ca="1">('TUSD BE'!$AM$20+'TUSD BF'!$AM$20+'TUSD CVA'!$AM$20)*1</f>
        <v>16.518304697547443</v>
      </c>
      <c r="Z93" s="6"/>
      <c r="AA93" s="6"/>
      <c r="AB93" s="6">
        <f t="shared" si="8"/>
        <v>43805.34</v>
      </c>
      <c r="AC93" s="6">
        <f t="shared" si="9"/>
        <v>0</v>
      </c>
      <c r="AD93" s="6">
        <f t="shared" ca="1" si="10"/>
        <v>58260.060668249833</v>
      </c>
      <c r="AE93" s="6">
        <f t="shared" si="11"/>
        <v>0</v>
      </c>
      <c r="AF93" s="4" t="s">
        <v>777</v>
      </c>
    </row>
    <row r="94" spans="1:32" ht="11.25" customHeight="1" x14ac:dyDescent="0.25">
      <c r="A94" s="4" t="s">
        <v>21</v>
      </c>
      <c r="B94" s="4" t="s">
        <v>33</v>
      </c>
      <c r="C94" s="4" t="s">
        <v>34</v>
      </c>
      <c r="D94" s="4" t="s">
        <v>40</v>
      </c>
      <c r="E94" s="4" t="s">
        <v>25</v>
      </c>
      <c r="F94" s="4" t="s">
        <v>54</v>
      </c>
      <c r="G94" s="4" t="s">
        <v>25</v>
      </c>
      <c r="H94" s="4" t="s">
        <v>25</v>
      </c>
      <c r="I94" s="5">
        <v>44682</v>
      </c>
      <c r="J94" s="6">
        <v>5327</v>
      </c>
      <c r="K94" s="6">
        <v>2663.5</v>
      </c>
      <c r="L94" s="6">
        <v>0</v>
      </c>
      <c r="M94" s="6">
        <v>0</v>
      </c>
      <c r="N94" s="6">
        <v>0</v>
      </c>
      <c r="O94" s="6">
        <v>0</v>
      </c>
      <c r="P94" s="6">
        <v>11</v>
      </c>
      <c r="Q94" s="4" t="s">
        <v>53</v>
      </c>
      <c r="R94" s="4">
        <v>0</v>
      </c>
      <c r="S94" s="4">
        <v>18</v>
      </c>
      <c r="T94" s="4">
        <v>0</v>
      </c>
      <c r="U94" s="4">
        <v>0</v>
      </c>
      <c r="V94" s="6">
        <f>IF(ISERROR(VLOOKUP($S$94,'TAR FIN'!$A$1:$O$103,15,0)),0,VLOOKUP($S$94,'TAR FIN'!$A$1:$O$103,15,0))</f>
        <v>12.42</v>
      </c>
      <c r="W94" s="6">
        <f>IF(ISERROR(VLOOKUP($T$94,'TAR FIN'!$A$1:$O$103,15,0)),0,VLOOKUP($T$94,'TAR FIN'!$A$1:$O$103,15,0))</f>
        <v>0</v>
      </c>
      <c r="X94" s="6">
        <f>IF(ISERROR(VLOOKUP($U$94,'TAR FIN'!$A$1:$O$103,15,0)),0,VLOOKUP($U$94,'TAR FIN'!$A$1:$O$103,15,0))</f>
        <v>0</v>
      </c>
      <c r="Y94" s="6">
        <f ca="1">('TUSD BE'!$AM$20+'TUSD BF'!$AM$20+'TUSD CVA'!$AM$20)*1</f>
        <v>16.518304697547443</v>
      </c>
      <c r="Z94" s="6"/>
      <c r="AA94" s="6"/>
      <c r="AB94" s="6">
        <f t="shared" si="8"/>
        <v>33080.67</v>
      </c>
      <c r="AC94" s="6">
        <f t="shared" si="9"/>
        <v>0</v>
      </c>
      <c r="AD94" s="6">
        <f t="shared" ca="1" si="10"/>
        <v>43996.504561917616</v>
      </c>
      <c r="AE94" s="6">
        <f t="shared" si="11"/>
        <v>0</v>
      </c>
      <c r="AF94" s="4" t="s">
        <v>777</v>
      </c>
    </row>
    <row r="95" spans="1:32" ht="11.25" customHeight="1" x14ac:dyDescent="0.25">
      <c r="A95" s="4" t="s">
        <v>21</v>
      </c>
      <c r="B95" s="4" t="s">
        <v>33</v>
      </c>
      <c r="C95" s="4" t="s">
        <v>34</v>
      </c>
      <c r="D95" s="4" t="s">
        <v>40</v>
      </c>
      <c r="E95" s="4" t="s">
        <v>25</v>
      </c>
      <c r="F95" s="4" t="s">
        <v>54</v>
      </c>
      <c r="G95" s="4" t="s">
        <v>25</v>
      </c>
      <c r="H95" s="4" t="s">
        <v>37</v>
      </c>
      <c r="I95" s="5">
        <v>44348</v>
      </c>
      <c r="J95" s="6">
        <v>0</v>
      </c>
      <c r="K95" s="6">
        <v>0</v>
      </c>
      <c r="L95" s="6">
        <v>226.70599999999999</v>
      </c>
      <c r="M95" s="6">
        <v>113.35299999999999</v>
      </c>
      <c r="N95" s="6">
        <v>0</v>
      </c>
      <c r="O95" s="6">
        <v>0</v>
      </c>
      <c r="P95" s="6">
        <v>0</v>
      </c>
      <c r="Q95" s="4" t="s">
        <v>53</v>
      </c>
      <c r="R95" s="4">
        <v>0</v>
      </c>
      <c r="S95" s="4">
        <v>0</v>
      </c>
      <c r="T95" s="4">
        <v>19</v>
      </c>
      <c r="U95" s="4">
        <v>0</v>
      </c>
      <c r="V95" s="6">
        <f>IF(ISERROR(VLOOKUP($S$95,'TAR FIN'!$A$1:$O$103,15,0)),0,VLOOKUP($S$95,'TAR FIN'!$A$1:$O$103,15,0))</f>
        <v>0</v>
      </c>
      <c r="W95" s="6">
        <f>IF(ISERROR(VLOOKUP($T$95,'TAR FIN'!$A$1:$O$103,15,0)),0,VLOOKUP($T$95,'TAR FIN'!$A$1:$O$103,15,0))</f>
        <v>842.31</v>
      </c>
      <c r="X95" s="6">
        <f>IF(ISERROR(VLOOKUP($U$95,'TAR FIN'!$A$1:$O$103,15,0)),0,VLOOKUP($U$95,'TAR FIN'!$A$1:$O$103,15,0))</f>
        <v>0</v>
      </c>
      <c r="Y95" s="6"/>
      <c r="Z95" s="6">
        <f ca="1">('TUSD BE'!$AM$21+'TUSD BF'!$AM$21+'TUSD CVA'!$AM$21)*1</f>
        <v>1146.3801365962368</v>
      </c>
      <c r="AA95" s="6"/>
      <c r="AB95" s="6">
        <f t="shared" si="8"/>
        <v>0</v>
      </c>
      <c r="AC95" s="6">
        <f t="shared" si="9"/>
        <v>95478.365429999991</v>
      </c>
      <c r="AD95" s="6">
        <f t="shared" si="10"/>
        <v>0</v>
      </c>
      <c r="AE95" s="6">
        <f t="shared" ca="1" si="11"/>
        <v>129945.62762359322</v>
      </c>
      <c r="AF95" s="4" t="s">
        <v>777</v>
      </c>
    </row>
    <row r="96" spans="1:32" ht="11.25" customHeight="1" x14ac:dyDescent="0.25">
      <c r="A96" s="4" t="s">
        <v>21</v>
      </c>
      <c r="B96" s="4" t="s">
        <v>33</v>
      </c>
      <c r="C96" s="4" t="s">
        <v>34</v>
      </c>
      <c r="D96" s="4" t="s">
        <v>40</v>
      </c>
      <c r="E96" s="4" t="s">
        <v>25</v>
      </c>
      <c r="F96" s="4" t="s">
        <v>54</v>
      </c>
      <c r="G96" s="4" t="s">
        <v>25</v>
      </c>
      <c r="H96" s="4" t="s">
        <v>37</v>
      </c>
      <c r="I96" s="5">
        <v>44378</v>
      </c>
      <c r="J96" s="6">
        <v>0</v>
      </c>
      <c r="K96" s="6">
        <v>0</v>
      </c>
      <c r="L96" s="6">
        <v>222.68600000000001</v>
      </c>
      <c r="M96" s="6">
        <v>111.343</v>
      </c>
      <c r="N96" s="6">
        <v>0</v>
      </c>
      <c r="O96" s="6">
        <v>0</v>
      </c>
      <c r="P96" s="6">
        <v>0</v>
      </c>
      <c r="Q96" s="4" t="s">
        <v>53</v>
      </c>
      <c r="R96" s="4">
        <v>0</v>
      </c>
      <c r="S96" s="4">
        <v>0</v>
      </c>
      <c r="T96" s="4">
        <v>19</v>
      </c>
      <c r="U96" s="4">
        <v>0</v>
      </c>
      <c r="V96" s="6">
        <f>IF(ISERROR(VLOOKUP($S$96,'TAR FIN'!$A$1:$O$103,15,0)),0,VLOOKUP($S$96,'TAR FIN'!$A$1:$O$103,15,0))</f>
        <v>0</v>
      </c>
      <c r="W96" s="6">
        <f>IF(ISERROR(VLOOKUP($T$96,'TAR FIN'!$A$1:$O$103,15,0)),0,VLOOKUP($T$96,'TAR FIN'!$A$1:$O$103,15,0))</f>
        <v>842.31</v>
      </c>
      <c r="X96" s="6">
        <f>IF(ISERROR(VLOOKUP($U$96,'TAR FIN'!$A$1:$O$103,15,0)),0,VLOOKUP($U$96,'TAR FIN'!$A$1:$O$103,15,0))</f>
        <v>0</v>
      </c>
      <c r="Y96" s="6"/>
      <c r="Z96" s="6">
        <f ca="1">('TUSD BE'!$AM$21+'TUSD BF'!$AM$21+'TUSD CVA'!$AM$21)*1</f>
        <v>1146.3801365962368</v>
      </c>
      <c r="AA96" s="6"/>
      <c r="AB96" s="6">
        <f t="shared" si="8"/>
        <v>0</v>
      </c>
      <c r="AC96" s="6">
        <f t="shared" si="9"/>
        <v>93785.322329999995</v>
      </c>
      <c r="AD96" s="6">
        <f t="shared" si="10"/>
        <v>0</v>
      </c>
      <c r="AE96" s="6">
        <f t="shared" ca="1" si="11"/>
        <v>127641.40354903479</v>
      </c>
      <c r="AF96" s="4" t="s">
        <v>777</v>
      </c>
    </row>
    <row r="97" spans="1:32" ht="11.25" customHeight="1" x14ac:dyDescent="0.25">
      <c r="A97" s="4" t="s">
        <v>21</v>
      </c>
      <c r="B97" s="4" t="s">
        <v>33</v>
      </c>
      <c r="C97" s="4" t="s">
        <v>34</v>
      </c>
      <c r="D97" s="4" t="s">
        <v>40</v>
      </c>
      <c r="E97" s="4" t="s">
        <v>25</v>
      </c>
      <c r="F97" s="4" t="s">
        <v>54</v>
      </c>
      <c r="G97" s="4" t="s">
        <v>25</v>
      </c>
      <c r="H97" s="4" t="s">
        <v>37</v>
      </c>
      <c r="I97" s="5">
        <v>44409</v>
      </c>
      <c r="J97" s="6">
        <v>0</v>
      </c>
      <c r="K97" s="6">
        <v>0</v>
      </c>
      <c r="L97" s="6">
        <v>230.55199999999999</v>
      </c>
      <c r="M97" s="6">
        <v>115.276</v>
      </c>
      <c r="N97" s="6">
        <v>0</v>
      </c>
      <c r="O97" s="6">
        <v>0</v>
      </c>
      <c r="P97" s="6">
        <v>0</v>
      </c>
      <c r="Q97" s="4" t="s">
        <v>53</v>
      </c>
      <c r="R97" s="4">
        <v>0</v>
      </c>
      <c r="S97" s="4">
        <v>0</v>
      </c>
      <c r="T97" s="4">
        <v>19</v>
      </c>
      <c r="U97" s="4">
        <v>0</v>
      </c>
      <c r="V97" s="6">
        <f>IF(ISERROR(VLOOKUP($S$97,'TAR FIN'!$A$1:$O$103,15,0)),0,VLOOKUP($S$97,'TAR FIN'!$A$1:$O$103,15,0))</f>
        <v>0</v>
      </c>
      <c r="W97" s="6">
        <f>IF(ISERROR(VLOOKUP($T$97,'TAR FIN'!$A$1:$O$103,15,0)),0,VLOOKUP($T$97,'TAR FIN'!$A$1:$O$103,15,0))</f>
        <v>842.31</v>
      </c>
      <c r="X97" s="6">
        <f>IF(ISERROR(VLOOKUP($U$97,'TAR FIN'!$A$1:$O$103,15,0)),0,VLOOKUP($U$97,'TAR FIN'!$A$1:$O$103,15,0))</f>
        <v>0</v>
      </c>
      <c r="Y97" s="6"/>
      <c r="Z97" s="6">
        <f ca="1">('TUSD BE'!$AM$21+'TUSD BF'!$AM$21+'TUSD CVA'!$AM$21)*1</f>
        <v>1146.3801365962368</v>
      </c>
      <c r="AA97" s="6"/>
      <c r="AB97" s="6">
        <f t="shared" si="8"/>
        <v>0</v>
      </c>
      <c r="AC97" s="6">
        <f t="shared" si="9"/>
        <v>97098.127559999994</v>
      </c>
      <c r="AD97" s="6">
        <f t="shared" si="10"/>
        <v>0</v>
      </c>
      <c r="AE97" s="6">
        <f t="shared" ca="1" si="11"/>
        <v>132150.11662626779</v>
      </c>
      <c r="AF97" s="4" t="s">
        <v>777</v>
      </c>
    </row>
    <row r="98" spans="1:32" ht="11.25" customHeight="1" x14ac:dyDescent="0.25">
      <c r="A98" s="4" t="s">
        <v>21</v>
      </c>
      <c r="B98" s="4" t="s">
        <v>33</v>
      </c>
      <c r="C98" s="4" t="s">
        <v>34</v>
      </c>
      <c r="D98" s="4" t="s">
        <v>40</v>
      </c>
      <c r="E98" s="4" t="s">
        <v>25</v>
      </c>
      <c r="F98" s="4" t="s">
        <v>54</v>
      </c>
      <c r="G98" s="4" t="s">
        <v>25</v>
      </c>
      <c r="H98" s="4" t="s">
        <v>37</v>
      </c>
      <c r="I98" s="5">
        <v>44440</v>
      </c>
      <c r="J98" s="6">
        <v>0</v>
      </c>
      <c r="K98" s="6">
        <v>0</v>
      </c>
      <c r="L98" s="6">
        <v>201.41900000000001</v>
      </c>
      <c r="M98" s="6">
        <v>100.70950000000001</v>
      </c>
      <c r="N98" s="6">
        <v>0</v>
      </c>
      <c r="O98" s="6">
        <v>0</v>
      </c>
      <c r="P98" s="6">
        <v>0</v>
      </c>
      <c r="Q98" s="4" t="s">
        <v>53</v>
      </c>
      <c r="R98" s="4">
        <v>0</v>
      </c>
      <c r="S98" s="4">
        <v>0</v>
      </c>
      <c r="T98" s="4">
        <v>19</v>
      </c>
      <c r="U98" s="4">
        <v>0</v>
      </c>
      <c r="V98" s="6">
        <f>IF(ISERROR(VLOOKUP($S$98,'TAR FIN'!$A$1:$O$103,15,0)),0,VLOOKUP($S$98,'TAR FIN'!$A$1:$O$103,15,0))</f>
        <v>0</v>
      </c>
      <c r="W98" s="6">
        <f>IF(ISERROR(VLOOKUP($T$98,'TAR FIN'!$A$1:$O$103,15,0)),0,VLOOKUP($T$98,'TAR FIN'!$A$1:$O$103,15,0))</f>
        <v>842.31</v>
      </c>
      <c r="X98" s="6">
        <f>IF(ISERROR(VLOOKUP($U$98,'TAR FIN'!$A$1:$O$103,15,0)),0,VLOOKUP($U$98,'TAR FIN'!$A$1:$O$103,15,0))</f>
        <v>0</v>
      </c>
      <c r="Y98" s="6"/>
      <c r="Z98" s="6">
        <f ca="1">('TUSD BE'!$AM$21+'TUSD BF'!$AM$21+'TUSD CVA'!$AM$21)*1</f>
        <v>1146.3801365962368</v>
      </c>
      <c r="AA98" s="6"/>
      <c r="AB98" s="6">
        <f t="shared" si="8"/>
        <v>0</v>
      </c>
      <c r="AC98" s="6">
        <f t="shared" ref="AC98:AC106" si="12">(L98-M98)*W98+(N98-O98)*X98</f>
        <v>84828.618944999995</v>
      </c>
      <c r="AD98" s="6">
        <f t="shared" si="10"/>
        <v>0</v>
      </c>
      <c r="AE98" s="6">
        <f t="shared" ref="AE98:AE106" ca="1" si="13">(L98-M98)*Z98+(N98-O98)*AA98</f>
        <v>115451.37036653871</v>
      </c>
      <c r="AF98" s="4" t="s">
        <v>777</v>
      </c>
    </row>
    <row r="99" spans="1:32" ht="11.25" customHeight="1" x14ac:dyDescent="0.25">
      <c r="A99" s="4" t="s">
        <v>21</v>
      </c>
      <c r="B99" s="4" t="s">
        <v>33</v>
      </c>
      <c r="C99" s="4" t="s">
        <v>34</v>
      </c>
      <c r="D99" s="4" t="s">
        <v>40</v>
      </c>
      <c r="E99" s="4" t="s">
        <v>25</v>
      </c>
      <c r="F99" s="4" t="s">
        <v>54</v>
      </c>
      <c r="G99" s="4" t="s">
        <v>25</v>
      </c>
      <c r="H99" s="4" t="s">
        <v>37</v>
      </c>
      <c r="I99" s="5">
        <v>44470</v>
      </c>
      <c r="J99" s="6">
        <v>0</v>
      </c>
      <c r="K99" s="6">
        <v>0</v>
      </c>
      <c r="L99" s="6">
        <v>266.76</v>
      </c>
      <c r="M99" s="6">
        <v>133.38</v>
      </c>
      <c r="N99" s="6">
        <v>0</v>
      </c>
      <c r="O99" s="6">
        <v>0</v>
      </c>
      <c r="P99" s="6">
        <v>0</v>
      </c>
      <c r="Q99" s="4" t="s">
        <v>53</v>
      </c>
      <c r="R99" s="4">
        <v>0</v>
      </c>
      <c r="S99" s="4">
        <v>0</v>
      </c>
      <c r="T99" s="4">
        <v>19</v>
      </c>
      <c r="U99" s="4">
        <v>0</v>
      </c>
      <c r="V99" s="6">
        <f>IF(ISERROR(VLOOKUP($S$99,'TAR FIN'!$A$1:$O$103,15,0)),0,VLOOKUP($S$99,'TAR FIN'!$A$1:$O$103,15,0))</f>
        <v>0</v>
      </c>
      <c r="W99" s="6">
        <f>IF(ISERROR(VLOOKUP($T$99,'TAR FIN'!$A$1:$O$103,15,0)),0,VLOOKUP($T$99,'TAR FIN'!$A$1:$O$103,15,0))</f>
        <v>842.31</v>
      </c>
      <c r="X99" s="6">
        <f>IF(ISERROR(VLOOKUP($U$99,'TAR FIN'!$A$1:$O$103,15,0)),0,VLOOKUP($U$99,'TAR FIN'!$A$1:$O$103,15,0))</f>
        <v>0</v>
      </c>
      <c r="Y99" s="6"/>
      <c r="Z99" s="6">
        <f ca="1">('TUSD BE'!$AM$21+'TUSD BF'!$AM$21+'TUSD CVA'!$AM$21)*1</f>
        <v>1146.3801365962368</v>
      </c>
      <c r="AA99" s="6"/>
      <c r="AB99" s="6">
        <f t="shared" si="8"/>
        <v>0</v>
      </c>
      <c r="AC99" s="6">
        <f t="shared" si="12"/>
        <v>112347.3078</v>
      </c>
      <c r="AD99" s="6">
        <f t="shared" si="10"/>
        <v>0</v>
      </c>
      <c r="AE99" s="6">
        <f t="shared" ca="1" si="13"/>
        <v>152904.18261920605</v>
      </c>
      <c r="AF99" s="4" t="s">
        <v>777</v>
      </c>
    </row>
    <row r="100" spans="1:32" ht="11.25" customHeight="1" x14ac:dyDescent="0.25">
      <c r="A100" s="4" t="s">
        <v>21</v>
      </c>
      <c r="B100" s="4" t="s">
        <v>33</v>
      </c>
      <c r="C100" s="4" t="s">
        <v>34</v>
      </c>
      <c r="D100" s="4" t="s">
        <v>40</v>
      </c>
      <c r="E100" s="4" t="s">
        <v>25</v>
      </c>
      <c r="F100" s="4" t="s">
        <v>54</v>
      </c>
      <c r="G100" s="4" t="s">
        <v>25</v>
      </c>
      <c r="H100" s="4" t="s">
        <v>37</v>
      </c>
      <c r="I100" s="5">
        <v>44501</v>
      </c>
      <c r="J100" s="6">
        <v>0</v>
      </c>
      <c r="K100" s="6">
        <v>0</v>
      </c>
      <c r="L100" s="6">
        <v>257.44299999999998</v>
      </c>
      <c r="M100" s="6">
        <v>128.72149999999999</v>
      </c>
      <c r="N100" s="6">
        <v>0</v>
      </c>
      <c r="O100" s="6">
        <v>0</v>
      </c>
      <c r="P100" s="6">
        <v>0</v>
      </c>
      <c r="Q100" s="4" t="s">
        <v>53</v>
      </c>
      <c r="R100" s="4">
        <v>0</v>
      </c>
      <c r="S100" s="4">
        <v>0</v>
      </c>
      <c r="T100" s="4">
        <v>19</v>
      </c>
      <c r="U100" s="4">
        <v>0</v>
      </c>
      <c r="V100" s="6">
        <f>IF(ISERROR(VLOOKUP($S$100,'TAR FIN'!$A$1:$O$103,15,0)),0,VLOOKUP($S$100,'TAR FIN'!$A$1:$O$103,15,0))</f>
        <v>0</v>
      </c>
      <c r="W100" s="6">
        <f>IF(ISERROR(VLOOKUP($T$100,'TAR FIN'!$A$1:$O$103,15,0)),0,VLOOKUP($T$100,'TAR FIN'!$A$1:$O$103,15,0))</f>
        <v>842.31</v>
      </c>
      <c r="X100" s="6">
        <f>IF(ISERROR(VLOOKUP($U$100,'TAR FIN'!$A$1:$O$103,15,0)),0,VLOOKUP($U$100,'TAR FIN'!$A$1:$O$103,15,0))</f>
        <v>0</v>
      </c>
      <c r="Y100" s="6"/>
      <c r="Z100" s="6">
        <f ca="1">('TUSD BE'!$AM$21+'TUSD BF'!$AM$21+'TUSD CVA'!$AM$21)*1</f>
        <v>1146.3801365962368</v>
      </c>
      <c r="AA100" s="6"/>
      <c r="AB100" s="6">
        <f t="shared" si="8"/>
        <v>0</v>
      </c>
      <c r="AC100" s="6">
        <f t="shared" si="12"/>
        <v>108423.40666499999</v>
      </c>
      <c r="AD100" s="6">
        <f t="shared" si="10"/>
        <v>0</v>
      </c>
      <c r="AE100" s="6">
        <f t="shared" ca="1" si="13"/>
        <v>147563.77075287249</v>
      </c>
      <c r="AF100" s="4" t="s">
        <v>777</v>
      </c>
    </row>
    <row r="101" spans="1:32" ht="11.25" customHeight="1" x14ac:dyDescent="0.25">
      <c r="A101" s="4" t="s">
        <v>21</v>
      </c>
      <c r="B101" s="4" t="s">
        <v>33</v>
      </c>
      <c r="C101" s="4" t="s">
        <v>34</v>
      </c>
      <c r="D101" s="4" t="s">
        <v>40</v>
      </c>
      <c r="E101" s="4" t="s">
        <v>25</v>
      </c>
      <c r="F101" s="4" t="s">
        <v>54</v>
      </c>
      <c r="G101" s="4" t="s">
        <v>25</v>
      </c>
      <c r="H101" s="4" t="s">
        <v>37</v>
      </c>
      <c r="I101" s="5">
        <v>44531</v>
      </c>
      <c r="J101" s="6">
        <v>0</v>
      </c>
      <c r="K101" s="6">
        <v>0</v>
      </c>
      <c r="L101" s="6">
        <v>276.63499999999999</v>
      </c>
      <c r="M101" s="6">
        <v>138.3175</v>
      </c>
      <c r="N101" s="6">
        <v>0</v>
      </c>
      <c r="O101" s="6">
        <v>0</v>
      </c>
      <c r="P101" s="6">
        <v>0</v>
      </c>
      <c r="Q101" s="4" t="s">
        <v>53</v>
      </c>
      <c r="R101" s="4">
        <v>0</v>
      </c>
      <c r="S101" s="4">
        <v>0</v>
      </c>
      <c r="T101" s="4">
        <v>19</v>
      </c>
      <c r="U101" s="4">
        <v>0</v>
      </c>
      <c r="V101" s="6">
        <f>IF(ISERROR(VLOOKUP($S$101,'TAR FIN'!$A$1:$O$103,15,0)),0,VLOOKUP($S$101,'TAR FIN'!$A$1:$O$103,15,0))</f>
        <v>0</v>
      </c>
      <c r="W101" s="6">
        <f>IF(ISERROR(VLOOKUP($T$101,'TAR FIN'!$A$1:$O$103,15,0)),0,VLOOKUP($T$101,'TAR FIN'!$A$1:$O$103,15,0))</f>
        <v>842.31</v>
      </c>
      <c r="X101" s="6">
        <f>IF(ISERROR(VLOOKUP($U$101,'TAR FIN'!$A$1:$O$103,15,0)),0,VLOOKUP($U$101,'TAR FIN'!$A$1:$O$103,15,0))</f>
        <v>0</v>
      </c>
      <c r="Y101" s="6"/>
      <c r="Z101" s="6">
        <f ca="1">('TUSD BE'!$AM$21+'TUSD BF'!$AM$21+'TUSD CVA'!$AM$21)*1</f>
        <v>1146.3801365962368</v>
      </c>
      <c r="AA101" s="6"/>
      <c r="AB101" s="6">
        <f t="shared" si="8"/>
        <v>0</v>
      </c>
      <c r="AC101" s="6">
        <f t="shared" si="12"/>
        <v>116506.21342499999</v>
      </c>
      <c r="AD101" s="6">
        <f t="shared" si="10"/>
        <v>0</v>
      </c>
      <c r="AE101" s="6">
        <f t="shared" ca="1" si="13"/>
        <v>158564.43454364999</v>
      </c>
      <c r="AF101" s="4" t="s">
        <v>777</v>
      </c>
    </row>
    <row r="102" spans="1:32" ht="11.25" customHeight="1" x14ac:dyDescent="0.25">
      <c r="A102" s="4" t="s">
        <v>21</v>
      </c>
      <c r="B102" s="4" t="s">
        <v>33</v>
      </c>
      <c r="C102" s="4" t="s">
        <v>34</v>
      </c>
      <c r="D102" s="4" t="s">
        <v>40</v>
      </c>
      <c r="E102" s="4" t="s">
        <v>25</v>
      </c>
      <c r="F102" s="4" t="s">
        <v>54</v>
      </c>
      <c r="G102" s="4" t="s">
        <v>25</v>
      </c>
      <c r="H102" s="4" t="s">
        <v>37</v>
      </c>
      <c r="I102" s="5">
        <v>44562</v>
      </c>
      <c r="J102" s="6">
        <v>0</v>
      </c>
      <c r="K102" s="6">
        <v>0</v>
      </c>
      <c r="L102" s="6">
        <v>262.87700000000001</v>
      </c>
      <c r="M102" s="6">
        <v>131.4385</v>
      </c>
      <c r="N102" s="6">
        <v>0</v>
      </c>
      <c r="O102" s="6">
        <v>0</v>
      </c>
      <c r="P102" s="6">
        <v>0</v>
      </c>
      <c r="Q102" s="4" t="s">
        <v>53</v>
      </c>
      <c r="R102" s="4">
        <v>0</v>
      </c>
      <c r="S102" s="4">
        <v>0</v>
      </c>
      <c r="T102" s="4">
        <v>19</v>
      </c>
      <c r="U102" s="4">
        <v>0</v>
      </c>
      <c r="V102" s="6">
        <f>IF(ISERROR(VLOOKUP($S$102,'TAR FIN'!$A$1:$O$103,15,0)),0,VLOOKUP($S$102,'TAR FIN'!$A$1:$O$103,15,0))</f>
        <v>0</v>
      </c>
      <c r="W102" s="6">
        <f>IF(ISERROR(VLOOKUP($T$102,'TAR FIN'!$A$1:$O$103,15,0)),0,VLOOKUP($T$102,'TAR FIN'!$A$1:$O$103,15,0))</f>
        <v>842.31</v>
      </c>
      <c r="X102" s="6">
        <f>IF(ISERROR(VLOOKUP($U$102,'TAR FIN'!$A$1:$O$103,15,0)),0,VLOOKUP($U$102,'TAR FIN'!$A$1:$O$103,15,0))</f>
        <v>0</v>
      </c>
      <c r="Y102" s="6"/>
      <c r="Z102" s="6">
        <f ca="1">('TUSD BE'!$AM$21+'TUSD BF'!$AM$21+'TUSD CVA'!$AM$21)*1</f>
        <v>1146.3801365962368</v>
      </c>
      <c r="AA102" s="6"/>
      <c r="AB102" s="6">
        <f t="shared" si="8"/>
        <v>0</v>
      </c>
      <c r="AC102" s="6">
        <f t="shared" si="12"/>
        <v>110711.962935</v>
      </c>
      <c r="AD102" s="6">
        <f t="shared" si="10"/>
        <v>0</v>
      </c>
      <c r="AE102" s="6">
        <f t="shared" ca="1" si="13"/>
        <v>150678.48558400446</v>
      </c>
      <c r="AF102" s="4" t="s">
        <v>777</v>
      </c>
    </row>
    <row r="103" spans="1:32" ht="11.25" customHeight="1" x14ac:dyDescent="0.25">
      <c r="A103" s="4" t="s">
        <v>21</v>
      </c>
      <c r="B103" s="4" t="s">
        <v>33</v>
      </c>
      <c r="C103" s="4" t="s">
        <v>34</v>
      </c>
      <c r="D103" s="4" t="s">
        <v>40</v>
      </c>
      <c r="E103" s="4" t="s">
        <v>25</v>
      </c>
      <c r="F103" s="4" t="s">
        <v>54</v>
      </c>
      <c r="G103" s="4" t="s">
        <v>25</v>
      </c>
      <c r="H103" s="4" t="s">
        <v>37</v>
      </c>
      <c r="I103" s="5">
        <v>44593</v>
      </c>
      <c r="J103" s="6">
        <v>0</v>
      </c>
      <c r="K103" s="6">
        <v>0</v>
      </c>
      <c r="L103" s="6">
        <v>261.62799999999999</v>
      </c>
      <c r="M103" s="6">
        <v>130.81399999999999</v>
      </c>
      <c r="N103" s="6">
        <v>0</v>
      </c>
      <c r="O103" s="6">
        <v>0</v>
      </c>
      <c r="P103" s="6">
        <v>0</v>
      </c>
      <c r="Q103" s="4" t="s">
        <v>53</v>
      </c>
      <c r="R103" s="4">
        <v>0</v>
      </c>
      <c r="S103" s="4">
        <v>0</v>
      </c>
      <c r="T103" s="4">
        <v>19</v>
      </c>
      <c r="U103" s="4">
        <v>0</v>
      </c>
      <c r="V103" s="6">
        <f>IF(ISERROR(VLOOKUP($S$103,'TAR FIN'!$A$1:$O$103,15,0)),0,VLOOKUP($S$103,'TAR FIN'!$A$1:$O$103,15,0))</f>
        <v>0</v>
      </c>
      <c r="W103" s="6">
        <f>IF(ISERROR(VLOOKUP($T$103,'TAR FIN'!$A$1:$O$103,15,0)),0,VLOOKUP($T$103,'TAR FIN'!$A$1:$O$103,15,0))</f>
        <v>842.31</v>
      </c>
      <c r="X103" s="6">
        <f>IF(ISERROR(VLOOKUP($U$103,'TAR FIN'!$A$1:$O$103,15,0)),0,VLOOKUP($U$103,'TAR FIN'!$A$1:$O$103,15,0))</f>
        <v>0</v>
      </c>
      <c r="Y103" s="6"/>
      <c r="Z103" s="6">
        <f ca="1">('TUSD BE'!$AM$21+'TUSD BF'!$AM$21+'TUSD CVA'!$AM$21)*1</f>
        <v>1146.3801365962368</v>
      </c>
      <c r="AA103" s="6"/>
      <c r="AB103" s="6">
        <f t="shared" si="8"/>
        <v>0</v>
      </c>
      <c r="AC103" s="6">
        <f t="shared" si="12"/>
        <v>110185.94033999999</v>
      </c>
      <c r="AD103" s="6">
        <f t="shared" si="10"/>
        <v>0</v>
      </c>
      <c r="AE103" s="6">
        <f t="shared" ca="1" si="13"/>
        <v>149962.57118870009</v>
      </c>
      <c r="AF103" s="4" t="s">
        <v>777</v>
      </c>
    </row>
    <row r="104" spans="1:32" ht="11.25" customHeight="1" x14ac:dyDescent="0.25">
      <c r="A104" s="4" t="s">
        <v>21</v>
      </c>
      <c r="B104" s="4" t="s">
        <v>33</v>
      </c>
      <c r="C104" s="4" t="s">
        <v>34</v>
      </c>
      <c r="D104" s="4" t="s">
        <v>40</v>
      </c>
      <c r="E104" s="4" t="s">
        <v>25</v>
      </c>
      <c r="F104" s="4" t="s">
        <v>54</v>
      </c>
      <c r="G104" s="4" t="s">
        <v>25</v>
      </c>
      <c r="H104" s="4" t="s">
        <v>37</v>
      </c>
      <c r="I104" s="5">
        <v>44621</v>
      </c>
      <c r="J104" s="6">
        <v>0</v>
      </c>
      <c r="K104" s="6">
        <v>0</v>
      </c>
      <c r="L104" s="6">
        <v>277.09199999999998</v>
      </c>
      <c r="M104" s="6">
        <v>138.54599999999999</v>
      </c>
      <c r="N104" s="6">
        <v>0</v>
      </c>
      <c r="O104" s="6">
        <v>0</v>
      </c>
      <c r="P104" s="6">
        <v>0</v>
      </c>
      <c r="Q104" s="4" t="s">
        <v>53</v>
      </c>
      <c r="R104" s="4">
        <v>0</v>
      </c>
      <c r="S104" s="4">
        <v>0</v>
      </c>
      <c r="T104" s="4">
        <v>19</v>
      </c>
      <c r="U104" s="4">
        <v>0</v>
      </c>
      <c r="V104" s="6">
        <f>IF(ISERROR(VLOOKUP($S$104,'TAR FIN'!$A$1:$O$103,15,0)),0,VLOOKUP($S$104,'TAR FIN'!$A$1:$O$103,15,0))</f>
        <v>0</v>
      </c>
      <c r="W104" s="6">
        <f>IF(ISERROR(VLOOKUP($T$104,'TAR FIN'!$A$1:$O$103,15,0)),0,VLOOKUP($T$104,'TAR FIN'!$A$1:$O$103,15,0))</f>
        <v>842.31</v>
      </c>
      <c r="X104" s="6">
        <f>IF(ISERROR(VLOOKUP($U$104,'TAR FIN'!$A$1:$O$103,15,0)),0,VLOOKUP($U$104,'TAR FIN'!$A$1:$O$103,15,0))</f>
        <v>0</v>
      </c>
      <c r="Y104" s="6"/>
      <c r="Z104" s="6">
        <f ca="1">('TUSD BE'!$AM$21+'TUSD BF'!$AM$21+'TUSD CVA'!$AM$21)*1</f>
        <v>1146.3801365962368</v>
      </c>
      <c r="AA104" s="6"/>
      <c r="AB104" s="6">
        <f t="shared" si="8"/>
        <v>0</v>
      </c>
      <c r="AC104" s="6">
        <f t="shared" si="12"/>
        <v>116698.68125999998</v>
      </c>
      <c r="AD104" s="6">
        <f t="shared" si="10"/>
        <v>0</v>
      </c>
      <c r="AE104" s="6">
        <f t="shared" ca="1" si="13"/>
        <v>158826.3824048622</v>
      </c>
      <c r="AF104" s="4" t="s">
        <v>777</v>
      </c>
    </row>
    <row r="105" spans="1:32" ht="11.25" customHeight="1" x14ac:dyDescent="0.25">
      <c r="A105" s="4" t="s">
        <v>21</v>
      </c>
      <c r="B105" s="4" t="s">
        <v>33</v>
      </c>
      <c r="C105" s="4" t="s">
        <v>34</v>
      </c>
      <c r="D105" s="4" t="s">
        <v>40</v>
      </c>
      <c r="E105" s="4" t="s">
        <v>25</v>
      </c>
      <c r="F105" s="4" t="s">
        <v>54</v>
      </c>
      <c r="G105" s="4" t="s">
        <v>25</v>
      </c>
      <c r="H105" s="4" t="s">
        <v>37</v>
      </c>
      <c r="I105" s="5">
        <v>44652</v>
      </c>
      <c r="J105" s="6">
        <v>0</v>
      </c>
      <c r="K105" s="6">
        <v>0</v>
      </c>
      <c r="L105" s="6">
        <v>318.57600000000002</v>
      </c>
      <c r="M105" s="6">
        <v>159.28800000000001</v>
      </c>
      <c r="N105" s="6">
        <v>0</v>
      </c>
      <c r="O105" s="6">
        <v>0</v>
      </c>
      <c r="P105" s="6">
        <v>0</v>
      </c>
      <c r="Q105" s="4" t="s">
        <v>53</v>
      </c>
      <c r="R105" s="4">
        <v>0</v>
      </c>
      <c r="S105" s="4">
        <v>0</v>
      </c>
      <c r="T105" s="4">
        <v>19</v>
      </c>
      <c r="U105" s="4">
        <v>0</v>
      </c>
      <c r="V105" s="6">
        <f>IF(ISERROR(VLOOKUP($S$105,'TAR FIN'!$A$1:$O$103,15,0)),0,VLOOKUP($S$105,'TAR FIN'!$A$1:$O$103,15,0))</f>
        <v>0</v>
      </c>
      <c r="W105" s="6">
        <f>IF(ISERROR(VLOOKUP($T$105,'TAR FIN'!$A$1:$O$103,15,0)),0,VLOOKUP($T$105,'TAR FIN'!$A$1:$O$103,15,0))</f>
        <v>842.31</v>
      </c>
      <c r="X105" s="6">
        <f>IF(ISERROR(VLOOKUP($U$105,'TAR FIN'!$A$1:$O$103,15,0)),0,VLOOKUP($U$105,'TAR FIN'!$A$1:$O$103,15,0))</f>
        <v>0</v>
      </c>
      <c r="Y105" s="6"/>
      <c r="Z105" s="6">
        <f ca="1">('TUSD BE'!$AM$21+'TUSD BF'!$AM$21+'TUSD CVA'!$AM$21)*1</f>
        <v>1146.3801365962368</v>
      </c>
      <c r="AA105" s="6"/>
      <c r="AB105" s="6">
        <f t="shared" si="8"/>
        <v>0</v>
      </c>
      <c r="AC105" s="6">
        <f t="shared" si="12"/>
        <v>134169.87528000001</v>
      </c>
      <c r="AD105" s="6">
        <f t="shared" si="10"/>
        <v>0</v>
      </c>
      <c r="AE105" s="6">
        <f t="shared" ca="1" si="13"/>
        <v>182604.59919814137</v>
      </c>
      <c r="AF105" s="4" t="s">
        <v>777</v>
      </c>
    </row>
    <row r="106" spans="1:32" ht="11.25" customHeight="1" x14ac:dyDescent="0.25">
      <c r="A106" s="4" t="s">
        <v>21</v>
      </c>
      <c r="B106" s="4" t="s">
        <v>33</v>
      </c>
      <c r="C106" s="4" t="s">
        <v>34</v>
      </c>
      <c r="D106" s="4" t="s">
        <v>40</v>
      </c>
      <c r="E106" s="4" t="s">
        <v>25</v>
      </c>
      <c r="F106" s="4" t="s">
        <v>54</v>
      </c>
      <c r="G106" s="4" t="s">
        <v>25</v>
      </c>
      <c r="H106" s="4" t="s">
        <v>37</v>
      </c>
      <c r="I106" s="5">
        <v>44682</v>
      </c>
      <c r="J106" s="6">
        <v>0</v>
      </c>
      <c r="K106" s="6">
        <v>0</v>
      </c>
      <c r="L106" s="6">
        <v>206.87200000000001</v>
      </c>
      <c r="M106" s="6">
        <v>103.43600000000001</v>
      </c>
      <c r="N106" s="6">
        <v>0</v>
      </c>
      <c r="O106" s="6">
        <v>0</v>
      </c>
      <c r="P106" s="6">
        <v>0</v>
      </c>
      <c r="Q106" s="4" t="s">
        <v>53</v>
      </c>
      <c r="R106" s="4">
        <v>0</v>
      </c>
      <c r="S106" s="4">
        <v>0</v>
      </c>
      <c r="T106" s="4">
        <v>19</v>
      </c>
      <c r="U106" s="4">
        <v>0</v>
      </c>
      <c r="V106" s="6">
        <f>IF(ISERROR(VLOOKUP($S$106,'TAR FIN'!$A$1:$O$103,15,0)),0,VLOOKUP($S$106,'TAR FIN'!$A$1:$O$103,15,0))</f>
        <v>0</v>
      </c>
      <c r="W106" s="6">
        <f>IF(ISERROR(VLOOKUP($T$106,'TAR FIN'!$A$1:$O$103,15,0)),0,VLOOKUP($T$106,'TAR FIN'!$A$1:$O$103,15,0))</f>
        <v>842.31</v>
      </c>
      <c r="X106" s="6">
        <f>IF(ISERROR(VLOOKUP($U$106,'TAR FIN'!$A$1:$O$103,15,0)),0,VLOOKUP($U$106,'TAR FIN'!$A$1:$O$103,15,0))</f>
        <v>0</v>
      </c>
      <c r="Y106" s="6"/>
      <c r="Z106" s="6">
        <f ca="1">('TUSD BE'!$AM$21+'TUSD BF'!$AM$21+'TUSD CVA'!$AM$21)*1</f>
        <v>1146.3801365962368</v>
      </c>
      <c r="AA106" s="6"/>
      <c r="AB106" s="6">
        <f t="shared" si="8"/>
        <v>0</v>
      </c>
      <c r="AC106" s="6">
        <f t="shared" si="12"/>
        <v>87125.177160000007</v>
      </c>
      <c r="AD106" s="6">
        <f t="shared" si="10"/>
        <v>0</v>
      </c>
      <c r="AE106" s="6">
        <f t="shared" ca="1" si="13"/>
        <v>118576.97580896836</v>
      </c>
      <c r="AF106" s="4" t="s">
        <v>777</v>
      </c>
    </row>
    <row r="107" spans="1:32" ht="11.25" customHeight="1" x14ac:dyDescent="0.25">
      <c r="A107" s="4" t="s">
        <v>21</v>
      </c>
      <c r="B107" s="4" t="s">
        <v>33</v>
      </c>
      <c r="C107" s="4" t="s">
        <v>34</v>
      </c>
      <c r="D107" s="4" t="s">
        <v>45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44348</v>
      </c>
      <c r="J107" s="6">
        <v>0</v>
      </c>
      <c r="K107" s="53">
        <v>0</v>
      </c>
      <c r="L107" s="6">
        <v>5.0549999999999997</v>
      </c>
      <c r="M107" s="53">
        <v>5.0549999999999997</v>
      </c>
      <c r="N107" s="6">
        <v>5.0549999999999997</v>
      </c>
      <c r="O107" s="53">
        <v>5.0549999999999997</v>
      </c>
      <c r="P107" s="6">
        <v>0</v>
      </c>
      <c r="Q107" s="4" t="s">
        <v>26</v>
      </c>
      <c r="R107" s="4">
        <v>0</v>
      </c>
      <c r="S107" s="4">
        <v>0</v>
      </c>
      <c r="T107" s="4">
        <v>20</v>
      </c>
      <c r="U107" s="4">
        <v>66</v>
      </c>
      <c r="V107" s="53">
        <f>IF(ISERROR(VLOOKUP($S$107,'TAR FIN'!$A$1:$O$103,15,0)),0,VLOOKUP($S$107,'TAR FIN'!$A$1:$O$103,15,0))</f>
        <v>0</v>
      </c>
      <c r="W107" s="53">
        <f>IF(ISERROR(VLOOKUP($T$107,'TAR FIN'!$A$1:$O$103,15,0)),0,VLOOKUP($T$107,'TAR FIN'!$A$1:$O$103,15,0))*(1-0.04)</f>
        <v>66.595200000000006</v>
      </c>
      <c r="X107" s="53">
        <f>IF(ISERROR(VLOOKUP($U$107,'TAR FIN'!$A$1:$O$103,15,0)),0,VLOOKUP($U$107,'TAR FIN'!$A$1:$O$103,15,0))*(1-0.04)</f>
        <v>272.98559999999998</v>
      </c>
      <c r="Y107" s="53"/>
      <c r="Z107" s="53">
        <f ca="1">('TUSD BE'!$AM$22+'TUSD BF'!$AM$22+'TUSD CVA'!$AM$22)*1*(1-0.02)</f>
        <v>109.01177069928978</v>
      </c>
      <c r="AA107" s="53">
        <f>('TE BE'!$AB$9+'TE BF'!$AB$9+'TE CVA'!$AB$9)*1*(1-0.02)</f>
        <v>253.85603972032115</v>
      </c>
      <c r="AB107" s="53">
        <f>(SUBSIDIO!$J$107*SUBSIDIO!$V$107)*(0.04)/(1-0.04)</f>
        <v>0</v>
      </c>
      <c r="AC107" s="53">
        <f>((SUBSIDIO!$L$107*SUBSIDIO!$W$107)+(SUBSIDIO!$N$107*SUBSIDIO!$X$107))*(0.04)/(1-0.04)</f>
        <v>71.524206000000007</v>
      </c>
      <c r="AD107" s="53">
        <f>(SUBSIDIO!$J$107*SUBSIDIO!$Y$107)*(0.02)/(1-0.02)</f>
        <v>0</v>
      </c>
      <c r="AE107" s="53">
        <f ca="1">((SUBSIDIO!$L$107*SUBSIDIO!$Z$107)+(SUBSIDIO!$N$107*SUBSIDIO!$AA$107))*(0.02)/(1-0.02)</f>
        <v>37.43462819737006</v>
      </c>
      <c r="AF107" s="4" t="s">
        <v>779</v>
      </c>
    </row>
    <row r="108" spans="1:32" ht="11.25" customHeight="1" x14ac:dyDescent="0.25">
      <c r="A108" s="4" t="s">
        <v>21</v>
      </c>
      <c r="B108" s="4" t="s">
        <v>33</v>
      </c>
      <c r="C108" s="4" t="s">
        <v>34</v>
      </c>
      <c r="D108" s="4" t="s">
        <v>45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44378</v>
      </c>
      <c r="J108" s="6">
        <v>0</v>
      </c>
      <c r="K108" s="53">
        <v>0</v>
      </c>
      <c r="L108" s="6">
        <v>3.0209999999999999</v>
      </c>
      <c r="M108" s="53">
        <v>3.0209999999999999</v>
      </c>
      <c r="N108" s="6">
        <v>3.0209999999999999</v>
      </c>
      <c r="O108" s="53">
        <v>3.0209999999999999</v>
      </c>
      <c r="P108" s="6">
        <v>0</v>
      </c>
      <c r="Q108" s="4" t="s">
        <v>26</v>
      </c>
      <c r="R108" s="4">
        <v>0</v>
      </c>
      <c r="S108" s="4">
        <v>0</v>
      </c>
      <c r="T108" s="4">
        <v>20</v>
      </c>
      <c r="U108" s="4">
        <v>66</v>
      </c>
      <c r="V108" s="53">
        <f>IF(ISERROR(VLOOKUP($S$108,'TAR FIN'!$A$1:$O$103,15,0)),0,VLOOKUP($S$108,'TAR FIN'!$A$1:$O$103,15,0))</f>
        <v>0</v>
      </c>
      <c r="W108" s="53">
        <f>IF(ISERROR(VLOOKUP($T$108,'TAR FIN'!$A$1:$O$103,15,0)),0,VLOOKUP($T$108,'TAR FIN'!$A$1:$O$103,15,0))*(1-0.04)</f>
        <v>66.595200000000006</v>
      </c>
      <c r="X108" s="53">
        <f>IF(ISERROR(VLOOKUP($U$108,'TAR FIN'!$A$1:$O$103,15,0)),0,VLOOKUP($U$108,'TAR FIN'!$A$1:$O$103,15,0))*(1-0.04)</f>
        <v>272.98559999999998</v>
      </c>
      <c r="Y108" s="53"/>
      <c r="Z108" s="53">
        <f ca="1">('TUSD BE'!$AM$22+'TUSD BF'!$AM$22+'TUSD CVA'!$AM$22)*1*(1-0.02)</f>
        <v>109.01177069928978</v>
      </c>
      <c r="AA108" s="53">
        <f>('TE BE'!$AB$9+'TE BF'!$AB$9+'TE CVA'!$AB$9)*1*(1-0.02)</f>
        <v>253.85603972032115</v>
      </c>
      <c r="AB108" s="53">
        <f>(SUBSIDIO!$J$108*SUBSIDIO!$V$108)*(0.04)/(1-0.04)</f>
        <v>0</v>
      </c>
      <c r="AC108" s="53">
        <f>((SUBSIDIO!$L$108*SUBSIDIO!$W$108)+(SUBSIDIO!$N$108*SUBSIDIO!$X$108))*(0.04)/(1-0.04)</f>
        <v>42.744733199999992</v>
      </c>
      <c r="AD108" s="53">
        <f>(SUBSIDIO!$J$108*SUBSIDIO!$Y$108)*(0.02)/(1-0.02)</f>
        <v>0</v>
      </c>
      <c r="AE108" s="53">
        <f ca="1">((SUBSIDIO!$L$108*SUBSIDIO!$Z$108)+(SUBSIDIO!$N$108*SUBSIDIO!$AA$108))*(0.02)/(1-0.02)</f>
        <v>22.371911332196827</v>
      </c>
      <c r="AF108" s="4" t="s">
        <v>779</v>
      </c>
    </row>
    <row r="109" spans="1:32" ht="11.25" customHeight="1" x14ac:dyDescent="0.25">
      <c r="A109" s="4" t="s">
        <v>21</v>
      </c>
      <c r="B109" s="4" t="s">
        <v>33</v>
      </c>
      <c r="C109" s="4" t="s">
        <v>34</v>
      </c>
      <c r="D109" s="4" t="s">
        <v>45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44409</v>
      </c>
      <c r="J109" s="6">
        <v>0</v>
      </c>
      <c r="K109" s="53">
        <v>0</v>
      </c>
      <c r="L109" s="6">
        <v>2.4289999999999998</v>
      </c>
      <c r="M109" s="53">
        <v>2.4289999999999998</v>
      </c>
      <c r="N109" s="6">
        <v>2.4289999999999998</v>
      </c>
      <c r="O109" s="53">
        <v>2.4289999999999998</v>
      </c>
      <c r="P109" s="6">
        <v>0</v>
      </c>
      <c r="Q109" s="4" t="s">
        <v>26</v>
      </c>
      <c r="R109" s="4">
        <v>0</v>
      </c>
      <c r="S109" s="4">
        <v>0</v>
      </c>
      <c r="T109" s="4">
        <v>20</v>
      </c>
      <c r="U109" s="4">
        <v>66</v>
      </c>
      <c r="V109" s="53">
        <f>IF(ISERROR(VLOOKUP($S$109,'TAR FIN'!$A$1:$O$103,15,0)),0,VLOOKUP($S$109,'TAR FIN'!$A$1:$O$103,15,0))</f>
        <v>0</v>
      </c>
      <c r="W109" s="53">
        <f>IF(ISERROR(VLOOKUP($T$109,'TAR FIN'!$A$1:$O$103,15,0)),0,VLOOKUP($T$109,'TAR FIN'!$A$1:$O$103,15,0))*(1-0.04)</f>
        <v>66.595200000000006</v>
      </c>
      <c r="X109" s="53">
        <f>IF(ISERROR(VLOOKUP($U$109,'TAR FIN'!$A$1:$O$103,15,0)),0,VLOOKUP($U$109,'TAR FIN'!$A$1:$O$103,15,0))*(1-0.04)</f>
        <v>272.98559999999998</v>
      </c>
      <c r="Y109" s="53"/>
      <c r="Z109" s="53">
        <f ca="1">('TUSD BE'!$AM$22+'TUSD BF'!$AM$22+'TUSD CVA'!$AM$22)*1*(1-0.02)</f>
        <v>109.01177069928978</v>
      </c>
      <c r="AA109" s="53">
        <f>('TE BE'!$AB$9+'TE BF'!$AB$9+'TE CVA'!$AB$9)*1*(1-0.02)</f>
        <v>253.85603972032115</v>
      </c>
      <c r="AB109" s="53">
        <f>(SUBSIDIO!$J$109*SUBSIDIO!$V$109)*(0.04)/(1-0.04)</f>
        <v>0</v>
      </c>
      <c r="AC109" s="53">
        <f>((SUBSIDIO!$L$109*SUBSIDIO!$W$109)+(SUBSIDIO!$N$109*SUBSIDIO!$X$109))*(0.04)/(1-0.04)</f>
        <v>34.368406799999995</v>
      </c>
      <c r="AD109" s="53">
        <f>(SUBSIDIO!$J$109*SUBSIDIO!$Y$109)*(0.02)/(1-0.02)</f>
        <v>0</v>
      </c>
      <c r="AE109" s="53">
        <f ca="1">((SUBSIDIO!$L$109*SUBSIDIO!$Z$109)+(SUBSIDIO!$N$109*SUBSIDIO!$AA$109))*(0.02)/(1-0.02)</f>
        <v>17.987875745086431</v>
      </c>
      <c r="AF109" s="4" t="s">
        <v>779</v>
      </c>
    </row>
    <row r="110" spans="1:32" ht="11.25" customHeight="1" x14ac:dyDescent="0.25">
      <c r="A110" s="4" t="s">
        <v>21</v>
      </c>
      <c r="B110" s="4" t="s">
        <v>33</v>
      </c>
      <c r="C110" s="4" t="s">
        <v>34</v>
      </c>
      <c r="D110" s="4" t="s">
        <v>45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44440</v>
      </c>
      <c r="J110" s="6">
        <v>0</v>
      </c>
      <c r="K110" s="53">
        <v>0</v>
      </c>
      <c r="L110" s="6">
        <v>2.7210000000000001</v>
      </c>
      <c r="M110" s="53">
        <v>2.7210000000000001</v>
      </c>
      <c r="N110" s="6">
        <v>2.7210000000000001</v>
      </c>
      <c r="O110" s="53">
        <v>2.7210000000000001</v>
      </c>
      <c r="P110" s="6">
        <v>0</v>
      </c>
      <c r="Q110" s="4" t="s">
        <v>26</v>
      </c>
      <c r="R110" s="4">
        <v>0</v>
      </c>
      <c r="S110" s="4">
        <v>0</v>
      </c>
      <c r="T110" s="4">
        <v>20</v>
      </c>
      <c r="U110" s="4">
        <v>66</v>
      </c>
      <c r="V110" s="53">
        <f>IF(ISERROR(VLOOKUP($S$110,'TAR FIN'!$A$1:$O$103,15,0)),0,VLOOKUP($S$110,'TAR FIN'!$A$1:$O$103,15,0))</f>
        <v>0</v>
      </c>
      <c r="W110" s="53">
        <f>IF(ISERROR(VLOOKUP($T$110,'TAR FIN'!$A$1:$O$103,15,0)),0,VLOOKUP($T$110,'TAR FIN'!$A$1:$O$103,15,0))*(1-0.04)</f>
        <v>66.595200000000006</v>
      </c>
      <c r="X110" s="53">
        <f>IF(ISERROR(VLOOKUP($U$110,'TAR FIN'!$A$1:$O$103,15,0)),0,VLOOKUP($U$110,'TAR FIN'!$A$1:$O$103,15,0))*(1-0.04)</f>
        <v>272.98559999999998</v>
      </c>
      <c r="Y110" s="53"/>
      <c r="Z110" s="53">
        <f ca="1">('TUSD BE'!$AM$22+'TUSD BF'!$AM$22+'TUSD CVA'!$AM$22)*1*(1-0.02)</f>
        <v>109.01177069928978</v>
      </c>
      <c r="AA110" s="53">
        <f>('TE BE'!$AB$9+'TE BF'!$AB$9+'TE CVA'!$AB$9)*1*(1-0.02)</f>
        <v>253.85603972032115</v>
      </c>
      <c r="AB110" s="53">
        <f>(SUBSIDIO!$J$110*SUBSIDIO!$V$110)*(0.04)/(1-0.04)</f>
        <v>0</v>
      </c>
      <c r="AC110" s="53">
        <f>((SUBSIDIO!$L$110*SUBSIDIO!$W$110)+(SUBSIDIO!$N$110*SUBSIDIO!$X$110))*(0.04)/(1-0.04)</f>
        <v>38.499973200000007</v>
      </c>
      <c r="AD110" s="53">
        <f>(SUBSIDIO!$J$110*SUBSIDIO!$Y$110)*(0.02)/(1-0.02)</f>
        <v>0</v>
      </c>
      <c r="AE110" s="53">
        <f ca="1">((SUBSIDIO!$L$110*SUBSIDIO!$Z$110)+(SUBSIDIO!$N$110*SUBSIDIO!$AA$110))*(0.02)/(1-0.02)</f>
        <v>20.150271676566557</v>
      </c>
      <c r="AF110" s="4" t="s">
        <v>779</v>
      </c>
    </row>
    <row r="111" spans="1:32" ht="11.25" customHeight="1" x14ac:dyDescent="0.25">
      <c r="A111" s="4" t="s">
        <v>21</v>
      </c>
      <c r="B111" s="4" t="s">
        <v>33</v>
      </c>
      <c r="C111" s="4" t="s">
        <v>34</v>
      </c>
      <c r="D111" s="4" t="s">
        <v>45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44470</v>
      </c>
      <c r="J111" s="6">
        <v>0</v>
      </c>
      <c r="K111" s="53">
        <v>0</v>
      </c>
      <c r="L111" s="6">
        <v>2.7639999999999998</v>
      </c>
      <c r="M111" s="53">
        <v>2.7639999999999998</v>
      </c>
      <c r="N111" s="6">
        <v>2.7639999999999998</v>
      </c>
      <c r="O111" s="53">
        <v>2.7639999999999998</v>
      </c>
      <c r="P111" s="6">
        <v>0</v>
      </c>
      <c r="Q111" s="4" t="s">
        <v>26</v>
      </c>
      <c r="R111" s="4">
        <v>0</v>
      </c>
      <c r="S111" s="4">
        <v>0</v>
      </c>
      <c r="T111" s="4">
        <v>20</v>
      </c>
      <c r="U111" s="4">
        <v>66</v>
      </c>
      <c r="V111" s="53">
        <f>IF(ISERROR(VLOOKUP($S$111,'TAR FIN'!$A$1:$O$103,15,0)),0,VLOOKUP($S$111,'TAR FIN'!$A$1:$O$103,15,0))</f>
        <v>0</v>
      </c>
      <c r="W111" s="53">
        <f>IF(ISERROR(VLOOKUP($T$111,'TAR FIN'!$A$1:$O$103,15,0)),0,VLOOKUP($T$111,'TAR FIN'!$A$1:$O$103,15,0))*(1-0.04)</f>
        <v>66.595200000000006</v>
      </c>
      <c r="X111" s="53">
        <f>IF(ISERROR(VLOOKUP($U$111,'TAR FIN'!$A$1:$O$103,15,0)),0,VLOOKUP($U$111,'TAR FIN'!$A$1:$O$103,15,0))*(1-0.04)</f>
        <v>272.98559999999998</v>
      </c>
      <c r="Y111" s="53"/>
      <c r="Z111" s="53">
        <f ca="1">('TUSD BE'!$AM$22+'TUSD BF'!$AM$22+'TUSD CVA'!$AM$22)*1*(1-0.02)</f>
        <v>109.01177069928978</v>
      </c>
      <c r="AA111" s="53">
        <f>('TE BE'!$AB$9+'TE BF'!$AB$9+'TE CVA'!$AB$9)*1*(1-0.02)</f>
        <v>253.85603972032115</v>
      </c>
      <c r="AB111" s="53">
        <f>(SUBSIDIO!$J$111*SUBSIDIO!$V$111)*(0.04)/(1-0.04)</f>
        <v>0</v>
      </c>
      <c r="AC111" s="53">
        <f>((SUBSIDIO!$L$111*SUBSIDIO!$W$111)+(SUBSIDIO!$N$111*SUBSIDIO!$X$111))*(0.04)/(1-0.04)</f>
        <v>39.1083888</v>
      </c>
      <c r="AD111" s="53">
        <f>(SUBSIDIO!$J$111*SUBSIDIO!$Y$111)*(0.02)/(1-0.02)</f>
        <v>0</v>
      </c>
      <c r="AE111" s="53">
        <f ca="1">((SUBSIDIO!$L$111*SUBSIDIO!$Z$111)+(SUBSIDIO!$N$111*SUBSIDIO!$AA$111))*(0.02)/(1-0.02)</f>
        <v>20.468706693873564</v>
      </c>
      <c r="AF111" s="4" t="s">
        <v>779</v>
      </c>
    </row>
    <row r="112" spans="1:32" ht="11.25" customHeight="1" x14ac:dyDescent="0.25">
      <c r="A112" s="4" t="s">
        <v>21</v>
      </c>
      <c r="B112" s="4" t="s">
        <v>33</v>
      </c>
      <c r="C112" s="4" t="s">
        <v>34</v>
      </c>
      <c r="D112" s="4" t="s">
        <v>45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44501</v>
      </c>
      <c r="J112" s="6">
        <v>0</v>
      </c>
      <c r="K112" s="53">
        <v>0</v>
      </c>
      <c r="L112" s="6">
        <v>2.819</v>
      </c>
      <c r="M112" s="53">
        <v>2.819</v>
      </c>
      <c r="N112" s="6">
        <v>2.819</v>
      </c>
      <c r="O112" s="53">
        <v>2.819</v>
      </c>
      <c r="P112" s="6">
        <v>0</v>
      </c>
      <c r="Q112" s="4" t="s">
        <v>26</v>
      </c>
      <c r="R112" s="4">
        <v>0</v>
      </c>
      <c r="S112" s="4">
        <v>0</v>
      </c>
      <c r="T112" s="4">
        <v>20</v>
      </c>
      <c r="U112" s="4">
        <v>66</v>
      </c>
      <c r="V112" s="53">
        <f>IF(ISERROR(VLOOKUP($S$112,'TAR FIN'!$A$1:$O$103,15,0)),0,VLOOKUP($S$112,'TAR FIN'!$A$1:$O$103,15,0))</f>
        <v>0</v>
      </c>
      <c r="W112" s="53">
        <f>IF(ISERROR(VLOOKUP($T$112,'TAR FIN'!$A$1:$O$103,15,0)),0,VLOOKUP($T$112,'TAR FIN'!$A$1:$O$103,15,0))*(1-0.04)</f>
        <v>66.595200000000006</v>
      </c>
      <c r="X112" s="53">
        <f>IF(ISERROR(VLOOKUP($U$112,'TAR FIN'!$A$1:$O$103,15,0)),0,VLOOKUP($U$112,'TAR FIN'!$A$1:$O$103,15,0))*(1-0.04)</f>
        <v>272.98559999999998</v>
      </c>
      <c r="Y112" s="53"/>
      <c r="Z112" s="53">
        <f ca="1">('TUSD BE'!$AM$22+'TUSD BF'!$AM$22+'TUSD CVA'!$AM$22)*1*(1-0.02)</f>
        <v>109.01177069928978</v>
      </c>
      <c r="AA112" s="53">
        <f>('TE BE'!$AB$9+'TE BF'!$AB$9+'TE CVA'!$AB$9)*1*(1-0.02)</f>
        <v>253.85603972032115</v>
      </c>
      <c r="AB112" s="53">
        <f>(SUBSIDIO!$J$112*SUBSIDIO!$V$112)*(0.04)/(1-0.04)</f>
        <v>0</v>
      </c>
      <c r="AC112" s="53">
        <f>((SUBSIDIO!$L$112*SUBSIDIO!$W$112)+(SUBSIDIO!$N$112*SUBSIDIO!$X$112))*(0.04)/(1-0.04)</f>
        <v>39.886594800000005</v>
      </c>
      <c r="AD112" s="53">
        <f>(SUBSIDIO!$J$112*SUBSIDIO!$Y$112)*(0.02)/(1-0.02)</f>
        <v>0</v>
      </c>
      <c r="AE112" s="53">
        <f ca="1">((SUBSIDIO!$L$112*SUBSIDIO!$Z$112)+(SUBSIDIO!$N$112*SUBSIDIO!$AA$112))*(0.02)/(1-0.02)</f>
        <v>20.876007297405785</v>
      </c>
      <c r="AF112" s="4" t="s">
        <v>779</v>
      </c>
    </row>
    <row r="113" spans="1:32" ht="11.25" customHeight="1" x14ac:dyDescent="0.25">
      <c r="A113" s="4" t="s">
        <v>21</v>
      </c>
      <c r="B113" s="4" t="s">
        <v>33</v>
      </c>
      <c r="C113" s="4" t="s">
        <v>34</v>
      </c>
      <c r="D113" s="4" t="s">
        <v>45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0</v>
      </c>
      <c r="K113" s="53">
        <v>0</v>
      </c>
      <c r="L113" s="6">
        <v>2.294</v>
      </c>
      <c r="M113" s="53">
        <v>2.294</v>
      </c>
      <c r="N113" s="6">
        <v>2.294</v>
      </c>
      <c r="O113" s="53">
        <v>2.294</v>
      </c>
      <c r="P113" s="6">
        <v>0</v>
      </c>
      <c r="Q113" s="4" t="s">
        <v>26</v>
      </c>
      <c r="R113" s="4">
        <v>0</v>
      </c>
      <c r="S113" s="4">
        <v>0</v>
      </c>
      <c r="T113" s="4">
        <v>20</v>
      </c>
      <c r="U113" s="4">
        <v>66</v>
      </c>
      <c r="V113" s="53">
        <f>IF(ISERROR(VLOOKUP($S$113,'TAR FIN'!$A$1:$O$103,15,0)),0,VLOOKUP($S$113,'TAR FIN'!$A$1:$O$103,15,0))</f>
        <v>0</v>
      </c>
      <c r="W113" s="53">
        <f>IF(ISERROR(VLOOKUP($T$113,'TAR FIN'!$A$1:$O$103,15,0)),0,VLOOKUP($T$113,'TAR FIN'!$A$1:$O$103,15,0))*(1-0.04)</f>
        <v>66.595200000000006</v>
      </c>
      <c r="X113" s="53">
        <f>IF(ISERROR(VLOOKUP($U$113,'TAR FIN'!$A$1:$O$103,15,0)),0,VLOOKUP($U$113,'TAR FIN'!$A$1:$O$103,15,0))*(1-0.04)</f>
        <v>272.98559999999998</v>
      </c>
      <c r="Y113" s="53"/>
      <c r="Z113" s="53">
        <f ca="1">('TUSD BE'!$AM$22+'TUSD BF'!$AM$22+'TUSD CVA'!$AM$22)*1*(1-0.02)</f>
        <v>109.01177069928978</v>
      </c>
      <c r="AA113" s="53">
        <f>('TE BE'!$AB$9+'TE BF'!$AB$9+'TE CVA'!$AB$9)*1*(1-0.02)</f>
        <v>253.85603972032115</v>
      </c>
      <c r="AB113" s="53">
        <f>(SUBSIDIO!$J$113*SUBSIDIO!$V$113)*(0.04)/(1-0.04)</f>
        <v>0</v>
      </c>
      <c r="AC113" s="53">
        <f>((SUBSIDIO!$L$113*SUBSIDIO!$W$113)+(SUBSIDIO!$N$113*SUBSIDIO!$X$113))*(0.04)/(1-0.04)</f>
        <v>32.458264800000002</v>
      </c>
      <c r="AD113" s="53">
        <f>(SUBSIDIO!$J$113*SUBSIDIO!$Y$113)*(0.02)/(1-0.02)</f>
        <v>0</v>
      </c>
      <c r="AE113" s="53">
        <f ca="1">((SUBSIDIO!$L$113*SUBSIDIO!$Z$113)+(SUBSIDIO!$N$113*SUBSIDIO!$AA$113))*(0.02)/(1-0.02)</f>
        <v>16.988137900052809</v>
      </c>
      <c r="AF113" s="4" t="s">
        <v>779</v>
      </c>
    </row>
    <row r="114" spans="1:32" ht="11.25" customHeight="1" x14ac:dyDescent="0.25">
      <c r="A114" s="4" t="s">
        <v>21</v>
      </c>
      <c r="B114" s="4" t="s">
        <v>33</v>
      </c>
      <c r="C114" s="4" t="s">
        <v>34</v>
      </c>
      <c r="D114" s="4" t="s">
        <v>45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44593</v>
      </c>
      <c r="J114" s="6">
        <v>0</v>
      </c>
      <c r="K114" s="53">
        <v>0</v>
      </c>
      <c r="L114" s="6">
        <v>3.8010000000000002</v>
      </c>
      <c r="M114" s="53">
        <v>3.8010000000000002</v>
      </c>
      <c r="N114" s="6">
        <v>3.8010000000000002</v>
      </c>
      <c r="O114" s="53">
        <v>3.8010000000000002</v>
      </c>
      <c r="P114" s="6">
        <v>0</v>
      </c>
      <c r="Q114" s="4" t="s">
        <v>26</v>
      </c>
      <c r="R114" s="4">
        <v>0</v>
      </c>
      <c r="S114" s="4">
        <v>0</v>
      </c>
      <c r="T114" s="4">
        <v>20</v>
      </c>
      <c r="U114" s="4">
        <v>66</v>
      </c>
      <c r="V114" s="53">
        <f>IF(ISERROR(VLOOKUP($S$114,'TAR FIN'!$A$1:$O$103,15,0)),0,VLOOKUP($S$114,'TAR FIN'!$A$1:$O$103,15,0))</f>
        <v>0</v>
      </c>
      <c r="W114" s="53">
        <f>IF(ISERROR(VLOOKUP($T$114,'TAR FIN'!$A$1:$O$103,15,0)),0,VLOOKUP($T$114,'TAR FIN'!$A$1:$O$103,15,0))*(1-0.04)</f>
        <v>66.595200000000006</v>
      </c>
      <c r="X114" s="53">
        <f>IF(ISERROR(VLOOKUP($U$114,'TAR FIN'!$A$1:$O$103,15,0)),0,VLOOKUP($U$114,'TAR FIN'!$A$1:$O$103,15,0))*(1-0.04)</f>
        <v>272.98559999999998</v>
      </c>
      <c r="Y114" s="53"/>
      <c r="Z114" s="53">
        <f ca="1">('TUSD BE'!$AM$22+'TUSD BF'!$AM$22+'TUSD CVA'!$AM$22)*1*(1-0.02)</f>
        <v>109.01177069928978</v>
      </c>
      <c r="AA114" s="53">
        <f>('TE BE'!$AB$9+'TE BF'!$AB$9+'TE CVA'!$AB$9)*1*(1-0.02)</f>
        <v>253.85603972032115</v>
      </c>
      <c r="AB114" s="53">
        <f>(SUBSIDIO!$J$114*SUBSIDIO!$V$114)*(0.04)/(1-0.04)</f>
        <v>0</v>
      </c>
      <c r="AC114" s="53">
        <f>((SUBSIDIO!$L$114*SUBSIDIO!$W$114)+(SUBSIDIO!$N$114*SUBSIDIO!$X$114))*(0.04)/(1-0.04)</f>
        <v>53.781109199999996</v>
      </c>
      <c r="AD114" s="53">
        <f>(SUBSIDIO!$J$114*SUBSIDIO!$Y$114)*(0.02)/(1-0.02)</f>
        <v>0</v>
      </c>
      <c r="AE114" s="53">
        <f ca="1">((SUBSIDIO!$L$114*SUBSIDIO!$Z$114)+(SUBSIDIO!$N$114*SUBSIDIO!$AA$114))*(0.02)/(1-0.02)</f>
        <v>28.148174436835536</v>
      </c>
      <c r="AF114" s="4" t="s">
        <v>779</v>
      </c>
    </row>
    <row r="115" spans="1:32" ht="11.25" customHeight="1" x14ac:dyDescent="0.25">
      <c r="A115" s="4" t="s">
        <v>21</v>
      </c>
      <c r="B115" s="4" t="s">
        <v>33</v>
      </c>
      <c r="C115" s="4" t="s">
        <v>34</v>
      </c>
      <c r="D115" s="4" t="s">
        <v>45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44621</v>
      </c>
      <c r="J115" s="6">
        <v>0</v>
      </c>
      <c r="K115" s="53">
        <v>0</v>
      </c>
      <c r="L115" s="6">
        <v>3.0979999999999999</v>
      </c>
      <c r="M115" s="53">
        <v>3.0979999999999999</v>
      </c>
      <c r="N115" s="6">
        <v>3.0979999999999999</v>
      </c>
      <c r="O115" s="53">
        <v>3.0979999999999999</v>
      </c>
      <c r="P115" s="6">
        <v>0</v>
      </c>
      <c r="Q115" s="4" t="s">
        <v>26</v>
      </c>
      <c r="R115" s="4">
        <v>0</v>
      </c>
      <c r="S115" s="4">
        <v>0</v>
      </c>
      <c r="T115" s="4">
        <v>20</v>
      </c>
      <c r="U115" s="4">
        <v>66</v>
      </c>
      <c r="V115" s="53">
        <f>IF(ISERROR(VLOOKUP($S$115,'TAR FIN'!$A$1:$O$103,15,0)),0,VLOOKUP($S$115,'TAR FIN'!$A$1:$O$103,15,0))</f>
        <v>0</v>
      </c>
      <c r="W115" s="53">
        <f>IF(ISERROR(VLOOKUP($T$115,'TAR FIN'!$A$1:$O$103,15,0)),0,VLOOKUP($T$115,'TAR FIN'!$A$1:$O$103,15,0))*(1-0.04)</f>
        <v>66.595200000000006</v>
      </c>
      <c r="X115" s="53">
        <f>IF(ISERROR(VLOOKUP($U$115,'TAR FIN'!$A$1:$O$103,15,0)),0,VLOOKUP($U$115,'TAR FIN'!$A$1:$O$103,15,0))*(1-0.04)</f>
        <v>272.98559999999998</v>
      </c>
      <c r="Y115" s="53"/>
      <c r="Z115" s="53">
        <f ca="1">('TUSD BE'!$AM$22+'TUSD BF'!$AM$22+'TUSD CVA'!$AM$22)*1*(1-0.02)</f>
        <v>109.01177069928978</v>
      </c>
      <c r="AA115" s="53">
        <f>('TE BE'!$AB$9+'TE BF'!$AB$9+'TE CVA'!$AB$9)*1*(1-0.02)</f>
        <v>253.85603972032115</v>
      </c>
      <c r="AB115" s="53">
        <f>(SUBSIDIO!$J$115*SUBSIDIO!$V$115)*(0.04)/(1-0.04)</f>
        <v>0</v>
      </c>
      <c r="AC115" s="53">
        <f>((SUBSIDIO!$L$115*SUBSIDIO!$W$115)+(SUBSIDIO!$N$115*SUBSIDIO!$X$115))*(0.04)/(1-0.04)</f>
        <v>43.834221599999999</v>
      </c>
      <c r="AD115" s="53">
        <f>(SUBSIDIO!$J$115*SUBSIDIO!$Y$115)*(0.02)/(1-0.02)</f>
        <v>0</v>
      </c>
      <c r="AE115" s="53">
        <f ca="1">((SUBSIDIO!$L$115*SUBSIDIO!$Z$115)+(SUBSIDIO!$N$115*SUBSIDIO!$AA$115))*(0.02)/(1-0.02)</f>
        <v>22.942132177141929</v>
      </c>
      <c r="AF115" s="4" t="s">
        <v>779</v>
      </c>
    </row>
    <row r="116" spans="1:32" ht="11.25" customHeight="1" x14ac:dyDescent="0.25">
      <c r="A116" s="4" t="s">
        <v>21</v>
      </c>
      <c r="B116" s="4" t="s">
        <v>33</v>
      </c>
      <c r="C116" s="4" t="s">
        <v>34</v>
      </c>
      <c r="D116" s="4" t="s">
        <v>45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44652</v>
      </c>
      <c r="J116" s="6">
        <v>0</v>
      </c>
      <c r="K116" s="53">
        <v>0</v>
      </c>
      <c r="L116" s="6">
        <v>2.2429999999999999</v>
      </c>
      <c r="M116" s="53">
        <v>2.2429999999999999</v>
      </c>
      <c r="N116" s="6">
        <v>2.2429999999999999</v>
      </c>
      <c r="O116" s="53">
        <v>2.2429999999999999</v>
      </c>
      <c r="P116" s="6">
        <v>0</v>
      </c>
      <c r="Q116" s="4" t="s">
        <v>26</v>
      </c>
      <c r="R116" s="4">
        <v>0</v>
      </c>
      <c r="S116" s="4">
        <v>0</v>
      </c>
      <c r="T116" s="4">
        <v>20</v>
      </c>
      <c r="U116" s="4">
        <v>66</v>
      </c>
      <c r="V116" s="53">
        <f>IF(ISERROR(VLOOKUP($S$116,'TAR FIN'!$A$1:$O$103,15,0)),0,VLOOKUP($S$116,'TAR FIN'!$A$1:$O$103,15,0))</f>
        <v>0</v>
      </c>
      <c r="W116" s="53">
        <f>IF(ISERROR(VLOOKUP($T$116,'TAR FIN'!$A$1:$O$103,15,0)),0,VLOOKUP($T$116,'TAR FIN'!$A$1:$O$103,15,0))*(1-0.04)</f>
        <v>66.595200000000006</v>
      </c>
      <c r="X116" s="53">
        <f>IF(ISERROR(VLOOKUP($U$116,'TAR FIN'!$A$1:$O$103,15,0)),0,VLOOKUP($U$116,'TAR FIN'!$A$1:$O$103,15,0))*(1-0.04)</f>
        <v>272.98559999999998</v>
      </c>
      <c r="Y116" s="53"/>
      <c r="Z116" s="53">
        <f ca="1">('TUSD BE'!$AM$22+'TUSD BF'!$AM$22+'TUSD CVA'!$AM$22)*1*(1-0.02)</f>
        <v>109.01177069928978</v>
      </c>
      <c r="AA116" s="53">
        <f>('TE BE'!$AB$9+'TE BF'!$AB$9+'TE CVA'!$AB$9)*1*(1-0.02)</f>
        <v>253.85603972032115</v>
      </c>
      <c r="AB116" s="53">
        <f>(SUBSIDIO!$J$116*SUBSIDIO!$V$116)*(0.04)/(1-0.04)</f>
        <v>0</v>
      </c>
      <c r="AC116" s="53">
        <f>((SUBSIDIO!$L$116*SUBSIDIO!$W$116)+(SUBSIDIO!$N$116*SUBSIDIO!$X$116))*(0.04)/(1-0.04)</f>
        <v>31.736655599999999</v>
      </c>
      <c r="AD116" s="53">
        <f>(SUBSIDIO!$J$116*SUBSIDIO!$Y$116)*(0.02)/(1-0.02)</f>
        <v>0</v>
      </c>
      <c r="AE116" s="53">
        <f ca="1">((SUBSIDIO!$L$116*SUBSIDIO!$Z$116)+(SUBSIDIO!$N$116*SUBSIDIO!$AA$116))*(0.02)/(1-0.02)</f>
        <v>16.61045915859566</v>
      </c>
      <c r="AF116" s="4" t="s">
        <v>779</v>
      </c>
    </row>
    <row r="117" spans="1:32" ht="11.25" customHeight="1" x14ac:dyDescent="0.25">
      <c r="A117" s="4" t="s">
        <v>21</v>
      </c>
      <c r="B117" s="4" t="s">
        <v>33</v>
      </c>
      <c r="C117" s="4" t="s">
        <v>34</v>
      </c>
      <c r="D117" s="4" t="s">
        <v>45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44682</v>
      </c>
      <c r="J117" s="6">
        <v>0</v>
      </c>
      <c r="K117" s="53">
        <v>0</v>
      </c>
      <c r="L117" s="6">
        <v>2.492</v>
      </c>
      <c r="M117" s="53">
        <v>2.492</v>
      </c>
      <c r="N117" s="6">
        <v>2.492</v>
      </c>
      <c r="O117" s="53">
        <v>2.492</v>
      </c>
      <c r="P117" s="6">
        <v>0</v>
      </c>
      <c r="Q117" s="4" t="s">
        <v>26</v>
      </c>
      <c r="R117" s="4">
        <v>0</v>
      </c>
      <c r="S117" s="4">
        <v>0</v>
      </c>
      <c r="T117" s="4">
        <v>20</v>
      </c>
      <c r="U117" s="4">
        <v>66</v>
      </c>
      <c r="V117" s="53">
        <f>IF(ISERROR(VLOOKUP($S$117,'TAR FIN'!$A$1:$O$103,15,0)),0,VLOOKUP($S$117,'TAR FIN'!$A$1:$O$103,15,0))</f>
        <v>0</v>
      </c>
      <c r="W117" s="53">
        <f>IF(ISERROR(VLOOKUP($T$117,'TAR FIN'!$A$1:$O$103,15,0)),0,VLOOKUP($T$117,'TAR FIN'!$A$1:$O$103,15,0))*(1-0.04)</f>
        <v>66.595200000000006</v>
      </c>
      <c r="X117" s="53">
        <f>IF(ISERROR(VLOOKUP($U$117,'TAR FIN'!$A$1:$O$103,15,0)),0,VLOOKUP($U$117,'TAR FIN'!$A$1:$O$103,15,0))*(1-0.04)</f>
        <v>272.98559999999998</v>
      </c>
      <c r="Y117" s="53"/>
      <c r="Z117" s="53">
        <f ca="1">('TUSD BE'!$AM$22+'TUSD BF'!$AM$22+'TUSD CVA'!$AM$22)*1*(1-0.02)</f>
        <v>109.01177069928978</v>
      </c>
      <c r="AA117" s="53">
        <f>('TE BE'!$AB$9+'TE BF'!$AB$9+'TE CVA'!$AB$9)*1*(1-0.02)</f>
        <v>253.85603972032115</v>
      </c>
      <c r="AB117" s="53">
        <f>(SUBSIDIO!$J$117*SUBSIDIO!$V$117)*(0.04)/(1-0.04)</f>
        <v>0</v>
      </c>
      <c r="AC117" s="53">
        <f>((SUBSIDIO!$L$117*SUBSIDIO!$W$117)+(SUBSIDIO!$N$117*SUBSIDIO!$X$117))*(0.04)/(1-0.04)</f>
        <v>35.259806400000002</v>
      </c>
      <c r="AD117" s="53">
        <f>(SUBSIDIO!$J$117*SUBSIDIO!$Y$117)*(0.02)/(1-0.02)</f>
        <v>0</v>
      </c>
      <c r="AE117" s="53">
        <f ca="1">((SUBSIDIO!$L$117*SUBSIDIO!$Z$117)+(SUBSIDIO!$N$117*SUBSIDIO!$AA$117))*(0.02)/(1-0.02)</f>
        <v>18.454420072768784</v>
      </c>
      <c r="AF117" s="4" t="s">
        <v>779</v>
      </c>
    </row>
    <row r="118" spans="1:32" ht="11.25" customHeight="1" x14ac:dyDescent="0.25">
      <c r="A118" s="4" t="s">
        <v>21</v>
      </c>
      <c r="B118" s="4" t="s">
        <v>33</v>
      </c>
      <c r="C118" s="4" t="s">
        <v>34</v>
      </c>
      <c r="D118" s="4" t="s">
        <v>45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44348</v>
      </c>
      <c r="J118" s="6">
        <v>98</v>
      </c>
      <c r="K118" s="53">
        <v>98</v>
      </c>
      <c r="L118" s="6">
        <v>0</v>
      </c>
      <c r="M118" s="53">
        <v>0</v>
      </c>
      <c r="N118" s="6">
        <v>0</v>
      </c>
      <c r="O118" s="53">
        <v>0</v>
      </c>
      <c r="P118" s="6">
        <v>2</v>
      </c>
      <c r="Q118" s="4" t="s">
        <v>26</v>
      </c>
      <c r="R118" s="4">
        <v>0</v>
      </c>
      <c r="S118" s="4">
        <v>18</v>
      </c>
      <c r="T118" s="4">
        <v>0</v>
      </c>
      <c r="U118" s="4">
        <v>0</v>
      </c>
      <c r="V118" s="53">
        <f>IF(ISERROR(VLOOKUP($S$118,'TAR FIN'!$A$1:$O$103,15,0)),0,VLOOKUP($S$118,'TAR FIN'!$A$1:$O$103,15,0))*(1-0.04)</f>
        <v>11.9232</v>
      </c>
      <c r="W118" s="53">
        <f>IF(ISERROR(VLOOKUP($T$118,'TAR FIN'!$A$1:$O$103,15,0)),0,VLOOKUP($T$118,'TAR FIN'!$A$1:$O$103,15,0))</f>
        <v>0</v>
      </c>
      <c r="X118" s="53">
        <f>IF(ISERROR(VLOOKUP($U$118,'TAR FIN'!$A$1:$O$103,15,0)),0,VLOOKUP($U$118,'TAR FIN'!$A$1:$O$103,15,0))</f>
        <v>0</v>
      </c>
      <c r="Y118" s="53">
        <f ca="1">('TUSD BE'!$AM$20+'TUSD BF'!$AM$20+'TUSD CVA'!$AM$20)*1*(1-0.02)</f>
        <v>16.187938603596493</v>
      </c>
      <c r="Z118" s="53"/>
      <c r="AA118" s="53"/>
      <c r="AB118" s="53">
        <f>(SUBSIDIO!$J$118*SUBSIDIO!$V$118)*(0.04)/(1-0.04)</f>
        <v>48.686400000000006</v>
      </c>
      <c r="AC118" s="53">
        <f>((SUBSIDIO!$L$118*SUBSIDIO!$W$118)+(SUBSIDIO!$N$118*SUBSIDIO!$X$118))*(0.04)/(1-0.04)</f>
        <v>0</v>
      </c>
      <c r="AD118" s="53">
        <f ca="1">(SUBSIDIO!$J$118*SUBSIDIO!$Y$118)*(0.02)/(1-0.02)</f>
        <v>32.375877207192993</v>
      </c>
      <c r="AE118" s="53">
        <f>((SUBSIDIO!$L$118*SUBSIDIO!$Z$118)+(SUBSIDIO!$N$118*SUBSIDIO!$AA$118))*(0.02)/(1-0.02)</f>
        <v>0</v>
      </c>
      <c r="AF118" s="4" t="s">
        <v>779</v>
      </c>
    </row>
    <row r="119" spans="1:32" ht="11.25" customHeight="1" x14ac:dyDescent="0.25">
      <c r="A119" s="4" t="s">
        <v>21</v>
      </c>
      <c r="B119" s="4" t="s">
        <v>33</v>
      </c>
      <c r="C119" s="4" t="s">
        <v>34</v>
      </c>
      <c r="D119" s="4" t="s">
        <v>45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44378</v>
      </c>
      <c r="J119" s="6">
        <v>37</v>
      </c>
      <c r="K119" s="53">
        <v>37</v>
      </c>
      <c r="L119" s="6">
        <v>0</v>
      </c>
      <c r="M119" s="53">
        <v>0</v>
      </c>
      <c r="N119" s="6">
        <v>0</v>
      </c>
      <c r="O119" s="53">
        <v>0</v>
      </c>
      <c r="P119" s="6">
        <v>2</v>
      </c>
      <c r="Q119" s="4" t="s">
        <v>26</v>
      </c>
      <c r="R119" s="4">
        <v>0</v>
      </c>
      <c r="S119" s="4">
        <v>18</v>
      </c>
      <c r="T119" s="4">
        <v>0</v>
      </c>
      <c r="U119" s="4">
        <v>0</v>
      </c>
      <c r="V119" s="53">
        <f>IF(ISERROR(VLOOKUP($S$119,'TAR FIN'!$A$1:$O$103,15,0)),0,VLOOKUP($S$119,'TAR FIN'!$A$1:$O$103,15,0))*(1-0.04)</f>
        <v>11.9232</v>
      </c>
      <c r="W119" s="53">
        <f>IF(ISERROR(VLOOKUP($T$119,'TAR FIN'!$A$1:$O$103,15,0)),0,VLOOKUP($T$119,'TAR FIN'!$A$1:$O$103,15,0))</f>
        <v>0</v>
      </c>
      <c r="X119" s="53">
        <f>IF(ISERROR(VLOOKUP($U$119,'TAR FIN'!$A$1:$O$103,15,0)),0,VLOOKUP($U$119,'TAR FIN'!$A$1:$O$103,15,0))</f>
        <v>0</v>
      </c>
      <c r="Y119" s="53">
        <f ca="1">('TUSD BE'!$AM$20+'TUSD BF'!$AM$20+'TUSD CVA'!$AM$20)*1*(1-0.02)</f>
        <v>16.187938603596493</v>
      </c>
      <c r="Z119" s="53"/>
      <c r="AA119" s="53"/>
      <c r="AB119" s="53">
        <f>(SUBSIDIO!$J$119*SUBSIDIO!$V$119)*(0.04)/(1-0.04)</f>
        <v>18.381599999999999</v>
      </c>
      <c r="AC119" s="53">
        <f>((SUBSIDIO!$L$119*SUBSIDIO!$W$119)+(SUBSIDIO!$N$119*SUBSIDIO!$X$119))*(0.04)/(1-0.04)</f>
        <v>0</v>
      </c>
      <c r="AD119" s="53">
        <f ca="1">(SUBSIDIO!$J$119*SUBSIDIO!$Y$119)*(0.02)/(1-0.02)</f>
        <v>12.223545476185107</v>
      </c>
      <c r="AE119" s="53">
        <f>((SUBSIDIO!$L$119*SUBSIDIO!$Z$119)+(SUBSIDIO!$N$119*SUBSIDIO!$AA$119))*(0.02)/(1-0.02)</f>
        <v>0</v>
      </c>
      <c r="AF119" s="4" t="s">
        <v>779</v>
      </c>
    </row>
    <row r="120" spans="1:32" ht="11.25" customHeight="1" x14ac:dyDescent="0.25">
      <c r="A120" s="4" t="s">
        <v>21</v>
      </c>
      <c r="B120" s="4" t="s">
        <v>33</v>
      </c>
      <c r="C120" s="4" t="s">
        <v>34</v>
      </c>
      <c r="D120" s="4" t="s">
        <v>45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44409</v>
      </c>
      <c r="J120" s="6">
        <v>37</v>
      </c>
      <c r="K120" s="53">
        <v>37</v>
      </c>
      <c r="L120" s="6">
        <v>0</v>
      </c>
      <c r="M120" s="53">
        <v>0</v>
      </c>
      <c r="N120" s="6">
        <v>0</v>
      </c>
      <c r="O120" s="53">
        <v>0</v>
      </c>
      <c r="P120" s="6">
        <v>2</v>
      </c>
      <c r="Q120" s="4" t="s">
        <v>26</v>
      </c>
      <c r="R120" s="4">
        <v>0</v>
      </c>
      <c r="S120" s="4">
        <v>18</v>
      </c>
      <c r="T120" s="4">
        <v>0</v>
      </c>
      <c r="U120" s="4">
        <v>0</v>
      </c>
      <c r="V120" s="53">
        <f>IF(ISERROR(VLOOKUP($S$120,'TAR FIN'!$A$1:$O$103,15,0)),0,VLOOKUP($S$120,'TAR FIN'!$A$1:$O$103,15,0))*(1-0.04)</f>
        <v>11.9232</v>
      </c>
      <c r="W120" s="53">
        <f>IF(ISERROR(VLOOKUP($T$120,'TAR FIN'!$A$1:$O$103,15,0)),0,VLOOKUP($T$120,'TAR FIN'!$A$1:$O$103,15,0))</f>
        <v>0</v>
      </c>
      <c r="X120" s="53">
        <f>IF(ISERROR(VLOOKUP($U$120,'TAR FIN'!$A$1:$O$103,15,0)),0,VLOOKUP($U$120,'TAR FIN'!$A$1:$O$103,15,0))</f>
        <v>0</v>
      </c>
      <c r="Y120" s="53">
        <f ca="1">('TUSD BE'!$AM$20+'TUSD BF'!$AM$20+'TUSD CVA'!$AM$20)*1*(1-0.02)</f>
        <v>16.187938603596493</v>
      </c>
      <c r="Z120" s="53"/>
      <c r="AA120" s="53"/>
      <c r="AB120" s="53">
        <f>(SUBSIDIO!$J$120*SUBSIDIO!$V$120)*(0.04)/(1-0.04)</f>
        <v>18.381599999999999</v>
      </c>
      <c r="AC120" s="53">
        <f>((SUBSIDIO!$L$120*SUBSIDIO!$W$120)+(SUBSIDIO!$N$120*SUBSIDIO!$X$120))*(0.04)/(1-0.04)</f>
        <v>0</v>
      </c>
      <c r="AD120" s="53">
        <f ca="1">(SUBSIDIO!$J$120*SUBSIDIO!$Y$120)*(0.02)/(1-0.02)</f>
        <v>12.223545476185107</v>
      </c>
      <c r="AE120" s="53">
        <f>((SUBSIDIO!$L$120*SUBSIDIO!$Z$120)+(SUBSIDIO!$N$120*SUBSIDIO!$AA$120))*(0.02)/(1-0.02)</f>
        <v>0</v>
      </c>
      <c r="AF120" s="4" t="s">
        <v>779</v>
      </c>
    </row>
    <row r="121" spans="1:32" ht="11.25" customHeight="1" x14ac:dyDescent="0.25">
      <c r="A121" s="4" t="s">
        <v>21</v>
      </c>
      <c r="B121" s="4" t="s">
        <v>33</v>
      </c>
      <c r="C121" s="4" t="s">
        <v>34</v>
      </c>
      <c r="D121" s="4" t="s">
        <v>45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44440</v>
      </c>
      <c r="J121" s="6">
        <v>37</v>
      </c>
      <c r="K121" s="53">
        <v>37</v>
      </c>
      <c r="L121" s="6">
        <v>0</v>
      </c>
      <c r="M121" s="53">
        <v>0</v>
      </c>
      <c r="N121" s="6">
        <v>0</v>
      </c>
      <c r="O121" s="53">
        <v>0</v>
      </c>
      <c r="P121" s="6">
        <v>2</v>
      </c>
      <c r="Q121" s="4" t="s">
        <v>26</v>
      </c>
      <c r="R121" s="4">
        <v>0</v>
      </c>
      <c r="S121" s="4">
        <v>18</v>
      </c>
      <c r="T121" s="4">
        <v>0</v>
      </c>
      <c r="U121" s="4">
        <v>0</v>
      </c>
      <c r="V121" s="53">
        <f>IF(ISERROR(VLOOKUP($S$121,'TAR FIN'!$A$1:$O$103,15,0)),0,VLOOKUP($S$121,'TAR FIN'!$A$1:$O$103,15,0))*(1-0.04)</f>
        <v>11.9232</v>
      </c>
      <c r="W121" s="53">
        <f>IF(ISERROR(VLOOKUP($T$121,'TAR FIN'!$A$1:$O$103,15,0)),0,VLOOKUP($T$121,'TAR FIN'!$A$1:$O$103,15,0))</f>
        <v>0</v>
      </c>
      <c r="X121" s="53">
        <f>IF(ISERROR(VLOOKUP($U$121,'TAR FIN'!$A$1:$O$103,15,0)),0,VLOOKUP($U$121,'TAR FIN'!$A$1:$O$103,15,0))</f>
        <v>0</v>
      </c>
      <c r="Y121" s="53">
        <f ca="1">('TUSD BE'!$AM$20+'TUSD BF'!$AM$20+'TUSD CVA'!$AM$20)*1*(1-0.02)</f>
        <v>16.187938603596493</v>
      </c>
      <c r="Z121" s="53"/>
      <c r="AA121" s="53"/>
      <c r="AB121" s="53">
        <f>(SUBSIDIO!$J$121*SUBSIDIO!$V$121)*(0.04)/(1-0.04)</f>
        <v>18.381599999999999</v>
      </c>
      <c r="AC121" s="53">
        <f>((SUBSIDIO!$L$121*SUBSIDIO!$W$121)+(SUBSIDIO!$N$121*SUBSIDIO!$X$121))*(0.04)/(1-0.04)</f>
        <v>0</v>
      </c>
      <c r="AD121" s="53">
        <f ca="1">(SUBSIDIO!$J$121*SUBSIDIO!$Y$121)*(0.02)/(1-0.02)</f>
        <v>12.223545476185107</v>
      </c>
      <c r="AE121" s="53">
        <f>((SUBSIDIO!$L$121*SUBSIDIO!$Z$121)+(SUBSIDIO!$N$121*SUBSIDIO!$AA$121))*(0.02)/(1-0.02)</f>
        <v>0</v>
      </c>
      <c r="AF121" s="4" t="s">
        <v>779</v>
      </c>
    </row>
    <row r="122" spans="1:32" ht="11.25" customHeight="1" x14ac:dyDescent="0.25">
      <c r="A122" s="4" t="s">
        <v>21</v>
      </c>
      <c r="B122" s="4" t="s">
        <v>33</v>
      </c>
      <c r="C122" s="4" t="s">
        <v>34</v>
      </c>
      <c r="D122" s="4" t="s">
        <v>45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44470</v>
      </c>
      <c r="J122" s="6">
        <v>37</v>
      </c>
      <c r="K122" s="53">
        <v>37</v>
      </c>
      <c r="L122" s="6">
        <v>0</v>
      </c>
      <c r="M122" s="53">
        <v>0</v>
      </c>
      <c r="N122" s="6">
        <v>0</v>
      </c>
      <c r="O122" s="53">
        <v>0</v>
      </c>
      <c r="P122" s="6">
        <v>2</v>
      </c>
      <c r="Q122" s="4" t="s">
        <v>26</v>
      </c>
      <c r="R122" s="4">
        <v>0</v>
      </c>
      <c r="S122" s="4">
        <v>18</v>
      </c>
      <c r="T122" s="4">
        <v>0</v>
      </c>
      <c r="U122" s="4">
        <v>0</v>
      </c>
      <c r="V122" s="53">
        <f>IF(ISERROR(VLOOKUP($S$122,'TAR FIN'!$A$1:$O$103,15,0)),0,VLOOKUP($S$122,'TAR FIN'!$A$1:$O$103,15,0))*(1-0.04)</f>
        <v>11.9232</v>
      </c>
      <c r="W122" s="53">
        <f>IF(ISERROR(VLOOKUP($T$122,'TAR FIN'!$A$1:$O$103,15,0)),0,VLOOKUP($T$122,'TAR FIN'!$A$1:$O$103,15,0))</f>
        <v>0</v>
      </c>
      <c r="X122" s="53">
        <f>IF(ISERROR(VLOOKUP($U$122,'TAR FIN'!$A$1:$O$103,15,0)),0,VLOOKUP($U$122,'TAR FIN'!$A$1:$O$103,15,0))</f>
        <v>0</v>
      </c>
      <c r="Y122" s="53">
        <f ca="1">('TUSD BE'!$AM$20+'TUSD BF'!$AM$20+'TUSD CVA'!$AM$20)*1*(1-0.02)</f>
        <v>16.187938603596493</v>
      </c>
      <c r="Z122" s="53"/>
      <c r="AA122" s="53"/>
      <c r="AB122" s="53">
        <f>(SUBSIDIO!$J$122*SUBSIDIO!$V$122)*(0.04)/(1-0.04)</f>
        <v>18.381599999999999</v>
      </c>
      <c r="AC122" s="53">
        <f>((SUBSIDIO!$L$122*SUBSIDIO!$W$122)+(SUBSIDIO!$N$122*SUBSIDIO!$X$122))*(0.04)/(1-0.04)</f>
        <v>0</v>
      </c>
      <c r="AD122" s="53">
        <f ca="1">(SUBSIDIO!$J$122*SUBSIDIO!$Y$122)*(0.02)/(1-0.02)</f>
        <v>12.223545476185107</v>
      </c>
      <c r="AE122" s="53">
        <f>((SUBSIDIO!$L$122*SUBSIDIO!$Z$122)+(SUBSIDIO!$N$122*SUBSIDIO!$AA$122))*(0.02)/(1-0.02)</f>
        <v>0</v>
      </c>
      <c r="AF122" s="4" t="s">
        <v>779</v>
      </c>
    </row>
    <row r="123" spans="1:32" ht="11.25" customHeight="1" x14ac:dyDescent="0.25">
      <c r="A123" s="4" t="s">
        <v>21</v>
      </c>
      <c r="B123" s="4" t="s">
        <v>33</v>
      </c>
      <c r="C123" s="4" t="s">
        <v>34</v>
      </c>
      <c r="D123" s="4" t="s">
        <v>45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44501</v>
      </c>
      <c r="J123" s="6">
        <v>37</v>
      </c>
      <c r="K123" s="53">
        <v>37</v>
      </c>
      <c r="L123" s="6">
        <v>0</v>
      </c>
      <c r="M123" s="53">
        <v>0</v>
      </c>
      <c r="N123" s="6">
        <v>0</v>
      </c>
      <c r="O123" s="53">
        <v>0</v>
      </c>
      <c r="P123" s="6">
        <v>2</v>
      </c>
      <c r="Q123" s="4" t="s">
        <v>26</v>
      </c>
      <c r="R123" s="4">
        <v>0</v>
      </c>
      <c r="S123" s="4">
        <v>18</v>
      </c>
      <c r="T123" s="4">
        <v>0</v>
      </c>
      <c r="U123" s="4">
        <v>0</v>
      </c>
      <c r="V123" s="53">
        <f>IF(ISERROR(VLOOKUP($S$123,'TAR FIN'!$A$1:$O$103,15,0)),0,VLOOKUP($S$123,'TAR FIN'!$A$1:$O$103,15,0))*(1-0.04)</f>
        <v>11.9232</v>
      </c>
      <c r="W123" s="53">
        <f>IF(ISERROR(VLOOKUP($T$123,'TAR FIN'!$A$1:$O$103,15,0)),0,VLOOKUP($T$123,'TAR FIN'!$A$1:$O$103,15,0))</f>
        <v>0</v>
      </c>
      <c r="X123" s="53">
        <f>IF(ISERROR(VLOOKUP($U$123,'TAR FIN'!$A$1:$O$103,15,0)),0,VLOOKUP($U$123,'TAR FIN'!$A$1:$O$103,15,0))</f>
        <v>0</v>
      </c>
      <c r="Y123" s="53">
        <f ca="1">('TUSD BE'!$AM$20+'TUSD BF'!$AM$20+'TUSD CVA'!$AM$20)*1*(1-0.02)</f>
        <v>16.187938603596493</v>
      </c>
      <c r="Z123" s="53"/>
      <c r="AA123" s="53"/>
      <c r="AB123" s="53">
        <f>(SUBSIDIO!$J$123*SUBSIDIO!$V$123)*(0.04)/(1-0.04)</f>
        <v>18.381599999999999</v>
      </c>
      <c r="AC123" s="53">
        <f>((SUBSIDIO!$L$123*SUBSIDIO!$W$123)+(SUBSIDIO!$N$123*SUBSIDIO!$X$123))*(0.04)/(1-0.04)</f>
        <v>0</v>
      </c>
      <c r="AD123" s="53">
        <f ca="1">(SUBSIDIO!$J$123*SUBSIDIO!$Y$123)*(0.02)/(1-0.02)</f>
        <v>12.223545476185107</v>
      </c>
      <c r="AE123" s="53">
        <f>((SUBSIDIO!$L$123*SUBSIDIO!$Z$123)+(SUBSIDIO!$N$123*SUBSIDIO!$AA$123))*(0.02)/(1-0.02)</f>
        <v>0</v>
      </c>
      <c r="AF123" s="4" t="s">
        <v>779</v>
      </c>
    </row>
    <row r="124" spans="1:32" ht="11.25" customHeight="1" x14ac:dyDescent="0.25">
      <c r="A124" s="4" t="s">
        <v>21</v>
      </c>
      <c r="B124" s="4" t="s">
        <v>33</v>
      </c>
      <c r="C124" s="4" t="s">
        <v>34</v>
      </c>
      <c r="D124" s="4" t="s">
        <v>45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44531</v>
      </c>
      <c r="J124" s="6">
        <v>37</v>
      </c>
      <c r="K124" s="53">
        <v>37</v>
      </c>
      <c r="L124" s="6">
        <v>0</v>
      </c>
      <c r="M124" s="53">
        <v>0</v>
      </c>
      <c r="N124" s="6">
        <v>0</v>
      </c>
      <c r="O124" s="53">
        <v>0</v>
      </c>
      <c r="P124" s="6">
        <v>2</v>
      </c>
      <c r="Q124" s="4" t="s">
        <v>26</v>
      </c>
      <c r="R124" s="4">
        <v>0</v>
      </c>
      <c r="S124" s="4">
        <v>18</v>
      </c>
      <c r="T124" s="4">
        <v>0</v>
      </c>
      <c r="U124" s="4">
        <v>0</v>
      </c>
      <c r="V124" s="53">
        <f>IF(ISERROR(VLOOKUP($S$124,'TAR FIN'!$A$1:$O$103,15,0)),0,VLOOKUP($S$124,'TAR FIN'!$A$1:$O$103,15,0))*(1-0.04)</f>
        <v>11.9232</v>
      </c>
      <c r="W124" s="53">
        <f>IF(ISERROR(VLOOKUP($T$124,'TAR FIN'!$A$1:$O$103,15,0)),0,VLOOKUP($T$124,'TAR FIN'!$A$1:$O$103,15,0))</f>
        <v>0</v>
      </c>
      <c r="X124" s="53">
        <f>IF(ISERROR(VLOOKUP($U$124,'TAR FIN'!$A$1:$O$103,15,0)),0,VLOOKUP($U$124,'TAR FIN'!$A$1:$O$103,15,0))</f>
        <v>0</v>
      </c>
      <c r="Y124" s="53">
        <f ca="1">('TUSD BE'!$AM$20+'TUSD BF'!$AM$20+'TUSD CVA'!$AM$20)*1*(1-0.02)</f>
        <v>16.187938603596493</v>
      </c>
      <c r="Z124" s="53"/>
      <c r="AA124" s="53"/>
      <c r="AB124" s="53">
        <f>(SUBSIDIO!$J$124*SUBSIDIO!$V$124)*(0.04)/(1-0.04)</f>
        <v>18.381599999999999</v>
      </c>
      <c r="AC124" s="53">
        <f>((SUBSIDIO!$L$124*SUBSIDIO!$W$124)+(SUBSIDIO!$N$124*SUBSIDIO!$X$124))*(0.04)/(1-0.04)</f>
        <v>0</v>
      </c>
      <c r="AD124" s="53">
        <f ca="1">(SUBSIDIO!$J$124*SUBSIDIO!$Y$124)*(0.02)/(1-0.02)</f>
        <v>12.223545476185107</v>
      </c>
      <c r="AE124" s="53">
        <f>((SUBSIDIO!$L$124*SUBSIDIO!$Z$124)+(SUBSIDIO!$N$124*SUBSIDIO!$AA$124))*(0.02)/(1-0.02)</f>
        <v>0</v>
      </c>
      <c r="AF124" s="4" t="s">
        <v>779</v>
      </c>
    </row>
    <row r="125" spans="1:32" ht="11.25" customHeight="1" x14ac:dyDescent="0.25">
      <c r="A125" s="4" t="s">
        <v>21</v>
      </c>
      <c r="B125" s="4" t="s">
        <v>33</v>
      </c>
      <c r="C125" s="4" t="s">
        <v>34</v>
      </c>
      <c r="D125" s="4" t="s">
        <v>45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44593</v>
      </c>
      <c r="J125" s="6">
        <v>30</v>
      </c>
      <c r="K125" s="53">
        <v>30</v>
      </c>
      <c r="L125" s="6">
        <v>0</v>
      </c>
      <c r="M125" s="53">
        <v>0</v>
      </c>
      <c r="N125" s="6">
        <v>0</v>
      </c>
      <c r="O125" s="53">
        <v>0</v>
      </c>
      <c r="P125" s="6">
        <v>1</v>
      </c>
      <c r="Q125" s="4" t="s">
        <v>26</v>
      </c>
      <c r="R125" s="4">
        <v>0</v>
      </c>
      <c r="S125" s="4">
        <v>18</v>
      </c>
      <c r="T125" s="4">
        <v>0</v>
      </c>
      <c r="U125" s="4">
        <v>0</v>
      </c>
      <c r="V125" s="53">
        <f>IF(ISERROR(VLOOKUP($S$125,'TAR FIN'!$A$1:$O$103,15,0)),0,VLOOKUP($S$125,'TAR FIN'!$A$1:$O$103,15,0))*(1-0.04)</f>
        <v>11.9232</v>
      </c>
      <c r="W125" s="53">
        <f>IF(ISERROR(VLOOKUP($T$125,'TAR FIN'!$A$1:$O$103,15,0)),0,VLOOKUP($T$125,'TAR FIN'!$A$1:$O$103,15,0))</f>
        <v>0</v>
      </c>
      <c r="X125" s="53">
        <f>IF(ISERROR(VLOOKUP($U$125,'TAR FIN'!$A$1:$O$103,15,0)),0,VLOOKUP($U$125,'TAR FIN'!$A$1:$O$103,15,0))</f>
        <v>0</v>
      </c>
      <c r="Y125" s="53">
        <f ca="1">('TUSD BE'!$AM$20+'TUSD BF'!$AM$20+'TUSD CVA'!$AM$20)*1*(1-0.02)</f>
        <v>16.187938603596493</v>
      </c>
      <c r="Z125" s="53"/>
      <c r="AA125" s="53"/>
      <c r="AB125" s="53">
        <f>(SUBSIDIO!$J$125*SUBSIDIO!$V$125)*(0.04)/(1-0.04)</f>
        <v>14.904</v>
      </c>
      <c r="AC125" s="53">
        <f>((SUBSIDIO!$L$125*SUBSIDIO!$W$125)+(SUBSIDIO!$N$125*SUBSIDIO!$X$125))*(0.04)/(1-0.04)</f>
        <v>0</v>
      </c>
      <c r="AD125" s="53">
        <f ca="1">(SUBSIDIO!$J$125*SUBSIDIO!$Y$125)*(0.02)/(1-0.02)</f>
        <v>9.910982818528467</v>
      </c>
      <c r="AE125" s="53">
        <f>((SUBSIDIO!$L$125*SUBSIDIO!$Z$125)+(SUBSIDIO!$N$125*SUBSIDIO!$AA$125))*(0.02)/(1-0.02)</f>
        <v>0</v>
      </c>
      <c r="AF125" s="4" t="s">
        <v>779</v>
      </c>
    </row>
    <row r="126" spans="1:32" ht="11.25" customHeight="1" x14ac:dyDescent="0.25">
      <c r="A126" s="4" t="s">
        <v>21</v>
      </c>
      <c r="B126" s="4" t="s">
        <v>33</v>
      </c>
      <c r="C126" s="4" t="s">
        <v>34</v>
      </c>
      <c r="D126" s="4" t="s">
        <v>45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44621</v>
      </c>
      <c r="J126" s="6">
        <v>30</v>
      </c>
      <c r="K126" s="53">
        <v>30</v>
      </c>
      <c r="L126" s="6">
        <v>0</v>
      </c>
      <c r="M126" s="53">
        <v>0</v>
      </c>
      <c r="N126" s="6">
        <v>0</v>
      </c>
      <c r="O126" s="53">
        <v>0</v>
      </c>
      <c r="P126" s="6">
        <v>1</v>
      </c>
      <c r="Q126" s="4" t="s">
        <v>26</v>
      </c>
      <c r="R126" s="4">
        <v>0</v>
      </c>
      <c r="S126" s="4">
        <v>18</v>
      </c>
      <c r="T126" s="4">
        <v>0</v>
      </c>
      <c r="U126" s="4">
        <v>0</v>
      </c>
      <c r="V126" s="53">
        <f>IF(ISERROR(VLOOKUP($S$126,'TAR FIN'!$A$1:$O$103,15,0)),0,VLOOKUP($S$126,'TAR FIN'!$A$1:$O$103,15,0))*(1-0.04)</f>
        <v>11.9232</v>
      </c>
      <c r="W126" s="53">
        <f>IF(ISERROR(VLOOKUP($T$126,'TAR FIN'!$A$1:$O$103,15,0)),0,VLOOKUP($T$126,'TAR FIN'!$A$1:$O$103,15,0))</f>
        <v>0</v>
      </c>
      <c r="X126" s="53">
        <f>IF(ISERROR(VLOOKUP($U$126,'TAR FIN'!$A$1:$O$103,15,0)),0,VLOOKUP($U$126,'TAR FIN'!$A$1:$O$103,15,0))</f>
        <v>0</v>
      </c>
      <c r="Y126" s="53">
        <f ca="1">('TUSD BE'!$AM$20+'TUSD BF'!$AM$20+'TUSD CVA'!$AM$20)*1*(1-0.02)</f>
        <v>16.187938603596493</v>
      </c>
      <c r="Z126" s="53"/>
      <c r="AA126" s="53"/>
      <c r="AB126" s="53">
        <f>(SUBSIDIO!$J$126*SUBSIDIO!$V$126)*(0.04)/(1-0.04)</f>
        <v>14.904</v>
      </c>
      <c r="AC126" s="53">
        <f>((SUBSIDIO!$L$126*SUBSIDIO!$W$126)+(SUBSIDIO!$N$126*SUBSIDIO!$X$126))*(0.04)/(1-0.04)</f>
        <v>0</v>
      </c>
      <c r="AD126" s="53">
        <f ca="1">(SUBSIDIO!$J$126*SUBSIDIO!$Y$126)*(0.02)/(1-0.02)</f>
        <v>9.910982818528467</v>
      </c>
      <c r="AE126" s="53">
        <f>((SUBSIDIO!$L$126*SUBSIDIO!$Z$126)+(SUBSIDIO!$N$126*SUBSIDIO!$AA$126))*(0.02)/(1-0.02)</f>
        <v>0</v>
      </c>
      <c r="AF126" s="4" t="s">
        <v>779</v>
      </c>
    </row>
    <row r="127" spans="1:32" ht="11.25" customHeight="1" x14ac:dyDescent="0.25">
      <c r="A127" s="4" t="s">
        <v>21</v>
      </c>
      <c r="B127" s="4" t="s">
        <v>33</v>
      </c>
      <c r="C127" s="4" t="s">
        <v>34</v>
      </c>
      <c r="D127" s="4" t="s">
        <v>45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44652</v>
      </c>
      <c r="J127" s="6">
        <v>30</v>
      </c>
      <c r="K127" s="53">
        <v>30</v>
      </c>
      <c r="L127" s="6">
        <v>0</v>
      </c>
      <c r="M127" s="53">
        <v>0</v>
      </c>
      <c r="N127" s="6">
        <v>0</v>
      </c>
      <c r="O127" s="53">
        <v>0</v>
      </c>
      <c r="P127" s="6">
        <v>1</v>
      </c>
      <c r="Q127" s="4" t="s">
        <v>26</v>
      </c>
      <c r="R127" s="4">
        <v>0</v>
      </c>
      <c r="S127" s="4">
        <v>18</v>
      </c>
      <c r="T127" s="4">
        <v>0</v>
      </c>
      <c r="U127" s="4">
        <v>0</v>
      </c>
      <c r="V127" s="53">
        <f>IF(ISERROR(VLOOKUP($S$127,'TAR FIN'!$A$1:$O$103,15,0)),0,VLOOKUP($S$127,'TAR FIN'!$A$1:$O$103,15,0))*(1-0.04)</f>
        <v>11.9232</v>
      </c>
      <c r="W127" s="53">
        <f>IF(ISERROR(VLOOKUP($T$127,'TAR FIN'!$A$1:$O$103,15,0)),0,VLOOKUP($T$127,'TAR FIN'!$A$1:$O$103,15,0))</f>
        <v>0</v>
      </c>
      <c r="X127" s="53">
        <f>IF(ISERROR(VLOOKUP($U$127,'TAR FIN'!$A$1:$O$103,15,0)),0,VLOOKUP($U$127,'TAR FIN'!$A$1:$O$103,15,0))</f>
        <v>0</v>
      </c>
      <c r="Y127" s="53">
        <f ca="1">('TUSD BE'!$AM$20+'TUSD BF'!$AM$20+'TUSD CVA'!$AM$20)*1*(1-0.02)</f>
        <v>16.187938603596493</v>
      </c>
      <c r="Z127" s="53"/>
      <c r="AA127" s="53"/>
      <c r="AB127" s="53">
        <f>(SUBSIDIO!$J$127*SUBSIDIO!$V$127)*(0.04)/(1-0.04)</f>
        <v>14.904</v>
      </c>
      <c r="AC127" s="53">
        <f>((SUBSIDIO!$L$127*SUBSIDIO!$W$127)+(SUBSIDIO!$N$127*SUBSIDIO!$X$127))*(0.04)/(1-0.04)</f>
        <v>0</v>
      </c>
      <c r="AD127" s="53">
        <f ca="1">(SUBSIDIO!$J$127*SUBSIDIO!$Y$127)*(0.02)/(1-0.02)</f>
        <v>9.910982818528467</v>
      </c>
      <c r="AE127" s="53">
        <f>((SUBSIDIO!$L$127*SUBSIDIO!$Z$127)+(SUBSIDIO!$N$127*SUBSIDIO!$AA$127))*(0.02)/(1-0.02)</f>
        <v>0</v>
      </c>
      <c r="AF127" s="4" t="s">
        <v>779</v>
      </c>
    </row>
    <row r="128" spans="1:32" ht="11.25" customHeight="1" x14ac:dyDescent="0.25">
      <c r="A128" s="4" t="s">
        <v>21</v>
      </c>
      <c r="B128" s="4" t="s">
        <v>33</v>
      </c>
      <c r="C128" s="4" t="s">
        <v>34</v>
      </c>
      <c r="D128" s="4" t="s">
        <v>45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44682</v>
      </c>
      <c r="J128" s="6">
        <v>30</v>
      </c>
      <c r="K128" s="53">
        <v>30</v>
      </c>
      <c r="L128" s="6">
        <v>0</v>
      </c>
      <c r="M128" s="53">
        <v>0</v>
      </c>
      <c r="N128" s="6">
        <v>0</v>
      </c>
      <c r="O128" s="53">
        <v>0</v>
      </c>
      <c r="P128" s="6">
        <v>1</v>
      </c>
      <c r="Q128" s="4" t="s">
        <v>26</v>
      </c>
      <c r="R128" s="4">
        <v>0</v>
      </c>
      <c r="S128" s="4">
        <v>18</v>
      </c>
      <c r="T128" s="4">
        <v>0</v>
      </c>
      <c r="U128" s="4">
        <v>0</v>
      </c>
      <c r="V128" s="53">
        <f>IF(ISERROR(VLOOKUP($S$128,'TAR FIN'!$A$1:$O$103,15,0)),0,VLOOKUP($S$128,'TAR FIN'!$A$1:$O$103,15,0))*(1-0.04)</f>
        <v>11.9232</v>
      </c>
      <c r="W128" s="53">
        <f>IF(ISERROR(VLOOKUP($T$128,'TAR FIN'!$A$1:$O$103,15,0)),0,VLOOKUP($T$128,'TAR FIN'!$A$1:$O$103,15,0))</f>
        <v>0</v>
      </c>
      <c r="X128" s="53">
        <f>IF(ISERROR(VLOOKUP($U$128,'TAR FIN'!$A$1:$O$103,15,0)),0,VLOOKUP($U$128,'TAR FIN'!$A$1:$O$103,15,0))</f>
        <v>0</v>
      </c>
      <c r="Y128" s="53">
        <f ca="1">('TUSD BE'!$AM$20+'TUSD BF'!$AM$20+'TUSD CVA'!$AM$20)*1*(1-0.02)</f>
        <v>16.187938603596493</v>
      </c>
      <c r="Z128" s="53"/>
      <c r="AA128" s="53"/>
      <c r="AB128" s="53">
        <f>(SUBSIDIO!$J$128*SUBSIDIO!$V$128)*(0.04)/(1-0.04)</f>
        <v>14.904</v>
      </c>
      <c r="AC128" s="53">
        <f>((SUBSIDIO!$L$128*SUBSIDIO!$W$128)+(SUBSIDIO!$N$128*SUBSIDIO!$X$128))*(0.04)/(1-0.04)</f>
        <v>0</v>
      </c>
      <c r="AD128" s="53">
        <f ca="1">(SUBSIDIO!$J$128*SUBSIDIO!$Y$128)*(0.02)/(1-0.02)</f>
        <v>9.910982818528467</v>
      </c>
      <c r="AE128" s="53">
        <f>((SUBSIDIO!$L$128*SUBSIDIO!$Z$128)+(SUBSIDIO!$N$128*SUBSIDIO!$AA$128))*(0.02)/(1-0.02)</f>
        <v>0</v>
      </c>
      <c r="AF128" s="4" t="s">
        <v>779</v>
      </c>
    </row>
    <row r="129" spans="1:32" ht="11.25" customHeight="1" x14ac:dyDescent="0.25">
      <c r="A129" s="4" t="s">
        <v>21</v>
      </c>
      <c r="B129" s="4" t="s">
        <v>33</v>
      </c>
      <c r="C129" s="4" t="s">
        <v>34</v>
      </c>
      <c r="D129" s="4" t="s">
        <v>45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44348</v>
      </c>
      <c r="J129" s="6">
        <v>0</v>
      </c>
      <c r="K129" s="53">
        <v>0</v>
      </c>
      <c r="L129" s="6">
        <v>0.33300000000000002</v>
      </c>
      <c r="M129" s="53">
        <v>0.33300000000000002</v>
      </c>
      <c r="N129" s="6">
        <v>0.33300000000000002</v>
      </c>
      <c r="O129" s="53">
        <v>0.33300000000000002</v>
      </c>
      <c r="P129" s="6">
        <v>0</v>
      </c>
      <c r="Q129" s="4" t="s">
        <v>26</v>
      </c>
      <c r="R129" s="4">
        <v>0</v>
      </c>
      <c r="S129" s="4">
        <v>0</v>
      </c>
      <c r="T129" s="4">
        <v>19</v>
      </c>
      <c r="U129" s="4">
        <v>65</v>
      </c>
      <c r="V129" s="53">
        <f>IF(ISERROR(VLOOKUP($S$129,'TAR FIN'!$A$1:$O$103,15,0)),0,VLOOKUP($S$129,'TAR FIN'!$A$1:$O$103,15,0))</f>
        <v>0</v>
      </c>
      <c r="W129" s="53">
        <f>IF(ISERROR(VLOOKUP($T$129,'TAR FIN'!$A$1:$O$103,15,0)),0,VLOOKUP($T$129,'TAR FIN'!$A$1:$O$103,15,0))*(1-0.04)</f>
        <v>808.61759999999992</v>
      </c>
      <c r="X129" s="53">
        <f>IF(ISERROR(VLOOKUP($U$129,'TAR FIN'!$A$1:$O$103,15,0)),0,VLOOKUP($U$129,'TAR FIN'!$A$1:$O$103,15,0))*(1-0.04)</f>
        <v>436.70399999999995</v>
      </c>
      <c r="Y129" s="53"/>
      <c r="Z129" s="53">
        <f ca="1">('TUSD BE'!$AM$21+'TUSD BF'!$AM$21+'TUSD CVA'!$AM$21)*1*(1-0.02)</f>
        <v>1123.452533864312</v>
      </c>
      <c r="AA129" s="53">
        <f>('TE BE'!$AB$8+'TE BF'!$AB$8+'TE CVA'!$AB$8)*1*(1-0.02)</f>
        <v>406.75340069530864</v>
      </c>
      <c r="AB129" s="53">
        <f>(SUBSIDIO!$J$129*SUBSIDIO!$V$129)*(0.04)/(1-0.04)</f>
        <v>0</v>
      </c>
      <c r="AC129" s="53">
        <f>((SUBSIDIO!$L$129*SUBSIDIO!$W$129)+(SUBSIDIO!$N$129*SUBSIDIO!$X$129))*(0.04)/(1-0.04)</f>
        <v>17.278837199999998</v>
      </c>
      <c r="AD129" s="53">
        <f>(SUBSIDIO!$J$129*SUBSIDIO!$Y$129)*(0.02)/(1-0.02)</f>
        <v>0</v>
      </c>
      <c r="AE129" s="53">
        <f ca="1">((SUBSIDIO!$L$129*SUBSIDIO!$Z$129)+(SUBSIDIO!$N$129*SUBSIDIO!$AA$129))*(0.02)/(1-0.02)</f>
        <v>10.399154616497015</v>
      </c>
      <c r="AF129" s="4" t="s">
        <v>779</v>
      </c>
    </row>
    <row r="130" spans="1:32" ht="11.25" customHeight="1" x14ac:dyDescent="0.25">
      <c r="A130" s="4" t="s">
        <v>21</v>
      </c>
      <c r="B130" s="4" t="s">
        <v>33</v>
      </c>
      <c r="C130" s="4" t="s">
        <v>34</v>
      </c>
      <c r="D130" s="4" t="s">
        <v>45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44378</v>
      </c>
      <c r="J130" s="6">
        <v>0</v>
      </c>
      <c r="K130" s="53">
        <v>0</v>
      </c>
      <c r="L130" s="6">
        <v>0.39800000000000002</v>
      </c>
      <c r="M130" s="53">
        <v>0.39800000000000002</v>
      </c>
      <c r="N130" s="6">
        <v>0.39800000000000002</v>
      </c>
      <c r="O130" s="53">
        <v>0.39800000000000002</v>
      </c>
      <c r="P130" s="6">
        <v>0</v>
      </c>
      <c r="Q130" s="4" t="s">
        <v>26</v>
      </c>
      <c r="R130" s="4">
        <v>0</v>
      </c>
      <c r="S130" s="4">
        <v>0</v>
      </c>
      <c r="T130" s="4">
        <v>19</v>
      </c>
      <c r="U130" s="4">
        <v>65</v>
      </c>
      <c r="V130" s="53">
        <f>IF(ISERROR(VLOOKUP($S$130,'TAR FIN'!$A$1:$O$103,15,0)),0,VLOOKUP($S$130,'TAR FIN'!$A$1:$O$103,15,0))</f>
        <v>0</v>
      </c>
      <c r="W130" s="53">
        <f>IF(ISERROR(VLOOKUP($T$130,'TAR FIN'!$A$1:$O$103,15,0)),0,VLOOKUP($T$130,'TAR FIN'!$A$1:$O$103,15,0))*(1-0.04)</f>
        <v>808.61759999999992</v>
      </c>
      <c r="X130" s="53">
        <f>IF(ISERROR(VLOOKUP($U$130,'TAR FIN'!$A$1:$O$103,15,0)),0,VLOOKUP($U$130,'TAR FIN'!$A$1:$O$103,15,0))*(1-0.04)</f>
        <v>436.70399999999995</v>
      </c>
      <c r="Y130" s="53"/>
      <c r="Z130" s="53">
        <f ca="1">('TUSD BE'!$AM$21+'TUSD BF'!$AM$21+'TUSD CVA'!$AM$21)*1*(1-0.02)</f>
        <v>1123.452533864312</v>
      </c>
      <c r="AA130" s="53">
        <f>('TE BE'!$AB$8+'TE BF'!$AB$8+'TE CVA'!$AB$8)*1*(1-0.02)</f>
        <v>406.75340069530864</v>
      </c>
      <c r="AB130" s="53">
        <f>(SUBSIDIO!$J$130*SUBSIDIO!$V$130)*(0.04)/(1-0.04)</f>
        <v>0</v>
      </c>
      <c r="AC130" s="53">
        <f>((SUBSIDIO!$L$130*SUBSIDIO!$W$130)+(SUBSIDIO!$N$130*SUBSIDIO!$X$130))*(0.04)/(1-0.04)</f>
        <v>20.651583200000001</v>
      </c>
      <c r="AD130" s="53">
        <f>(SUBSIDIO!$J$130*SUBSIDIO!$Y$130)*(0.02)/(1-0.02)</f>
        <v>0</v>
      </c>
      <c r="AE130" s="53">
        <f ca="1">((SUBSIDIO!$L$130*SUBSIDIO!$Z$130)+(SUBSIDIO!$N$130*SUBSIDIO!$AA$130))*(0.02)/(1-0.02)</f>
        <v>12.429019631729163</v>
      </c>
      <c r="AF130" s="4" t="s">
        <v>779</v>
      </c>
    </row>
    <row r="131" spans="1:32" ht="11.25" customHeight="1" x14ac:dyDescent="0.25">
      <c r="A131" s="4" t="s">
        <v>21</v>
      </c>
      <c r="B131" s="4" t="s">
        <v>33</v>
      </c>
      <c r="C131" s="4" t="s">
        <v>34</v>
      </c>
      <c r="D131" s="4" t="s">
        <v>45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44409</v>
      </c>
      <c r="J131" s="6">
        <v>0</v>
      </c>
      <c r="K131" s="53">
        <v>0</v>
      </c>
      <c r="L131" s="6">
        <v>0.35799999999999998</v>
      </c>
      <c r="M131" s="53">
        <v>0.35799999999999998</v>
      </c>
      <c r="N131" s="6">
        <v>0.35799999999999998</v>
      </c>
      <c r="O131" s="53">
        <v>0.35799999999999998</v>
      </c>
      <c r="P131" s="6">
        <v>0</v>
      </c>
      <c r="Q131" s="4" t="s">
        <v>26</v>
      </c>
      <c r="R131" s="4">
        <v>0</v>
      </c>
      <c r="S131" s="4">
        <v>0</v>
      </c>
      <c r="T131" s="4">
        <v>19</v>
      </c>
      <c r="U131" s="4">
        <v>65</v>
      </c>
      <c r="V131" s="53">
        <f>IF(ISERROR(VLOOKUP($S$131,'TAR FIN'!$A$1:$O$103,15,0)),0,VLOOKUP($S$131,'TAR FIN'!$A$1:$O$103,15,0))</f>
        <v>0</v>
      </c>
      <c r="W131" s="53">
        <f>IF(ISERROR(VLOOKUP($T$131,'TAR FIN'!$A$1:$O$103,15,0)),0,VLOOKUP($T$131,'TAR FIN'!$A$1:$O$103,15,0))*(1-0.04)</f>
        <v>808.61759999999992</v>
      </c>
      <c r="X131" s="53">
        <f>IF(ISERROR(VLOOKUP($U$131,'TAR FIN'!$A$1:$O$103,15,0)),0,VLOOKUP($U$131,'TAR FIN'!$A$1:$O$103,15,0))*(1-0.04)</f>
        <v>436.70399999999995</v>
      </c>
      <c r="Y131" s="53"/>
      <c r="Z131" s="53">
        <f ca="1">('TUSD BE'!$AM$21+'TUSD BF'!$AM$21+'TUSD CVA'!$AM$21)*1*(1-0.02)</f>
        <v>1123.452533864312</v>
      </c>
      <c r="AA131" s="53">
        <f>('TE BE'!$AB$8+'TE BF'!$AB$8+'TE CVA'!$AB$8)*1*(1-0.02)</f>
        <v>406.75340069530864</v>
      </c>
      <c r="AB131" s="53">
        <f>(SUBSIDIO!$J$131*SUBSIDIO!$V$131)*(0.04)/(1-0.04)</f>
        <v>0</v>
      </c>
      <c r="AC131" s="53">
        <f>((SUBSIDIO!$L$131*SUBSIDIO!$W$131)+(SUBSIDIO!$N$131*SUBSIDIO!$X$131))*(0.04)/(1-0.04)</f>
        <v>18.576047199999998</v>
      </c>
      <c r="AD131" s="53">
        <f>(SUBSIDIO!$J$131*SUBSIDIO!$Y$131)*(0.02)/(1-0.02)</f>
        <v>0</v>
      </c>
      <c r="AE131" s="53">
        <f ca="1">((SUBSIDIO!$L$131*SUBSIDIO!$Z$131)+(SUBSIDIO!$N$131*SUBSIDIO!$AA$131))*(0.02)/(1-0.02)</f>
        <v>11.17987193004784</v>
      </c>
      <c r="AF131" s="4" t="s">
        <v>779</v>
      </c>
    </row>
    <row r="132" spans="1:32" ht="11.25" customHeight="1" x14ac:dyDescent="0.25">
      <c r="A132" s="4" t="s">
        <v>21</v>
      </c>
      <c r="B132" s="4" t="s">
        <v>33</v>
      </c>
      <c r="C132" s="4" t="s">
        <v>34</v>
      </c>
      <c r="D132" s="4" t="s">
        <v>45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44440</v>
      </c>
      <c r="J132" s="6">
        <v>0</v>
      </c>
      <c r="K132" s="53">
        <v>0</v>
      </c>
      <c r="L132" s="6">
        <v>0.371</v>
      </c>
      <c r="M132" s="53">
        <v>0.371</v>
      </c>
      <c r="N132" s="6">
        <v>0.371</v>
      </c>
      <c r="O132" s="53">
        <v>0.371</v>
      </c>
      <c r="P132" s="6">
        <v>0</v>
      </c>
      <c r="Q132" s="4" t="s">
        <v>26</v>
      </c>
      <c r="R132" s="4">
        <v>0</v>
      </c>
      <c r="S132" s="4">
        <v>0</v>
      </c>
      <c r="T132" s="4">
        <v>19</v>
      </c>
      <c r="U132" s="4">
        <v>65</v>
      </c>
      <c r="V132" s="53">
        <f>IF(ISERROR(VLOOKUP($S$132,'TAR FIN'!$A$1:$O$103,15,0)),0,VLOOKUP($S$132,'TAR FIN'!$A$1:$O$103,15,0))</f>
        <v>0</v>
      </c>
      <c r="W132" s="53">
        <f>IF(ISERROR(VLOOKUP($T$132,'TAR FIN'!$A$1:$O$103,15,0)),0,VLOOKUP($T$132,'TAR FIN'!$A$1:$O$103,15,0))*(1-0.04)</f>
        <v>808.61759999999992</v>
      </c>
      <c r="X132" s="53">
        <f>IF(ISERROR(VLOOKUP($U$132,'TAR FIN'!$A$1:$O$103,15,0)),0,VLOOKUP($U$132,'TAR FIN'!$A$1:$O$103,15,0))*(1-0.04)</f>
        <v>436.70399999999995</v>
      </c>
      <c r="Y132" s="53"/>
      <c r="Z132" s="53">
        <f ca="1">('TUSD BE'!$AM$21+'TUSD BF'!$AM$21+'TUSD CVA'!$AM$21)*1*(1-0.02)</f>
        <v>1123.452533864312</v>
      </c>
      <c r="AA132" s="53">
        <f>('TE BE'!$AB$8+'TE BF'!$AB$8+'TE CVA'!$AB$8)*1*(1-0.02)</f>
        <v>406.75340069530864</v>
      </c>
      <c r="AB132" s="53">
        <f>(SUBSIDIO!$J$132*SUBSIDIO!$V$132)*(0.04)/(1-0.04)</f>
        <v>0</v>
      </c>
      <c r="AC132" s="53">
        <f>((SUBSIDIO!$L$132*SUBSIDIO!$W$132)+(SUBSIDIO!$N$132*SUBSIDIO!$X$132))*(0.04)/(1-0.04)</f>
        <v>19.250596400000003</v>
      </c>
      <c r="AD132" s="53">
        <f>(SUBSIDIO!$J$132*SUBSIDIO!$Y$132)*(0.02)/(1-0.02)</f>
        <v>0</v>
      </c>
      <c r="AE132" s="53">
        <f ca="1">((SUBSIDIO!$L$132*SUBSIDIO!$Z$132)+(SUBSIDIO!$N$132*SUBSIDIO!$AA$132))*(0.02)/(1-0.02)</f>
        <v>11.58584493309427</v>
      </c>
      <c r="AF132" s="4" t="s">
        <v>779</v>
      </c>
    </row>
    <row r="133" spans="1:32" ht="11.25" customHeight="1" x14ac:dyDescent="0.25">
      <c r="A133" s="4" t="s">
        <v>21</v>
      </c>
      <c r="B133" s="4" t="s">
        <v>33</v>
      </c>
      <c r="C133" s="4" t="s">
        <v>34</v>
      </c>
      <c r="D133" s="4" t="s">
        <v>45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44470</v>
      </c>
      <c r="J133" s="6">
        <v>0</v>
      </c>
      <c r="K133" s="53">
        <v>0</v>
      </c>
      <c r="L133" s="6">
        <v>0.34499999999999997</v>
      </c>
      <c r="M133" s="53">
        <v>0.34499999999999997</v>
      </c>
      <c r="N133" s="6">
        <v>0.34499999999999997</v>
      </c>
      <c r="O133" s="53">
        <v>0.34499999999999997</v>
      </c>
      <c r="P133" s="6">
        <v>0</v>
      </c>
      <c r="Q133" s="4" t="s">
        <v>26</v>
      </c>
      <c r="R133" s="4">
        <v>0</v>
      </c>
      <c r="S133" s="4">
        <v>0</v>
      </c>
      <c r="T133" s="4">
        <v>19</v>
      </c>
      <c r="U133" s="4">
        <v>65</v>
      </c>
      <c r="V133" s="53">
        <f>IF(ISERROR(VLOOKUP($S$133,'TAR FIN'!$A$1:$O$103,15,0)),0,VLOOKUP($S$133,'TAR FIN'!$A$1:$O$103,15,0))</f>
        <v>0</v>
      </c>
      <c r="W133" s="53">
        <f>IF(ISERROR(VLOOKUP($T$133,'TAR FIN'!$A$1:$O$103,15,0)),0,VLOOKUP($T$133,'TAR FIN'!$A$1:$O$103,15,0))*(1-0.04)</f>
        <v>808.61759999999992</v>
      </c>
      <c r="X133" s="53">
        <f>IF(ISERROR(VLOOKUP($U$133,'TAR FIN'!$A$1:$O$103,15,0)),0,VLOOKUP($U$133,'TAR FIN'!$A$1:$O$103,15,0))*(1-0.04)</f>
        <v>436.70399999999995</v>
      </c>
      <c r="Y133" s="53"/>
      <c r="Z133" s="53">
        <f ca="1">('TUSD BE'!$AM$21+'TUSD BF'!$AM$21+'TUSD CVA'!$AM$21)*1*(1-0.02)</f>
        <v>1123.452533864312</v>
      </c>
      <c r="AA133" s="53">
        <f>('TE BE'!$AB$8+'TE BF'!$AB$8+'TE CVA'!$AB$8)*1*(1-0.02)</f>
        <v>406.75340069530864</v>
      </c>
      <c r="AB133" s="53">
        <f>(SUBSIDIO!$J$133*SUBSIDIO!$V$133)*(0.04)/(1-0.04)</f>
        <v>0</v>
      </c>
      <c r="AC133" s="53">
        <f>((SUBSIDIO!$L$133*SUBSIDIO!$W$133)+(SUBSIDIO!$N$133*SUBSIDIO!$X$133))*(0.04)/(1-0.04)</f>
        <v>17.901497999999997</v>
      </c>
      <c r="AD133" s="53">
        <f>(SUBSIDIO!$J$133*SUBSIDIO!$Y$133)*(0.02)/(1-0.02)</f>
        <v>0</v>
      </c>
      <c r="AE133" s="53">
        <f ca="1">((SUBSIDIO!$L$133*SUBSIDIO!$Z$133)+(SUBSIDIO!$N$133*SUBSIDIO!$AA$133))*(0.02)/(1-0.02)</f>
        <v>10.77389892700141</v>
      </c>
      <c r="AF133" s="4" t="s">
        <v>779</v>
      </c>
    </row>
    <row r="134" spans="1:32" ht="11.25" customHeight="1" x14ac:dyDescent="0.25">
      <c r="A134" s="4" t="s">
        <v>21</v>
      </c>
      <c r="B134" s="4" t="s">
        <v>33</v>
      </c>
      <c r="C134" s="4" t="s">
        <v>34</v>
      </c>
      <c r="D134" s="4" t="s">
        <v>45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44501</v>
      </c>
      <c r="J134" s="6">
        <v>0</v>
      </c>
      <c r="K134" s="53">
        <v>0</v>
      </c>
      <c r="L134" s="6">
        <v>0.34399999999999997</v>
      </c>
      <c r="M134" s="53">
        <v>0.34399999999999997</v>
      </c>
      <c r="N134" s="6">
        <v>0.34399999999999997</v>
      </c>
      <c r="O134" s="53">
        <v>0.34399999999999997</v>
      </c>
      <c r="P134" s="6">
        <v>0</v>
      </c>
      <c r="Q134" s="4" t="s">
        <v>26</v>
      </c>
      <c r="R134" s="4">
        <v>0</v>
      </c>
      <c r="S134" s="4">
        <v>0</v>
      </c>
      <c r="T134" s="4">
        <v>19</v>
      </c>
      <c r="U134" s="4">
        <v>65</v>
      </c>
      <c r="V134" s="53">
        <f>IF(ISERROR(VLOOKUP($S$134,'TAR FIN'!$A$1:$O$103,15,0)),0,VLOOKUP($S$134,'TAR FIN'!$A$1:$O$103,15,0))</f>
        <v>0</v>
      </c>
      <c r="W134" s="53">
        <f>IF(ISERROR(VLOOKUP($T$134,'TAR FIN'!$A$1:$O$103,15,0)),0,VLOOKUP($T$134,'TAR FIN'!$A$1:$O$103,15,0))*(1-0.04)</f>
        <v>808.61759999999992</v>
      </c>
      <c r="X134" s="53">
        <f>IF(ISERROR(VLOOKUP($U$134,'TAR FIN'!$A$1:$O$103,15,0)),0,VLOOKUP($U$134,'TAR FIN'!$A$1:$O$103,15,0))*(1-0.04)</f>
        <v>436.70399999999995</v>
      </c>
      <c r="Y134" s="53"/>
      <c r="Z134" s="53">
        <f ca="1">('TUSD BE'!$AM$21+'TUSD BF'!$AM$21+'TUSD CVA'!$AM$21)*1*(1-0.02)</f>
        <v>1123.452533864312</v>
      </c>
      <c r="AA134" s="53">
        <f>('TE BE'!$AB$8+'TE BF'!$AB$8+'TE CVA'!$AB$8)*1*(1-0.02)</f>
        <v>406.75340069530864</v>
      </c>
      <c r="AB134" s="53">
        <f>(SUBSIDIO!$J$134*SUBSIDIO!$V$134)*(0.04)/(1-0.04)</f>
        <v>0</v>
      </c>
      <c r="AC134" s="53">
        <f>((SUBSIDIO!$L$134*SUBSIDIO!$W$134)+(SUBSIDIO!$N$134*SUBSIDIO!$X$134))*(0.04)/(1-0.04)</f>
        <v>17.849609599999997</v>
      </c>
      <c r="AD134" s="53">
        <f>(SUBSIDIO!$J$134*SUBSIDIO!$Y$134)*(0.02)/(1-0.02)</f>
        <v>0</v>
      </c>
      <c r="AE134" s="53">
        <f ca="1">((SUBSIDIO!$L$134*SUBSIDIO!$Z$134)+(SUBSIDIO!$N$134*SUBSIDIO!$AA$134))*(0.02)/(1-0.02)</f>
        <v>10.742670234459379</v>
      </c>
      <c r="AF134" s="4" t="s">
        <v>779</v>
      </c>
    </row>
    <row r="135" spans="1:32" ht="11.25" customHeight="1" x14ac:dyDescent="0.25">
      <c r="A135" s="4" t="s">
        <v>21</v>
      </c>
      <c r="B135" s="4" t="s">
        <v>33</v>
      </c>
      <c r="C135" s="4" t="s">
        <v>34</v>
      </c>
      <c r="D135" s="4" t="s">
        <v>45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44531</v>
      </c>
      <c r="J135" s="6">
        <v>0</v>
      </c>
      <c r="K135" s="53">
        <v>0</v>
      </c>
      <c r="L135" s="6">
        <v>0.31</v>
      </c>
      <c r="M135" s="53">
        <v>0.31</v>
      </c>
      <c r="N135" s="6">
        <v>0.31</v>
      </c>
      <c r="O135" s="53">
        <v>0.31</v>
      </c>
      <c r="P135" s="6">
        <v>0</v>
      </c>
      <c r="Q135" s="4" t="s">
        <v>26</v>
      </c>
      <c r="R135" s="4">
        <v>0</v>
      </c>
      <c r="S135" s="4">
        <v>0</v>
      </c>
      <c r="T135" s="4">
        <v>19</v>
      </c>
      <c r="U135" s="4">
        <v>65</v>
      </c>
      <c r="V135" s="53">
        <f>IF(ISERROR(VLOOKUP($S$135,'TAR FIN'!$A$1:$O$103,15,0)),0,VLOOKUP($S$135,'TAR FIN'!$A$1:$O$103,15,0))</f>
        <v>0</v>
      </c>
      <c r="W135" s="53">
        <f>IF(ISERROR(VLOOKUP($T$135,'TAR FIN'!$A$1:$O$103,15,0)),0,VLOOKUP($T$135,'TAR FIN'!$A$1:$O$103,15,0))*(1-0.04)</f>
        <v>808.61759999999992</v>
      </c>
      <c r="X135" s="53">
        <f>IF(ISERROR(VLOOKUP($U$135,'TAR FIN'!$A$1:$O$103,15,0)),0,VLOOKUP($U$135,'TAR FIN'!$A$1:$O$103,15,0))*(1-0.04)</f>
        <v>436.70399999999995</v>
      </c>
      <c r="Y135" s="53"/>
      <c r="Z135" s="53">
        <f ca="1">('TUSD BE'!$AM$21+'TUSD BF'!$AM$21+'TUSD CVA'!$AM$21)*1*(1-0.02)</f>
        <v>1123.452533864312</v>
      </c>
      <c r="AA135" s="53">
        <f>('TE BE'!$AB$8+'TE BF'!$AB$8+'TE CVA'!$AB$8)*1*(1-0.02)</f>
        <v>406.75340069530864</v>
      </c>
      <c r="AB135" s="53">
        <f>(SUBSIDIO!$J$135*SUBSIDIO!$V$135)*(0.04)/(1-0.04)</f>
        <v>0</v>
      </c>
      <c r="AC135" s="53">
        <f>((SUBSIDIO!$L$135*SUBSIDIO!$W$135)+(SUBSIDIO!$N$135*SUBSIDIO!$X$135))*(0.04)/(1-0.04)</f>
        <v>16.085403999999997</v>
      </c>
      <c r="AD135" s="53">
        <f>(SUBSIDIO!$J$135*SUBSIDIO!$Y$135)*(0.02)/(1-0.02)</f>
        <v>0</v>
      </c>
      <c r="AE135" s="53">
        <f ca="1">((SUBSIDIO!$L$135*SUBSIDIO!$Z$135)+(SUBSIDIO!$N$135*SUBSIDIO!$AA$135))*(0.02)/(1-0.02)</f>
        <v>9.6808946880302535</v>
      </c>
      <c r="AF135" s="4" t="s">
        <v>779</v>
      </c>
    </row>
    <row r="136" spans="1:32" ht="11.25" customHeight="1" x14ac:dyDescent="0.25">
      <c r="A136" s="4" t="s">
        <v>21</v>
      </c>
      <c r="B136" s="4" t="s">
        <v>33</v>
      </c>
      <c r="C136" s="4" t="s">
        <v>34</v>
      </c>
      <c r="D136" s="4" t="s">
        <v>45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44593</v>
      </c>
      <c r="J136" s="6">
        <v>0</v>
      </c>
      <c r="K136" s="53">
        <v>0</v>
      </c>
      <c r="L136" s="6">
        <v>0.49299999999999999</v>
      </c>
      <c r="M136" s="53">
        <v>0.49299999999999999</v>
      </c>
      <c r="N136" s="6">
        <v>0.49299999999999999</v>
      </c>
      <c r="O136" s="53">
        <v>0.49299999999999999</v>
      </c>
      <c r="P136" s="6">
        <v>0</v>
      </c>
      <c r="Q136" s="4" t="s">
        <v>26</v>
      </c>
      <c r="R136" s="4">
        <v>0</v>
      </c>
      <c r="S136" s="4">
        <v>0</v>
      </c>
      <c r="T136" s="4">
        <v>19</v>
      </c>
      <c r="U136" s="4">
        <v>65</v>
      </c>
      <c r="V136" s="53">
        <f>IF(ISERROR(VLOOKUP($S$136,'TAR FIN'!$A$1:$O$103,15,0)),0,VLOOKUP($S$136,'TAR FIN'!$A$1:$O$103,15,0))</f>
        <v>0</v>
      </c>
      <c r="W136" s="53">
        <f>IF(ISERROR(VLOOKUP($T$136,'TAR FIN'!$A$1:$O$103,15,0)),0,VLOOKUP($T$136,'TAR FIN'!$A$1:$O$103,15,0))*(1-0.04)</f>
        <v>808.61759999999992</v>
      </c>
      <c r="X136" s="53">
        <f>IF(ISERROR(VLOOKUP($U$136,'TAR FIN'!$A$1:$O$103,15,0)),0,VLOOKUP($U$136,'TAR FIN'!$A$1:$O$103,15,0))*(1-0.04)</f>
        <v>436.70399999999995</v>
      </c>
      <c r="Y136" s="53"/>
      <c r="Z136" s="53">
        <f ca="1">('TUSD BE'!$AM$21+'TUSD BF'!$AM$21+'TUSD CVA'!$AM$21)*1*(1-0.02)</f>
        <v>1123.452533864312</v>
      </c>
      <c r="AA136" s="53">
        <f>('TE BE'!$AB$8+'TE BF'!$AB$8+'TE CVA'!$AB$8)*1*(1-0.02)</f>
        <v>406.75340069530864</v>
      </c>
      <c r="AB136" s="53">
        <f>(SUBSIDIO!$J$136*SUBSIDIO!$V$136)*(0.04)/(1-0.04)</f>
        <v>0</v>
      </c>
      <c r="AC136" s="53">
        <f>((SUBSIDIO!$L$136*SUBSIDIO!$W$136)+(SUBSIDIO!$N$136*SUBSIDIO!$X$136))*(0.04)/(1-0.04)</f>
        <v>25.580981199999997</v>
      </c>
      <c r="AD136" s="53">
        <f>(SUBSIDIO!$J$136*SUBSIDIO!$Y$136)*(0.02)/(1-0.02)</f>
        <v>0</v>
      </c>
      <c r="AE136" s="53">
        <f ca="1">((SUBSIDIO!$L$136*SUBSIDIO!$Z$136)+(SUBSIDIO!$N$136*SUBSIDIO!$AA$136))*(0.02)/(1-0.02)</f>
        <v>15.395745423222309</v>
      </c>
      <c r="AF136" s="4" t="s">
        <v>779</v>
      </c>
    </row>
    <row r="137" spans="1:32" ht="11.25" customHeight="1" x14ac:dyDescent="0.25">
      <c r="A137" s="4" t="s">
        <v>21</v>
      </c>
      <c r="B137" s="4" t="s">
        <v>33</v>
      </c>
      <c r="C137" s="4" t="s">
        <v>34</v>
      </c>
      <c r="D137" s="4" t="s">
        <v>45</v>
      </c>
      <c r="E137" s="4" t="s">
        <v>25</v>
      </c>
      <c r="F137" s="4" t="s">
        <v>25</v>
      </c>
      <c r="G137" s="4" t="s">
        <v>25</v>
      </c>
      <c r="H137" s="4" t="s">
        <v>37</v>
      </c>
      <c r="I137" s="5">
        <v>44621</v>
      </c>
      <c r="J137" s="6">
        <v>0</v>
      </c>
      <c r="K137" s="53">
        <v>0</v>
      </c>
      <c r="L137" s="6">
        <v>0.34200000000000003</v>
      </c>
      <c r="M137" s="53">
        <v>0.34200000000000003</v>
      </c>
      <c r="N137" s="6">
        <v>0.34200000000000003</v>
      </c>
      <c r="O137" s="53">
        <v>0.34200000000000003</v>
      </c>
      <c r="P137" s="6">
        <v>0</v>
      </c>
      <c r="Q137" s="4" t="s">
        <v>26</v>
      </c>
      <c r="R137" s="4">
        <v>0</v>
      </c>
      <c r="S137" s="4">
        <v>0</v>
      </c>
      <c r="T137" s="4">
        <v>19</v>
      </c>
      <c r="U137" s="4">
        <v>65</v>
      </c>
      <c r="V137" s="53">
        <f>IF(ISERROR(VLOOKUP($S$137,'TAR FIN'!$A$1:$O$103,15,0)),0,VLOOKUP($S$137,'TAR FIN'!$A$1:$O$103,15,0))</f>
        <v>0</v>
      </c>
      <c r="W137" s="53">
        <f>IF(ISERROR(VLOOKUP($T$137,'TAR FIN'!$A$1:$O$103,15,0)),0,VLOOKUP($T$137,'TAR FIN'!$A$1:$O$103,15,0))*(1-0.04)</f>
        <v>808.61759999999992</v>
      </c>
      <c r="X137" s="53">
        <f>IF(ISERROR(VLOOKUP($U$137,'TAR FIN'!$A$1:$O$103,15,0)),0,VLOOKUP($U$137,'TAR FIN'!$A$1:$O$103,15,0))*(1-0.04)</f>
        <v>436.70399999999995</v>
      </c>
      <c r="Y137" s="53"/>
      <c r="Z137" s="53">
        <f ca="1">('TUSD BE'!$AM$21+'TUSD BF'!$AM$21+'TUSD CVA'!$AM$21)*1*(1-0.02)</f>
        <v>1123.452533864312</v>
      </c>
      <c r="AA137" s="53">
        <f>('TE BE'!$AB$8+'TE BF'!$AB$8+'TE CVA'!$AB$8)*1*(1-0.02)</f>
        <v>406.75340069530864</v>
      </c>
      <c r="AB137" s="53">
        <f>(SUBSIDIO!$J$137*SUBSIDIO!$V$137)*(0.04)/(1-0.04)</f>
        <v>0</v>
      </c>
      <c r="AC137" s="53">
        <f>((SUBSIDIO!$L$137*SUBSIDIO!$W$137)+(SUBSIDIO!$N$137*SUBSIDIO!$X$137))*(0.04)/(1-0.04)</f>
        <v>17.745832799999999</v>
      </c>
      <c r="AD137" s="53">
        <f>(SUBSIDIO!$J$137*SUBSIDIO!$Y$137)*(0.02)/(1-0.02)</f>
        <v>0</v>
      </c>
      <c r="AE137" s="53">
        <f ca="1">((SUBSIDIO!$L$137*SUBSIDIO!$Z$137)+(SUBSIDIO!$N$137*SUBSIDIO!$AA$137))*(0.02)/(1-0.02)</f>
        <v>10.680212849375314</v>
      </c>
      <c r="AF137" s="4" t="s">
        <v>779</v>
      </c>
    </row>
    <row r="138" spans="1:32" ht="11.25" customHeight="1" x14ac:dyDescent="0.25">
      <c r="A138" s="4" t="s">
        <v>21</v>
      </c>
      <c r="B138" s="4" t="s">
        <v>33</v>
      </c>
      <c r="C138" s="4" t="s">
        <v>34</v>
      </c>
      <c r="D138" s="4" t="s">
        <v>45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44652</v>
      </c>
      <c r="J138" s="6">
        <v>0</v>
      </c>
      <c r="K138" s="53">
        <v>0</v>
      </c>
      <c r="L138" s="6">
        <v>0.27100000000000002</v>
      </c>
      <c r="M138" s="53">
        <v>0.27100000000000002</v>
      </c>
      <c r="N138" s="6">
        <v>0.27100000000000002</v>
      </c>
      <c r="O138" s="53">
        <v>0.27100000000000002</v>
      </c>
      <c r="P138" s="6">
        <v>0</v>
      </c>
      <c r="Q138" s="4" t="s">
        <v>26</v>
      </c>
      <c r="R138" s="4">
        <v>0</v>
      </c>
      <c r="S138" s="4">
        <v>0</v>
      </c>
      <c r="T138" s="4">
        <v>19</v>
      </c>
      <c r="U138" s="4">
        <v>65</v>
      </c>
      <c r="V138" s="53">
        <f>IF(ISERROR(VLOOKUP($S$138,'TAR FIN'!$A$1:$O$103,15,0)),0,VLOOKUP($S$138,'TAR FIN'!$A$1:$O$103,15,0))</f>
        <v>0</v>
      </c>
      <c r="W138" s="53">
        <f>IF(ISERROR(VLOOKUP($T$138,'TAR FIN'!$A$1:$O$103,15,0)),0,VLOOKUP($T$138,'TAR FIN'!$A$1:$O$103,15,0))*(1-0.04)</f>
        <v>808.61759999999992</v>
      </c>
      <c r="X138" s="53">
        <f>IF(ISERROR(VLOOKUP($U$138,'TAR FIN'!$A$1:$O$103,15,0)),0,VLOOKUP($U$138,'TAR FIN'!$A$1:$O$103,15,0))*(1-0.04)</f>
        <v>436.70399999999995</v>
      </c>
      <c r="Y138" s="53"/>
      <c r="Z138" s="53">
        <f ca="1">('TUSD BE'!$AM$21+'TUSD BF'!$AM$21+'TUSD CVA'!$AM$21)*1*(1-0.02)</f>
        <v>1123.452533864312</v>
      </c>
      <c r="AA138" s="53">
        <f>('TE BE'!$AB$8+'TE BF'!$AB$8+'TE CVA'!$AB$8)*1*(1-0.02)</f>
        <v>406.75340069530864</v>
      </c>
      <c r="AB138" s="53">
        <f>(SUBSIDIO!$J$138*SUBSIDIO!$V$138)*(0.04)/(1-0.04)</f>
        <v>0</v>
      </c>
      <c r="AC138" s="53">
        <f>((SUBSIDIO!$L$138*SUBSIDIO!$W$138)+(SUBSIDIO!$N$138*SUBSIDIO!$X$138))*(0.04)/(1-0.04)</f>
        <v>14.061756400000002</v>
      </c>
      <c r="AD138" s="53">
        <f>(SUBSIDIO!$J$138*SUBSIDIO!$Y$138)*(0.02)/(1-0.02)</f>
        <v>0</v>
      </c>
      <c r="AE138" s="53">
        <f ca="1">((SUBSIDIO!$L$138*SUBSIDIO!$Z$138)+(SUBSIDIO!$N$138*SUBSIDIO!$AA$138))*(0.02)/(1-0.02)</f>
        <v>8.4629756788909631</v>
      </c>
      <c r="AF138" s="4" t="s">
        <v>779</v>
      </c>
    </row>
    <row r="139" spans="1:32" ht="11.25" customHeight="1" x14ac:dyDescent="0.25">
      <c r="A139" s="4" t="s">
        <v>21</v>
      </c>
      <c r="B139" s="4" t="s">
        <v>33</v>
      </c>
      <c r="C139" s="4" t="s">
        <v>34</v>
      </c>
      <c r="D139" s="4" t="s">
        <v>45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44682</v>
      </c>
      <c r="J139" s="6">
        <v>0</v>
      </c>
      <c r="K139" s="53">
        <v>0</v>
      </c>
      <c r="L139" s="6">
        <v>0.33300000000000002</v>
      </c>
      <c r="M139" s="53">
        <v>0.33300000000000002</v>
      </c>
      <c r="N139" s="6">
        <v>0.33300000000000002</v>
      </c>
      <c r="O139" s="53">
        <v>0.33300000000000002</v>
      </c>
      <c r="P139" s="6">
        <v>0</v>
      </c>
      <c r="Q139" s="4" t="s">
        <v>26</v>
      </c>
      <c r="R139" s="4">
        <v>0</v>
      </c>
      <c r="S139" s="4">
        <v>0</v>
      </c>
      <c r="T139" s="4">
        <v>19</v>
      </c>
      <c r="U139" s="4">
        <v>65</v>
      </c>
      <c r="V139" s="53">
        <f>IF(ISERROR(VLOOKUP($S$139,'TAR FIN'!$A$1:$O$103,15,0)),0,VLOOKUP($S$139,'TAR FIN'!$A$1:$O$103,15,0))</f>
        <v>0</v>
      </c>
      <c r="W139" s="53">
        <f>IF(ISERROR(VLOOKUP($T$139,'TAR FIN'!$A$1:$O$103,15,0)),0,VLOOKUP($T$139,'TAR FIN'!$A$1:$O$103,15,0))*(1-0.04)</f>
        <v>808.61759999999992</v>
      </c>
      <c r="X139" s="53">
        <f>IF(ISERROR(VLOOKUP($U$139,'TAR FIN'!$A$1:$O$103,15,0)),0,VLOOKUP($U$139,'TAR FIN'!$A$1:$O$103,15,0))*(1-0.04)</f>
        <v>436.70399999999995</v>
      </c>
      <c r="Y139" s="53"/>
      <c r="Z139" s="53">
        <f ca="1">('TUSD BE'!$AM$21+'TUSD BF'!$AM$21+'TUSD CVA'!$AM$21)*1*(1-0.02)</f>
        <v>1123.452533864312</v>
      </c>
      <c r="AA139" s="53">
        <f>('TE BE'!$AB$8+'TE BF'!$AB$8+'TE CVA'!$AB$8)*1*(1-0.02)</f>
        <v>406.75340069530864</v>
      </c>
      <c r="AB139" s="53">
        <f>(SUBSIDIO!$J$139*SUBSIDIO!$V$139)*(0.04)/(1-0.04)</f>
        <v>0</v>
      </c>
      <c r="AC139" s="53">
        <f>((SUBSIDIO!$L$139*SUBSIDIO!$W$139)+(SUBSIDIO!$N$139*SUBSIDIO!$X$139))*(0.04)/(1-0.04)</f>
        <v>17.278837199999998</v>
      </c>
      <c r="AD139" s="53">
        <f>(SUBSIDIO!$J$139*SUBSIDIO!$Y$139)*(0.02)/(1-0.02)</f>
        <v>0</v>
      </c>
      <c r="AE139" s="53">
        <f ca="1">((SUBSIDIO!$L$139*SUBSIDIO!$Z$139)+(SUBSIDIO!$N$139*SUBSIDIO!$AA$139))*(0.02)/(1-0.02)</f>
        <v>10.399154616497015</v>
      </c>
      <c r="AF139" s="4" t="s">
        <v>779</v>
      </c>
    </row>
    <row r="140" spans="1:32" ht="11.25" customHeight="1" x14ac:dyDescent="0.25">
      <c r="A140" s="4" t="s">
        <v>21</v>
      </c>
      <c r="B140" s="4" t="s">
        <v>33</v>
      </c>
      <c r="C140" s="4" t="s">
        <v>34</v>
      </c>
      <c r="D140" s="4" t="s">
        <v>50</v>
      </c>
      <c r="E140" s="4" t="s">
        <v>51</v>
      </c>
      <c r="F140" s="4" t="s">
        <v>25</v>
      </c>
      <c r="G140" s="4" t="s">
        <v>25</v>
      </c>
      <c r="H140" s="4" t="s">
        <v>35</v>
      </c>
      <c r="I140" s="5">
        <v>44348</v>
      </c>
      <c r="J140" s="6">
        <v>0</v>
      </c>
      <c r="K140" s="53">
        <v>0</v>
      </c>
      <c r="L140" s="6">
        <v>392.327</v>
      </c>
      <c r="M140" s="53">
        <v>392.327</v>
      </c>
      <c r="N140" s="6">
        <v>392.327</v>
      </c>
      <c r="O140" s="53">
        <v>392.327</v>
      </c>
      <c r="P140" s="6">
        <v>0</v>
      </c>
      <c r="Q140" s="4" t="s">
        <v>26</v>
      </c>
      <c r="R140" s="4">
        <v>0</v>
      </c>
      <c r="S140" s="4">
        <v>0</v>
      </c>
      <c r="T140" s="4">
        <v>20</v>
      </c>
      <c r="U140" s="4">
        <v>66</v>
      </c>
      <c r="V140" s="53">
        <f>IF(ISERROR(VLOOKUP($S$140,'TAR FIN'!$A$1:$O$103,15,0)),0,VLOOKUP($S$140,'TAR FIN'!$A$1:$O$103,15,0))</f>
        <v>0</v>
      </c>
      <c r="W140" s="53">
        <f>IF(ISERROR(VLOOKUP($T$140,'TAR FIN'!$A$1:$O$103,15,0)),0,VLOOKUP($T$140,'TAR FIN'!$A$1:$O$103,15,0))*(1-0.06)</f>
        <v>65.207800000000006</v>
      </c>
      <c r="X140" s="53">
        <f>IF(ISERROR(VLOOKUP($U$140,'TAR FIN'!$A$1:$O$103,15,0)),0,VLOOKUP($U$140,'TAR FIN'!$A$1:$O$103,15,0))*(1-0.06)</f>
        <v>267.29840000000002</v>
      </c>
      <c r="Y140" s="53"/>
      <c r="Z140" s="53">
        <f ca="1">('TUSD BE'!$AM$22+'TUSD BF'!$AM$22+'TUSD CVA'!$AM$22)*1*(1-0.03)</f>
        <v>107.89940569215416</v>
      </c>
      <c r="AA140" s="53">
        <f>('TE BE'!$AB$9+'TE BF'!$AB$9+'TE CVA'!$AB$9)*1*(1-0.03)</f>
        <v>251.26567196807298</v>
      </c>
      <c r="AB140" s="53">
        <f>(SUBSIDIO!$J$140*SUBSIDIO!$V$140)*(0.06)/(1-0.06)</f>
        <v>0</v>
      </c>
      <c r="AC140" s="53">
        <f>((SUBSIDIO!$L$140*SUBSIDIO!$W$140)+(SUBSIDIO!$N$140*SUBSIDIO!$X$140))*(0.06)/(1-0.06)</f>
        <v>8326.6697826</v>
      </c>
      <c r="AD140" s="53">
        <f>(SUBSIDIO!$J$140*SUBSIDIO!$Y$140)*(0.03)/(1-0.03)</f>
        <v>0</v>
      </c>
      <c r="AE140" s="53">
        <f ca="1">((SUBSIDIO!$L$140*SUBSIDIO!$Z$140)+(SUBSIDIO!$N$140*SUBSIDIO!$AA$140))*(0.03)/(1-0.03)</f>
        <v>4358.0461058722867</v>
      </c>
      <c r="AF140" s="4" t="s">
        <v>778</v>
      </c>
    </row>
    <row r="141" spans="1:32" ht="11.25" customHeight="1" x14ac:dyDescent="0.25">
      <c r="A141" s="4" t="s">
        <v>21</v>
      </c>
      <c r="B141" s="4" t="s">
        <v>33</v>
      </c>
      <c r="C141" s="4" t="s">
        <v>34</v>
      </c>
      <c r="D141" s="4" t="s">
        <v>50</v>
      </c>
      <c r="E141" s="4" t="s">
        <v>51</v>
      </c>
      <c r="F141" s="4" t="s">
        <v>25</v>
      </c>
      <c r="G141" s="4" t="s">
        <v>25</v>
      </c>
      <c r="H141" s="4" t="s">
        <v>35</v>
      </c>
      <c r="I141" s="5">
        <v>44378</v>
      </c>
      <c r="J141" s="6">
        <v>0</v>
      </c>
      <c r="K141" s="53">
        <v>0</v>
      </c>
      <c r="L141" s="6">
        <v>387.32</v>
      </c>
      <c r="M141" s="53">
        <v>387.32</v>
      </c>
      <c r="N141" s="6">
        <v>387.32</v>
      </c>
      <c r="O141" s="53">
        <v>387.32</v>
      </c>
      <c r="P141" s="6">
        <v>0</v>
      </c>
      <c r="Q141" s="4" t="s">
        <v>26</v>
      </c>
      <c r="R141" s="4">
        <v>0</v>
      </c>
      <c r="S141" s="4">
        <v>0</v>
      </c>
      <c r="T141" s="4">
        <v>20</v>
      </c>
      <c r="U141" s="4">
        <v>66</v>
      </c>
      <c r="V141" s="53">
        <f>IF(ISERROR(VLOOKUP($S$141,'TAR FIN'!$A$1:$O$103,15,0)),0,VLOOKUP($S$141,'TAR FIN'!$A$1:$O$103,15,0))</f>
        <v>0</v>
      </c>
      <c r="W141" s="53">
        <f>IF(ISERROR(VLOOKUP($T$141,'TAR FIN'!$A$1:$O$103,15,0)),0,VLOOKUP($T$141,'TAR FIN'!$A$1:$O$103,15,0))*(1-0.06)</f>
        <v>65.207800000000006</v>
      </c>
      <c r="X141" s="53">
        <f>IF(ISERROR(VLOOKUP($U$141,'TAR FIN'!$A$1:$O$103,15,0)),0,VLOOKUP($U$141,'TAR FIN'!$A$1:$O$103,15,0))*(1-0.06)</f>
        <v>267.29840000000002</v>
      </c>
      <c r="Y141" s="53"/>
      <c r="Z141" s="53">
        <f ca="1">('TUSD BE'!$AM$22+'TUSD BF'!$AM$22+'TUSD CVA'!$AM$22)*1*(1-0.03)</f>
        <v>107.89940569215416</v>
      </c>
      <c r="AA141" s="53">
        <f>('TE BE'!$AB$9+'TE BF'!$AB$9+'TE CVA'!$AB$9)*1*(1-0.03)</f>
        <v>251.26567196807298</v>
      </c>
      <c r="AB141" s="53">
        <f>(SUBSIDIO!$J$141*SUBSIDIO!$V$141)*(0.06)/(1-0.06)</f>
        <v>0</v>
      </c>
      <c r="AC141" s="53">
        <f>((SUBSIDIO!$L$141*SUBSIDIO!$W$141)+(SUBSIDIO!$N$141*SUBSIDIO!$X$141))*(0.06)/(1-0.06)</f>
        <v>8220.4022160000004</v>
      </c>
      <c r="AD141" s="53">
        <f>(SUBSIDIO!$J$141*SUBSIDIO!$Y$141)*(0.03)/(1-0.03)</f>
        <v>0</v>
      </c>
      <c r="AE141" s="53">
        <f ca="1">((SUBSIDIO!$L$141*SUBSIDIO!$Z$141)+(SUBSIDIO!$N$141*SUBSIDIO!$AA$141))*(0.03)/(1-0.03)</f>
        <v>4302.4273570935829</v>
      </c>
      <c r="AF141" s="4" t="s">
        <v>778</v>
      </c>
    </row>
    <row r="142" spans="1:32" ht="11.25" customHeight="1" x14ac:dyDescent="0.25">
      <c r="A142" s="4" t="s">
        <v>21</v>
      </c>
      <c r="B142" s="4" t="s">
        <v>33</v>
      </c>
      <c r="C142" s="4" t="s">
        <v>34</v>
      </c>
      <c r="D142" s="4" t="s">
        <v>50</v>
      </c>
      <c r="E142" s="4" t="s">
        <v>51</v>
      </c>
      <c r="F142" s="4" t="s">
        <v>25</v>
      </c>
      <c r="G142" s="4" t="s">
        <v>25</v>
      </c>
      <c r="H142" s="4" t="s">
        <v>35</v>
      </c>
      <c r="I142" s="5">
        <v>44409</v>
      </c>
      <c r="J142" s="6">
        <v>0</v>
      </c>
      <c r="K142" s="53">
        <v>0</v>
      </c>
      <c r="L142" s="6">
        <v>393.12599999999998</v>
      </c>
      <c r="M142" s="53">
        <v>393.12599999999998</v>
      </c>
      <c r="N142" s="6">
        <v>393.12599999999998</v>
      </c>
      <c r="O142" s="53">
        <v>393.12599999999998</v>
      </c>
      <c r="P142" s="6">
        <v>0</v>
      </c>
      <c r="Q142" s="4" t="s">
        <v>26</v>
      </c>
      <c r="R142" s="4">
        <v>0</v>
      </c>
      <c r="S142" s="4">
        <v>0</v>
      </c>
      <c r="T142" s="4">
        <v>20</v>
      </c>
      <c r="U142" s="4">
        <v>66</v>
      </c>
      <c r="V142" s="53">
        <f>IF(ISERROR(VLOOKUP($S$142,'TAR FIN'!$A$1:$O$103,15,0)),0,VLOOKUP($S$142,'TAR FIN'!$A$1:$O$103,15,0))</f>
        <v>0</v>
      </c>
      <c r="W142" s="53">
        <f>IF(ISERROR(VLOOKUP($T$142,'TAR FIN'!$A$1:$O$103,15,0)),0,VLOOKUP($T$142,'TAR FIN'!$A$1:$O$103,15,0))*(1-0.06)</f>
        <v>65.207800000000006</v>
      </c>
      <c r="X142" s="53">
        <f>IF(ISERROR(VLOOKUP($U$142,'TAR FIN'!$A$1:$O$103,15,0)),0,VLOOKUP($U$142,'TAR FIN'!$A$1:$O$103,15,0))*(1-0.06)</f>
        <v>267.29840000000002</v>
      </c>
      <c r="Y142" s="53"/>
      <c r="Z142" s="53">
        <f ca="1">('TUSD BE'!$AM$22+'TUSD BF'!$AM$22+'TUSD CVA'!$AM$22)*1*(1-0.03)</f>
        <v>107.89940569215416</v>
      </c>
      <c r="AA142" s="53">
        <f>('TE BE'!$AB$9+'TE BF'!$AB$9+'TE CVA'!$AB$9)*1*(1-0.03)</f>
        <v>251.26567196807298</v>
      </c>
      <c r="AB142" s="53">
        <f>(SUBSIDIO!$J$142*SUBSIDIO!$V$142)*(0.06)/(1-0.06)</f>
        <v>0</v>
      </c>
      <c r="AC142" s="53">
        <f>((SUBSIDIO!$L$142*SUBSIDIO!$W$142)+(SUBSIDIO!$N$142*SUBSIDIO!$X$142))*(0.06)/(1-0.06)</f>
        <v>8343.6275987999998</v>
      </c>
      <c r="AD142" s="53">
        <f>(SUBSIDIO!$J$142*SUBSIDIO!$Y$142)*(0.03)/(1-0.03)</f>
        <v>0</v>
      </c>
      <c r="AE142" s="53">
        <f ca="1">((SUBSIDIO!$L$142*SUBSIDIO!$Z$142)+(SUBSIDIO!$N$142*SUBSIDIO!$AA$142))*(0.03)/(1-0.03)</f>
        <v>4366.9215562965292</v>
      </c>
      <c r="AF142" s="4" t="s">
        <v>778</v>
      </c>
    </row>
    <row r="143" spans="1:32" ht="11.25" customHeight="1" x14ac:dyDescent="0.25">
      <c r="A143" s="4" t="s">
        <v>21</v>
      </c>
      <c r="B143" s="4" t="s">
        <v>33</v>
      </c>
      <c r="C143" s="4" t="s">
        <v>34</v>
      </c>
      <c r="D143" s="4" t="s">
        <v>50</v>
      </c>
      <c r="E143" s="4" t="s">
        <v>51</v>
      </c>
      <c r="F143" s="4" t="s">
        <v>25</v>
      </c>
      <c r="G143" s="4" t="s">
        <v>25</v>
      </c>
      <c r="H143" s="4" t="s">
        <v>35</v>
      </c>
      <c r="I143" s="5">
        <v>44440</v>
      </c>
      <c r="J143" s="6">
        <v>0</v>
      </c>
      <c r="K143" s="53">
        <v>0</v>
      </c>
      <c r="L143" s="6">
        <v>388.779</v>
      </c>
      <c r="M143" s="53">
        <v>388.779</v>
      </c>
      <c r="N143" s="6">
        <v>388.779</v>
      </c>
      <c r="O143" s="53">
        <v>388.779</v>
      </c>
      <c r="P143" s="6">
        <v>0</v>
      </c>
      <c r="Q143" s="4" t="s">
        <v>26</v>
      </c>
      <c r="R143" s="4">
        <v>0</v>
      </c>
      <c r="S143" s="4">
        <v>0</v>
      </c>
      <c r="T143" s="4">
        <v>20</v>
      </c>
      <c r="U143" s="4">
        <v>66</v>
      </c>
      <c r="V143" s="53">
        <f>IF(ISERROR(VLOOKUP($S$143,'TAR FIN'!$A$1:$O$103,15,0)),0,VLOOKUP($S$143,'TAR FIN'!$A$1:$O$103,15,0))</f>
        <v>0</v>
      </c>
      <c r="W143" s="53">
        <f>IF(ISERROR(VLOOKUP($T$143,'TAR FIN'!$A$1:$O$103,15,0)),0,VLOOKUP($T$143,'TAR FIN'!$A$1:$O$103,15,0))*(1-0.06)</f>
        <v>65.207800000000006</v>
      </c>
      <c r="X143" s="53">
        <f>IF(ISERROR(VLOOKUP($U$143,'TAR FIN'!$A$1:$O$103,15,0)),0,VLOOKUP($U$143,'TAR FIN'!$A$1:$O$103,15,0))*(1-0.06)</f>
        <v>267.29840000000002</v>
      </c>
      <c r="Y143" s="53"/>
      <c r="Z143" s="53">
        <f ca="1">('TUSD BE'!$AM$22+'TUSD BF'!$AM$22+'TUSD CVA'!$AM$22)*1*(1-0.03)</f>
        <v>107.89940569215416</v>
      </c>
      <c r="AA143" s="53">
        <f>('TE BE'!$AB$9+'TE BF'!$AB$9+'TE CVA'!$AB$9)*1*(1-0.03)</f>
        <v>251.26567196807298</v>
      </c>
      <c r="AB143" s="53">
        <f>(SUBSIDIO!$J$143*SUBSIDIO!$V$143)*(0.06)/(1-0.06)</f>
        <v>0</v>
      </c>
      <c r="AC143" s="53">
        <f>((SUBSIDIO!$L$143*SUBSIDIO!$W$143)+(SUBSIDIO!$N$143*SUBSIDIO!$X$143))*(0.06)/(1-0.06)</f>
        <v>8251.3677402000012</v>
      </c>
      <c r="AD143" s="53">
        <f>(SUBSIDIO!$J$143*SUBSIDIO!$Y$143)*(0.03)/(1-0.03)</f>
        <v>0</v>
      </c>
      <c r="AE143" s="53">
        <f ca="1">((SUBSIDIO!$L$143*SUBSIDIO!$Z$143)+(SUBSIDIO!$N$143*SUBSIDIO!$AA$143))*(0.03)/(1-0.03)</f>
        <v>4318.6342183814049</v>
      </c>
      <c r="AF143" s="4" t="s">
        <v>778</v>
      </c>
    </row>
    <row r="144" spans="1:32" ht="11.25" customHeight="1" x14ac:dyDescent="0.25">
      <c r="A144" s="4" t="s">
        <v>21</v>
      </c>
      <c r="B144" s="4" t="s">
        <v>33</v>
      </c>
      <c r="C144" s="4" t="s">
        <v>34</v>
      </c>
      <c r="D144" s="4" t="s">
        <v>50</v>
      </c>
      <c r="E144" s="4" t="s">
        <v>51</v>
      </c>
      <c r="F144" s="4" t="s">
        <v>25</v>
      </c>
      <c r="G144" s="4" t="s">
        <v>25</v>
      </c>
      <c r="H144" s="4" t="s">
        <v>35</v>
      </c>
      <c r="I144" s="5">
        <v>44470</v>
      </c>
      <c r="J144" s="6">
        <v>0</v>
      </c>
      <c r="K144" s="53">
        <v>0</v>
      </c>
      <c r="L144" s="6">
        <v>389.73399999999998</v>
      </c>
      <c r="M144" s="53">
        <v>389.73399999999998</v>
      </c>
      <c r="N144" s="6">
        <v>389.73399999999998</v>
      </c>
      <c r="O144" s="53">
        <v>389.73399999999998</v>
      </c>
      <c r="P144" s="6">
        <v>0</v>
      </c>
      <c r="Q144" s="4" t="s">
        <v>26</v>
      </c>
      <c r="R144" s="4">
        <v>0</v>
      </c>
      <c r="S144" s="4">
        <v>0</v>
      </c>
      <c r="T144" s="4">
        <v>20</v>
      </c>
      <c r="U144" s="4">
        <v>66</v>
      </c>
      <c r="V144" s="53">
        <f>IF(ISERROR(VLOOKUP($S$144,'TAR FIN'!$A$1:$O$103,15,0)),0,VLOOKUP($S$144,'TAR FIN'!$A$1:$O$103,15,0))</f>
        <v>0</v>
      </c>
      <c r="W144" s="53">
        <f>IF(ISERROR(VLOOKUP($T$144,'TAR FIN'!$A$1:$O$103,15,0)),0,VLOOKUP($T$144,'TAR FIN'!$A$1:$O$103,15,0))*(1-0.06)</f>
        <v>65.207800000000006</v>
      </c>
      <c r="X144" s="53">
        <f>IF(ISERROR(VLOOKUP($U$144,'TAR FIN'!$A$1:$O$103,15,0)),0,VLOOKUP($U$144,'TAR FIN'!$A$1:$O$103,15,0))*(1-0.06)</f>
        <v>267.29840000000002</v>
      </c>
      <c r="Y144" s="53"/>
      <c r="Z144" s="53">
        <f ca="1">('TUSD BE'!$AM$22+'TUSD BF'!$AM$22+'TUSD CVA'!$AM$22)*1*(1-0.03)</f>
        <v>107.89940569215416</v>
      </c>
      <c r="AA144" s="53">
        <f>('TE BE'!$AB$9+'TE BF'!$AB$9+'TE CVA'!$AB$9)*1*(1-0.03)</f>
        <v>251.26567196807298</v>
      </c>
      <c r="AB144" s="53">
        <f>(SUBSIDIO!$J$144*SUBSIDIO!$V$144)*(0.06)/(1-0.06)</f>
        <v>0</v>
      </c>
      <c r="AC144" s="53">
        <f>((SUBSIDIO!$L$144*SUBSIDIO!$W$144)+(SUBSIDIO!$N$144*SUBSIDIO!$X$144))*(0.06)/(1-0.06)</f>
        <v>8271.6364692000006</v>
      </c>
      <c r="AD144" s="53">
        <f>(SUBSIDIO!$J$144*SUBSIDIO!$Y$144)*(0.03)/(1-0.03)</f>
        <v>0</v>
      </c>
      <c r="AE144" s="53">
        <f ca="1">((SUBSIDIO!$L$144*SUBSIDIO!$Z$144)+(SUBSIDIO!$N$144*SUBSIDIO!$AA$144))*(0.03)/(1-0.03)</f>
        <v>4329.2425477370398</v>
      </c>
      <c r="AF144" s="4" t="s">
        <v>778</v>
      </c>
    </row>
    <row r="145" spans="1:32" ht="11.25" customHeight="1" x14ac:dyDescent="0.25">
      <c r="A145" s="4" t="s">
        <v>21</v>
      </c>
      <c r="B145" s="4" t="s">
        <v>33</v>
      </c>
      <c r="C145" s="4" t="s">
        <v>34</v>
      </c>
      <c r="D145" s="4" t="s">
        <v>50</v>
      </c>
      <c r="E145" s="4" t="s">
        <v>51</v>
      </c>
      <c r="F145" s="4" t="s">
        <v>25</v>
      </c>
      <c r="G145" s="4" t="s">
        <v>25</v>
      </c>
      <c r="H145" s="4" t="s">
        <v>35</v>
      </c>
      <c r="I145" s="5">
        <v>44501</v>
      </c>
      <c r="J145" s="6">
        <v>0</v>
      </c>
      <c r="K145" s="53">
        <v>0</v>
      </c>
      <c r="L145" s="6">
        <v>397.99599999999998</v>
      </c>
      <c r="M145" s="53">
        <v>397.99599999999998</v>
      </c>
      <c r="N145" s="6">
        <v>397.99599999999998</v>
      </c>
      <c r="O145" s="53">
        <v>397.99599999999998</v>
      </c>
      <c r="P145" s="6">
        <v>0</v>
      </c>
      <c r="Q145" s="4" t="s">
        <v>26</v>
      </c>
      <c r="R145" s="4">
        <v>0</v>
      </c>
      <c r="S145" s="4">
        <v>0</v>
      </c>
      <c r="T145" s="4">
        <v>20</v>
      </c>
      <c r="U145" s="4">
        <v>66</v>
      </c>
      <c r="V145" s="53">
        <f>IF(ISERROR(VLOOKUP($S$145,'TAR FIN'!$A$1:$O$103,15,0)),0,VLOOKUP($S$145,'TAR FIN'!$A$1:$O$103,15,0))</f>
        <v>0</v>
      </c>
      <c r="W145" s="53">
        <f>IF(ISERROR(VLOOKUP($T$145,'TAR FIN'!$A$1:$O$103,15,0)),0,VLOOKUP($T$145,'TAR FIN'!$A$1:$O$103,15,0))*(1-0.06)</f>
        <v>65.207800000000006</v>
      </c>
      <c r="X145" s="53">
        <f>IF(ISERROR(VLOOKUP($U$145,'TAR FIN'!$A$1:$O$103,15,0)),0,VLOOKUP($U$145,'TAR FIN'!$A$1:$O$103,15,0))*(1-0.06)</f>
        <v>267.29840000000002</v>
      </c>
      <c r="Y145" s="53"/>
      <c r="Z145" s="53">
        <f ca="1">('TUSD BE'!$AM$22+'TUSD BF'!$AM$22+'TUSD CVA'!$AM$22)*1*(1-0.03)</f>
        <v>107.89940569215416</v>
      </c>
      <c r="AA145" s="53">
        <f>('TE BE'!$AB$9+'TE BF'!$AB$9+'TE CVA'!$AB$9)*1*(1-0.03)</f>
        <v>251.26567196807298</v>
      </c>
      <c r="AB145" s="53">
        <f>(SUBSIDIO!$J$145*SUBSIDIO!$V$145)*(0.06)/(1-0.06)</f>
        <v>0</v>
      </c>
      <c r="AC145" s="53">
        <f>((SUBSIDIO!$L$145*SUBSIDIO!$W$145)+(SUBSIDIO!$N$145*SUBSIDIO!$X$145))*(0.06)/(1-0.06)</f>
        <v>8446.9875048000013</v>
      </c>
      <c r="AD145" s="53">
        <f>(SUBSIDIO!$J$145*SUBSIDIO!$Y$145)*(0.03)/(1-0.03)</f>
        <v>0</v>
      </c>
      <c r="AE145" s="53">
        <f ca="1">((SUBSIDIO!$L$145*SUBSIDIO!$Z$145)+(SUBSIDIO!$N$145*SUBSIDIO!$AA$145))*(0.03)/(1-0.03)</f>
        <v>4421.0184819111273</v>
      </c>
      <c r="AF145" s="4" t="s">
        <v>778</v>
      </c>
    </row>
    <row r="146" spans="1:32" ht="11.25" customHeight="1" x14ac:dyDescent="0.25">
      <c r="A146" s="4" t="s">
        <v>21</v>
      </c>
      <c r="B146" s="4" t="s">
        <v>33</v>
      </c>
      <c r="C146" s="4" t="s">
        <v>34</v>
      </c>
      <c r="D146" s="4" t="s">
        <v>50</v>
      </c>
      <c r="E146" s="4" t="s">
        <v>51</v>
      </c>
      <c r="F146" s="4" t="s">
        <v>25</v>
      </c>
      <c r="G146" s="4" t="s">
        <v>25</v>
      </c>
      <c r="H146" s="4" t="s">
        <v>35</v>
      </c>
      <c r="I146" s="5">
        <v>44531</v>
      </c>
      <c r="J146" s="6">
        <v>0</v>
      </c>
      <c r="K146" s="53">
        <v>0</v>
      </c>
      <c r="L146" s="6">
        <v>428.596</v>
      </c>
      <c r="M146" s="53">
        <v>428.596</v>
      </c>
      <c r="N146" s="6">
        <v>428.596</v>
      </c>
      <c r="O146" s="53">
        <v>428.596</v>
      </c>
      <c r="P146" s="6">
        <v>0</v>
      </c>
      <c r="Q146" s="4" t="s">
        <v>26</v>
      </c>
      <c r="R146" s="4">
        <v>0</v>
      </c>
      <c r="S146" s="4">
        <v>0</v>
      </c>
      <c r="T146" s="4">
        <v>20</v>
      </c>
      <c r="U146" s="4">
        <v>66</v>
      </c>
      <c r="V146" s="53">
        <f>IF(ISERROR(VLOOKUP($S$146,'TAR FIN'!$A$1:$O$103,15,0)),0,VLOOKUP($S$146,'TAR FIN'!$A$1:$O$103,15,0))</f>
        <v>0</v>
      </c>
      <c r="W146" s="53">
        <f>IF(ISERROR(VLOOKUP($T$146,'TAR FIN'!$A$1:$O$103,15,0)),0,VLOOKUP($T$146,'TAR FIN'!$A$1:$O$103,15,0))*(1-0.06)</f>
        <v>65.207800000000006</v>
      </c>
      <c r="X146" s="53">
        <f>IF(ISERROR(VLOOKUP($U$146,'TAR FIN'!$A$1:$O$103,15,0)),0,VLOOKUP($U$146,'TAR FIN'!$A$1:$O$103,15,0))*(1-0.06)</f>
        <v>267.29840000000002</v>
      </c>
      <c r="Y146" s="53"/>
      <c r="Z146" s="53">
        <f ca="1">('TUSD BE'!$AM$22+'TUSD BF'!$AM$22+'TUSD CVA'!$AM$22)*1*(1-0.03)</f>
        <v>107.89940569215416</v>
      </c>
      <c r="AA146" s="53">
        <f>('TE BE'!$AB$9+'TE BF'!$AB$9+'TE CVA'!$AB$9)*1*(1-0.03)</f>
        <v>251.26567196807298</v>
      </c>
      <c r="AB146" s="53">
        <f>(SUBSIDIO!$J$146*SUBSIDIO!$V$146)*(0.06)/(1-0.06)</f>
        <v>0</v>
      </c>
      <c r="AC146" s="53">
        <f>((SUBSIDIO!$L$146*SUBSIDIO!$W$146)+(SUBSIDIO!$N$146*SUBSIDIO!$X$146))*(0.06)/(1-0.06)</f>
        <v>9096.4357848000018</v>
      </c>
      <c r="AD146" s="53">
        <f>(SUBSIDIO!$J$146*SUBSIDIO!$Y$146)*(0.03)/(1-0.03)</f>
        <v>0</v>
      </c>
      <c r="AE146" s="53">
        <f ca="1">((SUBSIDIO!$L$146*SUBSIDIO!$Z$146)+(SUBSIDIO!$N$146*SUBSIDIO!$AA$146))*(0.03)/(1-0.03)</f>
        <v>4760.9293492225579</v>
      </c>
      <c r="AF146" s="4" t="s">
        <v>778</v>
      </c>
    </row>
    <row r="147" spans="1:32" ht="11.25" customHeight="1" x14ac:dyDescent="0.25">
      <c r="A147" s="4" t="s">
        <v>21</v>
      </c>
      <c r="B147" s="4" t="s">
        <v>33</v>
      </c>
      <c r="C147" s="4" t="s">
        <v>34</v>
      </c>
      <c r="D147" s="4" t="s">
        <v>50</v>
      </c>
      <c r="E147" s="4" t="s">
        <v>51</v>
      </c>
      <c r="F147" s="4" t="s">
        <v>25</v>
      </c>
      <c r="G147" s="4" t="s">
        <v>25</v>
      </c>
      <c r="H147" s="4" t="s">
        <v>35</v>
      </c>
      <c r="I147" s="5">
        <v>44562</v>
      </c>
      <c r="J147" s="6">
        <v>0</v>
      </c>
      <c r="K147" s="53">
        <v>0</v>
      </c>
      <c r="L147" s="6">
        <v>447.78</v>
      </c>
      <c r="M147" s="53">
        <v>447.78</v>
      </c>
      <c r="N147" s="6">
        <v>447.78</v>
      </c>
      <c r="O147" s="53">
        <v>447.78</v>
      </c>
      <c r="P147" s="6">
        <v>0</v>
      </c>
      <c r="Q147" s="4" t="s">
        <v>26</v>
      </c>
      <c r="R147" s="4">
        <v>0</v>
      </c>
      <c r="S147" s="4">
        <v>0</v>
      </c>
      <c r="T147" s="4">
        <v>20</v>
      </c>
      <c r="U147" s="4">
        <v>66</v>
      </c>
      <c r="V147" s="53">
        <f>IF(ISERROR(VLOOKUP($S$147,'TAR FIN'!$A$1:$O$103,15,0)),0,VLOOKUP($S$147,'TAR FIN'!$A$1:$O$103,15,0))</f>
        <v>0</v>
      </c>
      <c r="W147" s="53">
        <f>IF(ISERROR(VLOOKUP($T$147,'TAR FIN'!$A$1:$O$103,15,0)),0,VLOOKUP($T$147,'TAR FIN'!$A$1:$O$103,15,0))*(1-0.06)</f>
        <v>65.207800000000006</v>
      </c>
      <c r="X147" s="53">
        <f>IF(ISERROR(VLOOKUP($U$147,'TAR FIN'!$A$1:$O$103,15,0)),0,VLOOKUP($U$147,'TAR FIN'!$A$1:$O$103,15,0))*(1-0.06)</f>
        <v>267.29840000000002</v>
      </c>
      <c r="Y147" s="53"/>
      <c r="Z147" s="53">
        <f ca="1">('TUSD BE'!$AM$22+'TUSD BF'!$AM$22+'TUSD CVA'!$AM$22)*1*(1-0.03)</f>
        <v>107.89940569215416</v>
      </c>
      <c r="AA147" s="53">
        <f>('TE BE'!$AB$9+'TE BF'!$AB$9+'TE CVA'!$AB$9)*1*(1-0.03)</f>
        <v>251.26567196807298</v>
      </c>
      <c r="AB147" s="53">
        <f>(SUBSIDIO!$J$147*SUBSIDIO!$V$147)*(0.06)/(1-0.06)</f>
        <v>0</v>
      </c>
      <c r="AC147" s="53">
        <f>((SUBSIDIO!$L$147*SUBSIDIO!$W$147)+(SUBSIDIO!$N$147*SUBSIDIO!$X$147))*(0.06)/(1-0.06)</f>
        <v>9503.5931639999999</v>
      </c>
      <c r="AD147" s="53">
        <f>(SUBSIDIO!$J$147*SUBSIDIO!$Y$147)*(0.03)/(1-0.03)</f>
        <v>0</v>
      </c>
      <c r="AE147" s="53">
        <f ca="1">((SUBSIDIO!$L$147*SUBSIDIO!$Z$147)+(SUBSIDIO!$N$147*SUBSIDIO!$AA$147))*(0.03)/(1-0.03)</f>
        <v>4974.0290249906138</v>
      </c>
      <c r="AF147" s="4" t="s">
        <v>778</v>
      </c>
    </row>
    <row r="148" spans="1:32" ht="11.25" customHeight="1" x14ac:dyDescent="0.25">
      <c r="A148" s="4" t="s">
        <v>21</v>
      </c>
      <c r="B148" s="4" t="s">
        <v>33</v>
      </c>
      <c r="C148" s="4" t="s">
        <v>34</v>
      </c>
      <c r="D148" s="4" t="s">
        <v>50</v>
      </c>
      <c r="E148" s="4" t="s">
        <v>51</v>
      </c>
      <c r="F148" s="4" t="s">
        <v>25</v>
      </c>
      <c r="G148" s="4" t="s">
        <v>25</v>
      </c>
      <c r="H148" s="4" t="s">
        <v>35</v>
      </c>
      <c r="I148" s="5">
        <v>44593</v>
      </c>
      <c r="J148" s="6">
        <v>0</v>
      </c>
      <c r="K148" s="53">
        <v>0</v>
      </c>
      <c r="L148" s="6">
        <v>417.27699999999999</v>
      </c>
      <c r="M148" s="53">
        <v>417.27699999999999</v>
      </c>
      <c r="N148" s="6">
        <v>417.27699999999999</v>
      </c>
      <c r="O148" s="53">
        <v>417.27699999999999</v>
      </c>
      <c r="P148" s="6">
        <v>0</v>
      </c>
      <c r="Q148" s="4" t="s">
        <v>26</v>
      </c>
      <c r="R148" s="4">
        <v>0</v>
      </c>
      <c r="S148" s="4">
        <v>0</v>
      </c>
      <c r="T148" s="4">
        <v>20</v>
      </c>
      <c r="U148" s="4">
        <v>66</v>
      </c>
      <c r="V148" s="53">
        <f>IF(ISERROR(VLOOKUP($S$148,'TAR FIN'!$A$1:$O$103,15,0)),0,VLOOKUP($S$148,'TAR FIN'!$A$1:$O$103,15,0))</f>
        <v>0</v>
      </c>
      <c r="W148" s="53">
        <f>IF(ISERROR(VLOOKUP($T$148,'TAR FIN'!$A$1:$O$103,15,0)),0,VLOOKUP($T$148,'TAR FIN'!$A$1:$O$103,15,0))*(1-0.06)</f>
        <v>65.207800000000006</v>
      </c>
      <c r="X148" s="53">
        <f>IF(ISERROR(VLOOKUP($U$148,'TAR FIN'!$A$1:$O$103,15,0)),0,VLOOKUP($U$148,'TAR FIN'!$A$1:$O$103,15,0))*(1-0.06)</f>
        <v>267.29840000000002</v>
      </c>
      <c r="Y148" s="53"/>
      <c r="Z148" s="53">
        <f ca="1">('TUSD BE'!$AM$22+'TUSD BF'!$AM$22+'TUSD CVA'!$AM$22)*1*(1-0.03)</f>
        <v>107.89940569215416</v>
      </c>
      <c r="AA148" s="53">
        <f>('TE BE'!$AB$9+'TE BF'!$AB$9+'TE CVA'!$AB$9)*1*(1-0.03)</f>
        <v>251.26567196807298</v>
      </c>
      <c r="AB148" s="53">
        <f>(SUBSIDIO!$J$148*SUBSIDIO!$V$148)*(0.06)/(1-0.06)</f>
        <v>0</v>
      </c>
      <c r="AC148" s="53">
        <f>((SUBSIDIO!$L$148*SUBSIDIO!$W$148)+(SUBSIDIO!$N$148*SUBSIDIO!$X$148))*(0.06)/(1-0.06)</f>
        <v>8856.2035926000008</v>
      </c>
      <c r="AD148" s="53">
        <f>(SUBSIDIO!$J$148*SUBSIDIO!$Y$148)*(0.03)/(1-0.03)</f>
        <v>0</v>
      </c>
      <c r="AE148" s="53">
        <f ca="1">((SUBSIDIO!$L$148*SUBSIDIO!$Z$148)+(SUBSIDIO!$N$148*SUBSIDIO!$AA$148))*(0.03)/(1-0.03)</f>
        <v>4635.1956529121626</v>
      </c>
      <c r="AF148" s="4" t="s">
        <v>778</v>
      </c>
    </row>
    <row r="149" spans="1:32" ht="11.25" customHeight="1" x14ac:dyDescent="0.25">
      <c r="A149" s="4" t="s">
        <v>21</v>
      </c>
      <c r="B149" s="4" t="s">
        <v>33</v>
      </c>
      <c r="C149" s="4" t="s">
        <v>34</v>
      </c>
      <c r="D149" s="4" t="s">
        <v>50</v>
      </c>
      <c r="E149" s="4" t="s">
        <v>51</v>
      </c>
      <c r="F149" s="4" t="s">
        <v>25</v>
      </c>
      <c r="G149" s="4" t="s">
        <v>25</v>
      </c>
      <c r="H149" s="4" t="s">
        <v>35</v>
      </c>
      <c r="I149" s="5">
        <v>44621</v>
      </c>
      <c r="J149" s="6">
        <v>0</v>
      </c>
      <c r="K149" s="53">
        <v>0</v>
      </c>
      <c r="L149" s="6">
        <v>385.72699999999998</v>
      </c>
      <c r="M149" s="53">
        <v>385.72699999999998</v>
      </c>
      <c r="N149" s="6">
        <v>385.72699999999998</v>
      </c>
      <c r="O149" s="53">
        <v>385.72699999999998</v>
      </c>
      <c r="P149" s="6">
        <v>0</v>
      </c>
      <c r="Q149" s="4" t="s">
        <v>26</v>
      </c>
      <c r="R149" s="4">
        <v>0</v>
      </c>
      <c r="S149" s="4">
        <v>0</v>
      </c>
      <c r="T149" s="4">
        <v>20</v>
      </c>
      <c r="U149" s="4">
        <v>66</v>
      </c>
      <c r="V149" s="53">
        <f>IF(ISERROR(VLOOKUP($S$149,'TAR FIN'!$A$1:$O$103,15,0)),0,VLOOKUP($S$149,'TAR FIN'!$A$1:$O$103,15,0))</f>
        <v>0</v>
      </c>
      <c r="W149" s="53">
        <f>IF(ISERROR(VLOOKUP($T$149,'TAR FIN'!$A$1:$O$103,15,0)),0,VLOOKUP($T$149,'TAR FIN'!$A$1:$O$103,15,0))*(1-0.06)</f>
        <v>65.207800000000006</v>
      </c>
      <c r="X149" s="53">
        <f>IF(ISERROR(VLOOKUP($U$149,'TAR FIN'!$A$1:$O$103,15,0)),0,VLOOKUP($U$149,'TAR FIN'!$A$1:$O$103,15,0))*(1-0.06)</f>
        <v>267.29840000000002</v>
      </c>
      <c r="Y149" s="53"/>
      <c r="Z149" s="53">
        <f ca="1">('TUSD BE'!$AM$22+'TUSD BF'!$AM$22+'TUSD CVA'!$AM$22)*1*(1-0.03)</f>
        <v>107.89940569215416</v>
      </c>
      <c r="AA149" s="53">
        <f>('TE BE'!$AB$9+'TE BF'!$AB$9+'TE CVA'!$AB$9)*1*(1-0.03)</f>
        <v>251.26567196807298</v>
      </c>
      <c r="AB149" s="53">
        <f>(SUBSIDIO!$J$149*SUBSIDIO!$V$149)*(0.06)/(1-0.06)</f>
        <v>0</v>
      </c>
      <c r="AC149" s="53">
        <f>((SUBSIDIO!$L$149*SUBSIDIO!$W$149)+(SUBSIDIO!$N$149*SUBSIDIO!$X$149))*(0.06)/(1-0.06)</f>
        <v>8186.5927025999999</v>
      </c>
      <c r="AD149" s="53">
        <f>(SUBSIDIO!$J$149*SUBSIDIO!$Y$149)*(0.03)/(1-0.03)</f>
        <v>0</v>
      </c>
      <c r="AE149" s="53">
        <f ca="1">((SUBSIDIO!$L$149*SUBSIDIO!$Z$149)+(SUBSIDIO!$N$149*SUBSIDIO!$AA$149))*(0.03)/(1-0.03)</f>
        <v>4284.7319972364867</v>
      </c>
      <c r="AF149" s="4" t="s">
        <v>778</v>
      </c>
    </row>
    <row r="150" spans="1:32" ht="11.25" customHeight="1" x14ac:dyDescent="0.25">
      <c r="A150" s="4" t="s">
        <v>21</v>
      </c>
      <c r="B150" s="4" t="s">
        <v>33</v>
      </c>
      <c r="C150" s="4" t="s">
        <v>34</v>
      </c>
      <c r="D150" s="4" t="s">
        <v>50</v>
      </c>
      <c r="E150" s="4" t="s">
        <v>51</v>
      </c>
      <c r="F150" s="4" t="s">
        <v>25</v>
      </c>
      <c r="G150" s="4" t="s">
        <v>25</v>
      </c>
      <c r="H150" s="4" t="s">
        <v>35</v>
      </c>
      <c r="I150" s="5">
        <v>44652</v>
      </c>
      <c r="J150" s="6">
        <v>0</v>
      </c>
      <c r="K150" s="53">
        <v>0</v>
      </c>
      <c r="L150" s="6">
        <v>450.798</v>
      </c>
      <c r="M150" s="53">
        <v>450.798</v>
      </c>
      <c r="N150" s="6">
        <v>450.798</v>
      </c>
      <c r="O150" s="53">
        <v>450.798</v>
      </c>
      <c r="P150" s="6">
        <v>0</v>
      </c>
      <c r="Q150" s="4" t="s">
        <v>26</v>
      </c>
      <c r="R150" s="4">
        <v>0</v>
      </c>
      <c r="S150" s="4">
        <v>0</v>
      </c>
      <c r="T150" s="4">
        <v>20</v>
      </c>
      <c r="U150" s="4">
        <v>66</v>
      </c>
      <c r="V150" s="53">
        <f>IF(ISERROR(VLOOKUP($S$150,'TAR FIN'!$A$1:$O$103,15,0)),0,VLOOKUP($S$150,'TAR FIN'!$A$1:$O$103,15,0))</f>
        <v>0</v>
      </c>
      <c r="W150" s="53">
        <f>IF(ISERROR(VLOOKUP($T$150,'TAR FIN'!$A$1:$O$103,15,0)),0,VLOOKUP($T$150,'TAR FIN'!$A$1:$O$103,15,0))*(1-0.06)</f>
        <v>65.207800000000006</v>
      </c>
      <c r="X150" s="53">
        <f>IF(ISERROR(VLOOKUP($U$150,'TAR FIN'!$A$1:$O$103,15,0)),0,VLOOKUP($U$150,'TAR FIN'!$A$1:$O$103,15,0))*(1-0.06)</f>
        <v>267.29840000000002</v>
      </c>
      <c r="Y150" s="53"/>
      <c r="Z150" s="53">
        <f ca="1">('TUSD BE'!$AM$22+'TUSD BF'!$AM$22+'TUSD CVA'!$AM$22)*1*(1-0.03)</f>
        <v>107.89940569215416</v>
      </c>
      <c r="AA150" s="53">
        <f>('TE BE'!$AB$9+'TE BF'!$AB$9+'TE CVA'!$AB$9)*1*(1-0.03)</f>
        <v>251.26567196807298</v>
      </c>
      <c r="AB150" s="53">
        <f>(SUBSIDIO!$J$150*SUBSIDIO!$V$150)*(0.06)/(1-0.06)</f>
        <v>0</v>
      </c>
      <c r="AC150" s="53">
        <f>((SUBSIDIO!$L$150*SUBSIDIO!$W$150)+(SUBSIDIO!$N$150*SUBSIDIO!$X$150))*(0.06)/(1-0.06)</f>
        <v>9567.6465924000004</v>
      </c>
      <c r="AD150" s="53">
        <f>(SUBSIDIO!$J$150*SUBSIDIO!$Y$150)*(0.03)/(1-0.03)</f>
        <v>0</v>
      </c>
      <c r="AE150" s="53">
        <f ca="1">((SUBSIDIO!$L$150*SUBSIDIO!$Z$150)+(SUBSIDIO!$N$150*SUBSIDIO!$AA$150))*(0.03)/(1-0.03)</f>
        <v>5007.553567394074</v>
      </c>
      <c r="AF150" s="4" t="s">
        <v>778</v>
      </c>
    </row>
    <row r="151" spans="1:32" ht="11.25" customHeight="1" x14ac:dyDescent="0.25">
      <c r="A151" s="4" t="s">
        <v>21</v>
      </c>
      <c r="B151" s="4" t="s">
        <v>33</v>
      </c>
      <c r="C151" s="4" t="s">
        <v>34</v>
      </c>
      <c r="D151" s="4" t="s">
        <v>50</v>
      </c>
      <c r="E151" s="4" t="s">
        <v>51</v>
      </c>
      <c r="F151" s="4" t="s">
        <v>25</v>
      </c>
      <c r="G151" s="4" t="s">
        <v>25</v>
      </c>
      <c r="H151" s="4" t="s">
        <v>35</v>
      </c>
      <c r="I151" s="5">
        <v>44682</v>
      </c>
      <c r="J151" s="6">
        <v>0</v>
      </c>
      <c r="K151" s="53">
        <v>0</v>
      </c>
      <c r="L151" s="6">
        <v>444.18599999999998</v>
      </c>
      <c r="M151" s="53">
        <v>444.18599999999998</v>
      </c>
      <c r="N151" s="6">
        <v>444.18599999999998</v>
      </c>
      <c r="O151" s="53">
        <v>444.18599999999998</v>
      </c>
      <c r="P151" s="6">
        <v>0</v>
      </c>
      <c r="Q151" s="4" t="s">
        <v>26</v>
      </c>
      <c r="R151" s="4">
        <v>0</v>
      </c>
      <c r="S151" s="4">
        <v>0</v>
      </c>
      <c r="T151" s="4">
        <v>20</v>
      </c>
      <c r="U151" s="4">
        <v>66</v>
      </c>
      <c r="V151" s="53">
        <f>IF(ISERROR(VLOOKUP($S$151,'TAR FIN'!$A$1:$O$103,15,0)),0,VLOOKUP($S$151,'TAR FIN'!$A$1:$O$103,15,0))</f>
        <v>0</v>
      </c>
      <c r="W151" s="53">
        <f>IF(ISERROR(VLOOKUP($T$151,'TAR FIN'!$A$1:$O$103,15,0)),0,VLOOKUP($T$151,'TAR FIN'!$A$1:$O$103,15,0))*(1-0.06)</f>
        <v>65.207800000000006</v>
      </c>
      <c r="X151" s="53">
        <f>IF(ISERROR(VLOOKUP($U$151,'TAR FIN'!$A$1:$O$103,15,0)),0,VLOOKUP($U$151,'TAR FIN'!$A$1:$O$103,15,0))*(1-0.06)</f>
        <v>267.29840000000002</v>
      </c>
      <c r="Y151" s="53"/>
      <c r="Z151" s="53">
        <f ca="1">('TUSD BE'!$AM$22+'TUSD BF'!$AM$22+'TUSD CVA'!$AM$22)*1*(1-0.03)</f>
        <v>107.89940569215416</v>
      </c>
      <c r="AA151" s="53">
        <f>('TE BE'!$AB$9+'TE BF'!$AB$9+'TE CVA'!$AB$9)*1*(1-0.03)</f>
        <v>251.26567196807298</v>
      </c>
      <c r="AB151" s="53">
        <f>(SUBSIDIO!$J$151*SUBSIDIO!$V$151)*(0.06)/(1-0.06)</f>
        <v>0</v>
      </c>
      <c r="AC151" s="53">
        <f>((SUBSIDIO!$L$151*SUBSIDIO!$W$151)+(SUBSIDIO!$N$151*SUBSIDIO!$X$151))*(0.06)/(1-0.06)</f>
        <v>9427.3148268000004</v>
      </c>
      <c r="AD151" s="53">
        <f>(SUBSIDIO!$J$151*SUBSIDIO!$Y$151)*(0.03)/(1-0.03)</f>
        <v>0</v>
      </c>
      <c r="AE151" s="53">
        <f ca="1">((SUBSIDIO!$L$151*SUBSIDIO!$Z$151)+(SUBSIDIO!$N$151*SUBSIDIO!$AA$151))*(0.03)/(1-0.03)</f>
        <v>4934.1061603789376</v>
      </c>
      <c r="AF151" s="4" t="s">
        <v>778</v>
      </c>
    </row>
    <row r="152" spans="1:32" ht="11.25" customHeight="1" x14ac:dyDescent="0.25">
      <c r="A152" s="4" t="s">
        <v>21</v>
      </c>
      <c r="B152" s="4" t="s">
        <v>33</v>
      </c>
      <c r="C152" s="4" t="s">
        <v>34</v>
      </c>
      <c r="D152" s="4" t="s">
        <v>50</v>
      </c>
      <c r="E152" s="4" t="s">
        <v>51</v>
      </c>
      <c r="F152" s="4" t="s">
        <v>25</v>
      </c>
      <c r="G152" s="4" t="s">
        <v>25</v>
      </c>
      <c r="H152" s="4" t="s">
        <v>25</v>
      </c>
      <c r="I152" s="5">
        <v>44348</v>
      </c>
      <c r="J152" s="6">
        <v>1428</v>
      </c>
      <c r="K152" s="52">
        <v>1428</v>
      </c>
      <c r="L152" s="6">
        <v>0</v>
      </c>
      <c r="M152" s="53">
        <v>0</v>
      </c>
      <c r="N152" s="6">
        <v>0</v>
      </c>
      <c r="O152" s="53">
        <v>0</v>
      </c>
      <c r="P152" s="6">
        <v>11</v>
      </c>
      <c r="Q152" s="4" t="s">
        <v>26</v>
      </c>
      <c r="R152" s="4">
        <v>0</v>
      </c>
      <c r="S152" s="4">
        <v>18</v>
      </c>
      <c r="T152" s="4">
        <v>0</v>
      </c>
      <c r="U152" s="4">
        <v>0</v>
      </c>
      <c r="V152" s="53">
        <f>IF(ISERROR(VLOOKUP($S$152,'TAR FIN'!$A$1:$O$103,15,0)),0,VLOOKUP($S$152,'TAR FIN'!$A$1:$O$103,15,0))*(1-0.06)</f>
        <v>11.674799999999999</v>
      </c>
      <c r="W152" s="53">
        <f>IF(ISERROR(VLOOKUP($T$152,'TAR FIN'!$A$1:$O$103,15,0)),0,VLOOKUP($T$152,'TAR FIN'!$A$1:$O$103,15,0))</f>
        <v>0</v>
      </c>
      <c r="X152" s="53">
        <f>IF(ISERROR(VLOOKUP($U$152,'TAR FIN'!$A$1:$O$103,15,0)),0,VLOOKUP($U$152,'TAR FIN'!$A$1:$O$103,15,0))</f>
        <v>0</v>
      </c>
      <c r="Y152" s="53">
        <f ca="1">('TUSD BE'!$AM$20+'TUSD BF'!$AM$20+'TUSD CVA'!$AM$20)*1*(1-0.03)</f>
        <v>16.022755556621018</v>
      </c>
      <c r="Z152" s="53"/>
      <c r="AA152" s="53"/>
      <c r="AB152" s="53">
        <f>(SUBSIDIO!$J$152*SUBSIDIO!$V$152)*(0.06)/(1-0.06)</f>
        <v>1064.1456000000001</v>
      </c>
      <c r="AC152" s="53">
        <f>((SUBSIDIO!$L$152*SUBSIDIO!$W$152)+(SUBSIDIO!$N$152*SUBSIDIO!$X$152))*(0.06)/(1-0.06)</f>
        <v>0</v>
      </c>
      <c r="AD152" s="53">
        <f ca="1">(SUBSIDIO!$J$152*SUBSIDIO!$Y$152)*(0.03)/(1-0.03)</f>
        <v>707.64417324293231</v>
      </c>
      <c r="AE152" s="53">
        <f>((SUBSIDIO!$L$152*SUBSIDIO!$Z$152)+(SUBSIDIO!$N$152*SUBSIDIO!$AA$152))*(0.03)/(1-0.03)</f>
        <v>0</v>
      </c>
      <c r="AF152" s="4" t="s">
        <v>778</v>
      </c>
    </row>
    <row r="153" spans="1:32" ht="11.25" customHeight="1" x14ac:dyDescent="0.25">
      <c r="A153" s="4" t="s">
        <v>21</v>
      </c>
      <c r="B153" s="4" t="s">
        <v>33</v>
      </c>
      <c r="C153" s="4" t="s">
        <v>34</v>
      </c>
      <c r="D153" s="4" t="s">
        <v>50</v>
      </c>
      <c r="E153" s="4" t="s">
        <v>51</v>
      </c>
      <c r="F153" s="4" t="s">
        <v>25</v>
      </c>
      <c r="G153" s="4" t="s">
        <v>25</v>
      </c>
      <c r="H153" s="4" t="s">
        <v>25</v>
      </c>
      <c r="I153" s="5">
        <v>44378</v>
      </c>
      <c r="J153" s="6">
        <v>1416</v>
      </c>
      <c r="K153" s="52">
        <v>1416</v>
      </c>
      <c r="L153" s="6">
        <v>0</v>
      </c>
      <c r="M153" s="53">
        <v>0</v>
      </c>
      <c r="N153" s="6">
        <v>0</v>
      </c>
      <c r="O153" s="53">
        <v>0</v>
      </c>
      <c r="P153" s="6">
        <v>11</v>
      </c>
      <c r="Q153" s="4" t="s">
        <v>26</v>
      </c>
      <c r="R153" s="4">
        <v>0</v>
      </c>
      <c r="S153" s="4">
        <v>18</v>
      </c>
      <c r="T153" s="4">
        <v>0</v>
      </c>
      <c r="U153" s="4">
        <v>0</v>
      </c>
      <c r="V153" s="53">
        <f>IF(ISERROR(VLOOKUP($S$153,'TAR FIN'!$A$1:$O$103,15,0)),0,VLOOKUP($S$153,'TAR FIN'!$A$1:$O$103,15,0))*(1-0.06)</f>
        <v>11.674799999999999</v>
      </c>
      <c r="W153" s="53">
        <f>IF(ISERROR(VLOOKUP($T$153,'TAR FIN'!$A$1:$O$103,15,0)),0,VLOOKUP($T$153,'TAR FIN'!$A$1:$O$103,15,0))</f>
        <v>0</v>
      </c>
      <c r="X153" s="53">
        <f>IF(ISERROR(VLOOKUP($U$153,'TAR FIN'!$A$1:$O$103,15,0)),0,VLOOKUP($U$153,'TAR FIN'!$A$1:$O$103,15,0))</f>
        <v>0</v>
      </c>
      <c r="Y153" s="53">
        <f ca="1">('TUSD BE'!$AM$20+'TUSD BF'!$AM$20+'TUSD CVA'!$AM$20)*1*(1-0.03)</f>
        <v>16.022755556621018</v>
      </c>
      <c r="Z153" s="53"/>
      <c r="AA153" s="53"/>
      <c r="AB153" s="53">
        <f>(SUBSIDIO!$J$153*SUBSIDIO!$V$153)*(0.06)/(1-0.06)</f>
        <v>1055.2031999999999</v>
      </c>
      <c r="AC153" s="53">
        <f>((SUBSIDIO!$L$153*SUBSIDIO!$W$153)+(SUBSIDIO!$N$153*SUBSIDIO!$X$153))*(0.06)/(1-0.06)</f>
        <v>0</v>
      </c>
      <c r="AD153" s="53">
        <f ca="1">(SUBSIDIO!$J$153*SUBSIDIO!$Y$153)*(0.03)/(1-0.03)</f>
        <v>701.69758355181523</v>
      </c>
      <c r="AE153" s="53">
        <f>((SUBSIDIO!$L$153*SUBSIDIO!$Z$153)+(SUBSIDIO!$N$153*SUBSIDIO!$AA$153))*(0.03)/(1-0.03)</f>
        <v>0</v>
      </c>
      <c r="AF153" s="4" t="s">
        <v>778</v>
      </c>
    </row>
    <row r="154" spans="1:32" ht="11.25" customHeight="1" x14ac:dyDescent="0.25">
      <c r="A154" s="4" t="s">
        <v>21</v>
      </c>
      <c r="B154" s="4" t="s">
        <v>33</v>
      </c>
      <c r="C154" s="4" t="s">
        <v>34</v>
      </c>
      <c r="D154" s="4" t="s">
        <v>50</v>
      </c>
      <c r="E154" s="4" t="s">
        <v>51</v>
      </c>
      <c r="F154" s="4" t="s">
        <v>25</v>
      </c>
      <c r="G154" s="4" t="s">
        <v>25</v>
      </c>
      <c r="H154" s="4" t="s">
        <v>25</v>
      </c>
      <c r="I154" s="5">
        <v>44409</v>
      </c>
      <c r="J154" s="6">
        <v>1427</v>
      </c>
      <c r="K154" s="52">
        <v>1427</v>
      </c>
      <c r="L154" s="6">
        <v>0</v>
      </c>
      <c r="M154" s="53">
        <v>0</v>
      </c>
      <c r="N154" s="6">
        <v>0</v>
      </c>
      <c r="O154" s="53">
        <v>0</v>
      </c>
      <c r="P154" s="6">
        <v>11</v>
      </c>
      <c r="Q154" s="4" t="s">
        <v>26</v>
      </c>
      <c r="R154" s="4">
        <v>0</v>
      </c>
      <c r="S154" s="4">
        <v>18</v>
      </c>
      <c r="T154" s="4">
        <v>0</v>
      </c>
      <c r="U154" s="4">
        <v>0</v>
      </c>
      <c r="V154" s="53">
        <f>IF(ISERROR(VLOOKUP($S$154,'TAR FIN'!$A$1:$O$103,15,0)),0,VLOOKUP($S$154,'TAR FIN'!$A$1:$O$103,15,0))*(1-0.06)</f>
        <v>11.674799999999999</v>
      </c>
      <c r="W154" s="53">
        <f>IF(ISERROR(VLOOKUP($T$154,'TAR FIN'!$A$1:$O$103,15,0)),0,VLOOKUP($T$154,'TAR FIN'!$A$1:$O$103,15,0))</f>
        <v>0</v>
      </c>
      <c r="X154" s="53">
        <f>IF(ISERROR(VLOOKUP($U$154,'TAR FIN'!$A$1:$O$103,15,0)),0,VLOOKUP($U$154,'TAR FIN'!$A$1:$O$103,15,0))</f>
        <v>0</v>
      </c>
      <c r="Y154" s="53">
        <f ca="1">('TUSD BE'!$AM$20+'TUSD BF'!$AM$20+'TUSD CVA'!$AM$20)*1*(1-0.03)</f>
        <v>16.022755556621018</v>
      </c>
      <c r="Z154" s="53"/>
      <c r="AA154" s="53"/>
      <c r="AB154" s="53">
        <f>(SUBSIDIO!$J$154*SUBSIDIO!$V$154)*(0.06)/(1-0.06)</f>
        <v>1063.4004</v>
      </c>
      <c r="AC154" s="53">
        <f>((SUBSIDIO!$L$154*SUBSIDIO!$W$154)+(SUBSIDIO!$N$154*SUBSIDIO!$X$154))*(0.06)/(1-0.06)</f>
        <v>0</v>
      </c>
      <c r="AD154" s="53">
        <f ca="1">(SUBSIDIO!$J$154*SUBSIDIO!$Y$154)*(0.03)/(1-0.03)</f>
        <v>707.1486241020059</v>
      </c>
      <c r="AE154" s="53">
        <f>((SUBSIDIO!$L$154*SUBSIDIO!$Z$154)+(SUBSIDIO!$N$154*SUBSIDIO!$AA$154))*(0.03)/(1-0.03)</f>
        <v>0</v>
      </c>
      <c r="AF154" s="4" t="s">
        <v>778</v>
      </c>
    </row>
    <row r="155" spans="1:32" ht="11.25" customHeight="1" x14ac:dyDescent="0.25">
      <c r="A155" s="4" t="s">
        <v>21</v>
      </c>
      <c r="B155" s="4" t="s">
        <v>33</v>
      </c>
      <c r="C155" s="4" t="s">
        <v>34</v>
      </c>
      <c r="D155" s="4" t="s">
        <v>50</v>
      </c>
      <c r="E155" s="4" t="s">
        <v>51</v>
      </c>
      <c r="F155" s="4" t="s">
        <v>25</v>
      </c>
      <c r="G155" s="4" t="s">
        <v>25</v>
      </c>
      <c r="H155" s="4" t="s">
        <v>25</v>
      </c>
      <c r="I155" s="5">
        <v>44440</v>
      </c>
      <c r="J155" s="6">
        <v>1372</v>
      </c>
      <c r="K155" s="52">
        <v>1372</v>
      </c>
      <c r="L155" s="6">
        <v>0</v>
      </c>
      <c r="M155" s="53">
        <v>0</v>
      </c>
      <c r="N155" s="6">
        <v>0</v>
      </c>
      <c r="O155" s="53">
        <v>0</v>
      </c>
      <c r="P155" s="6">
        <v>11</v>
      </c>
      <c r="Q155" s="4" t="s">
        <v>26</v>
      </c>
      <c r="R155" s="4">
        <v>0</v>
      </c>
      <c r="S155" s="4">
        <v>18</v>
      </c>
      <c r="T155" s="4">
        <v>0</v>
      </c>
      <c r="U155" s="4">
        <v>0</v>
      </c>
      <c r="V155" s="53">
        <f>IF(ISERROR(VLOOKUP($S$155,'TAR FIN'!$A$1:$O$103,15,0)),0,VLOOKUP($S$155,'TAR FIN'!$A$1:$O$103,15,0))*(1-0.06)</f>
        <v>11.674799999999999</v>
      </c>
      <c r="W155" s="53">
        <f>IF(ISERROR(VLOOKUP($T$155,'TAR FIN'!$A$1:$O$103,15,0)),0,VLOOKUP($T$155,'TAR FIN'!$A$1:$O$103,15,0))</f>
        <v>0</v>
      </c>
      <c r="X155" s="53">
        <f>IF(ISERROR(VLOOKUP($U$155,'TAR FIN'!$A$1:$O$103,15,0)),0,VLOOKUP($U$155,'TAR FIN'!$A$1:$O$103,15,0))</f>
        <v>0</v>
      </c>
      <c r="Y155" s="53">
        <f ca="1">('TUSD BE'!$AM$20+'TUSD BF'!$AM$20+'TUSD CVA'!$AM$20)*1*(1-0.03)</f>
        <v>16.022755556621018</v>
      </c>
      <c r="Z155" s="53"/>
      <c r="AA155" s="53"/>
      <c r="AB155" s="53">
        <f>(SUBSIDIO!$J$155*SUBSIDIO!$V$155)*(0.06)/(1-0.06)</f>
        <v>1022.4143999999999</v>
      </c>
      <c r="AC155" s="53">
        <f>((SUBSIDIO!$L$155*SUBSIDIO!$W$155)+(SUBSIDIO!$N$155*SUBSIDIO!$X$155))*(0.06)/(1-0.06)</f>
        <v>0</v>
      </c>
      <c r="AD155" s="53">
        <f ca="1">(SUBSIDIO!$J$155*SUBSIDIO!$Y$155)*(0.03)/(1-0.03)</f>
        <v>679.89342135105267</v>
      </c>
      <c r="AE155" s="53">
        <f>((SUBSIDIO!$L$155*SUBSIDIO!$Z$155)+(SUBSIDIO!$N$155*SUBSIDIO!$AA$155))*(0.03)/(1-0.03)</f>
        <v>0</v>
      </c>
      <c r="AF155" s="4" t="s">
        <v>778</v>
      </c>
    </row>
    <row r="156" spans="1:32" ht="11.25" customHeight="1" x14ac:dyDescent="0.25">
      <c r="A156" s="4" t="s">
        <v>21</v>
      </c>
      <c r="B156" s="4" t="s">
        <v>33</v>
      </c>
      <c r="C156" s="4" t="s">
        <v>34</v>
      </c>
      <c r="D156" s="4" t="s">
        <v>50</v>
      </c>
      <c r="E156" s="4" t="s">
        <v>51</v>
      </c>
      <c r="F156" s="4" t="s">
        <v>25</v>
      </c>
      <c r="G156" s="4" t="s">
        <v>25</v>
      </c>
      <c r="H156" s="4" t="s">
        <v>25</v>
      </c>
      <c r="I156" s="5">
        <v>44470</v>
      </c>
      <c r="J156" s="6">
        <v>1428</v>
      </c>
      <c r="K156" s="52">
        <v>1428</v>
      </c>
      <c r="L156" s="6">
        <v>0</v>
      </c>
      <c r="M156" s="53">
        <v>0</v>
      </c>
      <c r="N156" s="6">
        <v>0</v>
      </c>
      <c r="O156" s="53">
        <v>0</v>
      </c>
      <c r="P156" s="6">
        <v>11</v>
      </c>
      <c r="Q156" s="4" t="s">
        <v>26</v>
      </c>
      <c r="R156" s="4">
        <v>0</v>
      </c>
      <c r="S156" s="4">
        <v>18</v>
      </c>
      <c r="T156" s="4">
        <v>0</v>
      </c>
      <c r="U156" s="4">
        <v>0</v>
      </c>
      <c r="V156" s="53">
        <f>IF(ISERROR(VLOOKUP($S$156,'TAR FIN'!$A$1:$O$103,15,0)),0,VLOOKUP($S$156,'TAR FIN'!$A$1:$O$103,15,0))*(1-0.06)</f>
        <v>11.674799999999999</v>
      </c>
      <c r="W156" s="53">
        <f>IF(ISERROR(VLOOKUP($T$156,'TAR FIN'!$A$1:$O$103,15,0)),0,VLOOKUP($T$156,'TAR FIN'!$A$1:$O$103,15,0))</f>
        <v>0</v>
      </c>
      <c r="X156" s="53">
        <f>IF(ISERROR(VLOOKUP($U$156,'TAR FIN'!$A$1:$O$103,15,0)),0,VLOOKUP($U$156,'TAR FIN'!$A$1:$O$103,15,0))</f>
        <v>0</v>
      </c>
      <c r="Y156" s="53">
        <f ca="1">('TUSD BE'!$AM$20+'TUSD BF'!$AM$20+'TUSD CVA'!$AM$20)*1*(1-0.03)</f>
        <v>16.022755556621018</v>
      </c>
      <c r="Z156" s="53"/>
      <c r="AA156" s="53"/>
      <c r="AB156" s="53">
        <f>(SUBSIDIO!$J$156*SUBSIDIO!$V$156)*(0.06)/(1-0.06)</f>
        <v>1064.1456000000001</v>
      </c>
      <c r="AC156" s="53">
        <f>((SUBSIDIO!$L$156*SUBSIDIO!$W$156)+(SUBSIDIO!$N$156*SUBSIDIO!$X$156))*(0.06)/(1-0.06)</f>
        <v>0</v>
      </c>
      <c r="AD156" s="53">
        <f ca="1">(SUBSIDIO!$J$156*SUBSIDIO!$Y$156)*(0.03)/(1-0.03)</f>
        <v>707.64417324293231</v>
      </c>
      <c r="AE156" s="53">
        <f>((SUBSIDIO!$L$156*SUBSIDIO!$Z$156)+(SUBSIDIO!$N$156*SUBSIDIO!$AA$156))*(0.03)/(1-0.03)</f>
        <v>0</v>
      </c>
      <c r="AF156" s="4" t="s">
        <v>778</v>
      </c>
    </row>
    <row r="157" spans="1:32" ht="11.25" customHeight="1" x14ac:dyDescent="0.25">
      <c r="A157" s="4" t="s">
        <v>21</v>
      </c>
      <c r="B157" s="4" t="s">
        <v>33</v>
      </c>
      <c r="C157" s="4" t="s">
        <v>34</v>
      </c>
      <c r="D157" s="4" t="s">
        <v>50</v>
      </c>
      <c r="E157" s="4" t="s">
        <v>51</v>
      </c>
      <c r="F157" s="4" t="s">
        <v>25</v>
      </c>
      <c r="G157" s="4" t="s">
        <v>25</v>
      </c>
      <c r="H157" s="4" t="s">
        <v>25</v>
      </c>
      <c r="I157" s="5">
        <v>44501</v>
      </c>
      <c r="J157" s="6">
        <v>1394</v>
      </c>
      <c r="K157" s="52">
        <v>1394</v>
      </c>
      <c r="L157" s="6">
        <v>0</v>
      </c>
      <c r="M157" s="53">
        <v>0</v>
      </c>
      <c r="N157" s="6">
        <v>0</v>
      </c>
      <c r="O157" s="53">
        <v>0</v>
      </c>
      <c r="P157" s="6">
        <v>10</v>
      </c>
      <c r="Q157" s="4" t="s">
        <v>26</v>
      </c>
      <c r="R157" s="4">
        <v>0</v>
      </c>
      <c r="S157" s="4">
        <v>18</v>
      </c>
      <c r="T157" s="4">
        <v>0</v>
      </c>
      <c r="U157" s="4">
        <v>0</v>
      </c>
      <c r="V157" s="53">
        <f>IF(ISERROR(VLOOKUP($S$157,'TAR FIN'!$A$1:$O$103,15,0)),0,VLOOKUP($S$157,'TAR FIN'!$A$1:$O$103,15,0))*(1-0.06)</f>
        <v>11.674799999999999</v>
      </c>
      <c r="W157" s="53">
        <f>IF(ISERROR(VLOOKUP($T$157,'TAR FIN'!$A$1:$O$103,15,0)),0,VLOOKUP($T$157,'TAR FIN'!$A$1:$O$103,15,0))</f>
        <v>0</v>
      </c>
      <c r="X157" s="53">
        <f>IF(ISERROR(VLOOKUP($U$157,'TAR FIN'!$A$1:$O$103,15,0)),0,VLOOKUP($U$157,'TAR FIN'!$A$1:$O$103,15,0))</f>
        <v>0</v>
      </c>
      <c r="Y157" s="53">
        <f ca="1">('TUSD BE'!$AM$20+'TUSD BF'!$AM$20+'TUSD CVA'!$AM$20)*1*(1-0.03)</f>
        <v>16.022755556621018</v>
      </c>
      <c r="Z157" s="53"/>
      <c r="AA157" s="53"/>
      <c r="AB157" s="53">
        <f>(SUBSIDIO!$J$157*SUBSIDIO!$V$157)*(0.06)/(1-0.06)</f>
        <v>1038.8088</v>
      </c>
      <c r="AC157" s="53">
        <f>((SUBSIDIO!$L$157*SUBSIDIO!$W$157)+(SUBSIDIO!$N$157*SUBSIDIO!$X$157))*(0.06)/(1-0.06)</f>
        <v>0</v>
      </c>
      <c r="AD157" s="53">
        <f ca="1">(SUBSIDIO!$J$157*SUBSIDIO!$Y$157)*(0.03)/(1-0.03)</f>
        <v>690.79550245143389</v>
      </c>
      <c r="AE157" s="53">
        <f>((SUBSIDIO!$L$157*SUBSIDIO!$Z$157)+(SUBSIDIO!$N$157*SUBSIDIO!$AA$157))*(0.03)/(1-0.03)</f>
        <v>0</v>
      </c>
      <c r="AF157" s="4" t="s">
        <v>778</v>
      </c>
    </row>
    <row r="158" spans="1:32" ht="11.25" customHeight="1" x14ac:dyDescent="0.25">
      <c r="A158" s="4" t="s">
        <v>21</v>
      </c>
      <c r="B158" s="4" t="s">
        <v>33</v>
      </c>
      <c r="C158" s="4" t="s">
        <v>34</v>
      </c>
      <c r="D158" s="4" t="s">
        <v>50</v>
      </c>
      <c r="E158" s="4" t="s">
        <v>51</v>
      </c>
      <c r="F158" s="4" t="s">
        <v>25</v>
      </c>
      <c r="G158" s="4" t="s">
        <v>25</v>
      </c>
      <c r="H158" s="4" t="s">
        <v>25</v>
      </c>
      <c r="I158" s="5">
        <v>44531</v>
      </c>
      <c r="J158" s="6">
        <v>1422</v>
      </c>
      <c r="K158" s="52">
        <v>1422</v>
      </c>
      <c r="L158" s="6">
        <v>0</v>
      </c>
      <c r="M158" s="53">
        <v>0</v>
      </c>
      <c r="N158" s="6">
        <v>0</v>
      </c>
      <c r="O158" s="53">
        <v>0</v>
      </c>
      <c r="P158" s="6">
        <v>11</v>
      </c>
      <c r="Q158" s="4" t="s">
        <v>26</v>
      </c>
      <c r="R158" s="4">
        <v>0</v>
      </c>
      <c r="S158" s="4">
        <v>18</v>
      </c>
      <c r="T158" s="4">
        <v>0</v>
      </c>
      <c r="U158" s="4">
        <v>0</v>
      </c>
      <c r="V158" s="53">
        <f>IF(ISERROR(VLOOKUP($S$158,'TAR FIN'!$A$1:$O$103,15,0)),0,VLOOKUP($S$158,'TAR FIN'!$A$1:$O$103,15,0))*(1-0.06)</f>
        <v>11.674799999999999</v>
      </c>
      <c r="W158" s="53">
        <f>IF(ISERROR(VLOOKUP($T$158,'TAR FIN'!$A$1:$O$103,15,0)),0,VLOOKUP($T$158,'TAR FIN'!$A$1:$O$103,15,0))</f>
        <v>0</v>
      </c>
      <c r="X158" s="53">
        <f>IF(ISERROR(VLOOKUP($U$158,'TAR FIN'!$A$1:$O$103,15,0)),0,VLOOKUP($U$158,'TAR FIN'!$A$1:$O$103,15,0))</f>
        <v>0</v>
      </c>
      <c r="Y158" s="53">
        <f ca="1">('TUSD BE'!$AM$20+'TUSD BF'!$AM$20+'TUSD CVA'!$AM$20)*1*(1-0.03)</f>
        <v>16.022755556621018</v>
      </c>
      <c r="Z158" s="53"/>
      <c r="AA158" s="53"/>
      <c r="AB158" s="53">
        <f>(SUBSIDIO!$J$158*SUBSIDIO!$V$158)*(0.06)/(1-0.06)</f>
        <v>1059.6743999999999</v>
      </c>
      <c r="AC158" s="53">
        <f>((SUBSIDIO!$L$158*SUBSIDIO!$W$158)+(SUBSIDIO!$N$158*SUBSIDIO!$X$158))*(0.06)/(1-0.06)</f>
        <v>0</v>
      </c>
      <c r="AD158" s="53">
        <f ca="1">(SUBSIDIO!$J$158*SUBSIDIO!$Y$158)*(0.03)/(1-0.03)</f>
        <v>704.67087839737383</v>
      </c>
      <c r="AE158" s="53">
        <f>((SUBSIDIO!$L$158*SUBSIDIO!$Z$158)+(SUBSIDIO!$N$158*SUBSIDIO!$AA$158))*(0.03)/(1-0.03)</f>
        <v>0</v>
      </c>
      <c r="AF158" s="4" t="s">
        <v>778</v>
      </c>
    </row>
    <row r="159" spans="1:32" ht="11.25" customHeight="1" x14ac:dyDescent="0.25">
      <c r="A159" s="4" t="s">
        <v>21</v>
      </c>
      <c r="B159" s="4" t="s">
        <v>33</v>
      </c>
      <c r="C159" s="4" t="s">
        <v>34</v>
      </c>
      <c r="D159" s="4" t="s">
        <v>50</v>
      </c>
      <c r="E159" s="4" t="s">
        <v>51</v>
      </c>
      <c r="F159" s="4" t="s">
        <v>25</v>
      </c>
      <c r="G159" s="4" t="s">
        <v>25</v>
      </c>
      <c r="H159" s="4" t="s">
        <v>25</v>
      </c>
      <c r="I159" s="5">
        <v>44562</v>
      </c>
      <c r="J159" s="6">
        <v>1419</v>
      </c>
      <c r="K159" s="52">
        <v>1419</v>
      </c>
      <c r="L159" s="6">
        <v>0</v>
      </c>
      <c r="M159" s="53">
        <v>0</v>
      </c>
      <c r="N159" s="6">
        <v>0</v>
      </c>
      <c r="O159" s="53">
        <v>0</v>
      </c>
      <c r="P159" s="6">
        <v>11</v>
      </c>
      <c r="Q159" s="4" t="s">
        <v>26</v>
      </c>
      <c r="R159" s="4">
        <v>0</v>
      </c>
      <c r="S159" s="4">
        <v>18</v>
      </c>
      <c r="T159" s="4">
        <v>0</v>
      </c>
      <c r="U159" s="4">
        <v>0</v>
      </c>
      <c r="V159" s="53">
        <f>IF(ISERROR(VLOOKUP($S$159,'TAR FIN'!$A$1:$O$103,15,0)),0,VLOOKUP($S$159,'TAR FIN'!$A$1:$O$103,15,0))*(1-0.06)</f>
        <v>11.674799999999999</v>
      </c>
      <c r="W159" s="53">
        <f>IF(ISERROR(VLOOKUP($T$159,'TAR FIN'!$A$1:$O$103,15,0)),0,VLOOKUP($T$159,'TAR FIN'!$A$1:$O$103,15,0))</f>
        <v>0</v>
      </c>
      <c r="X159" s="53">
        <f>IF(ISERROR(VLOOKUP($U$159,'TAR FIN'!$A$1:$O$103,15,0)),0,VLOOKUP($U$159,'TAR FIN'!$A$1:$O$103,15,0))</f>
        <v>0</v>
      </c>
      <c r="Y159" s="53">
        <f ca="1">('TUSD BE'!$AM$20+'TUSD BF'!$AM$20+'TUSD CVA'!$AM$20)*1*(1-0.03)</f>
        <v>16.022755556621018</v>
      </c>
      <c r="Z159" s="53"/>
      <c r="AA159" s="53"/>
      <c r="AB159" s="53">
        <f>(SUBSIDIO!$J$159*SUBSIDIO!$V$159)*(0.06)/(1-0.06)</f>
        <v>1057.4387999999999</v>
      </c>
      <c r="AC159" s="53">
        <f>((SUBSIDIO!$L$159*SUBSIDIO!$W$159)+(SUBSIDIO!$N$159*SUBSIDIO!$X$159))*(0.06)/(1-0.06)</f>
        <v>0</v>
      </c>
      <c r="AD159" s="53">
        <f ca="1">(SUBSIDIO!$J$159*SUBSIDIO!$Y$159)*(0.03)/(1-0.03)</f>
        <v>703.18423097459458</v>
      </c>
      <c r="AE159" s="53">
        <f>((SUBSIDIO!$L$159*SUBSIDIO!$Z$159)+(SUBSIDIO!$N$159*SUBSIDIO!$AA$159))*(0.03)/(1-0.03)</f>
        <v>0</v>
      </c>
      <c r="AF159" s="4" t="s">
        <v>778</v>
      </c>
    </row>
    <row r="160" spans="1:32" ht="11.25" customHeight="1" x14ac:dyDescent="0.25">
      <c r="A160" s="4" t="s">
        <v>21</v>
      </c>
      <c r="B160" s="4" t="s">
        <v>33</v>
      </c>
      <c r="C160" s="4" t="s">
        <v>34</v>
      </c>
      <c r="D160" s="4" t="s">
        <v>50</v>
      </c>
      <c r="E160" s="4" t="s">
        <v>51</v>
      </c>
      <c r="F160" s="4" t="s">
        <v>25</v>
      </c>
      <c r="G160" s="4" t="s">
        <v>25</v>
      </c>
      <c r="H160" s="4" t="s">
        <v>25</v>
      </c>
      <c r="I160" s="5">
        <v>44593</v>
      </c>
      <c r="J160" s="6">
        <v>1408</v>
      </c>
      <c r="K160" s="52">
        <v>1408</v>
      </c>
      <c r="L160" s="6">
        <v>0</v>
      </c>
      <c r="M160" s="53">
        <v>0</v>
      </c>
      <c r="N160" s="6">
        <v>0</v>
      </c>
      <c r="O160" s="53">
        <v>0</v>
      </c>
      <c r="P160" s="6">
        <v>11</v>
      </c>
      <c r="Q160" s="4" t="s">
        <v>26</v>
      </c>
      <c r="R160" s="4">
        <v>0</v>
      </c>
      <c r="S160" s="4">
        <v>18</v>
      </c>
      <c r="T160" s="4">
        <v>0</v>
      </c>
      <c r="U160" s="4">
        <v>0</v>
      </c>
      <c r="V160" s="53">
        <f>IF(ISERROR(VLOOKUP($S$160,'TAR FIN'!$A$1:$O$103,15,0)),0,VLOOKUP($S$160,'TAR FIN'!$A$1:$O$103,15,0))*(1-0.06)</f>
        <v>11.674799999999999</v>
      </c>
      <c r="W160" s="53">
        <f>IF(ISERROR(VLOOKUP($T$160,'TAR FIN'!$A$1:$O$103,15,0)),0,VLOOKUP($T$160,'TAR FIN'!$A$1:$O$103,15,0))</f>
        <v>0</v>
      </c>
      <c r="X160" s="53">
        <f>IF(ISERROR(VLOOKUP($U$160,'TAR FIN'!$A$1:$O$103,15,0)),0,VLOOKUP($U$160,'TAR FIN'!$A$1:$O$103,15,0))</f>
        <v>0</v>
      </c>
      <c r="Y160" s="53">
        <f ca="1">('TUSD BE'!$AM$20+'TUSD BF'!$AM$20+'TUSD CVA'!$AM$20)*1*(1-0.03)</f>
        <v>16.022755556621018</v>
      </c>
      <c r="Z160" s="53"/>
      <c r="AA160" s="53"/>
      <c r="AB160" s="53">
        <f>(SUBSIDIO!$J$160*SUBSIDIO!$V$160)*(0.06)/(1-0.06)</f>
        <v>1049.2415999999998</v>
      </c>
      <c r="AC160" s="53">
        <f>((SUBSIDIO!$L$160*SUBSIDIO!$W$160)+(SUBSIDIO!$N$160*SUBSIDIO!$X$160))*(0.06)/(1-0.06)</f>
        <v>0</v>
      </c>
      <c r="AD160" s="53">
        <f ca="1">(SUBSIDIO!$J$160*SUBSIDIO!$Y$160)*(0.03)/(1-0.03)</f>
        <v>697.73319042440392</v>
      </c>
      <c r="AE160" s="53">
        <f>((SUBSIDIO!$L$160*SUBSIDIO!$Z$160)+(SUBSIDIO!$N$160*SUBSIDIO!$AA$160))*(0.03)/(1-0.03)</f>
        <v>0</v>
      </c>
      <c r="AF160" s="4" t="s">
        <v>778</v>
      </c>
    </row>
    <row r="161" spans="1:32" ht="11.25" customHeight="1" x14ac:dyDescent="0.25">
      <c r="A161" s="4" t="s">
        <v>21</v>
      </c>
      <c r="B161" s="4" t="s">
        <v>33</v>
      </c>
      <c r="C161" s="4" t="s">
        <v>34</v>
      </c>
      <c r="D161" s="4" t="s">
        <v>50</v>
      </c>
      <c r="E161" s="4" t="s">
        <v>51</v>
      </c>
      <c r="F161" s="4" t="s">
        <v>25</v>
      </c>
      <c r="G161" s="4" t="s">
        <v>25</v>
      </c>
      <c r="H161" s="4" t="s">
        <v>25</v>
      </c>
      <c r="I161" s="5">
        <v>44621</v>
      </c>
      <c r="J161" s="6">
        <v>1384</v>
      </c>
      <c r="K161" s="52">
        <v>1384</v>
      </c>
      <c r="L161" s="6">
        <v>0</v>
      </c>
      <c r="M161" s="53">
        <v>0</v>
      </c>
      <c r="N161" s="6">
        <v>0</v>
      </c>
      <c r="O161" s="53">
        <v>0</v>
      </c>
      <c r="P161" s="6">
        <v>11</v>
      </c>
      <c r="Q161" s="4" t="s">
        <v>26</v>
      </c>
      <c r="R161" s="4">
        <v>0</v>
      </c>
      <c r="S161" s="4">
        <v>18</v>
      </c>
      <c r="T161" s="4">
        <v>0</v>
      </c>
      <c r="U161" s="4">
        <v>0</v>
      </c>
      <c r="V161" s="53">
        <f>IF(ISERROR(VLOOKUP($S$161,'TAR FIN'!$A$1:$O$103,15,0)),0,VLOOKUP($S$161,'TAR FIN'!$A$1:$O$103,15,0))*(1-0.06)</f>
        <v>11.674799999999999</v>
      </c>
      <c r="W161" s="53">
        <f>IF(ISERROR(VLOOKUP($T$161,'TAR FIN'!$A$1:$O$103,15,0)),0,VLOOKUP($T$161,'TAR FIN'!$A$1:$O$103,15,0))</f>
        <v>0</v>
      </c>
      <c r="X161" s="53">
        <f>IF(ISERROR(VLOOKUP($U$161,'TAR FIN'!$A$1:$O$103,15,0)),0,VLOOKUP($U$161,'TAR FIN'!$A$1:$O$103,15,0))</f>
        <v>0</v>
      </c>
      <c r="Y161" s="53">
        <f ca="1">('TUSD BE'!$AM$20+'TUSD BF'!$AM$20+'TUSD CVA'!$AM$20)*1*(1-0.03)</f>
        <v>16.022755556621018</v>
      </c>
      <c r="Z161" s="53"/>
      <c r="AA161" s="53"/>
      <c r="AB161" s="53">
        <f>(SUBSIDIO!$J$161*SUBSIDIO!$V$161)*(0.06)/(1-0.06)</f>
        <v>1031.3568</v>
      </c>
      <c r="AC161" s="53">
        <f>((SUBSIDIO!$L$161*SUBSIDIO!$W$161)+(SUBSIDIO!$N$161*SUBSIDIO!$X$161))*(0.06)/(1-0.06)</f>
        <v>0</v>
      </c>
      <c r="AD161" s="53">
        <f ca="1">(SUBSIDIO!$J$161*SUBSIDIO!$Y$161)*(0.03)/(1-0.03)</f>
        <v>685.84001104216975</v>
      </c>
      <c r="AE161" s="53">
        <f>((SUBSIDIO!$L$161*SUBSIDIO!$Z$161)+(SUBSIDIO!$N$161*SUBSIDIO!$AA$161))*(0.03)/(1-0.03)</f>
        <v>0</v>
      </c>
      <c r="AF161" s="4" t="s">
        <v>778</v>
      </c>
    </row>
    <row r="162" spans="1:32" ht="11.25" customHeight="1" x14ac:dyDescent="0.25">
      <c r="A162" s="4" t="s">
        <v>21</v>
      </c>
      <c r="B162" s="4" t="s">
        <v>33</v>
      </c>
      <c r="C162" s="4" t="s">
        <v>34</v>
      </c>
      <c r="D162" s="4" t="s">
        <v>50</v>
      </c>
      <c r="E162" s="4" t="s">
        <v>51</v>
      </c>
      <c r="F162" s="4" t="s">
        <v>25</v>
      </c>
      <c r="G162" s="4" t="s">
        <v>25</v>
      </c>
      <c r="H162" s="4" t="s">
        <v>25</v>
      </c>
      <c r="I162" s="5">
        <v>44652</v>
      </c>
      <c r="J162" s="6">
        <v>1423</v>
      </c>
      <c r="K162" s="52">
        <v>1423</v>
      </c>
      <c r="L162" s="6">
        <v>0</v>
      </c>
      <c r="M162" s="53">
        <v>0</v>
      </c>
      <c r="N162" s="6">
        <v>0</v>
      </c>
      <c r="O162" s="53">
        <v>0</v>
      </c>
      <c r="P162" s="6">
        <v>11</v>
      </c>
      <c r="Q162" s="4" t="s">
        <v>26</v>
      </c>
      <c r="R162" s="4">
        <v>0</v>
      </c>
      <c r="S162" s="4">
        <v>18</v>
      </c>
      <c r="T162" s="4">
        <v>0</v>
      </c>
      <c r="U162" s="4">
        <v>0</v>
      </c>
      <c r="V162" s="53">
        <f>IF(ISERROR(VLOOKUP($S$162,'TAR FIN'!$A$1:$O$103,15,0)),0,VLOOKUP($S$162,'TAR FIN'!$A$1:$O$103,15,0))*(1-0.06)</f>
        <v>11.674799999999999</v>
      </c>
      <c r="W162" s="53">
        <f>IF(ISERROR(VLOOKUP($T$162,'TAR FIN'!$A$1:$O$103,15,0)),0,VLOOKUP($T$162,'TAR FIN'!$A$1:$O$103,15,0))</f>
        <v>0</v>
      </c>
      <c r="X162" s="53">
        <f>IF(ISERROR(VLOOKUP($U$162,'TAR FIN'!$A$1:$O$103,15,0)),0,VLOOKUP($U$162,'TAR FIN'!$A$1:$O$103,15,0))</f>
        <v>0</v>
      </c>
      <c r="Y162" s="53">
        <f ca="1">('TUSD BE'!$AM$20+'TUSD BF'!$AM$20+'TUSD CVA'!$AM$20)*1*(1-0.03)</f>
        <v>16.022755556621018</v>
      </c>
      <c r="Z162" s="53"/>
      <c r="AA162" s="53"/>
      <c r="AB162" s="53">
        <f>(SUBSIDIO!$J$162*SUBSIDIO!$V$162)*(0.06)/(1-0.06)</f>
        <v>1060.4195999999999</v>
      </c>
      <c r="AC162" s="53">
        <f>((SUBSIDIO!$L$162*SUBSIDIO!$W$162)+(SUBSIDIO!$N$162*SUBSIDIO!$X$162))*(0.06)/(1-0.06)</f>
        <v>0</v>
      </c>
      <c r="AD162" s="53">
        <f ca="1">(SUBSIDIO!$J$162*SUBSIDIO!$Y$162)*(0.03)/(1-0.03)</f>
        <v>705.16642753830024</v>
      </c>
      <c r="AE162" s="53">
        <f>((SUBSIDIO!$L$162*SUBSIDIO!$Z$162)+(SUBSIDIO!$N$162*SUBSIDIO!$AA$162))*(0.03)/(1-0.03)</f>
        <v>0</v>
      </c>
      <c r="AF162" s="4" t="s">
        <v>778</v>
      </c>
    </row>
    <row r="163" spans="1:32" ht="11.25" customHeight="1" x14ac:dyDescent="0.25">
      <c r="A163" s="4" t="s">
        <v>21</v>
      </c>
      <c r="B163" s="4" t="s">
        <v>33</v>
      </c>
      <c r="C163" s="4" t="s">
        <v>34</v>
      </c>
      <c r="D163" s="4" t="s">
        <v>50</v>
      </c>
      <c r="E163" s="4" t="s">
        <v>51</v>
      </c>
      <c r="F163" s="4" t="s">
        <v>25</v>
      </c>
      <c r="G163" s="4" t="s">
        <v>25</v>
      </c>
      <c r="H163" s="4" t="s">
        <v>25</v>
      </c>
      <c r="I163" s="5">
        <v>44682</v>
      </c>
      <c r="J163" s="6">
        <v>1426</v>
      </c>
      <c r="K163" s="52">
        <v>1426</v>
      </c>
      <c r="L163" s="6">
        <v>0</v>
      </c>
      <c r="M163" s="53">
        <v>0</v>
      </c>
      <c r="N163" s="6">
        <v>0</v>
      </c>
      <c r="O163" s="53">
        <v>0</v>
      </c>
      <c r="P163" s="6">
        <v>11</v>
      </c>
      <c r="Q163" s="4" t="s">
        <v>26</v>
      </c>
      <c r="R163" s="4">
        <v>0</v>
      </c>
      <c r="S163" s="4">
        <v>18</v>
      </c>
      <c r="T163" s="4">
        <v>0</v>
      </c>
      <c r="U163" s="4">
        <v>0</v>
      </c>
      <c r="V163" s="53">
        <f>IF(ISERROR(VLOOKUP($S$163,'TAR FIN'!$A$1:$O$103,15,0)),0,VLOOKUP($S$163,'TAR FIN'!$A$1:$O$103,15,0))*(1-0.06)</f>
        <v>11.674799999999999</v>
      </c>
      <c r="W163" s="53">
        <f>IF(ISERROR(VLOOKUP($T$163,'TAR FIN'!$A$1:$O$103,15,0)),0,VLOOKUP($T$163,'TAR FIN'!$A$1:$O$103,15,0))</f>
        <v>0</v>
      </c>
      <c r="X163" s="53">
        <f>IF(ISERROR(VLOOKUP($U$163,'TAR FIN'!$A$1:$O$103,15,0)),0,VLOOKUP($U$163,'TAR FIN'!$A$1:$O$103,15,0))</f>
        <v>0</v>
      </c>
      <c r="Y163" s="53">
        <f ca="1">('TUSD BE'!$AM$20+'TUSD BF'!$AM$20+'TUSD CVA'!$AM$20)*1*(1-0.03)</f>
        <v>16.022755556621018</v>
      </c>
      <c r="Z163" s="53"/>
      <c r="AA163" s="53"/>
      <c r="AB163" s="53">
        <f>(SUBSIDIO!$J$163*SUBSIDIO!$V$163)*(0.06)/(1-0.06)</f>
        <v>1062.6552000000001</v>
      </c>
      <c r="AC163" s="53">
        <f>((SUBSIDIO!$L$163*SUBSIDIO!$W$163)+(SUBSIDIO!$N$163*SUBSIDIO!$X$163))*(0.06)/(1-0.06)</f>
        <v>0</v>
      </c>
      <c r="AD163" s="53">
        <f ca="1">(SUBSIDIO!$J$163*SUBSIDIO!$Y$163)*(0.03)/(1-0.03)</f>
        <v>706.6530749610796</v>
      </c>
      <c r="AE163" s="53">
        <f>((SUBSIDIO!$L$163*SUBSIDIO!$Z$163)+(SUBSIDIO!$N$163*SUBSIDIO!$AA$163))*(0.03)/(1-0.03)</f>
        <v>0</v>
      </c>
      <c r="AF163" s="4" t="s">
        <v>778</v>
      </c>
    </row>
    <row r="164" spans="1:32" ht="11.25" customHeight="1" x14ac:dyDescent="0.25">
      <c r="A164" s="4" t="s">
        <v>21</v>
      </c>
      <c r="B164" s="4" t="s">
        <v>33</v>
      </c>
      <c r="C164" s="4" t="s">
        <v>34</v>
      </c>
      <c r="D164" s="4" t="s">
        <v>50</v>
      </c>
      <c r="E164" s="4" t="s">
        <v>51</v>
      </c>
      <c r="F164" s="4" t="s">
        <v>25</v>
      </c>
      <c r="G164" s="4" t="s">
        <v>25</v>
      </c>
      <c r="H164" s="4" t="s">
        <v>37</v>
      </c>
      <c r="I164" s="5">
        <v>44348</v>
      </c>
      <c r="J164" s="6">
        <v>0</v>
      </c>
      <c r="K164" s="53">
        <v>0</v>
      </c>
      <c r="L164" s="6">
        <v>44.351999999999997</v>
      </c>
      <c r="M164" s="53">
        <v>44.351999999999997</v>
      </c>
      <c r="N164" s="6">
        <v>44.351999999999997</v>
      </c>
      <c r="O164" s="53">
        <v>44.351999999999997</v>
      </c>
      <c r="P164" s="6">
        <v>0</v>
      </c>
      <c r="Q164" s="4" t="s">
        <v>26</v>
      </c>
      <c r="R164" s="4">
        <v>0</v>
      </c>
      <c r="S164" s="4">
        <v>0</v>
      </c>
      <c r="T164" s="4">
        <v>19</v>
      </c>
      <c r="U164" s="4">
        <v>65</v>
      </c>
      <c r="V164" s="53">
        <f>IF(ISERROR(VLOOKUP($S$164,'TAR FIN'!$A$1:$O$103,15,0)),0,VLOOKUP($S$164,'TAR FIN'!$A$1:$O$103,15,0))</f>
        <v>0</v>
      </c>
      <c r="W164" s="53">
        <f>IF(ISERROR(VLOOKUP($T$164,'TAR FIN'!$A$1:$O$103,15,0)),0,VLOOKUP($T$164,'TAR FIN'!$A$1:$O$103,15,0))*(1-0.06)</f>
        <v>791.77139999999986</v>
      </c>
      <c r="X164" s="53">
        <f>IF(ISERROR(VLOOKUP($U$164,'TAR FIN'!$A$1:$O$103,15,0)),0,VLOOKUP($U$164,'TAR FIN'!$A$1:$O$103,15,0))*(1-0.06)</f>
        <v>427.60599999999994</v>
      </c>
      <c r="Y164" s="53"/>
      <c r="Z164" s="53">
        <f ca="1">('TUSD BE'!$AM$21+'TUSD BF'!$AM$21+'TUSD CVA'!$AM$21)*1*(1-0.03)</f>
        <v>1111.9887324983497</v>
      </c>
      <c r="AA164" s="53">
        <f>('TE BE'!$AB$8+'TE BF'!$AB$8+'TE CVA'!$AB$8)*1*(1-0.03)</f>
        <v>402.60285579025447</v>
      </c>
      <c r="AB164" s="53">
        <f>(SUBSIDIO!$J$164*SUBSIDIO!$V$164)*(0.06)/(1-0.06)</f>
        <v>0</v>
      </c>
      <c r="AC164" s="53">
        <f>((SUBSIDIO!$L$164*SUBSIDIO!$W$164)+(SUBSIDIO!$N$164*SUBSIDIO!$X$164))*(0.06)/(1-0.06)</f>
        <v>3452.031475199999</v>
      </c>
      <c r="AD164" s="53">
        <f>(SUBSIDIO!$J$164*SUBSIDIO!$Y$164)*(0.03)/(1-0.03)</f>
        <v>0</v>
      </c>
      <c r="AE164" s="53">
        <f ca="1">((SUBSIDIO!$L$164*SUBSIDIO!$Z$164)+(SUBSIDIO!$N$164*SUBSIDIO!$AA$164))*(0.03)/(1-0.03)</f>
        <v>2077.5824574363764</v>
      </c>
      <c r="AF164" s="4" t="s">
        <v>778</v>
      </c>
    </row>
    <row r="165" spans="1:32" ht="11.25" customHeight="1" x14ac:dyDescent="0.25">
      <c r="A165" s="4" t="s">
        <v>21</v>
      </c>
      <c r="B165" s="4" t="s">
        <v>33</v>
      </c>
      <c r="C165" s="4" t="s">
        <v>34</v>
      </c>
      <c r="D165" s="4" t="s">
        <v>50</v>
      </c>
      <c r="E165" s="4" t="s">
        <v>51</v>
      </c>
      <c r="F165" s="4" t="s">
        <v>25</v>
      </c>
      <c r="G165" s="4" t="s">
        <v>25</v>
      </c>
      <c r="H165" s="4" t="s">
        <v>37</v>
      </c>
      <c r="I165" s="5">
        <v>44378</v>
      </c>
      <c r="J165" s="6">
        <v>0</v>
      </c>
      <c r="K165" s="53">
        <v>0</v>
      </c>
      <c r="L165" s="6">
        <v>41.981000000000002</v>
      </c>
      <c r="M165" s="53">
        <v>41.981000000000002</v>
      </c>
      <c r="N165" s="6">
        <v>41.981000000000002</v>
      </c>
      <c r="O165" s="53">
        <v>41.981000000000002</v>
      </c>
      <c r="P165" s="6">
        <v>0</v>
      </c>
      <c r="Q165" s="4" t="s">
        <v>26</v>
      </c>
      <c r="R165" s="4">
        <v>0</v>
      </c>
      <c r="S165" s="4">
        <v>0</v>
      </c>
      <c r="T165" s="4">
        <v>19</v>
      </c>
      <c r="U165" s="4">
        <v>65</v>
      </c>
      <c r="V165" s="53">
        <f>IF(ISERROR(VLOOKUP($S$165,'TAR FIN'!$A$1:$O$103,15,0)),0,VLOOKUP($S$165,'TAR FIN'!$A$1:$O$103,15,0))</f>
        <v>0</v>
      </c>
      <c r="W165" s="53">
        <f>IF(ISERROR(VLOOKUP($T$165,'TAR FIN'!$A$1:$O$103,15,0)),0,VLOOKUP($T$165,'TAR FIN'!$A$1:$O$103,15,0))*(1-0.06)</f>
        <v>791.77139999999986</v>
      </c>
      <c r="X165" s="53">
        <f>IF(ISERROR(VLOOKUP($U$165,'TAR FIN'!$A$1:$O$103,15,0)),0,VLOOKUP($U$165,'TAR FIN'!$A$1:$O$103,15,0))*(1-0.06)</f>
        <v>427.60599999999994</v>
      </c>
      <c r="Y165" s="53"/>
      <c r="Z165" s="53">
        <f ca="1">('TUSD BE'!$AM$21+'TUSD BF'!$AM$21+'TUSD CVA'!$AM$21)*1*(1-0.03)</f>
        <v>1111.9887324983497</v>
      </c>
      <c r="AA165" s="53">
        <f>('TE BE'!$AB$8+'TE BF'!$AB$8+'TE CVA'!$AB$8)*1*(1-0.03)</f>
        <v>402.60285579025447</v>
      </c>
      <c r="AB165" s="53">
        <f>(SUBSIDIO!$J$165*SUBSIDIO!$V$165)*(0.06)/(1-0.06)</f>
        <v>0</v>
      </c>
      <c r="AC165" s="53">
        <f>((SUBSIDIO!$L$165*SUBSIDIO!$W$165)+(SUBSIDIO!$N$165*SUBSIDIO!$X$165))*(0.06)/(1-0.06)</f>
        <v>3267.4903805999998</v>
      </c>
      <c r="AD165" s="53">
        <f>(SUBSIDIO!$J$165*SUBSIDIO!$Y$165)*(0.03)/(1-0.03)</f>
        <v>0</v>
      </c>
      <c r="AE165" s="53">
        <f ca="1">((SUBSIDIO!$L$165*SUBSIDIO!$Z$165)+(SUBSIDIO!$N$165*SUBSIDIO!$AA$165))*(0.03)/(1-0.03)</f>
        <v>1966.5176124106356</v>
      </c>
      <c r="AF165" s="4" t="s">
        <v>778</v>
      </c>
    </row>
    <row r="166" spans="1:32" ht="11.25" customHeight="1" x14ac:dyDescent="0.25">
      <c r="A166" s="4" t="s">
        <v>21</v>
      </c>
      <c r="B166" s="4" t="s">
        <v>33</v>
      </c>
      <c r="C166" s="4" t="s">
        <v>34</v>
      </c>
      <c r="D166" s="4" t="s">
        <v>50</v>
      </c>
      <c r="E166" s="4" t="s">
        <v>51</v>
      </c>
      <c r="F166" s="4" t="s">
        <v>25</v>
      </c>
      <c r="G166" s="4" t="s">
        <v>25</v>
      </c>
      <c r="H166" s="4" t="s">
        <v>37</v>
      </c>
      <c r="I166" s="5">
        <v>44409</v>
      </c>
      <c r="J166" s="6">
        <v>0</v>
      </c>
      <c r="K166" s="53">
        <v>0</v>
      </c>
      <c r="L166" s="6">
        <v>45.158000000000001</v>
      </c>
      <c r="M166" s="53">
        <v>45.158000000000001</v>
      </c>
      <c r="N166" s="6">
        <v>45.158000000000001</v>
      </c>
      <c r="O166" s="53">
        <v>45.158000000000001</v>
      </c>
      <c r="P166" s="6">
        <v>0</v>
      </c>
      <c r="Q166" s="4" t="s">
        <v>26</v>
      </c>
      <c r="R166" s="4">
        <v>0</v>
      </c>
      <c r="S166" s="4">
        <v>0</v>
      </c>
      <c r="T166" s="4">
        <v>19</v>
      </c>
      <c r="U166" s="4">
        <v>65</v>
      </c>
      <c r="V166" s="53">
        <f>IF(ISERROR(VLOOKUP($S$166,'TAR FIN'!$A$1:$O$103,15,0)),0,VLOOKUP($S$166,'TAR FIN'!$A$1:$O$103,15,0))</f>
        <v>0</v>
      </c>
      <c r="W166" s="53">
        <f>IF(ISERROR(VLOOKUP($T$166,'TAR FIN'!$A$1:$O$103,15,0)),0,VLOOKUP($T$166,'TAR FIN'!$A$1:$O$103,15,0))*(1-0.06)</f>
        <v>791.77139999999986</v>
      </c>
      <c r="X166" s="53">
        <f>IF(ISERROR(VLOOKUP($U$166,'TAR FIN'!$A$1:$O$103,15,0)),0,VLOOKUP($U$166,'TAR FIN'!$A$1:$O$103,15,0))*(1-0.06)</f>
        <v>427.60599999999994</v>
      </c>
      <c r="Y166" s="53"/>
      <c r="Z166" s="53">
        <f ca="1">('TUSD BE'!$AM$21+'TUSD BF'!$AM$21+'TUSD CVA'!$AM$21)*1*(1-0.03)</f>
        <v>1111.9887324983497</v>
      </c>
      <c r="AA166" s="53">
        <f>('TE BE'!$AB$8+'TE BF'!$AB$8+'TE CVA'!$AB$8)*1*(1-0.03)</f>
        <v>402.60285579025447</v>
      </c>
      <c r="AB166" s="53">
        <f>(SUBSIDIO!$J$166*SUBSIDIO!$V$166)*(0.06)/(1-0.06)</f>
        <v>0</v>
      </c>
      <c r="AC166" s="53">
        <f>((SUBSIDIO!$L$166*SUBSIDIO!$W$166)+(SUBSIDIO!$N$166*SUBSIDIO!$X$166))*(0.06)/(1-0.06)</f>
        <v>3514.7645507999991</v>
      </c>
      <c r="AD166" s="53">
        <f>(SUBSIDIO!$J$166*SUBSIDIO!$Y$166)*(0.03)/(1-0.03)</f>
        <v>0</v>
      </c>
      <c r="AE166" s="53">
        <f ca="1">((SUBSIDIO!$L$166*SUBSIDIO!$Z$166)+(SUBSIDIO!$N$166*SUBSIDIO!$AA$166))*(0.03)/(1-0.03)</f>
        <v>2115.3379467196946</v>
      </c>
      <c r="AF166" s="4" t="s">
        <v>778</v>
      </c>
    </row>
    <row r="167" spans="1:32" ht="11.25" customHeight="1" x14ac:dyDescent="0.25">
      <c r="A167" s="4" t="s">
        <v>21</v>
      </c>
      <c r="B167" s="4" t="s">
        <v>33</v>
      </c>
      <c r="C167" s="4" t="s">
        <v>34</v>
      </c>
      <c r="D167" s="4" t="s">
        <v>50</v>
      </c>
      <c r="E167" s="4" t="s">
        <v>51</v>
      </c>
      <c r="F167" s="4" t="s">
        <v>25</v>
      </c>
      <c r="G167" s="4" t="s">
        <v>25</v>
      </c>
      <c r="H167" s="4" t="s">
        <v>37</v>
      </c>
      <c r="I167" s="5">
        <v>44440</v>
      </c>
      <c r="J167" s="6">
        <v>0</v>
      </c>
      <c r="K167" s="53">
        <v>0</v>
      </c>
      <c r="L167" s="6">
        <v>42.091000000000001</v>
      </c>
      <c r="M167" s="53">
        <v>42.091000000000001</v>
      </c>
      <c r="N167" s="6">
        <v>42.091000000000001</v>
      </c>
      <c r="O167" s="53">
        <v>42.091000000000001</v>
      </c>
      <c r="P167" s="6">
        <v>0</v>
      </c>
      <c r="Q167" s="4" t="s">
        <v>26</v>
      </c>
      <c r="R167" s="4">
        <v>0</v>
      </c>
      <c r="S167" s="4">
        <v>0</v>
      </c>
      <c r="T167" s="4">
        <v>19</v>
      </c>
      <c r="U167" s="4">
        <v>65</v>
      </c>
      <c r="V167" s="53">
        <f>IF(ISERROR(VLOOKUP($S$167,'TAR FIN'!$A$1:$O$103,15,0)),0,VLOOKUP($S$167,'TAR FIN'!$A$1:$O$103,15,0))</f>
        <v>0</v>
      </c>
      <c r="W167" s="53">
        <f>IF(ISERROR(VLOOKUP($T$167,'TAR FIN'!$A$1:$O$103,15,0)),0,VLOOKUP($T$167,'TAR FIN'!$A$1:$O$103,15,0))*(1-0.06)</f>
        <v>791.77139999999986</v>
      </c>
      <c r="X167" s="53">
        <f>IF(ISERROR(VLOOKUP($U$167,'TAR FIN'!$A$1:$O$103,15,0)),0,VLOOKUP($U$167,'TAR FIN'!$A$1:$O$103,15,0))*(1-0.06)</f>
        <v>427.60599999999994</v>
      </c>
      <c r="Y167" s="53"/>
      <c r="Z167" s="53">
        <f ca="1">('TUSD BE'!$AM$21+'TUSD BF'!$AM$21+'TUSD CVA'!$AM$21)*1*(1-0.03)</f>
        <v>1111.9887324983497</v>
      </c>
      <c r="AA167" s="53">
        <f>('TE BE'!$AB$8+'TE BF'!$AB$8+'TE CVA'!$AB$8)*1*(1-0.03)</f>
        <v>402.60285579025447</v>
      </c>
      <c r="AB167" s="53">
        <f>(SUBSIDIO!$J$167*SUBSIDIO!$V$167)*(0.06)/(1-0.06)</f>
        <v>0</v>
      </c>
      <c r="AC167" s="53">
        <f>((SUBSIDIO!$L$167*SUBSIDIO!$W$167)+(SUBSIDIO!$N$167*SUBSIDIO!$X$167))*(0.06)/(1-0.06)</f>
        <v>3276.0519665999991</v>
      </c>
      <c r="AD167" s="53">
        <f>(SUBSIDIO!$J$167*SUBSIDIO!$Y$167)*(0.03)/(1-0.03)</f>
        <v>0</v>
      </c>
      <c r="AE167" s="53">
        <f ca="1">((SUBSIDIO!$L$167*SUBSIDIO!$Z$167)+(SUBSIDIO!$N$167*SUBSIDIO!$AA$167))*(0.03)/(1-0.03)</f>
        <v>1971.6703466800711</v>
      </c>
      <c r="AF167" s="4" t="s">
        <v>778</v>
      </c>
    </row>
    <row r="168" spans="1:32" ht="11.25" customHeight="1" x14ac:dyDescent="0.25">
      <c r="A168" s="4" t="s">
        <v>21</v>
      </c>
      <c r="B168" s="4" t="s">
        <v>33</v>
      </c>
      <c r="C168" s="4" t="s">
        <v>34</v>
      </c>
      <c r="D168" s="4" t="s">
        <v>50</v>
      </c>
      <c r="E168" s="4" t="s">
        <v>51</v>
      </c>
      <c r="F168" s="4" t="s">
        <v>25</v>
      </c>
      <c r="G168" s="4" t="s">
        <v>25</v>
      </c>
      <c r="H168" s="4" t="s">
        <v>37</v>
      </c>
      <c r="I168" s="5">
        <v>44470</v>
      </c>
      <c r="J168" s="6">
        <v>0</v>
      </c>
      <c r="K168" s="53">
        <v>0</v>
      </c>
      <c r="L168" s="6">
        <v>43.345999999999997</v>
      </c>
      <c r="M168" s="53">
        <v>43.345999999999997</v>
      </c>
      <c r="N168" s="6">
        <v>43.345999999999997</v>
      </c>
      <c r="O168" s="53">
        <v>43.345999999999997</v>
      </c>
      <c r="P168" s="6">
        <v>0</v>
      </c>
      <c r="Q168" s="4" t="s">
        <v>26</v>
      </c>
      <c r="R168" s="4">
        <v>0</v>
      </c>
      <c r="S168" s="4">
        <v>0</v>
      </c>
      <c r="T168" s="4">
        <v>19</v>
      </c>
      <c r="U168" s="4">
        <v>65</v>
      </c>
      <c r="V168" s="53">
        <f>IF(ISERROR(VLOOKUP($S$168,'TAR FIN'!$A$1:$O$103,15,0)),0,VLOOKUP($S$168,'TAR FIN'!$A$1:$O$103,15,0))</f>
        <v>0</v>
      </c>
      <c r="W168" s="53">
        <f>IF(ISERROR(VLOOKUP($T$168,'TAR FIN'!$A$1:$O$103,15,0)),0,VLOOKUP($T$168,'TAR FIN'!$A$1:$O$103,15,0))*(1-0.06)</f>
        <v>791.77139999999986</v>
      </c>
      <c r="X168" s="53">
        <f>IF(ISERROR(VLOOKUP($U$168,'TAR FIN'!$A$1:$O$103,15,0)),0,VLOOKUP($U$168,'TAR FIN'!$A$1:$O$103,15,0))*(1-0.06)</f>
        <v>427.60599999999994</v>
      </c>
      <c r="Y168" s="53"/>
      <c r="Z168" s="53">
        <f ca="1">('TUSD BE'!$AM$21+'TUSD BF'!$AM$21+'TUSD CVA'!$AM$21)*1*(1-0.03)</f>
        <v>1111.9887324983497</v>
      </c>
      <c r="AA168" s="53">
        <f>('TE BE'!$AB$8+'TE BF'!$AB$8+'TE CVA'!$AB$8)*1*(1-0.03)</f>
        <v>402.60285579025447</v>
      </c>
      <c r="AB168" s="53">
        <f>(SUBSIDIO!$J$168*SUBSIDIO!$V$168)*(0.06)/(1-0.06)</f>
        <v>0</v>
      </c>
      <c r="AC168" s="53">
        <f>((SUBSIDIO!$L$168*SUBSIDIO!$W$168)+(SUBSIDIO!$N$168*SUBSIDIO!$X$168))*(0.06)/(1-0.06)</f>
        <v>3373.7318795999995</v>
      </c>
      <c r="AD168" s="53">
        <f>(SUBSIDIO!$J$168*SUBSIDIO!$Y$168)*(0.03)/(1-0.03)</f>
        <v>0</v>
      </c>
      <c r="AE168" s="53">
        <f ca="1">((SUBSIDIO!$L$168*SUBSIDIO!$Z$168)+(SUBSIDIO!$N$168*SUBSIDIO!$AA$168))*(0.03)/(1-0.03)</f>
        <v>2030.4583603904484</v>
      </c>
      <c r="AF168" s="4" t="s">
        <v>778</v>
      </c>
    </row>
    <row r="169" spans="1:32" ht="11.25" customHeight="1" x14ac:dyDescent="0.25">
      <c r="A169" s="4" t="s">
        <v>21</v>
      </c>
      <c r="B169" s="4" t="s">
        <v>33</v>
      </c>
      <c r="C169" s="4" t="s">
        <v>34</v>
      </c>
      <c r="D169" s="4" t="s">
        <v>50</v>
      </c>
      <c r="E169" s="4" t="s">
        <v>51</v>
      </c>
      <c r="F169" s="4" t="s">
        <v>25</v>
      </c>
      <c r="G169" s="4" t="s">
        <v>25</v>
      </c>
      <c r="H169" s="4" t="s">
        <v>37</v>
      </c>
      <c r="I169" s="5">
        <v>44501</v>
      </c>
      <c r="J169" s="6">
        <v>0</v>
      </c>
      <c r="K169" s="53">
        <v>0</v>
      </c>
      <c r="L169" s="6">
        <v>44.795999999999999</v>
      </c>
      <c r="M169" s="53">
        <v>44.795999999999999</v>
      </c>
      <c r="N169" s="6">
        <v>44.795999999999999</v>
      </c>
      <c r="O169" s="53">
        <v>44.795999999999999</v>
      </c>
      <c r="P169" s="6">
        <v>0</v>
      </c>
      <c r="Q169" s="4" t="s">
        <v>26</v>
      </c>
      <c r="R169" s="4">
        <v>0</v>
      </c>
      <c r="S169" s="4">
        <v>0</v>
      </c>
      <c r="T169" s="4">
        <v>19</v>
      </c>
      <c r="U169" s="4">
        <v>65</v>
      </c>
      <c r="V169" s="53">
        <f>IF(ISERROR(VLOOKUP($S$169,'TAR FIN'!$A$1:$O$103,15,0)),0,VLOOKUP($S$169,'TAR FIN'!$A$1:$O$103,15,0))</f>
        <v>0</v>
      </c>
      <c r="W169" s="53">
        <f>IF(ISERROR(VLOOKUP($T$169,'TAR FIN'!$A$1:$O$103,15,0)),0,VLOOKUP($T$169,'TAR FIN'!$A$1:$O$103,15,0))*(1-0.06)</f>
        <v>791.77139999999986</v>
      </c>
      <c r="X169" s="53">
        <f>IF(ISERROR(VLOOKUP($U$169,'TAR FIN'!$A$1:$O$103,15,0)),0,VLOOKUP($U$169,'TAR FIN'!$A$1:$O$103,15,0))*(1-0.06)</f>
        <v>427.60599999999994</v>
      </c>
      <c r="Y169" s="53"/>
      <c r="Z169" s="53">
        <f ca="1">('TUSD BE'!$AM$21+'TUSD BF'!$AM$21+'TUSD CVA'!$AM$21)*1*(1-0.03)</f>
        <v>1111.9887324983497</v>
      </c>
      <c r="AA169" s="53">
        <f>('TE BE'!$AB$8+'TE BF'!$AB$8+'TE CVA'!$AB$8)*1*(1-0.03)</f>
        <v>402.60285579025447</v>
      </c>
      <c r="AB169" s="53">
        <f>(SUBSIDIO!$J$169*SUBSIDIO!$V$169)*(0.06)/(1-0.06)</f>
        <v>0</v>
      </c>
      <c r="AC169" s="53">
        <f>((SUBSIDIO!$L$169*SUBSIDIO!$W$169)+(SUBSIDIO!$N$169*SUBSIDIO!$X$169))*(0.06)/(1-0.06)</f>
        <v>3486.5891495999995</v>
      </c>
      <c r="AD169" s="53">
        <f>(SUBSIDIO!$J$169*SUBSIDIO!$Y$169)*(0.03)/(1-0.03)</f>
        <v>0</v>
      </c>
      <c r="AE169" s="53">
        <f ca="1">((SUBSIDIO!$L$169*SUBSIDIO!$Z$169)+(SUBSIDIO!$N$169*SUBSIDIO!$AA$169))*(0.03)/(1-0.03)</f>
        <v>2098.3807666693706</v>
      </c>
      <c r="AF169" s="4" t="s">
        <v>778</v>
      </c>
    </row>
    <row r="170" spans="1:32" ht="11.25" customHeight="1" x14ac:dyDescent="0.25">
      <c r="A170" s="4" t="s">
        <v>21</v>
      </c>
      <c r="B170" s="4" t="s">
        <v>33</v>
      </c>
      <c r="C170" s="4" t="s">
        <v>34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37</v>
      </c>
      <c r="I170" s="5">
        <v>44531</v>
      </c>
      <c r="J170" s="6">
        <v>0</v>
      </c>
      <c r="K170" s="53">
        <v>0</v>
      </c>
      <c r="L170" s="6">
        <v>52.677</v>
      </c>
      <c r="M170" s="53">
        <v>52.677</v>
      </c>
      <c r="N170" s="6">
        <v>52.677</v>
      </c>
      <c r="O170" s="53">
        <v>52.677</v>
      </c>
      <c r="P170" s="6">
        <v>0</v>
      </c>
      <c r="Q170" s="4" t="s">
        <v>26</v>
      </c>
      <c r="R170" s="4">
        <v>0</v>
      </c>
      <c r="S170" s="4">
        <v>0</v>
      </c>
      <c r="T170" s="4">
        <v>19</v>
      </c>
      <c r="U170" s="4">
        <v>65</v>
      </c>
      <c r="V170" s="53">
        <f>IF(ISERROR(VLOOKUP($S$170,'TAR FIN'!$A$1:$O$103,15,0)),0,VLOOKUP($S$170,'TAR FIN'!$A$1:$O$103,15,0))</f>
        <v>0</v>
      </c>
      <c r="W170" s="53">
        <f>IF(ISERROR(VLOOKUP($T$170,'TAR FIN'!$A$1:$O$103,15,0)),0,VLOOKUP($T$170,'TAR FIN'!$A$1:$O$103,15,0))*(1-0.06)</f>
        <v>791.77139999999986</v>
      </c>
      <c r="X170" s="53">
        <f>IF(ISERROR(VLOOKUP($U$170,'TAR FIN'!$A$1:$O$103,15,0)),0,VLOOKUP($U$170,'TAR FIN'!$A$1:$O$103,15,0))*(1-0.06)</f>
        <v>427.60599999999994</v>
      </c>
      <c r="Y170" s="53"/>
      <c r="Z170" s="53">
        <f ca="1">('TUSD BE'!$AM$21+'TUSD BF'!$AM$21+'TUSD CVA'!$AM$21)*1*(1-0.03)</f>
        <v>1111.9887324983497</v>
      </c>
      <c r="AA170" s="53">
        <f>('TE BE'!$AB$8+'TE BF'!$AB$8+'TE CVA'!$AB$8)*1*(1-0.03)</f>
        <v>402.60285579025447</v>
      </c>
      <c r="AB170" s="53">
        <f>(SUBSIDIO!$J$170*SUBSIDIO!$V$170)*(0.06)/(1-0.06)</f>
        <v>0</v>
      </c>
      <c r="AC170" s="53">
        <f>((SUBSIDIO!$L$170*SUBSIDIO!$W$170)+(SUBSIDIO!$N$170*SUBSIDIO!$X$170))*(0.06)/(1-0.06)</f>
        <v>4099.9878701999996</v>
      </c>
      <c r="AD170" s="53">
        <f>(SUBSIDIO!$J$170*SUBSIDIO!$Y$170)*(0.03)/(1-0.03)</f>
        <v>0</v>
      </c>
      <c r="AE170" s="53">
        <f ca="1">((SUBSIDIO!$L$170*SUBSIDIO!$Z$170)+(SUBSIDIO!$N$170*SUBSIDIO!$AA$170))*(0.03)/(1-0.03)</f>
        <v>2467.5507555550148</v>
      </c>
      <c r="AF170" s="4" t="s">
        <v>778</v>
      </c>
    </row>
    <row r="171" spans="1:32" ht="11.25" customHeight="1" x14ac:dyDescent="0.25">
      <c r="A171" s="4" t="s">
        <v>21</v>
      </c>
      <c r="B171" s="4" t="s">
        <v>33</v>
      </c>
      <c r="C171" s="4" t="s">
        <v>34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37</v>
      </c>
      <c r="I171" s="5">
        <v>44562</v>
      </c>
      <c r="J171" s="6">
        <v>0</v>
      </c>
      <c r="K171" s="53">
        <v>0</v>
      </c>
      <c r="L171" s="6">
        <v>49.811999999999998</v>
      </c>
      <c r="M171" s="53">
        <v>49.811999999999998</v>
      </c>
      <c r="N171" s="6">
        <v>49.811999999999998</v>
      </c>
      <c r="O171" s="53">
        <v>49.811999999999998</v>
      </c>
      <c r="P171" s="6">
        <v>0</v>
      </c>
      <c r="Q171" s="4" t="s">
        <v>26</v>
      </c>
      <c r="R171" s="4">
        <v>0</v>
      </c>
      <c r="S171" s="4">
        <v>0</v>
      </c>
      <c r="T171" s="4">
        <v>19</v>
      </c>
      <c r="U171" s="4">
        <v>65</v>
      </c>
      <c r="V171" s="53">
        <f>IF(ISERROR(VLOOKUP($S$171,'TAR FIN'!$A$1:$O$103,15,0)),0,VLOOKUP($S$171,'TAR FIN'!$A$1:$O$103,15,0))</f>
        <v>0</v>
      </c>
      <c r="W171" s="53">
        <f>IF(ISERROR(VLOOKUP($T$171,'TAR FIN'!$A$1:$O$103,15,0)),0,VLOOKUP($T$171,'TAR FIN'!$A$1:$O$103,15,0))*(1-0.06)</f>
        <v>791.77139999999986</v>
      </c>
      <c r="X171" s="53">
        <f>IF(ISERROR(VLOOKUP($U$171,'TAR FIN'!$A$1:$O$103,15,0)),0,VLOOKUP($U$171,'TAR FIN'!$A$1:$O$103,15,0))*(1-0.06)</f>
        <v>427.60599999999994</v>
      </c>
      <c r="Y171" s="53"/>
      <c r="Z171" s="53">
        <f ca="1">('TUSD BE'!$AM$21+'TUSD BF'!$AM$21+'TUSD CVA'!$AM$21)*1*(1-0.03)</f>
        <v>1111.9887324983497</v>
      </c>
      <c r="AA171" s="53">
        <f>('TE BE'!$AB$8+'TE BF'!$AB$8+'TE CVA'!$AB$8)*1*(1-0.03)</f>
        <v>402.60285579025447</v>
      </c>
      <c r="AB171" s="53">
        <f>(SUBSIDIO!$J$171*SUBSIDIO!$V$171)*(0.06)/(1-0.06)</f>
        <v>0</v>
      </c>
      <c r="AC171" s="53">
        <f>((SUBSIDIO!$L$171*SUBSIDIO!$W$171)+(SUBSIDIO!$N$171*SUBSIDIO!$X$171))*(0.06)/(1-0.06)</f>
        <v>3876.9974711999994</v>
      </c>
      <c r="AD171" s="53">
        <f>(SUBSIDIO!$J$171*SUBSIDIO!$Y$171)*(0.03)/(1-0.03)</f>
        <v>0</v>
      </c>
      <c r="AE171" s="53">
        <f ca="1">((SUBSIDIO!$L$171*SUBSIDIO!$Z$171)+(SUBSIDIO!$N$171*SUBSIDIO!$AA$171))*(0.03)/(1-0.03)</f>
        <v>2333.3454493556274</v>
      </c>
      <c r="AF171" s="4" t="s">
        <v>778</v>
      </c>
    </row>
    <row r="172" spans="1:32" ht="11.25" customHeight="1" x14ac:dyDescent="0.25">
      <c r="A172" s="4" t="s">
        <v>21</v>
      </c>
      <c r="B172" s="4" t="s">
        <v>33</v>
      </c>
      <c r="C172" s="4" t="s">
        <v>34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37</v>
      </c>
      <c r="I172" s="5">
        <v>44593</v>
      </c>
      <c r="J172" s="6">
        <v>0</v>
      </c>
      <c r="K172" s="53">
        <v>0</v>
      </c>
      <c r="L172" s="6">
        <v>47.137999999999998</v>
      </c>
      <c r="M172" s="53">
        <v>47.137999999999998</v>
      </c>
      <c r="N172" s="6">
        <v>47.137999999999998</v>
      </c>
      <c r="O172" s="53">
        <v>47.137999999999998</v>
      </c>
      <c r="P172" s="6">
        <v>0</v>
      </c>
      <c r="Q172" s="4" t="s">
        <v>26</v>
      </c>
      <c r="R172" s="4">
        <v>0</v>
      </c>
      <c r="S172" s="4">
        <v>0</v>
      </c>
      <c r="T172" s="4">
        <v>19</v>
      </c>
      <c r="U172" s="4">
        <v>65</v>
      </c>
      <c r="V172" s="53">
        <f>IF(ISERROR(VLOOKUP($S$172,'TAR FIN'!$A$1:$O$103,15,0)),0,VLOOKUP($S$172,'TAR FIN'!$A$1:$O$103,15,0))</f>
        <v>0</v>
      </c>
      <c r="W172" s="53">
        <f>IF(ISERROR(VLOOKUP($T$172,'TAR FIN'!$A$1:$O$103,15,0)),0,VLOOKUP($T$172,'TAR FIN'!$A$1:$O$103,15,0))*(1-0.06)</f>
        <v>791.77139999999986</v>
      </c>
      <c r="X172" s="53">
        <f>IF(ISERROR(VLOOKUP($U$172,'TAR FIN'!$A$1:$O$103,15,0)),0,VLOOKUP($U$172,'TAR FIN'!$A$1:$O$103,15,0))*(1-0.06)</f>
        <v>427.60599999999994</v>
      </c>
      <c r="Y172" s="53"/>
      <c r="Z172" s="53">
        <f ca="1">('TUSD BE'!$AM$21+'TUSD BF'!$AM$21+'TUSD CVA'!$AM$21)*1*(1-0.03)</f>
        <v>1111.9887324983497</v>
      </c>
      <c r="AA172" s="53">
        <f>('TE BE'!$AB$8+'TE BF'!$AB$8+'TE CVA'!$AB$8)*1*(1-0.03)</f>
        <v>402.60285579025447</v>
      </c>
      <c r="AB172" s="53">
        <f>(SUBSIDIO!$J$172*SUBSIDIO!$V$172)*(0.06)/(1-0.06)</f>
        <v>0</v>
      </c>
      <c r="AC172" s="53">
        <f>((SUBSIDIO!$L$172*SUBSIDIO!$W$172)+(SUBSIDIO!$N$172*SUBSIDIO!$X$172))*(0.06)/(1-0.06)</f>
        <v>3668.8730987999993</v>
      </c>
      <c r="AD172" s="53">
        <f>(SUBSIDIO!$J$172*SUBSIDIO!$Y$172)*(0.03)/(1-0.03)</f>
        <v>0</v>
      </c>
      <c r="AE172" s="53">
        <f ca="1">((SUBSIDIO!$L$172*SUBSIDIO!$Z$172)+(SUBSIDIO!$N$172*SUBSIDIO!$AA$172))*(0.03)/(1-0.03)</f>
        <v>2208.0871635695325</v>
      </c>
      <c r="AF172" s="4" t="s">
        <v>778</v>
      </c>
    </row>
    <row r="173" spans="1:32" ht="11.25" customHeight="1" x14ac:dyDescent="0.25">
      <c r="A173" s="4" t="s">
        <v>21</v>
      </c>
      <c r="B173" s="4" t="s">
        <v>33</v>
      </c>
      <c r="C173" s="4" t="s">
        <v>34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37</v>
      </c>
      <c r="I173" s="5">
        <v>44621</v>
      </c>
      <c r="J173" s="6">
        <v>0</v>
      </c>
      <c r="K173" s="53">
        <v>0</v>
      </c>
      <c r="L173" s="6">
        <v>44.237000000000002</v>
      </c>
      <c r="M173" s="53">
        <v>44.237000000000002</v>
      </c>
      <c r="N173" s="6">
        <v>44.237000000000002</v>
      </c>
      <c r="O173" s="53">
        <v>44.237000000000002</v>
      </c>
      <c r="P173" s="6">
        <v>0</v>
      </c>
      <c r="Q173" s="4" t="s">
        <v>26</v>
      </c>
      <c r="R173" s="4">
        <v>0</v>
      </c>
      <c r="S173" s="4">
        <v>0</v>
      </c>
      <c r="T173" s="4">
        <v>19</v>
      </c>
      <c r="U173" s="4">
        <v>65</v>
      </c>
      <c r="V173" s="53">
        <f>IF(ISERROR(VLOOKUP($S$173,'TAR FIN'!$A$1:$O$103,15,0)),0,VLOOKUP($S$173,'TAR FIN'!$A$1:$O$103,15,0))</f>
        <v>0</v>
      </c>
      <c r="W173" s="53">
        <f>IF(ISERROR(VLOOKUP($T$173,'TAR FIN'!$A$1:$O$103,15,0)),0,VLOOKUP($T$173,'TAR FIN'!$A$1:$O$103,15,0))*(1-0.06)</f>
        <v>791.77139999999986</v>
      </c>
      <c r="X173" s="53">
        <f>IF(ISERROR(VLOOKUP($U$173,'TAR FIN'!$A$1:$O$103,15,0)),0,VLOOKUP($U$173,'TAR FIN'!$A$1:$O$103,15,0))*(1-0.06)</f>
        <v>427.60599999999994</v>
      </c>
      <c r="Y173" s="53"/>
      <c r="Z173" s="53">
        <f ca="1">('TUSD BE'!$AM$21+'TUSD BF'!$AM$21+'TUSD CVA'!$AM$21)*1*(1-0.03)</f>
        <v>1111.9887324983497</v>
      </c>
      <c r="AA173" s="53">
        <f>('TE BE'!$AB$8+'TE BF'!$AB$8+'TE CVA'!$AB$8)*1*(1-0.03)</f>
        <v>402.60285579025447</v>
      </c>
      <c r="AB173" s="53">
        <f>(SUBSIDIO!$J$173*SUBSIDIO!$V$173)*(0.06)/(1-0.06)</f>
        <v>0</v>
      </c>
      <c r="AC173" s="53">
        <f>((SUBSIDIO!$L$173*SUBSIDIO!$W$173)+(SUBSIDIO!$N$173*SUBSIDIO!$X$173))*(0.06)/(1-0.06)</f>
        <v>3443.0807262000003</v>
      </c>
      <c r="AD173" s="53">
        <f>(SUBSIDIO!$J$173*SUBSIDIO!$Y$173)*(0.03)/(1-0.03)</f>
        <v>0</v>
      </c>
      <c r="AE173" s="53">
        <f ca="1">((SUBSIDIO!$L$173*SUBSIDIO!$Z$173)+(SUBSIDIO!$N$173*SUBSIDIO!$AA$173))*(0.03)/(1-0.03)</f>
        <v>2072.1955079728759</v>
      </c>
      <c r="AF173" s="4" t="s">
        <v>778</v>
      </c>
    </row>
    <row r="174" spans="1:32" ht="11.25" customHeight="1" x14ac:dyDescent="0.25">
      <c r="A174" s="4" t="s">
        <v>21</v>
      </c>
      <c r="B174" s="4" t="s">
        <v>33</v>
      </c>
      <c r="C174" s="4" t="s">
        <v>34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37</v>
      </c>
      <c r="I174" s="5">
        <v>44652</v>
      </c>
      <c r="J174" s="6">
        <v>0</v>
      </c>
      <c r="K174" s="53">
        <v>0</v>
      </c>
      <c r="L174" s="6">
        <v>45.927999999999997</v>
      </c>
      <c r="M174" s="53">
        <v>45.927999999999997</v>
      </c>
      <c r="N174" s="6">
        <v>45.927999999999997</v>
      </c>
      <c r="O174" s="53">
        <v>45.927999999999997</v>
      </c>
      <c r="P174" s="6">
        <v>0</v>
      </c>
      <c r="Q174" s="4" t="s">
        <v>26</v>
      </c>
      <c r="R174" s="4">
        <v>0</v>
      </c>
      <c r="S174" s="4">
        <v>0</v>
      </c>
      <c r="T174" s="4">
        <v>19</v>
      </c>
      <c r="U174" s="4">
        <v>65</v>
      </c>
      <c r="V174" s="53">
        <f>IF(ISERROR(VLOOKUP($S$174,'TAR FIN'!$A$1:$O$103,15,0)),0,VLOOKUP($S$174,'TAR FIN'!$A$1:$O$103,15,0))</f>
        <v>0</v>
      </c>
      <c r="W174" s="53">
        <f>IF(ISERROR(VLOOKUP($T$174,'TAR FIN'!$A$1:$O$103,15,0)),0,VLOOKUP($T$174,'TAR FIN'!$A$1:$O$103,15,0))*(1-0.06)</f>
        <v>791.77139999999986</v>
      </c>
      <c r="X174" s="53">
        <f>IF(ISERROR(VLOOKUP($U$174,'TAR FIN'!$A$1:$O$103,15,0)),0,VLOOKUP($U$174,'TAR FIN'!$A$1:$O$103,15,0))*(1-0.06)</f>
        <v>427.60599999999994</v>
      </c>
      <c r="Y174" s="53"/>
      <c r="Z174" s="53">
        <f ca="1">('TUSD BE'!$AM$21+'TUSD BF'!$AM$21+'TUSD CVA'!$AM$21)*1*(1-0.03)</f>
        <v>1111.9887324983497</v>
      </c>
      <c r="AA174" s="53">
        <f>('TE BE'!$AB$8+'TE BF'!$AB$8+'TE CVA'!$AB$8)*1*(1-0.03)</f>
        <v>402.60285579025447</v>
      </c>
      <c r="AB174" s="53">
        <f>(SUBSIDIO!$J$174*SUBSIDIO!$V$174)*(0.06)/(1-0.06)</f>
        <v>0</v>
      </c>
      <c r="AC174" s="53">
        <f>((SUBSIDIO!$L$174*SUBSIDIO!$W$174)+(SUBSIDIO!$N$174*SUBSIDIO!$X$174))*(0.06)/(1-0.06)</f>
        <v>3574.6956527999992</v>
      </c>
      <c r="AD174" s="53">
        <f>(SUBSIDIO!$J$174*SUBSIDIO!$Y$174)*(0.03)/(1-0.03)</f>
        <v>0</v>
      </c>
      <c r="AE174" s="53">
        <f ca="1">((SUBSIDIO!$L$174*SUBSIDIO!$Z$174)+(SUBSIDIO!$N$174*SUBSIDIO!$AA$174))*(0.03)/(1-0.03)</f>
        <v>2151.4070866057423</v>
      </c>
      <c r="AF174" s="4" t="s">
        <v>778</v>
      </c>
    </row>
    <row r="175" spans="1:32" ht="11.25" customHeight="1" x14ac:dyDescent="0.25">
      <c r="A175" s="4" t="s">
        <v>21</v>
      </c>
      <c r="B175" s="4" t="s">
        <v>33</v>
      </c>
      <c r="C175" s="4" t="s">
        <v>34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37</v>
      </c>
      <c r="I175" s="5">
        <v>44682</v>
      </c>
      <c r="J175" s="6">
        <v>0</v>
      </c>
      <c r="K175" s="53">
        <v>0</v>
      </c>
      <c r="L175" s="6">
        <v>52.463999999999999</v>
      </c>
      <c r="M175" s="53">
        <v>52.463999999999999</v>
      </c>
      <c r="N175" s="6">
        <v>52.463999999999999</v>
      </c>
      <c r="O175" s="53">
        <v>52.463999999999999</v>
      </c>
      <c r="P175" s="6">
        <v>0</v>
      </c>
      <c r="Q175" s="4" t="s">
        <v>26</v>
      </c>
      <c r="R175" s="4">
        <v>0</v>
      </c>
      <c r="S175" s="4">
        <v>0</v>
      </c>
      <c r="T175" s="4">
        <v>19</v>
      </c>
      <c r="U175" s="4">
        <v>65</v>
      </c>
      <c r="V175" s="53">
        <f>IF(ISERROR(VLOOKUP($S$175,'TAR FIN'!$A$1:$O$103,15,0)),0,VLOOKUP($S$175,'TAR FIN'!$A$1:$O$103,15,0))</f>
        <v>0</v>
      </c>
      <c r="W175" s="53">
        <f>IF(ISERROR(VLOOKUP($T$175,'TAR FIN'!$A$1:$O$103,15,0)),0,VLOOKUP($T$175,'TAR FIN'!$A$1:$O$103,15,0))*(1-0.06)</f>
        <v>791.77139999999986</v>
      </c>
      <c r="X175" s="53">
        <f>IF(ISERROR(VLOOKUP($U$175,'TAR FIN'!$A$1:$O$103,15,0)),0,VLOOKUP($U$175,'TAR FIN'!$A$1:$O$103,15,0))*(1-0.06)</f>
        <v>427.60599999999994</v>
      </c>
      <c r="Y175" s="53"/>
      <c r="Z175" s="53">
        <f ca="1">('TUSD BE'!$AM$21+'TUSD BF'!$AM$21+'TUSD CVA'!$AM$21)*1*(1-0.03)</f>
        <v>1111.9887324983497</v>
      </c>
      <c r="AA175" s="53">
        <f>('TE BE'!$AB$8+'TE BF'!$AB$8+'TE CVA'!$AB$8)*1*(1-0.03)</f>
        <v>402.60285579025447</v>
      </c>
      <c r="AB175" s="53">
        <f>(SUBSIDIO!$J$175*SUBSIDIO!$V$175)*(0.06)/(1-0.06)</f>
        <v>0</v>
      </c>
      <c r="AC175" s="53">
        <f>((SUBSIDIO!$L$175*SUBSIDIO!$W$175)+(SUBSIDIO!$N$175*SUBSIDIO!$X$175))*(0.06)/(1-0.06)</f>
        <v>4083.4095263999989</v>
      </c>
      <c r="AD175" s="53">
        <f>(SUBSIDIO!$J$175*SUBSIDIO!$Y$175)*(0.03)/(1-0.03)</f>
        <v>0</v>
      </c>
      <c r="AE175" s="53">
        <f ca="1">((SUBSIDIO!$L$175*SUBSIDIO!$Z$175)+(SUBSIDIO!$N$175*SUBSIDIO!$AA$175))*(0.03)/(1-0.03)</f>
        <v>2457.5731882878349</v>
      </c>
      <c r="AF175" s="4" t="s">
        <v>778</v>
      </c>
    </row>
    <row r="176" spans="1:32" ht="11.25" customHeight="1" x14ac:dyDescent="0.2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24</v>
      </c>
      <c r="F176" s="4" t="s">
        <v>25</v>
      </c>
      <c r="G176" s="4" t="s">
        <v>25</v>
      </c>
      <c r="H176" s="4" t="s">
        <v>25</v>
      </c>
      <c r="I176" s="5">
        <v>44348</v>
      </c>
      <c r="J176" s="6">
        <v>0</v>
      </c>
      <c r="K176" s="6">
        <v>0</v>
      </c>
      <c r="L176" s="6">
        <v>7050.8720000000003</v>
      </c>
      <c r="M176" s="6">
        <v>7050.8720000000003</v>
      </c>
      <c r="N176" s="6">
        <v>7050.8720000000003</v>
      </c>
      <c r="O176" s="6">
        <v>7050.8720000000003</v>
      </c>
      <c r="P176" s="6">
        <v>43492</v>
      </c>
      <c r="Q176" s="4" t="s">
        <v>26</v>
      </c>
      <c r="R176" s="4">
        <v>0</v>
      </c>
      <c r="S176" s="4">
        <v>0</v>
      </c>
      <c r="T176" s="4">
        <v>30</v>
      </c>
      <c r="U176" s="4">
        <v>71</v>
      </c>
      <c r="V176" s="6">
        <f>IF(ISERROR(VLOOKUP($S$176,'TAR FIN'!$A$1:$O$103,15,0)),0,VLOOKUP($S$176,'TAR FIN'!$A$1:$O$103,15,0))</f>
        <v>0</v>
      </c>
      <c r="W176" s="6">
        <f>IF(ISERROR(VLOOKUP($T$176,'TAR FIN'!$A$1:$O$103,15,0)),0,VLOOKUP($T$176,'TAR FIN'!$A$1:$O$103,15,0))</f>
        <v>269.91000000000003</v>
      </c>
      <c r="X176" s="6">
        <f>IF(ISERROR(VLOOKUP($U$176,'TAR FIN'!$A$1:$O$103,15,0)),0,VLOOKUP($U$176,'TAR FIN'!$A$1:$O$103,15,0))</f>
        <v>288.89999999999998</v>
      </c>
      <c r="Y176" s="6"/>
      <c r="Z176" s="6">
        <f ca="1">('TUSD BE'!$AM$30+'TUSD BF'!$AM$30+'TUSD CVA'!$AM$30)*1</f>
        <v>362.48776111536552</v>
      </c>
      <c r="AA176" s="6">
        <f>('TE BE'!$AB$14+'TE BF'!$AB$14+'TE CVA'!$AB$14)*1</f>
        <v>272.03825149820085</v>
      </c>
      <c r="AB176" s="6">
        <f t="shared" ref="AB176:AB193" si="14">(J176-K176)*V176</f>
        <v>0</v>
      </c>
      <c r="AC176" s="6">
        <f>(L176-M176)*W176+(N176-O176)*X176</f>
        <v>0</v>
      </c>
      <c r="AD176" s="6">
        <f t="shared" ref="AD176:AD193" si="15">(J176-K176)*Y176</f>
        <v>0</v>
      </c>
      <c r="AE176" s="6">
        <f ca="1">(L176-M176)*Z176+(N176-O176)*AA176</f>
        <v>0</v>
      </c>
    </row>
    <row r="177" spans="1:32" ht="11.25" customHeight="1" x14ac:dyDescent="0.25">
      <c r="A177" s="4" t="s">
        <v>21</v>
      </c>
      <c r="B177" s="4" t="s">
        <v>22</v>
      </c>
      <c r="C177" s="4" t="s">
        <v>23</v>
      </c>
      <c r="D177" s="4" t="s">
        <v>24</v>
      </c>
      <c r="E177" s="4" t="s">
        <v>29</v>
      </c>
      <c r="F177" s="4" t="s">
        <v>25</v>
      </c>
      <c r="G177" s="4" t="s">
        <v>25</v>
      </c>
      <c r="H177" s="4" t="s">
        <v>25</v>
      </c>
      <c r="I177" s="5">
        <v>44348</v>
      </c>
      <c r="J177" s="6">
        <v>0</v>
      </c>
      <c r="K177" s="6">
        <v>0</v>
      </c>
      <c r="L177" s="6">
        <v>139.75299999999999</v>
      </c>
      <c r="M177" s="6">
        <v>139.75299999999999</v>
      </c>
      <c r="N177" s="6">
        <v>139.75299999999999</v>
      </c>
      <c r="O177" s="6">
        <v>139.75299999999999</v>
      </c>
      <c r="P177" s="6">
        <v>227</v>
      </c>
      <c r="Q177" s="4" t="s">
        <v>26</v>
      </c>
      <c r="R177" s="4">
        <v>0</v>
      </c>
      <c r="S177" s="4">
        <v>0</v>
      </c>
      <c r="T177" s="4">
        <v>31</v>
      </c>
      <c r="U177" s="4">
        <v>72</v>
      </c>
      <c r="V177" s="6">
        <f>IF(ISERROR(VLOOKUP($S$177,'TAR FIN'!$A$1:$O$103,15,0)),0,VLOOKUP($S$177,'TAR FIN'!$A$1:$O$103,15,0))</f>
        <v>0</v>
      </c>
      <c r="W177" s="6">
        <f>IF(ISERROR(VLOOKUP($T$177,'TAR FIN'!$A$1:$O$103,15,0)),0,VLOOKUP($T$177,'TAR FIN'!$A$1:$O$103,15,0))</f>
        <v>68.53</v>
      </c>
      <c r="X177" s="6">
        <f>IF(ISERROR(VLOOKUP($U$177,'TAR FIN'!$A$1:$O$103,15,0)),0,VLOOKUP($U$177,'TAR FIN'!$A$1:$O$103,15,0))</f>
        <v>101.12</v>
      </c>
      <c r="Y177" s="6"/>
      <c r="Z177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77" s="6">
        <f>('TE BE'!$AB$15+'TE BF'!$AB$15+'TE CVA'!$AB$15)*(1-CUSTOS!$M$34)</f>
        <v>95.213388024370289</v>
      </c>
      <c r="AB177" s="6">
        <f t="shared" si="14"/>
        <v>0</v>
      </c>
      <c r="AC177" s="6">
        <f>(L177-M177)*(W177+X177)+($W$232+$X$232-$W$177-$X$177)*(L177)</f>
        <v>44029.182649999988</v>
      </c>
      <c r="AD177" s="6">
        <f t="shared" si="15"/>
        <v>0</v>
      </c>
      <c r="AE177" s="6">
        <f ca="1">(L177-M177)*(Z177+AA177)+($Z$232+$AA$232-$Z$177-$AA$177)*(L177)</f>
        <v>46696.79640579909</v>
      </c>
      <c r="AF177" s="4" t="s">
        <v>780</v>
      </c>
    </row>
    <row r="178" spans="1:32" ht="11.25" customHeight="1" x14ac:dyDescent="0.25">
      <c r="A178" s="4" t="s">
        <v>21</v>
      </c>
      <c r="B178" s="4" t="s">
        <v>22</v>
      </c>
      <c r="C178" s="4" t="s">
        <v>23</v>
      </c>
      <c r="D178" s="4" t="s">
        <v>24</v>
      </c>
      <c r="E178" s="4" t="s">
        <v>29</v>
      </c>
      <c r="F178" s="4" t="s">
        <v>25</v>
      </c>
      <c r="G178" s="4" t="s">
        <v>25</v>
      </c>
      <c r="H178" s="4" t="s">
        <v>25</v>
      </c>
      <c r="I178" s="5">
        <v>44378</v>
      </c>
      <c r="J178" s="6">
        <v>0</v>
      </c>
      <c r="K178" s="6">
        <v>0</v>
      </c>
      <c r="L178" s="6">
        <v>141.46</v>
      </c>
      <c r="M178" s="6">
        <v>141.46</v>
      </c>
      <c r="N178" s="6">
        <v>141.46</v>
      </c>
      <c r="O178" s="6">
        <v>141.46</v>
      </c>
      <c r="P178" s="6">
        <v>254</v>
      </c>
      <c r="Q178" s="4" t="s">
        <v>26</v>
      </c>
      <c r="R178" s="4">
        <v>0</v>
      </c>
      <c r="S178" s="4">
        <v>0</v>
      </c>
      <c r="T178" s="4">
        <v>31</v>
      </c>
      <c r="U178" s="4">
        <v>72</v>
      </c>
      <c r="V178" s="6">
        <f>IF(ISERROR(VLOOKUP($S$178,'TAR FIN'!$A$1:$O$103,15,0)),0,VLOOKUP($S$178,'TAR FIN'!$A$1:$O$103,15,0))</f>
        <v>0</v>
      </c>
      <c r="W178" s="6">
        <f>IF(ISERROR(VLOOKUP($T$178,'TAR FIN'!$A$1:$O$103,15,0)),0,VLOOKUP($T$178,'TAR FIN'!$A$1:$O$103,15,0))</f>
        <v>68.53</v>
      </c>
      <c r="X178" s="6">
        <f>IF(ISERROR(VLOOKUP($U$178,'TAR FIN'!$A$1:$O$103,15,0)),0,VLOOKUP($U$178,'TAR FIN'!$A$1:$O$103,15,0))</f>
        <v>101.12</v>
      </c>
      <c r="Y178" s="6"/>
      <c r="Z178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78" s="6">
        <f>('TE BE'!$AB$15+'TE BF'!$AB$15+'TE CVA'!$AB$15)*(1-CUSTOS!$M$34)</f>
        <v>95.213388024370289</v>
      </c>
      <c r="AB178" s="6">
        <f t="shared" si="14"/>
        <v>0</v>
      </c>
      <c r="AC178" s="6">
        <f>(L178-M178)*(W178+X178)+($W$232+$X$232-$W$178-$X$178)*(L178)</f>
        <v>44566.972999999998</v>
      </c>
      <c r="AD178" s="6">
        <f t="shared" si="15"/>
        <v>0</v>
      </c>
      <c r="AE178" s="6">
        <f ca="1">(L178-M178)*(Z178+AA178)+($Z$232+$AA$232-$Z$178-$AA$178)*(L178)</f>
        <v>47267.17007552139</v>
      </c>
      <c r="AF178" s="4" t="s">
        <v>780</v>
      </c>
    </row>
    <row r="179" spans="1:32" ht="11.25" customHeight="1" x14ac:dyDescent="0.2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29</v>
      </c>
      <c r="F179" s="4" t="s">
        <v>25</v>
      </c>
      <c r="G179" s="4" t="s">
        <v>25</v>
      </c>
      <c r="H179" s="4" t="s">
        <v>25</v>
      </c>
      <c r="I179" s="5">
        <v>44409</v>
      </c>
      <c r="J179" s="6">
        <v>0</v>
      </c>
      <c r="K179" s="6">
        <v>0</v>
      </c>
      <c r="L179" s="6">
        <v>143.18799999999999</v>
      </c>
      <c r="M179" s="6">
        <v>143.18799999999999</v>
      </c>
      <c r="N179" s="6">
        <v>143.18799999999999</v>
      </c>
      <c r="O179" s="6">
        <v>143.18799999999999</v>
      </c>
      <c r="P179" s="6">
        <v>251</v>
      </c>
      <c r="Q179" s="4" t="s">
        <v>26</v>
      </c>
      <c r="R179" s="4">
        <v>0</v>
      </c>
      <c r="S179" s="4">
        <v>0</v>
      </c>
      <c r="T179" s="4">
        <v>31</v>
      </c>
      <c r="U179" s="4">
        <v>72</v>
      </c>
      <c r="V179" s="6">
        <f>IF(ISERROR(VLOOKUP($S$179,'TAR FIN'!$A$1:$O$103,15,0)),0,VLOOKUP($S$179,'TAR FIN'!$A$1:$O$103,15,0))</f>
        <v>0</v>
      </c>
      <c r="W179" s="6">
        <f>IF(ISERROR(VLOOKUP($T$179,'TAR FIN'!$A$1:$O$103,15,0)),0,VLOOKUP($T$179,'TAR FIN'!$A$1:$O$103,15,0))</f>
        <v>68.53</v>
      </c>
      <c r="X179" s="6">
        <f>IF(ISERROR(VLOOKUP($U$179,'TAR FIN'!$A$1:$O$103,15,0)),0,VLOOKUP($U$179,'TAR FIN'!$A$1:$O$103,15,0))</f>
        <v>101.12</v>
      </c>
      <c r="Y179" s="6"/>
      <c r="Z179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79" s="6">
        <f>('TE BE'!$AB$15+'TE BF'!$AB$15+'TE CVA'!$AB$15)*(1-CUSTOS!$M$34)</f>
        <v>95.213388024370289</v>
      </c>
      <c r="AB179" s="6">
        <f t="shared" si="14"/>
        <v>0</v>
      </c>
      <c r="AC179" s="6">
        <f>(L179-M179)*(W179+X179)+($W$232+$X$232-$W$179-$X$179)*(L179)</f>
        <v>45111.379399999991</v>
      </c>
      <c r="AD179" s="6">
        <f t="shared" si="15"/>
        <v>0</v>
      </c>
      <c r="AE179" s="6">
        <f ca="1">(L179-M179)*(Z179+AA179)+($Z$232+$AA$232-$Z$179-$AA$179)*(L179)</f>
        <v>47844.560644519697</v>
      </c>
      <c r="AF179" s="4" t="s">
        <v>780</v>
      </c>
    </row>
    <row r="180" spans="1:32" ht="11.25" customHeight="1" x14ac:dyDescent="0.2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29</v>
      </c>
      <c r="F180" s="4" t="s">
        <v>25</v>
      </c>
      <c r="G180" s="4" t="s">
        <v>25</v>
      </c>
      <c r="H180" s="4" t="s">
        <v>25</v>
      </c>
      <c r="I180" s="5">
        <v>44440</v>
      </c>
      <c r="J180" s="6">
        <v>0</v>
      </c>
      <c r="K180" s="6">
        <v>0</v>
      </c>
      <c r="L180" s="6">
        <v>144.38200000000001</v>
      </c>
      <c r="M180" s="6">
        <v>144.38200000000001</v>
      </c>
      <c r="N180" s="6">
        <v>144.38200000000001</v>
      </c>
      <c r="O180" s="6">
        <v>144.38200000000001</v>
      </c>
      <c r="P180" s="6">
        <v>217</v>
      </c>
      <c r="Q180" s="4" t="s">
        <v>26</v>
      </c>
      <c r="R180" s="4">
        <v>0</v>
      </c>
      <c r="S180" s="4">
        <v>0</v>
      </c>
      <c r="T180" s="4">
        <v>31</v>
      </c>
      <c r="U180" s="4">
        <v>72</v>
      </c>
      <c r="V180" s="6">
        <f>IF(ISERROR(VLOOKUP($S$180,'TAR FIN'!$A$1:$O$103,15,0)),0,VLOOKUP($S$180,'TAR FIN'!$A$1:$O$103,15,0))</f>
        <v>0</v>
      </c>
      <c r="W180" s="6">
        <f>IF(ISERROR(VLOOKUP($T$180,'TAR FIN'!$A$1:$O$103,15,0)),0,VLOOKUP($T$180,'TAR FIN'!$A$1:$O$103,15,0))</f>
        <v>68.53</v>
      </c>
      <c r="X180" s="6">
        <f>IF(ISERROR(VLOOKUP($U$180,'TAR FIN'!$A$1:$O$103,15,0)),0,VLOOKUP($U$180,'TAR FIN'!$A$1:$O$103,15,0))</f>
        <v>101.12</v>
      </c>
      <c r="Y180" s="6"/>
      <c r="Z180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0" s="6">
        <f>('TE BE'!$AB$15+'TE BF'!$AB$15+'TE CVA'!$AB$15)*(1-CUSTOS!$M$34)</f>
        <v>95.213388024370289</v>
      </c>
      <c r="AB180" s="6">
        <f t="shared" si="14"/>
        <v>0</v>
      </c>
      <c r="AC180" s="6">
        <f>(L180-M180)*(W180+X180)+($W$232+$X$232-$W$180-$X$180)*(L180)</f>
        <v>45487.549099999997</v>
      </c>
      <c r="AD180" s="6">
        <f t="shared" si="15"/>
        <v>0</v>
      </c>
      <c r="AE180" s="6">
        <f ca="1">(L180-M180)*(Z180+AA180)+($Z$232+$AA$232-$Z$180-$AA$180)*(L180)</f>
        <v>48243.521489070612</v>
      </c>
      <c r="AF180" s="4" t="s">
        <v>780</v>
      </c>
    </row>
    <row r="181" spans="1:32" ht="11.25" customHeight="1" x14ac:dyDescent="0.2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29</v>
      </c>
      <c r="F181" s="4" t="s">
        <v>25</v>
      </c>
      <c r="G181" s="4" t="s">
        <v>25</v>
      </c>
      <c r="H181" s="4" t="s">
        <v>25</v>
      </c>
      <c r="I181" s="5">
        <v>44470</v>
      </c>
      <c r="J181" s="6">
        <v>0</v>
      </c>
      <c r="K181" s="6">
        <v>0</v>
      </c>
      <c r="L181" s="6">
        <v>143.66900000000001</v>
      </c>
      <c r="M181" s="6">
        <v>143.66900000000001</v>
      </c>
      <c r="N181" s="6">
        <v>143.66900000000001</v>
      </c>
      <c r="O181" s="6">
        <v>143.66900000000001</v>
      </c>
      <c r="P181" s="6">
        <v>214</v>
      </c>
      <c r="Q181" s="4" t="s">
        <v>26</v>
      </c>
      <c r="R181" s="4">
        <v>0</v>
      </c>
      <c r="S181" s="4">
        <v>0</v>
      </c>
      <c r="T181" s="4">
        <v>31</v>
      </c>
      <c r="U181" s="4">
        <v>72</v>
      </c>
      <c r="V181" s="6">
        <f>IF(ISERROR(VLOOKUP($S$181,'TAR FIN'!$A$1:$O$103,15,0)),0,VLOOKUP($S$181,'TAR FIN'!$A$1:$O$103,15,0))</f>
        <v>0</v>
      </c>
      <c r="W181" s="6">
        <f>IF(ISERROR(VLOOKUP($T$181,'TAR FIN'!$A$1:$O$103,15,0)),0,VLOOKUP($T$181,'TAR FIN'!$A$1:$O$103,15,0))</f>
        <v>68.53</v>
      </c>
      <c r="X181" s="6">
        <f>IF(ISERROR(VLOOKUP($U$181,'TAR FIN'!$A$1:$O$103,15,0)),0,VLOOKUP($U$181,'TAR FIN'!$A$1:$O$103,15,0))</f>
        <v>101.12</v>
      </c>
      <c r="Y181" s="6"/>
      <c r="Z181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1" s="6">
        <f>('TE BE'!$AB$15+'TE BF'!$AB$15+'TE CVA'!$AB$15)*(1-CUSTOS!$M$34)</f>
        <v>95.213388024370289</v>
      </c>
      <c r="AB181" s="6">
        <f t="shared" si="14"/>
        <v>0</v>
      </c>
      <c r="AC181" s="6">
        <f>(L181-M181)*(W181+X181)+($W$232+$X$232-$W$181-$X$181)*(L181)</f>
        <v>45262.918449999997</v>
      </c>
      <c r="AD181" s="6">
        <f t="shared" si="15"/>
        <v>0</v>
      </c>
      <c r="AE181" s="6">
        <f ca="1">(L181-M181)*(Z181+AA181)+($Z$232+$AA$232-$Z$181-$AA$181)*(L181)</f>
        <v>48005.281051746664</v>
      </c>
      <c r="AF181" s="4" t="s">
        <v>780</v>
      </c>
    </row>
    <row r="182" spans="1:32" ht="11.25" customHeight="1" x14ac:dyDescent="0.2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29</v>
      </c>
      <c r="F182" s="4" t="s">
        <v>25</v>
      </c>
      <c r="G182" s="4" t="s">
        <v>25</v>
      </c>
      <c r="H182" s="4" t="s">
        <v>25</v>
      </c>
      <c r="I182" s="5">
        <v>44501</v>
      </c>
      <c r="J182" s="6">
        <v>0</v>
      </c>
      <c r="K182" s="6">
        <v>0</v>
      </c>
      <c r="L182" s="6">
        <v>140.34</v>
      </c>
      <c r="M182" s="6">
        <v>140.34</v>
      </c>
      <c r="N182" s="6">
        <v>140.34</v>
      </c>
      <c r="O182" s="6">
        <v>140.34</v>
      </c>
      <c r="P182" s="6">
        <v>217</v>
      </c>
      <c r="Q182" s="4" t="s">
        <v>26</v>
      </c>
      <c r="R182" s="4">
        <v>0</v>
      </c>
      <c r="S182" s="4">
        <v>0</v>
      </c>
      <c r="T182" s="4">
        <v>31</v>
      </c>
      <c r="U182" s="4">
        <v>72</v>
      </c>
      <c r="V182" s="6">
        <f>IF(ISERROR(VLOOKUP($S$182,'TAR FIN'!$A$1:$O$103,15,0)),0,VLOOKUP($S$182,'TAR FIN'!$A$1:$O$103,15,0))</f>
        <v>0</v>
      </c>
      <c r="W182" s="6">
        <f>IF(ISERROR(VLOOKUP($T$182,'TAR FIN'!$A$1:$O$103,15,0)),0,VLOOKUP($T$182,'TAR FIN'!$A$1:$O$103,15,0))</f>
        <v>68.53</v>
      </c>
      <c r="X182" s="6">
        <f>IF(ISERROR(VLOOKUP($U$182,'TAR FIN'!$A$1:$O$103,15,0)),0,VLOOKUP($U$182,'TAR FIN'!$A$1:$O$103,15,0))</f>
        <v>101.12</v>
      </c>
      <c r="Y182" s="6"/>
      <c r="Z182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2" s="6">
        <f>('TE BE'!$AB$15+'TE BF'!$AB$15+'TE CVA'!$AB$15)*(1-CUSTOS!$M$34)</f>
        <v>95.213388024370289</v>
      </c>
      <c r="AB182" s="6">
        <f t="shared" si="14"/>
        <v>0</v>
      </c>
      <c r="AC182" s="6">
        <f>(L182-M182)*(W182+X182)+($W$232+$X$232-$W$182-$X$182)*(L182)</f>
        <v>44214.116999999991</v>
      </c>
      <c r="AD182" s="6">
        <f t="shared" si="15"/>
        <v>0</v>
      </c>
      <c r="AE182" s="6">
        <f ca="1">(L182-M182)*(Z182+AA182)+($Z$232+$AA$232-$Z$182-$AA$182)*(L182)</f>
        <v>46892.935447466931</v>
      </c>
      <c r="AF182" s="4" t="s">
        <v>780</v>
      </c>
    </row>
    <row r="183" spans="1:32" ht="11.25" customHeight="1" x14ac:dyDescent="0.2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29</v>
      </c>
      <c r="F183" s="4" t="s">
        <v>25</v>
      </c>
      <c r="G183" s="4" t="s">
        <v>25</v>
      </c>
      <c r="H183" s="4" t="s">
        <v>25</v>
      </c>
      <c r="I183" s="5">
        <v>44531</v>
      </c>
      <c r="J183" s="6">
        <v>0</v>
      </c>
      <c r="K183" s="6">
        <v>0</v>
      </c>
      <c r="L183" s="6">
        <v>136.69900000000001</v>
      </c>
      <c r="M183" s="6">
        <v>136.69900000000001</v>
      </c>
      <c r="N183" s="6">
        <v>136.69900000000001</v>
      </c>
      <c r="O183" s="6">
        <v>136.69900000000001</v>
      </c>
      <c r="P183" s="6">
        <v>178</v>
      </c>
      <c r="Q183" s="4" t="s">
        <v>26</v>
      </c>
      <c r="R183" s="4">
        <v>0</v>
      </c>
      <c r="S183" s="4">
        <v>0</v>
      </c>
      <c r="T183" s="4">
        <v>31</v>
      </c>
      <c r="U183" s="4">
        <v>72</v>
      </c>
      <c r="V183" s="6">
        <f>IF(ISERROR(VLOOKUP($S$183,'TAR FIN'!$A$1:$O$103,15,0)),0,VLOOKUP($S$183,'TAR FIN'!$A$1:$O$103,15,0))</f>
        <v>0</v>
      </c>
      <c r="W183" s="6">
        <f>IF(ISERROR(VLOOKUP($T$183,'TAR FIN'!$A$1:$O$103,15,0)),0,VLOOKUP($T$183,'TAR FIN'!$A$1:$O$103,15,0))</f>
        <v>68.53</v>
      </c>
      <c r="X183" s="6">
        <f>IF(ISERROR(VLOOKUP($U$183,'TAR FIN'!$A$1:$O$103,15,0)),0,VLOOKUP($U$183,'TAR FIN'!$A$1:$O$103,15,0))</f>
        <v>101.12</v>
      </c>
      <c r="Y183" s="6"/>
      <c r="Z183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3" s="6">
        <f>('TE BE'!$AB$15+'TE BF'!$AB$15+'TE CVA'!$AB$15)*(1-CUSTOS!$M$34)</f>
        <v>95.213388024370289</v>
      </c>
      <c r="AB183" s="6">
        <f t="shared" si="14"/>
        <v>0</v>
      </c>
      <c r="AC183" s="6">
        <f>(L183-M183)*(W183+X183)+($W$232+$X$232-$W$183-$X$183)*(L183)</f>
        <v>43067.019949999994</v>
      </c>
      <c r="AD183" s="6">
        <f t="shared" si="15"/>
        <v>0</v>
      </c>
      <c r="AE183" s="6">
        <f ca="1">(L183-M183)*(Z183+AA183)+($Z$232+$AA$232-$Z$183-$AA$183)*(L183)</f>
        <v>45676.338768229172</v>
      </c>
      <c r="AF183" s="4" t="s">
        <v>780</v>
      </c>
    </row>
    <row r="184" spans="1:32" ht="11.25" customHeight="1" x14ac:dyDescent="0.25">
      <c r="A184" s="4" t="s">
        <v>21</v>
      </c>
      <c r="B184" s="4" t="s">
        <v>22</v>
      </c>
      <c r="C184" s="4" t="s">
        <v>23</v>
      </c>
      <c r="D184" s="4" t="s">
        <v>24</v>
      </c>
      <c r="E184" s="4" t="s">
        <v>29</v>
      </c>
      <c r="F184" s="4" t="s">
        <v>25</v>
      </c>
      <c r="G184" s="4" t="s">
        <v>25</v>
      </c>
      <c r="H184" s="4" t="s">
        <v>25</v>
      </c>
      <c r="I184" s="5">
        <v>44562</v>
      </c>
      <c r="J184" s="6">
        <v>0</v>
      </c>
      <c r="K184" s="6">
        <v>0</v>
      </c>
      <c r="L184" s="6">
        <v>137.904</v>
      </c>
      <c r="M184" s="6">
        <v>137.904</v>
      </c>
      <c r="N184" s="6">
        <v>137.904</v>
      </c>
      <c r="O184" s="6">
        <v>137.904</v>
      </c>
      <c r="P184" s="6">
        <v>181</v>
      </c>
      <c r="Q184" s="4" t="s">
        <v>26</v>
      </c>
      <c r="R184" s="4">
        <v>0</v>
      </c>
      <c r="S184" s="4">
        <v>0</v>
      </c>
      <c r="T184" s="4">
        <v>31</v>
      </c>
      <c r="U184" s="4">
        <v>72</v>
      </c>
      <c r="V184" s="6">
        <f>IF(ISERROR(VLOOKUP($S$184,'TAR FIN'!$A$1:$O$103,15,0)),0,VLOOKUP($S$184,'TAR FIN'!$A$1:$O$103,15,0))</f>
        <v>0</v>
      </c>
      <c r="W184" s="6">
        <f>IF(ISERROR(VLOOKUP($T$184,'TAR FIN'!$A$1:$O$103,15,0)),0,VLOOKUP($T$184,'TAR FIN'!$A$1:$O$103,15,0))</f>
        <v>68.53</v>
      </c>
      <c r="X184" s="6">
        <f>IF(ISERROR(VLOOKUP($U$184,'TAR FIN'!$A$1:$O$103,15,0)),0,VLOOKUP($U$184,'TAR FIN'!$A$1:$O$103,15,0))</f>
        <v>101.12</v>
      </c>
      <c r="Y184" s="6"/>
      <c r="Z184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4" s="6">
        <f>('TE BE'!$AB$15+'TE BF'!$AB$15+'TE CVA'!$AB$15)*(1-CUSTOS!$M$34)</f>
        <v>95.213388024370289</v>
      </c>
      <c r="AB184" s="6">
        <f t="shared" si="14"/>
        <v>0</v>
      </c>
      <c r="AC184" s="6">
        <f>(L184-M184)*(W184+X184)+($W$232+$X$232-$W$184-$X$184)*(L184)</f>
        <v>43446.655199999994</v>
      </c>
      <c r="AD184" s="6">
        <f t="shared" si="15"/>
        <v>0</v>
      </c>
      <c r="AE184" s="6">
        <f ca="1">(L184-M184)*(Z184+AA184)+($Z$232+$AA$232-$Z$184-$AA$184)*(L184)</f>
        <v>46078.975131448475</v>
      </c>
      <c r="AF184" s="4" t="s">
        <v>780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29</v>
      </c>
      <c r="F185" s="4" t="s">
        <v>25</v>
      </c>
      <c r="G185" s="4" t="s">
        <v>25</v>
      </c>
      <c r="H185" s="4" t="s">
        <v>25</v>
      </c>
      <c r="I185" s="5">
        <v>44593</v>
      </c>
      <c r="J185" s="6">
        <v>0</v>
      </c>
      <c r="K185" s="6">
        <v>0</v>
      </c>
      <c r="L185" s="6">
        <v>142.95599999999999</v>
      </c>
      <c r="M185" s="6">
        <v>142.95599999999999</v>
      </c>
      <c r="N185" s="6">
        <v>142.95599999999999</v>
      </c>
      <c r="O185" s="6">
        <v>142.95599999999999</v>
      </c>
      <c r="P185" s="6">
        <v>186</v>
      </c>
      <c r="Q185" s="4" t="s">
        <v>26</v>
      </c>
      <c r="R185" s="4">
        <v>0</v>
      </c>
      <c r="S185" s="4">
        <v>0</v>
      </c>
      <c r="T185" s="4">
        <v>31</v>
      </c>
      <c r="U185" s="4">
        <v>72</v>
      </c>
      <c r="V185" s="6">
        <f>IF(ISERROR(VLOOKUP($S$185,'TAR FIN'!$A$1:$O$103,15,0)),0,VLOOKUP($S$185,'TAR FIN'!$A$1:$O$103,15,0))</f>
        <v>0</v>
      </c>
      <c r="W185" s="6">
        <f>IF(ISERROR(VLOOKUP($T$185,'TAR FIN'!$A$1:$O$103,15,0)),0,VLOOKUP($T$185,'TAR FIN'!$A$1:$O$103,15,0))</f>
        <v>68.53</v>
      </c>
      <c r="X185" s="6">
        <f>IF(ISERROR(VLOOKUP($U$185,'TAR FIN'!$A$1:$O$103,15,0)),0,VLOOKUP($U$185,'TAR FIN'!$A$1:$O$103,15,0))</f>
        <v>101.12</v>
      </c>
      <c r="Y185" s="6"/>
      <c r="Z185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5" s="6">
        <f>('TE BE'!$AB$15+'TE BF'!$AB$15+'TE CVA'!$AB$15)*(1-CUSTOS!$M$34)</f>
        <v>95.213388024370289</v>
      </c>
      <c r="AB185" s="6">
        <f t="shared" si="14"/>
        <v>0</v>
      </c>
      <c r="AC185" s="6">
        <f>(L185-M185)*(W185+X185)+($W$232+$X$232-$W$185-$X$185)*(L185)</f>
        <v>45038.287799999991</v>
      </c>
      <c r="AD185" s="6">
        <f t="shared" si="15"/>
        <v>0</v>
      </c>
      <c r="AE185" s="6">
        <f ca="1">(L185-M185)*(Z185+AA185)+($Z$232+$AA$232-$Z$185-$AA$185)*(L185)</f>
        <v>47767.040614422702</v>
      </c>
      <c r="AF185" s="4" t="s">
        <v>780</v>
      </c>
    </row>
    <row r="186" spans="1:32" ht="11.25" customHeight="1" x14ac:dyDescent="0.2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44621</v>
      </c>
      <c r="J186" s="6">
        <v>0</v>
      </c>
      <c r="K186" s="6">
        <v>0</v>
      </c>
      <c r="L186" s="6">
        <v>153.839</v>
      </c>
      <c r="M186" s="6">
        <v>153.839</v>
      </c>
      <c r="N186" s="6">
        <v>153.839</v>
      </c>
      <c r="O186" s="6">
        <v>153.839</v>
      </c>
      <c r="P186" s="6">
        <v>200</v>
      </c>
      <c r="Q186" s="4" t="s">
        <v>26</v>
      </c>
      <c r="R186" s="4">
        <v>0</v>
      </c>
      <c r="S186" s="4">
        <v>0</v>
      </c>
      <c r="T186" s="4">
        <v>31</v>
      </c>
      <c r="U186" s="4">
        <v>72</v>
      </c>
      <c r="V186" s="6">
        <f>IF(ISERROR(VLOOKUP($S$186,'TAR FIN'!$A$1:$O$103,15,0)),0,VLOOKUP($S$186,'TAR FIN'!$A$1:$O$103,15,0))</f>
        <v>0</v>
      </c>
      <c r="W186" s="6">
        <f>IF(ISERROR(VLOOKUP($T$186,'TAR FIN'!$A$1:$O$103,15,0)),0,VLOOKUP($T$186,'TAR FIN'!$A$1:$O$103,15,0))</f>
        <v>68.53</v>
      </c>
      <c r="X186" s="6">
        <f>IF(ISERROR(VLOOKUP($U$186,'TAR FIN'!$A$1:$O$103,15,0)),0,VLOOKUP($U$186,'TAR FIN'!$A$1:$O$103,15,0))</f>
        <v>101.12</v>
      </c>
      <c r="Y186" s="6"/>
      <c r="Z186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6" s="6">
        <f>('TE BE'!$AB$15+'TE BF'!$AB$15+'TE CVA'!$AB$15)*(1-CUSTOS!$M$34)</f>
        <v>95.213388024370289</v>
      </c>
      <c r="AB186" s="6">
        <f t="shared" si="14"/>
        <v>0</v>
      </c>
      <c r="AC186" s="6">
        <f>(L186-M186)*(W186+X186)+($W$232+$X$232-$W$186-$X$186)*(L186)</f>
        <v>48466.976949999989</v>
      </c>
      <c r="AD186" s="6">
        <f t="shared" si="15"/>
        <v>0</v>
      </c>
      <c r="AE186" s="6">
        <f ca="1">(L186-M186)*(Z186+AA186)+($Z$232+$AA$232-$Z$186-$AA$186)*(L186)</f>
        <v>51403.465129705459</v>
      </c>
      <c r="AF186" s="4" t="s">
        <v>780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44652</v>
      </c>
      <c r="J187" s="6">
        <v>0</v>
      </c>
      <c r="K187" s="6">
        <v>0</v>
      </c>
      <c r="L187" s="6">
        <v>154.833</v>
      </c>
      <c r="M187" s="6">
        <v>154.833</v>
      </c>
      <c r="N187" s="6">
        <v>154.833</v>
      </c>
      <c r="O187" s="6">
        <v>154.833</v>
      </c>
      <c r="P187" s="6">
        <v>226</v>
      </c>
      <c r="Q187" s="4" t="s">
        <v>26</v>
      </c>
      <c r="R187" s="4">
        <v>0</v>
      </c>
      <c r="S187" s="4">
        <v>0</v>
      </c>
      <c r="T187" s="4">
        <v>31</v>
      </c>
      <c r="U187" s="4">
        <v>72</v>
      </c>
      <c r="V187" s="6">
        <f>IF(ISERROR(VLOOKUP($S$187,'TAR FIN'!$A$1:$O$103,15,0)),0,VLOOKUP($S$187,'TAR FIN'!$A$1:$O$103,15,0))</f>
        <v>0</v>
      </c>
      <c r="W187" s="6">
        <f>IF(ISERROR(VLOOKUP($T$187,'TAR FIN'!$A$1:$O$103,15,0)),0,VLOOKUP($T$187,'TAR FIN'!$A$1:$O$103,15,0))</f>
        <v>68.53</v>
      </c>
      <c r="X187" s="6">
        <f>IF(ISERROR(VLOOKUP($U$187,'TAR FIN'!$A$1:$O$103,15,0)),0,VLOOKUP($U$187,'TAR FIN'!$A$1:$O$103,15,0))</f>
        <v>101.12</v>
      </c>
      <c r="Y187" s="6"/>
      <c r="Z187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7" s="6">
        <f>('TE BE'!$AB$15+'TE BF'!$AB$15+'TE CVA'!$AB$15)*(1-CUSTOS!$M$34)</f>
        <v>95.213388024370289</v>
      </c>
      <c r="AB187" s="6">
        <f t="shared" si="14"/>
        <v>0</v>
      </c>
      <c r="AC187" s="6">
        <f>(L187-M187)*(W187+X187)+($W$232+$X$232-$W$187-$X$187)*(L187)</f>
        <v>48780.136649999993</v>
      </c>
      <c r="AD187" s="6">
        <f t="shared" si="15"/>
        <v>0</v>
      </c>
      <c r="AE187" s="6">
        <f ca="1">(L187-M187)*(Z187+AA187)+($Z$232+$AA$232-$Z$187-$AA$187)*(L187)</f>
        <v>51735.598362103796</v>
      </c>
      <c r="AF187" s="4" t="s">
        <v>780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44682</v>
      </c>
      <c r="J188" s="6">
        <v>0</v>
      </c>
      <c r="K188" s="6">
        <v>0</v>
      </c>
      <c r="L188" s="6">
        <v>156.267</v>
      </c>
      <c r="M188" s="6">
        <v>156.267</v>
      </c>
      <c r="N188" s="6">
        <v>156.267</v>
      </c>
      <c r="O188" s="6">
        <v>156.267</v>
      </c>
      <c r="P188" s="6">
        <v>247</v>
      </c>
      <c r="Q188" s="4" t="s">
        <v>26</v>
      </c>
      <c r="R188" s="4">
        <v>0</v>
      </c>
      <c r="S188" s="4">
        <v>0</v>
      </c>
      <c r="T188" s="4">
        <v>31</v>
      </c>
      <c r="U188" s="4">
        <v>72</v>
      </c>
      <c r="V188" s="6">
        <f>IF(ISERROR(VLOOKUP($S$188,'TAR FIN'!$A$1:$O$103,15,0)),0,VLOOKUP($S$188,'TAR FIN'!$A$1:$O$103,15,0))</f>
        <v>0</v>
      </c>
      <c r="W188" s="6">
        <f>IF(ISERROR(VLOOKUP($T$188,'TAR FIN'!$A$1:$O$103,15,0)),0,VLOOKUP($T$188,'TAR FIN'!$A$1:$O$103,15,0))</f>
        <v>68.53</v>
      </c>
      <c r="X188" s="6">
        <f>IF(ISERROR(VLOOKUP($U$188,'TAR FIN'!$A$1:$O$103,15,0)),0,VLOOKUP($U$188,'TAR FIN'!$A$1:$O$103,15,0))</f>
        <v>101.12</v>
      </c>
      <c r="Y188" s="6"/>
      <c r="Z188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8" s="6">
        <f>('TE BE'!$AB$15+'TE BF'!$AB$15+'TE CVA'!$AB$15)*(1-CUSTOS!$M$34)</f>
        <v>95.213388024370289</v>
      </c>
      <c r="AB188" s="6">
        <f t="shared" si="14"/>
        <v>0</v>
      </c>
      <c r="AC188" s="6">
        <f>(L188-M188)*(W188+X188)+($W$232+$X$232-$W$188-$X$188)*(L188)</f>
        <v>49231.918349999993</v>
      </c>
      <c r="AD188" s="6">
        <f t="shared" si="15"/>
        <v>0</v>
      </c>
      <c r="AE188" s="6">
        <f ca="1">(L188-M188)*(Z188+AA188)+($Z$232+$AA$232-$Z$188-$AA$188)*(L188)</f>
        <v>52214.752341237807</v>
      </c>
      <c r="AF188" s="4" t="s">
        <v>780</v>
      </c>
    </row>
    <row r="189" spans="1:32" ht="11.25" customHeight="1" x14ac:dyDescent="0.25">
      <c r="A189" s="4" t="s">
        <v>27</v>
      </c>
      <c r="B189" s="4" t="s">
        <v>22</v>
      </c>
      <c r="C189" s="4" t="s">
        <v>23</v>
      </c>
      <c r="D189" s="4" t="s">
        <v>24</v>
      </c>
      <c r="E189" s="4" t="s">
        <v>29</v>
      </c>
      <c r="F189" s="4" t="s">
        <v>25</v>
      </c>
      <c r="G189" s="4" t="s">
        <v>25</v>
      </c>
      <c r="H189" s="4" t="s">
        <v>25</v>
      </c>
      <c r="I189" s="5">
        <v>44682</v>
      </c>
      <c r="J189" s="6">
        <v>0</v>
      </c>
      <c r="K189" s="6">
        <v>0</v>
      </c>
      <c r="L189" s="6">
        <v>0.06</v>
      </c>
      <c r="M189" s="6">
        <v>0.06</v>
      </c>
      <c r="N189" s="6">
        <v>0.06</v>
      </c>
      <c r="O189" s="6">
        <v>0.06</v>
      </c>
      <c r="P189" s="6">
        <v>0</v>
      </c>
      <c r="Q189" s="4" t="s">
        <v>26</v>
      </c>
      <c r="R189" s="4">
        <v>0</v>
      </c>
      <c r="S189" s="4">
        <v>0</v>
      </c>
      <c r="T189" s="4">
        <v>31</v>
      </c>
      <c r="U189" s="4">
        <v>72</v>
      </c>
      <c r="V189" s="6">
        <f>IF(ISERROR(VLOOKUP($S$189,'TAR FIN'!$A$1:$O$103,15,0)),0,VLOOKUP($S$189,'TAR FIN'!$A$1:$O$103,15,0))</f>
        <v>0</v>
      </c>
      <c r="W189" s="6">
        <f>IF(ISERROR(VLOOKUP($T$189,'TAR FIN'!$A$1:$O$103,15,0)),0,VLOOKUP($T$189,'TAR FIN'!$A$1:$O$103,15,0))</f>
        <v>68.53</v>
      </c>
      <c r="X189" s="6">
        <f>IF(ISERROR(VLOOKUP($U$189,'TAR FIN'!$A$1:$O$103,15,0)),0,VLOOKUP($U$189,'TAR FIN'!$A$1:$O$103,15,0))</f>
        <v>101.12</v>
      </c>
      <c r="Y189" s="6"/>
      <c r="Z189" s="6">
        <f ca="1">('TUSD BE'!$AM$31+'TUSD BF'!$AM$31+'TUSD CVA'!$AM$31-('TUSD BE'!$P$31+'TUSD BF'!$P$31+'TUSD CVA'!$P$31)-('TUSD BE'!$Q$31+'TUSD BF'!$Q$31+'TUSD CVA'!$Q$31)-('TUSD BE'!$R$31+'TUSD BF'!$R$31+'TUSD CVA'!$R$31))*(1-CUSTOS!$M$34)</f>
        <v>84.707106232581793</v>
      </c>
      <c r="AA189" s="6">
        <f>('TE BE'!$AB$15+'TE BF'!$AB$15+'TE CVA'!$AB$15)*(1-CUSTOS!$M$34)</f>
        <v>95.213388024370289</v>
      </c>
      <c r="AB189" s="6">
        <f t="shared" si="14"/>
        <v>0</v>
      </c>
      <c r="AC189" s="6">
        <f>(L189-M189)*(W189+X189)+($W$232+$X$232-$W$189-$X$189)*(L189)</f>
        <v>18.902999999999995</v>
      </c>
      <c r="AD189" s="6">
        <f t="shared" si="15"/>
        <v>0</v>
      </c>
      <c r="AE189" s="6">
        <f ca="1">(L189-M189)*(Z189+AA189)+($Z$232+$AA$232-$Z$189-$AA$189)*(L189)</f>
        <v>20.048283645774656</v>
      </c>
      <c r="AF189" s="4" t="s">
        <v>780</v>
      </c>
    </row>
    <row r="190" spans="1:32" ht="11.25" customHeight="1" x14ac:dyDescent="0.2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30</v>
      </c>
      <c r="F190" s="4" t="s">
        <v>25</v>
      </c>
      <c r="G190" s="4" t="s">
        <v>25</v>
      </c>
      <c r="H190" s="4" t="s">
        <v>25</v>
      </c>
      <c r="I190" s="5">
        <v>44348</v>
      </c>
      <c r="J190" s="6">
        <v>0</v>
      </c>
      <c r="K190" s="6">
        <v>0</v>
      </c>
      <c r="L190" s="6">
        <v>261.74599999999998</v>
      </c>
      <c r="M190" s="6">
        <v>261.74599999999998</v>
      </c>
      <c r="N190" s="6">
        <v>261.74599999999998</v>
      </c>
      <c r="O190" s="6">
        <v>261.74599999999998</v>
      </c>
      <c r="P190" s="6">
        <v>1688</v>
      </c>
      <c r="Q190" s="4" t="s">
        <v>26</v>
      </c>
      <c r="R190" s="4">
        <v>0</v>
      </c>
      <c r="S190" s="4">
        <v>0</v>
      </c>
      <c r="T190" s="4">
        <v>32</v>
      </c>
      <c r="U190" s="4">
        <v>73</v>
      </c>
      <c r="V190" s="6">
        <f>IF(ISERROR(VLOOKUP($S$190,'TAR FIN'!$A$1:$O$103,15,0)),0,VLOOKUP($S$190,'TAR FIN'!$A$1:$O$103,15,0))</f>
        <v>0</v>
      </c>
      <c r="W190" s="6">
        <f>IF(ISERROR(VLOOKUP($T$190,'TAR FIN'!$A$1:$O$103,15,0)),0,VLOOKUP($T$190,'TAR FIN'!$A$1:$O$103,15,0))</f>
        <v>117.48</v>
      </c>
      <c r="X190" s="6">
        <f>IF(ISERROR(VLOOKUP($U$190,'TAR FIN'!$A$1:$O$103,15,0)),0,VLOOKUP($U$190,'TAR FIN'!$A$1:$O$103,15,0))</f>
        <v>173.34</v>
      </c>
      <c r="Y190" s="6"/>
      <c r="Z190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0" s="6">
        <f>('TE BE'!$AB$16+'TE BF'!$AB$16+'TE CVA'!$AB$16)*(1-CUSTOS!$M$35)</f>
        <v>163.22295089892052</v>
      </c>
      <c r="AB190" s="6">
        <f t="shared" si="14"/>
        <v>0</v>
      </c>
      <c r="AC190" s="6">
        <f>(L190-M190)*(W190+X190)+($W$232+$X$232-$W$190-$X$190)*(L190)</f>
        <v>50747.314479999986</v>
      </c>
      <c r="AD190" s="6">
        <f t="shared" si="15"/>
        <v>0</v>
      </c>
      <c r="AE190" s="6">
        <f ca="1">(L190-M190)*(Z190+AA190)+($Z$232+$AA$232-$Z$190-$AA$190)*(L190)</f>
        <v>53821.108216891625</v>
      </c>
      <c r="AF190" s="4" t="s">
        <v>780</v>
      </c>
    </row>
    <row r="191" spans="1:32" ht="11.25" customHeight="1" x14ac:dyDescent="0.25">
      <c r="A191" s="4" t="s">
        <v>27</v>
      </c>
      <c r="B191" s="4" t="s">
        <v>22</v>
      </c>
      <c r="C191" s="4" t="s">
        <v>23</v>
      </c>
      <c r="D191" s="4" t="s">
        <v>24</v>
      </c>
      <c r="E191" s="4" t="s">
        <v>30</v>
      </c>
      <c r="F191" s="4" t="s">
        <v>25</v>
      </c>
      <c r="G191" s="4" t="s">
        <v>25</v>
      </c>
      <c r="H191" s="4" t="s">
        <v>25</v>
      </c>
      <c r="I191" s="5">
        <v>44348</v>
      </c>
      <c r="J191" s="6">
        <v>0</v>
      </c>
      <c r="K191" s="6">
        <v>0</v>
      </c>
      <c r="L191" s="6">
        <v>-8.9999999999999993E-3</v>
      </c>
      <c r="M191" s="6">
        <v>-8.9999999999999993E-3</v>
      </c>
      <c r="N191" s="6">
        <v>-8.9999999999999993E-3</v>
      </c>
      <c r="O191" s="6">
        <v>-8.9999999999999993E-3</v>
      </c>
      <c r="P191" s="6">
        <v>0</v>
      </c>
      <c r="Q191" s="4" t="s">
        <v>26</v>
      </c>
      <c r="R191" s="4">
        <v>0</v>
      </c>
      <c r="S191" s="4">
        <v>0</v>
      </c>
      <c r="T191" s="4">
        <v>32</v>
      </c>
      <c r="U191" s="4">
        <v>73</v>
      </c>
      <c r="V191" s="6">
        <f>IF(ISERROR(VLOOKUP($S$191,'TAR FIN'!$A$1:$O$103,15,0)),0,VLOOKUP($S$191,'TAR FIN'!$A$1:$O$103,15,0))</f>
        <v>0</v>
      </c>
      <c r="W191" s="6">
        <f>IF(ISERROR(VLOOKUP($T$191,'TAR FIN'!$A$1:$O$103,15,0)),0,VLOOKUP($T$191,'TAR FIN'!$A$1:$O$103,15,0))</f>
        <v>117.48</v>
      </c>
      <c r="X191" s="6">
        <f>IF(ISERROR(VLOOKUP($U$191,'TAR FIN'!$A$1:$O$103,15,0)),0,VLOOKUP($U$191,'TAR FIN'!$A$1:$O$103,15,0))</f>
        <v>173.34</v>
      </c>
      <c r="Y191" s="6"/>
      <c r="Z191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1" s="6">
        <f>('TE BE'!$AB$16+'TE BF'!$AB$16+'TE CVA'!$AB$16)*(1-CUSTOS!$M$35)</f>
        <v>163.22295089892052</v>
      </c>
      <c r="AB191" s="6">
        <f t="shared" si="14"/>
        <v>0</v>
      </c>
      <c r="AC191" s="6">
        <f>(L191-M191)*(W191+X191)+($W$232+$X$232-$W$191-$X$191)*(L191)</f>
        <v>-1.7449199999999996</v>
      </c>
      <c r="AD191" s="6">
        <f t="shared" si="15"/>
        <v>0</v>
      </c>
      <c r="AE191" s="6">
        <f ca="1">(L191-M191)*(Z191+AA191)+($Z$232+$AA$232-$Z$191-$AA$191)*(L191)</f>
        <v>-1.8506107980715067</v>
      </c>
      <c r="AF191" s="4" t="s">
        <v>780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30</v>
      </c>
      <c r="F192" s="4" t="s">
        <v>25</v>
      </c>
      <c r="G192" s="4" t="s">
        <v>25</v>
      </c>
      <c r="H192" s="4" t="s">
        <v>25</v>
      </c>
      <c r="I192" s="5">
        <v>44378</v>
      </c>
      <c r="J192" s="6">
        <v>0</v>
      </c>
      <c r="K192" s="6">
        <v>0</v>
      </c>
      <c r="L192" s="6">
        <v>261.61599999999999</v>
      </c>
      <c r="M192" s="6">
        <v>261.61599999999999</v>
      </c>
      <c r="N192" s="6">
        <v>261.61599999999999</v>
      </c>
      <c r="O192" s="6">
        <v>261.61599999999999</v>
      </c>
      <c r="P192" s="6">
        <v>1732</v>
      </c>
      <c r="Q192" s="4" t="s">
        <v>26</v>
      </c>
      <c r="R192" s="4">
        <v>0</v>
      </c>
      <c r="S192" s="4">
        <v>0</v>
      </c>
      <c r="T192" s="4">
        <v>32</v>
      </c>
      <c r="U192" s="4">
        <v>73</v>
      </c>
      <c r="V192" s="6">
        <f>IF(ISERROR(VLOOKUP($S$192,'TAR FIN'!$A$1:$O$103,15,0)),0,VLOOKUP($S$192,'TAR FIN'!$A$1:$O$103,15,0))</f>
        <v>0</v>
      </c>
      <c r="W192" s="6">
        <f>IF(ISERROR(VLOOKUP($T$192,'TAR FIN'!$A$1:$O$103,15,0)),0,VLOOKUP($T$192,'TAR FIN'!$A$1:$O$103,15,0))</f>
        <v>117.48</v>
      </c>
      <c r="X192" s="6">
        <f>IF(ISERROR(VLOOKUP($U$192,'TAR FIN'!$A$1:$O$103,15,0)),0,VLOOKUP($U$192,'TAR FIN'!$A$1:$O$103,15,0))</f>
        <v>173.34</v>
      </c>
      <c r="Y192" s="6"/>
      <c r="Z192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2" s="6">
        <f>('TE BE'!$AB$16+'TE BF'!$AB$16+'TE CVA'!$AB$16)*(1-CUSTOS!$M$35)</f>
        <v>163.22295089892052</v>
      </c>
      <c r="AB192" s="6">
        <f t="shared" si="14"/>
        <v>0</v>
      </c>
      <c r="AC192" s="6">
        <f>(L192-M192)*(W192+X192)+($W$232+$X$232-$W$192-$X$192)*(L192)</f>
        <v>50722.110079999991</v>
      </c>
      <c r="AD192" s="6">
        <f t="shared" si="15"/>
        <v>0</v>
      </c>
      <c r="AE192" s="6">
        <f ca="1">(L192-M192)*(Z192+AA192)+($Z$232+$AA$232-$Z$192-$AA$192)*(L192)</f>
        <v>53794.377172030589</v>
      </c>
      <c r="AF192" s="4" t="s">
        <v>780</v>
      </c>
    </row>
    <row r="193" spans="1:32" ht="11.25" customHeight="1" x14ac:dyDescent="0.25">
      <c r="A193" s="4" t="s">
        <v>27</v>
      </c>
      <c r="B193" s="4" t="s">
        <v>22</v>
      </c>
      <c r="C193" s="4" t="s">
        <v>23</v>
      </c>
      <c r="D193" s="4" t="s">
        <v>24</v>
      </c>
      <c r="E193" s="4" t="s">
        <v>30</v>
      </c>
      <c r="F193" s="4" t="s">
        <v>25</v>
      </c>
      <c r="G193" s="4" t="s">
        <v>25</v>
      </c>
      <c r="H193" s="4" t="s">
        <v>25</v>
      </c>
      <c r="I193" s="5">
        <v>44378</v>
      </c>
      <c r="J193" s="6">
        <v>0</v>
      </c>
      <c r="K193" s="6">
        <v>0</v>
      </c>
      <c r="L193" s="6">
        <v>-4.0000000000000001E-3</v>
      </c>
      <c r="M193" s="6">
        <v>-4.0000000000000001E-3</v>
      </c>
      <c r="N193" s="6">
        <v>-4.0000000000000001E-3</v>
      </c>
      <c r="O193" s="6">
        <v>-4.0000000000000001E-3</v>
      </c>
      <c r="P193" s="6">
        <v>0</v>
      </c>
      <c r="Q193" s="4" t="s">
        <v>26</v>
      </c>
      <c r="R193" s="4">
        <v>0</v>
      </c>
      <c r="S193" s="4">
        <v>0</v>
      </c>
      <c r="T193" s="4">
        <v>32</v>
      </c>
      <c r="U193" s="4">
        <v>73</v>
      </c>
      <c r="V193" s="6">
        <f>IF(ISERROR(VLOOKUP($S$193,'TAR FIN'!$A$1:$O$103,15,0)),0,VLOOKUP($S$193,'TAR FIN'!$A$1:$O$103,15,0))</f>
        <v>0</v>
      </c>
      <c r="W193" s="6">
        <f>IF(ISERROR(VLOOKUP($T$193,'TAR FIN'!$A$1:$O$103,15,0)),0,VLOOKUP($T$193,'TAR FIN'!$A$1:$O$103,15,0))</f>
        <v>117.48</v>
      </c>
      <c r="X193" s="6">
        <f>IF(ISERROR(VLOOKUP($U$193,'TAR FIN'!$A$1:$O$103,15,0)),0,VLOOKUP($U$193,'TAR FIN'!$A$1:$O$103,15,0))</f>
        <v>173.34</v>
      </c>
      <c r="Y193" s="6"/>
      <c r="Z193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3" s="6">
        <f>('TE BE'!$AB$16+'TE BF'!$AB$16+'TE CVA'!$AB$16)*(1-CUSTOS!$M$35)</f>
        <v>163.22295089892052</v>
      </c>
      <c r="AB193" s="6">
        <f t="shared" si="14"/>
        <v>0</v>
      </c>
      <c r="AC193" s="6">
        <f>(L193-M193)*(W193+X193)+($W$232+$X$232-$W$193-$X$193)*(L193)</f>
        <v>-0.77551999999999988</v>
      </c>
      <c r="AD193" s="6">
        <f t="shared" si="15"/>
        <v>0</v>
      </c>
      <c r="AE193" s="6">
        <f ca="1">(L193-M193)*(Z193+AA193)+($Z$232+$AA$232-$Z$193-$AA$193)*(L193)</f>
        <v>-0.8224936880317808</v>
      </c>
      <c r="AF193" s="4" t="s">
        <v>780</v>
      </c>
    </row>
    <row r="194" spans="1:32" ht="11.25" customHeight="1" x14ac:dyDescent="0.2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30</v>
      </c>
      <c r="F194" s="4" t="s">
        <v>25</v>
      </c>
      <c r="G194" s="4" t="s">
        <v>25</v>
      </c>
      <c r="H194" s="4" t="s">
        <v>25</v>
      </c>
      <c r="I194" s="5">
        <v>44409</v>
      </c>
      <c r="J194" s="6">
        <v>0</v>
      </c>
      <c r="K194" s="6">
        <v>0</v>
      </c>
      <c r="L194" s="6">
        <v>265.65699999999998</v>
      </c>
      <c r="M194" s="6">
        <v>265.65699999999998</v>
      </c>
      <c r="N194" s="6">
        <v>265.65699999999998</v>
      </c>
      <c r="O194" s="6">
        <v>265.65699999999998</v>
      </c>
      <c r="P194" s="6">
        <v>1693</v>
      </c>
      <c r="Q194" s="4" t="s">
        <v>26</v>
      </c>
      <c r="R194" s="4">
        <v>0</v>
      </c>
      <c r="S194" s="4">
        <v>0</v>
      </c>
      <c r="T194" s="4">
        <v>32</v>
      </c>
      <c r="U194" s="4">
        <v>73</v>
      </c>
      <c r="V194" s="6">
        <f>IF(ISERROR(VLOOKUP($S$194,'TAR FIN'!$A$1:$O$103,15,0)),0,VLOOKUP($S$194,'TAR FIN'!$A$1:$O$103,15,0))</f>
        <v>0</v>
      </c>
      <c r="W194" s="6">
        <f>IF(ISERROR(VLOOKUP($T$194,'TAR FIN'!$A$1:$O$103,15,0)),0,VLOOKUP($T$194,'TAR FIN'!$A$1:$O$103,15,0))</f>
        <v>117.48</v>
      </c>
      <c r="X194" s="6">
        <f>IF(ISERROR(VLOOKUP($U$194,'TAR FIN'!$A$1:$O$103,15,0)),0,VLOOKUP($U$194,'TAR FIN'!$A$1:$O$103,15,0))</f>
        <v>173.34</v>
      </c>
      <c r="Y194" s="6"/>
      <c r="Z194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4" s="6">
        <f>('TE BE'!$AB$16+'TE BF'!$AB$16+'TE CVA'!$AB$16)*(1-CUSTOS!$M$35)</f>
        <v>163.22295089892052</v>
      </c>
      <c r="AB194" s="6">
        <f t="shared" ref="AB194:AB257" si="16">(J194-K194)*V194</f>
        <v>0</v>
      </c>
      <c r="AC194" s="6">
        <f>(L194-M194)*(W194+X194)+($W$232+$X$232-$W$194-$X$194)*(L194)</f>
        <v>51505.579159999987</v>
      </c>
      <c r="AD194" s="6">
        <f t="shared" ref="AD194:AD257" si="17">(J194-K194)*Y194</f>
        <v>0</v>
      </c>
      <c r="AE194" s="6">
        <f ca="1">(L194-M194)*(Z194+AA194)+($Z$232+$AA$232-$Z$194-$AA$194)*(L194)</f>
        <v>54625.301420364696</v>
      </c>
      <c r="AF194" s="4" t="s">
        <v>780</v>
      </c>
    </row>
    <row r="195" spans="1:32" ht="11.25" customHeight="1" x14ac:dyDescent="0.25">
      <c r="A195" s="4" t="s">
        <v>27</v>
      </c>
      <c r="B195" s="4" t="s">
        <v>22</v>
      </c>
      <c r="C195" s="4" t="s">
        <v>23</v>
      </c>
      <c r="D195" s="4" t="s">
        <v>24</v>
      </c>
      <c r="E195" s="4" t="s">
        <v>30</v>
      </c>
      <c r="F195" s="4" t="s">
        <v>25</v>
      </c>
      <c r="G195" s="4" t="s">
        <v>25</v>
      </c>
      <c r="H195" s="4" t="s">
        <v>25</v>
      </c>
      <c r="I195" s="5">
        <v>44409</v>
      </c>
      <c r="J195" s="6">
        <v>0</v>
      </c>
      <c r="K195" s="6">
        <v>0</v>
      </c>
      <c r="L195" s="6">
        <v>-3.9E-2</v>
      </c>
      <c r="M195" s="6">
        <v>-3.9E-2</v>
      </c>
      <c r="N195" s="6">
        <v>-3.9E-2</v>
      </c>
      <c r="O195" s="6">
        <v>-3.9E-2</v>
      </c>
      <c r="P195" s="6">
        <v>0</v>
      </c>
      <c r="Q195" s="4" t="s">
        <v>26</v>
      </c>
      <c r="R195" s="4">
        <v>0</v>
      </c>
      <c r="S195" s="4">
        <v>0</v>
      </c>
      <c r="T195" s="4">
        <v>32</v>
      </c>
      <c r="U195" s="4">
        <v>73</v>
      </c>
      <c r="V195" s="6">
        <f>IF(ISERROR(VLOOKUP($S$195,'TAR FIN'!$A$1:$O$103,15,0)),0,VLOOKUP($S$195,'TAR FIN'!$A$1:$O$103,15,0))</f>
        <v>0</v>
      </c>
      <c r="W195" s="6">
        <f>IF(ISERROR(VLOOKUP($T$195,'TAR FIN'!$A$1:$O$103,15,0)),0,VLOOKUP($T$195,'TAR FIN'!$A$1:$O$103,15,0))</f>
        <v>117.48</v>
      </c>
      <c r="X195" s="6">
        <f>IF(ISERROR(VLOOKUP($U$195,'TAR FIN'!$A$1:$O$103,15,0)),0,VLOOKUP($U$195,'TAR FIN'!$A$1:$O$103,15,0))</f>
        <v>173.34</v>
      </c>
      <c r="Y195" s="6"/>
      <c r="Z195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5" s="6">
        <f>('TE BE'!$AB$16+'TE BF'!$AB$16+'TE CVA'!$AB$16)*(1-CUSTOS!$M$35)</f>
        <v>163.22295089892052</v>
      </c>
      <c r="AB195" s="6">
        <f t="shared" si="16"/>
        <v>0</v>
      </c>
      <c r="AC195" s="6">
        <f>(L195-M195)*(W195+X195)+($W$232+$X$232-$W$195-$X$195)*(L195)</f>
        <v>-7.5613199999999985</v>
      </c>
      <c r="AD195" s="6">
        <f t="shared" si="17"/>
        <v>0</v>
      </c>
      <c r="AE195" s="6">
        <f ca="1">(L195-M195)*(Z195+AA195)+($Z$232+$AA$232-$Z$195-$AA$195)*(L195)</f>
        <v>-8.0193134583098633</v>
      </c>
      <c r="AF195" s="4" t="s">
        <v>780</v>
      </c>
    </row>
    <row r="196" spans="1:32" ht="11.25" customHeight="1" x14ac:dyDescent="0.25">
      <c r="A196" s="4" t="s">
        <v>21</v>
      </c>
      <c r="B196" s="4" t="s">
        <v>22</v>
      </c>
      <c r="C196" s="4" t="s">
        <v>23</v>
      </c>
      <c r="D196" s="4" t="s">
        <v>24</v>
      </c>
      <c r="E196" s="4" t="s">
        <v>30</v>
      </c>
      <c r="F196" s="4" t="s">
        <v>25</v>
      </c>
      <c r="G196" s="4" t="s">
        <v>25</v>
      </c>
      <c r="H196" s="4" t="s">
        <v>25</v>
      </c>
      <c r="I196" s="5">
        <v>44440</v>
      </c>
      <c r="J196" s="6">
        <v>0</v>
      </c>
      <c r="K196" s="6">
        <v>0</v>
      </c>
      <c r="L196" s="6">
        <v>273.36700000000002</v>
      </c>
      <c r="M196" s="6">
        <v>273.36700000000002</v>
      </c>
      <c r="N196" s="6">
        <v>273.36700000000002</v>
      </c>
      <c r="O196" s="6">
        <v>273.36700000000002</v>
      </c>
      <c r="P196" s="6">
        <v>1663</v>
      </c>
      <c r="Q196" s="4" t="s">
        <v>26</v>
      </c>
      <c r="R196" s="4">
        <v>0</v>
      </c>
      <c r="S196" s="4">
        <v>0</v>
      </c>
      <c r="T196" s="4">
        <v>32</v>
      </c>
      <c r="U196" s="4">
        <v>73</v>
      </c>
      <c r="V196" s="6">
        <f>IF(ISERROR(VLOOKUP($S$196,'TAR FIN'!$A$1:$O$103,15,0)),0,VLOOKUP($S$196,'TAR FIN'!$A$1:$O$103,15,0))</f>
        <v>0</v>
      </c>
      <c r="W196" s="6">
        <f>IF(ISERROR(VLOOKUP($T$196,'TAR FIN'!$A$1:$O$103,15,0)),0,VLOOKUP($T$196,'TAR FIN'!$A$1:$O$103,15,0))</f>
        <v>117.48</v>
      </c>
      <c r="X196" s="6">
        <f>IF(ISERROR(VLOOKUP($U$196,'TAR FIN'!$A$1:$O$103,15,0)),0,VLOOKUP($U$196,'TAR FIN'!$A$1:$O$103,15,0))</f>
        <v>173.34</v>
      </c>
      <c r="Y196" s="6"/>
      <c r="Z196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6" s="6">
        <f>('TE BE'!$AB$16+'TE BF'!$AB$16+'TE CVA'!$AB$16)*(1-CUSTOS!$M$35)</f>
        <v>163.22295089892052</v>
      </c>
      <c r="AB196" s="6">
        <f t="shared" si="16"/>
        <v>0</v>
      </c>
      <c r="AC196" s="6">
        <f>(L196-M196)*(W196+X196)+($W$232+$X$232-$W$196-$X$196)*(L196)</f>
        <v>53000.393959999994</v>
      </c>
      <c r="AD196" s="6">
        <f t="shared" si="17"/>
        <v>0</v>
      </c>
      <c r="AE196" s="6">
        <f ca="1">(L196-M196)*(Z196+AA196)+($Z$232+$AA$232-$Z$196-$AA$196)*(L196)</f>
        <v>56210.658004045959</v>
      </c>
      <c r="AF196" s="4" t="s">
        <v>780</v>
      </c>
    </row>
    <row r="197" spans="1:32" ht="11.25" customHeight="1" x14ac:dyDescent="0.25">
      <c r="A197" s="4" t="s">
        <v>27</v>
      </c>
      <c r="B197" s="4" t="s">
        <v>22</v>
      </c>
      <c r="C197" s="4" t="s">
        <v>23</v>
      </c>
      <c r="D197" s="4" t="s">
        <v>24</v>
      </c>
      <c r="E197" s="4" t="s">
        <v>30</v>
      </c>
      <c r="F197" s="4" t="s">
        <v>25</v>
      </c>
      <c r="G197" s="4" t="s">
        <v>25</v>
      </c>
      <c r="H197" s="4" t="s">
        <v>25</v>
      </c>
      <c r="I197" s="5">
        <v>44440</v>
      </c>
      <c r="J197" s="6">
        <v>0</v>
      </c>
      <c r="K197" s="6">
        <v>0</v>
      </c>
      <c r="L197" s="6">
        <v>-0.13500000000000001</v>
      </c>
      <c r="M197" s="6">
        <v>-0.13500000000000001</v>
      </c>
      <c r="N197" s="6">
        <v>-0.13500000000000001</v>
      </c>
      <c r="O197" s="6">
        <v>-0.13500000000000001</v>
      </c>
      <c r="P197" s="6">
        <v>0</v>
      </c>
      <c r="Q197" s="4" t="s">
        <v>26</v>
      </c>
      <c r="R197" s="4">
        <v>0</v>
      </c>
      <c r="S197" s="4">
        <v>0</v>
      </c>
      <c r="T197" s="4">
        <v>32</v>
      </c>
      <c r="U197" s="4">
        <v>73</v>
      </c>
      <c r="V197" s="6">
        <f>IF(ISERROR(VLOOKUP($S$197,'TAR FIN'!$A$1:$O$103,15,0)),0,VLOOKUP($S$197,'TAR FIN'!$A$1:$O$103,15,0))</f>
        <v>0</v>
      </c>
      <c r="W197" s="6">
        <f>IF(ISERROR(VLOOKUP($T$197,'TAR FIN'!$A$1:$O$103,15,0)),0,VLOOKUP($T$197,'TAR FIN'!$A$1:$O$103,15,0))</f>
        <v>117.48</v>
      </c>
      <c r="X197" s="6">
        <f>IF(ISERROR(VLOOKUP($U$197,'TAR FIN'!$A$1:$O$103,15,0)),0,VLOOKUP($U$197,'TAR FIN'!$A$1:$O$103,15,0))</f>
        <v>173.34</v>
      </c>
      <c r="Y197" s="6"/>
      <c r="Z197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7" s="6">
        <f>('TE BE'!$AB$16+'TE BF'!$AB$16+'TE CVA'!$AB$16)*(1-CUSTOS!$M$35)</f>
        <v>163.22295089892052</v>
      </c>
      <c r="AB197" s="6">
        <f t="shared" si="16"/>
        <v>0</v>
      </c>
      <c r="AC197" s="6">
        <f>(L197-M197)*(W197+X197)+($W$232+$X$232-$W$197-$X$197)*(L197)</f>
        <v>-26.173799999999996</v>
      </c>
      <c r="AD197" s="6">
        <f t="shared" si="17"/>
        <v>0</v>
      </c>
      <c r="AE197" s="6">
        <f ca="1">(L197-M197)*(Z197+AA197)+($Z$232+$AA$232-$Z$197-$AA$197)*(L197)</f>
        <v>-27.759161971072604</v>
      </c>
      <c r="AF197" s="4" t="s">
        <v>780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30</v>
      </c>
      <c r="F198" s="4" t="s">
        <v>25</v>
      </c>
      <c r="G198" s="4" t="s">
        <v>25</v>
      </c>
      <c r="H198" s="4" t="s">
        <v>25</v>
      </c>
      <c r="I198" s="5">
        <v>44470</v>
      </c>
      <c r="J198" s="6">
        <v>0</v>
      </c>
      <c r="K198" s="6">
        <v>0</v>
      </c>
      <c r="L198" s="6">
        <v>273.81</v>
      </c>
      <c r="M198" s="6">
        <v>273.81</v>
      </c>
      <c r="N198" s="6">
        <v>273.81</v>
      </c>
      <c r="O198" s="6">
        <v>273.81</v>
      </c>
      <c r="P198" s="6">
        <v>1632</v>
      </c>
      <c r="Q198" s="4" t="s">
        <v>26</v>
      </c>
      <c r="R198" s="4">
        <v>0</v>
      </c>
      <c r="S198" s="4">
        <v>0</v>
      </c>
      <c r="T198" s="4">
        <v>32</v>
      </c>
      <c r="U198" s="4">
        <v>73</v>
      </c>
      <c r="V198" s="6">
        <f>IF(ISERROR(VLOOKUP($S$198,'TAR FIN'!$A$1:$O$103,15,0)),0,VLOOKUP($S$198,'TAR FIN'!$A$1:$O$103,15,0))</f>
        <v>0</v>
      </c>
      <c r="W198" s="6">
        <f>IF(ISERROR(VLOOKUP($T$198,'TAR FIN'!$A$1:$O$103,15,0)),0,VLOOKUP($T$198,'TAR FIN'!$A$1:$O$103,15,0))</f>
        <v>117.48</v>
      </c>
      <c r="X198" s="6">
        <f>IF(ISERROR(VLOOKUP($U$198,'TAR FIN'!$A$1:$O$103,15,0)),0,VLOOKUP($U$198,'TAR FIN'!$A$1:$O$103,15,0))</f>
        <v>173.34</v>
      </c>
      <c r="Y198" s="6"/>
      <c r="Z198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8" s="6">
        <f>('TE BE'!$AB$16+'TE BF'!$AB$16+'TE CVA'!$AB$16)*(1-CUSTOS!$M$35)</f>
        <v>163.22295089892052</v>
      </c>
      <c r="AB198" s="6">
        <f t="shared" si="16"/>
        <v>0</v>
      </c>
      <c r="AC198" s="6">
        <f>(L198-M198)*(W198+X198)+($W$232+$X$232-$W$198-$X$198)*(L198)</f>
        <v>53086.282799999994</v>
      </c>
      <c r="AD198" s="6">
        <f t="shared" si="17"/>
        <v>0</v>
      </c>
      <c r="AE198" s="6">
        <f ca="1">(L198-M198)*(Z198+AA198)+($Z$232+$AA$232-$Z$198-$AA$198)*(L198)</f>
        <v>56301.749179995481</v>
      </c>
      <c r="AF198" s="4" t="s">
        <v>780</v>
      </c>
    </row>
    <row r="199" spans="1:32" ht="11.25" customHeight="1" x14ac:dyDescent="0.25">
      <c r="A199" s="4" t="s">
        <v>27</v>
      </c>
      <c r="B199" s="4" t="s">
        <v>22</v>
      </c>
      <c r="C199" s="4" t="s">
        <v>23</v>
      </c>
      <c r="D199" s="4" t="s">
        <v>24</v>
      </c>
      <c r="E199" s="4" t="s">
        <v>30</v>
      </c>
      <c r="F199" s="4" t="s">
        <v>25</v>
      </c>
      <c r="G199" s="4" t="s">
        <v>25</v>
      </c>
      <c r="H199" s="4" t="s">
        <v>25</v>
      </c>
      <c r="I199" s="5">
        <v>44470</v>
      </c>
      <c r="J199" s="6">
        <v>0</v>
      </c>
      <c r="K199" s="6">
        <v>0</v>
      </c>
      <c r="L199" s="6">
        <v>-6.5000000000000002E-2</v>
      </c>
      <c r="M199" s="6">
        <v>-6.5000000000000002E-2</v>
      </c>
      <c r="N199" s="6">
        <v>-6.5000000000000002E-2</v>
      </c>
      <c r="O199" s="6">
        <v>-6.5000000000000002E-2</v>
      </c>
      <c r="P199" s="6">
        <v>0</v>
      </c>
      <c r="Q199" s="4" t="s">
        <v>26</v>
      </c>
      <c r="R199" s="4">
        <v>0</v>
      </c>
      <c r="S199" s="4">
        <v>0</v>
      </c>
      <c r="T199" s="4">
        <v>32</v>
      </c>
      <c r="U199" s="4">
        <v>73</v>
      </c>
      <c r="V199" s="6">
        <f>IF(ISERROR(VLOOKUP($S$199,'TAR FIN'!$A$1:$O$103,15,0)),0,VLOOKUP($S$199,'TAR FIN'!$A$1:$O$103,15,0))</f>
        <v>0</v>
      </c>
      <c r="W199" s="6">
        <f>IF(ISERROR(VLOOKUP($T$199,'TAR FIN'!$A$1:$O$103,15,0)),0,VLOOKUP($T$199,'TAR FIN'!$A$1:$O$103,15,0))</f>
        <v>117.48</v>
      </c>
      <c r="X199" s="6">
        <f>IF(ISERROR(VLOOKUP($U$199,'TAR FIN'!$A$1:$O$103,15,0)),0,VLOOKUP($U$199,'TAR FIN'!$A$1:$O$103,15,0))</f>
        <v>173.34</v>
      </c>
      <c r="Y199" s="6"/>
      <c r="Z199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199" s="6">
        <f>('TE BE'!$AB$16+'TE BF'!$AB$16+'TE CVA'!$AB$16)*(1-CUSTOS!$M$35)</f>
        <v>163.22295089892052</v>
      </c>
      <c r="AB199" s="6">
        <f t="shared" si="16"/>
        <v>0</v>
      </c>
      <c r="AC199" s="6">
        <f>(L199-M199)*(W199+X199)+($W$232+$X$232-$W$199-$X$199)*(L199)</f>
        <v>-12.602199999999998</v>
      </c>
      <c r="AD199" s="6">
        <f t="shared" si="17"/>
        <v>0</v>
      </c>
      <c r="AE199" s="6">
        <f ca="1">(L199-M199)*(Z199+AA199)+($Z$232+$AA$232-$Z$199-$AA$199)*(L199)</f>
        <v>-13.365522430516439</v>
      </c>
      <c r="AF199" s="4" t="s">
        <v>780</v>
      </c>
    </row>
    <row r="200" spans="1:32" ht="11.25" customHeight="1" x14ac:dyDescent="0.25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30</v>
      </c>
      <c r="F200" s="4" t="s">
        <v>25</v>
      </c>
      <c r="G200" s="4" t="s">
        <v>25</v>
      </c>
      <c r="H200" s="4" t="s">
        <v>25</v>
      </c>
      <c r="I200" s="5">
        <v>44501</v>
      </c>
      <c r="J200" s="6">
        <v>0</v>
      </c>
      <c r="K200" s="6">
        <v>0</v>
      </c>
      <c r="L200" s="6">
        <v>265.63600000000002</v>
      </c>
      <c r="M200" s="6">
        <v>265.63600000000002</v>
      </c>
      <c r="N200" s="6">
        <v>265.63600000000002</v>
      </c>
      <c r="O200" s="6">
        <v>265.63600000000002</v>
      </c>
      <c r="P200" s="6">
        <v>1637</v>
      </c>
      <c r="Q200" s="4" t="s">
        <v>26</v>
      </c>
      <c r="R200" s="4">
        <v>0</v>
      </c>
      <c r="S200" s="4">
        <v>0</v>
      </c>
      <c r="T200" s="4">
        <v>32</v>
      </c>
      <c r="U200" s="4">
        <v>73</v>
      </c>
      <c r="V200" s="6">
        <f>IF(ISERROR(VLOOKUP($S$200,'TAR FIN'!$A$1:$O$103,15,0)),0,VLOOKUP($S$200,'TAR FIN'!$A$1:$O$103,15,0))</f>
        <v>0</v>
      </c>
      <c r="W200" s="6">
        <f>IF(ISERROR(VLOOKUP($T$200,'TAR FIN'!$A$1:$O$103,15,0)),0,VLOOKUP($T$200,'TAR FIN'!$A$1:$O$103,15,0))</f>
        <v>117.48</v>
      </c>
      <c r="X200" s="6">
        <f>IF(ISERROR(VLOOKUP($U$200,'TAR FIN'!$A$1:$O$103,15,0)),0,VLOOKUP($U$200,'TAR FIN'!$A$1:$O$103,15,0))</f>
        <v>173.34</v>
      </c>
      <c r="Y200" s="6"/>
      <c r="Z200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0" s="6">
        <f>('TE BE'!$AB$16+'TE BF'!$AB$16+'TE CVA'!$AB$16)*(1-CUSTOS!$M$35)</f>
        <v>163.22295089892052</v>
      </c>
      <c r="AB200" s="6">
        <f t="shared" si="16"/>
        <v>0</v>
      </c>
      <c r="AC200" s="6">
        <f>(L200-M200)*(W200+X200)+($W$232+$X$232-$W$200-$X$200)*(L200)</f>
        <v>51501.507679999995</v>
      </c>
      <c r="AD200" s="6">
        <f t="shared" si="17"/>
        <v>0</v>
      </c>
      <c r="AE200" s="6">
        <f ca="1">(L200-M200)*(Z200+AA200)+($Z$232+$AA$232-$Z$200-$AA$200)*(L200)</f>
        <v>54620.983328502538</v>
      </c>
      <c r="AF200" s="4" t="s">
        <v>780</v>
      </c>
    </row>
    <row r="201" spans="1:32" ht="11.25" customHeight="1" x14ac:dyDescent="0.25">
      <c r="A201" s="4" t="s">
        <v>27</v>
      </c>
      <c r="B201" s="4" t="s">
        <v>22</v>
      </c>
      <c r="C201" s="4" t="s">
        <v>23</v>
      </c>
      <c r="D201" s="4" t="s">
        <v>24</v>
      </c>
      <c r="E201" s="4" t="s">
        <v>30</v>
      </c>
      <c r="F201" s="4" t="s">
        <v>25</v>
      </c>
      <c r="G201" s="4" t="s">
        <v>25</v>
      </c>
      <c r="H201" s="4" t="s">
        <v>25</v>
      </c>
      <c r="I201" s="5">
        <v>44501</v>
      </c>
      <c r="J201" s="6">
        <v>0</v>
      </c>
      <c r="K201" s="6">
        <v>0</v>
      </c>
      <c r="L201" s="6">
        <v>-6.4000000000000001E-2</v>
      </c>
      <c r="M201" s="6">
        <v>-6.4000000000000001E-2</v>
      </c>
      <c r="N201" s="6">
        <v>-6.4000000000000001E-2</v>
      </c>
      <c r="O201" s="6">
        <v>-6.4000000000000001E-2</v>
      </c>
      <c r="P201" s="6">
        <v>0</v>
      </c>
      <c r="Q201" s="4" t="s">
        <v>26</v>
      </c>
      <c r="R201" s="4">
        <v>0</v>
      </c>
      <c r="S201" s="4">
        <v>0</v>
      </c>
      <c r="T201" s="4">
        <v>32</v>
      </c>
      <c r="U201" s="4">
        <v>73</v>
      </c>
      <c r="V201" s="6">
        <f>IF(ISERROR(VLOOKUP($S$201,'TAR FIN'!$A$1:$O$103,15,0)),0,VLOOKUP($S$201,'TAR FIN'!$A$1:$O$103,15,0))</f>
        <v>0</v>
      </c>
      <c r="W201" s="6">
        <f>IF(ISERROR(VLOOKUP($T$201,'TAR FIN'!$A$1:$O$103,15,0)),0,VLOOKUP($T$201,'TAR FIN'!$A$1:$O$103,15,0))</f>
        <v>117.48</v>
      </c>
      <c r="X201" s="6">
        <f>IF(ISERROR(VLOOKUP($U$201,'TAR FIN'!$A$1:$O$103,15,0)),0,VLOOKUP($U$201,'TAR FIN'!$A$1:$O$103,15,0))</f>
        <v>173.34</v>
      </c>
      <c r="Y201" s="6"/>
      <c r="Z201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1" s="6">
        <f>('TE BE'!$AB$16+'TE BF'!$AB$16+'TE CVA'!$AB$16)*(1-CUSTOS!$M$35)</f>
        <v>163.22295089892052</v>
      </c>
      <c r="AB201" s="6">
        <f t="shared" si="16"/>
        <v>0</v>
      </c>
      <c r="AC201" s="6">
        <f>(L201-M201)*(W201+X201)+($W$232+$X$232-$W$201-$X$201)*(L201)</f>
        <v>-12.408319999999998</v>
      </c>
      <c r="AD201" s="6">
        <f t="shared" si="17"/>
        <v>0</v>
      </c>
      <c r="AE201" s="6">
        <f ca="1">(L201-M201)*(Z201+AA201)+($Z$232+$AA$232-$Z$201-$AA$201)*(L201)</f>
        <v>-13.159899008508493</v>
      </c>
      <c r="AF201" s="4" t="s">
        <v>780</v>
      </c>
    </row>
    <row r="202" spans="1:32" ht="11.25" customHeight="1" x14ac:dyDescent="0.25">
      <c r="A202" s="4" t="s">
        <v>21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44531</v>
      </c>
      <c r="J202" s="6">
        <v>0</v>
      </c>
      <c r="K202" s="6">
        <v>0</v>
      </c>
      <c r="L202" s="6">
        <v>263.64100000000002</v>
      </c>
      <c r="M202" s="6">
        <v>263.64100000000002</v>
      </c>
      <c r="N202" s="6">
        <v>263.64100000000002</v>
      </c>
      <c r="O202" s="6">
        <v>263.64100000000002</v>
      </c>
      <c r="P202" s="6">
        <v>1554</v>
      </c>
      <c r="Q202" s="4" t="s">
        <v>26</v>
      </c>
      <c r="R202" s="4">
        <v>0</v>
      </c>
      <c r="S202" s="4">
        <v>0</v>
      </c>
      <c r="T202" s="4">
        <v>32</v>
      </c>
      <c r="U202" s="4">
        <v>73</v>
      </c>
      <c r="V202" s="6">
        <f>IF(ISERROR(VLOOKUP($S$202,'TAR FIN'!$A$1:$O$103,15,0)),0,VLOOKUP($S$202,'TAR FIN'!$A$1:$O$103,15,0))</f>
        <v>0</v>
      </c>
      <c r="W202" s="6">
        <f>IF(ISERROR(VLOOKUP($T$202,'TAR FIN'!$A$1:$O$103,15,0)),0,VLOOKUP($T$202,'TAR FIN'!$A$1:$O$103,15,0))</f>
        <v>117.48</v>
      </c>
      <c r="X202" s="6">
        <f>IF(ISERROR(VLOOKUP($U$202,'TAR FIN'!$A$1:$O$103,15,0)),0,VLOOKUP($U$202,'TAR FIN'!$A$1:$O$103,15,0))</f>
        <v>173.34</v>
      </c>
      <c r="Y202" s="6"/>
      <c r="Z202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2" s="6">
        <f>('TE BE'!$AB$16+'TE BF'!$AB$16+'TE CVA'!$AB$16)*(1-CUSTOS!$M$35)</f>
        <v>163.22295089892052</v>
      </c>
      <c r="AB202" s="6">
        <f t="shared" si="16"/>
        <v>0</v>
      </c>
      <c r="AC202" s="6">
        <f>(L202-M202)*(W202+X202)+($W$232+$X$232-$W$202-$X$202)*(L202)</f>
        <v>51114.717079999995</v>
      </c>
      <c r="AD202" s="6">
        <f t="shared" si="17"/>
        <v>0</v>
      </c>
      <c r="AE202" s="6">
        <f ca="1">(L202-M202)*(Z202+AA202)+($Z$232+$AA$232-$Z$202-$AA$202)*(L202)</f>
        <v>54210.764601596689</v>
      </c>
      <c r="AF202" s="4" t="s">
        <v>780</v>
      </c>
    </row>
    <row r="203" spans="1:32" ht="11.25" customHeight="1" x14ac:dyDescent="0.25">
      <c r="A203" s="4" t="s">
        <v>27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44531</v>
      </c>
      <c r="J203" s="6">
        <v>0</v>
      </c>
      <c r="K203" s="6">
        <v>0</v>
      </c>
      <c r="L203" s="6">
        <v>1.6E-2</v>
      </c>
      <c r="M203" s="6">
        <v>1.6E-2</v>
      </c>
      <c r="N203" s="6">
        <v>1.6E-2</v>
      </c>
      <c r="O203" s="6">
        <v>1.6E-2</v>
      </c>
      <c r="P203" s="6">
        <v>0</v>
      </c>
      <c r="Q203" s="4" t="s">
        <v>26</v>
      </c>
      <c r="R203" s="4">
        <v>0</v>
      </c>
      <c r="S203" s="4">
        <v>0</v>
      </c>
      <c r="T203" s="4">
        <v>32</v>
      </c>
      <c r="U203" s="4">
        <v>73</v>
      </c>
      <c r="V203" s="6">
        <f>IF(ISERROR(VLOOKUP($S$203,'TAR FIN'!$A$1:$O$103,15,0)),0,VLOOKUP($S$203,'TAR FIN'!$A$1:$O$103,15,0))</f>
        <v>0</v>
      </c>
      <c r="W203" s="6">
        <f>IF(ISERROR(VLOOKUP($T$203,'TAR FIN'!$A$1:$O$103,15,0)),0,VLOOKUP($T$203,'TAR FIN'!$A$1:$O$103,15,0))</f>
        <v>117.48</v>
      </c>
      <c r="X203" s="6">
        <f>IF(ISERROR(VLOOKUP($U$203,'TAR FIN'!$A$1:$O$103,15,0)),0,VLOOKUP($U$203,'TAR FIN'!$A$1:$O$103,15,0))</f>
        <v>173.34</v>
      </c>
      <c r="Y203" s="6"/>
      <c r="Z203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3" s="6">
        <f>('TE BE'!$AB$16+'TE BF'!$AB$16+'TE CVA'!$AB$16)*(1-CUSTOS!$M$35)</f>
        <v>163.22295089892052</v>
      </c>
      <c r="AB203" s="6">
        <f t="shared" si="16"/>
        <v>0</v>
      </c>
      <c r="AC203" s="6">
        <f>(L203-M203)*(W203+X203)+($W$232+$X$232-$W$203-$X$203)*(L203)</f>
        <v>3.1020799999999995</v>
      </c>
      <c r="AD203" s="6">
        <f t="shared" si="17"/>
        <v>0</v>
      </c>
      <c r="AE203" s="6">
        <f ca="1">(L203-M203)*(Z203+AA203)+($Z$232+$AA$232-$Z$203-$AA$203)*(L203)</f>
        <v>3.2899747521271232</v>
      </c>
      <c r="AF203" s="4" t="s">
        <v>780</v>
      </c>
    </row>
    <row r="204" spans="1:32" ht="11.25" customHeight="1" x14ac:dyDescent="0.25">
      <c r="A204" s="4" t="s">
        <v>21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0</v>
      </c>
      <c r="K204" s="6">
        <v>0</v>
      </c>
      <c r="L204" s="6">
        <v>267.75400000000002</v>
      </c>
      <c r="M204" s="6">
        <v>267.75400000000002</v>
      </c>
      <c r="N204" s="6">
        <v>267.75400000000002</v>
      </c>
      <c r="O204" s="6">
        <v>267.75400000000002</v>
      </c>
      <c r="P204" s="6">
        <v>1520</v>
      </c>
      <c r="Q204" s="4" t="s">
        <v>26</v>
      </c>
      <c r="R204" s="4">
        <v>0</v>
      </c>
      <c r="S204" s="4">
        <v>0</v>
      </c>
      <c r="T204" s="4">
        <v>32</v>
      </c>
      <c r="U204" s="4">
        <v>73</v>
      </c>
      <c r="V204" s="6">
        <f>IF(ISERROR(VLOOKUP($S$204,'TAR FIN'!$A$1:$O$103,15,0)),0,VLOOKUP($S$204,'TAR FIN'!$A$1:$O$103,15,0))</f>
        <v>0</v>
      </c>
      <c r="W204" s="6">
        <f>IF(ISERROR(VLOOKUP($T$204,'TAR FIN'!$A$1:$O$103,15,0)),0,VLOOKUP($T$204,'TAR FIN'!$A$1:$O$103,15,0))</f>
        <v>117.48</v>
      </c>
      <c r="X204" s="6">
        <f>IF(ISERROR(VLOOKUP($U$204,'TAR FIN'!$A$1:$O$103,15,0)),0,VLOOKUP($U$204,'TAR FIN'!$A$1:$O$103,15,0))</f>
        <v>173.34</v>
      </c>
      <c r="Y204" s="6"/>
      <c r="Z204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4" s="6">
        <f>('TE BE'!$AB$16+'TE BF'!$AB$16+'TE CVA'!$AB$16)*(1-CUSTOS!$M$35)</f>
        <v>163.22295089892052</v>
      </c>
      <c r="AB204" s="6">
        <f t="shared" si="16"/>
        <v>0</v>
      </c>
      <c r="AC204" s="6">
        <f>(L204-M204)*(W204+X204)+($W$232+$X$232-$W$204-$X$204)*(L204)</f>
        <v>51912.145519999998</v>
      </c>
      <c r="AD204" s="6">
        <f t="shared" si="17"/>
        <v>0</v>
      </c>
      <c r="AE204" s="6">
        <f ca="1">(L204-M204)*(Z204+AA204)+($Z$232+$AA$232-$Z$204-$AA$204)*(L204)</f>
        <v>55056.493736315366</v>
      </c>
      <c r="AF204" s="4" t="s">
        <v>780</v>
      </c>
    </row>
    <row r="205" spans="1:32" ht="11.25" customHeight="1" x14ac:dyDescent="0.25">
      <c r="A205" s="4" t="s">
        <v>27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44562</v>
      </c>
      <c r="J205" s="6">
        <v>0</v>
      </c>
      <c r="K205" s="6">
        <v>0</v>
      </c>
      <c r="L205" s="6">
        <v>-0.09</v>
      </c>
      <c r="M205" s="6">
        <v>-0.09</v>
      </c>
      <c r="N205" s="6">
        <v>-0.09</v>
      </c>
      <c r="O205" s="6">
        <v>-0.09</v>
      </c>
      <c r="P205" s="6">
        <v>0</v>
      </c>
      <c r="Q205" s="4" t="s">
        <v>26</v>
      </c>
      <c r="R205" s="4">
        <v>0</v>
      </c>
      <c r="S205" s="4">
        <v>0</v>
      </c>
      <c r="T205" s="4">
        <v>32</v>
      </c>
      <c r="U205" s="4">
        <v>73</v>
      </c>
      <c r="V205" s="6">
        <f>IF(ISERROR(VLOOKUP($S$205,'TAR FIN'!$A$1:$O$103,15,0)),0,VLOOKUP($S$205,'TAR FIN'!$A$1:$O$103,15,0))</f>
        <v>0</v>
      </c>
      <c r="W205" s="6">
        <f>IF(ISERROR(VLOOKUP($T$205,'TAR FIN'!$A$1:$O$103,15,0)),0,VLOOKUP($T$205,'TAR FIN'!$A$1:$O$103,15,0))</f>
        <v>117.48</v>
      </c>
      <c r="X205" s="6">
        <f>IF(ISERROR(VLOOKUP($U$205,'TAR FIN'!$A$1:$O$103,15,0)),0,VLOOKUP($U$205,'TAR FIN'!$A$1:$O$103,15,0))</f>
        <v>173.34</v>
      </c>
      <c r="Y205" s="6"/>
      <c r="Z205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5" s="6">
        <f>('TE BE'!$AB$16+'TE BF'!$AB$16+'TE CVA'!$AB$16)*(1-CUSTOS!$M$35)</f>
        <v>163.22295089892052</v>
      </c>
      <c r="AB205" s="6">
        <f t="shared" si="16"/>
        <v>0</v>
      </c>
      <c r="AC205" s="6">
        <f>(L205-M205)*(W205+X205)+($W$232+$X$232-$W$205-$X$205)*(L205)</f>
        <v>-17.449199999999998</v>
      </c>
      <c r="AD205" s="6">
        <f t="shared" si="17"/>
        <v>0</v>
      </c>
      <c r="AE205" s="6">
        <f ca="1">(L205-M205)*(Z205+AA205)+($Z$232+$AA$232-$Z$205-$AA$205)*(L205)</f>
        <v>-18.506107980715068</v>
      </c>
      <c r="AF205" s="4" t="s">
        <v>780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44593</v>
      </c>
      <c r="J206" s="6">
        <v>0</v>
      </c>
      <c r="K206" s="6">
        <v>0</v>
      </c>
      <c r="L206" s="6">
        <v>283.09500000000003</v>
      </c>
      <c r="M206" s="6">
        <v>283.09500000000003</v>
      </c>
      <c r="N206" s="6">
        <v>283.09500000000003</v>
      </c>
      <c r="O206" s="6">
        <v>283.09500000000003</v>
      </c>
      <c r="P206" s="6">
        <v>1423</v>
      </c>
      <c r="Q206" s="4" t="s">
        <v>26</v>
      </c>
      <c r="R206" s="4">
        <v>0</v>
      </c>
      <c r="S206" s="4">
        <v>0</v>
      </c>
      <c r="T206" s="4">
        <v>32</v>
      </c>
      <c r="U206" s="4">
        <v>73</v>
      </c>
      <c r="V206" s="6">
        <f>IF(ISERROR(VLOOKUP($S$206,'TAR FIN'!$A$1:$O$103,15,0)),0,VLOOKUP($S$206,'TAR FIN'!$A$1:$O$103,15,0))</f>
        <v>0</v>
      </c>
      <c r="W206" s="6">
        <f>IF(ISERROR(VLOOKUP($T$206,'TAR FIN'!$A$1:$O$103,15,0)),0,VLOOKUP($T$206,'TAR FIN'!$A$1:$O$103,15,0))</f>
        <v>117.48</v>
      </c>
      <c r="X206" s="6">
        <f>IF(ISERROR(VLOOKUP($U$206,'TAR FIN'!$A$1:$O$103,15,0)),0,VLOOKUP($U$206,'TAR FIN'!$A$1:$O$103,15,0))</f>
        <v>173.34</v>
      </c>
      <c r="Y206" s="6"/>
      <c r="Z206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6" s="6">
        <f>('TE BE'!$AB$16+'TE BF'!$AB$16+'TE CVA'!$AB$16)*(1-CUSTOS!$M$35)</f>
        <v>163.22295089892052</v>
      </c>
      <c r="AB206" s="6">
        <f t="shared" si="16"/>
        <v>0</v>
      </c>
      <c r="AC206" s="6">
        <f>(L206-M206)*(W206+X206)+($W$232+$X$232-$W$206-$X$206)*(L206)</f>
        <v>54886.458599999998</v>
      </c>
      <c r="AD206" s="6">
        <f t="shared" si="17"/>
        <v>0</v>
      </c>
      <c r="AE206" s="6">
        <f ca="1">(L206-M206)*(Z206+AA206)+($Z$232+$AA$232-$Z$206-$AA$206)*(L206)</f>
        <v>58210.962653339251</v>
      </c>
      <c r="AF206" s="4" t="s">
        <v>780</v>
      </c>
    </row>
    <row r="207" spans="1:32" ht="11.25" customHeight="1" x14ac:dyDescent="0.25">
      <c r="A207" s="4" t="s">
        <v>21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44621</v>
      </c>
      <c r="J207" s="6">
        <v>0</v>
      </c>
      <c r="K207" s="6">
        <v>0</v>
      </c>
      <c r="L207" s="6">
        <v>299.08600000000001</v>
      </c>
      <c r="M207" s="6">
        <v>299.08600000000001</v>
      </c>
      <c r="N207" s="6">
        <v>299.08600000000001</v>
      </c>
      <c r="O207" s="6">
        <v>299.08600000000001</v>
      </c>
      <c r="P207" s="6">
        <v>1670</v>
      </c>
      <c r="Q207" s="4" t="s">
        <v>26</v>
      </c>
      <c r="R207" s="4">
        <v>0</v>
      </c>
      <c r="S207" s="4">
        <v>0</v>
      </c>
      <c r="T207" s="4">
        <v>32</v>
      </c>
      <c r="U207" s="4">
        <v>73</v>
      </c>
      <c r="V207" s="6">
        <f>IF(ISERROR(VLOOKUP($S$207,'TAR FIN'!$A$1:$O$103,15,0)),0,VLOOKUP($S$207,'TAR FIN'!$A$1:$O$103,15,0))</f>
        <v>0</v>
      </c>
      <c r="W207" s="6">
        <f>IF(ISERROR(VLOOKUP($T$207,'TAR FIN'!$A$1:$O$103,15,0)),0,VLOOKUP($T$207,'TAR FIN'!$A$1:$O$103,15,0))</f>
        <v>117.48</v>
      </c>
      <c r="X207" s="6">
        <f>IF(ISERROR(VLOOKUP($U$207,'TAR FIN'!$A$1:$O$103,15,0)),0,VLOOKUP($U$207,'TAR FIN'!$A$1:$O$103,15,0))</f>
        <v>173.34</v>
      </c>
      <c r="Y207" s="6"/>
      <c r="Z207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7" s="6">
        <f>('TE BE'!$AB$16+'TE BF'!$AB$16+'TE CVA'!$AB$16)*(1-CUSTOS!$M$35)</f>
        <v>163.22295089892052</v>
      </c>
      <c r="AB207" s="6">
        <f t="shared" si="16"/>
        <v>0</v>
      </c>
      <c r="AC207" s="6">
        <f>(L207-M207)*(W207+X207)+($W$232+$X$232-$W$207-$X$207)*(L207)</f>
        <v>57986.793679999995</v>
      </c>
      <c r="AD207" s="6">
        <f t="shared" si="17"/>
        <v>0</v>
      </c>
      <c r="AE207" s="6">
        <f ca="1">(L207-M207)*(Z207+AA207)+($Z$232+$AA$232-$Z$207-$AA$207)*(L207)</f>
        <v>61499.086794668307</v>
      </c>
      <c r="AF207" s="4" t="s">
        <v>780</v>
      </c>
    </row>
    <row r="208" spans="1:32" ht="11.25" customHeight="1" x14ac:dyDescent="0.25">
      <c r="A208" s="4" t="s">
        <v>21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44652</v>
      </c>
      <c r="J208" s="6">
        <v>0</v>
      </c>
      <c r="K208" s="6">
        <v>0</v>
      </c>
      <c r="L208" s="6">
        <v>295.02300000000002</v>
      </c>
      <c r="M208" s="6">
        <v>295.02300000000002</v>
      </c>
      <c r="N208" s="6">
        <v>295.02300000000002</v>
      </c>
      <c r="O208" s="6">
        <v>295.02300000000002</v>
      </c>
      <c r="P208" s="6">
        <v>1800</v>
      </c>
      <c r="Q208" s="4" t="s">
        <v>26</v>
      </c>
      <c r="R208" s="4">
        <v>0</v>
      </c>
      <c r="S208" s="4">
        <v>0</v>
      </c>
      <c r="T208" s="4">
        <v>32</v>
      </c>
      <c r="U208" s="4">
        <v>73</v>
      </c>
      <c r="V208" s="6">
        <f>IF(ISERROR(VLOOKUP($S$208,'TAR FIN'!$A$1:$O$103,15,0)),0,VLOOKUP($S$208,'TAR FIN'!$A$1:$O$103,15,0))</f>
        <v>0</v>
      </c>
      <c r="W208" s="6">
        <f>IF(ISERROR(VLOOKUP($T$208,'TAR FIN'!$A$1:$O$103,15,0)),0,VLOOKUP($T$208,'TAR FIN'!$A$1:$O$103,15,0))</f>
        <v>117.48</v>
      </c>
      <c r="X208" s="6">
        <f>IF(ISERROR(VLOOKUP($U$208,'TAR FIN'!$A$1:$O$103,15,0)),0,VLOOKUP($U$208,'TAR FIN'!$A$1:$O$103,15,0))</f>
        <v>173.34</v>
      </c>
      <c r="Y208" s="6"/>
      <c r="Z208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8" s="6">
        <f>('TE BE'!$AB$16+'TE BF'!$AB$16+'TE CVA'!$AB$16)*(1-CUSTOS!$M$35)</f>
        <v>163.22295089892052</v>
      </c>
      <c r="AB208" s="6">
        <f t="shared" si="16"/>
        <v>0</v>
      </c>
      <c r="AC208" s="6">
        <f>(L208-M208)*(W208+X208)+($W$232+$X$232-$W$208-$X$208)*(L208)</f>
        <v>57199.059239999995</v>
      </c>
      <c r="AD208" s="6">
        <f t="shared" si="17"/>
        <v>0</v>
      </c>
      <c r="AE208" s="6">
        <f ca="1">(L208-M208)*(Z208+AA208)+($Z$232+$AA$232-$Z$208-$AA$208)*(L208)</f>
        <v>60663.638831050026</v>
      </c>
      <c r="AF208" s="4" t="s">
        <v>780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30</v>
      </c>
      <c r="F209" s="4" t="s">
        <v>25</v>
      </c>
      <c r="G209" s="4" t="s">
        <v>25</v>
      </c>
      <c r="H209" s="4" t="s">
        <v>25</v>
      </c>
      <c r="I209" s="5">
        <v>44682</v>
      </c>
      <c r="J209" s="6">
        <v>0</v>
      </c>
      <c r="K209" s="6">
        <v>0</v>
      </c>
      <c r="L209" s="6">
        <v>296.60599999999999</v>
      </c>
      <c r="M209" s="6">
        <v>296.60599999999999</v>
      </c>
      <c r="N209" s="6">
        <v>296.60599999999999</v>
      </c>
      <c r="O209" s="6">
        <v>296.60599999999999</v>
      </c>
      <c r="P209" s="6">
        <v>1802</v>
      </c>
      <c r="Q209" s="4" t="s">
        <v>26</v>
      </c>
      <c r="R209" s="4">
        <v>0</v>
      </c>
      <c r="S209" s="4">
        <v>0</v>
      </c>
      <c r="T209" s="4">
        <v>32</v>
      </c>
      <c r="U209" s="4">
        <v>73</v>
      </c>
      <c r="V209" s="6">
        <f>IF(ISERROR(VLOOKUP($S$209,'TAR FIN'!$A$1:$O$103,15,0)),0,VLOOKUP($S$209,'TAR FIN'!$A$1:$O$103,15,0))</f>
        <v>0</v>
      </c>
      <c r="W209" s="6">
        <f>IF(ISERROR(VLOOKUP($T$209,'TAR FIN'!$A$1:$O$103,15,0)),0,VLOOKUP($T$209,'TAR FIN'!$A$1:$O$103,15,0))</f>
        <v>117.48</v>
      </c>
      <c r="X209" s="6">
        <f>IF(ISERROR(VLOOKUP($U$209,'TAR FIN'!$A$1:$O$103,15,0)),0,VLOOKUP($U$209,'TAR FIN'!$A$1:$O$103,15,0))</f>
        <v>173.34</v>
      </c>
      <c r="Y209" s="6"/>
      <c r="Z209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09" s="6">
        <f>('TE BE'!$AB$16+'TE BF'!$AB$16+'TE CVA'!$AB$16)*(1-CUSTOS!$M$35)</f>
        <v>163.22295089892052</v>
      </c>
      <c r="AB209" s="6">
        <f t="shared" si="16"/>
        <v>0</v>
      </c>
      <c r="AC209" s="6">
        <f>(L209-M209)*(W209+X209)+($W$232+$X$232-$W$209-$X$209)*(L209)</f>
        <v>57505.971279999991</v>
      </c>
      <c r="AD209" s="6">
        <f t="shared" si="17"/>
        <v>0</v>
      </c>
      <c r="AE209" s="6">
        <f ca="1">(L209-M209)*(Z209+AA209)+($Z$232+$AA$232-$Z$209-$AA$209)*(L209)</f>
        <v>60989.140708088598</v>
      </c>
      <c r="AF209" s="4" t="s">
        <v>780</v>
      </c>
    </row>
    <row r="210" spans="1:32" ht="11.25" customHeight="1" x14ac:dyDescent="0.25">
      <c r="A210" s="4" t="s">
        <v>27</v>
      </c>
      <c r="B210" s="4" t="s">
        <v>22</v>
      </c>
      <c r="C210" s="4" t="s">
        <v>23</v>
      </c>
      <c r="D210" s="4" t="s">
        <v>24</v>
      </c>
      <c r="E210" s="4" t="s">
        <v>30</v>
      </c>
      <c r="F210" s="4" t="s">
        <v>25</v>
      </c>
      <c r="G210" s="4" t="s">
        <v>25</v>
      </c>
      <c r="H210" s="4" t="s">
        <v>25</v>
      </c>
      <c r="I210" s="5">
        <v>44682</v>
      </c>
      <c r="J210" s="6">
        <v>0</v>
      </c>
      <c r="K210" s="6">
        <v>0</v>
      </c>
      <c r="L210" s="6">
        <v>7.0000000000000007E-2</v>
      </c>
      <c r="M210" s="6">
        <v>7.0000000000000007E-2</v>
      </c>
      <c r="N210" s="6">
        <v>7.0000000000000007E-2</v>
      </c>
      <c r="O210" s="6">
        <v>7.0000000000000007E-2</v>
      </c>
      <c r="P210" s="6">
        <v>0</v>
      </c>
      <c r="Q210" s="4" t="s">
        <v>26</v>
      </c>
      <c r="R210" s="4">
        <v>0</v>
      </c>
      <c r="S210" s="4">
        <v>0</v>
      </c>
      <c r="T210" s="4">
        <v>32</v>
      </c>
      <c r="U210" s="4">
        <v>73</v>
      </c>
      <c r="V210" s="6">
        <f>IF(ISERROR(VLOOKUP($S$210,'TAR FIN'!$A$1:$O$103,15,0)),0,VLOOKUP($S$210,'TAR FIN'!$A$1:$O$103,15,0))</f>
        <v>0</v>
      </c>
      <c r="W210" s="6">
        <f>IF(ISERROR(VLOOKUP($T$210,'TAR FIN'!$A$1:$O$103,15,0)),0,VLOOKUP($T$210,'TAR FIN'!$A$1:$O$103,15,0))</f>
        <v>117.48</v>
      </c>
      <c r="X210" s="6">
        <f>IF(ISERROR(VLOOKUP($U$210,'TAR FIN'!$A$1:$O$103,15,0)),0,VLOOKUP($U$210,'TAR FIN'!$A$1:$O$103,15,0))</f>
        <v>173.34</v>
      </c>
      <c r="Y210" s="6"/>
      <c r="Z210" s="6">
        <f ca="1">('TUSD BE'!$AM$32+'TUSD BF'!$AM$32+'TUSD CVA'!$AM$32-('TUSD BE'!$P$32+'TUSD BF'!$P$32+'TUSD CVA'!$P$32)-('TUSD BE'!$Q$32+'TUSD BF'!$Q$32+'TUSD CVA'!$Q$32)-('TUSD BE'!$R$32+'TUSD BF'!$R$32+'TUSD CVA'!$R$32))*(1-CUSTOS!$M$35)</f>
        <v>145.21218211299737</v>
      </c>
      <c r="AA210" s="6">
        <f>('TE BE'!$AB$16+'TE BF'!$AB$16+'TE CVA'!$AB$16)*(1-CUSTOS!$M$35)</f>
        <v>163.22295089892052</v>
      </c>
      <c r="AB210" s="6">
        <f t="shared" si="16"/>
        <v>0</v>
      </c>
      <c r="AC210" s="6">
        <f>(L210-M210)*(W210+X210)+($W$232+$X$232-$W$210-$X$210)*(L210)</f>
        <v>13.571599999999998</v>
      </c>
      <c r="AD210" s="6">
        <f t="shared" si="17"/>
        <v>0</v>
      </c>
      <c r="AE210" s="6">
        <f ca="1">(L210-M210)*(Z210+AA210)+($Z$232+$AA$232-$Z$210-$AA$210)*(L210)</f>
        <v>14.393639540556165</v>
      </c>
      <c r="AF210" s="4" t="s">
        <v>780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31</v>
      </c>
      <c r="F211" s="4" t="s">
        <v>25</v>
      </c>
      <c r="G211" s="4" t="s">
        <v>25</v>
      </c>
      <c r="H211" s="4" t="s">
        <v>25</v>
      </c>
      <c r="I211" s="5">
        <v>44348</v>
      </c>
      <c r="J211" s="6">
        <v>0</v>
      </c>
      <c r="K211" s="6">
        <v>0</v>
      </c>
      <c r="L211" s="6">
        <v>165.16200000000001</v>
      </c>
      <c r="M211" s="6">
        <v>165.16200000000001</v>
      </c>
      <c r="N211" s="6">
        <v>165.16200000000001</v>
      </c>
      <c r="O211" s="6">
        <v>165.16200000000001</v>
      </c>
      <c r="P211" s="6">
        <v>2235</v>
      </c>
      <c r="Q211" s="4" t="s">
        <v>26</v>
      </c>
      <c r="R211" s="4">
        <v>0</v>
      </c>
      <c r="S211" s="4">
        <v>0</v>
      </c>
      <c r="T211" s="4">
        <v>33</v>
      </c>
      <c r="U211" s="4">
        <v>74</v>
      </c>
      <c r="V211" s="6">
        <f>IF(ISERROR(VLOOKUP($S$211,'TAR FIN'!$A$1:$O$103,15,0)),0,VLOOKUP($S$211,'TAR FIN'!$A$1:$O$103,15,0))</f>
        <v>0</v>
      </c>
      <c r="W211" s="6">
        <f>IF(ISERROR(VLOOKUP($T$211,'TAR FIN'!$A$1:$O$103,15,0)),0,VLOOKUP($T$211,'TAR FIN'!$A$1:$O$103,15,0))</f>
        <v>176.22</v>
      </c>
      <c r="X211" s="6">
        <f>IF(ISERROR(VLOOKUP($U$211,'TAR FIN'!$A$1:$O$103,15,0)),0,VLOOKUP($U$211,'TAR FIN'!$A$1:$O$103,15,0))</f>
        <v>260.01</v>
      </c>
      <c r="Y211" s="6"/>
      <c r="Z211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1" s="6">
        <f>('TE BE'!$AB$17+'TE BF'!$AB$17+'TE CVA'!$AB$17)*(1-CUSTOS!$M$36)</f>
        <v>244.83442634838076</v>
      </c>
      <c r="AB211" s="6">
        <f t="shared" si="16"/>
        <v>0</v>
      </c>
      <c r="AC211" s="6">
        <f>(L211-M211)*(W211+X211)+($W$232+$X$232-$W$211-$X$211)*(L211)</f>
        <v>8005.4021400000047</v>
      </c>
      <c r="AD211" s="6">
        <f t="shared" si="17"/>
        <v>0</v>
      </c>
      <c r="AE211" s="6">
        <f ca="1">(L211-M211)*(Z211+AA211)+($Z$232+$AA$232-$Z$211-$AA$211)*(L211)</f>
        <v>8490.2939064190632</v>
      </c>
      <c r="AF211" s="4" t="s">
        <v>780</v>
      </c>
    </row>
    <row r="212" spans="1:32" ht="11.25" customHeight="1" x14ac:dyDescent="0.25">
      <c r="A212" s="4" t="s">
        <v>27</v>
      </c>
      <c r="B212" s="4" t="s">
        <v>22</v>
      </c>
      <c r="C212" s="4" t="s">
        <v>23</v>
      </c>
      <c r="D212" s="4" t="s">
        <v>24</v>
      </c>
      <c r="E212" s="4" t="s">
        <v>31</v>
      </c>
      <c r="F212" s="4" t="s">
        <v>25</v>
      </c>
      <c r="G212" s="4" t="s">
        <v>25</v>
      </c>
      <c r="H212" s="4" t="s">
        <v>25</v>
      </c>
      <c r="I212" s="5">
        <v>44348</v>
      </c>
      <c r="J212" s="6">
        <v>0</v>
      </c>
      <c r="K212" s="6">
        <v>0</v>
      </c>
      <c r="L212" s="6">
        <v>-0.14000000000000001</v>
      </c>
      <c r="M212" s="6">
        <v>-0.14000000000000001</v>
      </c>
      <c r="N212" s="6">
        <v>-0.14000000000000001</v>
      </c>
      <c r="O212" s="6">
        <v>-0.14000000000000001</v>
      </c>
      <c r="P212" s="6">
        <v>0</v>
      </c>
      <c r="Q212" s="4" t="s">
        <v>26</v>
      </c>
      <c r="R212" s="4">
        <v>0</v>
      </c>
      <c r="S212" s="4">
        <v>0</v>
      </c>
      <c r="T212" s="4">
        <v>33</v>
      </c>
      <c r="U212" s="4">
        <v>74</v>
      </c>
      <c r="V212" s="6">
        <f>IF(ISERROR(VLOOKUP($S$212,'TAR FIN'!$A$1:$O$103,15,0)),0,VLOOKUP($S$212,'TAR FIN'!$A$1:$O$103,15,0))</f>
        <v>0</v>
      </c>
      <c r="W212" s="6">
        <f>IF(ISERROR(VLOOKUP($T$212,'TAR FIN'!$A$1:$O$103,15,0)),0,VLOOKUP($T$212,'TAR FIN'!$A$1:$O$103,15,0))</f>
        <v>176.22</v>
      </c>
      <c r="X212" s="6">
        <f>IF(ISERROR(VLOOKUP($U$212,'TAR FIN'!$A$1:$O$103,15,0)),0,VLOOKUP($U$212,'TAR FIN'!$A$1:$O$103,15,0))</f>
        <v>260.01</v>
      </c>
      <c r="Y212" s="6"/>
      <c r="Z212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2" s="6">
        <f>('TE BE'!$AB$17+'TE BF'!$AB$17+'TE CVA'!$AB$17)*(1-CUSTOS!$M$36)</f>
        <v>244.83442634838076</v>
      </c>
      <c r="AB212" s="6">
        <f t="shared" si="16"/>
        <v>0</v>
      </c>
      <c r="AC212" s="6">
        <f>(L212-M212)*(W212+X212)+($W$232+$X$232-$W$212-$X$212)*(L212)</f>
        <v>-6.7858000000000045</v>
      </c>
      <c r="AD212" s="6">
        <f t="shared" si="17"/>
        <v>0</v>
      </c>
      <c r="AE212" s="6">
        <f ca="1">(L212-M212)*(Z212+AA212)+($Z$232+$AA$232-$Z$212-$AA$212)*(L212)</f>
        <v>-7.1968197702780836</v>
      </c>
      <c r="AF212" s="4" t="s">
        <v>780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31</v>
      </c>
      <c r="F213" s="4" t="s">
        <v>25</v>
      </c>
      <c r="G213" s="4" t="s">
        <v>25</v>
      </c>
      <c r="H213" s="4" t="s">
        <v>25</v>
      </c>
      <c r="I213" s="5">
        <v>44378</v>
      </c>
      <c r="J213" s="6">
        <v>0</v>
      </c>
      <c r="K213" s="6">
        <v>0</v>
      </c>
      <c r="L213" s="6">
        <v>164.381</v>
      </c>
      <c r="M213" s="6">
        <v>164.381</v>
      </c>
      <c r="N213" s="6">
        <v>164.381</v>
      </c>
      <c r="O213" s="6">
        <v>164.381</v>
      </c>
      <c r="P213" s="6">
        <v>2212</v>
      </c>
      <c r="Q213" s="4" t="s">
        <v>26</v>
      </c>
      <c r="R213" s="4">
        <v>0</v>
      </c>
      <c r="S213" s="4">
        <v>0</v>
      </c>
      <c r="T213" s="4">
        <v>33</v>
      </c>
      <c r="U213" s="4">
        <v>74</v>
      </c>
      <c r="V213" s="6">
        <f>IF(ISERROR(VLOOKUP($S$213,'TAR FIN'!$A$1:$O$103,15,0)),0,VLOOKUP($S$213,'TAR FIN'!$A$1:$O$103,15,0))</f>
        <v>0</v>
      </c>
      <c r="W213" s="6">
        <f>IF(ISERROR(VLOOKUP($T$213,'TAR FIN'!$A$1:$O$103,15,0)),0,VLOOKUP($T$213,'TAR FIN'!$A$1:$O$103,15,0))</f>
        <v>176.22</v>
      </c>
      <c r="X213" s="6">
        <f>IF(ISERROR(VLOOKUP($U$213,'TAR FIN'!$A$1:$O$103,15,0)),0,VLOOKUP($U$213,'TAR FIN'!$A$1:$O$103,15,0))</f>
        <v>260.01</v>
      </c>
      <c r="Y213" s="6"/>
      <c r="Z213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3" s="6">
        <f>('TE BE'!$AB$17+'TE BF'!$AB$17+'TE CVA'!$AB$17)*(1-CUSTOS!$M$36)</f>
        <v>244.83442634838076</v>
      </c>
      <c r="AB213" s="6">
        <f t="shared" si="16"/>
        <v>0</v>
      </c>
      <c r="AC213" s="6">
        <f>(L213-M213)*(W213+X213)+($W$232+$X$232-$W$213-$X$213)*(L213)</f>
        <v>7967.5470700000042</v>
      </c>
      <c r="AD213" s="6">
        <f t="shared" si="17"/>
        <v>0</v>
      </c>
      <c r="AE213" s="6">
        <f ca="1">(L213-M213)*(Z213+AA213)+($Z$232+$AA$232-$Z$213-$AA$213)*(L213)</f>
        <v>8450.1459332720115</v>
      </c>
      <c r="AF213" s="4" t="s">
        <v>780</v>
      </c>
    </row>
    <row r="214" spans="1:32" ht="11.25" customHeight="1" x14ac:dyDescent="0.25">
      <c r="A214" s="4" t="s">
        <v>27</v>
      </c>
      <c r="B214" s="4" t="s">
        <v>22</v>
      </c>
      <c r="C214" s="4" t="s">
        <v>23</v>
      </c>
      <c r="D214" s="4" t="s">
        <v>24</v>
      </c>
      <c r="E214" s="4" t="s">
        <v>31</v>
      </c>
      <c r="F214" s="4" t="s">
        <v>25</v>
      </c>
      <c r="G214" s="4" t="s">
        <v>25</v>
      </c>
      <c r="H214" s="4" t="s">
        <v>25</v>
      </c>
      <c r="I214" s="5">
        <v>44378</v>
      </c>
      <c r="J214" s="6">
        <v>0</v>
      </c>
      <c r="K214" s="6">
        <v>0</v>
      </c>
      <c r="L214" s="6">
        <v>-0.13900000000000001</v>
      </c>
      <c r="M214" s="6">
        <v>-0.13900000000000001</v>
      </c>
      <c r="N214" s="6">
        <v>-0.13900000000000001</v>
      </c>
      <c r="O214" s="6">
        <v>-0.13900000000000001</v>
      </c>
      <c r="P214" s="6">
        <v>0</v>
      </c>
      <c r="Q214" s="4" t="s">
        <v>26</v>
      </c>
      <c r="R214" s="4">
        <v>0</v>
      </c>
      <c r="S214" s="4">
        <v>0</v>
      </c>
      <c r="T214" s="4">
        <v>33</v>
      </c>
      <c r="U214" s="4">
        <v>74</v>
      </c>
      <c r="V214" s="6">
        <f>IF(ISERROR(VLOOKUP($S$214,'TAR FIN'!$A$1:$O$103,15,0)),0,VLOOKUP($S$214,'TAR FIN'!$A$1:$O$103,15,0))</f>
        <v>0</v>
      </c>
      <c r="W214" s="6">
        <f>IF(ISERROR(VLOOKUP($T$214,'TAR FIN'!$A$1:$O$103,15,0)),0,VLOOKUP($T$214,'TAR FIN'!$A$1:$O$103,15,0))</f>
        <v>176.22</v>
      </c>
      <c r="X214" s="6">
        <f>IF(ISERROR(VLOOKUP($U$214,'TAR FIN'!$A$1:$O$103,15,0)),0,VLOOKUP($U$214,'TAR FIN'!$A$1:$O$103,15,0))</f>
        <v>260.01</v>
      </c>
      <c r="Y214" s="6"/>
      <c r="Z214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4" s="6">
        <f>('TE BE'!$AB$17+'TE BF'!$AB$17+'TE CVA'!$AB$17)*(1-CUSTOS!$M$36)</f>
        <v>244.83442634838076</v>
      </c>
      <c r="AB214" s="6">
        <f t="shared" si="16"/>
        <v>0</v>
      </c>
      <c r="AC214" s="6">
        <f>(L214-M214)*(W214+X214)+($W$232+$X$232-$W$214-$X$214)*(L214)</f>
        <v>-6.7373300000000045</v>
      </c>
      <c r="AD214" s="6">
        <f t="shared" si="17"/>
        <v>0</v>
      </c>
      <c r="AE214" s="6">
        <f ca="1">(L214-M214)*(Z214+AA214)+($Z$232+$AA$232-$Z$214-$AA$214)*(L214)</f>
        <v>-7.145413914776098</v>
      </c>
      <c r="AF214" s="4" t="s">
        <v>780</v>
      </c>
    </row>
    <row r="215" spans="1:32" ht="11.25" customHeight="1" x14ac:dyDescent="0.25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31</v>
      </c>
      <c r="F215" s="4" t="s">
        <v>25</v>
      </c>
      <c r="G215" s="4" t="s">
        <v>25</v>
      </c>
      <c r="H215" s="4" t="s">
        <v>25</v>
      </c>
      <c r="I215" s="5">
        <v>44409</v>
      </c>
      <c r="J215" s="6">
        <v>0</v>
      </c>
      <c r="K215" s="6">
        <v>0</v>
      </c>
      <c r="L215" s="6">
        <v>172.28899999999999</v>
      </c>
      <c r="M215" s="6">
        <v>172.28899999999999</v>
      </c>
      <c r="N215" s="6">
        <v>172.28899999999999</v>
      </c>
      <c r="O215" s="6">
        <v>172.28899999999999</v>
      </c>
      <c r="P215" s="6">
        <v>2288</v>
      </c>
      <c r="Q215" s="4" t="s">
        <v>26</v>
      </c>
      <c r="R215" s="4">
        <v>0</v>
      </c>
      <c r="S215" s="4">
        <v>0</v>
      </c>
      <c r="T215" s="4">
        <v>33</v>
      </c>
      <c r="U215" s="4">
        <v>74</v>
      </c>
      <c r="V215" s="6">
        <f>IF(ISERROR(VLOOKUP($S$215,'TAR FIN'!$A$1:$O$103,15,0)),0,VLOOKUP($S$215,'TAR FIN'!$A$1:$O$103,15,0))</f>
        <v>0</v>
      </c>
      <c r="W215" s="6">
        <f>IF(ISERROR(VLOOKUP($T$215,'TAR FIN'!$A$1:$O$103,15,0)),0,VLOOKUP($T$215,'TAR FIN'!$A$1:$O$103,15,0))</f>
        <v>176.22</v>
      </c>
      <c r="X215" s="6">
        <f>IF(ISERROR(VLOOKUP($U$215,'TAR FIN'!$A$1:$O$103,15,0)),0,VLOOKUP($U$215,'TAR FIN'!$A$1:$O$103,15,0))</f>
        <v>260.01</v>
      </c>
      <c r="Y215" s="6"/>
      <c r="Z215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5" s="6">
        <f>('TE BE'!$AB$17+'TE BF'!$AB$17+'TE CVA'!$AB$17)*(1-CUSTOS!$M$36)</f>
        <v>244.83442634838076</v>
      </c>
      <c r="AB215" s="6">
        <f t="shared" si="16"/>
        <v>0</v>
      </c>
      <c r="AC215" s="6">
        <f>(L215-M215)*(W215+X215)+($W$232+$X$232-$W$215-$X$215)*(L215)</f>
        <v>8350.8478300000043</v>
      </c>
      <c r="AD215" s="6">
        <f t="shared" si="17"/>
        <v>0</v>
      </c>
      <c r="AE215" s="6">
        <f ca="1">(L215-M215)*(Z215+AA215)+($Z$232+$AA$232-$Z$215-$AA$215)*(L215)</f>
        <v>8856.6634385817179</v>
      </c>
      <c r="AF215" s="4" t="s">
        <v>780</v>
      </c>
    </row>
    <row r="216" spans="1:32" ht="11.25" customHeight="1" x14ac:dyDescent="0.25">
      <c r="A216" s="4" t="s">
        <v>27</v>
      </c>
      <c r="B216" s="4" t="s">
        <v>22</v>
      </c>
      <c r="C216" s="4" t="s">
        <v>23</v>
      </c>
      <c r="D216" s="4" t="s">
        <v>24</v>
      </c>
      <c r="E216" s="4" t="s">
        <v>31</v>
      </c>
      <c r="F216" s="4" t="s">
        <v>25</v>
      </c>
      <c r="G216" s="4" t="s">
        <v>25</v>
      </c>
      <c r="H216" s="4" t="s">
        <v>25</v>
      </c>
      <c r="I216" s="5">
        <v>44409</v>
      </c>
      <c r="J216" s="6">
        <v>0</v>
      </c>
      <c r="K216" s="6">
        <v>0</v>
      </c>
      <c r="L216" s="6">
        <v>-0.41199999999999998</v>
      </c>
      <c r="M216" s="6">
        <v>-0.41199999999999998</v>
      </c>
      <c r="N216" s="6">
        <v>-0.41199999999999998</v>
      </c>
      <c r="O216" s="6">
        <v>-0.41199999999999998</v>
      </c>
      <c r="P216" s="6">
        <v>0</v>
      </c>
      <c r="Q216" s="4" t="s">
        <v>26</v>
      </c>
      <c r="R216" s="4">
        <v>0</v>
      </c>
      <c r="S216" s="4">
        <v>0</v>
      </c>
      <c r="T216" s="4">
        <v>33</v>
      </c>
      <c r="U216" s="4">
        <v>74</v>
      </c>
      <c r="V216" s="6">
        <f>IF(ISERROR(VLOOKUP($S$216,'TAR FIN'!$A$1:$O$103,15,0)),0,VLOOKUP($S$216,'TAR FIN'!$A$1:$O$103,15,0))</f>
        <v>0</v>
      </c>
      <c r="W216" s="6">
        <f>IF(ISERROR(VLOOKUP($T$216,'TAR FIN'!$A$1:$O$103,15,0)),0,VLOOKUP($T$216,'TAR FIN'!$A$1:$O$103,15,0))</f>
        <v>176.22</v>
      </c>
      <c r="X216" s="6">
        <f>IF(ISERROR(VLOOKUP($U$216,'TAR FIN'!$A$1:$O$103,15,0)),0,VLOOKUP($U$216,'TAR FIN'!$A$1:$O$103,15,0))</f>
        <v>260.01</v>
      </c>
      <c r="Y216" s="6"/>
      <c r="Z216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6" s="6">
        <f>('TE BE'!$AB$17+'TE BF'!$AB$17+'TE CVA'!$AB$17)*(1-CUSTOS!$M$36)</f>
        <v>244.83442634838076</v>
      </c>
      <c r="AB216" s="6">
        <f t="shared" si="16"/>
        <v>0</v>
      </c>
      <c r="AC216" s="6">
        <f>(L216-M216)*(W216+X216)+($W$232+$X$232-$W$216-$X$216)*(L216)</f>
        <v>-19.969640000000009</v>
      </c>
      <c r="AD216" s="6">
        <f t="shared" si="17"/>
        <v>0</v>
      </c>
      <c r="AE216" s="6">
        <f ca="1">(L216-M216)*(Z216+AA216)+($Z$232+$AA$232-$Z$216-$AA$216)*(L216)</f>
        <v>-21.17921246681836</v>
      </c>
      <c r="AF216" s="4" t="s">
        <v>780</v>
      </c>
    </row>
    <row r="217" spans="1:32" ht="11.25" customHeight="1" x14ac:dyDescent="0.25">
      <c r="A217" s="4" t="s">
        <v>21</v>
      </c>
      <c r="B217" s="4" t="s">
        <v>22</v>
      </c>
      <c r="C217" s="4" t="s">
        <v>23</v>
      </c>
      <c r="D217" s="4" t="s">
        <v>24</v>
      </c>
      <c r="E217" s="4" t="s">
        <v>31</v>
      </c>
      <c r="F217" s="4" t="s">
        <v>25</v>
      </c>
      <c r="G217" s="4" t="s">
        <v>25</v>
      </c>
      <c r="H217" s="4" t="s">
        <v>25</v>
      </c>
      <c r="I217" s="5">
        <v>44440</v>
      </c>
      <c r="J217" s="6">
        <v>0</v>
      </c>
      <c r="K217" s="6">
        <v>0</v>
      </c>
      <c r="L217" s="6">
        <v>172.27199999999999</v>
      </c>
      <c r="M217" s="6">
        <v>172.27199999999999</v>
      </c>
      <c r="N217" s="6">
        <v>172.27199999999999</v>
      </c>
      <c r="O217" s="6">
        <v>172.27199999999999</v>
      </c>
      <c r="P217" s="6">
        <v>2446</v>
      </c>
      <c r="Q217" s="4" t="s">
        <v>26</v>
      </c>
      <c r="R217" s="4">
        <v>0</v>
      </c>
      <c r="S217" s="4">
        <v>0</v>
      </c>
      <c r="T217" s="4">
        <v>33</v>
      </c>
      <c r="U217" s="4">
        <v>74</v>
      </c>
      <c r="V217" s="6">
        <f>IF(ISERROR(VLOOKUP($S$217,'TAR FIN'!$A$1:$O$103,15,0)),0,VLOOKUP($S$217,'TAR FIN'!$A$1:$O$103,15,0))</f>
        <v>0</v>
      </c>
      <c r="W217" s="6">
        <f>IF(ISERROR(VLOOKUP($T$217,'TAR FIN'!$A$1:$O$103,15,0)),0,VLOOKUP($T$217,'TAR FIN'!$A$1:$O$103,15,0))</f>
        <v>176.22</v>
      </c>
      <c r="X217" s="6">
        <f>IF(ISERROR(VLOOKUP($U$217,'TAR FIN'!$A$1:$O$103,15,0)),0,VLOOKUP($U$217,'TAR FIN'!$A$1:$O$103,15,0))</f>
        <v>260.01</v>
      </c>
      <c r="Y217" s="6"/>
      <c r="Z217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7" s="6">
        <f>('TE BE'!$AB$17+'TE BF'!$AB$17+'TE CVA'!$AB$17)*(1-CUSTOS!$M$36)</f>
        <v>244.83442634838076</v>
      </c>
      <c r="AB217" s="6">
        <f t="shared" si="16"/>
        <v>0</v>
      </c>
      <c r="AC217" s="6">
        <f>(L217-M217)*(W217+X217)+($W$232+$X$232-$W$217-$X$217)*(L217)</f>
        <v>8350.0238400000035</v>
      </c>
      <c r="AD217" s="6">
        <f t="shared" si="17"/>
        <v>0</v>
      </c>
      <c r="AE217" s="6">
        <f ca="1">(L217-M217)*(Z217+AA217)+($Z$232+$AA$232-$Z$217-$AA$217)*(L217)</f>
        <v>8855.7895390381855</v>
      </c>
      <c r="AF217" s="4" t="s">
        <v>780</v>
      </c>
    </row>
    <row r="218" spans="1:32" ht="11.25" customHeight="1" x14ac:dyDescent="0.25">
      <c r="A218" s="4" t="s">
        <v>27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44440</v>
      </c>
      <c r="J218" s="6">
        <v>0</v>
      </c>
      <c r="K218" s="6">
        <v>0</v>
      </c>
      <c r="L218" s="6">
        <v>-0.23200000000000001</v>
      </c>
      <c r="M218" s="6">
        <v>-0.23200000000000001</v>
      </c>
      <c r="N218" s="6">
        <v>-0.23200000000000001</v>
      </c>
      <c r="O218" s="6">
        <v>-0.23200000000000001</v>
      </c>
      <c r="P218" s="6">
        <v>0</v>
      </c>
      <c r="Q218" s="4" t="s">
        <v>26</v>
      </c>
      <c r="R218" s="4">
        <v>0</v>
      </c>
      <c r="S218" s="4">
        <v>0</v>
      </c>
      <c r="T218" s="4">
        <v>33</v>
      </c>
      <c r="U218" s="4">
        <v>74</v>
      </c>
      <c r="V218" s="6">
        <f>IF(ISERROR(VLOOKUP($S$218,'TAR FIN'!$A$1:$O$103,15,0)),0,VLOOKUP($S$218,'TAR FIN'!$A$1:$O$103,15,0))</f>
        <v>0</v>
      </c>
      <c r="W218" s="6">
        <f>IF(ISERROR(VLOOKUP($T$218,'TAR FIN'!$A$1:$O$103,15,0)),0,VLOOKUP($T$218,'TAR FIN'!$A$1:$O$103,15,0))</f>
        <v>176.22</v>
      </c>
      <c r="X218" s="6">
        <f>IF(ISERROR(VLOOKUP($U$218,'TAR FIN'!$A$1:$O$103,15,0)),0,VLOOKUP($U$218,'TAR FIN'!$A$1:$O$103,15,0))</f>
        <v>260.01</v>
      </c>
      <c r="Y218" s="6"/>
      <c r="Z218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8" s="6">
        <f>('TE BE'!$AB$17+'TE BF'!$AB$17+'TE CVA'!$AB$17)*(1-CUSTOS!$M$36)</f>
        <v>244.83442634838076</v>
      </c>
      <c r="AB218" s="6">
        <f t="shared" si="16"/>
        <v>0</v>
      </c>
      <c r="AC218" s="6">
        <f>(L218-M218)*(W218+X218)+($W$232+$X$232-$W$218-$X$218)*(L218)</f>
        <v>-11.245040000000007</v>
      </c>
      <c r="AD218" s="6">
        <f t="shared" si="17"/>
        <v>0</v>
      </c>
      <c r="AE218" s="6">
        <f ca="1">(L218-M218)*(Z218+AA218)+($Z$232+$AA$232-$Z$218-$AA$218)*(L218)</f>
        <v>-11.926158476460824</v>
      </c>
      <c r="AF218" s="4" t="s">
        <v>780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44470</v>
      </c>
      <c r="J219" s="6">
        <v>0</v>
      </c>
      <c r="K219" s="6">
        <v>0</v>
      </c>
      <c r="L219" s="6">
        <v>173.268</v>
      </c>
      <c r="M219" s="6">
        <v>173.268</v>
      </c>
      <c r="N219" s="6">
        <v>173.268</v>
      </c>
      <c r="O219" s="6">
        <v>173.268</v>
      </c>
      <c r="P219" s="6">
        <v>2438</v>
      </c>
      <c r="Q219" s="4" t="s">
        <v>26</v>
      </c>
      <c r="R219" s="4">
        <v>0</v>
      </c>
      <c r="S219" s="4">
        <v>0</v>
      </c>
      <c r="T219" s="4">
        <v>33</v>
      </c>
      <c r="U219" s="4">
        <v>74</v>
      </c>
      <c r="V219" s="6">
        <f>IF(ISERROR(VLOOKUP($S$219,'TAR FIN'!$A$1:$O$103,15,0)),0,VLOOKUP($S$219,'TAR FIN'!$A$1:$O$103,15,0))</f>
        <v>0</v>
      </c>
      <c r="W219" s="6">
        <f>IF(ISERROR(VLOOKUP($T$219,'TAR FIN'!$A$1:$O$103,15,0)),0,VLOOKUP($T$219,'TAR FIN'!$A$1:$O$103,15,0))</f>
        <v>176.22</v>
      </c>
      <c r="X219" s="6">
        <f>IF(ISERROR(VLOOKUP($U$219,'TAR FIN'!$A$1:$O$103,15,0)),0,VLOOKUP($U$219,'TAR FIN'!$A$1:$O$103,15,0))</f>
        <v>260.01</v>
      </c>
      <c r="Y219" s="6"/>
      <c r="Z219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19" s="6">
        <f>('TE BE'!$AB$17+'TE BF'!$AB$17+'TE CVA'!$AB$17)*(1-CUSTOS!$M$36)</f>
        <v>244.83442634838076</v>
      </c>
      <c r="AB219" s="6">
        <f t="shared" si="16"/>
        <v>0</v>
      </c>
      <c r="AC219" s="6">
        <f>(L219-M219)*(W219+X219)+($W$232+$X$232-$W$219-$X$219)*(L219)</f>
        <v>8398.2999600000039</v>
      </c>
      <c r="AD219" s="6">
        <f t="shared" si="17"/>
        <v>0</v>
      </c>
      <c r="AE219" s="6">
        <f ca="1">(L219-M219)*(Z219+AA219)+($Z$232+$AA$232-$Z$219-$AA$219)*(L219)</f>
        <v>8906.9897711181638</v>
      </c>
      <c r="AF219" s="4" t="s">
        <v>780</v>
      </c>
    </row>
    <row r="220" spans="1:32" ht="11.25" customHeight="1" x14ac:dyDescent="0.25">
      <c r="A220" s="4" t="s">
        <v>27</v>
      </c>
      <c r="B220" s="4" t="s">
        <v>22</v>
      </c>
      <c r="C220" s="4" t="s">
        <v>23</v>
      </c>
      <c r="D220" s="4" t="s">
        <v>24</v>
      </c>
      <c r="E220" s="4" t="s">
        <v>31</v>
      </c>
      <c r="F220" s="4" t="s">
        <v>25</v>
      </c>
      <c r="G220" s="4" t="s">
        <v>25</v>
      </c>
      <c r="H220" s="4" t="s">
        <v>25</v>
      </c>
      <c r="I220" s="5">
        <v>44470</v>
      </c>
      <c r="J220" s="6">
        <v>0</v>
      </c>
      <c r="K220" s="6">
        <v>0</v>
      </c>
      <c r="L220" s="6">
        <v>-0.32200000000000001</v>
      </c>
      <c r="M220" s="6">
        <v>-0.32200000000000001</v>
      </c>
      <c r="N220" s="6">
        <v>-0.32200000000000001</v>
      </c>
      <c r="O220" s="6">
        <v>-0.32200000000000001</v>
      </c>
      <c r="P220" s="6">
        <v>0</v>
      </c>
      <c r="Q220" s="4" t="s">
        <v>26</v>
      </c>
      <c r="R220" s="4">
        <v>0</v>
      </c>
      <c r="S220" s="4">
        <v>0</v>
      </c>
      <c r="T220" s="4">
        <v>33</v>
      </c>
      <c r="U220" s="4">
        <v>74</v>
      </c>
      <c r="V220" s="6">
        <f>IF(ISERROR(VLOOKUP($S$220,'TAR FIN'!$A$1:$O$103,15,0)),0,VLOOKUP($S$220,'TAR FIN'!$A$1:$O$103,15,0))</f>
        <v>0</v>
      </c>
      <c r="W220" s="6">
        <f>IF(ISERROR(VLOOKUP($T$220,'TAR FIN'!$A$1:$O$103,15,0)),0,VLOOKUP($T$220,'TAR FIN'!$A$1:$O$103,15,0))</f>
        <v>176.22</v>
      </c>
      <c r="X220" s="6">
        <f>IF(ISERROR(VLOOKUP($U$220,'TAR FIN'!$A$1:$O$103,15,0)),0,VLOOKUP($U$220,'TAR FIN'!$A$1:$O$103,15,0))</f>
        <v>260.01</v>
      </c>
      <c r="Y220" s="6"/>
      <c r="Z220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0" s="6">
        <f>('TE BE'!$AB$17+'TE BF'!$AB$17+'TE CVA'!$AB$17)*(1-CUSTOS!$M$36)</f>
        <v>244.83442634838076</v>
      </c>
      <c r="AB220" s="6">
        <f t="shared" si="16"/>
        <v>0</v>
      </c>
      <c r="AC220" s="6">
        <f>(L220-M220)*(W220+X220)+($W$232+$X$232-$W$220-$X$220)*(L220)</f>
        <v>-15.60734000000001</v>
      </c>
      <c r="AD220" s="6">
        <f t="shared" si="17"/>
        <v>0</v>
      </c>
      <c r="AE220" s="6">
        <f ca="1">(L220-M220)*(Z220+AA220)+($Z$232+$AA$232-$Z$220-$AA$220)*(L220)</f>
        <v>-16.552685471639592</v>
      </c>
      <c r="AF220" s="4" t="s">
        <v>780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31</v>
      </c>
      <c r="F221" s="4" t="s">
        <v>25</v>
      </c>
      <c r="G221" s="4" t="s">
        <v>25</v>
      </c>
      <c r="H221" s="4" t="s">
        <v>25</v>
      </c>
      <c r="I221" s="5">
        <v>44501</v>
      </c>
      <c r="J221" s="6">
        <v>0</v>
      </c>
      <c r="K221" s="6">
        <v>0</v>
      </c>
      <c r="L221" s="6">
        <v>163.98</v>
      </c>
      <c r="M221" s="6">
        <v>163.98</v>
      </c>
      <c r="N221" s="6">
        <v>163.98</v>
      </c>
      <c r="O221" s="6">
        <v>163.98</v>
      </c>
      <c r="P221" s="6">
        <v>2360</v>
      </c>
      <c r="Q221" s="4" t="s">
        <v>26</v>
      </c>
      <c r="R221" s="4">
        <v>0</v>
      </c>
      <c r="S221" s="4">
        <v>0</v>
      </c>
      <c r="T221" s="4">
        <v>33</v>
      </c>
      <c r="U221" s="4">
        <v>74</v>
      </c>
      <c r="V221" s="6">
        <f>IF(ISERROR(VLOOKUP($S$221,'TAR FIN'!$A$1:$O$103,15,0)),0,VLOOKUP($S$221,'TAR FIN'!$A$1:$O$103,15,0))</f>
        <v>0</v>
      </c>
      <c r="W221" s="6">
        <f>IF(ISERROR(VLOOKUP($T$221,'TAR FIN'!$A$1:$O$103,15,0)),0,VLOOKUP($T$221,'TAR FIN'!$A$1:$O$103,15,0))</f>
        <v>176.22</v>
      </c>
      <c r="X221" s="6">
        <f>IF(ISERROR(VLOOKUP($U$221,'TAR FIN'!$A$1:$O$103,15,0)),0,VLOOKUP($U$221,'TAR FIN'!$A$1:$O$103,15,0))</f>
        <v>260.01</v>
      </c>
      <c r="Y221" s="6"/>
      <c r="Z221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1" s="6">
        <f>('TE BE'!$AB$17+'TE BF'!$AB$17+'TE CVA'!$AB$17)*(1-CUSTOS!$M$36)</f>
        <v>244.83442634838076</v>
      </c>
      <c r="AB221" s="6">
        <f t="shared" si="16"/>
        <v>0</v>
      </c>
      <c r="AC221" s="6">
        <f>(L221-M221)*(W221+X221)+($W$232+$X$232-$W$221-$X$221)*(L221)</f>
        <v>7948.1106000000036</v>
      </c>
      <c r="AD221" s="6">
        <f t="shared" si="17"/>
        <v>0</v>
      </c>
      <c r="AE221" s="6">
        <f ca="1">(L221-M221)*(Z221+AA221)+($Z$232+$AA$232-$Z$221-$AA$221)*(L221)</f>
        <v>8429.532185215714</v>
      </c>
      <c r="AF221" s="4" t="s">
        <v>780</v>
      </c>
    </row>
    <row r="222" spans="1:32" ht="11.25" customHeight="1" x14ac:dyDescent="0.25">
      <c r="A222" s="4" t="s">
        <v>27</v>
      </c>
      <c r="B222" s="4" t="s">
        <v>22</v>
      </c>
      <c r="C222" s="4" t="s">
        <v>23</v>
      </c>
      <c r="D222" s="4" t="s">
        <v>24</v>
      </c>
      <c r="E222" s="4" t="s">
        <v>31</v>
      </c>
      <c r="F222" s="4" t="s">
        <v>25</v>
      </c>
      <c r="G222" s="4" t="s">
        <v>25</v>
      </c>
      <c r="H222" s="4" t="s">
        <v>25</v>
      </c>
      <c r="I222" s="5">
        <v>44501</v>
      </c>
      <c r="J222" s="6">
        <v>0</v>
      </c>
      <c r="K222" s="6">
        <v>0</v>
      </c>
      <c r="L222" s="6">
        <v>-0.16700000000000001</v>
      </c>
      <c r="M222" s="6">
        <v>-0.16700000000000001</v>
      </c>
      <c r="N222" s="6">
        <v>-0.16700000000000001</v>
      </c>
      <c r="O222" s="6">
        <v>-0.16700000000000001</v>
      </c>
      <c r="P222" s="6">
        <v>0</v>
      </c>
      <c r="Q222" s="4" t="s">
        <v>26</v>
      </c>
      <c r="R222" s="4">
        <v>0</v>
      </c>
      <c r="S222" s="4">
        <v>0</v>
      </c>
      <c r="T222" s="4">
        <v>33</v>
      </c>
      <c r="U222" s="4">
        <v>74</v>
      </c>
      <c r="V222" s="6">
        <f>IF(ISERROR(VLOOKUP($S$222,'TAR FIN'!$A$1:$O$103,15,0)),0,VLOOKUP($S$222,'TAR FIN'!$A$1:$O$103,15,0))</f>
        <v>0</v>
      </c>
      <c r="W222" s="6">
        <f>IF(ISERROR(VLOOKUP($T$222,'TAR FIN'!$A$1:$O$103,15,0)),0,VLOOKUP($T$222,'TAR FIN'!$A$1:$O$103,15,0))</f>
        <v>176.22</v>
      </c>
      <c r="X222" s="6">
        <f>IF(ISERROR(VLOOKUP($U$222,'TAR FIN'!$A$1:$O$103,15,0)),0,VLOOKUP($U$222,'TAR FIN'!$A$1:$O$103,15,0))</f>
        <v>260.01</v>
      </c>
      <c r="Y222" s="6"/>
      <c r="Z222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2" s="6">
        <f>('TE BE'!$AB$17+'TE BF'!$AB$17+'TE CVA'!$AB$17)*(1-CUSTOS!$M$36)</f>
        <v>244.83442634838076</v>
      </c>
      <c r="AB222" s="6">
        <f t="shared" si="16"/>
        <v>0</v>
      </c>
      <c r="AC222" s="6">
        <f>(L222-M222)*(W222+X222)+($W$232+$X$232-$W$222-$X$222)*(L222)</f>
        <v>-8.0944900000000057</v>
      </c>
      <c r="AD222" s="6">
        <f t="shared" si="17"/>
        <v>0</v>
      </c>
      <c r="AE222" s="6">
        <f ca="1">(L222-M222)*(Z222+AA222)+($Z$232+$AA$232-$Z$222-$AA$222)*(L222)</f>
        <v>-8.5847778688317149</v>
      </c>
      <c r="AF222" s="4" t="s">
        <v>780</v>
      </c>
    </row>
    <row r="223" spans="1:32" ht="11.25" customHeight="1" x14ac:dyDescent="0.25">
      <c r="A223" s="4" t="s">
        <v>21</v>
      </c>
      <c r="B223" s="4" t="s">
        <v>22</v>
      </c>
      <c r="C223" s="4" t="s">
        <v>23</v>
      </c>
      <c r="D223" s="4" t="s">
        <v>24</v>
      </c>
      <c r="E223" s="4" t="s">
        <v>31</v>
      </c>
      <c r="F223" s="4" t="s">
        <v>25</v>
      </c>
      <c r="G223" s="4" t="s">
        <v>25</v>
      </c>
      <c r="H223" s="4" t="s">
        <v>25</v>
      </c>
      <c r="I223" s="5">
        <v>44531</v>
      </c>
      <c r="J223" s="6">
        <v>0</v>
      </c>
      <c r="K223" s="6">
        <v>0</v>
      </c>
      <c r="L223" s="6">
        <v>157.48400000000001</v>
      </c>
      <c r="M223" s="6">
        <v>157.48400000000001</v>
      </c>
      <c r="N223" s="6">
        <v>157.48400000000001</v>
      </c>
      <c r="O223" s="6">
        <v>157.48400000000001</v>
      </c>
      <c r="P223" s="6">
        <v>2424</v>
      </c>
      <c r="Q223" s="4" t="s">
        <v>26</v>
      </c>
      <c r="R223" s="4">
        <v>0</v>
      </c>
      <c r="S223" s="4">
        <v>0</v>
      </c>
      <c r="T223" s="4">
        <v>33</v>
      </c>
      <c r="U223" s="4">
        <v>74</v>
      </c>
      <c r="V223" s="6">
        <f>IF(ISERROR(VLOOKUP($S$223,'TAR FIN'!$A$1:$O$103,15,0)),0,VLOOKUP($S$223,'TAR FIN'!$A$1:$O$103,15,0))</f>
        <v>0</v>
      </c>
      <c r="W223" s="6">
        <f>IF(ISERROR(VLOOKUP($T$223,'TAR FIN'!$A$1:$O$103,15,0)),0,VLOOKUP($T$223,'TAR FIN'!$A$1:$O$103,15,0))</f>
        <v>176.22</v>
      </c>
      <c r="X223" s="6">
        <f>IF(ISERROR(VLOOKUP($U$223,'TAR FIN'!$A$1:$O$103,15,0)),0,VLOOKUP($U$223,'TAR FIN'!$A$1:$O$103,15,0))</f>
        <v>260.01</v>
      </c>
      <c r="Y223" s="6"/>
      <c r="Z223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3" s="6">
        <f>('TE BE'!$AB$17+'TE BF'!$AB$17+'TE CVA'!$AB$17)*(1-CUSTOS!$M$36)</f>
        <v>244.83442634838076</v>
      </c>
      <c r="AB223" s="6">
        <f t="shared" si="16"/>
        <v>0</v>
      </c>
      <c r="AC223" s="6">
        <f>(L223-M223)*(W223+X223)+($W$232+$X$232-$W$223-$X$223)*(L223)</f>
        <v>7633.249480000005</v>
      </c>
      <c r="AD223" s="6">
        <f t="shared" si="17"/>
        <v>0</v>
      </c>
      <c r="AE223" s="6">
        <f ca="1">(L223-M223)*(Z223+AA223)+($Z$232+$AA$232-$Z$223-$AA$223)*(L223)</f>
        <v>8095.5997478748122</v>
      </c>
      <c r="AF223" s="4" t="s">
        <v>780</v>
      </c>
    </row>
    <row r="224" spans="1:32" ht="11.25" customHeight="1" x14ac:dyDescent="0.25">
      <c r="A224" s="4" t="s">
        <v>27</v>
      </c>
      <c r="B224" s="4" t="s">
        <v>22</v>
      </c>
      <c r="C224" s="4" t="s">
        <v>23</v>
      </c>
      <c r="D224" s="4" t="s">
        <v>24</v>
      </c>
      <c r="E224" s="4" t="s">
        <v>31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0</v>
      </c>
      <c r="K224" s="6">
        <v>0</v>
      </c>
      <c r="L224" s="6">
        <v>-0.33300000000000002</v>
      </c>
      <c r="M224" s="6">
        <v>-0.33300000000000002</v>
      </c>
      <c r="N224" s="6">
        <v>-0.33300000000000002</v>
      </c>
      <c r="O224" s="6">
        <v>-0.33300000000000002</v>
      </c>
      <c r="P224" s="6">
        <v>0</v>
      </c>
      <c r="Q224" s="4" t="s">
        <v>26</v>
      </c>
      <c r="R224" s="4">
        <v>0</v>
      </c>
      <c r="S224" s="4">
        <v>0</v>
      </c>
      <c r="T224" s="4">
        <v>33</v>
      </c>
      <c r="U224" s="4">
        <v>74</v>
      </c>
      <c r="V224" s="6">
        <f>IF(ISERROR(VLOOKUP($S$224,'TAR FIN'!$A$1:$O$103,15,0)),0,VLOOKUP($S$224,'TAR FIN'!$A$1:$O$103,15,0))</f>
        <v>0</v>
      </c>
      <c r="W224" s="6">
        <f>IF(ISERROR(VLOOKUP($T$224,'TAR FIN'!$A$1:$O$103,15,0)),0,VLOOKUP($T$224,'TAR FIN'!$A$1:$O$103,15,0))</f>
        <v>176.22</v>
      </c>
      <c r="X224" s="6">
        <f>IF(ISERROR(VLOOKUP($U$224,'TAR FIN'!$A$1:$O$103,15,0)),0,VLOOKUP($U$224,'TAR FIN'!$A$1:$O$103,15,0))</f>
        <v>260.01</v>
      </c>
      <c r="Y224" s="6"/>
      <c r="Z224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4" s="6">
        <f>('TE BE'!$AB$17+'TE BF'!$AB$17+'TE CVA'!$AB$17)*(1-CUSTOS!$M$36)</f>
        <v>244.83442634838076</v>
      </c>
      <c r="AB224" s="6">
        <f t="shared" si="16"/>
        <v>0</v>
      </c>
      <c r="AC224" s="6">
        <f>(L224-M224)*(W224+X224)+($W$232+$X$232-$W$224-$X$224)*(L224)</f>
        <v>-16.14051000000001</v>
      </c>
      <c r="AD224" s="6">
        <f t="shared" si="17"/>
        <v>0</v>
      </c>
      <c r="AE224" s="6">
        <f ca="1">(L224-M224)*(Z224+AA224)+($Z$232+$AA$232-$Z$224-$AA$224)*(L224)</f>
        <v>-17.118149882161443</v>
      </c>
      <c r="AF224" s="4" t="s">
        <v>780</v>
      </c>
    </row>
    <row r="225" spans="1:32" ht="11.25" customHeight="1" x14ac:dyDescent="0.25">
      <c r="A225" s="4" t="s">
        <v>21</v>
      </c>
      <c r="B225" s="4" t="s">
        <v>22</v>
      </c>
      <c r="C225" s="4" t="s">
        <v>23</v>
      </c>
      <c r="D225" s="4" t="s">
        <v>24</v>
      </c>
      <c r="E225" s="4" t="s">
        <v>31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0</v>
      </c>
      <c r="K225" s="6">
        <v>0</v>
      </c>
      <c r="L225" s="6">
        <v>164.59299999999999</v>
      </c>
      <c r="M225" s="6">
        <v>164.59299999999999</v>
      </c>
      <c r="N225" s="6">
        <v>164.59299999999999</v>
      </c>
      <c r="O225" s="6">
        <v>164.59299999999999</v>
      </c>
      <c r="P225" s="6">
        <v>2457</v>
      </c>
      <c r="Q225" s="4" t="s">
        <v>26</v>
      </c>
      <c r="R225" s="4">
        <v>0</v>
      </c>
      <c r="S225" s="4">
        <v>0</v>
      </c>
      <c r="T225" s="4">
        <v>33</v>
      </c>
      <c r="U225" s="4">
        <v>74</v>
      </c>
      <c r="V225" s="6">
        <f>IF(ISERROR(VLOOKUP($S$225,'TAR FIN'!$A$1:$O$103,15,0)),0,VLOOKUP($S$225,'TAR FIN'!$A$1:$O$103,15,0))</f>
        <v>0</v>
      </c>
      <c r="W225" s="6">
        <f>IF(ISERROR(VLOOKUP($T$225,'TAR FIN'!$A$1:$O$103,15,0)),0,VLOOKUP($T$225,'TAR FIN'!$A$1:$O$103,15,0))</f>
        <v>176.22</v>
      </c>
      <c r="X225" s="6">
        <f>IF(ISERROR(VLOOKUP($U$225,'TAR FIN'!$A$1:$O$103,15,0)),0,VLOOKUP($U$225,'TAR FIN'!$A$1:$O$103,15,0))</f>
        <v>260.01</v>
      </c>
      <c r="Y225" s="6"/>
      <c r="Z225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5" s="6">
        <f>('TE BE'!$AB$17+'TE BF'!$AB$17+'TE CVA'!$AB$17)*(1-CUSTOS!$M$36)</f>
        <v>244.83442634838076</v>
      </c>
      <c r="AB225" s="6">
        <f t="shared" si="16"/>
        <v>0</v>
      </c>
      <c r="AC225" s="6">
        <f>(L225-M225)*(W225+X225)+($W$232+$X$232-$W$225-$X$225)*(L225)</f>
        <v>7977.822710000004</v>
      </c>
      <c r="AD225" s="6">
        <f t="shared" si="17"/>
        <v>0</v>
      </c>
      <c r="AE225" s="6">
        <f ca="1">(L225-M225)*(Z225+AA225)+($Z$232+$AA$232-$Z$225-$AA$225)*(L225)</f>
        <v>8461.0439746384327</v>
      </c>
      <c r="AF225" s="4" t="s">
        <v>780</v>
      </c>
    </row>
    <row r="226" spans="1:32" ht="11.25" customHeight="1" x14ac:dyDescent="0.25">
      <c r="A226" s="4" t="s">
        <v>27</v>
      </c>
      <c r="B226" s="4" t="s">
        <v>22</v>
      </c>
      <c r="C226" s="4" t="s">
        <v>23</v>
      </c>
      <c r="D226" s="4" t="s">
        <v>24</v>
      </c>
      <c r="E226" s="4" t="s">
        <v>31</v>
      </c>
      <c r="F226" s="4" t="s">
        <v>25</v>
      </c>
      <c r="G226" s="4" t="s">
        <v>25</v>
      </c>
      <c r="H226" s="4" t="s">
        <v>25</v>
      </c>
      <c r="I226" s="5">
        <v>44562</v>
      </c>
      <c r="J226" s="6">
        <v>0</v>
      </c>
      <c r="K226" s="6">
        <v>0</v>
      </c>
      <c r="L226" s="6">
        <v>-0.313</v>
      </c>
      <c r="M226" s="6">
        <v>-0.313</v>
      </c>
      <c r="N226" s="6">
        <v>-0.313</v>
      </c>
      <c r="O226" s="6">
        <v>-0.313</v>
      </c>
      <c r="P226" s="6">
        <v>0</v>
      </c>
      <c r="Q226" s="4" t="s">
        <v>26</v>
      </c>
      <c r="R226" s="4">
        <v>0</v>
      </c>
      <c r="S226" s="4">
        <v>0</v>
      </c>
      <c r="T226" s="4">
        <v>33</v>
      </c>
      <c r="U226" s="4">
        <v>74</v>
      </c>
      <c r="V226" s="6">
        <f>IF(ISERROR(VLOOKUP($S$226,'TAR FIN'!$A$1:$O$103,15,0)),0,VLOOKUP($S$226,'TAR FIN'!$A$1:$O$103,15,0))</f>
        <v>0</v>
      </c>
      <c r="W226" s="6">
        <f>IF(ISERROR(VLOOKUP($T$226,'TAR FIN'!$A$1:$O$103,15,0)),0,VLOOKUP($T$226,'TAR FIN'!$A$1:$O$103,15,0))</f>
        <v>176.22</v>
      </c>
      <c r="X226" s="6">
        <f>IF(ISERROR(VLOOKUP($U$226,'TAR FIN'!$A$1:$O$103,15,0)),0,VLOOKUP($U$226,'TAR FIN'!$A$1:$O$103,15,0))</f>
        <v>260.01</v>
      </c>
      <c r="Y226" s="6"/>
      <c r="Z226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6" s="6">
        <f>('TE BE'!$AB$17+'TE BF'!$AB$17+'TE CVA'!$AB$17)*(1-CUSTOS!$M$36)</f>
        <v>244.83442634838076</v>
      </c>
      <c r="AB226" s="6">
        <f t="shared" si="16"/>
        <v>0</v>
      </c>
      <c r="AC226" s="6">
        <f>(L226-M226)*(W226+X226)+($W$232+$X$232-$W$226-$X$226)*(L226)</f>
        <v>-15.171110000000009</v>
      </c>
      <c r="AD226" s="6">
        <f t="shared" si="17"/>
        <v>0</v>
      </c>
      <c r="AE226" s="6">
        <f ca="1">(L226-M226)*(Z226+AA226)+($Z$232+$AA$232-$Z$226-$AA$226)*(L226)</f>
        <v>-16.090032772121713</v>
      </c>
      <c r="AF226" s="4" t="s">
        <v>780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31</v>
      </c>
      <c r="F227" s="4" t="s">
        <v>25</v>
      </c>
      <c r="G227" s="4" t="s">
        <v>25</v>
      </c>
      <c r="H227" s="4" t="s">
        <v>25</v>
      </c>
      <c r="I227" s="5">
        <v>44593</v>
      </c>
      <c r="J227" s="6">
        <v>0</v>
      </c>
      <c r="K227" s="6">
        <v>0</v>
      </c>
      <c r="L227" s="6">
        <v>191.77099999999999</v>
      </c>
      <c r="M227" s="6">
        <v>191.77099999999999</v>
      </c>
      <c r="N227" s="6">
        <v>191.77099999999999</v>
      </c>
      <c r="O227" s="6">
        <v>191.77099999999999</v>
      </c>
      <c r="P227" s="6">
        <v>2580</v>
      </c>
      <c r="Q227" s="4" t="s">
        <v>26</v>
      </c>
      <c r="R227" s="4">
        <v>0</v>
      </c>
      <c r="S227" s="4">
        <v>0</v>
      </c>
      <c r="T227" s="4">
        <v>33</v>
      </c>
      <c r="U227" s="4">
        <v>74</v>
      </c>
      <c r="V227" s="6">
        <f>IF(ISERROR(VLOOKUP($S$227,'TAR FIN'!$A$1:$O$103,15,0)),0,VLOOKUP($S$227,'TAR FIN'!$A$1:$O$103,15,0))</f>
        <v>0</v>
      </c>
      <c r="W227" s="6">
        <f>IF(ISERROR(VLOOKUP($T$227,'TAR FIN'!$A$1:$O$103,15,0)),0,VLOOKUP($T$227,'TAR FIN'!$A$1:$O$103,15,0))</f>
        <v>176.22</v>
      </c>
      <c r="X227" s="6">
        <f>IF(ISERROR(VLOOKUP($U$227,'TAR FIN'!$A$1:$O$103,15,0)),0,VLOOKUP($U$227,'TAR FIN'!$A$1:$O$103,15,0))</f>
        <v>260.01</v>
      </c>
      <c r="Y227" s="6"/>
      <c r="Z227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7" s="6">
        <f>('TE BE'!$AB$17+'TE BF'!$AB$17+'TE CVA'!$AB$17)*(1-CUSTOS!$M$36)</f>
        <v>244.83442634838076</v>
      </c>
      <c r="AB227" s="6">
        <f t="shared" si="16"/>
        <v>0</v>
      </c>
      <c r="AC227" s="6">
        <f>(L227-M227)*(W227+X227)+($W$232+$X$232-$W$227-$X$227)*(L227)</f>
        <v>9295.1403700000046</v>
      </c>
      <c r="AD227" s="6">
        <f t="shared" si="17"/>
        <v>0</v>
      </c>
      <c r="AE227" s="6">
        <f ca="1">(L227-M227)*(Z227+AA227)+($Z$232+$AA$232-$Z$227-$AA$227)*(L227)</f>
        <v>9858.1523154714159</v>
      </c>
      <c r="AF227" s="4" t="s">
        <v>780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31</v>
      </c>
      <c r="F228" s="4" t="s">
        <v>25</v>
      </c>
      <c r="G228" s="4" t="s">
        <v>25</v>
      </c>
      <c r="H228" s="4" t="s">
        <v>25</v>
      </c>
      <c r="I228" s="5">
        <v>44621</v>
      </c>
      <c r="J228" s="6">
        <v>0</v>
      </c>
      <c r="K228" s="6">
        <v>0</v>
      </c>
      <c r="L228" s="6">
        <v>193.261</v>
      </c>
      <c r="M228" s="6">
        <v>193.261</v>
      </c>
      <c r="N228" s="6">
        <v>193.261</v>
      </c>
      <c r="O228" s="6">
        <v>193.261</v>
      </c>
      <c r="P228" s="6">
        <v>2685</v>
      </c>
      <c r="Q228" s="4" t="s">
        <v>26</v>
      </c>
      <c r="R228" s="4">
        <v>0</v>
      </c>
      <c r="S228" s="4">
        <v>0</v>
      </c>
      <c r="T228" s="4">
        <v>33</v>
      </c>
      <c r="U228" s="4">
        <v>74</v>
      </c>
      <c r="V228" s="6">
        <f>IF(ISERROR(VLOOKUP($S$228,'TAR FIN'!$A$1:$O$103,15,0)),0,VLOOKUP($S$228,'TAR FIN'!$A$1:$O$103,15,0))</f>
        <v>0</v>
      </c>
      <c r="W228" s="6">
        <f>IF(ISERROR(VLOOKUP($T$228,'TAR FIN'!$A$1:$O$103,15,0)),0,VLOOKUP($T$228,'TAR FIN'!$A$1:$O$103,15,0))</f>
        <v>176.22</v>
      </c>
      <c r="X228" s="6">
        <f>IF(ISERROR(VLOOKUP($U$228,'TAR FIN'!$A$1:$O$103,15,0)),0,VLOOKUP($U$228,'TAR FIN'!$A$1:$O$103,15,0))</f>
        <v>260.01</v>
      </c>
      <c r="Y228" s="6"/>
      <c r="Z228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8" s="6">
        <f>('TE BE'!$AB$17+'TE BF'!$AB$17+'TE CVA'!$AB$17)*(1-CUSTOS!$M$36)</f>
        <v>244.83442634838076</v>
      </c>
      <c r="AB228" s="6">
        <f t="shared" si="16"/>
        <v>0</v>
      </c>
      <c r="AC228" s="6">
        <f>(L228-M228)*(W228+X228)+($W$232+$X$232-$W$228-$X$228)*(L228)</f>
        <v>9367.3606700000055</v>
      </c>
      <c r="AD228" s="6">
        <f t="shared" si="17"/>
        <v>0</v>
      </c>
      <c r="AE228" s="6">
        <f ca="1">(L228-M228)*(Z228+AA228)+($Z$232+$AA$232-$Z$228-$AA$228)*(L228)</f>
        <v>9934.7470401693754</v>
      </c>
      <c r="AF228" s="4" t="s">
        <v>780</v>
      </c>
    </row>
    <row r="229" spans="1:32" ht="11.25" customHeight="1" x14ac:dyDescent="0.25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31</v>
      </c>
      <c r="F229" s="4" t="s">
        <v>25</v>
      </c>
      <c r="G229" s="4" t="s">
        <v>25</v>
      </c>
      <c r="H229" s="4" t="s">
        <v>25</v>
      </c>
      <c r="I229" s="5">
        <v>44652</v>
      </c>
      <c r="J229" s="6">
        <v>0</v>
      </c>
      <c r="K229" s="6">
        <v>0</v>
      </c>
      <c r="L229" s="6">
        <v>183.00200000000001</v>
      </c>
      <c r="M229" s="6">
        <v>183.00200000000001</v>
      </c>
      <c r="N229" s="6">
        <v>183.00200000000001</v>
      </c>
      <c r="O229" s="6">
        <v>183.00200000000001</v>
      </c>
      <c r="P229" s="6">
        <v>2618</v>
      </c>
      <c r="Q229" s="4" t="s">
        <v>26</v>
      </c>
      <c r="R229" s="4">
        <v>0</v>
      </c>
      <c r="S229" s="4">
        <v>0</v>
      </c>
      <c r="T229" s="4">
        <v>33</v>
      </c>
      <c r="U229" s="4">
        <v>74</v>
      </c>
      <c r="V229" s="6">
        <f>IF(ISERROR(VLOOKUP($S$229,'TAR FIN'!$A$1:$O$103,15,0)),0,VLOOKUP($S$229,'TAR FIN'!$A$1:$O$103,15,0))</f>
        <v>0</v>
      </c>
      <c r="W229" s="6">
        <f>IF(ISERROR(VLOOKUP($T$229,'TAR FIN'!$A$1:$O$103,15,0)),0,VLOOKUP($T$229,'TAR FIN'!$A$1:$O$103,15,0))</f>
        <v>176.22</v>
      </c>
      <c r="X229" s="6">
        <f>IF(ISERROR(VLOOKUP($U$229,'TAR FIN'!$A$1:$O$103,15,0)),0,VLOOKUP($U$229,'TAR FIN'!$A$1:$O$103,15,0))</f>
        <v>260.01</v>
      </c>
      <c r="Y229" s="6"/>
      <c r="Z229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29" s="6">
        <f>('TE BE'!$AB$17+'TE BF'!$AB$17+'TE CVA'!$AB$17)*(1-CUSTOS!$M$36)</f>
        <v>244.83442634838076</v>
      </c>
      <c r="AB229" s="6">
        <f t="shared" si="16"/>
        <v>0</v>
      </c>
      <c r="AC229" s="6">
        <f>(L229-M229)*(W229+X229)+($W$232+$X$232-$W$229-$X$229)*(L229)</f>
        <v>8870.1069400000051</v>
      </c>
      <c r="AD229" s="6">
        <f t="shared" si="17"/>
        <v>0</v>
      </c>
      <c r="AE229" s="6">
        <f ca="1">(L229-M229)*(Z229+AA229)+($Z$232+$AA$232-$Z$229-$AA$229)*(L229)</f>
        <v>9407.3743685744994</v>
      </c>
      <c r="AF229" s="4" t="s">
        <v>780</v>
      </c>
    </row>
    <row r="230" spans="1:32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31</v>
      </c>
      <c r="F230" s="4" t="s">
        <v>25</v>
      </c>
      <c r="G230" s="4" t="s">
        <v>25</v>
      </c>
      <c r="H230" s="4" t="s">
        <v>25</v>
      </c>
      <c r="I230" s="5">
        <v>44682</v>
      </c>
      <c r="J230" s="6">
        <v>0</v>
      </c>
      <c r="K230" s="6">
        <v>0</v>
      </c>
      <c r="L230" s="6">
        <v>185.56899999999999</v>
      </c>
      <c r="M230" s="6">
        <v>185.56899999999999</v>
      </c>
      <c r="N230" s="6">
        <v>185.56899999999999</v>
      </c>
      <c r="O230" s="6">
        <v>185.56899999999999</v>
      </c>
      <c r="P230" s="6">
        <v>2619</v>
      </c>
      <c r="Q230" s="4" t="s">
        <v>26</v>
      </c>
      <c r="R230" s="4">
        <v>0</v>
      </c>
      <c r="S230" s="4">
        <v>0</v>
      </c>
      <c r="T230" s="4">
        <v>33</v>
      </c>
      <c r="U230" s="4">
        <v>74</v>
      </c>
      <c r="V230" s="6">
        <f>IF(ISERROR(VLOOKUP($S$230,'TAR FIN'!$A$1:$O$103,15,0)),0,VLOOKUP($S$230,'TAR FIN'!$A$1:$O$103,15,0))</f>
        <v>0</v>
      </c>
      <c r="W230" s="6">
        <f>IF(ISERROR(VLOOKUP($T$230,'TAR FIN'!$A$1:$O$103,15,0)),0,VLOOKUP($T$230,'TAR FIN'!$A$1:$O$103,15,0))</f>
        <v>176.22</v>
      </c>
      <c r="X230" s="6">
        <f>IF(ISERROR(VLOOKUP($U$230,'TAR FIN'!$A$1:$O$103,15,0)),0,VLOOKUP($U$230,'TAR FIN'!$A$1:$O$103,15,0))</f>
        <v>260.01</v>
      </c>
      <c r="Y230" s="6"/>
      <c r="Z230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30" s="6">
        <f>('TE BE'!$AB$17+'TE BF'!$AB$17+'TE CVA'!$AB$17)*(1-CUSTOS!$M$36)</f>
        <v>244.83442634838076</v>
      </c>
      <c r="AB230" s="6">
        <f t="shared" si="16"/>
        <v>0</v>
      </c>
      <c r="AC230" s="6">
        <f>(L230-M230)*(W230+X230)+($W$232+$X$232-$W$230-$X$230)*(L230)</f>
        <v>8994.5294300000041</v>
      </c>
      <c r="AD230" s="6">
        <f t="shared" si="17"/>
        <v>0</v>
      </c>
      <c r="AE230" s="6">
        <f ca="1">(L230-M230)*(Z230+AA230)+($Z$232+$AA$232-$Z$230-$AA$230)*(L230)</f>
        <v>9539.3331996480974</v>
      </c>
      <c r="AF230" s="4" t="s">
        <v>780</v>
      </c>
    </row>
    <row r="231" spans="1:32" ht="11.25" customHeight="1" x14ac:dyDescent="0.25">
      <c r="A231" s="4" t="s">
        <v>27</v>
      </c>
      <c r="B231" s="4" t="s">
        <v>22</v>
      </c>
      <c r="C231" s="4" t="s">
        <v>23</v>
      </c>
      <c r="D231" s="4" t="s">
        <v>24</v>
      </c>
      <c r="E231" s="4" t="s">
        <v>31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0</v>
      </c>
      <c r="K231" s="6">
        <v>0</v>
      </c>
      <c r="L231" s="6">
        <v>-0.157</v>
      </c>
      <c r="M231" s="6">
        <v>-0.157</v>
      </c>
      <c r="N231" s="6">
        <v>-0.157</v>
      </c>
      <c r="O231" s="6">
        <v>-0.157</v>
      </c>
      <c r="P231" s="6">
        <v>0</v>
      </c>
      <c r="Q231" s="4" t="s">
        <v>26</v>
      </c>
      <c r="R231" s="4">
        <v>0</v>
      </c>
      <c r="S231" s="4">
        <v>0</v>
      </c>
      <c r="T231" s="4">
        <v>33</v>
      </c>
      <c r="U231" s="4">
        <v>74</v>
      </c>
      <c r="V231" s="6">
        <f>IF(ISERROR(VLOOKUP($S$231,'TAR FIN'!$A$1:$O$103,15,0)),0,VLOOKUP($S$231,'TAR FIN'!$A$1:$O$103,15,0))</f>
        <v>0</v>
      </c>
      <c r="W231" s="6">
        <f>IF(ISERROR(VLOOKUP($T$231,'TAR FIN'!$A$1:$O$103,15,0)),0,VLOOKUP($T$231,'TAR FIN'!$A$1:$O$103,15,0))</f>
        <v>176.22</v>
      </c>
      <c r="X231" s="6">
        <f>IF(ISERROR(VLOOKUP($U$231,'TAR FIN'!$A$1:$O$103,15,0)),0,VLOOKUP($U$231,'TAR FIN'!$A$1:$O$103,15,0))</f>
        <v>260.01</v>
      </c>
      <c r="Y231" s="6"/>
      <c r="Z231" s="6">
        <f ca="1">('TUSD BE'!$AM$33+'TUSD BF'!$AM$33+'TUSD CVA'!$AM$33-('TUSD BE'!$P$33+'TUSD BF'!$P$33+'TUSD CVA'!$P$33)-('TUSD BE'!$Q$33+'TUSD BF'!$Q$33+'TUSD CVA'!$Q$33)-('TUSD BE'!$R$33+'TUSD BF'!$R$33+'TUSD CVA'!$R$33))*(1-CUSTOS!$M$36)</f>
        <v>217.81827316949605</v>
      </c>
      <c r="AA231" s="6">
        <f>('TE BE'!$AB$17+'TE BF'!$AB$17+'TE CVA'!$AB$17)*(1-CUSTOS!$M$36)</f>
        <v>244.83442634838076</v>
      </c>
      <c r="AB231" s="6">
        <f t="shared" si="16"/>
        <v>0</v>
      </c>
      <c r="AC231" s="6">
        <f>(L231-M231)*(W231+X231)+($W$232+$X$232-$W$231-$X$231)*(L231)</f>
        <v>-7.6097900000000047</v>
      </c>
      <c r="AD231" s="6">
        <f t="shared" si="17"/>
        <v>0</v>
      </c>
      <c r="AE231" s="6">
        <f ca="1">(L231-M231)*(Z231+AA231)+($Z$232+$AA$232-$Z$231-$AA$231)*(L231)</f>
        <v>-8.0707193138118498</v>
      </c>
      <c r="AF231" s="4" t="s">
        <v>780</v>
      </c>
    </row>
    <row r="232" spans="1:32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32</v>
      </c>
      <c r="F232" s="4" t="s">
        <v>25</v>
      </c>
      <c r="G232" s="4" t="s">
        <v>25</v>
      </c>
      <c r="H232" s="4" t="s">
        <v>25</v>
      </c>
      <c r="I232" s="5">
        <v>44348</v>
      </c>
      <c r="J232" s="6">
        <v>0</v>
      </c>
      <c r="K232" s="6">
        <v>0</v>
      </c>
      <c r="L232" s="6">
        <v>32.509</v>
      </c>
      <c r="M232" s="6">
        <v>32.509</v>
      </c>
      <c r="N232" s="6">
        <v>32.509</v>
      </c>
      <c r="O232" s="6">
        <v>32.509</v>
      </c>
      <c r="P232" s="6">
        <v>507</v>
      </c>
      <c r="Q232" s="4" t="s">
        <v>26</v>
      </c>
      <c r="R232" s="4">
        <v>0</v>
      </c>
      <c r="S232" s="4">
        <v>0</v>
      </c>
      <c r="T232" s="4">
        <v>34</v>
      </c>
      <c r="U232" s="4">
        <v>75</v>
      </c>
      <c r="V232" s="6">
        <f>IF(ISERROR(VLOOKUP($S$232,'TAR FIN'!$A$1:$O$103,15,0)),0,VLOOKUP($S$232,'TAR FIN'!$A$1:$O$103,15,0))</f>
        <v>0</v>
      </c>
      <c r="W232" s="6">
        <f>IF(ISERROR(VLOOKUP($T$232,'TAR FIN'!$A$1:$O$103,15,0)),0,VLOOKUP($T$232,'TAR FIN'!$A$1:$O$103,15,0))</f>
        <v>195.8</v>
      </c>
      <c r="X232" s="6">
        <f>IF(ISERROR(VLOOKUP($U$232,'TAR FIN'!$A$1:$O$103,15,0)),0,VLOOKUP($U$232,'TAR FIN'!$A$1:$O$103,15,0))</f>
        <v>288.89999999999998</v>
      </c>
      <c r="Y232" s="6"/>
      <c r="Z232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2" s="6">
        <f>('TE BE'!$AB$18+'TE BF'!$AB$18+'TE CVA'!$AB$18)*(1-CUSTOS!$M$37)</f>
        <v>272.03825149820085</v>
      </c>
      <c r="AB232" s="6">
        <f t="shared" si="16"/>
        <v>0</v>
      </c>
      <c r="AC232" s="6">
        <f>(L232-M232)*(W232+X232)+($W$232+$X$232-$W$232-$X$232)*(L232)</f>
        <v>0</v>
      </c>
      <c r="AD232" s="6">
        <f t="shared" si="17"/>
        <v>0</v>
      </c>
      <c r="AE232" s="6">
        <f ca="1">(L232-M232)*(Z232+AA232)+($Z$232+$AA$232-$Z$232-$AA$232)*(L232)</f>
        <v>-1.8479227037460078E-12</v>
      </c>
      <c r="AF232" s="4" t="s">
        <v>780</v>
      </c>
    </row>
    <row r="233" spans="1:32" ht="11.25" customHeight="1" x14ac:dyDescent="0.25">
      <c r="A233" s="4" t="s">
        <v>27</v>
      </c>
      <c r="B233" s="4" t="s">
        <v>22</v>
      </c>
      <c r="C233" s="4" t="s">
        <v>23</v>
      </c>
      <c r="D233" s="4" t="s">
        <v>24</v>
      </c>
      <c r="E233" s="4" t="s">
        <v>32</v>
      </c>
      <c r="F233" s="4" t="s">
        <v>25</v>
      </c>
      <c r="G233" s="4" t="s">
        <v>25</v>
      </c>
      <c r="H233" s="4" t="s">
        <v>25</v>
      </c>
      <c r="I233" s="5">
        <v>44348</v>
      </c>
      <c r="J233" s="6">
        <v>0</v>
      </c>
      <c r="K233" s="6">
        <v>0</v>
      </c>
      <c r="L233" s="6">
        <v>-0.16300000000000001</v>
      </c>
      <c r="M233" s="6">
        <v>-0.16300000000000001</v>
      </c>
      <c r="N233" s="6">
        <v>-0.16300000000000001</v>
      </c>
      <c r="O233" s="6">
        <v>-0.16300000000000001</v>
      </c>
      <c r="P233" s="6">
        <v>0</v>
      </c>
      <c r="Q233" s="4" t="s">
        <v>26</v>
      </c>
      <c r="R233" s="4">
        <v>0</v>
      </c>
      <c r="S233" s="4">
        <v>0</v>
      </c>
      <c r="T233" s="4">
        <v>34</v>
      </c>
      <c r="U233" s="4">
        <v>75</v>
      </c>
      <c r="V233" s="6">
        <f>IF(ISERROR(VLOOKUP($S$233,'TAR FIN'!$A$1:$O$103,15,0)),0,VLOOKUP($S$233,'TAR FIN'!$A$1:$O$103,15,0))</f>
        <v>0</v>
      </c>
      <c r="W233" s="6">
        <f>IF(ISERROR(VLOOKUP($T$233,'TAR FIN'!$A$1:$O$103,15,0)),0,VLOOKUP($T$233,'TAR FIN'!$A$1:$O$103,15,0))</f>
        <v>195.8</v>
      </c>
      <c r="X233" s="6">
        <f>IF(ISERROR(VLOOKUP($U$233,'TAR FIN'!$A$1:$O$103,15,0)),0,VLOOKUP($U$233,'TAR FIN'!$A$1:$O$103,15,0))</f>
        <v>288.89999999999998</v>
      </c>
      <c r="Y233" s="6"/>
      <c r="Z233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3" s="6">
        <f>('TE BE'!$AB$18+'TE BF'!$AB$18+'TE CVA'!$AB$18)*(1-CUSTOS!$M$37)</f>
        <v>272.03825149820085</v>
      </c>
      <c r="AB233" s="6">
        <f t="shared" si="16"/>
        <v>0</v>
      </c>
      <c r="AC233" s="6">
        <f>(L233-M233)*(W233+X233)+($W$232+$X$232-$W$233-$X$233)*(L233)</f>
        <v>0</v>
      </c>
      <c r="AD233" s="6">
        <f t="shared" si="17"/>
        <v>0</v>
      </c>
      <c r="AE233" s="6">
        <f ca="1">(L233-M233)*(Z233+AA233)+($Z$232+$AA$232-$Z$233-$AA$233)*(L233)</f>
        <v>9.2654772743117068E-15</v>
      </c>
      <c r="AF233" s="4" t="s">
        <v>780</v>
      </c>
    </row>
    <row r="234" spans="1:32" ht="11.25" customHeight="1" x14ac:dyDescent="0.25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32</v>
      </c>
      <c r="F234" s="4" t="s">
        <v>25</v>
      </c>
      <c r="G234" s="4" t="s">
        <v>25</v>
      </c>
      <c r="H234" s="4" t="s">
        <v>25</v>
      </c>
      <c r="I234" s="5">
        <v>44378</v>
      </c>
      <c r="J234" s="6">
        <v>0</v>
      </c>
      <c r="K234" s="6">
        <v>0</v>
      </c>
      <c r="L234" s="6">
        <v>37.683</v>
      </c>
      <c r="M234" s="6">
        <v>37.683</v>
      </c>
      <c r="N234" s="6">
        <v>37.683</v>
      </c>
      <c r="O234" s="6">
        <v>37.683</v>
      </c>
      <c r="P234" s="6">
        <v>514</v>
      </c>
      <c r="Q234" s="4" t="s">
        <v>26</v>
      </c>
      <c r="R234" s="4">
        <v>0</v>
      </c>
      <c r="S234" s="4">
        <v>0</v>
      </c>
      <c r="T234" s="4">
        <v>34</v>
      </c>
      <c r="U234" s="4">
        <v>75</v>
      </c>
      <c r="V234" s="6">
        <f>IF(ISERROR(VLOOKUP($S$234,'TAR FIN'!$A$1:$O$103,15,0)),0,VLOOKUP($S$234,'TAR FIN'!$A$1:$O$103,15,0))</f>
        <v>0</v>
      </c>
      <c r="W234" s="6">
        <f>IF(ISERROR(VLOOKUP($T$234,'TAR FIN'!$A$1:$O$103,15,0)),0,VLOOKUP($T$234,'TAR FIN'!$A$1:$O$103,15,0))</f>
        <v>195.8</v>
      </c>
      <c r="X234" s="6">
        <f>IF(ISERROR(VLOOKUP($U$234,'TAR FIN'!$A$1:$O$103,15,0)),0,VLOOKUP($U$234,'TAR FIN'!$A$1:$O$103,15,0))</f>
        <v>288.89999999999998</v>
      </c>
      <c r="Y234" s="6"/>
      <c r="Z234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4" s="6">
        <f>('TE BE'!$AB$18+'TE BF'!$AB$18+'TE CVA'!$AB$18)*(1-CUSTOS!$M$37)</f>
        <v>272.03825149820085</v>
      </c>
      <c r="AB234" s="6">
        <f t="shared" si="16"/>
        <v>0</v>
      </c>
      <c r="AC234" s="6">
        <f>(L234-M234)*(W234+X234)+($W$232+$X$232-$W$234-$X$234)*(L234)</f>
        <v>0</v>
      </c>
      <c r="AD234" s="6">
        <f t="shared" si="17"/>
        <v>0</v>
      </c>
      <c r="AE234" s="6">
        <f ca="1">(L234-M234)*(Z234+AA234)+($Z$232+$AA$232-$Z$234-$AA$234)*(L234)</f>
        <v>-2.1420305529318284E-12</v>
      </c>
      <c r="AF234" s="4" t="s">
        <v>780</v>
      </c>
    </row>
    <row r="235" spans="1:32" ht="11.25" customHeight="1" x14ac:dyDescent="0.25">
      <c r="A235" s="4" t="s">
        <v>27</v>
      </c>
      <c r="B235" s="4" t="s">
        <v>22</v>
      </c>
      <c r="C235" s="4" t="s">
        <v>23</v>
      </c>
      <c r="D235" s="4" t="s">
        <v>24</v>
      </c>
      <c r="E235" s="4" t="s">
        <v>32</v>
      </c>
      <c r="F235" s="4" t="s">
        <v>25</v>
      </c>
      <c r="G235" s="4" t="s">
        <v>25</v>
      </c>
      <c r="H235" s="4" t="s">
        <v>25</v>
      </c>
      <c r="I235" s="5">
        <v>44378</v>
      </c>
      <c r="J235" s="6">
        <v>0</v>
      </c>
      <c r="K235" s="6">
        <v>0</v>
      </c>
      <c r="L235" s="6">
        <v>-0.79</v>
      </c>
      <c r="M235" s="6">
        <v>-0.79</v>
      </c>
      <c r="N235" s="6">
        <v>-0.79</v>
      </c>
      <c r="O235" s="6">
        <v>-0.79</v>
      </c>
      <c r="P235" s="6">
        <v>0</v>
      </c>
      <c r="Q235" s="4" t="s">
        <v>26</v>
      </c>
      <c r="R235" s="4">
        <v>0</v>
      </c>
      <c r="S235" s="4">
        <v>0</v>
      </c>
      <c r="T235" s="4">
        <v>34</v>
      </c>
      <c r="U235" s="4">
        <v>75</v>
      </c>
      <c r="V235" s="6">
        <f>IF(ISERROR(VLOOKUP($S$235,'TAR FIN'!$A$1:$O$103,15,0)),0,VLOOKUP($S$235,'TAR FIN'!$A$1:$O$103,15,0))</f>
        <v>0</v>
      </c>
      <c r="W235" s="6">
        <f>IF(ISERROR(VLOOKUP($T$235,'TAR FIN'!$A$1:$O$103,15,0)),0,VLOOKUP($T$235,'TAR FIN'!$A$1:$O$103,15,0))</f>
        <v>195.8</v>
      </c>
      <c r="X235" s="6">
        <f>IF(ISERROR(VLOOKUP($U$235,'TAR FIN'!$A$1:$O$103,15,0)),0,VLOOKUP($U$235,'TAR FIN'!$A$1:$O$103,15,0))</f>
        <v>288.89999999999998</v>
      </c>
      <c r="Y235" s="6"/>
      <c r="Z235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5" s="6">
        <f>('TE BE'!$AB$18+'TE BF'!$AB$18+'TE CVA'!$AB$18)*(1-CUSTOS!$M$37)</f>
        <v>272.03825149820085</v>
      </c>
      <c r="AB235" s="6">
        <f t="shared" si="16"/>
        <v>0</v>
      </c>
      <c r="AC235" s="6">
        <f>(L235-M235)*(W235+X235)+($W$232+$X$232-$W$235-$X$235)*(L235)</f>
        <v>0</v>
      </c>
      <c r="AD235" s="6">
        <f t="shared" si="17"/>
        <v>0</v>
      </c>
      <c r="AE235" s="6">
        <f ca="1">(L235-M235)*(Z235+AA235)+($Z$232+$AA$232-$Z$235-$AA$235)*(L235)</f>
        <v>4.4906300900038334E-14</v>
      </c>
      <c r="AF235" s="4" t="s">
        <v>780</v>
      </c>
    </row>
    <row r="236" spans="1:32" ht="11.25" customHeight="1" x14ac:dyDescent="0.25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32</v>
      </c>
      <c r="F236" s="4" t="s">
        <v>25</v>
      </c>
      <c r="G236" s="4" t="s">
        <v>25</v>
      </c>
      <c r="H236" s="4" t="s">
        <v>25</v>
      </c>
      <c r="I236" s="5">
        <v>44409</v>
      </c>
      <c r="J236" s="6">
        <v>0</v>
      </c>
      <c r="K236" s="6">
        <v>0</v>
      </c>
      <c r="L236" s="6">
        <v>37.825000000000003</v>
      </c>
      <c r="M236" s="6">
        <v>37.825000000000003</v>
      </c>
      <c r="N236" s="6">
        <v>37.825000000000003</v>
      </c>
      <c r="O236" s="6">
        <v>37.825000000000003</v>
      </c>
      <c r="P236" s="6">
        <v>539</v>
      </c>
      <c r="Q236" s="4" t="s">
        <v>26</v>
      </c>
      <c r="R236" s="4">
        <v>0</v>
      </c>
      <c r="S236" s="4">
        <v>0</v>
      </c>
      <c r="T236" s="4">
        <v>34</v>
      </c>
      <c r="U236" s="4">
        <v>75</v>
      </c>
      <c r="V236" s="6">
        <f>IF(ISERROR(VLOOKUP($S$236,'TAR FIN'!$A$1:$O$103,15,0)),0,VLOOKUP($S$236,'TAR FIN'!$A$1:$O$103,15,0))</f>
        <v>0</v>
      </c>
      <c r="W236" s="6">
        <f>IF(ISERROR(VLOOKUP($T$236,'TAR FIN'!$A$1:$O$103,15,0)),0,VLOOKUP($T$236,'TAR FIN'!$A$1:$O$103,15,0))</f>
        <v>195.8</v>
      </c>
      <c r="X236" s="6">
        <f>IF(ISERROR(VLOOKUP($U$236,'TAR FIN'!$A$1:$O$103,15,0)),0,VLOOKUP($U$236,'TAR FIN'!$A$1:$O$103,15,0))</f>
        <v>288.89999999999998</v>
      </c>
      <c r="Y236" s="6"/>
      <c r="Z236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6" s="6">
        <f>('TE BE'!$AB$18+'TE BF'!$AB$18+'TE CVA'!$AB$18)*(1-CUSTOS!$M$37)</f>
        <v>272.03825149820085</v>
      </c>
      <c r="AB236" s="6">
        <f t="shared" si="16"/>
        <v>0</v>
      </c>
      <c r="AC236" s="6">
        <f>(L236-M236)*(W236+X236)+($W$232+$X$232-$W$236-$X$236)*(L236)</f>
        <v>0</v>
      </c>
      <c r="AD236" s="6">
        <f t="shared" si="17"/>
        <v>0</v>
      </c>
      <c r="AE236" s="6">
        <f ca="1">(L236-M236)*(Z236+AA236)+($Z$232+$AA$232-$Z$236-$AA$236)*(L236)</f>
        <v>-2.1501023184100633E-12</v>
      </c>
      <c r="AF236" s="4" t="s">
        <v>780</v>
      </c>
    </row>
    <row r="237" spans="1:32" ht="11.25" customHeight="1" x14ac:dyDescent="0.25">
      <c r="A237" s="4" t="s">
        <v>27</v>
      </c>
      <c r="B237" s="4" t="s">
        <v>22</v>
      </c>
      <c r="C237" s="4" t="s">
        <v>23</v>
      </c>
      <c r="D237" s="4" t="s">
        <v>24</v>
      </c>
      <c r="E237" s="4" t="s">
        <v>32</v>
      </c>
      <c r="F237" s="4" t="s">
        <v>25</v>
      </c>
      <c r="G237" s="4" t="s">
        <v>25</v>
      </c>
      <c r="H237" s="4" t="s">
        <v>25</v>
      </c>
      <c r="I237" s="5">
        <v>44409</v>
      </c>
      <c r="J237" s="6">
        <v>0</v>
      </c>
      <c r="K237" s="6">
        <v>0</v>
      </c>
      <c r="L237" s="6">
        <v>-0.34699999999999998</v>
      </c>
      <c r="M237" s="6">
        <v>-0.34699999999999998</v>
      </c>
      <c r="N237" s="6">
        <v>-0.34699999999999998</v>
      </c>
      <c r="O237" s="6">
        <v>-0.34699999999999998</v>
      </c>
      <c r="P237" s="6">
        <v>0</v>
      </c>
      <c r="Q237" s="4" t="s">
        <v>26</v>
      </c>
      <c r="R237" s="4">
        <v>0</v>
      </c>
      <c r="S237" s="4">
        <v>0</v>
      </c>
      <c r="T237" s="4">
        <v>34</v>
      </c>
      <c r="U237" s="4">
        <v>75</v>
      </c>
      <c r="V237" s="6">
        <f>IF(ISERROR(VLOOKUP($S$237,'TAR FIN'!$A$1:$O$103,15,0)),0,VLOOKUP($S$237,'TAR FIN'!$A$1:$O$103,15,0))</f>
        <v>0</v>
      </c>
      <c r="W237" s="6">
        <f>IF(ISERROR(VLOOKUP($T$237,'TAR FIN'!$A$1:$O$103,15,0)),0,VLOOKUP($T$237,'TAR FIN'!$A$1:$O$103,15,0))</f>
        <v>195.8</v>
      </c>
      <c r="X237" s="6">
        <f>IF(ISERROR(VLOOKUP($U$237,'TAR FIN'!$A$1:$O$103,15,0)),0,VLOOKUP($U$237,'TAR FIN'!$A$1:$O$103,15,0))</f>
        <v>288.89999999999998</v>
      </c>
      <c r="Y237" s="6"/>
      <c r="Z237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7" s="6">
        <f>('TE BE'!$AB$18+'TE BF'!$AB$18+'TE CVA'!$AB$18)*(1-CUSTOS!$M$37)</f>
        <v>272.03825149820085</v>
      </c>
      <c r="AB237" s="6">
        <f t="shared" si="16"/>
        <v>0</v>
      </c>
      <c r="AC237" s="6">
        <f>(L237-M237)*(W237+X237)+($W$232+$X$232-$W$237-$X$237)*(L237)</f>
        <v>0</v>
      </c>
      <c r="AD237" s="6">
        <f t="shared" si="17"/>
        <v>0</v>
      </c>
      <c r="AE237" s="6">
        <f ca="1">(L237-M237)*(Z237+AA237)+($Z$232+$AA$232-$Z$237-$AA$237)*(L237)</f>
        <v>1.972466634470038E-14</v>
      </c>
      <c r="AF237" s="4" t="s">
        <v>780</v>
      </c>
    </row>
    <row r="238" spans="1:32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32</v>
      </c>
      <c r="F238" s="4" t="s">
        <v>25</v>
      </c>
      <c r="G238" s="4" t="s">
        <v>25</v>
      </c>
      <c r="H238" s="4" t="s">
        <v>25</v>
      </c>
      <c r="I238" s="5">
        <v>44440</v>
      </c>
      <c r="J238" s="6">
        <v>0</v>
      </c>
      <c r="K238" s="6">
        <v>0</v>
      </c>
      <c r="L238" s="6">
        <v>30.623000000000001</v>
      </c>
      <c r="M238" s="6">
        <v>30.623000000000001</v>
      </c>
      <c r="N238" s="6">
        <v>30.623000000000001</v>
      </c>
      <c r="O238" s="6">
        <v>30.623000000000001</v>
      </c>
      <c r="P238" s="6">
        <v>487</v>
      </c>
      <c r="Q238" s="4" t="s">
        <v>26</v>
      </c>
      <c r="R238" s="4">
        <v>0</v>
      </c>
      <c r="S238" s="4">
        <v>0</v>
      </c>
      <c r="T238" s="4">
        <v>34</v>
      </c>
      <c r="U238" s="4">
        <v>75</v>
      </c>
      <c r="V238" s="6">
        <f>IF(ISERROR(VLOOKUP($S$238,'TAR FIN'!$A$1:$O$103,15,0)),0,VLOOKUP($S$238,'TAR FIN'!$A$1:$O$103,15,0))</f>
        <v>0</v>
      </c>
      <c r="W238" s="6">
        <f>IF(ISERROR(VLOOKUP($T$238,'TAR FIN'!$A$1:$O$103,15,0)),0,VLOOKUP($T$238,'TAR FIN'!$A$1:$O$103,15,0))</f>
        <v>195.8</v>
      </c>
      <c r="X238" s="6">
        <f>IF(ISERROR(VLOOKUP($U$238,'TAR FIN'!$A$1:$O$103,15,0)),0,VLOOKUP($U$238,'TAR FIN'!$A$1:$O$103,15,0))</f>
        <v>288.89999999999998</v>
      </c>
      <c r="Y238" s="6"/>
      <c r="Z238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8" s="6">
        <f>('TE BE'!$AB$18+'TE BF'!$AB$18+'TE CVA'!$AB$18)*(1-CUSTOS!$M$37)</f>
        <v>272.03825149820085</v>
      </c>
      <c r="AB238" s="6">
        <f t="shared" si="16"/>
        <v>0</v>
      </c>
      <c r="AC238" s="6">
        <f>(L238-M238)*(W238+X238)+($W$232+$X$232-$W$238-$X$238)*(L238)</f>
        <v>0</v>
      </c>
      <c r="AD238" s="6">
        <f t="shared" si="17"/>
        <v>0</v>
      </c>
      <c r="AE238" s="6">
        <f ca="1">(L238-M238)*(Z238+AA238)+($Z$232+$AA$232-$Z$238-$AA$238)*(L238)</f>
        <v>-1.7407160157745239E-12</v>
      </c>
      <c r="AF238" s="4" t="s">
        <v>780</v>
      </c>
    </row>
    <row r="239" spans="1:32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32</v>
      </c>
      <c r="F239" s="4" t="s">
        <v>25</v>
      </c>
      <c r="G239" s="4" t="s">
        <v>25</v>
      </c>
      <c r="H239" s="4" t="s">
        <v>25</v>
      </c>
      <c r="I239" s="5">
        <v>44440</v>
      </c>
      <c r="J239" s="6">
        <v>0</v>
      </c>
      <c r="K239" s="6">
        <v>0</v>
      </c>
      <c r="L239" s="6">
        <v>-1.9E-2</v>
      </c>
      <c r="M239" s="6">
        <v>-1.9E-2</v>
      </c>
      <c r="N239" s="6">
        <v>-1.9E-2</v>
      </c>
      <c r="O239" s="6">
        <v>-1.9E-2</v>
      </c>
      <c r="P239" s="6">
        <v>0</v>
      </c>
      <c r="Q239" s="4" t="s">
        <v>26</v>
      </c>
      <c r="R239" s="4">
        <v>0</v>
      </c>
      <c r="S239" s="4">
        <v>0</v>
      </c>
      <c r="T239" s="4">
        <v>34</v>
      </c>
      <c r="U239" s="4">
        <v>75</v>
      </c>
      <c r="V239" s="6">
        <f>IF(ISERROR(VLOOKUP($S$239,'TAR FIN'!$A$1:$O$103,15,0)),0,VLOOKUP($S$239,'TAR FIN'!$A$1:$O$103,15,0))</f>
        <v>0</v>
      </c>
      <c r="W239" s="6">
        <f>IF(ISERROR(VLOOKUP($T$239,'TAR FIN'!$A$1:$O$103,15,0)),0,VLOOKUP($T$239,'TAR FIN'!$A$1:$O$103,15,0))</f>
        <v>195.8</v>
      </c>
      <c r="X239" s="6">
        <f>IF(ISERROR(VLOOKUP($U$239,'TAR FIN'!$A$1:$O$103,15,0)),0,VLOOKUP($U$239,'TAR FIN'!$A$1:$O$103,15,0))</f>
        <v>288.89999999999998</v>
      </c>
      <c r="Y239" s="6"/>
      <c r="Z239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39" s="6">
        <f>('TE BE'!$AB$18+'TE BF'!$AB$18+'TE CVA'!$AB$18)*(1-CUSTOS!$M$37)</f>
        <v>272.03825149820085</v>
      </c>
      <c r="AB239" s="6">
        <f t="shared" si="16"/>
        <v>0</v>
      </c>
      <c r="AC239" s="6">
        <f>(L239-M239)*(W239+X239)+($W$232+$X$232-$W$239-$X$239)*(L239)</f>
        <v>0</v>
      </c>
      <c r="AD239" s="6">
        <f t="shared" si="17"/>
        <v>0</v>
      </c>
      <c r="AE239" s="6">
        <f ca="1">(L239-M239)*(Z239+AA239)+($Z$232+$AA$232-$Z$239-$AA$239)*(L239)</f>
        <v>1.0800249583553523E-15</v>
      </c>
      <c r="AF239" s="4" t="s">
        <v>780</v>
      </c>
    </row>
    <row r="240" spans="1:32" ht="11.25" customHeight="1" x14ac:dyDescent="0.25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32</v>
      </c>
      <c r="F240" s="4" t="s">
        <v>25</v>
      </c>
      <c r="G240" s="4" t="s">
        <v>25</v>
      </c>
      <c r="H240" s="4" t="s">
        <v>25</v>
      </c>
      <c r="I240" s="5">
        <v>44470</v>
      </c>
      <c r="J240" s="6">
        <v>0</v>
      </c>
      <c r="K240" s="6">
        <v>0</v>
      </c>
      <c r="L240" s="6">
        <v>31.774000000000001</v>
      </c>
      <c r="M240" s="6">
        <v>31.774000000000001</v>
      </c>
      <c r="N240" s="6">
        <v>31.774000000000001</v>
      </c>
      <c r="O240" s="6">
        <v>31.774000000000001</v>
      </c>
      <c r="P240" s="6">
        <v>503</v>
      </c>
      <c r="Q240" s="4" t="s">
        <v>26</v>
      </c>
      <c r="R240" s="4">
        <v>0</v>
      </c>
      <c r="S240" s="4">
        <v>0</v>
      </c>
      <c r="T240" s="4">
        <v>34</v>
      </c>
      <c r="U240" s="4">
        <v>75</v>
      </c>
      <c r="V240" s="6">
        <f>IF(ISERROR(VLOOKUP($S$240,'TAR FIN'!$A$1:$O$103,15,0)),0,VLOOKUP($S$240,'TAR FIN'!$A$1:$O$103,15,0))</f>
        <v>0</v>
      </c>
      <c r="W240" s="6">
        <f>IF(ISERROR(VLOOKUP($T$240,'TAR FIN'!$A$1:$O$103,15,0)),0,VLOOKUP($T$240,'TAR FIN'!$A$1:$O$103,15,0))</f>
        <v>195.8</v>
      </c>
      <c r="X240" s="6">
        <f>IF(ISERROR(VLOOKUP($U$240,'TAR FIN'!$A$1:$O$103,15,0)),0,VLOOKUP($U$240,'TAR FIN'!$A$1:$O$103,15,0))</f>
        <v>288.89999999999998</v>
      </c>
      <c r="Y240" s="6"/>
      <c r="Z240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0" s="6">
        <f>('TE BE'!$AB$18+'TE BF'!$AB$18+'TE CVA'!$AB$18)*(1-CUSTOS!$M$37)</f>
        <v>272.03825149820085</v>
      </c>
      <c r="AB240" s="6">
        <f t="shared" si="16"/>
        <v>0</v>
      </c>
      <c r="AC240" s="6">
        <f>(L240-M240)*(W240+X240)+($W$232+$X$232-$W$240-$X$240)*(L240)</f>
        <v>0</v>
      </c>
      <c r="AD240" s="6">
        <f t="shared" si="17"/>
        <v>0</v>
      </c>
      <c r="AE240" s="6">
        <f ca="1">(L240-M240)*(Z240+AA240)+($Z$232+$AA$232-$Z$240-$AA$240)*(L240)</f>
        <v>-1.8061427908833139E-12</v>
      </c>
      <c r="AF240" s="4" t="s">
        <v>780</v>
      </c>
    </row>
    <row r="241" spans="1:32" ht="11.25" customHeight="1" x14ac:dyDescent="0.25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32</v>
      </c>
      <c r="F241" s="4" t="s">
        <v>25</v>
      </c>
      <c r="G241" s="4" t="s">
        <v>25</v>
      </c>
      <c r="H241" s="4" t="s">
        <v>25</v>
      </c>
      <c r="I241" s="5">
        <v>44470</v>
      </c>
      <c r="J241" s="6">
        <v>0</v>
      </c>
      <c r="K241" s="6">
        <v>0</v>
      </c>
      <c r="L241" s="6">
        <v>-0.60399999999999998</v>
      </c>
      <c r="M241" s="6">
        <v>-0.60399999999999998</v>
      </c>
      <c r="N241" s="6">
        <v>-0.60399999999999998</v>
      </c>
      <c r="O241" s="6">
        <v>-0.60399999999999998</v>
      </c>
      <c r="P241" s="6">
        <v>0</v>
      </c>
      <c r="Q241" s="4" t="s">
        <v>26</v>
      </c>
      <c r="R241" s="4">
        <v>0</v>
      </c>
      <c r="S241" s="4">
        <v>0</v>
      </c>
      <c r="T241" s="4">
        <v>34</v>
      </c>
      <c r="U241" s="4">
        <v>75</v>
      </c>
      <c r="V241" s="6">
        <f>IF(ISERROR(VLOOKUP($S$241,'TAR FIN'!$A$1:$O$103,15,0)),0,VLOOKUP($S$241,'TAR FIN'!$A$1:$O$103,15,0))</f>
        <v>0</v>
      </c>
      <c r="W241" s="6">
        <f>IF(ISERROR(VLOOKUP($T$241,'TAR FIN'!$A$1:$O$103,15,0)),0,VLOOKUP($T$241,'TAR FIN'!$A$1:$O$103,15,0))</f>
        <v>195.8</v>
      </c>
      <c r="X241" s="6">
        <f>IF(ISERROR(VLOOKUP($U$241,'TAR FIN'!$A$1:$O$103,15,0)),0,VLOOKUP($U$241,'TAR FIN'!$A$1:$O$103,15,0))</f>
        <v>288.89999999999998</v>
      </c>
      <c r="Y241" s="6"/>
      <c r="Z241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1" s="6">
        <f>('TE BE'!$AB$18+'TE BF'!$AB$18+'TE CVA'!$AB$18)*(1-CUSTOS!$M$37)</f>
        <v>272.03825149820085</v>
      </c>
      <c r="AB241" s="6">
        <f t="shared" si="16"/>
        <v>0</v>
      </c>
      <c r="AC241" s="6">
        <f>(L241-M241)*(W241+X241)+($W$232+$X$232-$W$241-$X$241)*(L241)</f>
        <v>0</v>
      </c>
      <c r="AD241" s="6">
        <f t="shared" si="17"/>
        <v>0</v>
      </c>
      <c r="AE241" s="6">
        <f ca="1">(L241-M241)*(Z241+AA241)+($Z$232+$AA$232-$Z$241-$AA$241)*(L241)</f>
        <v>3.433342499192804E-14</v>
      </c>
      <c r="AF241" s="4" t="s">
        <v>780</v>
      </c>
    </row>
    <row r="242" spans="1:32" ht="11.25" customHeight="1" x14ac:dyDescent="0.25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32</v>
      </c>
      <c r="F242" s="4" t="s">
        <v>25</v>
      </c>
      <c r="G242" s="4" t="s">
        <v>25</v>
      </c>
      <c r="H242" s="4" t="s">
        <v>25</v>
      </c>
      <c r="I242" s="5">
        <v>44501</v>
      </c>
      <c r="J242" s="6">
        <v>0</v>
      </c>
      <c r="K242" s="6">
        <v>0</v>
      </c>
      <c r="L242" s="6">
        <v>30.585999999999999</v>
      </c>
      <c r="M242" s="6">
        <v>30.585999999999999</v>
      </c>
      <c r="N242" s="6">
        <v>30.585999999999999</v>
      </c>
      <c r="O242" s="6">
        <v>30.585999999999999</v>
      </c>
      <c r="P242" s="6">
        <v>464</v>
      </c>
      <c r="Q242" s="4" t="s">
        <v>26</v>
      </c>
      <c r="R242" s="4">
        <v>0</v>
      </c>
      <c r="S242" s="4">
        <v>0</v>
      </c>
      <c r="T242" s="4">
        <v>34</v>
      </c>
      <c r="U242" s="4">
        <v>75</v>
      </c>
      <c r="V242" s="6">
        <f>IF(ISERROR(VLOOKUP($S$242,'TAR FIN'!$A$1:$O$103,15,0)),0,VLOOKUP($S$242,'TAR FIN'!$A$1:$O$103,15,0))</f>
        <v>0</v>
      </c>
      <c r="W242" s="6">
        <f>IF(ISERROR(VLOOKUP($T$242,'TAR FIN'!$A$1:$O$103,15,0)),0,VLOOKUP($T$242,'TAR FIN'!$A$1:$O$103,15,0))</f>
        <v>195.8</v>
      </c>
      <c r="X242" s="6">
        <f>IF(ISERROR(VLOOKUP($U$242,'TAR FIN'!$A$1:$O$103,15,0)),0,VLOOKUP($U$242,'TAR FIN'!$A$1:$O$103,15,0))</f>
        <v>288.89999999999998</v>
      </c>
      <c r="Y242" s="6"/>
      <c r="Z242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2" s="6">
        <f>('TE BE'!$AB$18+'TE BF'!$AB$18+'TE CVA'!$AB$18)*(1-CUSTOS!$M$37)</f>
        <v>272.03825149820085</v>
      </c>
      <c r="AB242" s="6">
        <f t="shared" si="16"/>
        <v>0</v>
      </c>
      <c r="AC242" s="6">
        <f>(L242-M242)*(W242+X242)+($W$232+$X$232-$W$242-$X$242)*(L242)</f>
        <v>0</v>
      </c>
      <c r="AD242" s="6">
        <f t="shared" si="17"/>
        <v>0</v>
      </c>
      <c r="AE242" s="6">
        <f ca="1">(L242-M242)*(Z242+AA242)+($Z$232+$AA$232-$Z$242-$AA$242)*(L242)</f>
        <v>-1.7386128092766739E-12</v>
      </c>
      <c r="AF242" s="4" t="s">
        <v>780</v>
      </c>
    </row>
    <row r="243" spans="1:32" ht="11.25" customHeight="1" x14ac:dyDescent="0.25">
      <c r="A243" s="4" t="s">
        <v>27</v>
      </c>
      <c r="B243" s="4" t="s">
        <v>22</v>
      </c>
      <c r="C243" s="4" t="s">
        <v>23</v>
      </c>
      <c r="D243" s="4" t="s">
        <v>24</v>
      </c>
      <c r="E243" s="4" t="s">
        <v>32</v>
      </c>
      <c r="F243" s="4" t="s">
        <v>25</v>
      </c>
      <c r="G243" s="4" t="s">
        <v>25</v>
      </c>
      <c r="H243" s="4" t="s">
        <v>25</v>
      </c>
      <c r="I243" s="5">
        <v>44501</v>
      </c>
      <c r="J243" s="6">
        <v>0</v>
      </c>
      <c r="K243" s="6">
        <v>0</v>
      </c>
      <c r="L243" s="6">
        <v>-0.45100000000000001</v>
      </c>
      <c r="M243" s="6">
        <v>-0.45100000000000001</v>
      </c>
      <c r="N243" s="6">
        <v>-0.45100000000000001</v>
      </c>
      <c r="O243" s="6">
        <v>-0.45100000000000001</v>
      </c>
      <c r="P243" s="6">
        <v>0</v>
      </c>
      <c r="Q243" s="4" t="s">
        <v>26</v>
      </c>
      <c r="R243" s="4">
        <v>0</v>
      </c>
      <c r="S243" s="4">
        <v>0</v>
      </c>
      <c r="T243" s="4">
        <v>34</v>
      </c>
      <c r="U243" s="4">
        <v>75</v>
      </c>
      <c r="V243" s="6">
        <f>IF(ISERROR(VLOOKUP($S$243,'TAR FIN'!$A$1:$O$103,15,0)),0,VLOOKUP($S$243,'TAR FIN'!$A$1:$O$103,15,0))</f>
        <v>0</v>
      </c>
      <c r="W243" s="6">
        <f>IF(ISERROR(VLOOKUP($T$243,'TAR FIN'!$A$1:$O$103,15,0)),0,VLOOKUP($T$243,'TAR FIN'!$A$1:$O$103,15,0))</f>
        <v>195.8</v>
      </c>
      <c r="X243" s="6">
        <f>IF(ISERROR(VLOOKUP($U$243,'TAR FIN'!$A$1:$O$103,15,0)),0,VLOOKUP($U$243,'TAR FIN'!$A$1:$O$103,15,0))</f>
        <v>288.89999999999998</v>
      </c>
      <c r="Y243" s="6"/>
      <c r="Z243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3" s="6">
        <f>('TE BE'!$AB$18+'TE BF'!$AB$18+'TE CVA'!$AB$18)*(1-CUSTOS!$M$37)</f>
        <v>272.03825149820085</v>
      </c>
      <c r="AB243" s="6">
        <f t="shared" si="16"/>
        <v>0</v>
      </c>
      <c r="AC243" s="6">
        <f>(L243-M243)*(W243+X243)+($W$232+$X$232-$W$243-$X$243)*(L243)</f>
        <v>0</v>
      </c>
      <c r="AD243" s="6">
        <f t="shared" si="17"/>
        <v>0</v>
      </c>
      <c r="AE243" s="6">
        <f ca="1">(L243-M243)*(Z243+AA243)+($Z$232+$AA$232-$Z$243-$AA$243)*(L243)</f>
        <v>2.5636381906224415E-14</v>
      </c>
      <c r="AF243" s="4" t="s">
        <v>780</v>
      </c>
    </row>
    <row r="244" spans="1:32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32</v>
      </c>
      <c r="F244" s="4" t="s">
        <v>25</v>
      </c>
      <c r="G244" s="4" t="s">
        <v>25</v>
      </c>
      <c r="H244" s="4" t="s">
        <v>25</v>
      </c>
      <c r="I244" s="5">
        <v>44531</v>
      </c>
      <c r="J244" s="6">
        <v>0</v>
      </c>
      <c r="K244" s="6">
        <v>0</v>
      </c>
      <c r="L244" s="6">
        <v>25.991</v>
      </c>
      <c r="M244" s="6">
        <v>25.991</v>
      </c>
      <c r="N244" s="6">
        <v>25.991</v>
      </c>
      <c r="O244" s="6">
        <v>25.991</v>
      </c>
      <c r="P244" s="6">
        <v>398</v>
      </c>
      <c r="Q244" s="4" t="s">
        <v>26</v>
      </c>
      <c r="R244" s="4">
        <v>0</v>
      </c>
      <c r="S244" s="4">
        <v>0</v>
      </c>
      <c r="T244" s="4">
        <v>34</v>
      </c>
      <c r="U244" s="4">
        <v>75</v>
      </c>
      <c r="V244" s="6">
        <f>IF(ISERROR(VLOOKUP($S$244,'TAR FIN'!$A$1:$O$103,15,0)),0,VLOOKUP($S$244,'TAR FIN'!$A$1:$O$103,15,0))</f>
        <v>0</v>
      </c>
      <c r="W244" s="6">
        <f>IF(ISERROR(VLOOKUP($T$244,'TAR FIN'!$A$1:$O$103,15,0)),0,VLOOKUP($T$244,'TAR FIN'!$A$1:$O$103,15,0))</f>
        <v>195.8</v>
      </c>
      <c r="X244" s="6">
        <f>IF(ISERROR(VLOOKUP($U$244,'TAR FIN'!$A$1:$O$103,15,0)),0,VLOOKUP($U$244,'TAR FIN'!$A$1:$O$103,15,0))</f>
        <v>288.89999999999998</v>
      </c>
      <c r="Y244" s="6"/>
      <c r="Z244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4" s="6">
        <f>('TE BE'!$AB$18+'TE BF'!$AB$18+'TE CVA'!$AB$18)*(1-CUSTOS!$M$37)</f>
        <v>272.03825149820085</v>
      </c>
      <c r="AB244" s="6">
        <f t="shared" si="16"/>
        <v>0</v>
      </c>
      <c r="AC244" s="6">
        <f>(L244-M244)*(W244+X244)+($W$232+$X$232-$W$244-$X$244)*(L244)</f>
        <v>0</v>
      </c>
      <c r="AD244" s="6">
        <f t="shared" si="17"/>
        <v>0</v>
      </c>
      <c r="AE244" s="6">
        <f ca="1">(L244-M244)*(Z244+AA244)+($Z$232+$AA$232-$Z$244-$AA$244)*(L244)</f>
        <v>-1.4774172996112611E-12</v>
      </c>
      <c r="AF244" s="4" t="s">
        <v>780</v>
      </c>
    </row>
    <row r="245" spans="1:32" ht="11.25" customHeight="1" x14ac:dyDescent="0.25">
      <c r="A245" s="4" t="s">
        <v>27</v>
      </c>
      <c r="B245" s="4" t="s">
        <v>22</v>
      </c>
      <c r="C245" s="4" t="s">
        <v>23</v>
      </c>
      <c r="D245" s="4" t="s">
        <v>24</v>
      </c>
      <c r="E245" s="4" t="s">
        <v>32</v>
      </c>
      <c r="F245" s="4" t="s">
        <v>25</v>
      </c>
      <c r="G245" s="4" t="s">
        <v>25</v>
      </c>
      <c r="H245" s="4" t="s">
        <v>25</v>
      </c>
      <c r="I245" s="5">
        <v>44531</v>
      </c>
      <c r="J245" s="6">
        <v>0</v>
      </c>
      <c r="K245" s="6">
        <v>0</v>
      </c>
      <c r="L245" s="6">
        <v>-7.0000000000000001E-3</v>
      </c>
      <c r="M245" s="6">
        <v>-7.0000000000000001E-3</v>
      </c>
      <c r="N245" s="6">
        <v>-7.0000000000000001E-3</v>
      </c>
      <c r="O245" s="6">
        <v>-7.0000000000000001E-3</v>
      </c>
      <c r="P245" s="6">
        <v>0</v>
      </c>
      <c r="Q245" s="4" t="s">
        <v>26</v>
      </c>
      <c r="R245" s="4">
        <v>0</v>
      </c>
      <c r="S245" s="4">
        <v>0</v>
      </c>
      <c r="T245" s="4">
        <v>34</v>
      </c>
      <c r="U245" s="4">
        <v>75</v>
      </c>
      <c r="V245" s="6">
        <f>IF(ISERROR(VLOOKUP($S$245,'TAR FIN'!$A$1:$O$103,15,0)),0,VLOOKUP($S$245,'TAR FIN'!$A$1:$O$103,15,0))</f>
        <v>0</v>
      </c>
      <c r="W245" s="6">
        <f>IF(ISERROR(VLOOKUP($T$245,'TAR FIN'!$A$1:$O$103,15,0)),0,VLOOKUP($T$245,'TAR FIN'!$A$1:$O$103,15,0))</f>
        <v>195.8</v>
      </c>
      <c r="X245" s="6">
        <f>IF(ISERROR(VLOOKUP($U$245,'TAR FIN'!$A$1:$O$103,15,0)),0,VLOOKUP($U$245,'TAR FIN'!$A$1:$O$103,15,0))</f>
        <v>288.89999999999998</v>
      </c>
      <c r="Y245" s="6"/>
      <c r="Z245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5" s="6">
        <f>('TE BE'!$AB$18+'TE BF'!$AB$18+'TE CVA'!$AB$18)*(1-CUSTOS!$M$37)</f>
        <v>272.03825149820085</v>
      </c>
      <c r="AB245" s="6">
        <f t="shared" si="16"/>
        <v>0</v>
      </c>
      <c r="AC245" s="6">
        <f>(L245-M245)*(W245+X245)+($W$232+$X$232-$W$245-$X$245)*(L245)</f>
        <v>0</v>
      </c>
      <c r="AD245" s="6">
        <f t="shared" si="17"/>
        <v>0</v>
      </c>
      <c r="AE245" s="6">
        <f ca="1">(L245-M245)*(Z245+AA245)+($Z$232+$AA$232-$Z$245-$AA$245)*(L245)</f>
        <v>3.9790393202565611E-16</v>
      </c>
      <c r="AF245" s="4" t="s">
        <v>780</v>
      </c>
    </row>
    <row r="246" spans="1:32" ht="11.25" customHeight="1" x14ac:dyDescent="0.25">
      <c r="A246" s="4" t="s">
        <v>21</v>
      </c>
      <c r="B246" s="4" t="s">
        <v>22</v>
      </c>
      <c r="C246" s="4" t="s">
        <v>23</v>
      </c>
      <c r="D246" s="4" t="s">
        <v>24</v>
      </c>
      <c r="E246" s="4" t="s">
        <v>32</v>
      </c>
      <c r="F246" s="4" t="s">
        <v>25</v>
      </c>
      <c r="G246" s="4" t="s">
        <v>25</v>
      </c>
      <c r="H246" s="4" t="s">
        <v>25</v>
      </c>
      <c r="I246" s="5">
        <v>44562</v>
      </c>
      <c r="J246" s="6">
        <v>0</v>
      </c>
      <c r="K246" s="6">
        <v>0</v>
      </c>
      <c r="L246" s="6">
        <v>30.13</v>
      </c>
      <c r="M246" s="6">
        <v>30.13</v>
      </c>
      <c r="N246" s="6">
        <v>30.13</v>
      </c>
      <c r="O246" s="6">
        <v>30.13</v>
      </c>
      <c r="P246" s="6">
        <v>440</v>
      </c>
      <c r="Q246" s="4" t="s">
        <v>26</v>
      </c>
      <c r="R246" s="4">
        <v>0</v>
      </c>
      <c r="S246" s="4">
        <v>0</v>
      </c>
      <c r="T246" s="4">
        <v>34</v>
      </c>
      <c r="U246" s="4">
        <v>75</v>
      </c>
      <c r="V246" s="6">
        <f>IF(ISERROR(VLOOKUP($S$246,'TAR FIN'!$A$1:$O$103,15,0)),0,VLOOKUP($S$246,'TAR FIN'!$A$1:$O$103,15,0))</f>
        <v>0</v>
      </c>
      <c r="W246" s="6">
        <f>IF(ISERROR(VLOOKUP($T$246,'TAR FIN'!$A$1:$O$103,15,0)),0,VLOOKUP($T$246,'TAR FIN'!$A$1:$O$103,15,0))</f>
        <v>195.8</v>
      </c>
      <c r="X246" s="6">
        <f>IF(ISERROR(VLOOKUP($U$246,'TAR FIN'!$A$1:$O$103,15,0)),0,VLOOKUP($U$246,'TAR FIN'!$A$1:$O$103,15,0))</f>
        <v>288.89999999999998</v>
      </c>
      <c r="Y246" s="6"/>
      <c r="Z246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6" s="6">
        <f>('TE BE'!$AB$18+'TE BF'!$AB$18+'TE CVA'!$AB$18)*(1-CUSTOS!$M$37)</f>
        <v>272.03825149820085</v>
      </c>
      <c r="AB246" s="6">
        <f t="shared" si="16"/>
        <v>0</v>
      </c>
      <c r="AC246" s="6">
        <f>(L246-M246)*(W246+X246)+($W$232+$X$232-$W$246-$X$246)*(L246)</f>
        <v>0</v>
      </c>
      <c r="AD246" s="6">
        <f t="shared" si="17"/>
        <v>0</v>
      </c>
      <c r="AE246" s="6">
        <f ca="1">(L246-M246)*(Z246+AA246)+($Z$232+$AA$232-$Z$246-$AA$246)*(L246)</f>
        <v>-1.7126922102761454E-12</v>
      </c>
      <c r="AF246" s="4" t="s">
        <v>780</v>
      </c>
    </row>
    <row r="247" spans="1:32" ht="11.25" customHeight="1" x14ac:dyDescent="0.25">
      <c r="A247" s="4" t="s">
        <v>27</v>
      </c>
      <c r="B247" s="4" t="s">
        <v>22</v>
      </c>
      <c r="C247" s="4" t="s">
        <v>23</v>
      </c>
      <c r="D247" s="4" t="s">
        <v>24</v>
      </c>
      <c r="E247" s="4" t="s">
        <v>32</v>
      </c>
      <c r="F247" s="4" t="s">
        <v>25</v>
      </c>
      <c r="G247" s="4" t="s">
        <v>25</v>
      </c>
      <c r="H247" s="4" t="s">
        <v>25</v>
      </c>
      <c r="I247" s="5">
        <v>44562</v>
      </c>
      <c r="J247" s="6">
        <v>0</v>
      </c>
      <c r="K247" s="6">
        <v>0</v>
      </c>
      <c r="L247" s="6">
        <v>-0.183</v>
      </c>
      <c r="M247" s="6">
        <v>-0.183</v>
      </c>
      <c r="N247" s="6">
        <v>-0.183</v>
      </c>
      <c r="O247" s="6">
        <v>-0.183</v>
      </c>
      <c r="P247" s="6">
        <v>0</v>
      </c>
      <c r="Q247" s="4" t="s">
        <v>26</v>
      </c>
      <c r="R247" s="4">
        <v>0</v>
      </c>
      <c r="S247" s="4">
        <v>0</v>
      </c>
      <c r="T247" s="4">
        <v>34</v>
      </c>
      <c r="U247" s="4">
        <v>75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195.8</v>
      </c>
      <c r="X247" s="6">
        <f>IF(ISERROR(VLOOKUP($U$247,'TAR FIN'!$A$1:$O$103,15,0)),0,VLOOKUP($U$247,'TAR FIN'!$A$1:$O$103,15,0))</f>
        <v>288.89999999999998</v>
      </c>
      <c r="Y247" s="6"/>
      <c r="Z247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7" s="6">
        <f>('TE BE'!$AB$18+'TE BF'!$AB$18+'TE CVA'!$AB$18)*(1-CUSTOS!$M$37)</f>
        <v>272.03825149820085</v>
      </c>
      <c r="AB247" s="6">
        <f t="shared" si="16"/>
        <v>0</v>
      </c>
      <c r="AC247" s="6">
        <f>(L247-M247)*(W247+X247)+($W$232+$X$232-$W$247-$X$247)*(L247)</f>
        <v>0</v>
      </c>
      <c r="AD247" s="6">
        <f t="shared" si="17"/>
        <v>0</v>
      </c>
      <c r="AE247" s="6">
        <f ca="1">(L247-M247)*(Z247+AA247)+($Z$232+$AA$232-$Z$247-$AA$247)*(L247)</f>
        <v>1.0402345651527866E-14</v>
      </c>
      <c r="AF247" s="4" t="s">
        <v>780</v>
      </c>
    </row>
    <row r="248" spans="1:32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32</v>
      </c>
      <c r="F248" s="4" t="s">
        <v>25</v>
      </c>
      <c r="G248" s="4" t="s">
        <v>25</v>
      </c>
      <c r="H248" s="4" t="s">
        <v>25</v>
      </c>
      <c r="I248" s="5">
        <v>44593</v>
      </c>
      <c r="J248" s="6">
        <v>0</v>
      </c>
      <c r="K248" s="6">
        <v>0</v>
      </c>
      <c r="L248" s="6">
        <v>41.759</v>
      </c>
      <c r="M248" s="6">
        <v>41.759</v>
      </c>
      <c r="N248" s="6">
        <v>41.759</v>
      </c>
      <c r="O248" s="6">
        <v>41.759</v>
      </c>
      <c r="P248" s="6">
        <v>578</v>
      </c>
      <c r="Q248" s="4" t="s">
        <v>26</v>
      </c>
      <c r="R248" s="4">
        <v>0</v>
      </c>
      <c r="S248" s="4">
        <v>0</v>
      </c>
      <c r="T248" s="4">
        <v>34</v>
      </c>
      <c r="U248" s="4">
        <v>75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195.8</v>
      </c>
      <c r="X248" s="6">
        <f>IF(ISERROR(VLOOKUP($U$248,'TAR FIN'!$A$1:$O$103,15,0)),0,VLOOKUP($U$248,'TAR FIN'!$A$1:$O$103,15,0))</f>
        <v>288.89999999999998</v>
      </c>
      <c r="Y248" s="6"/>
      <c r="Z248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8" s="6">
        <f>('TE BE'!$AB$18+'TE BF'!$AB$18+'TE CVA'!$AB$18)*(1-CUSTOS!$M$37)</f>
        <v>272.03825149820085</v>
      </c>
      <c r="AB248" s="6">
        <f t="shared" si="16"/>
        <v>0</v>
      </c>
      <c r="AC248" s="6">
        <f>(L248-M248)*(W248+X248)+($W$232+$X$232-$W$248-$X$248)*(L248)</f>
        <v>0</v>
      </c>
      <c r="AD248" s="6">
        <f t="shared" si="17"/>
        <v>0</v>
      </c>
      <c r="AE248" s="6">
        <f ca="1">(L248-M248)*(Z248+AA248)+($Z$232+$AA$232-$Z$248-$AA$248)*(L248)</f>
        <v>-2.3737243282084819E-12</v>
      </c>
      <c r="AF248" s="4" t="s">
        <v>780</v>
      </c>
    </row>
    <row r="249" spans="1:32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32</v>
      </c>
      <c r="F249" s="4" t="s">
        <v>25</v>
      </c>
      <c r="G249" s="4" t="s">
        <v>25</v>
      </c>
      <c r="H249" s="4" t="s">
        <v>25</v>
      </c>
      <c r="I249" s="5">
        <v>44621</v>
      </c>
      <c r="J249" s="6">
        <v>0</v>
      </c>
      <c r="K249" s="6">
        <v>0</v>
      </c>
      <c r="L249" s="6">
        <v>43.734999999999999</v>
      </c>
      <c r="M249" s="6">
        <v>43.734999999999999</v>
      </c>
      <c r="N249" s="6">
        <v>43.734999999999999</v>
      </c>
      <c r="O249" s="6">
        <v>43.734999999999999</v>
      </c>
      <c r="P249" s="6">
        <v>572</v>
      </c>
      <c r="Q249" s="4" t="s">
        <v>26</v>
      </c>
      <c r="R249" s="4">
        <v>0</v>
      </c>
      <c r="S249" s="4">
        <v>0</v>
      </c>
      <c r="T249" s="4">
        <v>34</v>
      </c>
      <c r="U249" s="4">
        <v>75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195.8</v>
      </c>
      <c r="X249" s="6">
        <f>IF(ISERROR(VLOOKUP($U$249,'TAR FIN'!$A$1:$O$103,15,0)),0,VLOOKUP($U$249,'TAR FIN'!$A$1:$O$103,15,0))</f>
        <v>288.89999999999998</v>
      </c>
      <c r="Y249" s="6"/>
      <c r="Z249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49" s="6">
        <f>('TE BE'!$AB$18+'TE BF'!$AB$18+'TE CVA'!$AB$18)*(1-CUSTOS!$M$37)</f>
        <v>272.03825149820085</v>
      </c>
      <c r="AB249" s="6">
        <f t="shared" si="16"/>
        <v>0</v>
      </c>
      <c r="AC249" s="6">
        <f>(L249-M249)*(W249+X249)+($W$232+$X$232-$W$249-$X$249)*(L249)</f>
        <v>0</v>
      </c>
      <c r="AD249" s="6">
        <f t="shared" si="17"/>
        <v>0</v>
      </c>
      <c r="AE249" s="6">
        <f ca="1">(L249-M249)*(Z249+AA249)+($Z$232+$AA$232-$Z$249-$AA$249)*(L249)</f>
        <v>-2.4860469238774385E-12</v>
      </c>
      <c r="AF249" s="4" t="s">
        <v>780</v>
      </c>
    </row>
    <row r="250" spans="1:32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32</v>
      </c>
      <c r="F250" s="4" t="s">
        <v>25</v>
      </c>
      <c r="G250" s="4" t="s">
        <v>25</v>
      </c>
      <c r="H250" s="4" t="s">
        <v>25</v>
      </c>
      <c r="I250" s="5">
        <v>44652</v>
      </c>
      <c r="J250" s="6">
        <v>0</v>
      </c>
      <c r="K250" s="6">
        <v>0</v>
      </c>
      <c r="L250" s="6">
        <v>34.807000000000002</v>
      </c>
      <c r="M250" s="6">
        <v>34.807000000000002</v>
      </c>
      <c r="N250" s="6">
        <v>34.807000000000002</v>
      </c>
      <c r="O250" s="6">
        <v>34.807000000000002</v>
      </c>
      <c r="P250" s="6">
        <v>514</v>
      </c>
      <c r="Q250" s="4" t="s">
        <v>26</v>
      </c>
      <c r="R250" s="4">
        <v>0</v>
      </c>
      <c r="S250" s="4">
        <v>0</v>
      </c>
      <c r="T250" s="4">
        <v>34</v>
      </c>
      <c r="U250" s="4">
        <v>75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195.8</v>
      </c>
      <c r="X250" s="6">
        <f>IF(ISERROR(VLOOKUP($U$250,'TAR FIN'!$A$1:$O$103,15,0)),0,VLOOKUP($U$250,'TAR FIN'!$A$1:$O$103,15,0))</f>
        <v>288.89999999999998</v>
      </c>
      <c r="Y250" s="6"/>
      <c r="Z250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50" s="6">
        <f>('TE BE'!$AB$18+'TE BF'!$AB$18+'TE CVA'!$AB$18)*(1-CUSTOS!$M$37)</f>
        <v>272.03825149820085</v>
      </c>
      <c r="AB250" s="6">
        <f t="shared" si="16"/>
        <v>0</v>
      </c>
      <c r="AC250" s="6">
        <f>(L250-M250)*(W250+X250)+($W$232+$X$232-$W$250-$X$250)*(L250)</f>
        <v>0</v>
      </c>
      <c r="AD250" s="6">
        <f t="shared" si="17"/>
        <v>0</v>
      </c>
      <c r="AE250" s="6">
        <f ca="1">(L250-M250)*(Z250+AA250)+($Z$232+$AA$232-$Z$250-$AA$250)*(L250)</f>
        <v>-1.9785488802881447E-12</v>
      </c>
      <c r="AF250" s="4" t="s">
        <v>780</v>
      </c>
    </row>
    <row r="251" spans="1:32" ht="11.25" customHeight="1" x14ac:dyDescent="0.25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32</v>
      </c>
      <c r="F251" s="4" t="s">
        <v>25</v>
      </c>
      <c r="G251" s="4" t="s">
        <v>25</v>
      </c>
      <c r="H251" s="4" t="s">
        <v>25</v>
      </c>
      <c r="I251" s="5">
        <v>44682</v>
      </c>
      <c r="J251" s="6">
        <v>0</v>
      </c>
      <c r="K251" s="6">
        <v>0</v>
      </c>
      <c r="L251" s="6">
        <v>37.749000000000002</v>
      </c>
      <c r="M251" s="6">
        <v>37.749000000000002</v>
      </c>
      <c r="N251" s="6">
        <v>37.749000000000002</v>
      </c>
      <c r="O251" s="6">
        <v>37.749000000000002</v>
      </c>
      <c r="P251" s="6">
        <v>540</v>
      </c>
      <c r="Q251" s="4" t="s">
        <v>26</v>
      </c>
      <c r="R251" s="4">
        <v>0</v>
      </c>
      <c r="S251" s="4">
        <v>0</v>
      </c>
      <c r="T251" s="4">
        <v>34</v>
      </c>
      <c r="U251" s="4">
        <v>75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195.8</v>
      </c>
      <c r="X251" s="6">
        <f>IF(ISERROR(VLOOKUP($U$251,'TAR FIN'!$A$1:$O$103,15,0)),0,VLOOKUP($U$251,'TAR FIN'!$A$1:$O$103,15,0))</f>
        <v>288.89999999999998</v>
      </c>
      <c r="Y251" s="6"/>
      <c r="Z251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51" s="6">
        <f>('TE BE'!$AB$18+'TE BF'!$AB$18+'TE CVA'!$AB$18)*(1-CUSTOS!$M$37)</f>
        <v>272.03825149820085</v>
      </c>
      <c r="AB251" s="6">
        <f t="shared" si="16"/>
        <v>0</v>
      </c>
      <c r="AC251" s="6">
        <f>(L251-M251)*(W251+X251)+($W$232+$X$232-$W$251-$X$251)*(L251)</f>
        <v>0</v>
      </c>
      <c r="AD251" s="6">
        <f t="shared" si="17"/>
        <v>0</v>
      </c>
      <c r="AE251" s="6">
        <f ca="1">(L251-M251)*(Z251+AA251)+($Z$232+$AA$232-$Z$251-$AA$251)*(L251)</f>
        <v>-2.1457822185766419E-12</v>
      </c>
      <c r="AF251" s="4" t="s">
        <v>780</v>
      </c>
    </row>
    <row r="252" spans="1:32" ht="11.25" customHeight="1" x14ac:dyDescent="0.25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32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0</v>
      </c>
      <c r="K252" s="6">
        <v>0</v>
      </c>
      <c r="L252" s="6">
        <v>-0.39300000000000002</v>
      </c>
      <c r="M252" s="6">
        <v>-0.39300000000000002</v>
      </c>
      <c r="N252" s="6">
        <v>-0.39300000000000002</v>
      </c>
      <c r="O252" s="6">
        <v>-0.39300000000000002</v>
      </c>
      <c r="P252" s="6">
        <v>0</v>
      </c>
      <c r="Q252" s="4" t="s">
        <v>26</v>
      </c>
      <c r="R252" s="4">
        <v>0</v>
      </c>
      <c r="S252" s="4">
        <v>0</v>
      </c>
      <c r="T252" s="4">
        <v>34</v>
      </c>
      <c r="U252" s="4">
        <v>75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195.8</v>
      </c>
      <c r="X252" s="6">
        <f>IF(ISERROR(VLOOKUP($U$252,'TAR FIN'!$A$1:$O$103,15,0)),0,VLOOKUP($U$252,'TAR FIN'!$A$1:$O$103,15,0))</f>
        <v>288.89999999999998</v>
      </c>
      <c r="Y252" s="6"/>
      <c r="Z252" s="6">
        <f ca="1">('TUSD BE'!$AM$34+'TUSD BF'!$AM$34+'TUSD CVA'!$AM$34-('TUSD BE'!$P$34+'TUSD BF'!$P$34+'TUSD CVA'!$P$34)-('TUSD BE'!$Q$34+'TUSD BF'!$Q$34+'TUSD CVA'!$Q$34)-('TUSD BE'!$R$34+'TUSD BF'!$R$34+'TUSD CVA'!$R$34))*(1-CUSTOS!$M$37)</f>
        <v>242.02030352166227</v>
      </c>
      <c r="AA252" s="6">
        <f>('TE BE'!$AB$18+'TE BF'!$AB$18+'TE CVA'!$AB$18)*(1-CUSTOS!$M$37)</f>
        <v>272.03825149820085</v>
      </c>
      <c r="AB252" s="6">
        <f t="shared" si="16"/>
        <v>0</v>
      </c>
      <c r="AC252" s="6">
        <f>(L252-M252)*(W252+X252)+($W$232+$X$232-$W$252-$X$252)*(L252)</f>
        <v>0</v>
      </c>
      <c r="AD252" s="6">
        <f t="shared" si="17"/>
        <v>0</v>
      </c>
      <c r="AE252" s="6">
        <f ca="1">(L252-M252)*(Z252+AA252)+($Z$232+$AA$232-$Z$252-$AA$252)*(L252)</f>
        <v>2.2339463612297551E-14</v>
      </c>
      <c r="AF252" s="4" t="s">
        <v>780</v>
      </c>
    </row>
    <row r="253" spans="1:32" ht="11.25" customHeight="1" x14ac:dyDescent="0.25">
      <c r="A253" s="4" t="s">
        <v>21</v>
      </c>
      <c r="B253" s="4" t="s">
        <v>44</v>
      </c>
      <c r="C253" s="4" t="s">
        <v>23</v>
      </c>
      <c r="D253" s="4" t="s">
        <v>45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44348</v>
      </c>
      <c r="J253" s="6">
        <v>0</v>
      </c>
      <c r="K253" s="6">
        <v>0</v>
      </c>
      <c r="L253" s="6">
        <v>538.70600000000002</v>
      </c>
      <c r="M253" s="6">
        <v>538.70600000000002</v>
      </c>
      <c r="N253" s="6">
        <v>538.70600000000002</v>
      </c>
      <c r="O253" s="6">
        <v>538.70600000000002</v>
      </c>
      <c r="P253" s="6">
        <v>1770</v>
      </c>
      <c r="Q253" s="4" t="s">
        <v>26</v>
      </c>
      <c r="R253" s="4">
        <v>0</v>
      </c>
      <c r="S253" s="4">
        <v>0</v>
      </c>
      <c r="T253" s="4">
        <v>43</v>
      </c>
      <c r="U253" s="4">
        <v>84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237.52</v>
      </c>
      <c r="X253" s="6">
        <f>IF(ISERROR(VLOOKUP($U$253,'TAR FIN'!$A$1:$O$103,15,0)),0,VLOOKUP($U$253,'TAR FIN'!$A$1:$O$103,15,0))</f>
        <v>254.23</v>
      </c>
      <c r="Y253" s="6"/>
      <c r="Z253" s="6">
        <f ca="1">('TUSD BE'!$AM$43+'TUSD BF'!$AM$43+'TUSD CVA'!$AM$43)*(1-CUSTOS!$M$38)</f>
        <v>340.73849544844359</v>
      </c>
      <c r="AA253" s="6">
        <f>('TE BE'!$AB$27+'TE BF'!$AB$27+'TE CVA'!$AB$27)*(1-CUSTOS!$M$38)</f>
        <v>255.71595640830878</v>
      </c>
      <c r="AB253" s="6">
        <f t="shared" si="16"/>
        <v>0</v>
      </c>
      <c r="AC253" s="6">
        <f>(L253-M253)*(W253+X253)+($W$176+$X$176-$W$253-$X$253)*(L253)</f>
        <v>36125.624359999987</v>
      </c>
      <c r="AD253" s="6">
        <f t="shared" si="17"/>
        <v>0</v>
      </c>
      <c r="AE253" s="6">
        <f ca="1">(L253-M253)*(Z253+AA253)+($Z$176+$AA$176-$Z$253-$AA$253)*(L253)</f>
        <v>20509.378209060211</v>
      </c>
      <c r="AF253" s="4" t="s">
        <v>779</v>
      </c>
    </row>
    <row r="254" spans="1:32" ht="11.25" customHeight="1" x14ac:dyDescent="0.25">
      <c r="A254" s="4" t="s">
        <v>27</v>
      </c>
      <c r="B254" s="4" t="s">
        <v>44</v>
      </c>
      <c r="C254" s="4" t="s">
        <v>23</v>
      </c>
      <c r="D254" s="4" t="s">
        <v>45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44348</v>
      </c>
      <c r="J254" s="6">
        <v>0</v>
      </c>
      <c r="K254" s="6">
        <v>0</v>
      </c>
      <c r="L254" s="6">
        <v>0.57799999999999996</v>
      </c>
      <c r="M254" s="6">
        <v>0.57799999999999996</v>
      </c>
      <c r="N254" s="6">
        <v>0.57799999999999996</v>
      </c>
      <c r="O254" s="6">
        <v>0.57799999999999996</v>
      </c>
      <c r="P254" s="6">
        <v>0</v>
      </c>
      <c r="Q254" s="4" t="s">
        <v>26</v>
      </c>
      <c r="R254" s="4">
        <v>0</v>
      </c>
      <c r="S254" s="4">
        <v>0</v>
      </c>
      <c r="T254" s="4">
        <v>43</v>
      </c>
      <c r="U254" s="4">
        <v>84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237.52</v>
      </c>
      <c r="X254" s="6">
        <f>IF(ISERROR(VLOOKUP($U$254,'TAR FIN'!$A$1:$O$103,15,0)),0,VLOOKUP($U$254,'TAR FIN'!$A$1:$O$103,15,0))</f>
        <v>254.23</v>
      </c>
      <c r="Y254" s="6"/>
      <c r="Z254" s="6">
        <f ca="1">('TUSD BE'!$AM$43+'TUSD BF'!$AM$43+'TUSD CVA'!$AM$43)*(1-CUSTOS!$M$38)</f>
        <v>340.73849544844359</v>
      </c>
      <c r="AA254" s="6">
        <f>('TE BE'!$AB$27+'TE BF'!$AB$27+'TE CVA'!$AB$27)*(1-CUSTOS!$M$38)</f>
        <v>255.71595640830878</v>
      </c>
      <c r="AB254" s="6">
        <f t="shared" si="16"/>
        <v>0</v>
      </c>
      <c r="AC254" s="6">
        <f>(L254-M254)*(W254+X254)+($W$176+$X$176-$W$254-$X$254)*(L254)</f>
        <v>38.760679999999979</v>
      </c>
      <c r="AD254" s="6">
        <f t="shared" si="17"/>
        <v>0</v>
      </c>
      <c r="AE254" s="6">
        <f ca="1">(L254-M254)*(Z254+AA254)+($Z$176+$AA$176-$Z$254-$AA$254)*(L254)</f>
        <v>22.005362117438455</v>
      </c>
      <c r="AF254" s="4" t="s">
        <v>779</v>
      </c>
    </row>
    <row r="255" spans="1:32" ht="11.25" customHeight="1" x14ac:dyDescent="0.25">
      <c r="A255" s="4" t="s">
        <v>28</v>
      </c>
      <c r="B255" s="4" t="s">
        <v>44</v>
      </c>
      <c r="C255" s="4" t="s">
        <v>23</v>
      </c>
      <c r="D255" s="4" t="s">
        <v>45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44348</v>
      </c>
      <c r="J255" s="6">
        <v>0</v>
      </c>
      <c r="K255" s="6">
        <v>0</v>
      </c>
      <c r="L255" s="6">
        <v>1.46</v>
      </c>
      <c r="M255" s="6">
        <v>1.46</v>
      </c>
      <c r="N255" s="6">
        <v>1.46</v>
      </c>
      <c r="O255" s="6">
        <v>1.46</v>
      </c>
      <c r="P255" s="6">
        <v>8</v>
      </c>
      <c r="Q255" s="4" t="s">
        <v>26</v>
      </c>
      <c r="R255" s="4">
        <v>0</v>
      </c>
      <c r="S255" s="4">
        <v>0</v>
      </c>
      <c r="T255" s="4">
        <v>43</v>
      </c>
      <c r="U255" s="4">
        <v>84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237.52</v>
      </c>
      <c r="X255" s="6">
        <f>IF(ISERROR(VLOOKUP($U$255,'TAR FIN'!$A$1:$O$103,15,0)),0,VLOOKUP($U$255,'TAR FIN'!$A$1:$O$103,15,0))</f>
        <v>254.23</v>
      </c>
      <c r="Y255" s="6"/>
      <c r="Z255" s="6">
        <f ca="1">('TUSD BE'!$AM$43+'TUSD BF'!$AM$43+'TUSD CVA'!$AM$43)*(1-CUSTOS!$M$38)</f>
        <v>340.73849544844359</v>
      </c>
      <c r="AA255" s="6">
        <f>('TE BE'!$AB$27+'TE BF'!$AB$27+'TE CVA'!$AB$27)*(1-CUSTOS!$M$38)</f>
        <v>255.71595640830878</v>
      </c>
      <c r="AB255" s="6">
        <f t="shared" si="16"/>
        <v>0</v>
      </c>
      <c r="AC255" s="6">
        <f>(L255-M255)*(W255+X255)+($W$176+$X$176-$W$255-$X$255)*(L255)</f>
        <v>97.90759999999996</v>
      </c>
      <c r="AD255" s="6">
        <f t="shared" si="17"/>
        <v>0</v>
      </c>
      <c r="AE255" s="6">
        <f ca="1">(L255-M255)*(Z255+AA255)+($Z$176+$AA$176-$Z$255-$AA$255)*(L255)</f>
        <v>55.584478704948346</v>
      </c>
      <c r="AF255" s="4" t="s">
        <v>779</v>
      </c>
    </row>
    <row r="256" spans="1:32" ht="11.25" customHeight="1" x14ac:dyDescent="0.25">
      <c r="A256" s="4" t="s">
        <v>21</v>
      </c>
      <c r="B256" s="4" t="s">
        <v>44</v>
      </c>
      <c r="C256" s="4" t="s">
        <v>23</v>
      </c>
      <c r="D256" s="4" t="s">
        <v>45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44378</v>
      </c>
      <c r="J256" s="6">
        <v>0</v>
      </c>
      <c r="K256" s="6">
        <v>0</v>
      </c>
      <c r="L256" s="6">
        <v>562.96199999999999</v>
      </c>
      <c r="M256" s="6">
        <v>562.96199999999999</v>
      </c>
      <c r="N256" s="6">
        <v>562.96199999999999</v>
      </c>
      <c r="O256" s="6">
        <v>562.96199999999999</v>
      </c>
      <c r="P256" s="6">
        <v>1772</v>
      </c>
      <c r="Q256" s="4" t="s">
        <v>26</v>
      </c>
      <c r="R256" s="4">
        <v>0</v>
      </c>
      <c r="S256" s="4">
        <v>0</v>
      </c>
      <c r="T256" s="4">
        <v>43</v>
      </c>
      <c r="U256" s="4">
        <v>84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237.52</v>
      </c>
      <c r="X256" s="6">
        <f>IF(ISERROR(VLOOKUP($U$256,'TAR FIN'!$A$1:$O$103,15,0)),0,VLOOKUP($U$256,'TAR FIN'!$A$1:$O$103,15,0))</f>
        <v>254.23</v>
      </c>
      <c r="Y256" s="6"/>
      <c r="Z256" s="6">
        <f ca="1">('TUSD BE'!$AM$43+'TUSD BF'!$AM$43+'TUSD CVA'!$AM$43)*(1-CUSTOS!$M$38)</f>
        <v>340.73849544844359</v>
      </c>
      <c r="AA256" s="6">
        <f>('TE BE'!$AB$27+'TE BF'!$AB$27+'TE CVA'!$AB$27)*(1-CUSTOS!$M$38)</f>
        <v>255.71595640830878</v>
      </c>
      <c r="AB256" s="6">
        <f t="shared" si="16"/>
        <v>0</v>
      </c>
      <c r="AC256" s="6">
        <f>(L256-M256)*(W256+X256)+($W$176+$X$176-$W$256-$X$256)*(L256)</f>
        <v>37752.231719999982</v>
      </c>
      <c r="AD256" s="6">
        <f t="shared" si="17"/>
        <v>0</v>
      </c>
      <c r="AE256" s="6">
        <f ca="1">(L256-M256)*(Z256+AA256)+($Z$176+$AA$176-$Z$256-$AA$256)*(L256)</f>
        <v>21432.841986777486</v>
      </c>
      <c r="AF256" s="4" t="s">
        <v>779</v>
      </c>
    </row>
    <row r="257" spans="1:32" ht="11.25" customHeight="1" x14ac:dyDescent="0.25">
      <c r="A257" s="4" t="s">
        <v>27</v>
      </c>
      <c r="B257" s="4" t="s">
        <v>44</v>
      </c>
      <c r="C257" s="4" t="s">
        <v>23</v>
      </c>
      <c r="D257" s="4" t="s">
        <v>45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44378</v>
      </c>
      <c r="J257" s="6">
        <v>0</v>
      </c>
      <c r="K257" s="6">
        <v>0</v>
      </c>
      <c r="L257" s="6">
        <v>-0.11</v>
      </c>
      <c r="M257" s="6">
        <v>-0.11</v>
      </c>
      <c r="N257" s="6">
        <v>-0.11</v>
      </c>
      <c r="O257" s="6">
        <v>-0.11</v>
      </c>
      <c r="P257" s="6">
        <v>0</v>
      </c>
      <c r="Q257" s="4" t="s">
        <v>26</v>
      </c>
      <c r="R257" s="4">
        <v>0</v>
      </c>
      <c r="S257" s="4">
        <v>0</v>
      </c>
      <c r="T257" s="4">
        <v>43</v>
      </c>
      <c r="U257" s="4">
        <v>84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237.52</v>
      </c>
      <c r="X257" s="6">
        <f>IF(ISERROR(VLOOKUP($U$257,'TAR FIN'!$A$1:$O$103,15,0)),0,VLOOKUP($U$257,'TAR FIN'!$A$1:$O$103,15,0))</f>
        <v>254.23</v>
      </c>
      <c r="Y257" s="6"/>
      <c r="Z257" s="6">
        <f ca="1">('TUSD BE'!$AM$43+'TUSD BF'!$AM$43+'TUSD CVA'!$AM$43)*(1-CUSTOS!$M$38)</f>
        <v>340.73849544844359</v>
      </c>
      <c r="AA257" s="6">
        <f>('TE BE'!$AB$27+'TE BF'!$AB$27+'TE CVA'!$AB$27)*(1-CUSTOS!$M$38)</f>
        <v>255.71595640830878</v>
      </c>
      <c r="AB257" s="6">
        <f t="shared" si="16"/>
        <v>0</v>
      </c>
      <c r="AC257" s="6">
        <f>(L257-M257)*(W257+X257)+($W$176+$X$176-$W$257-$X$257)*(L257)</f>
        <v>-7.3765999999999972</v>
      </c>
      <c r="AD257" s="6">
        <f t="shared" si="17"/>
        <v>0</v>
      </c>
      <c r="AE257" s="6">
        <f ca="1">(L257-M257)*(Z257+AA257)+($Z$176+$AA$176-$Z$257-$AA$257)*(L257)</f>
        <v>-4.1878716832495329</v>
      </c>
      <c r="AF257" s="4" t="s">
        <v>779</v>
      </c>
    </row>
    <row r="258" spans="1:32" ht="11.25" customHeight="1" x14ac:dyDescent="0.25">
      <c r="A258" s="4" t="s">
        <v>28</v>
      </c>
      <c r="B258" s="4" t="s">
        <v>44</v>
      </c>
      <c r="C258" s="4" t="s">
        <v>23</v>
      </c>
      <c r="D258" s="4" t="s">
        <v>45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44378</v>
      </c>
      <c r="J258" s="6">
        <v>0</v>
      </c>
      <c r="K258" s="6">
        <v>0</v>
      </c>
      <c r="L258" s="6">
        <v>0.84199999999999997</v>
      </c>
      <c r="M258" s="6">
        <v>0.84199999999999997</v>
      </c>
      <c r="N258" s="6">
        <v>0.84199999999999997</v>
      </c>
      <c r="O258" s="6">
        <v>0.84199999999999997</v>
      </c>
      <c r="P258" s="6">
        <v>7</v>
      </c>
      <c r="Q258" s="4" t="s">
        <v>26</v>
      </c>
      <c r="R258" s="4">
        <v>0</v>
      </c>
      <c r="S258" s="4">
        <v>0</v>
      </c>
      <c r="T258" s="4">
        <v>43</v>
      </c>
      <c r="U258" s="4">
        <v>84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237.52</v>
      </c>
      <c r="X258" s="6">
        <f>IF(ISERROR(VLOOKUP($U$258,'TAR FIN'!$A$1:$O$103,15,0)),0,VLOOKUP($U$258,'TAR FIN'!$A$1:$O$103,15,0))</f>
        <v>254.23</v>
      </c>
      <c r="Y258" s="6"/>
      <c r="Z258" s="6">
        <f ca="1">('TUSD BE'!$AM$43+'TUSD BF'!$AM$43+'TUSD CVA'!$AM$43)*(1-CUSTOS!$M$38)</f>
        <v>340.73849544844359</v>
      </c>
      <c r="AA258" s="6">
        <f>('TE BE'!$AB$27+'TE BF'!$AB$27+'TE CVA'!$AB$27)*(1-CUSTOS!$M$38)</f>
        <v>255.71595640830878</v>
      </c>
      <c r="AB258" s="6">
        <f t="shared" ref="AB258:AB284" si="18">(J258-K258)*V258</f>
        <v>0</v>
      </c>
      <c r="AC258" s="6">
        <f>(L258-M258)*(W258+X258)+($W$176+$X$176-$W$258-$X$258)*(L258)</f>
        <v>56.464519999999979</v>
      </c>
      <c r="AD258" s="6">
        <f t="shared" ref="AD258:AD284" si="19">(J258-K258)*Y258</f>
        <v>0</v>
      </c>
      <c r="AE258" s="6">
        <f ca="1">(L258-M258)*(Z258+AA258)+($Z$176+$AA$176-$Z$258-$AA$258)*(L258)</f>
        <v>32.056254157237333</v>
      </c>
      <c r="AF258" s="4" t="s">
        <v>779</v>
      </c>
    </row>
    <row r="259" spans="1:32" ht="11.25" customHeight="1" x14ac:dyDescent="0.25">
      <c r="A259" s="4" t="s">
        <v>21</v>
      </c>
      <c r="B259" s="4" t="s">
        <v>44</v>
      </c>
      <c r="C259" s="4" t="s">
        <v>23</v>
      </c>
      <c r="D259" s="4" t="s">
        <v>45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44409</v>
      </c>
      <c r="J259" s="6">
        <v>0</v>
      </c>
      <c r="K259" s="6">
        <v>0</v>
      </c>
      <c r="L259" s="6">
        <v>539.01599999999996</v>
      </c>
      <c r="M259" s="6">
        <v>539.01599999999996</v>
      </c>
      <c r="N259" s="6">
        <v>539.01599999999996</v>
      </c>
      <c r="O259" s="6">
        <v>539.01599999999996</v>
      </c>
      <c r="P259" s="6">
        <v>1770</v>
      </c>
      <c r="Q259" s="4" t="s">
        <v>26</v>
      </c>
      <c r="R259" s="4">
        <v>0</v>
      </c>
      <c r="S259" s="4">
        <v>0</v>
      </c>
      <c r="T259" s="4">
        <v>43</v>
      </c>
      <c r="U259" s="4">
        <v>84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237.52</v>
      </c>
      <c r="X259" s="6">
        <f>IF(ISERROR(VLOOKUP($U$259,'TAR FIN'!$A$1:$O$103,15,0)),0,VLOOKUP($U$259,'TAR FIN'!$A$1:$O$103,15,0))</f>
        <v>254.23</v>
      </c>
      <c r="Y259" s="6"/>
      <c r="Z259" s="6">
        <f ca="1">('TUSD BE'!$AM$43+'TUSD BF'!$AM$43+'TUSD CVA'!$AM$43)*(1-CUSTOS!$M$38)</f>
        <v>340.73849544844359</v>
      </c>
      <c r="AA259" s="6">
        <f>('TE BE'!$AB$27+'TE BF'!$AB$27+'TE CVA'!$AB$27)*(1-CUSTOS!$M$38)</f>
        <v>255.71595640830878</v>
      </c>
      <c r="AB259" s="6">
        <f t="shared" si="18"/>
        <v>0</v>
      </c>
      <c r="AC259" s="6">
        <f>(L259-M259)*(W259+X259)+($W$176+$X$176-$W$259-$X$259)*(L259)</f>
        <v>36146.412959999987</v>
      </c>
      <c r="AD259" s="6">
        <f t="shared" si="19"/>
        <v>0</v>
      </c>
      <c r="AE259" s="6">
        <f ca="1">(L259-M259)*(Z259+AA259)+($Z$176+$AA$176-$Z$259-$AA$259)*(L259)</f>
        <v>20521.180392894821</v>
      </c>
      <c r="AF259" s="4" t="s">
        <v>779</v>
      </c>
    </row>
    <row r="260" spans="1:32" ht="11.25" customHeight="1" x14ac:dyDescent="0.25">
      <c r="A260" s="4" t="s">
        <v>27</v>
      </c>
      <c r="B260" s="4" t="s">
        <v>44</v>
      </c>
      <c r="C260" s="4" t="s">
        <v>23</v>
      </c>
      <c r="D260" s="4" t="s">
        <v>45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44409</v>
      </c>
      <c r="J260" s="6">
        <v>0</v>
      </c>
      <c r="K260" s="6">
        <v>0</v>
      </c>
      <c r="L260" s="6">
        <v>0.09</v>
      </c>
      <c r="M260" s="6">
        <v>0.09</v>
      </c>
      <c r="N260" s="6">
        <v>0.09</v>
      </c>
      <c r="O260" s="6">
        <v>0.09</v>
      </c>
      <c r="P260" s="6">
        <v>0</v>
      </c>
      <c r="Q260" s="4" t="s">
        <v>26</v>
      </c>
      <c r="R260" s="4">
        <v>0</v>
      </c>
      <c r="S260" s="4">
        <v>0</v>
      </c>
      <c r="T260" s="4">
        <v>43</v>
      </c>
      <c r="U260" s="4">
        <v>84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237.52</v>
      </c>
      <c r="X260" s="6">
        <f>IF(ISERROR(VLOOKUP($U$260,'TAR FIN'!$A$1:$O$103,15,0)),0,VLOOKUP($U$260,'TAR FIN'!$A$1:$O$103,15,0))</f>
        <v>254.23</v>
      </c>
      <c r="Y260" s="6"/>
      <c r="Z260" s="6">
        <f ca="1">('TUSD BE'!$AM$43+'TUSD BF'!$AM$43+'TUSD CVA'!$AM$43)*(1-CUSTOS!$M$38)</f>
        <v>340.73849544844359</v>
      </c>
      <c r="AA260" s="6">
        <f>('TE BE'!$AB$27+'TE BF'!$AB$27+'TE CVA'!$AB$27)*(1-CUSTOS!$M$38)</f>
        <v>255.71595640830878</v>
      </c>
      <c r="AB260" s="6">
        <f t="shared" si="18"/>
        <v>0</v>
      </c>
      <c r="AC260" s="6">
        <f>(L260-M260)*(W260+X260)+($W$176+$X$176-$W$260-$X$260)*(L260)</f>
        <v>6.0353999999999974</v>
      </c>
      <c r="AD260" s="6">
        <f t="shared" si="19"/>
        <v>0</v>
      </c>
      <c r="AE260" s="6">
        <f ca="1">(L260-M260)*(Z260+AA260)+($Z$176+$AA$176-$Z$260-$AA$260)*(L260)</f>
        <v>3.4264404681132543</v>
      </c>
      <c r="AF260" s="4" t="s">
        <v>779</v>
      </c>
    </row>
    <row r="261" spans="1:32" ht="11.25" customHeight="1" x14ac:dyDescent="0.25">
      <c r="A261" s="4" t="s">
        <v>28</v>
      </c>
      <c r="B261" s="4" t="s">
        <v>44</v>
      </c>
      <c r="C261" s="4" t="s">
        <v>23</v>
      </c>
      <c r="D261" s="4" t="s">
        <v>45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44409</v>
      </c>
      <c r="J261" s="6">
        <v>0</v>
      </c>
      <c r="K261" s="6">
        <v>0</v>
      </c>
      <c r="L261" s="6">
        <v>1.9710000000000001</v>
      </c>
      <c r="M261" s="6">
        <v>1.9710000000000001</v>
      </c>
      <c r="N261" s="6">
        <v>1.9710000000000001</v>
      </c>
      <c r="O261" s="6">
        <v>1.9710000000000001</v>
      </c>
      <c r="P261" s="6">
        <v>8</v>
      </c>
      <c r="Q261" s="4" t="s">
        <v>26</v>
      </c>
      <c r="R261" s="4">
        <v>0</v>
      </c>
      <c r="S261" s="4">
        <v>0</v>
      </c>
      <c r="T261" s="4">
        <v>43</v>
      </c>
      <c r="U261" s="4">
        <v>84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237.52</v>
      </c>
      <c r="X261" s="6">
        <f>IF(ISERROR(VLOOKUP($U$261,'TAR FIN'!$A$1:$O$103,15,0)),0,VLOOKUP($U$261,'TAR FIN'!$A$1:$O$103,15,0))</f>
        <v>254.23</v>
      </c>
      <c r="Y261" s="6"/>
      <c r="Z261" s="6">
        <f ca="1">('TUSD BE'!$AM$43+'TUSD BF'!$AM$43+'TUSD CVA'!$AM$43)*(1-CUSTOS!$M$38)</f>
        <v>340.73849544844359</v>
      </c>
      <c r="AA261" s="6">
        <f>('TE BE'!$AB$27+'TE BF'!$AB$27+'TE CVA'!$AB$27)*(1-CUSTOS!$M$38)</f>
        <v>255.71595640830878</v>
      </c>
      <c r="AB261" s="6">
        <f t="shared" si="18"/>
        <v>0</v>
      </c>
      <c r="AC261" s="6">
        <f>(L261-M261)*(W261+X261)+($W$176+$X$176-$W$261-$X$261)*(L261)</f>
        <v>132.17525999999995</v>
      </c>
      <c r="AD261" s="6">
        <f t="shared" si="19"/>
        <v>0</v>
      </c>
      <c r="AE261" s="6">
        <f ca="1">(L261-M261)*(Z261+AA261)+($Z$176+$AA$176-$Z$261-$AA$261)*(L261)</f>
        <v>75.039046251680276</v>
      </c>
      <c r="AF261" s="4" t="s">
        <v>779</v>
      </c>
    </row>
    <row r="262" spans="1:32" ht="11.25" customHeight="1" x14ac:dyDescent="0.25">
      <c r="A262" s="4" t="s">
        <v>21</v>
      </c>
      <c r="B262" s="4" t="s">
        <v>44</v>
      </c>
      <c r="C262" s="4" t="s">
        <v>23</v>
      </c>
      <c r="D262" s="4" t="s">
        <v>45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44440</v>
      </c>
      <c r="J262" s="6">
        <v>0</v>
      </c>
      <c r="K262" s="6">
        <v>0</v>
      </c>
      <c r="L262" s="6">
        <v>525.69899999999996</v>
      </c>
      <c r="M262" s="6">
        <v>525.69899999999996</v>
      </c>
      <c r="N262" s="6">
        <v>525.69899999999996</v>
      </c>
      <c r="O262" s="6">
        <v>525.69899999999996</v>
      </c>
      <c r="P262" s="6">
        <v>1768</v>
      </c>
      <c r="Q262" s="4" t="s">
        <v>26</v>
      </c>
      <c r="R262" s="4">
        <v>0</v>
      </c>
      <c r="S262" s="4">
        <v>0</v>
      </c>
      <c r="T262" s="4">
        <v>43</v>
      </c>
      <c r="U262" s="4">
        <v>84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237.52</v>
      </c>
      <c r="X262" s="6">
        <f>IF(ISERROR(VLOOKUP($U$262,'TAR FIN'!$A$1:$O$103,15,0)),0,VLOOKUP($U$262,'TAR FIN'!$A$1:$O$103,15,0))</f>
        <v>254.23</v>
      </c>
      <c r="Y262" s="6"/>
      <c r="Z262" s="6">
        <f ca="1">('TUSD BE'!$AM$43+'TUSD BF'!$AM$43+'TUSD CVA'!$AM$43)*(1-CUSTOS!$M$38)</f>
        <v>340.73849544844359</v>
      </c>
      <c r="AA262" s="6">
        <f>('TE BE'!$AB$27+'TE BF'!$AB$27+'TE CVA'!$AB$27)*(1-CUSTOS!$M$38)</f>
        <v>255.71595640830878</v>
      </c>
      <c r="AB262" s="6">
        <f t="shared" si="18"/>
        <v>0</v>
      </c>
      <c r="AC262" s="6">
        <f>(L262-M262)*(W262+X262)+($W$176+$X$176-$W$262-$X$262)*(L262)</f>
        <v>35253.37493999998</v>
      </c>
      <c r="AD262" s="6">
        <f t="shared" si="19"/>
        <v>0</v>
      </c>
      <c r="AE262" s="6">
        <f ca="1">(L262-M262)*(Z262+AA262)+($Z$176+$AA$176-$Z$262-$AA$262)*(L262)</f>
        <v>20014.181418296328</v>
      </c>
      <c r="AF262" s="4" t="s">
        <v>779</v>
      </c>
    </row>
    <row r="263" spans="1:32" ht="11.25" customHeight="1" x14ac:dyDescent="0.25">
      <c r="A263" s="4" t="s">
        <v>27</v>
      </c>
      <c r="B263" s="4" t="s">
        <v>44</v>
      </c>
      <c r="C263" s="4" t="s">
        <v>23</v>
      </c>
      <c r="D263" s="4" t="s">
        <v>45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44440</v>
      </c>
      <c r="J263" s="6">
        <v>0</v>
      </c>
      <c r="K263" s="6">
        <v>0</v>
      </c>
      <c r="L263" s="6">
        <v>-0.26700000000000002</v>
      </c>
      <c r="M263" s="6">
        <v>-0.26700000000000002</v>
      </c>
      <c r="N263" s="6">
        <v>-0.26700000000000002</v>
      </c>
      <c r="O263" s="6">
        <v>-0.26700000000000002</v>
      </c>
      <c r="P263" s="6">
        <v>0</v>
      </c>
      <c r="Q263" s="4" t="s">
        <v>26</v>
      </c>
      <c r="R263" s="4">
        <v>0</v>
      </c>
      <c r="S263" s="4">
        <v>0</v>
      </c>
      <c r="T263" s="4">
        <v>43</v>
      </c>
      <c r="U263" s="4">
        <v>84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237.52</v>
      </c>
      <c r="X263" s="6">
        <f>IF(ISERROR(VLOOKUP($U$263,'TAR FIN'!$A$1:$O$103,15,0)),0,VLOOKUP($U$263,'TAR FIN'!$A$1:$O$103,15,0))</f>
        <v>254.23</v>
      </c>
      <c r="Y263" s="6"/>
      <c r="Z263" s="6">
        <f ca="1">('TUSD BE'!$AM$43+'TUSD BF'!$AM$43+'TUSD CVA'!$AM$43)*(1-CUSTOS!$M$38)</f>
        <v>340.73849544844359</v>
      </c>
      <c r="AA263" s="6">
        <f>('TE BE'!$AB$27+'TE BF'!$AB$27+'TE CVA'!$AB$27)*(1-CUSTOS!$M$38)</f>
        <v>255.71595640830878</v>
      </c>
      <c r="AB263" s="6">
        <f t="shared" si="18"/>
        <v>0</v>
      </c>
      <c r="AC263" s="6">
        <f>(L263-M263)*(W263+X263)+($W$176+$X$176-$W$263-$X$263)*(L263)</f>
        <v>-17.905019999999993</v>
      </c>
      <c r="AD263" s="6">
        <f t="shared" si="19"/>
        <v>0</v>
      </c>
      <c r="AE263" s="6">
        <f ca="1">(L263-M263)*(Z263+AA263)+($Z$176+$AA$176-$Z$263-$AA$263)*(L263)</f>
        <v>-10.165106722069321</v>
      </c>
      <c r="AF263" s="4" t="s">
        <v>779</v>
      </c>
    </row>
    <row r="264" spans="1:32" ht="11.25" customHeight="1" x14ac:dyDescent="0.25">
      <c r="A264" s="4" t="s">
        <v>28</v>
      </c>
      <c r="B264" s="4" t="s">
        <v>44</v>
      </c>
      <c r="C264" s="4" t="s">
        <v>23</v>
      </c>
      <c r="D264" s="4" t="s">
        <v>45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44440</v>
      </c>
      <c r="J264" s="6">
        <v>0</v>
      </c>
      <c r="K264" s="6">
        <v>0</v>
      </c>
      <c r="L264" s="6">
        <v>2.528</v>
      </c>
      <c r="M264" s="6">
        <v>2.528</v>
      </c>
      <c r="N264" s="6">
        <v>2.528</v>
      </c>
      <c r="O264" s="6">
        <v>2.528</v>
      </c>
      <c r="P264" s="6">
        <v>11</v>
      </c>
      <c r="Q264" s="4" t="s">
        <v>26</v>
      </c>
      <c r="R264" s="4">
        <v>0</v>
      </c>
      <c r="S264" s="4">
        <v>0</v>
      </c>
      <c r="T264" s="4">
        <v>43</v>
      </c>
      <c r="U264" s="4">
        <v>84</v>
      </c>
      <c r="V264" s="6">
        <f>IF(ISERROR(VLOOKUP($S$264,'TAR FIN'!$A$1:$O$103,15,0)),0,VLOOKUP($S$264,'TAR FIN'!$A$1:$O$103,15,0))</f>
        <v>0</v>
      </c>
      <c r="W264" s="6">
        <f>IF(ISERROR(VLOOKUP($T$264,'TAR FIN'!$A$1:$O$103,15,0)),0,VLOOKUP($T$264,'TAR FIN'!$A$1:$O$103,15,0))</f>
        <v>237.52</v>
      </c>
      <c r="X264" s="6">
        <f>IF(ISERROR(VLOOKUP($U$264,'TAR FIN'!$A$1:$O$103,15,0)),0,VLOOKUP($U$264,'TAR FIN'!$A$1:$O$103,15,0))</f>
        <v>254.23</v>
      </c>
      <c r="Y264" s="6"/>
      <c r="Z264" s="6">
        <f ca="1">('TUSD BE'!$AM$43+'TUSD BF'!$AM$43+'TUSD CVA'!$AM$43)*(1-CUSTOS!$M$38)</f>
        <v>340.73849544844359</v>
      </c>
      <c r="AA264" s="6">
        <f>('TE BE'!$AB$27+'TE BF'!$AB$27+'TE CVA'!$AB$27)*(1-CUSTOS!$M$38)</f>
        <v>255.71595640830878</v>
      </c>
      <c r="AB264" s="6">
        <f t="shared" si="18"/>
        <v>0</v>
      </c>
      <c r="AC264" s="6">
        <f>(L264-M264)*(W264+X264)+($W$176+$X$176-$W$264-$X$264)*(L264)</f>
        <v>169.52767999999995</v>
      </c>
      <c r="AD264" s="6">
        <f t="shared" si="19"/>
        <v>0</v>
      </c>
      <c r="AE264" s="6">
        <f ca="1">(L264-M264)*(Z264+AA264)+($Z$176+$AA$176-$Z$264-$AA$264)*(L264)</f>
        <v>96.244905593225639</v>
      </c>
      <c r="AF264" s="4" t="s">
        <v>779</v>
      </c>
    </row>
    <row r="265" spans="1:32" ht="11.25" customHeight="1" x14ac:dyDescent="0.25">
      <c r="A265" s="4" t="s">
        <v>21</v>
      </c>
      <c r="B265" s="4" t="s">
        <v>44</v>
      </c>
      <c r="C265" s="4" t="s">
        <v>23</v>
      </c>
      <c r="D265" s="4" t="s">
        <v>45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44470</v>
      </c>
      <c r="J265" s="6">
        <v>0</v>
      </c>
      <c r="K265" s="6">
        <v>0</v>
      </c>
      <c r="L265" s="6">
        <v>541.39200000000005</v>
      </c>
      <c r="M265" s="6">
        <v>541.39200000000005</v>
      </c>
      <c r="N265" s="6">
        <v>541.39200000000005</v>
      </c>
      <c r="O265" s="6">
        <v>541.39200000000005</v>
      </c>
      <c r="P265" s="6">
        <v>1763</v>
      </c>
      <c r="Q265" s="4" t="s">
        <v>26</v>
      </c>
      <c r="R265" s="4">
        <v>0</v>
      </c>
      <c r="S265" s="4">
        <v>0</v>
      </c>
      <c r="T265" s="4">
        <v>43</v>
      </c>
      <c r="U265" s="4">
        <v>84</v>
      </c>
      <c r="V265" s="6">
        <f>IF(ISERROR(VLOOKUP($S$265,'TAR FIN'!$A$1:$O$103,15,0)),0,VLOOKUP($S$265,'TAR FIN'!$A$1:$O$103,15,0))</f>
        <v>0</v>
      </c>
      <c r="W265" s="6">
        <f>IF(ISERROR(VLOOKUP($T$265,'TAR FIN'!$A$1:$O$103,15,0)),0,VLOOKUP($T$265,'TAR FIN'!$A$1:$O$103,15,0))</f>
        <v>237.52</v>
      </c>
      <c r="X265" s="6">
        <f>IF(ISERROR(VLOOKUP($U$265,'TAR FIN'!$A$1:$O$103,15,0)),0,VLOOKUP($U$265,'TAR FIN'!$A$1:$O$103,15,0))</f>
        <v>254.23</v>
      </c>
      <c r="Y265" s="6"/>
      <c r="Z265" s="6">
        <f ca="1">('TUSD BE'!$AM$43+'TUSD BF'!$AM$43+'TUSD CVA'!$AM$43)*(1-CUSTOS!$M$38)</f>
        <v>340.73849544844359</v>
      </c>
      <c r="AA265" s="6">
        <f>('TE BE'!$AB$27+'TE BF'!$AB$27+'TE CVA'!$AB$27)*(1-CUSTOS!$M$38)</f>
        <v>255.71595640830878</v>
      </c>
      <c r="AB265" s="6">
        <f t="shared" si="18"/>
        <v>0</v>
      </c>
      <c r="AC265" s="6">
        <f>(L265-M265)*(W265+X265)+($W$176+$X$176-$W$265-$X$265)*(L265)</f>
        <v>36305.74751999999</v>
      </c>
      <c r="AD265" s="6">
        <f t="shared" si="19"/>
        <v>0</v>
      </c>
      <c r="AE265" s="6">
        <f ca="1">(L265-M265)*(Z265+AA265)+($Z$176+$AA$176-$Z$265-$AA$265)*(L265)</f>
        <v>20611.638421253014</v>
      </c>
      <c r="AF265" s="4" t="s">
        <v>779</v>
      </c>
    </row>
    <row r="266" spans="1:32" ht="11.25" customHeight="1" x14ac:dyDescent="0.25">
      <c r="A266" s="4" t="s">
        <v>27</v>
      </c>
      <c r="B266" s="4" t="s">
        <v>44</v>
      </c>
      <c r="C266" s="4" t="s">
        <v>23</v>
      </c>
      <c r="D266" s="4" t="s">
        <v>45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44470</v>
      </c>
      <c r="J266" s="6">
        <v>0</v>
      </c>
      <c r="K266" s="6">
        <v>0</v>
      </c>
      <c r="L266" s="6">
        <v>-0.81200000000000006</v>
      </c>
      <c r="M266" s="6">
        <v>-0.81200000000000006</v>
      </c>
      <c r="N266" s="6">
        <v>-0.81200000000000006</v>
      </c>
      <c r="O266" s="6">
        <v>-0.81200000000000006</v>
      </c>
      <c r="P266" s="6">
        <v>0</v>
      </c>
      <c r="Q266" s="4" t="s">
        <v>26</v>
      </c>
      <c r="R266" s="4">
        <v>0</v>
      </c>
      <c r="S266" s="4">
        <v>0</v>
      </c>
      <c r="T266" s="4">
        <v>43</v>
      </c>
      <c r="U266" s="4">
        <v>84</v>
      </c>
      <c r="V266" s="6">
        <f>IF(ISERROR(VLOOKUP($S$266,'TAR FIN'!$A$1:$O$103,15,0)),0,VLOOKUP($S$266,'TAR FIN'!$A$1:$O$103,15,0))</f>
        <v>0</v>
      </c>
      <c r="W266" s="6">
        <f>IF(ISERROR(VLOOKUP($T$266,'TAR FIN'!$A$1:$O$103,15,0)),0,VLOOKUP($T$266,'TAR FIN'!$A$1:$O$103,15,0))</f>
        <v>237.52</v>
      </c>
      <c r="X266" s="6">
        <f>IF(ISERROR(VLOOKUP($U$266,'TAR FIN'!$A$1:$O$103,15,0)),0,VLOOKUP($U$266,'TAR FIN'!$A$1:$O$103,15,0))</f>
        <v>254.23</v>
      </c>
      <c r="Y266" s="6"/>
      <c r="Z266" s="6">
        <f ca="1">('TUSD BE'!$AM$43+'TUSD BF'!$AM$43+'TUSD CVA'!$AM$43)*(1-CUSTOS!$M$38)</f>
        <v>340.73849544844359</v>
      </c>
      <c r="AA266" s="6">
        <f>('TE BE'!$AB$27+'TE BF'!$AB$27+'TE CVA'!$AB$27)*(1-CUSTOS!$M$38)</f>
        <v>255.71595640830878</v>
      </c>
      <c r="AB266" s="6">
        <f t="shared" si="18"/>
        <v>0</v>
      </c>
      <c r="AC266" s="6">
        <f>(L266-M266)*(W266+X266)+($W$176+$X$176-$W$266-$X$266)*(L266)</f>
        <v>-54.452719999999985</v>
      </c>
      <c r="AD266" s="6">
        <f t="shared" si="19"/>
        <v>0</v>
      </c>
      <c r="AE266" s="6">
        <f ca="1">(L266-M266)*(Z266+AA266)+($Z$176+$AA$176-$Z$266-$AA$266)*(L266)</f>
        <v>-30.914107334532918</v>
      </c>
      <c r="AF266" s="4" t="s">
        <v>779</v>
      </c>
    </row>
    <row r="267" spans="1:32" ht="11.25" customHeight="1" x14ac:dyDescent="0.25">
      <c r="A267" s="4" t="s">
        <v>28</v>
      </c>
      <c r="B267" s="4" t="s">
        <v>44</v>
      </c>
      <c r="C267" s="4" t="s">
        <v>23</v>
      </c>
      <c r="D267" s="4" t="s">
        <v>45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44470</v>
      </c>
      <c r="J267" s="6">
        <v>0</v>
      </c>
      <c r="K267" s="6">
        <v>0</v>
      </c>
      <c r="L267" s="6">
        <v>1.7310000000000001</v>
      </c>
      <c r="M267" s="6">
        <v>1.7310000000000001</v>
      </c>
      <c r="N267" s="6">
        <v>1.7310000000000001</v>
      </c>
      <c r="O267" s="6">
        <v>1.7310000000000001</v>
      </c>
      <c r="P267" s="6">
        <v>11</v>
      </c>
      <c r="Q267" s="4" t="s">
        <v>26</v>
      </c>
      <c r="R267" s="4">
        <v>0</v>
      </c>
      <c r="S267" s="4">
        <v>0</v>
      </c>
      <c r="T267" s="4">
        <v>43</v>
      </c>
      <c r="U267" s="4">
        <v>84</v>
      </c>
      <c r="V267" s="6">
        <f>IF(ISERROR(VLOOKUP($S$267,'TAR FIN'!$A$1:$O$103,15,0)),0,VLOOKUP($S$267,'TAR FIN'!$A$1:$O$103,15,0))</f>
        <v>0</v>
      </c>
      <c r="W267" s="6">
        <f>IF(ISERROR(VLOOKUP($T$267,'TAR FIN'!$A$1:$O$103,15,0)),0,VLOOKUP($T$267,'TAR FIN'!$A$1:$O$103,15,0))</f>
        <v>237.52</v>
      </c>
      <c r="X267" s="6">
        <f>IF(ISERROR(VLOOKUP($U$267,'TAR FIN'!$A$1:$O$103,15,0)),0,VLOOKUP($U$267,'TAR FIN'!$A$1:$O$103,15,0))</f>
        <v>254.23</v>
      </c>
      <c r="Y267" s="6"/>
      <c r="Z267" s="6">
        <f ca="1">('TUSD BE'!$AM$43+'TUSD BF'!$AM$43+'TUSD CVA'!$AM$43)*(1-CUSTOS!$M$38)</f>
        <v>340.73849544844359</v>
      </c>
      <c r="AA267" s="6">
        <f>('TE BE'!$AB$27+'TE BF'!$AB$27+'TE CVA'!$AB$27)*(1-CUSTOS!$M$38)</f>
        <v>255.71595640830878</v>
      </c>
      <c r="AB267" s="6">
        <f t="shared" si="18"/>
        <v>0</v>
      </c>
      <c r="AC267" s="6">
        <f>(L267-M267)*(W267+X267)+($W$176+$X$176-$W$267-$X$267)*(L267)</f>
        <v>116.08085999999996</v>
      </c>
      <c r="AD267" s="6">
        <f t="shared" si="19"/>
        <v>0</v>
      </c>
      <c r="AE267" s="6">
        <f ca="1">(L267-M267)*(Z267+AA267)+($Z$176+$AA$176-$Z$267-$AA$267)*(L267)</f>
        <v>65.901871670044926</v>
      </c>
      <c r="AF267" s="4" t="s">
        <v>779</v>
      </c>
    </row>
    <row r="268" spans="1:32" ht="11.25" customHeight="1" x14ac:dyDescent="0.25">
      <c r="A268" s="4" t="s">
        <v>21</v>
      </c>
      <c r="B268" s="4" t="s">
        <v>44</v>
      </c>
      <c r="C268" s="4" t="s">
        <v>23</v>
      </c>
      <c r="D268" s="4" t="s">
        <v>45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44501</v>
      </c>
      <c r="J268" s="6">
        <v>0</v>
      </c>
      <c r="K268" s="6">
        <v>0</v>
      </c>
      <c r="L268" s="6">
        <v>512.59900000000005</v>
      </c>
      <c r="M268" s="6">
        <v>512.59900000000005</v>
      </c>
      <c r="N268" s="6">
        <v>512.59900000000005</v>
      </c>
      <c r="O268" s="6">
        <v>512.59900000000005</v>
      </c>
      <c r="P268" s="6">
        <v>1754</v>
      </c>
      <c r="Q268" s="4" t="s">
        <v>26</v>
      </c>
      <c r="R268" s="4">
        <v>0</v>
      </c>
      <c r="S268" s="4">
        <v>0</v>
      </c>
      <c r="T268" s="4">
        <v>43</v>
      </c>
      <c r="U268" s="4">
        <v>84</v>
      </c>
      <c r="V268" s="6">
        <f>IF(ISERROR(VLOOKUP($S$268,'TAR FIN'!$A$1:$O$103,15,0)),0,VLOOKUP($S$268,'TAR FIN'!$A$1:$O$103,15,0))</f>
        <v>0</v>
      </c>
      <c r="W268" s="6">
        <f>IF(ISERROR(VLOOKUP($T$268,'TAR FIN'!$A$1:$O$103,15,0)),0,VLOOKUP($T$268,'TAR FIN'!$A$1:$O$103,15,0))</f>
        <v>237.52</v>
      </c>
      <c r="X268" s="6">
        <f>IF(ISERROR(VLOOKUP($U$268,'TAR FIN'!$A$1:$O$103,15,0)),0,VLOOKUP($U$268,'TAR FIN'!$A$1:$O$103,15,0))</f>
        <v>254.23</v>
      </c>
      <c r="Y268" s="6"/>
      <c r="Z268" s="6">
        <f ca="1">('TUSD BE'!$AM$43+'TUSD BF'!$AM$43+'TUSD CVA'!$AM$43)*(1-CUSTOS!$M$38)</f>
        <v>340.73849544844359</v>
      </c>
      <c r="AA268" s="6">
        <f>('TE BE'!$AB$27+'TE BF'!$AB$27+'TE CVA'!$AB$27)*(1-CUSTOS!$M$38)</f>
        <v>255.71595640830878</v>
      </c>
      <c r="AB268" s="6">
        <f t="shared" si="18"/>
        <v>0</v>
      </c>
      <c r="AC268" s="6">
        <f>(L268-M268)*(W268+X268)+($W$176+$X$176-$W$268-$X$268)*(L268)</f>
        <v>34374.88893999999</v>
      </c>
      <c r="AD268" s="6">
        <f t="shared" si="19"/>
        <v>0</v>
      </c>
      <c r="AE268" s="6">
        <f ca="1">(L268-M268)*(Z268+AA268)+($Z$176+$AA$176-$Z$268-$AA$268)*(L268)</f>
        <v>19515.443972382069</v>
      </c>
      <c r="AF268" s="4" t="s">
        <v>779</v>
      </c>
    </row>
    <row r="269" spans="1:32" ht="11.25" customHeight="1" x14ac:dyDescent="0.25">
      <c r="A269" s="4" t="s">
        <v>27</v>
      </c>
      <c r="B269" s="4" t="s">
        <v>44</v>
      </c>
      <c r="C269" s="4" t="s">
        <v>23</v>
      </c>
      <c r="D269" s="4" t="s">
        <v>45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0</v>
      </c>
      <c r="K269" s="6">
        <v>0</v>
      </c>
      <c r="L269" s="6">
        <v>-0.185</v>
      </c>
      <c r="M269" s="6">
        <v>-0.185</v>
      </c>
      <c r="N269" s="6">
        <v>-0.185</v>
      </c>
      <c r="O269" s="6">
        <v>-0.185</v>
      </c>
      <c r="P269" s="6">
        <v>0</v>
      </c>
      <c r="Q269" s="4" t="s">
        <v>26</v>
      </c>
      <c r="R269" s="4">
        <v>0</v>
      </c>
      <c r="S269" s="4">
        <v>0</v>
      </c>
      <c r="T269" s="4">
        <v>43</v>
      </c>
      <c r="U269" s="4">
        <v>84</v>
      </c>
      <c r="V269" s="6">
        <f>IF(ISERROR(VLOOKUP($S$269,'TAR FIN'!$A$1:$O$103,15,0)),0,VLOOKUP($S$269,'TAR FIN'!$A$1:$O$103,15,0))</f>
        <v>0</v>
      </c>
      <c r="W269" s="6">
        <f>IF(ISERROR(VLOOKUP($T$269,'TAR FIN'!$A$1:$O$103,15,0)),0,VLOOKUP($T$269,'TAR FIN'!$A$1:$O$103,15,0))</f>
        <v>237.52</v>
      </c>
      <c r="X269" s="6">
        <f>IF(ISERROR(VLOOKUP($U$269,'TAR FIN'!$A$1:$O$103,15,0)),0,VLOOKUP($U$269,'TAR FIN'!$A$1:$O$103,15,0))</f>
        <v>254.23</v>
      </c>
      <c r="Y269" s="6"/>
      <c r="Z269" s="6">
        <f ca="1">('TUSD BE'!$AM$43+'TUSD BF'!$AM$43+'TUSD CVA'!$AM$43)*(1-CUSTOS!$M$38)</f>
        <v>340.73849544844359</v>
      </c>
      <c r="AA269" s="6">
        <f>('TE BE'!$AB$27+'TE BF'!$AB$27+'TE CVA'!$AB$27)*(1-CUSTOS!$M$38)</f>
        <v>255.71595640830878</v>
      </c>
      <c r="AB269" s="6">
        <f t="shared" si="18"/>
        <v>0</v>
      </c>
      <c r="AC269" s="6">
        <f>(L269-M269)*(W269+X269)+($W$176+$X$176-$W$269-$X$269)*(L269)</f>
        <v>-12.406099999999995</v>
      </c>
      <c r="AD269" s="6">
        <f t="shared" si="19"/>
        <v>0</v>
      </c>
      <c r="AE269" s="6">
        <f ca="1">(L269-M269)*(Z269+AA269)+($Z$176+$AA$176-$Z$269-$AA$269)*(L269)</f>
        <v>-7.0432387400105787</v>
      </c>
      <c r="AF269" s="4" t="s">
        <v>779</v>
      </c>
    </row>
    <row r="270" spans="1:32" ht="11.25" customHeight="1" x14ac:dyDescent="0.25">
      <c r="A270" s="4" t="s">
        <v>28</v>
      </c>
      <c r="B270" s="4" t="s">
        <v>44</v>
      </c>
      <c r="C270" s="4" t="s">
        <v>23</v>
      </c>
      <c r="D270" s="4" t="s">
        <v>45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44501</v>
      </c>
      <c r="J270" s="6">
        <v>0</v>
      </c>
      <c r="K270" s="6">
        <v>0</v>
      </c>
      <c r="L270" s="6">
        <v>1.8939999999999999</v>
      </c>
      <c r="M270" s="6">
        <v>1.8939999999999999</v>
      </c>
      <c r="N270" s="6">
        <v>1.8939999999999999</v>
      </c>
      <c r="O270" s="6">
        <v>1.8939999999999999</v>
      </c>
      <c r="P270" s="6">
        <v>12</v>
      </c>
      <c r="Q270" s="4" t="s">
        <v>26</v>
      </c>
      <c r="R270" s="4">
        <v>0</v>
      </c>
      <c r="S270" s="4">
        <v>0</v>
      </c>
      <c r="T270" s="4">
        <v>43</v>
      </c>
      <c r="U270" s="4">
        <v>84</v>
      </c>
      <c r="V270" s="6">
        <f>IF(ISERROR(VLOOKUP($S$270,'TAR FIN'!$A$1:$O$103,15,0)),0,VLOOKUP($S$270,'TAR FIN'!$A$1:$O$103,15,0))</f>
        <v>0</v>
      </c>
      <c r="W270" s="6">
        <f>IF(ISERROR(VLOOKUP($T$270,'TAR FIN'!$A$1:$O$103,15,0)),0,VLOOKUP($T$270,'TAR FIN'!$A$1:$O$103,15,0))</f>
        <v>237.52</v>
      </c>
      <c r="X270" s="6">
        <f>IF(ISERROR(VLOOKUP($U$270,'TAR FIN'!$A$1:$O$103,15,0)),0,VLOOKUP($U$270,'TAR FIN'!$A$1:$O$103,15,0))</f>
        <v>254.23</v>
      </c>
      <c r="Y270" s="6"/>
      <c r="Z270" s="6">
        <f ca="1">('TUSD BE'!$AM$43+'TUSD BF'!$AM$43+'TUSD CVA'!$AM$43)*(1-CUSTOS!$M$38)</f>
        <v>340.73849544844359</v>
      </c>
      <c r="AA270" s="6">
        <f>('TE BE'!$AB$27+'TE BF'!$AB$27+'TE CVA'!$AB$27)*(1-CUSTOS!$M$38)</f>
        <v>255.71595640830878</v>
      </c>
      <c r="AB270" s="6">
        <f t="shared" si="18"/>
        <v>0</v>
      </c>
      <c r="AC270" s="6">
        <f>(L270-M270)*(W270+X270)+($W$176+$X$176-$W$270-$X$270)*(L270)</f>
        <v>127.01163999999994</v>
      </c>
      <c r="AD270" s="6">
        <f t="shared" si="19"/>
        <v>0</v>
      </c>
      <c r="AE270" s="6">
        <f ca="1">(L270-M270)*(Z270+AA270)+($Z$176+$AA$176-$Z$270-$AA$270)*(L270)</f>
        <v>72.107536073405598</v>
      </c>
      <c r="AF270" s="4" t="s">
        <v>779</v>
      </c>
    </row>
    <row r="271" spans="1:32" ht="11.25" customHeight="1" x14ac:dyDescent="0.25">
      <c r="A271" s="4" t="s">
        <v>21</v>
      </c>
      <c r="B271" s="4" t="s">
        <v>44</v>
      </c>
      <c r="C271" s="4" t="s">
        <v>23</v>
      </c>
      <c r="D271" s="4" t="s">
        <v>45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44531</v>
      </c>
      <c r="J271" s="6">
        <v>0</v>
      </c>
      <c r="K271" s="6">
        <v>0</v>
      </c>
      <c r="L271" s="6">
        <v>543.45000000000005</v>
      </c>
      <c r="M271" s="6">
        <v>543.45000000000005</v>
      </c>
      <c r="N271" s="6">
        <v>543.45000000000005</v>
      </c>
      <c r="O271" s="6">
        <v>543.45000000000005</v>
      </c>
      <c r="P271" s="6">
        <v>1739</v>
      </c>
      <c r="Q271" s="4" t="s">
        <v>26</v>
      </c>
      <c r="R271" s="4">
        <v>0</v>
      </c>
      <c r="S271" s="4">
        <v>0</v>
      </c>
      <c r="T271" s="4">
        <v>43</v>
      </c>
      <c r="U271" s="4">
        <v>84</v>
      </c>
      <c r="V271" s="6">
        <f>IF(ISERROR(VLOOKUP($S$271,'TAR FIN'!$A$1:$O$103,15,0)),0,VLOOKUP($S$271,'TAR FIN'!$A$1:$O$103,15,0))</f>
        <v>0</v>
      </c>
      <c r="W271" s="6">
        <f>IF(ISERROR(VLOOKUP($T$271,'TAR FIN'!$A$1:$O$103,15,0)),0,VLOOKUP($T$271,'TAR FIN'!$A$1:$O$103,15,0))</f>
        <v>237.52</v>
      </c>
      <c r="X271" s="6">
        <f>IF(ISERROR(VLOOKUP($U$271,'TAR FIN'!$A$1:$O$103,15,0)),0,VLOOKUP($U$271,'TAR FIN'!$A$1:$O$103,15,0))</f>
        <v>254.23</v>
      </c>
      <c r="Y271" s="6"/>
      <c r="Z271" s="6">
        <f ca="1">('TUSD BE'!$AM$43+'TUSD BF'!$AM$43+'TUSD CVA'!$AM$43)*(1-CUSTOS!$M$38)</f>
        <v>340.73849544844359</v>
      </c>
      <c r="AA271" s="6">
        <f>('TE BE'!$AB$27+'TE BF'!$AB$27+'TE CVA'!$AB$27)*(1-CUSTOS!$M$38)</f>
        <v>255.71595640830878</v>
      </c>
      <c r="AB271" s="6">
        <f t="shared" si="18"/>
        <v>0</v>
      </c>
      <c r="AC271" s="6">
        <f>(L271-M271)*(W271+X271)+($W$176+$X$176-$W$271-$X$271)*(L271)</f>
        <v>36443.756999999991</v>
      </c>
      <c r="AD271" s="6">
        <f t="shared" si="19"/>
        <v>0</v>
      </c>
      <c r="AE271" s="6">
        <f ca="1">(L271-M271)*(Z271+AA271)+($Z$176+$AA$176-$Z$271-$AA$271)*(L271)</f>
        <v>20689.989693290536</v>
      </c>
      <c r="AF271" s="4" t="s">
        <v>779</v>
      </c>
    </row>
    <row r="272" spans="1:32" ht="11.25" customHeight="1" x14ac:dyDescent="0.25">
      <c r="A272" s="4" t="s">
        <v>27</v>
      </c>
      <c r="B272" s="4" t="s">
        <v>44</v>
      </c>
      <c r="C272" s="4" t="s">
        <v>23</v>
      </c>
      <c r="D272" s="4" t="s">
        <v>45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44531</v>
      </c>
      <c r="J272" s="6">
        <v>0</v>
      </c>
      <c r="K272" s="6">
        <v>0</v>
      </c>
      <c r="L272" s="6">
        <v>-0.155</v>
      </c>
      <c r="M272" s="6">
        <v>-0.155</v>
      </c>
      <c r="N272" s="6">
        <v>-0.155</v>
      </c>
      <c r="O272" s="6">
        <v>-0.155</v>
      </c>
      <c r="P272" s="6">
        <v>0</v>
      </c>
      <c r="Q272" s="4" t="s">
        <v>26</v>
      </c>
      <c r="R272" s="4">
        <v>0</v>
      </c>
      <c r="S272" s="4">
        <v>0</v>
      </c>
      <c r="T272" s="4">
        <v>43</v>
      </c>
      <c r="U272" s="4">
        <v>84</v>
      </c>
      <c r="V272" s="6">
        <f>IF(ISERROR(VLOOKUP($S$272,'TAR FIN'!$A$1:$O$103,15,0)),0,VLOOKUP($S$272,'TAR FIN'!$A$1:$O$103,15,0))</f>
        <v>0</v>
      </c>
      <c r="W272" s="6">
        <f>IF(ISERROR(VLOOKUP($T$272,'TAR FIN'!$A$1:$O$103,15,0)),0,VLOOKUP($T$272,'TAR FIN'!$A$1:$O$103,15,0))</f>
        <v>237.52</v>
      </c>
      <c r="X272" s="6">
        <f>IF(ISERROR(VLOOKUP($U$272,'TAR FIN'!$A$1:$O$103,15,0)),0,VLOOKUP($U$272,'TAR FIN'!$A$1:$O$103,15,0))</f>
        <v>254.23</v>
      </c>
      <c r="Y272" s="6"/>
      <c r="Z272" s="6">
        <f ca="1">('TUSD BE'!$AM$43+'TUSD BF'!$AM$43+'TUSD CVA'!$AM$43)*(1-CUSTOS!$M$38)</f>
        <v>340.73849544844359</v>
      </c>
      <c r="AA272" s="6">
        <f>('TE BE'!$AB$27+'TE BF'!$AB$27+'TE CVA'!$AB$27)*(1-CUSTOS!$M$38)</f>
        <v>255.71595640830878</v>
      </c>
      <c r="AB272" s="6">
        <f t="shared" si="18"/>
        <v>0</v>
      </c>
      <c r="AC272" s="6">
        <f>(L272-M272)*(W272+X272)+($W$176+$X$176-$W$272-$X$272)*(L272)</f>
        <v>-10.394299999999996</v>
      </c>
      <c r="AD272" s="6">
        <f t="shared" si="19"/>
        <v>0</v>
      </c>
      <c r="AE272" s="6">
        <f ca="1">(L272-M272)*(Z272+AA272)+($Z$176+$AA$176-$Z$272-$AA$272)*(L272)</f>
        <v>-5.90109191730616</v>
      </c>
      <c r="AF272" s="4" t="s">
        <v>779</v>
      </c>
    </row>
    <row r="273" spans="1:32" ht="11.25" customHeight="1" x14ac:dyDescent="0.25">
      <c r="A273" s="4" t="s">
        <v>28</v>
      </c>
      <c r="B273" s="4" t="s">
        <v>44</v>
      </c>
      <c r="C273" s="4" t="s">
        <v>23</v>
      </c>
      <c r="D273" s="4" t="s">
        <v>45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44531</v>
      </c>
      <c r="J273" s="6">
        <v>0</v>
      </c>
      <c r="K273" s="6">
        <v>0</v>
      </c>
      <c r="L273" s="6">
        <v>2.7130000000000001</v>
      </c>
      <c r="M273" s="6">
        <v>2.7130000000000001</v>
      </c>
      <c r="N273" s="6">
        <v>2.7130000000000001</v>
      </c>
      <c r="O273" s="6">
        <v>2.7130000000000001</v>
      </c>
      <c r="P273" s="6">
        <v>19</v>
      </c>
      <c r="Q273" s="4" t="s">
        <v>26</v>
      </c>
      <c r="R273" s="4">
        <v>0</v>
      </c>
      <c r="S273" s="4">
        <v>0</v>
      </c>
      <c r="T273" s="4">
        <v>43</v>
      </c>
      <c r="U273" s="4">
        <v>84</v>
      </c>
      <c r="V273" s="6">
        <f>IF(ISERROR(VLOOKUP($S$273,'TAR FIN'!$A$1:$O$103,15,0)),0,VLOOKUP($S$273,'TAR FIN'!$A$1:$O$103,15,0))</f>
        <v>0</v>
      </c>
      <c r="W273" s="6">
        <f>IF(ISERROR(VLOOKUP($T$273,'TAR FIN'!$A$1:$O$103,15,0)),0,VLOOKUP($T$273,'TAR FIN'!$A$1:$O$103,15,0))</f>
        <v>237.52</v>
      </c>
      <c r="X273" s="6">
        <f>IF(ISERROR(VLOOKUP($U$273,'TAR FIN'!$A$1:$O$103,15,0)),0,VLOOKUP($U$273,'TAR FIN'!$A$1:$O$103,15,0))</f>
        <v>254.23</v>
      </c>
      <c r="Y273" s="6"/>
      <c r="Z273" s="6">
        <f ca="1">('TUSD BE'!$AM$43+'TUSD BF'!$AM$43+'TUSD CVA'!$AM$43)*(1-CUSTOS!$M$38)</f>
        <v>340.73849544844359</v>
      </c>
      <c r="AA273" s="6">
        <f>('TE BE'!$AB$27+'TE BF'!$AB$27+'TE CVA'!$AB$27)*(1-CUSTOS!$M$38)</f>
        <v>255.71595640830878</v>
      </c>
      <c r="AB273" s="6">
        <f t="shared" si="18"/>
        <v>0</v>
      </c>
      <c r="AC273" s="6">
        <f>(L273-M273)*(W273+X273)+($W$176+$X$176-$W$273-$X$273)*(L273)</f>
        <v>181.93377999999993</v>
      </c>
      <c r="AD273" s="6">
        <f t="shared" si="19"/>
        <v>0</v>
      </c>
      <c r="AE273" s="6">
        <f ca="1">(L273-M273)*(Z273+AA273)+($Z$176+$AA$176-$Z$273-$AA$273)*(L273)</f>
        <v>103.28814433323622</v>
      </c>
      <c r="AF273" s="4" t="s">
        <v>779</v>
      </c>
    </row>
    <row r="274" spans="1:32" ht="11.25" customHeight="1" x14ac:dyDescent="0.25">
      <c r="A274" s="4" t="s">
        <v>21</v>
      </c>
      <c r="B274" s="4" t="s">
        <v>44</v>
      </c>
      <c r="C274" s="4" t="s">
        <v>23</v>
      </c>
      <c r="D274" s="4" t="s">
        <v>45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44562</v>
      </c>
      <c r="J274" s="6">
        <v>0</v>
      </c>
      <c r="K274" s="6">
        <v>0</v>
      </c>
      <c r="L274" s="6">
        <v>523.37199999999996</v>
      </c>
      <c r="M274" s="6">
        <v>523.37199999999996</v>
      </c>
      <c r="N274" s="6">
        <v>523.37199999999996</v>
      </c>
      <c r="O274" s="6">
        <v>523.37199999999996</v>
      </c>
      <c r="P274" s="6">
        <v>1733</v>
      </c>
      <c r="Q274" s="4" t="s">
        <v>26</v>
      </c>
      <c r="R274" s="4">
        <v>0</v>
      </c>
      <c r="S274" s="4">
        <v>0</v>
      </c>
      <c r="T274" s="4">
        <v>43</v>
      </c>
      <c r="U274" s="4">
        <v>84</v>
      </c>
      <c r="V274" s="6">
        <f>IF(ISERROR(VLOOKUP($S$274,'TAR FIN'!$A$1:$O$103,15,0)),0,VLOOKUP($S$274,'TAR FIN'!$A$1:$O$103,15,0))</f>
        <v>0</v>
      </c>
      <c r="W274" s="6">
        <f>IF(ISERROR(VLOOKUP($T$274,'TAR FIN'!$A$1:$O$103,15,0)),0,VLOOKUP($T$274,'TAR FIN'!$A$1:$O$103,15,0))</f>
        <v>237.52</v>
      </c>
      <c r="X274" s="6">
        <f>IF(ISERROR(VLOOKUP($U$274,'TAR FIN'!$A$1:$O$103,15,0)),0,VLOOKUP($U$274,'TAR FIN'!$A$1:$O$103,15,0))</f>
        <v>254.23</v>
      </c>
      <c r="Y274" s="6"/>
      <c r="Z274" s="6">
        <f ca="1">('TUSD BE'!$AM$43+'TUSD BF'!$AM$43+'TUSD CVA'!$AM$43)*(1-CUSTOS!$M$38)</f>
        <v>340.73849544844359</v>
      </c>
      <c r="AA274" s="6">
        <f>('TE BE'!$AB$27+'TE BF'!$AB$27+'TE CVA'!$AB$27)*(1-CUSTOS!$M$38)</f>
        <v>255.71595640830878</v>
      </c>
      <c r="AB274" s="6">
        <f t="shared" si="18"/>
        <v>0</v>
      </c>
      <c r="AC274" s="6">
        <f>(L274-M274)*(W274+X274)+($W$176+$X$176-$W$274-$X$274)*(L274)</f>
        <v>35097.326319999986</v>
      </c>
      <c r="AD274" s="6">
        <f t="shared" si="19"/>
        <v>0</v>
      </c>
      <c r="AE274" s="6">
        <f ca="1">(L274-M274)*(Z274+AA274)+($Z$176+$AA$176-$Z$274-$AA$274)*(L274)</f>
        <v>19925.588896415222</v>
      </c>
      <c r="AF274" s="4" t="s">
        <v>779</v>
      </c>
    </row>
    <row r="275" spans="1:32" ht="11.25" customHeight="1" x14ac:dyDescent="0.25">
      <c r="A275" s="4" t="s">
        <v>27</v>
      </c>
      <c r="B275" s="4" t="s">
        <v>44</v>
      </c>
      <c r="C275" s="4" t="s">
        <v>23</v>
      </c>
      <c r="D275" s="4" t="s">
        <v>45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44562</v>
      </c>
      <c r="J275" s="6">
        <v>0</v>
      </c>
      <c r="K275" s="6">
        <v>0</v>
      </c>
      <c r="L275" s="6">
        <v>-0.97599999999999998</v>
      </c>
      <c r="M275" s="6">
        <v>-0.97599999999999998</v>
      </c>
      <c r="N275" s="6">
        <v>-0.97599999999999998</v>
      </c>
      <c r="O275" s="6">
        <v>-0.97599999999999998</v>
      </c>
      <c r="P275" s="6">
        <v>0</v>
      </c>
      <c r="Q275" s="4" t="s">
        <v>26</v>
      </c>
      <c r="R275" s="4">
        <v>0</v>
      </c>
      <c r="S275" s="4">
        <v>0</v>
      </c>
      <c r="T275" s="4">
        <v>43</v>
      </c>
      <c r="U275" s="4">
        <v>84</v>
      </c>
      <c r="V275" s="6">
        <f>IF(ISERROR(VLOOKUP($S$275,'TAR FIN'!$A$1:$O$103,15,0)),0,VLOOKUP($S$275,'TAR FIN'!$A$1:$O$103,15,0))</f>
        <v>0</v>
      </c>
      <c r="W275" s="6">
        <f>IF(ISERROR(VLOOKUP($T$275,'TAR FIN'!$A$1:$O$103,15,0)),0,VLOOKUP($T$275,'TAR FIN'!$A$1:$O$103,15,0))</f>
        <v>237.52</v>
      </c>
      <c r="X275" s="6">
        <f>IF(ISERROR(VLOOKUP($U$275,'TAR FIN'!$A$1:$O$103,15,0)),0,VLOOKUP($U$275,'TAR FIN'!$A$1:$O$103,15,0))</f>
        <v>254.23</v>
      </c>
      <c r="Y275" s="6"/>
      <c r="Z275" s="6">
        <f ca="1">('TUSD BE'!$AM$43+'TUSD BF'!$AM$43+'TUSD CVA'!$AM$43)*(1-CUSTOS!$M$38)</f>
        <v>340.73849544844359</v>
      </c>
      <c r="AA275" s="6">
        <f>('TE BE'!$AB$27+'TE BF'!$AB$27+'TE CVA'!$AB$27)*(1-CUSTOS!$M$38)</f>
        <v>255.71595640830878</v>
      </c>
      <c r="AB275" s="6">
        <f t="shared" si="18"/>
        <v>0</v>
      </c>
      <c r="AC275" s="6">
        <f>(L275-M275)*(W275+X275)+($W$176+$X$176-$W$275-$X$275)*(L275)</f>
        <v>-65.450559999999967</v>
      </c>
      <c r="AD275" s="6">
        <f t="shared" si="19"/>
        <v>0</v>
      </c>
      <c r="AE275" s="6">
        <f ca="1">(L275-M275)*(Z275+AA275)+($Z$176+$AA$176-$Z$275-$AA$275)*(L275)</f>
        <v>-37.157843298650405</v>
      </c>
      <c r="AF275" s="4" t="s">
        <v>779</v>
      </c>
    </row>
    <row r="276" spans="1:32" ht="11.25" customHeight="1" x14ac:dyDescent="0.25">
      <c r="A276" s="4" t="s">
        <v>28</v>
      </c>
      <c r="B276" s="4" t="s">
        <v>44</v>
      </c>
      <c r="C276" s="4" t="s">
        <v>23</v>
      </c>
      <c r="D276" s="4" t="s">
        <v>45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44562</v>
      </c>
      <c r="J276" s="6">
        <v>0</v>
      </c>
      <c r="K276" s="6">
        <v>0</v>
      </c>
      <c r="L276" s="6">
        <v>3.7149999999999999</v>
      </c>
      <c r="M276" s="6">
        <v>3.7149999999999999</v>
      </c>
      <c r="N276" s="6">
        <v>3.7149999999999999</v>
      </c>
      <c r="O276" s="6">
        <v>3.7149999999999999</v>
      </c>
      <c r="P276" s="6">
        <v>21</v>
      </c>
      <c r="Q276" s="4" t="s">
        <v>26</v>
      </c>
      <c r="R276" s="4">
        <v>0</v>
      </c>
      <c r="S276" s="4">
        <v>0</v>
      </c>
      <c r="T276" s="4">
        <v>43</v>
      </c>
      <c r="U276" s="4">
        <v>84</v>
      </c>
      <c r="V276" s="6">
        <f>IF(ISERROR(VLOOKUP($S$276,'TAR FIN'!$A$1:$O$103,15,0)),0,VLOOKUP($S$276,'TAR FIN'!$A$1:$O$103,15,0))</f>
        <v>0</v>
      </c>
      <c r="W276" s="6">
        <f>IF(ISERROR(VLOOKUP($T$276,'TAR FIN'!$A$1:$O$103,15,0)),0,VLOOKUP($T$276,'TAR FIN'!$A$1:$O$103,15,0))</f>
        <v>237.52</v>
      </c>
      <c r="X276" s="6">
        <f>IF(ISERROR(VLOOKUP($U$276,'TAR FIN'!$A$1:$O$103,15,0)),0,VLOOKUP($U$276,'TAR FIN'!$A$1:$O$103,15,0))</f>
        <v>254.23</v>
      </c>
      <c r="Y276" s="6"/>
      <c r="Z276" s="6">
        <f ca="1">('TUSD BE'!$AM$43+'TUSD BF'!$AM$43+'TUSD CVA'!$AM$43)*(1-CUSTOS!$M$38)</f>
        <v>340.73849544844359</v>
      </c>
      <c r="AA276" s="6">
        <f>('TE BE'!$AB$27+'TE BF'!$AB$27+'TE CVA'!$AB$27)*(1-CUSTOS!$M$38)</f>
        <v>255.71595640830878</v>
      </c>
      <c r="AB276" s="6">
        <f t="shared" si="18"/>
        <v>0</v>
      </c>
      <c r="AC276" s="6">
        <f>(L276-M276)*(W276+X276)+($W$176+$X$176-$W$276-$X$276)*(L276)</f>
        <v>249.1278999999999</v>
      </c>
      <c r="AD276" s="6">
        <f t="shared" si="19"/>
        <v>0</v>
      </c>
      <c r="AE276" s="6">
        <f ca="1">(L276-M276)*(Z276+AA276)+($Z$176+$AA$176-$Z$276-$AA$276)*(L276)</f>
        <v>141.43584821156378</v>
      </c>
      <c r="AF276" s="4" t="s">
        <v>779</v>
      </c>
    </row>
    <row r="277" spans="1:32" ht="11.25" customHeight="1" x14ac:dyDescent="0.25">
      <c r="A277" s="4" t="s">
        <v>21</v>
      </c>
      <c r="B277" s="4" t="s">
        <v>44</v>
      </c>
      <c r="C277" s="4" t="s">
        <v>23</v>
      </c>
      <c r="D277" s="4" t="s">
        <v>45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44593</v>
      </c>
      <c r="J277" s="6">
        <v>0</v>
      </c>
      <c r="K277" s="6">
        <v>0</v>
      </c>
      <c r="L277" s="6">
        <v>521.06500000000005</v>
      </c>
      <c r="M277" s="6">
        <v>521.06500000000005</v>
      </c>
      <c r="N277" s="6">
        <v>521.06500000000005</v>
      </c>
      <c r="O277" s="6">
        <v>521.06500000000005</v>
      </c>
      <c r="P277" s="6">
        <v>1728</v>
      </c>
      <c r="Q277" s="4" t="s">
        <v>26</v>
      </c>
      <c r="R277" s="4">
        <v>0</v>
      </c>
      <c r="S277" s="4">
        <v>0</v>
      </c>
      <c r="T277" s="4">
        <v>43</v>
      </c>
      <c r="U277" s="4">
        <v>84</v>
      </c>
      <c r="V277" s="6">
        <f>IF(ISERROR(VLOOKUP($S$277,'TAR FIN'!$A$1:$O$103,15,0)),0,VLOOKUP($S$277,'TAR FIN'!$A$1:$O$103,15,0))</f>
        <v>0</v>
      </c>
      <c r="W277" s="6">
        <f>IF(ISERROR(VLOOKUP($T$277,'TAR FIN'!$A$1:$O$103,15,0)),0,VLOOKUP($T$277,'TAR FIN'!$A$1:$O$103,15,0))</f>
        <v>237.52</v>
      </c>
      <c r="X277" s="6">
        <f>IF(ISERROR(VLOOKUP($U$277,'TAR FIN'!$A$1:$O$103,15,0)),0,VLOOKUP($U$277,'TAR FIN'!$A$1:$O$103,15,0))</f>
        <v>254.23</v>
      </c>
      <c r="Y277" s="6"/>
      <c r="Z277" s="6">
        <f ca="1">('TUSD BE'!$AM$43+'TUSD BF'!$AM$43+'TUSD CVA'!$AM$43)*(1-CUSTOS!$M$38)</f>
        <v>340.73849544844359</v>
      </c>
      <c r="AA277" s="6">
        <f>('TE BE'!$AB$27+'TE BF'!$AB$27+'TE CVA'!$AB$27)*(1-CUSTOS!$M$38)</f>
        <v>255.71595640830878</v>
      </c>
      <c r="AB277" s="6">
        <f t="shared" si="18"/>
        <v>0</v>
      </c>
      <c r="AC277" s="6">
        <f>(L277-M277)*(W277+X277)+($W$176+$X$176-$W$277-$X$277)*(L277)</f>
        <v>34942.618899999987</v>
      </c>
      <c r="AD277" s="6">
        <f t="shared" si="19"/>
        <v>0</v>
      </c>
      <c r="AE277" s="6">
        <f ca="1">(L277-M277)*(Z277+AA277)+($Z$176+$AA$176-$Z$277-$AA$277)*(L277)</f>
        <v>19837.757805749257</v>
      </c>
      <c r="AF277" s="4" t="s">
        <v>779</v>
      </c>
    </row>
    <row r="278" spans="1:32" ht="11.25" customHeight="1" x14ac:dyDescent="0.25">
      <c r="A278" s="4" t="s">
        <v>21</v>
      </c>
      <c r="B278" s="4" t="s">
        <v>44</v>
      </c>
      <c r="C278" s="4" t="s">
        <v>23</v>
      </c>
      <c r="D278" s="4" t="s">
        <v>45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44621</v>
      </c>
      <c r="J278" s="6">
        <v>0</v>
      </c>
      <c r="K278" s="6">
        <v>0</v>
      </c>
      <c r="L278" s="6">
        <v>508.90899999999999</v>
      </c>
      <c r="M278" s="6">
        <v>508.90899999999999</v>
      </c>
      <c r="N278" s="6">
        <v>508.90899999999999</v>
      </c>
      <c r="O278" s="6">
        <v>508.90899999999999</v>
      </c>
      <c r="P278" s="6">
        <v>1728</v>
      </c>
      <c r="Q278" s="4" t="s">
        <v>26</v>
      </c>
      <c r="R278" s="4">
        <v>0</v>
      </c>
      <c r="S278" s="4">
        <v>0</v>
      </c>
      <c r="T278" s="4">
        <v>43</v>
      </c>
      <c r="U278" s="4">
        <v>84</v>
      </c>
      <c r="V278" s="6">
        <f>IF(ISERROR(VLOOKUP($S$278,'TAR FIN'!$A$1:$O$103,15,0)),0,VLOOKUP($S$278,'TAR FIN'!$A$1:$O$103,15,0))</f>
        <v>0</v>
      </c>
      <c r="W278" s="6">
        <f>IF(ISERROR(VLOOKUP($T$278,'TAR FIN'!$A$1:$O$103,15,0)),0,VLOOKUP($T$278,'TAR FIN'!$A$1:$O$103,15,0))</f>
        <v>237.52</v>
      </c>
      <c r="X278" s="6">
        <f>IF(ISERROR(VLOOKUP($U$278,'TAR FIN'!$A$1:$O$103,15,0)),0,VLOOKUP($U$278,'TAR FIN'!$A$1:$O$103,15,0))</f>
        <v>254.23</v>
      </c>
      <c r="Y278" s="6"/>
      <c r="Z278" s="6">
        <f ca="1">('TUSD BE'!$AM$43+'TUSD BF'!$AM$43+'TUSD CVA'!$AM$43)*(1-CUSTOS!$M$38)</f>
        <v>340.73849544844359</v>
      </c>
      <c r="AA278" s="6">
        <f>('TE BE'!$AB$27+'TE BF'!$AB$27+'TE CVA'!$AB$27)*(1-CUSTOS!$M$38)</f>
        <v>255.71595640830878</v>
      </c>
      <c r="AB278" s="6">
        <f t="shared" si="18"/>
        <v>0</v>
      </c>
      <c r="AC278" s="6">
        <f>(L278-M278)*(W278+X278)+($W$176+$X$176-$W$278-$X$278)*(L278)</f>
        <v>34127.437539999984</v>
      </c>
      <c r="AD278" s="6">
        <f t="shared" si="19"/>
        <v>0</v>
      </c>
      <c r="AE278" s="6">
        <f ca="1">(L278-M278)*(Z278+AA278)+($Z$176+$AA$176-$Z$278-$AA$278)*(L278)</f>
        <v>19374.959913189425</v>
      </c>
      <c r="AF278" s="4" t="s">
        <v>779</v>
      </c>
    </row>
    <row r="279" spans="1:32" ht="11.25" customHeight="1" x14ac:dyDescent="0.25">
      <c r="A279" s="4" t="s">
        <v>28</v>
      </c>
      <c r="B279" s="4" t="s">
        <v>44</v>
      </c>
      <c r="C279" s="4" t="s">
        <v>23</v>
      </c>
      <c r="D279" s="4" t="s">
        <v>45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44621</v>
      </c>
      <c r="J279" s="6">
        <v>0</v>
      </c>
      <c r="K279" s="6">
        <v>0</v>
      </c>
      <c r="L279" s="6">
        <v>5.8129999999999997</v>
      </c>
      <c r="M279" s="6">
        <v>5.8129999999999997</v>
      </c>
      <c r="N279" s="6">
        <v>5.8129999999999997</v>
      </c>
      <c r="O279" s="6">
        <v>5.8129999999999997</v>
      </c>
      <c r="P279" s="6">
        <v>24</v>
      </c>
      <c r="Q279" s="4" t="s">
        <v>26</v>
      </c>
      <c r="R279" s="4">
        <v>0</v>
      </c>
      <c r="S279" s="4">
        <v>0</v>
      </c>
      <c r="T279" s="4">
        <v>43</v>
      </c>
      <c r="U279" s="4">
        <v>84</v>
      </c>
      <c r="V279" s="6">
        <f>IF(ISERROR(VLOOKUP($S$279,'TAR FIN'!$A$1:$O$103,15,0)),0,VLOOKUP($S$279,'TAR FIN'!$A$1:$O$103,15,0))</f>
        <v>0</v>
      </c>
      <c r="W279" s="6">
        <f>IF(ISERROR(VLOOKUP($T$279,'TAR FIN'!$A$1:$O$103,15,0)),0,VLOOKUP($T$279,'TAR FIN'!$A$1:$O$103,15,0))</f>
        <v>237.52</v>
      </c>
      <c r="X279" s="6">
        <f>IF(ISERROR(VLOOKUP($U$279,'TAR FIN'!$A$1:$O$103,15,0)),0,VLOOKUP($U$279,'TAR FIN'!$A$1:$O$103,15,0))</f>
        <v>254.23</v>
      </c>
      <c r="Y279" s="6"/>
      <c r="Z279" s="6">
        <f ca="1">('TUSD BE'!$AM$43+'TUSD BF'!$AM$43+'TUSD CVA'!$AM$43)*(1-CUSTOS!$M$38)</f>
        <v>340.73849544844359</v>
      </c>
      <c r="AA279" s="6">
        <f>('TE BE'!$AB$27+'TE BF'!$AB$27+'TE CVA'!$AB$27)*(1-CUSTOS!$M$38)</f>
        <v>255.71595640830878</v>
      </c>
      <c r="AB279" s="6">
        <f t="shared" si="18"/>
        <v>0</v>
      </c>
      <c r="AC279" s="6">
        <f>(L279-M279)*(W279+X279)+($W$176+$X$176-$W$279-$X$279)*(L279)</f>
        <v>389.81977999999981</v>
      </c>
      <c r="AD279" s="6">
        <f t="shared" si="19"/>
        <v>0</v>
      </c>
      <c r="AE279" s="6">
        <f ca="1">(L279-M279)*(Z279+AA279)+($Z$176+$AA$176-$Z$279-$AA$279)*(L279)</f>
        <v>221.30998267935942</v>
      </c>
      <c r="AF279" s="4" t="s">
        <v>779</v>
      </c>
    </row>
    <row r="280" spans="1:32" ht="11.25" customHeight="1" x14ac:dyDescent="0.25">
      <c r="A280" s="4" t="s">
        <v>21</v>
      </c>
      <c r="B280" s="4" t="s">
        <v>44</v>
      </c>
      <c r="C280" s="4" t="s">
        <v>23</v>
      </c>
      <c r="D280" s="4" t="s">
        <v>45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44652</v>
      </c>
      <c r="J280" s="6">
        <v>0</v>
      </c>
      <c r="K280" s="6">
        <v>0</v>
      </c>
      <c r="L280" s="6">
        <v>484.93299999999999</v>
      </c>
      <c r="M280" s="6">
        <v>484.93299999999999</v>
      </c>
      <c r="N280" s="6">
        <v>484.93299999999999</v>
      </c>
      <c r="O280" s="6">
        <v>484.93299999999999</v>
      </c>
      <c r="P280" s="6">
        <v>1705</v>
      </c>
      <c r="Q280" s="4" t="s">
        <v>26</v>
      </c>
      <c r="R280" s="4">
        <v>0</v>
      </c>
      <c r="S280" s="4">
        <v>0</v>
      </c>
      <c r="T280" s="4">
        <v>43</v>
      </c>
      <c r="U280" s="4">
        <v>84</v>
      </c>
      <c r="V280" s="6">
        <f>IF(ISERROR(VLOOKUP($S$280,'TAR FIN'!$A$1:$O$103,15,0)),0,VLOOKUP($S$280,'TAR FIN'!$A$1:$O$103,15,0))</f>
        <v>0</v>
      </c>
      <c r="W280" s="6">
        <f>IF(ISERROR(VLOOKUP($T$280,'TAR FIN'!$A$1:$O$103,15,0)),0,VLOOKUP($T$280,'TAR FIN'!$A$1:$O$103,15,0))</f>
        <v>237.52</v>
      </c>
      <c r="X280" s="6">
        <f>IF(ISERROR(VLOOKUP($U$280,'TAR FIN'!$A$1:$O$103,15,0)),0,VLOOKUP($U$280,'TAR FIN'!$A$1:$O$103,15,0))</f>
        <v>254.23</v>
      </c>
      <c r="Y280" s="6"/>
      <c r="Z280" s="6">
        <f ca="1">('TUSD BE'!$AM$43+'TUSD BF'!$AM$43+'TUSD CVA'!$AM$43)*(1-CUSTOS!$M$38)</f>
        <v>340.73849544844359</v>
      </c>
      <c r="AA280" s="6">
        <f>('TE BE'!$AB$27+'TE BF'!$AB$27+'TE CVA'!$AB$27)*(1-CUSTOS!$M$38)</f>
        <v>255.71595640830878</v>
      </c>
      <c r="AB280" s="6">
        <f t="shared" si="18"/>
        <v>0</v>
      </c>
      <c r="AC280" s="6">
        <f>(L280-M280)*(W280+X280)+($W$176+$X$176-$W$280-$X$280)*(L280)</f>
        <v>32519.606979999986</v>
      </c>
      <c r="AD280" s="6">
        <f t="shared" si="19"/>
        <v>0</v>
      </c>
      <c r="AE280" s="6">
        <f ca="1">(L280-M280)*(Z280+AA280)+($Z$176+$AA$176-$Z$280-$AA$280)*(L280)</f>
        <v>18462.156172484054</v>
      </c>
      <c r="AF280" s="4" t="s">
        <v>779</v>
      </c>
    </row>
    <row r="281" spans="1:32" ht="11.25" customHeight="1" x14ac:dyDescent="0.25">
      <c r="A281" s="4" t="s">
        <v>28</v>
      </c>
      <c r="B281" s="4" t="s">
        <v>44</v>
      </c>
      <c r="C281" s="4" t="s">
        <v>23</v>
      </c>
      <c r="D281" s="4" t="s">
        <v>45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44652</v>
      </c>
      <c r="J281" s="6">
        <v>0</v>
      </c>
      <c r="K281" s="6">
        <v>0</v>
      </c>
      <c r="L281" s="6">
        <v>7.4870000000000001</v>
      </c>
      <c r="M281" s="6">
        <v>7.4870000000000001</v>
      </c>
      <c r="N281" s="6">
        <v>7.4870000000000001</v>
      </c>
      <c r="O281" s="6">
        <v>7.4870000000000001</v>
      </c>
      <c r="P281" s="6">
        <v>24</v>
      </c>
      <c r="Q281" s="4" t="s">
        <v>26</v>
      </c>
      <c r="R281" s="4">
        <v>0</v>
      </c>
      <c r="S281" s="4">
        <v>0</v>
      </c>
      <c r="T281" s="4">
        <v>43</v>
      </c>
      <c r="U281" s="4">
        <v>84</v>
      </c>
      <c r="V281" s="6">
        <f>IF(ISERROR(VLOOKUP($S$281,'TAR FIN'!$A$1:$O$103,15,0)),0,VLOOKUP($S$281,'TAR FIN'!$A$1:$O$103,15,0))</f>
        <v>0</v>
      </c>
      <c r="W281" s="6">
        <f>IF(ISERROR(VLOOKUP($T$281,'TAR FIN'!$A$1:$O$103,15,0)),0,VLOOKUP($T$281,'TAR FIN'!$A$1:$O$103,15,0))</f>
        <v>237.52</v>
      </c>
      <c r="X281" s="6">
        <f>IF(ISERROR(VLOOKUP($U$281,'TAR FIN'!$A$1:$O$103,15,0)),0,VLOOKUP($U$281,'TAR FIN'!$A$1:$O$103,15,0))</f>
        <v>254.23</v>
      </c>
      <c r="Y281" s="6"/>
      <c r="Z281" s="6">
        <f ca="1">('TUSD BE'!$AM$43+'TUSD BF'!$AM$43+'TUSD CVA'!$AM$43)*(1-CUSTOS!$M$38)</f>
        <v>340.73849544844359</v>
      </c>
      <c r="AA281" s="6">
        <f>('TE BE'!$AB$27+'TE BF'!$AB$27+'TE CVA'!$AB$27)*(1-CUSTOS!$M$38)</f>
        <v>255.71595640830878</v>
      </c>
      <c r="AB281" s="6">
        <f t="shared" si="18"/>
        <v>0</v>
      </c>
      <c r="AC281" s="6">
        <f>(L281-M281)*(W281+X281)+($W$176+$X$176-$W$281-$X$281)*(L281)</f>
        <v>502.07821999999982</v>
      </c>
      <c r="AD281" s="6">
        <f t="shared" si="19"/>
        <v>0</v>
      </c>
      <c r="AE281" s="6">
        <f ca="1">(L281-M281)*(Z281+AA281)+($Z$176+$AA$176-$Z$281-$AA$281)*(L281)</f>
        <v>285.04177538626595</v>
      </c>
      <c r="AF281" s="4" t="s">
        <v>779</v>
      </c>
    </row>
    <row r="282" spans="1:32" ht="11.25" customHeight="1" x14ac:dyDescent="0.25">
      <c r="A282" s="4" t="s">
        <v>21</v>
      </c>
      <c r="B282" s="4" t="s">
        <v>44</v>
      </c>
      <c r="C282" s="4" t="s">
        <v>23</v>
      </c>
      <c r="D282" s="4" t="s">
        <v>45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44682</v>
      </c>
      <c r="J282" s="6">
        <v>0</v>
      </c>
      <c r="K282" s="6">
        <v>0</v>
      </c>
      <c r="L282" s="6">
        <v>504.78500000000003</v>
      </c>
      <c r="M282" s="6">
        <v>504.78500000000003</v>
      </c>
      <c r="N282" s="6">
        <v>504.78500000000003</v>
      </c>
      <c r="O282" s="6">
        <v>504.78500000000003</v>
      </c>
      <c r="P282" s="6">
        <v>1691</v>
      </c>
      <c r="Q282" s="4" t="s">
        <v>26</v>
      </c>
      <c r="R282" s="4">
        <v>0</v>
      </c>
      <c r="S282" s="4">
        <v>0</v>
      </c>
      <c r="T282" s="4">
        <v>43</v>
      </c>
      <c r="U282" s="4">
        <v>84</v>
      </c>
      <c r="V282" s="6">
        <f>IF(ISERROR(VLOOKUP($S$282,'TAR FIN'!$A$1:$O$103,15,0)),0,VLOOKUP($S$282,'TAR FIN'!$A$1:$O$103,15,0))</f>
        <v>0</v>
      </c>
      <c r="W282" s="6">
        <f>IF(ISERROR(VLOOKUP($T$282,'TAR FIN'!$A$1:$O$103,15,0)),0,VLOOKUP($T$282,'TAR FIN'!$A$1:$O$103,15,0))</f>
        <v>237.52</v>
      </c>
      <c r="X282" s="6">
        <f>IF(ISERROR(VLOOKUP($U$282,'TAR FIN'!$A$1:$O$103,15,0)),0,VLOOKUP($U$282,'TAR FIN'!$A$1:$O$103,15,0))</f>
        <v>254.23</v>
      </c>
      <c r="Y282" s="6"/>
      <c r="Z282" s="6">
        <f ca="1">('TUSD BE'!$AM$43+'TUSD BF'!$AM$43+'TUSD CVA'!$AM$43)*(1-CUSTOS!$M$38)</f>
        <v>340.73849544844359</v>
      </c>
      <c r="AA282" s="6">
        <f>('TE BE'!$AB$27+'TE BF'!$AB$27+'TE CVA'!$AB$27)*(1-CUSTOS!$M$38)</f>
        <v>255.71595640830878</v>
      </c>
      <c r="AB282" s="6">
        <f t="shared" si="18"/>
        <v>0</v>
      </c>
      <c r="AC282" s="6">
        <f>(L282-M282)*(W282+X282)+($W$176+$X$176-$W$282-$X$282)*(L282)</f>
        <v>33850.882099999988</v>
      </c>
      <c r="AD282" s="6">
        <f t="shared" si="19"/>
        <v>0</v>
      </c>
      <c r="AE282" s="6">
        <f ca="1">(L282-M282)*(Z282+AA282)+($Z$176+$AA$176-$Z$282-$AA$282)*(L282)</f>
        <v>19217.952796628324</v>
      </c>
      <c r="AF282" s="4" t="s">
        <v>779</v>
      </c>
    </row>
    <row r="283" spans="1:32" ht="11.25" customHeight="1" x14ac:dyDescent="0.25">
      <c r="A283" s="4" t="s">
        <v>27</v>
      </c>
      <c r="B283" s="4" t="s">
        <v>44</v>
      </c>
      <c r="C283" s="4" t="s">
        <v>23</v>
      </c>
      <c r="D283" s="4" t="s">
        <v>45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44682</v>
      </c>
      <c r="J283" s="6">
        <v>0</v>
      </c>
      <c r="K283" s="6">
        <v>0</v>
      </c>
      <c r="L283" s="6">
        <v>0.27500000000000002</v>
      </c>
      <c r="M283" s="6">
        <v>0.27500000000000002</v>
      </c>
      <c r="N283" s="6">
        <v>0.27500000000000002</v>
      </c>
      <c r="O283" s="6">
        <v>0.27500000000000002</v>
      </c>
      <c r="P283" s="6">
        <v>0</v>
      </c>
      <c r="Q283" s="4" t="s">
        <v>26</v>
      </c>
      <c r="R283" s="4">
        <v>0</v>
      </c>
      <c r="S283" s="4">
        <v>0</v>
      </c>
      <c r="T283" s="4">
        <v>43</v>
      </c>
      <c r="U283" s="4">
        <v>84</v>
      </c>
      <c r="V283" s="6">
        <f>IF(ISERROR(VLOOKUP($S$283,'TAR FIN'!$A$1:$O$103,15,0)),0,VLOOKUP($S$283,'TAR FIN'!$A$1:$O$103,15,0))</f>
        <v>0</v>
      </c>
      <c r="W283" s="6">
        <f>IF(ISERROR(VLOOKUP($T$283,'TAR FIN'!$A$1:$O$103,15,0)),0,VLOOKUP($T$283,'TAR FIN'!$A$1:$O$103,15,0))</f>
        <v>237.52</v>
      </c>
      <c r="X283" s="6">
        <f>IF(ISERROR(VLOOKUP($U$283,'TAR FIN'!$A$1:$O$103,15,0)),0,VLOOKUP($U$283,'TAR FIN'!$A$1:$O$103,15,0))</f>
        <v>254.23</v>
      </c>
      <c r="Y283" s="6"/>
      <c r="Z283" s="6">
        <f ca="1">('TUSD BE'!$AM$43+'TUSD BF'!$AM$43+'TUSD CVA'!$AM$43)*(1-CUSTOS!$M$38)</f>
        <v>340.73849544844359</v>
      </c>
      <c r="AA283" s="6">
        <f>('TE BE'!$AB$27+'TE BF'!$AB$27+'TE CVA'!$AB$27)*(1-CUSTOS!$M$38)</f>
        <v>255.71595640830878</v>
      </c>
      <c r="AB283" s="6">
        <f t="shared" si="18"/>
        <v>0</v>
      </c>
      <c r="AC283" s="6">
        <f>(L283-M283)*(W283+X283)+($W$176+$X$176-$W$283-$X$283)*(L283)</f>
        <v>18.441499999999994</v>
      </c>
      <c r="AD283" s="6">
        <f t="shared" si="19"/>
        <v>0</v>
      </c>
      <c r="AE283" s="6">
        <f ca="1">(L283-M283)*(Z283+AA283)+($Z$176+$AA$176-$Z$283-$AA$283)*(L283)</f>
        <v>10.469679208123834</v>
      </c>
      <c r="AF283" s="4" t="s">
        <v>779</v>
      </c>
    </row>
    <row r="284" spans="1:32" ht="11.25" customHeight="1" x14ac:dyDescent="0.25">
      <c r="A284" s="4" t="s">
        <v>28</v>
      </c>
      <c r="B284" s="4" t="s">
        <v>44</v>
      </c>
      <c r="C284" s="4" t="s">
        <v>23</v>
      </c>
      <c r="D284" s="4" t="s">
        <v>45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44682</v>
      </c>
      <c r="J284" s="6">
        <v>0</v>
      </c>
      <c r="K284" s="6">
        <v>0</v>
      </c>
      <c r="L284" s="6">
        <v>8.8949999999999996</v>
      </c>
      <c r="M284" s="6">
        <v>8.8949999999999996</v>
      </c>
      <c r="N284" s="6">
        <v>8.8949999999999996</v>
      </c>
      <c r="O284" s="6">
        <v>8.8949999999999996</v>
      </c>
      <c r="P284" s="6">
        <v>29</v>
      </c>
      <c r="Q284" s="4" t="s">
        <v>26</v>
      </c>
      <c r="R284" s="4">
        <v>0</v>
      </c>
      <c r="S284" s="4">
        <v>0</v>
      </c>
      <c r="T284" s="4">
        <v>43</v>
      </c>
      <c r="U284" s="4">
        <v>84</v>
      </c>
      <c r="V284" s="6">
        <f>IF(ISERROR(VLOOKUP($S$284,'TAR FIN'!$A$1:$O$103,15,0)),0,VLOOKUP($S$284,'TAR FIN'!$A$1:$O$103,15,0))</f>
        <v>0</v>
      </c>
      <c r="W284" s="6">
        <f>IF(ISERROR(VLOOKUP($T$284,'TAR FIN'!$A$1:$O$103,15,0)),0,VLOOKUP($T$284,'TAR FIN'!$A$1:$O$103,15,0))</f>
        <v>237.52</v>
      </c>
      <c r="X284" s="6">
        <f>IF(ISERROR(VLOOKUP($U$284,'TAR FIN'!$A$1:$O$103,15,0)),0,VLOOKUP($U$284,'TAR FIN'!$A$1:$O$103,15,0))</f>
        <v>254.23</v>
      </c>
      <c r="Y284" s="6"/>
      <c r="Z284" s="6">
        <f ca="1">('TUSD BE'!$AM$43+'TUSD BF'!$AM$43+'TUSD CVA'!$AM$43)*(1-CUSTOS!$M$38)</f>
        <v>340.73849544844359</v>
      </c>
      <c r="AA284" s="6">
        <f>('TE BE'!$AB$27+'TE BF'!$AB$27+'TE CVA'!$AB$27)*(1-CUSTOS!$M$38)</f>
        <v>255.71595640830878</v>
      </c>
      <c r="AB284" s="6">
        <f t="shared" si="18"/>
        <v>0</v>
      </c>
      <c r="AC284" s="6">
        <f>(L284-M284)*(W284+X284)+($W$176+$X$176-$W$284-$X$284)*(L284)</f>
        <v>596.49869999999976</v>
      </c>
      <c r="AD284" s="6">
        <f t="shared" si="19"/>
        <v>0</v>
      </c>
      <c r="AE284" s="6">
        <f ca="1">(L284-M284)*(Z284+AA284)+($Z$176+$AA$176-$Z$284-$AA$284)*(L284)</f>
        <v>338.64653293185995</v>
      </c>
      <c r="AF284" s="4" t="s">
        <v>779</v>
      </c>
    </row>
    <row r="285" spans="1:32" ht="11.25" customHeight="1" x14ac:dyDescent="0.25">
      <c r="A285" s="4" t="s">
        <v>21</v>
      </c>
      <c r="B285" s="4" t="s">
        <v>39</v>
      </c>
      <c r="C285" s="4" t="s">
        <v>23</v>
      </c>
      <c r="D285" s="4" t="s">
        <v>50</v>
      </c>
      <c r="E285" s="4" t="s">
        <v>51</v>
      </c>
      <c r="F285" s="4" t="s">
        <v>25</v>
      </c>
      <c r="G285" s="4" t="s">
        <v>25</v>
      </c>
      <c r="H285" s="4" t="s">
        <v>25</v>
      </c>
      <c r="I285" s="5">
        <v>44348</v>
      </c>
      <c r="J285" s="6">
        <v>0</v>
      </c>
      <c r="K285" s="53">
        <v>0</v>
      </c>
      <c r="L285" s="6">
        <v>42.679000000000002</v>
      </c>
      <c r="M285" s="53">
        <v>42.679000000000002</v>
      </c>
      <c r="N285" s="6">
        <v>42.679000000000002</v>
      </c>
      <c r="O285" s="53">
        <v>42.679000000000002</v>
      </c>
      <c r="P285" s="6">
        <v>49</v>
      </c>
      <c r="Q285" s="4" t="s">
        <v>26</v>
      </c>
      <c r="R285" s="4">
        <v>0</v>
      </c>
      <c r="S285" s="4">
        <v>0</v>
      </c>
      <c r="T285" s="4">
        <v>58</v>
      </c>
      <c r="U285" s="4">
        <v>99</v>
      </c>
      <c r="V285" s="53">
        <f>IF(ISERROR(VLOOKUP($S$285,'TAR FIN'!$A$1:$O$103,15,0)),0,VLOOKUP($S$285,'TAR FIN'!$A$1:$O$103,15,0))</f>
        <v>0</v>
      </c>
      <c r="W285" s="53">
        <f>IF(ISERROR(VLOOKUP($T$285,'TAR FIN'!$A$1:$O$103,15,0)),0,VLOOKUP($T$285,'TAR FIN'!$A$1:$O$103,15,0))*(1-0.06)</f>
        <v>253.71540000000002</v>
      </c>
      <c r="X285" s="53">
        <f>IF(ISERROR(VLOOKUP($U$285,'TAR FIN'!$A$1:$O$103,15,0)),0,VLOOKUP($U$285,'TAR FIN'!$A$1:$O$103,15,0))*(1-0.06)</f>
        <v>271.56599999999997</v>
      </c>
      <c r="Y285" s="53"/>
      <c r="Z285" s="53">
        <f ca="1">('TUSD BE'!$AM$58+'TUSD BF'!$AM$58+'TUSD CVA'!$AM$58)*1*(1-0.03)</f>
        <v>351.61312828190455</v>
      </c>
      <c r="AA285" s="53">
        <f>('TE BE'!$AB$42+'TE BF'!$AB$42+'TE CVA'!$AB$42)*1*(1-0.03)</f>
        <v>263.87710395325485</v>
      </c>
      <c r="AB285" s="53">
        <f>(SUBSIDIO!$J$285*SUBSIDIO!$V$285)*(0.06)/(1-0.06)</f>
        <v>0</v>
      </c>
      <c r="AC285" s="53">
        <f>((SUBSIDIO!$L$285*SUBSIDIO!$W$285)+(SUBSIDIO!$N$285*SUBSIDIO!$X$285))*(0.06)/(1-0.06)</f>
        <v>1430.9671194</v>
      </c>
      <c r="AD285" s="53">
        <f>(SUBSIDIO!$J$285*SUBSIDIO!$Y$285)*(0.03)/(1-0.03)</f>
        <v>0</v>
      </c>
      <c r="AE285" s="53">
        <f ca="1">((SUBSIDIO!$L$285*SUBSIDIO!$Z$285)+(SUBSIDIO!$N$285*SUBSIDIO!$AA$285))*(0.03)/(1-0.03)</f>
        <v>812.42807077003204</v>
      </c>
      <c r="AF285" s="4" t="s">
        <v>778</v>
      </c>
    </row>
    <row r="286" spans="1:32" ht="11.25" customHeight="1" x14ac:dyDescent="0.25">
      <c r="A286" s="4" t="s">
        <v>21</v>
      </c>
      <c r="B286" s="4" t="s">
        <v>39</v>
      </c>
      <c r="C286" s="4" t="s">
        <v>23</v>
      </c>
      <c r="D286" s="4" t="s">
        <v>50</v>
      </c>
      <c r="E286" s="4" t="s">
        <v>51</v>
      </c>
      <c r="F286" s="4" t="s">
        <v>25</v>
      </c>
      <c r="G286" s="4" t="s">
        <v>25</v>
      </c>
      <c r="H286" s="4" t="s">
        <v>25</v>
      </c>
      <c r="I286" s="5">
        <v>44378</v>
      </c>
      <c r="J286" s="6">
        <v>0</v>
      </c>
      <c r="K286" s="53">
        <v>0</v>
      </c>
      <c r="L286" s="6">
        <v>50.063000000000002</v>
      </c>
      <c r="M286" s="53">
        <v>50.063000000000002</v>
      </c>
      <c r="N286" s="6">
        <v>50.063000000000002</v>
      </c>
      <c r="O286" s="53">
        <v>50.063000000000002</v>
      </c>
      <c r="P286" s="6">
        <v>49</v>
      </c>
      <c r="Q286" s="4" t="s">
        <v>26</v>
      </c>
      <c r="R286" s="4">
        <v>0</v>
      </c>
      <c r="S286" s="4">
        <v>0</v>
      </c>
      <c r="T286" s="4">
        <v>58</v>
      </c>
      <c r="U286" s="4">
        <v>99</v>
      </c>
      <c r="V286" s="53">
        <f>IF(ISERROR(VLOOKUP($S$286,'TAR FIN'!$A$1:$O$103,15,0)),0,VLOOKUP($S$286,'TAR FIN'!$A$1:$O$103,15,0))</f>
        <v>0</v>
      </c>
      <c r="W286" s="53">
        <f>IF(ISERROR(VLOOKUP($T$286,'TAR FIN'!$A$1:$O$103,15,0)),0,VLOOKUP($T$286,'TAR FIN'!$A$1:$O$103,15,0))*(1-0.06)</f>
        <v>253.71540000000002</v>
      </c>
      <c r="X286" s="53">
        <f>IF(ISERROR(VLOOKUP($U$286,'TAR FIN'!$A$1:$O$103,15,0)),0,VLOOKUP($U$286,'TAR FIN'!$A$1:$O$103,15,0))*(1-0.06)</f>
        <v>271.56599999999997</v>
      </c>
      <c r="Y286" s="53"/>
      <c r="Z286" s="53">
        <f ca="1">('TUSD BE'!$AM$58+'TUSD BF'!$AM$58+'TUSD CVA'!$AM$58)*1*(1-0.03)</f>
        <v>351.61312828190455</v>
      </c>
      <c r="AA286" s="53">
        <f>('TE BE'!$AB$42+'TE BF'!$AB$42+'TE CVA'!$AB$42)*1*(1-0.03)</f>
        <v>263.87710395325485</v>
      </c>
      <c r="AB286" s="53">
        <f>(SUBSIDIO!$J$286*SUBSIDIO!$V$286)*(0.06)/(1-0.06)</f>
        <v>0</v>
      </c>
      <c r="AC286" s="53">
        <f>((SUBSIDIO!$L$286*SUBSIDIO!$W$286)+(SUBSIDIO!$N$286*SUBSIDIO!$X$286))*(0.06)/(1-0.06)</f>
        <v>1678.5423017999997</v>
      </c>
      <c r="AD286" s="53">
        <f>(SUBSIDIO!$J$286*SUBSIDIO!$Y$286)*(0.03)/(1-0.03)</f>
        <v>0</v>
      </c>
      <c r="AE286" s="53">
        <f ca="1">((SUBSIDIO!$L$286*SUBSIDIO!$Z$286)+(SUBSIDIO!$N$286*SUBSIDIO!$AA$286))*(0.03)/(1-0.03)</f>
        <v>952.98827308418936</v>
      </c>
      <c r="AF286" s="4" t="s">
        <v>778</v>
      </c>
    </row>
    <row r="287" spans="1:32" ht="11.25" customHeight="1" x14ac:dyDescent="0.25">
      <c r="A287" s="4" t="s">
        <v>21</v>
      </c>
      <c r="B287" s="4" t="s">
        <v>39</v>
      </c>
      <c r="C287" s="4" t="s">
        <v>23</v>
      </c>
      <c r="D287" s="4" t="s">
        <v>50</v>
      </c>
      <c r="E287" s="4" t="s">
        <v>51</v>
      </c>
      <c r="F287" s="4" t="s">
        <v>25</v>
      </c>
      <c r="G287" s="4" t="s">
        <v>25</v>
      </c>
      <c r="H287" s="4" t="s">
        <v>25</v>
      </c>
      <c r="I287" s="5">
        <v>44409</v>
      </c>
      <c r="J287" s="6">
        <v>0</v>
      </c>
      <c r="K287" s="53">
        <v>0</v>
      </c>
      <c r="L287" s="6">
        <v>49.665999999999997</v>
      </c>
      <c r="M287" s="53">
        <v>49.665999999999997</v>
      </c>
      <c r="N287" s="6">
        <v>49.665999999999997</v>
      </c>
      <c r="O287" s="53">
        <v>49.665999999999997</v>
      </c>
      <c r="P287" s="6">
        <v>49</v>
      </c>
      <c r="Q287" s="4" t="s">
        <v>26</v>
      </c>
      <c r="R287" s="4">
        <v>0</v>
      </c>
      <c r="S287" s="4">
        <v>0</v>
      </c>
      <c r="T287" s="4">
        <v>58</v>
      </c>
      <c r="U287" s="4">
        <v>99</v>
      </c>
      <c r="V287" s="53">
        <f>IF(ISERROR(VLOOKUP($S$287,'TAR FIN'!$A$1:$O$103,15,0)),0,VLOOKUP($S$287,'TAR FIN'!$A$1:$O$103,15,0))</f>
        <v>0</v>
      </c>
      <c r="W287" s="53">
        <f>IF(ISERROR(VLOOKUP($T$287,'TAR FIN'!$A$1:$O$103,15,0)),0,VLOOKUP($T$287,'TAR FIN'!$A$1:$O$103,15,0))*(1-0.06)</f>
        <v>253.71540000000002</v>
      </c>
      <c r="X287" s="53">
        <f>IF(ISERROR(VLOOKUP($U$287,'TAR FIN'!$A$1:$O$103,15,0)),0,VLOOKUP($U$287,'TAR FIN'!$A$1:$O$103,15,0))*(1-0.06)</f>
        <v>271.56599999999997</v>
      </c>
      <c r="Y287" s="53"/>
      <c r="Z287" s="53">
        <f ca="1">('TUSD BE'!$AM$58+'TUSD BF'!$AM$58+'TUSD CVA'!$AM$58)*1*(1-0.03)</f>
        <v>351.61312828190455</v>
      </c>
      <c r="AA287" s="53">
        <f>('TE BE'!$AB$42+'TE BF'!$AB$42+'TE CVA'!$AB$42)*1*(1-0.03)</f>
        <v>263.87710395325485</v>
      </c>
      <c r="AB287" s="53">
        <f>(SUBSIDIO!$J$287*SUBSIDIO!$V$287)*(0.06)/(1-0.06)</f>
        <v>0</v>
      </c>
      <c r="AC287" s="53">
        <f>((SUBSIDIO!$L$287*SUBSIDIO!$W$287)+(SUBSIDIO!$N$287*SUBSIDIO!$X$287))*(0.06)/(1-0.06)</f>
        <v>1665.2314475999999</v>
      </c>
      <c r="AD287" s="53">
        <f>(SUBSIDIO!$J$287*SUBSIDIO!$Y$287)*(0.03)/(1-0.03)</f>
        <v>0</v>
      </c>
      <c r="AE287" s="53">
        <f ca="1">((SUBSIDIO!$L$287*SUBSIDIO!$Z$287)+(SUBSIDIO!$N$287*SUBSIDIO!$AA$287))*(0.03)/(1-0.03)</f>
        <v>945.43106827396161</v>
      </c>
      <c r="AF287" s="4" t="s">
        <v>778</v>
      </c>
    </row>
    <row r="288" spans="1:32" ht="11.25" customHeight="1" x14ac:dyDescent="0.25">
      <c r="A288" s="4" t="s">
        <v>21</v>
      </c>
      <c r="B288" s="4" t="s">
        <v>39</v>
      </c>
      <c r="C288" s="4" t="s">
        <v>23</v>
      </c>
      <c r="D288" s="4" t="s">
        <v>50</v>
      </c>
      <c r="E288" s="4" t="s">
        <v>51</v>
      </c>
      <c r="F288" s="4" t="s">
        <v>25</v>
      </c>
      <c r="G288" s="4" t="s">
        <v>25</v>
      </c>
      <c r="H288" s="4" t="s">
        <v>25</v>
      </c>
      <c r="I288" s="5">
        <v>44440</v>
      </c>
      <c r="J288" s="6">
        <v>0</v>
      </c>
      <c r="K288" s="53">
        <v>0</v>
      </c>
      <c r="L288" s="6">
        <v>46.872</v>
      </c>
      <c r="M288" s="53">
        <v>46.872</v>
      </c>
      <c r="N288" s="6">
        <v>46.872</v>
      </c>
      <c r="O288" s="53">
        <v>46.872</v>
      </c>
      <c r="P288" s="6">
        <v>49</v>
      </c>
      <c r="Q288" s="4" t="s">
        <v>26</v>
      </c>
      <c r="R288" s="4">
        <v>0</v>
      </c>
      <c r="S288" s="4">
        <v>0</v>
      </c>
      <c r="T288" s="4">
        <v>58</v>
      </c>
      <c r="U288" s="4">
        <v>99</v>
      </c>
      <c r="V288" s="53">
        <f>IF(ISERROR(VLOOKUP($S$288,'TAR FIN'!$A$1:$O$103,15,0)),0,VLOOKUP($S$288,'TAR FIN'!$A$1:$O$103,15,0))</f>
        <v>0</v>
      </c>
      <c r="W288" s="53">
        <f>IF(ISERROR(VLOOKUP($T$288,'TAR FIN'!$A$1:$O$103,15,0)),0,VLOOKUP($T$288,'TAR FIN'!$A$1:$O$103,15,0))*(1-0.06)</f>
        <v>253.71540000000002</v>
      </c>
      <c r="X288" s="53">
        <f>IF(ISERROR(VLOOKUP($U$288,'TAR FIN'!$A$1:$O$103,15,0)),0,VLOOKUP($U$288,'TAR FIN'!$A$1:$O$103,15,0))*(1-0.06)</f>
        <v>271.56599999999997</v>
      </c>
      <c r="Y288" s="53"/>
      <c r="Z288" s="53">
        <f ca="1">('TUSD BE'!$AM$58+'TUSD BF'!$AM$58+'TUSD CVA'!$AM$58)*1*(1-0.03)</f>
        <v>351.61312828190455</v>
      </c>
      <c r="AA288" s="53">
        <f>('TE BE'!$AB$42+'TE BF'!$AB$42+'TE CVA'!$AB$42)*1*(1-0.03)</f>
        <v>263.87710395325485</v>
      </c>
      <c r="AB288" s="53">
        <f>(SUBSIDIO!$J$288*SUBSIDIO!$V$288)*(0.06)/(1-0.06)</f>
        <v>0</v>
      </c>
      <c r="AC288" s="53">
        <f>((SUBSIDIO!$L$288*SUBSIDIO!$W$288)+(SUBSIDIO!$N$288*SUBSIDIO!$X$288))*(0.06)/(1-0.06)</f>
        <v>1571.5525392</v>
      </c>
      <c r="AD288" s="53">
        <f>(SUBSIDIO!$J$288*SUBSIDIO!$Y$288)*(0.03)/(1-0.03)</f>
        <v>0</v>
      </c>
      <c r="AE288" s="53">
        <f ca="1">((SUBSIDIO!$L$288*SUBSIDIO!$Z$288)+(SUBSIDIO!$N$288*SUBSIDIO!$AA$288))*(0.03)/(1-0.03)</f>
        <v>892.24509789669253</v>
      </c>
      <c r="AF288" s="4" t="s">
        <v>778</v>
      </c>
    </row>
    <row r="289" spans="1:32" ht="11.25" customHeight="1" x14ac:dyDescent="0.25">
      <c r="A289" s="4" t="s">
        <v>21</v>
      </c>
      <c r="B289" s="4" t="s">
        <v>39</v>
      </c>
      <c r="C289" s="4" t="s">
        <v>23</v>
      </c>
      <c r="D289" s="4" t="s">
        <v>50</v>
      </c>
      <c r="E289" s="4" t="s">
        <v>51</v>
      </c>
      <c r="F289" s="4" t="s">
        <v>25</v>
      </c>
      <c r="G289" s="4" t="s">
        <v>25</v>
      </c>
      <c r="H289" s="4" t="s">
        <v>25</v>
      </c>
      <c r="I289" s="5">
        <v>44470</v>
      </c>
      <c r="J289" s="6">
        <v>0</v>
      </c>
      <c r="K289" s="53">
        <v>0</v>
      </c>
      <c r="L289" s="6">
        <v>44.296999999999997</v>
      </c>
      <c r="M289" s="53">
        <v>44.296999999999997</v>
      </c>
      <c r="N289" s="6">
        <v>44.296999999999997</v>
      </c>
      <c r="O289" s="53">
        <v>44.296999999999997</v>
      </c>
      <c r="P289" s="6">
        <v>49</v>
      </c>
      <c r="Q289" s="4" t="s">
        <v>26</v>
      </c>
      <c r="R289" s="4">
        <v>0</v>
      </c>
      <c r="S289" s="4">
        <v>0</v>
      </c>
      <c r="T289" s="4">
        <v>58</v>
      </c>
      <c r="U289" s="4">
        <v>99</v>
      </c>
      <c r="V289" s="53">
        <f>IF(ISERROR(VLOOKUP($S$289,'TAR FIN'!$A$1:$O$103,15,0)),0,VLOOKUP($S$289,'TAR FIN'!$A$1:$O$103,15,0))</f>
        <v>0</v>
      </c>
      <c r="W289" s="53">
        <f>IF(ISERROR(VLOOKUP($T$289,'TAR FIN'!$A$1:$O$103,15,0)),0,VLOOKUP($T$289,'TAR FIN'!$A$1:$O$103,15,0))*(1-0.06)</f>
        <v>253.71540000000002</v>
      </c>
      <c r="X289" s="53">
        <f>IF(ISERROR(VLOOKUP($U$289,'TAR FIN'!$A$1:$O$103,15,0)),0,VLOOKUP($U$289,'TAR FIN'!$A$1:$O$103,15,0))*(1-0.06)</f>
        <v>271.56599999999997</v>
      </c>
      <c r="Y289" s="53"/>
      <c r="Z289" s="53">
        <f ca="1">('TUSD BE'!$AM$58+'TUSD BF'!$AM$58+'TUSD CVA'!$AM$58)*1*(1-0.03)</f>
        <v>351.61312828190455</v>
      </c>
      <c r="AA289" s="53">
        <f>('TE BE'!$AB$42+'TE BF'!$AB$42+'TE CVA'!$AB$42)*1*(1-0.03)</f>
        <v>263.87710395325485</v>
      </c>
      <c r="AB289" s="53">
        <f>(SUBSIDIO!$J$289*SUBSIDIO!$V$289)*(0.06)/(1-0.06)</f>
        <v>0</v>
      </c>
      <c r="AC289" s="53">
        <f>((SUBSIDIO!$L$289*SUBSIDIO!$W$289)+(SUBSIDIO!$N$289*SUBSIDIO!$X$289))*(0.06)/(1-0.06)</f>
        <v>1485.2163942</v>
      </c>
      <c r="AD289" s="53">
        <f>(SUBSIDIO!$J$289*SUBSIDIO!$Y$289)*(0.03)/(1-0.03)</f>
        <v>0</v>
      </c>
      <c r="AE289" s="53">
        <f ca="1">((SUBSIDIO!$L$289*SUBSIDIO!$Z$289)+(SUBSIDIO!$N$289*SUBSIDIO!$AA$289))*(0.03)/(1-0.03)</f>
        <v>843.22796342229435</v>
      </c>
      <c r="AF289" s="4" t="s">
        <v>778</v>
      </c>
    </row>
    <row r="290" spans="1:32" ht="11.25" customHeight="1" x14ac:dyDescent="0.25">
      <c r="A290" s="4" t="s">
        <v>21</v>
      </c>
      <c r="B290" s="4" t="s">
        <v>39</v>
      </c>
      <c r="C290" s="4" t="s">
        <v>23</v>
      </c>
      <c r="D290" s="4" t="s">
        <v>50</v>
      </c>
      <c r="E290" s="4" t="s">
        <v>51</v>
      </c>
      <c r="F290" s="4" t="s">
        <v>25</v>
      </c>
      <c r="G290" s="4" t="s">
        <v>25</v>
      </c>
      <c r="H290" s="4" t="s">
        <v>25</v>
      </c>
      <c r="I290" s="5">
        <v>44501</v>
      </c>
      <c r="J290" s="6">
        <v>0</v>
      </c>
      <c r="K290" s="53">
        <v>0</v>
      </c>
      <c r="L290" s="6">
        <v>44.539000000000001</v>
      </c>
      <c r="M290" s="53">
        <v>44.539000000000001</v>
      </c>
      <c r="N290" s="6">
        <v>44.539000000000001</v>
      </c>
      <c r="O290" s="53">
        <v>44.539000000000001</v>
      </c>
      <c r="P290" s="6">
        <v>49</v>
      </c>
      <c r="Q290" s="4" t="s">
        <v>26</v>
      </c>
      <c r="R290" s="4">
        <v>0</v>
      </c>
      <c r="S290" s="4">
        <v>0</v>
      </c>
      <c r="T290" s="4">
        <v>58</v>
      </c>
      <c r="U290" s="4">
        <v>99</v>
      </c>
      <c r="V290" s="53">
        <f>IF(ISERROR(VLOOKUP($S$290,'TAR FIN'!$A$1:$O$103,15,0)),0,VLOOKUP($S$290,'TAR FIN'!$A$1:$O$103,15,0))</f>
        <v>0</v>
      </c>
      <c r="W290" s="53">
        <f>IF(ISERROR(VLOOKUP($T$290,'TAR FIN'!$A$1:$O$103,15,0)),0,VLOOKUP($T$290,'TAR FIN'!$A$1:$O$103,15,0))*(1-0.06)</f>
        <v>253.71540000000002</v>
      </c>
      <c r="X290" s="53">
        <f>IF(ISERROR(VLOOKUP($U$290,'TAR FIN'!$A$1:$O$103,15,0)),0,VLOOKUP($U$290,'TAR FIN'!$A$1:$O$103,15,0))*(1-0.06)</f>
        <v>271.56599999999997</v>
      </c>
      <c r="Y290" s="53"/>
      <c r="Z290" s="53">
        <f ca="1">('TUSD BE'!$AM$58+'TUSD BF'!$AM$58+'TUSD CVA'!$AM$58)*1*(1-0.03)</f>
        <v>351.61312828190455</v>
      </c>
      <c r="AA290" s="53">
        <f>('TE BE'!$AB$42+'TE BF'!$AB$42+'TE CVA'!$AB$42)*1*(1-0.03)</f>
        <v>263.87710395325485</v>
      </c>
      <c r="AB290" s="53">
        <f>(SUBSIDIO!$J$290*SUBSIDIO!$V$290)*(0.06)/(1-0.06)</f>
        <v>0</v>
      </c>
      <c r="AC290" s="53">
        <f>((SUBSIDIO!$L$290*SUBSIDIO!$W$290)+(SUBSIDIO!$N$290*SUBSIDIO!$X$290))*(0.06)/(1-0.06)</f>
        <v>1493.3303154000002</v>
      </c>
      <c r="AD290" s="53">
        <f>(SUBSIDIO!$J$290*SUBSIDIO!$Y$290)*(0.03)/(1-0.03)</f>
        <v>0</v>
      </c>
      <c r="AE290" s="53">
        <f ca="1">((SUBSIDIO!$L$290*SUBSIDIO!$Z$290)+(SUBSIDIO!$N$290*SUBSIDIO!$AA$290))*(0.03)/(1-0.03)</f>
        <v>847.83462227386894</v>
      </c>
      <c r="AF290" s="4" t="s">
        <v>778</v>
      </c>
    </row>
    <row r="291" spans="1:32" ht="11.25" customHeight="1" x14ac:dyDescent="0.25">
      <c r="A291" s="4" t="s">
        <v>21</v>
      </c>
      <c r="B291" s="4" t="s">
        <v>39</v>
      </c>
      <c r="C291" s="4" t="s">
        <v>23</v>
      </c>
      <c r="D291" s="4" t="s">
        <v>50</v>
      </c>
      <c r="E291" s="4" t="s">
        <v>51</v>
      </c>
      <c r="F291" s="4" t="s">
        <v>25</v>
      </c>
      <c r="G291" s="4" t="s">
        <v>25</v>
      </c>
      <c r="H291" s="4" t="s">
        <v>25</v>
      </c>
      <c r="I291" s="5">
        <v>44531</v>
      </c>
      <c r="J291" s="6">
        <v>0</v>
      </c>
      <c r="K291" s="53">
        <v>0</v>
      </c>
      <c r="L291" s="6">
        <v>57.579000000000001</v>
      </c>
      <c r="M291" s="53">
        <v>57.579000000000001</v>
      </c>
      <c r="N291" s="6">
        <v>57.579000000000001</v>
      </c>
      <c r="O291" s="53">
        <v>57.579000000000001</v>
      </c>
      <c r="P291" s="6">
        <v>51</v>
      </c>
      <c r="Q291" s="4" t="s">
        <v>26</v>
      </c>
      <c r="R291" s="4">
        <v>0</v>
      </c>
      <c r="S291" s="4">
        <v>0</v>
      </c>
      <c r="T291" s="4">
        <v>58</v>
      </c>
      <c r="U291" s="4">
        <v>99</v>
      </c>
      <c r="V291" s="53">
        <f>IF(ISERROR(VLOOKUP($S$291,'TAR FIN'!$A$1:$O$103,15,0)),0,VLOOKUP($S$291,'TAR FIN'!$A$1:$O$103,15,0))</f>
        <v>0</v>
      </c>
      <c r="W291" s="53">
        <f>IF(ISERROR(VLOOKUP($T$291,'TAR FIN'!$A$1:$O$103,15,0)),0,VLOOKUP($T$291,'TAR FIN'!$A$1:$O$103,15,0))*(1-0.06)</f>
        <v>253.71540000000002</v>
      </c>
      <c r="X291" s="53">
        <f>IF(ISERROR(VLOOKUP($U$291,'TAR FIN'!$A$1:$O$103,15,0)),0,VLOOKUP($U$291,'TAR FIN'!$A$1:$O$103,15,0))*(1-0.06)</f>
        <v>271.56599999999997</v>
      </c>
      <c r="Y291" s="53"/>
      <c r="Z291" s="53">
        <f ca="1">('TUSD BE'!$AM$58+'TUSD BF'!$AM$58+'TUSD CVA'!$AM$58)*1*(1-0.03)</f>
        <v>351.61312828190455</v>
      </c>
      <c r="AA291" s="53">
        <f>('TE BE'!$AB$42+'TE BF'!$AB$42+'TE CVA'!$AB$42)*1*(1-0.03)</f>
        <v>263.87710395325485</v>
      </c>
      <c r="AB291" s="53">
        <f>(SUBSIDIO!$J$291*SUBSIDIO!$V$291)*(0.06)/(1-0.06)</f>
        <v>0</v>
      </c>
      <c r="AC291" s="53">
        <f>((SUBSIDIO!$L$291*SUBSIDIO!$W$291)+(SUBSIDIO!$N$291*SUBSIDIO!$X$291))*(0.06)/(1-0.06)</f>
        <v>1930.5432593999999</v>
      </c>
      <c r="AD291" s="53">
        <f>(SUBSIDIO!$J$291*SUBSIDIO!$Y$291)*(0.03)/(1-0.03)</f>
        <v>0</v>
      </c>
      <c r="AE291" s="53">
        <f ca="1">((SUBSIDIO!$L$291*SUBSIDIO!$Z$291)+(SUBSIDIO!$N$291*SUBSIDIO!$AA$291))*(0.03)/(1-0.03)</f>
        <v>1096.0611984082961</v>
      </c>
      <c r="AF291" s="4" t="s">
        <v>778</v>
      </c>
    </row>
    <row r="292" spans="1:32" ht="11.25" customHeight="1" x14ac:dyDescent="0.25">
      <c r="A292" s="4" t="s">
        <v>21</v>
      </c>
      <c r="B292" s="4" t="s">
        <v>39</v>
      </c>
      <c r="C292" s="4" t="s">
        <v>23</v>
      </c>
      <c r="D292" s="4" t="s">
        <v>50</v>
      </c>
      <c r="E292" s="4" t="s">
        <v>51</v>
      </c>
      <c r="F292" s="4" t="s">
        <v>25</v>
      </c>
      <c r="G292" s="4" t="s">
        <v>25</v>
      </c>
      <c r="H292" s="4" t="s">
        <v>25</v>
      </c>
      <c r="I292" s="5">
        <v>44562</v>
      </c>
      <c r="J292" s="6">
        <v>0</v>
      </c>
      <c r="K292" s="53">
        <v>0</v>
      </c>
      <c r="L292" s="6">
        <v>61.433999999999997</v>
      </c>
      <c r="M292" s="53">
        <v>61.433999999999997</v>
      </c>
      <c r="N292" s="6">
        <v>61.433999999999997</v>
      </c>
      <c r="O292" s="53">
        <v>61.433999999999997</v>
      </c>
      <c r="P292" s="6">
        <v>51</v>
      </c>
      <c r="Q292" s="4" t="s">
        <v>26</v>
      </c>
      <c r="R292" s="4">
        <v>0</v>
      </c>
      <c r="S292" s="4">
        <v>0</v>
      </c>
      <c r="T292" s="4">
        <v>58</v>
      </c>
      <c r="U292" s="4">
        <v>99</v>
      </c>
      <c r="V292" s="53">
        <f>IF(ISERROR(VLOOKUP($S$292,'TAR FIN'!$A$1:$O$103,15,0)),0,VLOOKUP($S$292,'TAR FIN'!$A$1:$O$103,15,0))</f>
        <v>0</v>
      </c>
      <c r="W292" s="53">
        <f>IF(ISERROR(VLOOKUP($T$292,'TAR FIN'!$A$1:$O$103,15,0)),0,VLOOKUP($T$292,'TAR FIN'!$A$1:$O$103,15,0))*(1-0.06)</f>
        <v>253.71540000000002</v>
      </c>
      <c r="X292" s="53">
        <f>IF(ISERROR(VLOOKUP($U$292,'TAR FIN'!$A$1:$O$103,15,0)),0,VLOOKUP($U$292,'TAR FIN'!$A$1:$O$103,15,0))*(1-0.06)</f>
        <v>271.56599999999997</v>
      </c>
      <c r="Y292" s="53"/>
      <c r="Z292" s="53">
        <f ca="1">('TUSD BE'!$AM$58+'TUSD BF'!$AM$58+'TUSD CVA'!$AM$58)*1*(1-0.03)</f>
        <v>351.61312828190455</v>
      </c>
      <c r="AA292" s="53">
        <f>('TE BE'!$AB$42+'TE BF'!$AB$42+'TE CVA'!$AB$42)*1*(1-0.03)</f>
        <v>263.87710395325485</v>
      </c>
      <c r="AB292" s="53">
        <f>(SUBSIDIO!$J$292*SUBSIDIO!$V$292)*(0.06)/(1-0.06)</f>
        <v>0</v>
      </c>
      <c r="AC292" s="53">
        <f>((SUBSIDIO!$L$292*SUBSIDIO!$W$292)+(SUBSIDIO!$N$292*SUBSIDIO!$X$292))*(0.06)/(1-0.06)</f>
        <v>2059.7960123999997</v>
      </c>
      <c r="AD292" s="53">
        <f>(SUBSIDIO!$J$292*SUBSIDIO!$Y$292)*(0.03)/(1-0.03)</f>
        <v>0</v>
      </c>
      <c r="AE292" s="53">
        <f ca="1">((SUBSIDIO!$L$292*SUBSIDIO!$Z$292)+(SUBSIDIO!$N$292*SUBSIDIO!$AA$292))*(0.03)/(1-0.03)</f>
        <v>1169.4441317670548</v>
      </c>
      <c r="AF292" s="4" t="s">
        <v>778</v>
      </c>
    </row>
    <row r="293" spans="1:32" ht="11.25" customHeight="1" x14ac:dyDescent="0.25">
      <c r="A293" s="4" t="s">
        <v>21</v>
      </c>
      <c r="B293" s="4" t="s">
        <v>39</v>
      </c>
      <c r="C293" s="4" t="s">
        <v>23</v>
      </c>
      <c r="D293" s="4" t="s">
        <v>50</v>
      </c>
      <c r="E293" s="4" t="s">
        <v>51</v>
      </c>
      <c r="F293" s="4" t="s">
        <v>25</v>
      </c>
      <c r="G293" s="4" t="s">
        <v>25</v>
      </c>
      <c r="H293" s="4" t="s">
        <v>25</v>
      </c>
      <c r="I293" s="5">
        <v>44593</v>
      </c>
      <c r="J293" s="6">
        <v>0</v>
      </c>
      <c r="K293" s="53">
        <v>0</v>
      </c>
      <c r="L293" s="6">
        <v>66.64</v>
      </c>
      <c r="M293" s="53">
        <v>66.64</v>
      </c>
      <c r="N293" s="6">
        <v>66.64</v>
      </c>
      <c r="O293" s="53">
        <v>66.64</v>
      </c>
      <c r="P293" s="6">
        <v>51</v>
      </c>
      <c r="Q293" s="4" t="s">
        <v>26</v>
      </c>
      <c r="R293" s="4">
        <v>0</v>
      </c>
      <c r="S293" s="4">
        <v>0</v>
      </c>
      <c r="T293" s="4">
        <v>58</v>
      </c>
      <c r="U293" s="4">
        <v>99</v>
      </c>
      <c r="V293" s="53">
        <f>IF(ISERROR(VLOOKUP($S$293,'TAR FIN'!$A$1:$O$103,15,0)),0,VLOOKUP($S$293,'TAR FIN'!$A$1:$O$103,15,0))</f>
        <v>0</v>
      </c>
      <c r="W293" s="53">
        <f>IF(ISERROR(VLOOKUP($T$293,'TAR FIN'!$A$1:$O$103,15,0)),0,VLOOKUP($T$293,'TAR FIN'!$A$1:$O$103,15,0))*(1-0.06)</f>
        <v>253.71540000000002</v>
      </c>
      <c r="X293" s="53">
        <f>IF(ISERROR(VLOOKUP($U$293,'TAR FIN'!$A$1:$O$103,15,0)),0,VLOOKUP($U$293,'TAR FIN'!$A$1:$O$103,15,0))*(1-0.06)</f>
        <v>271.56599999999997</v>
      </c>
      <c r="Y293" s="53"/>
      <c r="Z293" s="53">
        <f ca="1">('TUSD BE'!$AM$58+'TUSD BF'!$AM$58+'TUSD CVA'!$AM$58)*1*(1-0.03)</f>
        <v>351.61312828190455</v>
      </c>
      <c r="AA293" s="53">
        <f>('TE BE'!$AB$42+'TE BF'!$AB$42+'TE CVA'!$AB$42)*1*(1-0.03)</f>
        <v>263.87710395325485</v>
      </c>
      <c r="AB293" s="53">
        <f>(SUBSIDIO!$J$293*SUBSIDIO!$V$293)*(0.06)/(1-0.06)</f>
        <v>0</v>
      </c>
      <c r="AC293" s="53">
        <f>((SUBSIDIO!$L$293*SUBSIDIO!$W$293)+(SUBSIDIO!$N$293*SUBSIDIO!$X$293))*(0.06)/(1-0.06)</f>
        <v>2234.3459040000002</v>
      </c>
      <c r="AD293" s="53">
        <f>(SUBSIDIO!$J$293*SUBSIDIO!$Y$293)*(0.03)/(1-0.03)</f>
        <v>0</v>
      </c>
      <c r="AE293" s="53">
        <f ca="1">((SUBSIDIO!$L$293*SUBSIDIO!$Z$293)+(SUBSIDIO!$N$293*SUBSIDIO!$AA$293))*(0.03)/(1-0.03)</f>
        <v>1268.544404417042</v>
      </c>
      <c r="AF293" s="4" t="s">
        <v>778</v>
      </c>
    </row>
    <row r="294" spans="1:32" ht="11.25" customHeight="1" x14ac:dyDescent="0.25">
      <c r="A294" s="4" t="s">
        <v>21</v>
      </c>
      <c r="B294" s="4" t="s">
        <v>39</v>
      </c>
      <c r="C294" s="4" t="s">
        <v>23</v>
      </c>
      <c r="D294" s="4" t="s">
        <v>50</v>
      </c>
      <c r="E294" s="4" t="s">
        <v>51</v>
      </c>
      <c r="F294" s="4" t="s">
        <v>25</v>
      </c>
      <c r="G294" s="4" t="s">
        <v>25</v>
      </c>
      <c r="H294" s="4" t="s">
        <v>25</v>
      </c>
      <c r="I294" s="5">
        <v>44621</v>
      </c>
      <c r="J294" s="6">
        <v>0</v>
      </c>
      <c r="K294" s="53">
        <v>0</v>
      </c>
      <c r="L294" s="6">
        <v>65.355000000000004</v>
      </c>
      <c r="M294" s="53">
        <v>65.355000000000004</v>
      </c>
      <c r="N294" s="6">
        <v>65.355000000000004</v>
      </c>
      <c r="O294" s="53">
        <v>65.355000000000004</v>
      </c>
      <c r="P294" s="6">
        <v>51</v>
      </c>
      <c r="Q294" s="4" t="s">
        <v>26</v>
      </c>
      <c r="R294" s="4">
        <v>0</v>
      </c>
      <c r="S294" s="4">
        <v>0</v>
      </c>
      <c r="T294" s="4">
        <v>58</v>
      </c>
      <c r="U294" s="4">
        <v>99</v>
      </c>
      <c r="V294" s="53">
        <f>IF(ISERROR(VLOOKUP($S$294,'TAR FIN'!$A$1:$O$103,15,0)),0,VLOOKUP($S$294,'TAR FIN'!$A$1:$O$103,15,0))</f>
        <v>0</v>
      </c>
      <c r="W294" s="53">
        <f>IF(ISERROR(VLOOKUP($T$294,'TAR FIN'!$A$1:$O$103,15,0)),0,VLOOKUP($T$294,'TAR FIN'!$A$1:$O$103,15,0))*(1-0.06)</f>
        <v>253.71540000000002</v>
      </c>
      <c r="X294" s="53">
        <f>IF(ISERROR(VLOOKUP($U$294,'TAR FIN'!$A$1:$O$103,15,0)),0,VLOOKUP($U$294,'TAR FIN'!$A$1:$O$103,15,0))*(1-0.06)</f>
        <v>271.56599999999997</v>
      </c>
      <c r="Y294" s="53"/>
      <c r="Z294" s="53">
        <f ca="1">('TUSD BE'!$AM$58+'TUSD BF'!$AM$58+'TUSD CVA'!$AM$58)*1*(1-0.03)</f>
        <v>351.61312828190455</v>
      </c>
      <c r="AA294" s="53">
        <f>('TE BE'!$AB$42+'TE BF'!$AB$42+'TE CVA'!$AB$42)*1*(1-0.03)</f>
        <v>263.87710395325485</v>
      </c>
      <c r="AB294" s="53">
        <f>(SUBSIDIO!$J$294*SUBSIDIO!$V$294)*(0.06)/(1-0.06)</f>
        <v>0</v>
      </c>
      <c r="AC294" s="53">
        <f>((SUBSIDIO!$L$294*SUBSIDIO!$W$294)+(SUBSIDIO!$N$294*SUBSIDIO!$X$294))*(0.06)/(1-0.06)</f>
        <v>2191.261653</v>
      </c>
      <c r="AD294" s="53">
        <f>(SUBSIDIO!$J$294*SUBSIDIO!$Y$294)*(0.03)/(1-0.03)</f>
        <v>0</v>
      </c>
      <c r="AE294" s="53">
        <f ca="1">((SUBSIDIO!$L$294*SUBSIDIO!$Z$294)+(SUBSIDIO!$N$294*SUBSIDIO!$AA$294))*(0.03)/(1-0.03)</f>
        <v>1244.0834266307891</v>
      </c>
      <c r="AF294" s="4" t="s">
        <v>778</v>
      </c>
    </row>
    <row r="295" spans="1:32" ht="11.25" customHeight="1" x14ac:dyDescent="0.25">
      <c r="A295" s="4" t="s">
        <v>21</v>
      </c>
      <c r="B295" s="4" t="s">
        <v>39</v>
      </c>
      <c r="C295" s="4" t="s">
        <v>23</v>
      </c>
      <c r="D295" s="4" t="s">
        <v>50</v>
      </c>
      <c r="E295" s="4" t="s">
        <v>51</v>
      </c>
      <c r="F295" s="4" t="s">
        <v>25</v>
      </c>
      <c r="G295" s="4" t="s">
        <v>25</v>
      </c>
      <c r="H295" s="4" t="s">
        <v>25</v>
      </c>
      <c r="I295" s="5">
        <v>44652</v>
      </c>
      <c r="J295" s="6">
        <v>0</v>
      </c>
      <c r="K295" s="53">
        <v>0</v>
      </c>
      <c r="L295" s="6">
        <v>63.993000000000002</v>
      </c>
      <c r="M295" s="53">
        <v>63.993000000000002</v>
      </c>
      <c r="N295" s="6">
        <v>63.993000000000002</v>
      </c>
      <c r="O295" s="53">
        <v>63.993000000000002</v>
      </c>
      <c r="P295" s="6">
        <v>50</v>
      </c>
      <c r="Q295" s="4" t="s">
        <v>26</v>
      </c>
      <c r="R295" s="4">
        <v>0</v>
      </c>
      <c r="S295" s="4">
        <v>0</v>
      </c>
      <c r="T295" s="4">
        <v>58</v>
      </c>
      <c r="U295" s="4">
        <v>99</v>
      </c>
      <c r="V295" s="53">
        <f>IF(ISERROR(VLOOKUP($S$295,'TAR FIN'!$A$1:$O$103,15,0)),0,VLOOKUP($S$295,'TAR FIN'!$A$1:$O$103,15,0))</f>
        <v>0</v>
      </c>
      <c r="W295" s="53">
        <f>IF(ISERROR(VLOOKUP($T$295,'TAR FIN'!$A$1:$O$103,15,0)),0,VLOOKUP($T$295,'TAR FIN'!$A$1:$O$103,15,0))*(1-0.06)</f>
        <v>253.71540000000002</v>
      </c>
      <c r="X295" s="53">
        <f>IF(ISERROR(VLOOKUP($U$295,'TAR FIN'!$A$1:$O$103,15,0)),0,VLOOKUP($U$295,'TAR FIN'!$A$1:$O$103,15,0))*(1-0.06)</f>
        <v>271.56599999999997</v>
      </c>
      <c r="Y295" s="53"/>
      <c r="Z295" s="53">
        <f ca="1">('TUSD BE'!$AM$58+'TUSD BF'!$AM$58+'TUSD CVA'!$AM$58)*1*(1-0.03)</f>
        <v>351.61312828190455</v>
      </c>
      <c r="AA295" s="53">
        <f>('TE BE'!$AB$42+'TE BF'!$AB$42+'TE CVA'!$AB$42)*1*(1-0.03)</f>
        <v>263.87710395325485</v>
      </c>
      <c r="AB295" s="53">
        <f>(SUBSIDIO!$J$295*SUBSIDIO!$V$295)*(0.06)/(1-0.06)</f>
        <v>0</v>
      </c>
      <c r="AC295" s="53">
        <f>((SUBSIDIO!$L$295*SUBSIDIO!$W$295)+(SUBSIDIO!$N$295*SUBSIDIO!$X$295))*(0.06)/(1-0.06)</f>
        <v>2145.5956998000001</v>
      </c>
      <c r="AD295" s="53">
        <f>(SUBSIDIO!$J$295*SUBSIDIO!$Y$295)*(0.03)/(1-0.03)</f>
        <v>0</v>
      </c>
      <c r="AE295" s="53">
        <f ca="1">((SUBSIDIO!$L$295*SUBSIDIO!$Z$295)+(SUBSIDIO!$N$295*SUBSIDIO!$AA$295))*(0.03)/(1-0.03)</f>
        <v>1218.1566937553987</v>
      </c>
      <c r="AF295" s="4" t="s">
        <v>778</v>
      </c>
    </row>
    <row r="296" spans="1:32" ht="11.25" customHeight="1" x14ac:dyDescent="0.25">
      <c r="A296" s="4" t="s">
        <v>21</v>
      </c>
      <c r="B296" s="4" t="s">
        <v>39</v>
      </c>
      <c r="C296" s="4" t="s">
        <v>23</v>
      </c>
      <c r="D296" s="4" t="s">
        <v>50</v>
      </c>
      <c r="E296" s="4" t="s">
        <v>51</v>
      </c>
      <c r="F296" s="4" t="s">
        <v>25</v>
      </c>
      <c r="G296" s="4" t="s">
        <v>25</v>
      </c>
      <c r="H296" s="4" t="s">
        <v>25</v>
      </c>
      <c r="I296" s="5">
        <v>44682</v>
      </c>
      <c r="J296" s="6">
        <v>0</v>
      </c>
      <c r="K296" s="53">
        <v>0</v>
      </c>
      <c r="L296" s="6">
        <v>65.480999999999995</v>
      </c>
      <c r="M296" s="53">
        <v>65.480999999999995</v>
      </c>
      <c r="N296" s="6">
        <v>65.480999999999995</v>
      </c>
      <c r="O296" s="53">
        <v>65.480999999999995</v>
      </c>
      <c r="P296" s="6">
        <v>50</v>
      </c>
      <c r="Q296" s="4" t="s">
        <v>26</v>
      </c>
      <c r="R296" s="4">
        <v>0</v>
      </c>
      <c r="S296" s="4">
        <v>0</v>
      </c>
      <c r="T296" s="4">
        <v>58</v>
      </c>
      <c r="U296" s="4">
        <v>99</v>
      </c>
      <c r="V296" s="53">
        <f>IF(ISERROR(VLOOKUP($S$296,'TAR FIN'!$A$1:$O$103,15,0)),0,VLOOKUP($S$296,'TAR FIN'!$A$1:$O$103,15,0))</f>
        <v>0</v>
      </c>
      <c r="W296" s="53">
        <f>IF(ISERROR(VLOOKUP($T$296,'TAR FIN'!$A$1:$O$103,15,0)),0,VLOOKUP($T$296,'TAR FIN'!$A$1:$O$103,15,0))*(1-0.06)</f>
        <v>253.71540000000002</v>
      </c>
      <c r="X296" s="53">
        <f>IF(ISERROR(VLOOKUP($U$296,'TAR FIN'!$A$1:$O$103,15,0)),0,VLOOKUP($U$296,'TAR FIN'!$A$1:$O$103,15,0))*(1-0.06)</f>
        <v>271.56599999999997</v>
      </c>
      <c r="Y296" s="53"/>
      <c r="Z296" s="53">
        <f ca="1">('TUSD BE'!$AM$58+'TUSD BF'!$AM$58+'TUSD CVA'!$AM$58)*1*(1-0.03)</f>
        <v>351.61312828190455</v>
      </c>
      <c r="AA296" s="53">
        <f>('TE BE'!$AB$42+'TE BF'!$AB$42+'TE CVA'!$AB$42)*1*(1-0.03)</f>
        <v>263.87710395325485</v>
      </c>
      <c r="AB296" s="53">
        <f>(SUBSIDIO!$J$296*SUBSIDIO!$V$296)*(0.06)/(1-0.06)</f>
        <v>0</v>
      </c>
      <c r="AC296" s="53">
        <f>((SUBSIDIO!$L$296*SUBSIDIO!$W$296)+(SUBSIDIO!$N$296*SUBSIDIO!$X$296))*(0.06)/(1-0.06)</f>
        <v>2195.4862566000002</v>
      </c>
      <c r="AD296" s="53">
        <f>(SUBSIDIO!$J$296*SUBSIDIO!$Y$296)*(0.03)/(1-0.03)</f>
        <v>0</v>
      </c>
      <c r="AE296" s="53">
        <f ca="1">((SUBSIDIO!$L$296*SUBSIDIO!$Z$296)+(SUBSIDIO!$N$296*SUBSIDIO!$AA$296))*(0.03)/(1-0.03)</f>
        <v>1246.4819349584682</v>
      </c>
      <c r="AF296" s="4" t="s">
        <v>778</v>
      </c>
    </row>
    <row r="297" spans="1:32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1:32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1:32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1:32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1:32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1:32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1:32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1:32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52A5-BB42-45EA-B2C7-E3C945B17F83}">
  <dimension ref="A1:J990"/>
  <sheetViews>
    <sheetView showGridLines="0" workbookViewId="0">
      <selection activeCell="M19" sqref="M19"/>
    </sheetView>
  </sheetViews>
  <sheetFormatPr defaultRowHeight="11.25" customHeight="1" x14ac:dyDescent="0.2"/>
  <cols>
    <col min="1" max="1" width="34.7109375" style="14" bestFit="1" customWidth="1"/>
    <col min="2" max="2" width="24.5703125" style="39" bestFit="1" customWidth="1"/>
    <col min="3" max="3" width="25.5703125" style="39" bestFit="1" customWidth="1"/>
    <col min="4" max="4" width="26" style="39" bestFit="1" customWidth="1"/>
    <col min="5" max="5" width="26.85546875" style="39" bestFit="1" customWidth="1"/>
    <col min="6" max="6" width="23.7109375" style="39" bestFit="1" customWidth="1"/>
    <col min="7" max="7" width="24.5703125" style="39" bestFit="1" customWidth="1"/>
    <col min="8" max="8" width="18.28515625" style="40" bestFit="1" customWidth="1"/>
    <col min="9" max="9" width="16" style="40" bestFit="1" customWidth="1"/>
    <col min="10" max="10" width="13.85546875" style="40" bestFit="1" customWidth="1"/>
    <col min="11" max="16384" width="9.140625" style="14"/>
  </cols>
  <sheetData>
    <row r="1" spans="1:10" ht="11.25" customHeight="1" x14ac:dyDescent="0.2">
      <c r="A1" s="38" t="s">
        <v>762</v>
      </c>
      <c r="B1" s="64" t="s">
        <v>763</v>
      </c>
      <c r="C1" s="64" t="s">
        <v>764</v>
      </c>
      <c r="D1" s="64" t="s">
        <v>765</v>
      </c>
      <c r="E1" s="64" t="s">
        <v>766</v>
      </c>
      <c r="F1" s="64" t="s">
        <v>767</v>
      </c>
      <c r="G1" s="64" t="s">
        <v>768</v>
      </c>
      <c r="H1" s="40" t="s">
        <v>769</v>
      </c>
      <c r="I1" s="40" t="s">
        <v>770</v>
      </c>
      <c r="J1" s="40" t="s">
        <v>771</v>
      </c>
    </row>
    <row r="2" spans="1:10" ht="11.25" customHeight="1" x14ac:dyDescent="0.2">
      <c r="A2" s="41" t="s">
        <v>26</v>
      </c>
      <c r="B2" s="64">
        <v>3974180.8412000011</v>
      </c>
      <c r="C2" s="64">
        <v>5094589.3874697313</v>
      </c>
      <c r="D2" s="64">
        <v>46680437.455077574</v>
      </c>
      <c r="E2" s="64">
        <v>56130069.135755323</v>
      </c>
      <c r="F2" s="64">
        <v>56247434.943580404</v>
      </c>
      <c r="G2" s="64">
        <v>54390001.122054271</v>
      </c>
      <c r="H2" s="40">
        <v>0.20866883578361062</v>
      </c>
      <c r="I2" s="40">
        <v>-3.3022551577494119E-2</v>
      </c>
      <c r="J2" s="40">
        <v>8.1500833158673514E-2</v>
      </c>
    </row>
    <row r="3" spans="1:10" ht="11.25" customHeight="1" x14ac:dyDescent="0.2">
      <c r="A3" s="42" t="s">
        <v>42</v>
      </c>
      <c r="B3" s="64">
        <v>245518.56000000003</v>
      </c>
      <c r="C3" s="64">
        <v>313653.5983786335</v>
      </c>
      <c r="D3" s="64">
        <v>468019.67849000002</v>
      </c>
      <c r="E3" s="64">
        <v>692725.15956771083</v>
      </c>
      <c r="F3" s="64">
        <v>1211383.4273399997</v>
      </c>
      <c r="G3" s="64">
        <v>1168525.5238498934</v>
      </c>
      <c r="H3" s="40">
        <v>0.41040620342374035</v>
      </c>
      <c r="I3" s="40">
        <v>-3.5379304787267363E-2</v>
      </c>
      <c r="J3" s="40">
        <v>0.1298663838657812</v>
      </c>
    </row>
    <row r="4" spans="1:10" ht="11.25" customHeight="1" x14ac:dyDescent="0.2">
      <c r="A4" s="43" t="s">
        <v>34</v>
      </c>
      <c r="B4" s="64">
        <v>245518.56000000003</v>
      </c>
      <c r="C4" s="64">
        <v>313653.5983786335</v>
      </c>
      <c r="D4" s="64">
        <v>468019.67849000002</v>
      </c>
      <c r="E4" s="64">
        <v>692725.15956771083</v>
      </c>
      <c r="F4" s="64">
        <v>1211383.4273399997</v>
      </c>
      <c r="G4" s="64">
        <v>1168525.5238498934</v>
      </c>
      <c r="H4" s="40">
        <v>0.41040620342374035</v>
      </c>
      <c r="I4" s="40">
        <v>-3.5379304787267363E-2</v>
      </c>
      <c r="J4" s="40">
        <v>0.1298663838657812</v>
      </c>
    </row>
    <row r="5" spans="1:10" ht="11.25" customHeight="1" x14ac:dyDescent="0.2">
      <c r="A5" s="44" t="s">
        <v>43</v>
      </c>
      <c r="B5" s="64">
        <v>47431.979999999996</v>
      </c>
      <c r="C5" s="64">
        <v>60595.057274787592</v>
      </c>
      <c r="D5" s="64">
        <v>6.2430200000000005</v>
      </c>
      <c r="E5" s="64">
        <v>8.319530058262659</v>
      </c>
      <c r="F5" s="64">
        <v>4.6061000000000005</v>
      </c>
      <c r="G5" s="64">
        <v>4.3878982045134922</v>
      </c>
      <c r="H5" s="40">
        <v>0.27752206863430384</v>
      </c>
      <c r="I5" s="40">
        <v>-4.7372353072340667E-2</v>
      </c>
      <c r="J5" s="40">
        <v>0.2774905254859803</v>
      </c>
    </row>
    <row r="6" spans="1:10" ht="11.25" customHeight="1" x14ac:dyDescent="0.2">
      <c r="A6" s="45" t="s">
        <v>25</v>
      </c>
      <c r="B6" s="64">
        <v>47431.979999999996</v>
      </c>
      <c r="C6" s="64">
        <v>60595.057274787592</v>
      </c>
      <c r="D6" s="64">
        <v>6.2430200000000005</v>
      </c>
      <c r="E6" s="64">
        <v>8.319530058262659</v>
      </c>
      <c r="F6" s="64">
        <v>4.6061000000000005</v>
      </c>
      <c r="G6" s="64">
        <v>4.3878982045134922</v>
      </c>
      <c r="H6" s="40">
        <v>0.27752206863430384</v>
      </c>
      <c r="I6" s="40">
        <v>-4.7372353072340667E-2</v>
      </c>
      <c r="J6" s="40">
        <v>0.2774905254859803</v>
      </c>
    </row>
    <row r="7" spans="1:10" ht="11.25" customHeight="1" x14ac:dyDescent="0.2">
      <c r="A7" s="46" t="s">
        <v>25</v>
      </c>
      <c r="B7" s="64">
        <v>47431.979999999996</v>
      </c>
      <c r="C7" s="64">
        <v>60595.057274787592</v>
      </c>
      <c r="D7" s="64">
        <v>6.2430200000000005</v>
      </c>
      <c r="E7" s="64">
        <v>8.319530058262659</v>
      </c>
      <c r="F7" s="64">
        <v>4.6061000000000005</v>
      </c>
      <c r="G7" s="64">
        <v>4.3878982045134922</v>
      </c>
      <c r="H7" s="40">
        <v>0.27752206863430384</v>
      </c>
      <c r="I7" s="40">
        <v>-4.7372353072340667E-2</v>
      </c>
      <c r="J7" s="40">
        <v>0.2774905254859803</v>
      </c>
    </row>
    <row r="8" spans="1:10" ht="11.25" customHeight="1" x14ac:dyDescent="0.2">
      <c r="A8" s="47" t="s">
        <v>25</v>
      </c>
      <c r="B8" s="64">
        <v>47431.979999999996</v>
      </c>
      <c r="C8" s="64">
        <v>60595.057274787592</v>
      </c>
      <c r="D8" s="64">
        <v>6.2430200000000005</v>
      </c>
      <c r="E8" s="64">
        <v>8.319530058262659</v>
      </c>
      <c r="F8" s="64">
        <v>4.6061000000000005</v>
      </c>
      <c r="G8" s="64">
        <v>4.3878982045134922</v>
      </c>
      <c r="H8" s="40">
        <v>0.27752206863430384</v>
      </c>
      <c r="I8" s="40">
        <v>-4.7372353072340667E-2</v>
      </c>
      <c r="J8" s="40">
        <v>0.2774905254859803</v>
      </c>
    </row>
    <row r="9" spans="1:10" ht="11.25" customHeight="1" x14ac:dyDescent="0.2">
      <c r="A9" s="48" t="s">
        <v>35</v>
      </c>
      <c r="B9" s="64">
        <v>0</v>
      </c>
      <c r="C9" s="64">
        <v>0</v>
      </c>
      <c r="D9" s="64">
        <v>0.34684999999999999</v>
      </c>
      <c r="E9" s="64">
        <v>0.55515147164176581</v>
      </c>
      <c r="F9" s="64">
        <v>1.4218000000000002</v>
      </c>
      <c r="G9" s="64">
        <v>1.3740034748940784</v>
      </c>
      <c r="H9" s="40">
        <v>0.60055203010455771</v>
      </c>
      <c r="I9" s="40">
        <v>-3.3616911735772859E-2</v>
      </c>
      <c r="J9" s="40">
        <v>9.074997683874364E-2</v>
      </c>
    </row>
    <row r="10" spans="1:10" ht="11.25" customHeight="1" x14ac:dyDescent="0.2">
      <c r="A10" s="49">
        <v>44562</v>
      </c>
      <c r="B10" s="64">
        <v>0</v>
      </c>
      <c r="C10" s="64">
        <v>0</v>
      </c>
      <c r="D10" s="64">
        <v>0.13874</v>
      </c>
      <c r="E10" s="64">
        <v>0.22206058865670633</v>
      </c>
      <c r="F10" s="64">
        <v>0.56872</v>
      </c>
      <c r="G10" s="64">
        <v>0.5496013899576313</v>
      </c>
      <c r="H10" s="40">
        <v>0.60055203010455771</v>
      </c>
      <c r="I10" s="40">
        <v>-3.3616911735772748E-2</v>
      </c>
      <c r="J10" s="40">
        <v>9.074997683874364E-2</v>
      </c>
    </row>
    <row r="11" spans="1:10" ht="11.25" customHeight="1" x14ac:dyDescent="0.2">
      <c r="A11" s="49">
        <v>44621</v>
      </c>
      <c r="B11" s="64">
        <v>0</v>
      </c>
      <c r="C11" s="64">
        <v>0</v>
      </c>
      <c r="D11" s="64">
        <v>6.9370000000000001E-2</v>
      </c>
      <c r="E11" s="64">
        <v>0.11103029432835317</v>
      </c>
      <c r="F11" s="64">
        <v>0.28436</v>
      </c>
      <c r="G11" s="64">
        <v>0.27480069497881565</v>
      </c>
      <c r="H11" s="40">
        <v>0.60055203010455771</v>
      </c>
      <c r="I11" s="40">
        <v>-3.3616911735772748E-2</v>
      </c>
      <c r="J11" s="40">
        <v>9.074997683874364E-2</v>
      </c>
    </row>
    <row r="12" spans="1:10" ht="11.25" customHeight="1" x14ac:dyDescent="0.2">
      <c r="A12" s="49">
        <v>44652</v>
      </c>
      <c r="B12" s="64">
        <v>0</v>
      </c>
      <c r="C12" s="64">
        <v>0</v>
      </c>
      <c r="D12" s="64">
        <v>0.13874</v>
      </c>
      <c r="E12" s="64">
        <v>0.22206058865670633</v>
      </c>
      <c r="F12" s="64">
        <v>0.56872</v>
      </c>
      <c r="G12" s="64">
        <v>0.5496013899576313</v>
      </c>
      <c r="H12" s="40">
        <v>0.60055203010455771</v>
      </c>
      <c r="I12" s="40">
        <v>-3.3616911735772748E-2</v>
      </c>
      <c r="J12" s="40">
        <v>9.074997683874364E-2</v>
      </c>
    </row>
    <row r="13" spans="1:10" ht="11.25" customHeight="1" x14ac:dyDescent="0.2">
      <c r="A13" s="48" t="s">
        <v>25</v>
      </c>
      <c r="B13" s="64">
        <v>47431.979999999996</v>
      </c>
      <c r="C13" s="64">
        <v>60595.057274787592</v>
      </c>
      <c r="D13" s="64">
        <v>0</v>
      </c>
      <c r="E13" s="64">
        <v>0</v>
      </c>
      <c r="F13" s="64">
        <v>0</v>
      </c>
      <c r="G13" s="64">
        <v>0</v>
      </c>
      <c r="H13" s="40">
        <v>0.27751481753002083</v>
      </c>
      <c r="I13" s="40">
        <v>0</v>
      </c>
      <c r="J13" s="40">
        <v>0.27751481753002083</v>
      </c>
    </row>
    <row r="14" spans="1:10" ht="11.25" customHeight="1" x14ac:dyDescent="0.2">
      <c r="A14" s="49">
        <v>44531</v>
      </c>
      <c r="B14" s="64">
        <v>7899.12</v>
      </c>
      <c r="C14" s="64">
        <v>10091.242845447738</v>
      </c>
      <c r="D14" s="64">
        <v>0</v>
      </c>
      <c r="E14" s="64">
        <v>0</v>
      </c>
      <c r="F14" s="64">
        <v>0</v>
      </c>
      <c r="G14" s="64">
        <v>0</v>
      </c>
      <c r="H14" s="40">
        <v>0.27751481753002083</v>
      </c>
      <c r="I14" s="40">
        <v>0</v>
      </c>
      <c r="J14" s="40">
        <v>0.27751481753002083</v>
      </c>
    </row>
    <row r="15" spans="1:10" ht="11.25" customHeight="1" x14ac:dyDescent="0.2">
      <c r="A15" s="49">
        <v>44562</v>
      </c>
      <c r="B15" s="64">
        <v>7936.38</v>
      </c>
      <c r="C15" s="64">
        <v>10138.843047548906</v>
      </c>
      <c r="D15" s="64">
        <v>0</v>
      </c>
      <c r="E15" s="64">
        <v>0</v>
      </c>
      <c r="F15" s="64">
        <v>0</v>
      </c>
      <c r="G15" s="64">
        <v>0</v>
      </c>
      <c r="H15" s="40">
        <v>0.27751481753002061</v>
      </c>
      <c r="I15" s="40">
        <v>0</v>
      </c>
      <c r="J15" s="40">
        <v>0.27751481753002061</v>
      </c>
    </row>
    <row r="16" spans="1:10" ht="11.25" customHeight="1" x14ac:dyDescent="0.2">
      <c r="A16" s="49">
        <v>44593</v>
      </c>
      <c r="B16" s="64">
        <v>7849.44</v>
      </c>
      <c r="C16" s="64">
        <v>10027.775909312846</v>
      </c>
      <c r="D16" s="64">
        <v>0</v>
      </c>
      <c r="E16" s="64">
        <v>0</v>
      </c>
      <c r="F16" s="64">
        <v>0</v>
      </c>
      <c r="G16" s="64">
        <v>0</v>
      </c>
      <c r="H16" s="40">
        <v>0.27751481753002083</v>
      </c>
      <c r="I16" s="40">
        <v>0</v>
      </c>
      <c r="J16" s="40">
        <v>0.27751481753002083</v>
      </c>
    </row>
    <row r="17" spans="1:10" ht="11.25" customHeight="1" x14ac:dyDescent="0.2">
      <c r="A17" s="49">
        <v>44621</v>
      </c>
      <c r="B17" s="64">
        <v>7861.86</v>
      </c>
      <c r="C17" s="64">
        <v>10043.642643346569</v>
      </c>
      <c r="D17" s="64">
        <v>0</v>
      </c>
      <c r="E17" s="64">
        <v>0</v>
      </c>
      <c r="F17" s="64">
        <v>0</v>
      </c>
      <c r="G17" s="64">
        <v>0</v>
      </c>
      <c r="H17" s="40">
        <v>0.27751481753002083</v>
      </c>
      <c r="I17" s="40">
        <v>0</v>
      </c>
      <c r="J17" s="40">
        <v>0.27751481753002083</v>
      </c>
    </row>
    <row r="18" spans="1:10" ht="11.25" customHeight="1" x14ac:dyDescent="0.2">
      <c r="A18" s="49">
        <v>44652</v>
      </c>
      <c r="B18" s="64">
        <v>7837.0199999999995</v>
      </c>
      <c r="C18" s="64">
        <v>10011.909175279123</v>
      </c>
      <c r="D18" s="64">
        <v>0</v>
      </c>
      <c r="E18" s="64">
        <v>0</v>
      </c>
      <c r="F18" s="64">
        <v>0</v>
      </c>
      <c r="G18" s="64">
        <v>0</v>
      </c>
      <c r="H18" s="40">
        <v>0.27751481753002083</v>
      </c>
      <c r="I18" s="40">
        <v>0</v>
      </c>
      <c r="J18" s="40">
        <v>0.27751481753002083</v>
      </c>
    </row>
    <row r="19" spans="1:10" ht="11.25" customHeight="1" x14ac:dyDescent="0.2">
      <c r="A19" s="49">
        <v>44682</v>
      </c>
      <c r="B19" s="64">
        <v>8048.16</v>
      </c>
      <c r="C19" s="64">
        <v>10281.643653852412</v>
      </c>
      <c r="D19" s="64">
        <v>0</v>
      </c>
      <c r="E19" s="64">
        <v>0</v>
      </c>
      <c r="F19" s="64">
        <v>0</v>
      </c>
      <c r="G19" s="64">
        <v>0</v>
      </c>
      <c r="H19" s="40">
        <v>0.27751481753002083</v>
      </c>
      <c r="I19" s="40">
        <v>0</v>
      </c>
      <c r="J19" s="40">
        <v>0.27751481753002083</v>
      </c>
    </row>
    <row r="20" spans="1:10" ht="11.25" customHeight="1" x14ac:dyDescent="0.2">
      <c r="A20" s="48" t="s">
        <v>37</v>
      </c>
      <c r="B20" s="64">
        <v>0</v>
      </c>
      <c r="C20" s="64">
        <v>0</v>
      </c>
      <c r="D20" s="64">
        <v>5.8961700000000006</v>
      </c>
      <c r="E20" s="64">
        <v>7.764378586620893</v>
      </c>
      <c r="F20" s="64">
        <v>3.1842999999999995</v>
      </c>
      <c r="G20" s="64">
        <v>3.0138947296194143</v>
      </c>
      <c r="H20" s="40">
        <v>0.31685120792326082</v>
      </c>
      <c r="I20" s="40">
        <v>-5.3514201042799137E-2</v>
      </c>
      <c r="J20" s="40">
        <v>0.1869730659580735</v>
      </c>
    </row>
    <row r="21" spans="1:10" ht="11.25" customHeight="1" x14ac:dyDescent="0.2">
      <c r="A21" s="49">
        <v>44562</v>
      </c>
      <c r="B21" s="64">
        <v>0</v>
      </c>
      <c r="C21" s="64">
        <v>0</v>
      </c>
      <c r="D21" s="64">
        <v>2.5269299999999997</v>
      </c>
      <c r="E21" s="64">
        <v>3.3275908228375255</v>
      </c>
      <c r="F21" s="64">
        <v>1.3647</v>
      </c>
      <c r="G21" s="64">
        <v>1.2916691698368918</v>
      </c>
      <c r="H21" s="40">
        <v>0.31685120792326105</v>
      </c>
      <c r="I21" s="40">
        <v>-5.3514201042799248E-2</v>
      </c>
      <c r="J21" s="40">
        <v>0.1869730659580735</v>
      </c>
    </row>
    <row r="22" spans="1:10" ht="11.25" customHeight="1" x14ac:dyDescent="0.2">
      <c r="A22" s="49">
        <v>44593</v>
      </c>
      <c r="B22" s="64">
        <v>0</v>
      </c>
      <c r="C22" s="64">
        <v>0</v>
      </c>
      <c r="D22" s="64">
        <v>1.68462</v>
      </c>
      <c r="E22" s="64">
        <v>2.2183938818916835</v>
      </c>
      <c r="F22" s="64">
        <v>0.90979999999999994</v>
      </c>
      <c r="G22" s="64">
        <v>0.86111277989126123</v>
      </c>
      <c r="H22" s="40">
        <v>0.31685120792326082</v>
      </c>
      <c r="I22" s="40">
        <v>-5.3514201042799248E-2</v>
      </c>
      <c r="J22" s="40">
        <v>0.1869730659580735</v>
      </c>
    </row>
    <row r="23" spans="1:10" ht="11.25" customHeight="1" x14ac:dyDescent="0.2">
      <c r="A23" s="49">
        <v>44621</v>
      </c>
      <c r="B23" s="64">
        <v>0</v>
      </c>
      <c r="C23" s="64">
        <v>0</v>
      </c>
      <c r="D23" s="64">
        <v>0.84231</v>
      </c>
      <c r="E23" s="64">
        <v>1.1091969409458418</v>
      </c>
      <c r="F23" s="64">
        <v>0.45489999999999997</v>
      </c>
      <c r="G23" s="64">
        <v>0.43055638994563061</v>
      </c>
      <c r="H23" s="40">
        <v>0.31685120792326082</v>
      </c>
      <c r="I23" s="40">
        <v>-5.3514201042799248E-2</v>
      </c>
      <c r="J23" s="40">
        <v>0.1869730659580735</v>
      </c>
    </row>
    <row r="24" spans="1:10" ht="11.25" customHeight="1" x14ac:dyDescent="0.2">
      <c r="A24" s="49">
        <v>44652</v>
      </c>
      <c r="B24" s="64">
        <v>0</v>
      </c>
      <c r="C24" s="64">
        <v>0</v>
      </c>
      <c r="D24" s="64">
        <v>0.84231</v>
      </c>
      <c r="E24" s="64">
        <v>1.1091969409458418</v>
      </c>
      <c r="F24" s="64">
        <v>0.45489999999999997</v>
      </c>
      <c r="G24" s="64">
        <v>0.43055638994563061</v>
      </c>
      <c r="H24" s="40">
        <v>0.31685120792326082</v>
      </c>
      <c r="I24" s="40">
        <v>-5.3514201042799248E-2</v>
      </c>
      <c r="J24" s="40">
        <v>0.1869730659580735</v>
      </c>
    </row>
    <row r="25" spans="1:10" ht="11.25" customHeight="1" x14ac:dyDescent="0.2">
      <c r="A25" s="44" t="s">
        <v>40</v>
      </c>
      <c r="B25" s="64">
        <v>198086.58</v>
      </c>
      <c r="C25" s="64">
        <v>253058.54110384587</v>
      </c>
      <c r="D25" s="64">
        <v>468013.43546999997</v>
      </c>
      <c r="E25" s="64">
        <v>692716.84003765241</v>
      </c>
      <c r="F25" s="64">
        <v>1211378.8212399995</v>
      </c>
      <c r="G25" s="64">
        <v>1168521.1359516887</v>
      </c>
      <c r="H25" s="40">
        <v>0.4198699282031384</v>
      </c>
      <c r="I25" s="40">
        <v>-3.5379259185364109E-2</v>
      </c>
      <c r="J25" s="40">
        <v>0.126136005238906</v>
      </c>
    </row>
    <row r="26" spans="1:10" ht="11.25" customHeight="1" x14ac:dyDescent="0.2">
      <c r="A26" s="45" t="s">
        <v>25</v>
      </c>
      <c r="B26" s="64">
        <v>198086.58</v>
      </c>
      <c r="C26" s="64">
        <v>253058.54110384587</v>
      </c>
      <c r="D26" s="64">
        <v>468013.43546999997</v>
      </c>
      <c r="E26" s="64">
        <v>692716.84003765241</v>
      </c>
      <c r="F26" s="64">
        <v>1211378.8212399995</v>
      </c>
      <c r="G26" s="64">
        <v>1168521.1359516887</v>
      </c>
      <c r="H26" s="40">
        <v>0.4198699282031384</v>
      </c>
      <c r="I26" s="40">
        <v>-3.5379259185364109E-2</v>
      </c>
      <c r="J26" s="40">
        <v>0.126136005238906</v>
      </c>
    </row>
    <row r="27" spans="1:10" ht="11.25" customHeight="1" x14ac:dyDescent="0.2">
      <c r="A27" s="46" t="s">
        <v>25</v>
      </c>
      <c r="B27" s="64">
        <v>198086.58</v>
      </c>
      <c r="C27" s="64">
        <v>253058.54110384587</v>
      </c>
      <c r="D27" s="64">
        <v>468013.43546999997</v>
      </c>
      <c r="E27" s="64">
        <v>692716.84003765241</v>
      </c>
      <c r="F27" s="64">
        <v>1211378.8212399995</v>
      </c>
      <c r="G27" s="64">
        <v>1168521.1359516887</v>
      </c>
      <c r="H27" s="40">
        <v>0.4198699282031384</v>
      </c>
      <c r="I27" s="40">
        <v>-3.5379259185364109E-2</v>
      </c>
      <c r="J27" s="40">
        <v>0.126136005238906</v>
      </c>
    </row>
    <row r="28" spans="1:10" ht="11.25" customHeight="1" x14ac:dyDescent="0.2">
      <c r="A28" s="47" t="s">
        <v>25</v>
      </c>
      <c r="B28" s="64">
        <v>198086.58</v>
      </c>
      <c r="C28" s="64">
        <v>253058.54110384587</v>
      </c>
      <c r="D28" s="64">
        <v>468013.43546999997</v>
      </c>
      <c r="E28" s="64">
        <v>692716.84003765241</v>
      </c>
      <c r="F28" s="64">
        <v>1211378.8212399995</v>
      </c>
      <c r="G28" s="64">
        <v>1168521.1359516887</v>
      </c>
      <c r="H28" s="40">
        <v>0.4198699282031384</v>
      </c>
      <c r="I28" s="40">
        <v>-3.5379259185364109E-2</v>
      </c>
      <c r="J28" s="40">
        <v>0.126136005238906</v>
      </c>
    </row>
    <row r="29" spans="1:10" ht="11.25" customHeight="1" x14ac:dyDescent="0.2">
      <c r="A29" s="48" t="s">
        <v>35</v>
      </c>
      <c r="B29" s="64">
        <v>0</v>
      </c>
      <c r="C29" s="64">
        <v>0</v>
      </c>
      <c r="D29" s="64">
        <v>269342.82962999999</v>
      </c>
      <c r="E29" s="64">
        <v>431097.21275840251</v>
      </c>
      <c r="F29" s="64">
        <v>1104084.28764</v>
      </c>
      <c r="G29" s="64">
        <v>1066968.3835935525</v>
      </c>
      <c r="H29" s="40">
        <v>0.60055203010455771</v>
      </c>
      <c r="I29" s="40">
        <v>-3.3616911735772859E-2</v>
      </c>
      <c r="J29" s="40">
        <v>9.074997683874364E-2</v>
      </c>
    </row>
    <row r="30" spans="1:10" ht="11.25" customHeight="1" x14ac:dyDescent="0.2">
      <c r="A30" s="49">
        <v>44348</v>
      </c>
      <c r="B30" s="64">
        <v>0</v>
      </c>
      <c r="C30" s="64">
        <v>0</v>
      </c>
      <c r="D30" s="64">
        <v>22179.115140000002</v>
      </c>
      <c r="E30" s="64">
        <v>35498.827763249727</v>
      </c>
      <c r="F30" s="64">
        <v>90916.147920000003</v>
      </c>
      <c r="G30" s="64">
        <v>87859.827800016894</v>
      </c>
      <c r="H30" s="40">
        <v>0.60055203010455727</v>
      </c>
      <c r="I30" s="40">
        <v>-3.3616911735772859E-2</v>
      </c>
      <c r="J30" s="40">
        <v>9.074997683874364E-2</v>
      </c>
    </row>
    <row r="31" spans="1:10" ht="11.25" customHeight="1" x14ac:dyDescent="0.2">
      <c r="A31" s="49">
        <v>44378</v>
      </c>
      <c r="B31" s="64">
        <v>0</v>
      </c>
      <c r="C31" s="64">
        <v>0</v>
      </c>
      <c r="D31" s="64">
        <v>24800.954290000001</v>
      </c>
      <c r="E31" s="64">
        <v>39695.217737389838</v>
      </c>
      <c r="F31" s="64">
        <v>101663.53412</v>
      </c>
      <c r="G31" s="64">
        <v>98245.920066741237</v>
      </c>
      <c r="H31" s="40">
        <v>0.60055203010455749</v>
      </c>
      <c r="I31" s="40">
        <v>-3.3616911735772748E-2</v>
      </c>
      <c r="J31" s="40">
        <v>9.0749976838743862E-2</v>
      </c>
    </row>
    <row r="32" spans="1:10" ht="11.25" customHeight="1" x14ac:dyDescent="0.2">
      <c r="A32" s="49">
        <v>44409</v>
      </c>
      <c r="B32" s="64">
        <v>0</v>
      </c>
      <c r="C32" s="64">
        <v>0</v>
      </c>
      <c r="D32" s="64">
        <v>23653.505120000002</v>
      </c>
      <c r="E32" s="64">
        <v>37858.665638904546</v>
      </c>
      <c r="F32" s="64">
        <v>96959.935360000003</v>
      </c>
      <c r="G32" s="64">
        <v>93700.441771096652</v>
      </c>
      <c r="H32" s="40">
        <v>0.60055203010455749</v>
      </c>
      <c r="I32" s="40">
        <v>-3.3616911735772748E-2</v>
      </c>
      <c r="J32" s="40">
        <v>9.074997683874364E-2</v>
      </c>
    </row>
    <row r="33" spans="1:10" ht="11.25" customHeight="1" x14ac:dyDescent="0.2">
      <c r="A33" s="49">
        <v>44440</v>
      </c>
      <c r="B33" s="64">
        <v>0</v>
      </c>
      <c r="C33" s="64">
        <v>0</v>
      </c>
      <c r="D33" s="64">
        <v>22766.679040000003</v>
      </c>
      <c r="E33" s="64">
        <v>36439.254356210884</v>
      </c>
      <c r="F33" s="64">
        <v>93324.677120000008</v>
      </c>
      <c r="G33" s="64">
        <v>90187.38968648747</v>
      </c>
      <c r="H33" s="40">
        <v>0.60055203010455749</v>
      </c>
      <c r="I33" s="40">
        <v>-3.3616911735772859E-2</v>
      </c>
      <c r="J33" s="40">
        <v>9.074997683874364E-2</v>
      </c>
    </row>
    <row r="34" spans="1:10" ht="11.25" customHeight="1" x14ac:dyDescent="0.2">
      <c r="A34" s="49">
        <v>44470</v>
      </c>
      <c r="B34" s="64">
        <v>0</v>
      </c>
      <c r="C34" s="64">
        <v>0</v>
      </c>
      <c r="D34" s="64">
        <v>22819.608349999999</v>
      </c>
      <c r="E34" s="64">
        <v>36523.970470783417</v>
      </c>
      <c r="F34" s="64">
        <v>93541.643800000005</v>
      </c>
      <c r="G34" s="64">
        <v>90397.062616756302</v>
      </c>
      <c r="H34" s="40">
        <v>0.60055203010455793</v>
      </c>
      <c r="I34" s="40">
        <v>-3.3616911735772859E-2</v>
      </c>
      <c r="J34" s="40">
        <v>9.074997683874364E-2</v>
      </c>
    </row>
    <row r="35" spans="1:10" ht="11.25" customHeight="1" x14ac:dyDescent="0.2">
      <c r="A35" s="49">
        <v>44501</v>
      </c>
      <c r="B35" s="64">
        <v>0</v>
      </c>
      <c r="C35" s="64">
        <v>0</v>
      </c>
      <c r="D35" s="64">
        <v>22215.25691</v>
      </c>
      <c r="E35" s="64">
        <v>35556.674546594804</v>
      </c>
      <c r="F35" s="64">
        <v>91064.299480000001</v>
      </c>
      <c r="G35" s="64">
        <v>88002.998962100872</v>
      </c>
      <c r="H35" s="40">
        <v>0.60055203010455771</v>
      </c>
      <c r="I35" s="40">
        <v>-3.3616911735772637E-2</v>
      </c>
      <c r="J35" s="40">
        <v>9.0749976838743862E-2</v>
      </c>
    </row>
    <row r="36" spans="1:10" ht="11.25" customHeight="1" x14ac:dyDescent="0.2">
      <c r="A36" s="49">
        <v>44531</v>
      </c>
      <c r="B36" s="64">
        <v>0</v>
      </c>
      <c r="C36" s="64">
        <v>0</v>
      </c>
      <c r="D36" s="64">
        <v>20553.845410000002</v>
      </c>
      <c r="E36" s="64">
        <v>32897.498997430746</v>
      </c>
      <c r="F36" s="64">
        <v>84253.87748000001</v>
      </c>
      <c r="G36" s="64">
        <v>81421.522317358234</v>
      </c>
      <c r="H36" s="40">
        <v>0.60055203010455771</v>
      </c>
      <c r="I36" s="40">
        <v>-3.3616911735772748E-2</v>
      </c>
      <c r="J36" s="40">
        <v>9.0749976838743862E-2</v>
      </c>
    </row>
    <row r="37" spans="1:10" ht="11.25" customHeight="1" x14ac:dyDescent="0.2">
      <c r="A37" s="49">
        <v>44562</v>
      </c>
      <c r="B37" s="64">
        <v>0</v>
      </c>
      <c r="C37" s="64">
        <v>0</v>
      </c>
      <c r="D37" s="64">
        <v>21526.482180000003</v>
      </c>
      <c r="E37" s="64">
        <v>34454.254754208589</v>
      </c>
      <c r="F37" s="64">
        <v>88240.889040000009</v>
      </c>
      <c r="G37" s="64">
        <v>85274.502861656205</v>
      </c>
      <c r="H37" s="40">
        <v>0.60055203010455771</v>
      </c>
      <c r="I37" s="40">
        <v>-3.3616911735772859E-2</v>
      </c>
      <c r="J37" s="40">
        <v>9.074997683874364E-2</v>
      </c>
    </row>
    <row r="38" spans="1:10" ht="11.25" customHeight="1" x14ac:dyDescent="0.2">
      <c r="A38" s="49">
        <v>44593</v>
      </c>
      <c r="B38" s="64">
        <v>0</v>
      </c>
      <c r="C38" s="64">
        <v>0</v>
      </c>
      <c r="D38" s="64">
        <v>20597.617880000002</v>
      </c>
      <c r="E38" s="64">
        <v>32967.559113151932</v>
      </c>
      <c r="F38" s="64">
        <v>84433.308640000003</v>
      </c>
      <c r="G38" s="64">
        <v>81594.921555889858</v>
      </c>
      <c r="H38" s="40">
        <v>0.60055203010455749</v>
      </c>
      <c r="I38" s="40">
        <v>-3.3616911735772859E-2</v>
      </c>
      <c r="J38" s="40">
        <v>9.074997683874364E-2</v>
      </c>
    </row>
    <row r="39" spans="1:10" ht="11.25" customHeight="1" x14ac:dyDescent="0.2">
      <c r="A39" s="49">
        <v>44621</v>
      </c>
      <c r="B39" s="64">
        <v>0</v>
      </c>
      <c r="C39" s="64">
        <v>0</v>
      </c>
      <c r="D39" s="64">
        <v>23607.72092</v>
      </c>
      <c r="E39" s="64">
        <v>37785.385644647831</v>
      </c>
      <c r="F39" s="64">
        <v>96772.257759999993</v>
      </c>
      <c r="G39" s="64">
        <v>93519.073312410634</v>
      </c>
      <c r="H39" s="40">
        <v>0.60055203010455749</v>
      </c>
      <c r="I39" s="40">
        <v>-3.3616911735772637E-2</v>
      </c>
      <c r="J39" s="40">
        <v>9.074997683874364E-2</v>
      </c>
    </row>
    <row r="40" spans="1:10" ht="11.25" customHeight="1" x14ac:dyDescent="0.2">
      <c r="A40" s="49">
        <v>44652</v>
      </c>
      <c r="B40" s="64">
        <v>0</v>
      </c>
      <c r="C40" s="64">
        <v>0</v>
      </c>
      <c r="D40" s="64">
        <v>21520.308250000002</v>
      </c>
      <c r="E40" s="64">
        <v>34444.373058013363</v>
      </c>
      <c r="F40" s="64">
        <v>88215.581000000006</v>
      </c>
      <c r="G40" s="64">
        <v>85250.045599803096</v>
      </c>
      <c r="H40" s="40">
        <v>0.60055203010455771</v>
      </c>
      <c r="I40" s="40">
        <v>-3.3616911735772748E-2</v>
      </c>
      <c r="J40" s="40">
        <v>9.074997683874364E-2</v>
      </c>
    </row>
    <row r="41" spans="1:10" ht="11.25" customHeight="1" x14ac:dyDescent="0.2">
      <c r="A41" s="49">
        <v>44682</v>
      </c>
      <c r="B41" s="64">
        <v>0</v>
      </c>
      <c r="C41" s="64">
        <v>0</v>
      </c>
      <c r="D41" s="64">
        <v>23101.736140000001</v>
      </c>
      <c r="E41" s="64">
        <v>36975.530677816823</v>
      </c>
      <c r="F41" s="64">
        <v>94698.135920000001</v>
      </c>
      <c r="G41" s="64">
        <v>91514.677043235148</v>
      </c>
      <c r="H41" s="40">
        <v>0.60055203010455749</v>
      </c>
      <c r="I41" s="40">
        <v>-3.3616911735772748E-2</v>
      </c>
      <c r="J41" s="40">
        <v>9.074997683874364E-2</v>
      </c>
    </row>
    <row r="42" spans="1:10" ht="11.25" customHeight="1" x14ac:dyDescent="0.2">
      <c r="A42" s="48" t="s">
        <v>25</v>
      </c>
      <c r="B42" s="64">
        <v>198086.58</v>
      </c>
      <c r="C42" s="64">
        <v>253058.54110384587</v>
      </c>
      <c r="D42" s="64">
        <v>0</v>
      </c>
      <c r="E42" s="64">
        <v>0</v>
      </c>
      <c r="F42" s="64">
        <v>0</v>
      </c>
      <c r="G42" s="64">
        <v>0</v>
      </c>
      <c r="H42" s="40">
        <v>0.27751481753002083</v>
      </c>
      <c r="I42" s="40">
        <v>0</v>
      </c>
      <c r="J42" s="40">
        <v>0.27751481753002083</v>
      </c>
    </row>
    <row r="43" spans="1:10" ht="11.25" customHeight="1" x14ac:dyDescent="0.2">
      <c r="A43" s="49">
        <v>44348</v>
      </c>
      <c r="B43" s="64">
        <v>16953.3</v>
      </c>
      <c r="C43" s="64">
        <v>21658.091956031702</v>
      </c>
      <c r="D43" s="64">
        <v>0</v>
      </c>
      <c r="E43" s="64">
        <v>0</v>
      </c>
      <c r="F43" s="64">
        <v>0</v>
      </c>
      <c r="G43" s="64">
        <v>0</v>
      </c>
      <c r="H43" s="40">
        <v>0.27751481753002083</v>
      </c>
      <c r="I43" s="40">
        <v>0</v>
      </c>
      <c r="J43" s="40">
        <v>0.27751481753002083</v>
      </c>
    </row>
    <row r="44" spans="1:10" ht="11.25" customHeight="1" x14ac:dyDescent="0.2">
      <c r="A44" s="49">
        <v>44378</v>
      </c>
      <c r="B44" s="64">
        <v>17723.34</v>
      </c>
      <c r="C44" s="64">
        <v>22641.829466122519</v>
      </c>
      <c r="D44" s="64">
        <v>0</v>
      </c>
      <c r="E44" s="64">
        <v>0</v>
      </c>
      <c r="F44" s="64">
        <v>0</v>
      </c>
      <c r="G44" s="64">
        <v>0</v>
      </c>
      <c r="H44" s="40">
        <v>0.27751481753002083</v>
      </c>
      <c r="I44" s="40">
        <v>0</v>
      </c>
      <c r="J44" s="40">
        <v>0.27751481753002083</v>
      </c>
    </row>
    <row r="45" spans="1:10" ht="11.25" customHeight="1" x14ac:dyDescent="0.2">
      <c r="A45" s="49">
        <v>44409</v>
      </c>
      <c r="B45" s="64">
        <v>17127.18</v>
      </c>
      <c r="C45" s="64">
        <v>21880.226232503821</v>
      </c>
      <c r="D45" s="64">
        <v>0</v>
      </c>
      <c r="E45" s="64">
        <v>0</v>
      </c>
      <c r="F45" s="64">
        <v>0</v>
      </c>
      <c r="G45" s="64">
        <v>0</v>
      </c>
      <c r="H45" s="40">
        <v>0.27751481753002083</v>
      </c>
      <c r="I45" s="40">
        <v>0</v>
      </c>
      <c r="J45" s="40">
        <v>0.27751481753002083</v>
      </c>
    </row>
    <row r="46" spans="1:10" ht="11.25" customHeight="1" x14ac:dyDescent="0.2">
      <c r="A46" s="49">
        <v>44440</v>
      </c>
      <c r="B46" s="64">
        <v>15798.24</v>
      </c>
      <c r="C46" s="64">
        <v>20182.485690895475</v>
      </c>
      <c r="D46" s="64">
        <v>0</v>
      </c>
      <c r="E46" s="64">
        <v>0</v>
      </c>
      <c r="F46" s="64">
        <v>0</v>
      </c>
      <c r="G46" s="64">
        <v>0</v>
      </c>
      <c r="H46" s="40">
        <v>0.27751481753002083</v>
      </c>
      <c r="I46" s="40">
        <v>0</v>
      </c>
      <c r="J46" s="40">
        <v>0.27751481753002083</v>
      </c>
    </row>
    <row r="47" spans="1:10" ht="11.25" customHeight="1" x14ac:dyDescent="0.2">
      <c r="A47" s="49">
        <v>44470</v>
      </c>
      <c r="B47" s="64">
        <v>14456.88</v>
      </c>
      <c r="C47" s="64">
        <v>18468.878415253406</v>
      </c>
      <c r="D47" s="64">
        <v>0</v>
      </c>
      <c r="E47" s="64">
        <v>0</v>
      </c>
      <c r="F47" s="64">
        <v>0</v>
      </c>
      <c r="G47" s="64">
        <v>0</v>
      </c>
      <c r="H47" s="40">
        <v>0.27751481753002083</v>
      </c>
      <c r="I47" s="40">
        <v>0</v>
      </c>
      <c r="J47" s="40">
        <v>0.27751481753002083</v>
      </c>
    </row>
    <row r="48" spans="1:10" ht="11.25" customHeight="1" x14ac:dyDescent="0.2">
      <c r="A48" s="49">
        <v>44501</v>
      </c>
      <c r="B48" s="64">
        <v>14109.12</v>
      </c>
      <c r="C48" s="64">
        <v>18024.609862309168</v>
      </c>
      <c r="D48" s="64">
        <v>0</v>
      </c>
      <c r="E48" s="64">
        <v>0</v>
      </c>
      <c r="F48" s="64">
        <v>0</v>
      </c>
      <c r="G48" s="64">
        <v>0</v>
      </c>
      <c r="H48" s="40">
        <v>0.27751481753002083</v>
      </c>
      <c r="I48" s="40">
        <v>0</v>
      </c>
      <c r="J48" s="40">
        <v>0.27751481753002083</v>
      </c>
    </row>
    <row r="49" spans="1:10" ht="11.25" customHeight="1" x14ac:dyDescent="0.2">
      <c r="A49" s="49">
        <v>44531</v>
      </c>
      <c r="B49" s="64">
        <v>16518.599999999999</v>
      </c>
      <c r="C49" s="64">
        <v>21102.756264851403</v>
      </c>
      <c r="D49" s="64">
        <v>0</v>
      </c>
      <c r="E49" s="64">
        <v>0</v>
      </c>
      <c r="F49" s="64">
        <v>0</v>
      </c>
      <c r="G49" s="64">
        <v>0</v>
      </c>
      <c r="H49" s="40">
        <v>0.27751481753002105</v>
      </c>
      <c r="I49" s="40">
        <v>0</v>
      </c>
      <c r="J49" s="40">
        <v>0.27751481753002105</v>
      </c>
    </row>
    <row r="50" spans="1:10" ht="11.25" customHeight="1" x14ac:dyDescent="0.2">
      <c r="A50" s="49">
        <v>44562</v>
      </c>
      <c r="B50" s="64">
        <v>16444.080000000002</v>
      </c>
      <c r="C50" s="64">
        <v>21007.555860649067</v>
      </c>
      <c r="D50" s="64">
        <v>0</v>
      </c>
      <c r="E50" s="64">
        <v>0</v>
      </c>
      <c r="F50" s="64">
        <v>0</v>
      </c>
      <c r="G50" s="64">
        <v>0</v>
      </c>
      <c r="H50" s="40">
        <v>0.27751481753002083</v>
      </c>
      <c r="I50" s="40">
        <v>0</v>
      </c>
      <c r="J50" s="40">
        <v>0.27751481753002083</v>
      </c>
    </row>
    <row r="51" spans="1:10" ht="11.25" customHeight="1" x14ac:dyDescent="0.2">
      <c r="A51" s="49">
        <v>44593</v>
      </c>
      <c r="B51" s="64">
        <v>17040.240000000002</v>
      </c>
      <c r="C51" s="64">
        <v>21769.159094267761</v>
      </c>
      <c r="D51" s="64">
        <v>0</v>
      </c>
      <c r="E51" s="64">
        <v>0</v>
      </c>
      <c r="F51" s="64">
        <v>0</v>
      </c>
      <c r="G51" s="64">
        <v>0</v>
      </c>
      <c r="H51" s="40">
        <v>0.27751481753002061</v>
      </c>
      <c r="I51" s="40">
        <v>0</v>
      </c>
      <c r="J51" s="40">
        <v>0.27751481753002061</v>
      </c>
    </row>
    <row r="52" spans="1:10" ht="11.25" customHeight="1" x14ac:dyDescent="0.2">
      <c r="A52" s="49">
        <v>44621</v>
      </c>
      <c r="B52" s="64">
        <v>17288.64</v>
      </c>
      <c r="C52" s="64">
        <v>22086.493774942221</v>
      </c>
      <c r="D52" s="64">
        <v>0</v>
      </c>
      <c r="E52" s="64">
        <v>0</v>
      </c>
      <c r="F52" s="64">
        <v>0</v>
      </c>
      <c r="G52" s="64">
        <v>0</v>
      </c>
      <c r="H52" s="40">
        <v>0.27751481753002105</v>
      </c>
      <c r="I52" s="40">
        <v>0</v>
      </c>
      <c r="J52" s="40">
        <v>0.27751481753002105</v>
      </c>
    </row>
    <row r="53" spans="1:10" ht="11.25" customHeight="1" x14ac:dyDescent="0.2">
      <c r="A53" s="49">
        <v>44652</v>
      </c>
      <c r="B53" s="64">
        <v>17263.8</v>
      </c>
      <c r="C53" s="64">
        <v>22054.760306874774</v>
      </c>
      <c r="D53" s="64">
        <v>0</v>
      </c>
      <c r="E53" s="64">
        <v>0</v>
      </c>
      <c r="F53" s="64">
        <v>0</v>
      </c>
      <c r="G53" s="64">
        <v>0</v>
      </c>
      <c r="H53" s="40">
        <v>0.27751481753002083</v>
      </c>
      <c r="I53" s="40">
        <v>0</v>
      </c>
      <c r="J53" s="40">
        <v>0.27751481753002083</v>
      </c>
    </row>
    <row r="54" spans="1:10" ht="11.25" customHeight="1" x14ac:dyDescent="0.2">
      <c r="A54" s="49">
        <v>44682</v>
      </c>
      <c r="B54" s="64">
        <v>17363.16</v>
      </c>
      <c r="C54" s="64">
        <v>22181.694179144557</v>
      </c>
      <c r="D54" s="64">
        <v>0</v>
      </c>
      <c r="E54" s="64">
        <v>0</v>
      </c>
      <c r="F54" s="64">
        <v>0</v>
      </c>
      <c r="G54" s="64">
        <v>0</v>
      </c>
      <c r="H54" s="40">
        <v>0.27751481753002083</v>
      </c>
      <c r="I54" s="40">
        <v>0</v>
      </c>
      <c r="J54" s="40">
        <v>0.27751481753002083</v>
      </c>
    </row>
    <row r="55" spans="1:10" ht="11.25" customHeight="1" x14ac:dyDescent="0.2">
      <c r="A55" s="48" t="s">
        <v>37</v>
      </c>
      <c r="B55" s="64">
        <v>0</v>
      </c>
      <c r="C55" s="64">
        <v>0</v>
      </c>
      <c r="D55" s="64">
        <v>198670.60584</v>
      </c>
      <c r="E55" s="64">
        <v>261619.62727925001</v>
      </c>
      <c r="F55" s="64">
        <v>107294.53359999998</v>
      </c>
      <c r="G55" s="64">
        <v>101552.75235813622</v>
      </c>
      <c r="H55" s="40">
        <v>0.3168512079232606</v>
      </c>
      <c r="I55" s="40">
        <v>-5.3514201042799137E-2</v>
      </c>
      <c r="J55" s="40">
        <v>0.1869730659580735</v>
      </c>
    </row>
    <row r="56" spans="1:10" ht="11.25" customHeight="1" x14ac:dyDescent="0.2">
      <c r="A56" s="49">
        <v>44348</v>
      </c>
      <c r="B56" s="64">
        <v>0</v>
      </c>
      <c r="C56" s="64">
        <v>0</v>
      </c>
      <c r="D56" s="64">
        <v>17775.267930000002</v>
      </c>
      <c r="E56" s="64">
        <v>23407.383044780101</v>
      </c>
      <c r="F56" s="64">
        <v>9599.7546999999995</v>
      </c>
      <c r="G56" s="64">
        <v>9086.0314970226427</v>
      </c>
      <c r="H56" s="40">
        <v>0.31685120792326082</v>
      </c>
      <c r="I56" s="40">
        <v>-5.3514201042799248E-2</v>
      </c>
      <c r="J56" s="40">
        <v>0.1869730659580735</v>
      </c>
    </row>
    <row r="57" spans="1:10" ht="11.25" customHeight="1" x14ac:dyDescent="0.2">
      <c r="A57" s="49">
        <v>44378</v>
      </c>
      <c r="B57" s="64">
        <v>0</v>
      </c>
      <c r="C57" s="64">
        <v>0</v>
      </c>
      <c r="D57" s="64">
        <v>20319.886439999998</v>
      </c>
      <c r="E57" s="64">
        <v>26758.267003377485</v>
      </c>
      <c r="F57" s="64">
        <v>10974.007599999999</v>
      </c>
      <c r="G57" s="64">
        <v>10386.742351048391</v>
      </c>
      <c r="H57" s="40">
        <v>0.31685120792326082</v>
      </c>
      <c r="I57" s="40">
        <v>-5.3514201042799359E-2</v>
      </c>
      <c r="J57" s="40">
        <v>0.18697306595807328</v>
      </c>
    </row>
    <row r="58" spans="1:10" ht="11.25" customHeight="1" x14ac:dyDescent="0.2">
      <c r="A58" s="49">
        <v>44409</v>
      </c>
      <c r="B58" s="64">
        <v>0</v>
      </c>
      <c r="C58" s="64">
        <v>0</v>
      </c>
      <c r="D58" s="64">
        <v>18502.18146</v>
      </c>
      <c r="E58" s="64">
        <v>24364.620004816363</v>
      </c>
      <c r="F58" s="64">
        <v>9992.3333999999995</v>
      </c>
      <c r="G58" s="64">
        <v>9457.6016615457229</v>
      </c>
      <c r="H58" s="40">
        <v>0.31685120792326082</v>
      </c>
      <c r="I58" s="40">
        <v>-5.3514201042799137E-2</v>
      </c>
      <c r="J58" s="40">
        <v>0.1869730659580735</v>
      </c>
    </row>
    <row r="59" spans="1:10" ht="11.25" customHeight="1" x14ac:dyDescent="0.2">
      <c r="A59" s="49">
        <v>44440</v>
      </c>
      <c r="B59" s="64">
        <v>0</v>
      </c>
      <c r="C59" s="64">
        <v>0</v>
      </c>
      <c r="D59" s="64">
        <v>17339.793659999999</v>
      </c>
      <c r="E59" s="64">
        <v>22833.928226311098</v>
      </c>
      <c r="F59" s="64">
        <v>9364.5713999999989</v>
      </c>
      <c r="G59" s="64">
        <v>8863.4338434207511</v>
      </c>
      <c r="H59" s="40">
        <v>0.31685120792326082</v>
      </c>
      <c r="I59" s="40">
        <v>-5.3514201042799248E-2</v>
      </c>
      <c r="J59" s="40">
        <v>0.1869730659580735</v>
      </c>
    </row>
    <row r="60" spans="1:10" ht="11.25" customHeight="1" x14ac:dyDescent="0.2">
      <c r="A60" s="49">
        <v>44470</v>
      </c>
      <c r="B60" s="64">
        <v>0</v>
      </c>
      <c r="C60" s="64">
        <v>0</v>
      </c>
      <c r="D60" s="64">
        <v>16734.172770000001</v>
      </c>
      <c r="E60" s="64">
        <v>22036.415625771038</v>
      </c>
      <c r="F60" s="64">
        <v>9037.4982999999993</v>
      </c>
      <c r="G60" s="64">
        <v>8553.8637990498428</v>
      </c>
      <c r="H60" s="40">
        <v>0.3168512079232606</v>
      </c>
      <c r="I60" s="40">
        <v>-5.3514201042799248E-2</v>
      </c>
      <c r="J60" s="40">
        <v>0.18697306595807328</v>
      </c>
    </row>
    <row r="61" spans="1:10" ht="11.25" customHeight="1" x14ac:dyDescent="0.2">
      <c r="A61" s="49">
        <v>44501</v>
      </c>
      <c r="B61" s="64">
        <v>0</v>
      </c>
      <c r="C61" s="64">
        <v>0</v>
      </c>
      <c r="D61" s="64">
        <v>15178.426199999998</v>
      </c>
      <c r="E61" s="64">
        <v>19987.72887584407</v>
      </c>
      <c r="F61" s="64">
        <v>8197.2979999999989</v>
      </c>
      <c r="G61" s="64">
        <v>7758.6261468202629</v>
      </c>
      <c r="H61" s="40">
        <v>0.31685120792326105</v>
      </c>
      <c r="I61" s="40">
        <v>-5.3514201042799248E-2</v>
      </c>
      <c r="J61" s="40">
        <v>0.18697306595807373</v>
      </c>
    </row>
    <row r="62" spans="1:10" ht="11.25" customHeight="1" x14ac:dyDescent="0.2">
      <c r="A62" s="49">
        <v>44531</v>
      </c>
      <c r="B62" s="64">
        <v>0</v>
      </c>
      <c r="C62" s="64">
        <v>0</v>
      </c>
      <c r="D62" s="64">
        <v>15207.907049999998</v>
      </c>
      <c r="E62" s="64">
        <v>20026.550768777171</v>
      </c>
      <c r="F62" s="64">
        <v>8213.2194999999992</v>
      </c>
      <c r="G62" s="64">
        <v>7773.6956204683602</v>
      </c>
      <c r="H62" s="40">
        <v>0.31685120792326082</v>
      </c>
      <c r="I62" s="40">
        <v>-5.3514201042799248E-2</v>
      </c>
      <c r="J62" s="40">
        <v>0.1869730659580735</v>
      </c>
    </row>
    <row r="63" spans="1:10" ht="11.25" customHeight="1" x14ac:dyDescent="0.2">
      <c r="A63" s="49">
        <v>44562</v>
      </c>
      <c r="B63" s="64">
        <v>0</v>
      </c>
      <c r="C63" s="64">
        <v>0</v>
      </c>
      <c r="D63" s="64">
        <v>14103.638639999999</v>
      </c>
      <c r="E63" s="64">
        <v>18572.393579197174</v>
      </c>
      <c r="F63" s="64">
        <v>7616.8455999999996</v>
      </c>
      <c r="G63" s="64">
        <v>7209.2361932496387</v>
      </c>
      <c r="H63" s="40">
        <v>0.31685120792326082</v>
      </c>
      <c r="I63" s="40">
        <v>-5.3514201042799248E-2</v>
      </c>
      <c r="J63" s="40">
        <v>0.1869730659580735</v>
      </c>
    </row>
    <row r="64" spans="1:10" ht="11.25" customHeight="1" x14ac:dyDescent="0.2">
      <c r="A64" s="49">
        <v>44593</v>
      </c>
      <c r="B64" s="64">
        <v>0</v>
      </c>
      <c r="C64" s="64">
        <v>0</v>
      </c>
      <c r="D64" s="64">
        <v>15423.538409999999</v>
      </c>
      <c r="E64" s="64">
        <v>20310.505185659309</v>
      </c>
      <c r="F64" s="64">
        <v>8329.6738999999998</v>
      </c>
      <c r="G64" s="64">
        <v>7883.9180562944421</v>
      </c>
      <c r="H64" s="40">
        <v>0.31685120792326082</v>
      </c>
      <c r="I64" s="40">
        <v>-5.3514201042799248E-2</v>
      </c>
      <c r="J64" s="40">
        <v>0.1869730659580735</v>
      </c>
    </row>
    <row r="65" spans="1:10" ht="11.25" customHeight="1" x14ac:dyDescent="0.2">
      <c r="A65" s="49">
        <v>44621</v>
      </c>
      <c r="B65" s="64">
        <v>0</v>
      </c>
      <c r="C65" s="64">
        <v>0</v>
      </c>
      <c r="D65" s="64">
        <v>16542.126089999998</v>
      </c>
      <c r="E65" s="64">
        <v>21783.518723235386</v>
      </c>
      <c r="F65" s="64">
        <v>8933.7811000000002</v>
      </c>
      <c r="G65" s="64">
        <v>8455.6969421422382</v>
      </c>
      <c r="H65" s="40">
        <v>0.31685120792326082</v>
      </c>
      <c r="I65" s="40">
        <v>-5.351420104279947E-2</v>
      </c>
      <c r="J65" s="40">
        <v>0.1869730659580735</v>
      </c>
    </row>
    <row r="66" spans="1:10" ht="11.25" customHeight="1" x14ac:dyDescent="0.2">
      <c r="A66" s="49">
        <v>44652</v>
      </c>
      <c r="B66" s="64">
        <v>0</v>
      </c>
      <c r="C66" s="64">
        <v>0</v>
      </c>
      <c r="D66" s="64">
        <v>14841.502199999999</v>
      </c>
      <c r="E66" s="64">
        <v>19544.050099465734</v>
      </c>
      <c r="F66" s="64">
        <v>8015.3379999999997</v>
      </c>
      <c r="G66" s="64">
        <v>7586.4035908420119</v>
      </c>
      <c r="H66" s="40">
        <v>0.31685120792326105</v>
      </c>
      <c r="I66" s="40">
        <v>-5.3514201042799137E-2</v>
      </c>
      <c r="J66" s="40">
        <v>0.1869730659580735</v>
      </c>
    </row>
    <row r="67" spans="1:10" ht="11.25" customHeight="1" x14ac:dyDescent="0.2">
      <c r="A67" s="49">
        <v>44682</v>
      </c>
      <c r="B67" s="64">
        <v>0</v>
      </c>
      <c r="C67" s="64">
        <v>0</v>
      </c>
      <c r="D67" s="64">
        <v>16702.164990000001</v>
      </c>
      <c r="E67" s="64">
        <v>21994.266142015098</v>
      </c>
      <c r="F67" s="64">
        <v>9020.2121000000006</v>
      </c>
      <c r="G67" s="64">
        <v>8537.502656231909</v>
      </c>
      <c r="H67" s="40">
        <v>0.31685120792326082</v>
      </c>
      <c r="I67" s="40">
        <v>-5.3514201042799359E-2</v>
      </c>
      <c r="J67" s="40">
        <v>0.1869730659580735</v>
      </c>
    </row>
    <row r="68" spans="1:10" ht="11.25" customHeight="1" x14ac:dyDescent="0.2">
      <c r="A68" s="42" t="s">
        <v>33</v>
      </c>
      <c r="B68" s="64">
        <v>3728662.2812000019</v>
      </c>
      <c r="C68" s="64">
        <v>4780935.7890910991</v>
      </c>
      <c r="D68" s="64">
        <v>6245777.089255197</v>
      </c>
      <c r="E68" s="64">
        <v>9266889.8172392212</v>
      </c>
      <c r="F68" s="64">
        <v>16051245.387650792</v>
      </c>
      <c r="G68" s="64">
        <v>15531524.368201762</v>
      </c>
      <c r="H68" s="40">
        <v>0.40838247490287038</v>
      </c>
      <c r="I68" s="40">
        <v>-3.2378859515093561E-2</v>
      </c>
      <c r="J68" s="40">
        <v>0.13654454241859115</v>
      </c>
    </row>
    <row r="69" spans="1:10" ht="11.25" customHeight="1" x14ac:dyDescent="0.2">
      <c r="A69" s="43" t="s">
        <v>41</v>
      </c>
      <c r="B69" s="64">
        <v>523202.11760000006</v>
      </c>
      <c r="C69" s="64">
        <v>677706.49958030705</v>
      </c>
      <c r="D69" s="64">
        <v>261050.51741720003</v>
      </c>
      <c r="E69" s="64">
        <v>419505.29251297459</v>
      </c>
      <c r="F69" s="64">
        <v>1134457.3743652003</v>
      </c>
      <c r="G69" s="64">
        <v>1097264.8834102666</v>
      </c>
      <c r="H69" s="40">
        <v>0.3990540077295599</v>
      </c>
      <c r="I69" s="40">
        <v>-3.2784388197701353E-2</v>
      </c>
      <c r="J69" s="40">
        <v>0.14372503649465629</v>
      </c>
    </row>
    <row r="70" spans="1:10" ht="11.25" customHeight="1" x14ac:dyDescent="0.2">
      <c r="A70" s="44" t="s">
        <v>43</v>
      </c>
      <c r="B70" s="64">
        <v>119762.09999999998</v>
      </c>
      <c r="C70" s="64">
        <v>154092.94078104937</v>
      </c>
      <c r="D70" s="64">
        <v>46122.58686000001</v>
      </c>
      <c r="E70" s="64">
        <v>73821.600032446804</v>
      </c>
      <c r="F70" s="64">
        <v>201656.18790000002</v>
      </c>
      <c r="G70" s="64">
        <v>194208.84670260988</v>
      </c>
      <c r="H70" s="40">
        <v>0.37393357474790223</v>
      </c>
      <c r="I70" s="40">
        <v>-3.6930883574389672E-2</v>
      </c>
      <c r="J70" s="40">
        <v>0.1485073266796455</v>
      </c>
    </row>
    <row r="71" spans="1:10" ht="11.25" customHeight="1" x14ac:dyDescent="0.2">
      <c r="A71" s="45" t="s">
        <v>25</v>
      </c>
      <c r="B71" s="64">
        <v>119762.09999999998</v>
      </c>
      <c r="C71" s="64">
        <v>154092.94078104937</v>
      </c>
      <c r="D71" s="64">
        <v>46122.58686000001</v>
      </c>
      <c r="E71" s="64">
        <v>73821.600032446804</v>
      </c>
      <c r="F71" s="64">
        <v>201656.18790000002</v>
      </c>
      <c r="G71" s="64">
        <v>194208.84670260988</v>
      </c>
      <c r="H71" s="40">
        <v>0.37393357474790223</v>
      </c>
      <c r="I71" s="40">
        <v>-3.6930883574389672E-2</v>
      </c>
      <c r="J71" s="40">
        <v>0.1485073266796455</v>
      </c>
    </row>
    <row r="72" spans="1:10" ht="11.25" customHeight="1" x14ac:dyDescent="0.2">
      <c r="A72" s="46" t="s">
        <v>25</v>
      </c>
      <c r="B72" s="64">
        <v>119762.09999999998</v>
      </c>
      <c r="C72" s="64">
        <v>154092.94078104937</v>
      </c>
      <c r="D72" s="64">
        <v>46122.58686000001</v>
      </c>
      <c r="E72" s="64">
        <v>73821.600032446804</v>
      </c>
      <c r="F72" s="64">
        <v>201656.18790000002</v>
      </c>
      <c r="G72" s="64">
        <v>194208.84670260988</v>
      </c>
      <c r="H72" s="40">
        <v>0.37393357474790223</v>
      </c>
      <c r="I72" s="40">
        <v>-3.6930883574389672E-2</v>
      </c>
      <c r="J72" s="40">
        <v>0.1485073266796455</v>
      </c>
    </row>
    <row r="73" spans="1:10" ht="11.25" customHeight="1" x14ac:dyDescent="0.2">
      <c r="A73" s="47" t="s">
        <v>25</v>
      </c>
      <c r="B73" s="64">
        <v>119762.09999999998</v>
      </c>
      <c r="C73" s="64">
        <v>154092.94078104937</v>
      </c>
      <c r="D73" s="64">
        <v>46122.58686000001</v>
      </c>
      <c r="E73" s="64">
        <v>73821.600032446804</v>
      </c>
      <c r="F73" s="64">
        <v>201656.18790000002</v>
      </c>
      <c r="G73" s="64">
        <v>194208.84670260988</v>
      </c>
      <c r="H73" s="40">
        <v>0.37393357474790223</v>
      </c>
      <c r="I73" s="40">
        <v>-3.6930883574389672E-2</v>
      </c>
      <c r="J73" s="40">
        <v>0.1485073266796455</v>
      </c>
    </row>
    <row r="74" spans="1:10" ht="11.25" customHeight="1" x14ac:dyDescent="0.2">
      <c r="A74" s="48" t="s">
        <v>35</v>
      </c>
      <c r="B74" s="64">
        <v>34689.060000000005</v>
      </c>
      <c r="C74" s="64">
        <v>44315.788156187948</v>
      </c>
      <c r="D74" s="64">
        <v>41000.791649999999</v>
      </c>
      <c r="E74" s="64">
        <v>65623.900311301491</v>
      </c>
      <c r="F74" s="64">
        <v>168069.55619999999</v>
      </c>
      <c r="G74" s="64">
        <v>162419.57676375413</v>
      </c>
      <c r="H74" s="40">
        <v>0.45250236419890566</v>
      </c>
      <c r="I74" s="40">
        <v>-3.3616911735772526E-2</v>
      </c>
      <c r="J74" s="40">
        <v>0.11732821979467078</v>
      </c>
    </row>
    <row r="75" spans="1:10" ht="11.25" customHeight="1" x14ac:dyDescent="0.2">
      <c r="A75" s="49">
        <v>44348</v>
      </c>
      <c r="B75" s="64">
        <v>2732.4</v>
      </c>
      <c r="C75" s="64">
        <v>3490.6814874190291</v>
      </c>
      <c r="D75" s="64">
        <v>3062.0611699999999</v>
      </c>
      <c r="E75" s="64">
        <v>4900.9882219478368</v>
      </c>
      <c r="F75" s="64">
        <v>12551.93476</v>
      </c>
      <c r="G75" s="64">
        <v>12129.977477059902</v>
      </c>
      <c r="H75" s="40">
        <v>0.44822261521287676</v>
      </c>
      <c r="I75" s="40">
        <v>-3.3616911735772859E-2</v>
      </c>
      <c r="J75" s="40">
        <v>0.11856558992438404</v>
      </c>
    </row>
    <row r="76" spans="1:10" ht="11.25" customHeight="1" x14ac:dyDescent="0.2">
      <c r="A76" s="49">
        <v>44378</v>
      </c>
      <c r="B76" s="64">
        <v>2732.4</v>
      </c>
      <c r="C76" s="64">
        <v>3490.6814874190291</v>
      </c>
      <c r="D76" s="64">
        <v>3180.4063900000001</v>
      </c>
      <c r="E76" s="64">
        <v>5090.4059040720076</v>
      </c>
      <c r="F76" s="64">
        <v>13037.052920000002</v>
      </c>
      <c r="G76" s="64">
        <v>12598.787462693763</v>
      </c>
      <c r="H76" s="40">
        <v>0.45127149875966732</v>
      </c>
      <c r="I76" s="40">
        <v>-3.3616911735772748E-2</v>
      </c>
      <c r="J76" s="40">
        <v>0.11767979422454089</v>
      </c>
    </row>
    <row r="77" spans="1:10" ht="11.25" customHeight="1" x14ac:dyDescent="0.2">
      <c r="A77" s="49">
        <v>44409</v>
      </c>
      <c r="B77" s="64">
        <v>2732.4</v>
      </c>
      <c r="C77" s="64">
        <v>3490.6814874190291</v>
      </c>
      <c r="D77" s="64">
        <v>3218.2824100000003</v>
      </c>
      <c r="E77" s="64">
        <v>5151.0284447752883</v>
      </c>
      <c r="F77" s="64">
        <v>13192.313480000001</v>
      </c>
      <c r="G77" s="64">
        <v>12748.828642152195</v>
      </c>
      <c r="H77" s="40">
        <v>0.45222166749684023</v>
      </c>
      <c r="I77" s="40">
        <v>-3.3616911735772748E-2</v>
      </c>
      <c r="J77" s="40">
        <v>0.117408095225084</v>
      </c>
    </row>
    <row r="78" spans="1:10" ht="11.25" customHeight="1" x14ac:dyDescent="0.2">
      <c r="A78" s="49">
        <v>44440</v>
      </c>
      <c r="B78" s="64">
        <v>2732.4</v>
      </c>
      <c r="C78" s="64">
        <v>3490.6814874190291</v>
      </c>
      <c r="D78" s="64">
        <v>3163.8269599999999</v>
      </c>
      <c r="E78" s="64">
        <v>5063.8696637275307</v>
      </c>
      <c r="F78" s="64">
        <v>12969.09088</v>
      </c>
      <c r="G78" s="64">
        <v>12533.110096593824</v>
      </c>
      <c r="H78" s="40">
        <v>0.4508517411525419</v>
      </c>
      <c r="I78" s="40">
        <v>-3.3616911735772748E-2</v>
      </c>
      <c r="J78" s="40">
        <v>0.11780047527364546</v>
      </c>
    </row>
    <row r="79" spans="1:10" ht="11.25" customHeight="1" x14ac:dyDescent="0.2">
      <c r="A79" s="49">
        <v>44470</v>
      </c>
      <c r="B79" s="64">
        <v>2732.4</v>
      </c>
      <c r="C79" s="64">
        <v>3490.6814874190291</v>
      </c>
      <c r="D79" s="64">
        <v>3245.9610400000001</v>
      </c>
      <c r="E79" s="64">
        <v>5195.3295322123013</v>
      </c>
      <c r="F79" s="64">
        <v>13305.773120000002</v>
      </c>
      <c r="G79" s="64">
        <v>12858.474119448743</v>
      </c>
      <c r="H79" s="40">
        <v>0.45290840775841312</v>
      </c>
      <c r="I79" s="40">
        <v>-3.3616911735772748E-2</v>
      </c>
      <c r="J79" s="40">
        <v>0.11721298764704691</v>
      </c>
    </row>
    <row r="80" spans="1:10" ht="11.25" customHeight="1" x14ac:dyDescent="0.2">
      <c r="A80" s="49">
        <v>44501</v>
      </c>
      <c r="B80" s="64">
        <v>2869.02</v>
      </c>
      <c r="C80" s="64">
        <v>3665.2155617899803</v>
      </c>
      <c r="D80" s="64">
        <v>3359.5197300000004</v>
      </c>
      <c r="E80" s="64">
        <v>5377.0861240278155</v>
      </c>
      <c r="F80" s="64">
        <v>13771.270440000002</v>
      </c>
      <c r="G80" s="64">
        <v>13308.322857129064</v>
      </c>
      <c r="H80" s="40">
        <v>0.45175307179389157</v>
      </c>
      <c r="I80" s="40">
        <v>-3.3616911735772859E-2</v>
      </c>
      <c r="J80" s="40">
        <v>0.11754183429566312</v>
      </c>
    </row>
    <row r="81" spans="1:10" ht="11.25" customHeight="1" x14ac:dyDescent="0.2">
      <c r="A81" s="49">
        <v>44531</v>
      </c>
      <c r="B81" s="64">
        <v>3117.42</v>
      </c>
      <c r="C81" s="64">
        <v>3982.5502424644374</v>
      </c>
      <c r="D81" s="64">
        <v>3533.0141000000003</v>
      </c>
      <c r="E81" s="64">
        <v>5654.7728901430264</v>
      </c>
      <c r="F81" s="64">
        <v>14482.454800000001</v>
      </c>
      <c r="G81" s="64">
        <v>13995.599395271081</v>
      </c>
      <c r="H81" s="40">
        <v>0.44912692730952153</v>
      </c>
      <c r="I81" s="40">
        <v>-3.3616911735772859E-2</v>
      </c>
      <c r="J81" s="40">
        <v>0.11830060905106743</v>
      </c>
    </row>
    <row r="82" spans="1:10" ht="11.25" customHeight="1" x14ac:dyDescent="0.2">
      <c r="A82" s="49">
        <v>44562</v>
      </c>
      <c r="B82" s="64">
        <v>3415.5</v>
      </c>
      <c r="C82" s="64">
        <v>4363.3518592737864</v>
      </c>
      <c r="D82" s="64">
        <v>4209.7878200000005</v>
      </c>
      <c r="E82" s="64">
        <v>6737.9844416104397</v>
      </c>
      <c r="F82" s="64">
        <v>17256.670959999999</v>
      </c>
      <c r="G82" s="64">
        <v>16676.554975484407</v>
      </c>
      <c r="H82" s="40">
        <v>0.45585800338802507</v>
      </c>
      <c r="I82" s="40">
        <v>-3.3616911735772748E-2</v>
      </c>
      <c r="J82" s="40">
        <v>0.11638683762696234</v>
      </c>
    </row>
    <row r="83" spans="1:10" ht="11.25" customHeight="1" x14ac:dyDescent="0.2">
      <c r="A83" s="49">
        <v>44593</v>
      </c>
      <c r="B83" s="64">
        <v>2980.8</v>
      </c>
      <c r="C83" s="64">
        <v>3808.0161680934862</v>
      </c>
      <c r="D83" s="64">
        <v>3411.1310100000005</v>
      </c>
      <c r="E83" s="64">
        <v>5459.6926630081107</v>
      </c>
      <c r="F83" s="64">
        <v>13982.834280000001</v>
      </c>
      <c r="G83" s="64">
        <v>13512.774574193303</v>
      </c>
      <c r="H83" s="40">
        <v>0.44990751880809143</v>
      </c>
      <c r="I83" s="40">
        <v>-3.3616911735772748E-2</v>
      </c>
      <c r="J83" s="40">
        <v>0.11807341488618928</v>
      </c>
    </row>
    <row r="84" spans="1:10" ht="11.25" customHeight="1" x14ac:dyDescent="0.2">
      <c r="A84" s="49">
        <v>44621</v>
      </c>
      <c r="B84" s="64">
        <v>3179.52</v>
      </c>
      <c r="C84" s="64">
        <v>4061.8839126330518</v>
      </c>
      <c r="D84" s="64">
        <v>3870.846</v>
      </c>
      <c r="E84" s="64">
        <v>6195.4904235221065</v>
      </c>
      <c r="F84" s="64">
        <v>15867.288</v>
      </c>
      <c r="G84" s="64">
        <v>15333.878779817913</v>
      </c>
      <c r="H84" s="40">
        <v>0.45487118486546074</v>
      </c>
      <c r="I84" s="40">
        <v>-3.3616911735772859E-2</v>
      </c>
      <c r="J84" s="40">
        <v>0.11666111705731619</v>
      </c>
    </row>
    <row r="85" spans="1:10" ht="11.25" customHeight="1" x14ac:dyDescent="0.2">
      <c r="A85" s="49">
        <v>44652</v>
      </c>
      <c r="B85" s="64">
        <v>2732.4</v>
      </c>
      <c r="C85" s="64">
        <v>3490.6814874190291</v>
      </c>
      <c r="D85" s="64">
        <v>3395.80024</v>
      </c>
      <c r="E85" s="64">
        <v>5435.1549679615437</v>
      </c>
      <c r="F85" s="64">
        <v>13919.99072</v>
      </c>
      <c r="G85" s="64">
        <v>13452.043620602984</v>
      </c>
      <c r="H85" s="40">
        <v>0.45651840765904428</v>
      </c>
      <c r="I85" s="40">
        <v>-3.3616911735772748E-2</v>
      </c>
      <c r="J85" s="40">
        <v>0.11620445558563053</v>
      </c>
    </row>
    <row r="86" spans="1:10" ht="11.25" customHeight="1" x14ac:dyDescent="0.2">
      <c r="A86" s="49">
        <v>44682</v>
      </c>
      <c r="B86" s="64">
        <v>2732.4</v>
      </c>
      <c r="C86" s="64">
        <v>3490.6814874190291</v>
      </c>
      <c r="D86" s="64">
        <v>3350.1547799999998</v>
      </c>
      <c r="E86" s="64">
        <v>5362.097034293487</v>
      </c>
      <c r="F86" s="64">
        <v>13732.88184</v>
      </c>
      <c r="G86" s="64">
        <v>13271.224763306924</v>
      </c>
      <c r="H86" s="40">
        <v>0.45543753273234233</v>
      </c>
      <c r="I86" s="40">
        <v>-3.3616911735772748E-2</v>
      </c>
      <c r="J86" s="40">
        <v>0.11650344674663238</v>
      </c>
    </row>
    <row r="87" spans="1:10" ht="11.25" customHeight="1" x14ac:dyDescent="0.2">
      <c r="A87" s="48" t="s">
        <v>37</v>
      </c>
      <c r="B87" s="64">
        <v>85073.04</v>
      </c>
      <c r="C87" s="64">
        <v>109777.15262486142</v>
      </c>
      <c r="D87" s="64">
        <v>5121.7952099999993</v>
      </c>
      <c r="E87" s="64">
        <v>8197.6997211452999</v>
      </c>
      <c r="F87" s="64">
        <v>33586.631699999998</v>
      </c>
      <c r="G87" s="64">
        <v>31789.269938855745</v>
      </c>
      <c r="H87" s="40">
        <v>0.30800008749200236</v>
      </c>
      <c r="I87" s="40">
        <v>-5.3514201042799248E-2</v>
      </c>
      <c r="J87" s="40">
        <v>0.2099074766479716</v>
      </c>
    </row>
    <row r="88" spans="1:10" ht="11.25" customHeight="1" x14ac:dyDescent="0.2">
      <c r="A88" s="49">
        <v>44348</v>
      </c>
      <c r="B88" s="64">
        <v>6978.4</v>
      </c>
      <c r="C88" s="64">
        <v>9004.8372772071252</v>
      </c>
      <c r="D88" s="64">
        <v>403.59465999999998</v>
      </c>
      <c r="E88" s="64">
        <v>645.97425240235862</v>
      </c>
      <c r="F88" s="64">
        <v>2646.6081999999997</v>
      </c>
      <c r="G88" s="64">
        <v>2504.9770767036784</v>
      </c>
      <c r="H88" s="40">
        <v>0.3073446912530664</v>
      </c>
      <c r="I88" s="40">
        <v>-5.3514201042799359E-2</v>
      </c>
      <c r="J88" s="40">
        <v>0.21211187400765863</v>
      </c>
    </row>
    <row r="89" spans="1:10" ht="11.25" customHeight="1" x14ac:dyDescent="0.2">
      <c r="A89" s="49">
        <v>44378</v>
      </c>
      <c r="B89" s="64">
        <v>6978.4</v>
      </c>
      <c r="C89" s="64">
        <v>9004.8372772071252</v>
      </c>
      <c r="D89" s="64">
        <v>455.06720000000001</v>
      </c>
      <c r="E89" s="64">
        <v>728.35873079399676</v>
      </c>
      <c r="F89" s="64">
        <v>2984.1439999999998</v>
      </c>
      <c r="G89" s="64">
        <v>2824.4499180433368</v>
      </c>
      <c r="H89" s="40">
        <v>0.30937498560579124</v>
      </c>
      <c r="I89" s="40">
        <v>-5.3514201042799248E-2</v>
      </c>
      <c r="J89" s="40">
        <v>0.20542470677389635</v>
      </c>
    </row>
    <row r="90" spans="1:10" ht="11.25" customHeight="1" x14ac:dyDescent="0.2">
      <c r="A90" s="49">
        <v>44409</v>
      </c>
      <c r="B90" s="64">
        <v>6978.4</v>
      </c>
      <c r="C90" s="64">
        <v>9004.8372772071252</v>
      </c>
      <c r="D90" s="64">
        <v>429.74715000000003</v>
      </c>
      <c r="E90" s="64">
        <v>687.83267336414792</v>
      </c>
      <c r="F90" s="64">
        <v>2818.1055000000001</v>
      </c>
      <c r="G90" s="64">
        <v>2667.2968357131817</v>
      </c>
      <c r="H90" s="40">
        <v>0.30837978165313218</v>
      </c>
      <c r="I90" s="40">
        <v>-5.3514201042799248E-2</v>
      </c>
      <c r="J90" s="40">
        <v>0.20865063765899183</v>
      </c>
    </row>
    <row r="91" spans="1:10" ht="11.25" customHeight="1" x14ac:dyDescent="0.2">
      <c r="A91" s="49">
        <v>44440</v>
      </c>
      <c r="B91" s="64">
        <v>6978.4</v>
      </c>
      <c r="C91" s="64">
        <v>9004.8372772071252</v>
      </c>
      <c r="D91" s="64">
        <v>406.30009000000007</v>
      </c>
      <c r="E91" s="64">
        <v>650.30443388116453</v>
      </c>
      <c r="F91" s="64">
        <v>2664.3492999999999</v>
      </c>
      <c r="G91" s="64">
        <v>2521.7687759115584</v>
      </c>
      <c r="H91" s="40">
        <v>0.30745210955321145</v>
      </c>
      <c r="I91" s="40">
        <v>-5.3514201042799248E-2</v>
      </c>
      <c r="J91" s="40">
        <v>0.21174750112357121</v>
      </c>
    </row>
    <row r="92" spans="1:10" ht="11.25" customHeight="1" x14ac:dyDescent="0.2">
      <c r="A92" s="49">
        <v>44470</v>
      </c>
      <c r="B92" s="64">
        <v>6978.4</v>
      </c>
      <c r="C92" s="64">
        <v>9004.8372772071252</v>
      </c>
      <c r="D92" s="64">
        <v>387.63956000000002</v>
      </c>
      <c r="E92" s="64">
        <v>620.43728470683754</v>
      </c>
      <c r="F92" s="64">
        <v>2541.9811999999997</v>
      </c>
      <c r="G92" s="64">
        <v>2405.9491070161839</v>
      </c>
      <c r="H92" s="40">
        <v>0.30670959387488872</v>
      </c>
      <c r="I92" s="40">
        <v>-5.3514201042799137E-2</v>
      </c>
      <c r="J92" s="40">
        <v>0.21429132622549596</v>
      </c>
    </row>
    <row r="93" spans="1:10" ht="11.25" customHeight="1" x14ac:dyDescent="0.2">
      <c r="A93" s="49">
        <v>44501</v>
      </c>
      <c r="B93" s="64">
        <v>6978.4</v>
      </c>
      <c r="C93" s="64">
        <v>9004.8372772071252</v>
      </c>
      <c r="D93" s="64">
        <v>395.33963</v>
      </c>
      <c r="E93" s="64">
        <v>632.7616473772847</v>
      </c>
      <c r="F93" s="64">
        <v>2592.4750999999997</v>
      </c>
      <c r="G93" s="64">
        <v>2453.7408663001488</v>
      </c>
      <c r="H93" s="40">
        <v>0.30701644052821142</v>
      </c>
      <c r="I93" s="40">
        <v>-5.3514201042799137E-2</v>
      </c>
      <c r="J93" s="40">
        <v>0.21323291926347632</v>
      </c>
    </row>
    <row r="94" spans="1:10" ht="11.25" customHeight="1" x14ac:dyDescent="0.2">
      <c r="A94" s="49">
        <v>44531</v>
      </c>
      <c r="B94" s="64">
        <v>6978.4</v>
      </c>
      <c r="C94" s="64">
        <v>9004.8372772071252</v>
      </c>
      <c r="D94" s="64">
        <v>437.79407000000003</v>
      </c>
      <c r="E94" s="64">
        <v>700.71218750623677</v>
      </c>
      <c r="F94" s="64">
        <v>2870.8739</v>
      </c>
      <c r="G94" s="64">
        <v>2717.2413769468749</v>
      </c>
      <c r="H94" s="40">
        <v>0.30869680230918806</v>
      </c>
      <c r="I94" s="40">
        <v>-5.3514201042799248E-2</v>
      </c>
      <c r="J94" s="40">
        <v>0.2076124001405073</v>
      </c>
    </row>
    <row r="95" spans="1:10" ht="11.25" customHeight="1" x14ac:dyDescent="0.2">
      <c r="A95" s="49">
        <v>44562</v>
      </c>
      <c r="B95" s="64">
        <v>8310.64</v>
      </c>
      <c r="C95" s="64">
        <v>10723.942575583033</v>
      </c>
      <c r="D95" s="64">
        <v>501.47573000000006</v>
      </c>
      <c r="E95" s="64">
        <v>802.63799769966499</v>
      </c>
      <c r="F95" s="64">
        <v>3288.4721</v>
      </c>
      <c r="G95" s="64">
        <v>3112.4921429169635</v>
      </c>
      <c r="H95" s="40">
        <v>0.30803781140113307</v>
      </c>
      <c r="I95" s="40">
        <v>-5.3514201042799359E-2</v>
      </c>
      <c r="J95" s="40">
        <v>0.20978194794026472</v>
      </c>
    </row>
    <row r="96" spans="1:10" ht="11.25" customHeight="1" x14ac:dyDescent="0.2">
      <c r="A96" s="49">
        <v>44593</v>
      </c>
      <c r="B96" s="64">
        <v>6978.4</v>
      </c>
      <c r="C96" s="64">
        <v>9004.8372772071252</v>
      </c>
      <c r="D96" s="64">
        <v>413.72268000000008</v>
      </c>
      <c r="E96" s="64">
        <v>662.18467537429831</v>
      </c>
      <c r="F96" s="64">
        <v>2713.0236</v>
      </c>
      <c r="G96" s="64">
        <v>2567.8383096357411</v>
      </c>
      <c r="H96" s="40">
        <v>0.30774641751230014</v>
      </c>
      <c r="I96" s="40">
        <v>-5.3514201042799248E-2</v>
      </c>
      <c r="J96" s="40">
        <v>0.21075538376245695</v>
      </c>
    </row>
    <row r="97" spans="1:10" ht="11.25" customHeight="1" x14ac:dyDescent="0.2">
      <c r="A97" s="49">
        <v>44621</v>
      </c>
      <c r="B97" s="64">
        <v>6978.4</v>
      </c>
      <c r="C97" s="64">
        <v>9004.8372772071252</v>
      </c>
      <c r="D97" s="64">
        <v>467.13758000000001</v>
      </c>
      <c r="E97" s="64">
        <v>747.6780020071302</v>
      </c>
      <c r="F97" s="64">
        <v>3063.2965999999997</v>
      </c>
      <c r="G97" s="64">
        <v>2899.3667298938763</v>
      </c>
      <c r="H97" s="40">
        <v>0.30984702909984607</v>
      </c>
      <c r="I97" s="40">
        <v>-5.3514201042799248E-2</v>
      </c>
      <c r="J97" s="40">
        <v>0.20392821814494888</v>
      </c>
    </row>
    <row r="98" spans="1:10" ht="11.25" customHeight="1" x14ac:dyDescent="0.2">
      <c r="A98" s="49">
        <v>44652</v>
      </c>
      <c r="B98" s="64">
        <v>6978.4</v>
      </c>
      <c r="C98" s="64">
        <v>9004.8372772071252</v>
      </c>
      <c r="D98" s="64">
        <v>382.36743999999999</v>
      </c>
      <c r="E98" s="64">
        <v>611.99898233788258</v>
      </c>
      <c r="F98" s="64">
        <v>2507.4087999999997</v>
      </c>
      <c r="G98" s="64">
        <v>2373.2268213803159</v>
      </c>
      <c r="H98" s="40">
        <v>0.3064991304147231</v>
      </c>
      <c r="I98" s="40">
        <v>-5.3514201042799137E-2</v>
      </c>
      <c r="J98" s="40">
        <v>0.21502320077385706</v>
      </c>
    </row>
    <row r="99" spans="1:10" ht="11.25" customHeight="1" x14ac:dyDescent="0.2">
      <c r="A99" s="49">
        <v>44682</v>
      </c>
      <c r="B99" s="64">
        <v>6978.4</v>
      </c>
      <c r="C99" s="64">
        <v>9004.8372772071252</v>
      </c>
      <c r="D99" s="64">
        <v>441.60942</v>
      </c>
      <c r="E99" s="64">
        <v>706.81885369429619</v>
      </c>
      <c r="F99" s="64">
        <v>2895.8933999999995</v>
      </c>
      <c r="G99" s="64">
        <v>2740.9219783938843</v>
      </c>
      <c r="H99" s="40">
        <v>0.3088468735261285</v>
      </c>
      <c r="I99" s="40">
        <v>-5.3514201042799137E-2</v>
      </c>
      <c r="J99" s="40">
        <v>0.20712441039603613</v>
      </c>
    </row>
    <row r="100" spans="1:10" ht="11.25" customHeight="1" x14ac:dyDescent="0.2">
      <c r="A100" s="44" t="s">
        <v>40</v>
      </c>
      <c r="B100" s="64">
        <v>201438.91999999995</v>
      </c>
      <c r="C100" s="64">
        <v>259081.41604249945</v>
      </c>
      <c r="D100" s="64">
        <v>122443.87707999998</v>
      </c>
      <c r="E100" s="64">
        <v>195977.79603426694</v>
      </c>
      <c r="F100" s="64">
        <v>532980.58914000005</v>
      </c>
      <c r="G100" s="64">
        <v>513414.87339876895</v>
      </c>
      <c r="H100" s="40">
        <v>0.40501198637100067</v>
      </c>
      <c r="I100" s="40">
        <v>-3.6709996836473358E-2</v>
      </c>
      <c r="J100" s="40">
        <v>0.13025495201504533</v>
      </c>
    </row>
    <row r="101" spans="1:10" ht="11.25" customHeight="1" x14ac:dyDescent="0.2">
      <c r="A101" s="45" t="s">
        <v>25</v>
      </c>
      <c r="B101" s="64">
        <v>201438.91999999995</v>
      </c>
      <c r="C101" s="64">
        <v>259081.41604249945</v>
      </c>
      <c r="D101" s="64">
        <v>122443.87707999998</v>
      </c>
      <c r="E101" s="64">
        <v>195977.79603426694</v>
      </c>
      <c r="F101" s="64">
        <v>532980.58914000005</v>
      </c>
      <c r="G101" s="64">
        <v>513414.87339876895</v>
      </c>
      <c r="H101" s="40">
        <v>0.40501198637100067</v>
      </c>
      <c r="I101" s="40">
        <v>-3.6709996836473358E-2</v>
      </c>
      <c r="J101" s="40">
        <v>0.13025495201504533</v>
      </c>
    </row>
    <row r="102" spans="1:10" ht="11.25" customHeight="1" x14ac:dyDescent="0.2">
      <c r="A102" s="46" t="s">
        <v>25</v>
      </c>
      <c r="B102" s="64">
        <v>201438.91999999995</v>
      </c>
      <c r="C102" s="64">
        <v>259081.41604249945</v>
      </c>
      <c r="D102" s="64">
        <v>122443.87707999998</v>
      </c>
      <c r="E102" s="64">
        <v>195977.79603426694</v>
      </c>
      <c r="F102" s="64">
        <v>532980.58914000005</v>
      </c>
      <c r="G102" s="64">
        <v>513414.87339876895</v>
      </c>
      <c r="H102" s="40">
        <v>0.40501198637100067</v>
      </c>
      <c r="I102" s="40">
        <v>-3.6709996836473358E-2</v>
      </c>
      <c r="J102" s="40">
        <v>0.13025495201504533</v>
      </c>
    </row>
    <row r="103" spans="1:10" ht="11.25" customHeight="1" x14ac:dyDescent="0.2">
      <c r="A103" s="47" t="s">
        <v>25</v>
      </c>
      <c r="B103" s="64">
        <v>201438.91999999995</v>
      </c>
      <c r="C103" s="64">
        <v>259081.41604249945</v>
      </c>
      <c r="D103" s="64">
        <v>122443.87707999998</v>
      </c>
      <c r="E103" s="64">
        <v>195977.79603426694</v>
      </c>
      <c r="F103" s="64">
        <v>532980.58914000005</v>
      </c>
      <c r="G103" s="64">
        <v>513414.87339876895</v>
      </c>
      <c r="H103" s="40">
        <v>0.40501198637100067</v>
      </c>
      <c r="I103" s="40">
        <v>-3.6709996836473358E-2</v>
      </c>
      <c r="J103" s="40">
        <v>0.13025495201504533</v>
      </c>
    </row>
    <row r="104" spans="1:10" ht="11.25" customHeight="1" x14ac:dyDescent="0.2">
      <c r="A104" s="48" t="s">
        <v>35</v>
      </c>
      <c r="B104" s="64">
        <v>66248.28</v>
      </c>
      <c r="C104" s="64">
        <v>84633.159335877732</v>
      </c>
      <c r="D104" s="64">
        <v>109809.17213000001</v>
      </c>
      <c r="E104" s="64">
        <v>175755.29337677232</v>
      </c>
      <c r="F104" s="64">
        <v>450127.37763999996</v>
      </c>
      <c r="G104" s="64">
        <v>434995.48531602143</v>
      </c>
      <c r="H104" s="40">
        <v>0.47899705216897304</v>
      </c>
      <c r="I104" s="40">
        <v>-3.3616911735772304E-2</v>
      </c>
      <c r="J104" s="40">
        <v>0.11050907810093169</v>
      </c>
    </row>
    <row r="105" spans="1:10" ht="11.25" customHeight="1" x14ac:dyDescent="0.2">
      <c r="A105" s="49">
        <v>44348</v>
      </c>
      <c r="B105" s="64">
        <v>7538.94</v>
      </c>
      <c r="C105" s="64">
        <v>9631.1075584697755</v>
      </c>
      <c r="D105" s="64">
        <v>13384.594650000001</v>
      </c>
      <c r="E105" s="64">
        <v>21422.740139184101</v>
      </c>
      <c r="F105" s="64">
        <v>54865.840199999999</v>
      </c>
      <c r="G105" s="64">
        <v>53021.420092687586</v>
      </c>
      <c r="H105" s="40">
        <v>0.48415878182675387</v>
      </c>
      <c r="I105" s="40">
        <v>-3.3616911735772748E-2</v>
      </c>
      <c r="J105" s="40">
        <v>0.10932789664436005</v>
      </c>
    </row>
    <row r="106" spans="1:10" ht="11.25" customHeight="1" x14ac:dyDescent="0.2">
      <c r="A106" s="49">
        <v>44378</v>
      </c>
      <c r="B106" s="64">
        <v>7601.04</v>
      </c>
      <c r="C106" s="64">
        <v>9710.4412286383886</v>
      </c>
      <c r="D106" s="64">
        <v>14198.44349</v>
      </c>
      <c r="E106" s="64">
        <v>22725.34755224434</v>
      </c>
      <c r="F106" s="64">
        <v>58201.951719999997</v>
      </c>
      <c r="G106" s="64">
        <v>56245.381846179051</v>
      </c>
      <c r="H106" s="40">
        <v>0.487915472665299</v>
      </c>
      <c r="I106" s="40">
        <v>-3.3616911735772748E-2</v>
      </c>
      <c r="J106" s="40">
        <v>0.10849474630396161</v>
      </c>
    </row>
    <row r="107" spans="1:10" ht="11.25" customHeight="1" x14ac:dyDescent="0.2">
      <c r="A107" s="49">
        <v>44409</v>
      </c>
      <c r="B107" s="64">
        <v>7538.94</v>
      </c>
      <c r="C107" s="64">
        <v>9631.1075584697755</v>
      </c>
      <c r="D107" s="64">
        <v>14094.874080000001</v>
      </c>
      <c r="E107" s="64">
        <v>22559.579322812107</v>
      </c>
      <c r="F107" s="64">
        <v>57777.402240000003</v>
      </c>
      <c r="G107" s="64">
        <v>55835.10440857568</v>
      </c>
      <c r="H107" s="40">
        <v>0.48798019444206497</v>
      </c>
      <c r="I107" s="40">
        <v>-3.3616911735772859E-2</v>
      </c>
      <c r="J107" s="40">
        <v>0.10848058207726941</v>
      </c>
    </row>
    <row r="108" spans="1:10" ht="11.25" customHeight="1" x14ac:dyDescent="0.2">
      <c r="A108" s="49">
        <v>44440</v>
      </c>
      <c r="B108" s="64">
        <v>7538.94</v>
      </c>
      <c r="C108" s="64">
        <v>9631.1075584697755</v>
      </c>
      <c r="D108" s="64">
        <v>13092.963170000003</v>
      </c>
      <c r="E108" s="64">
        <v>20955.968781827705</v>
      </c>
      <c r="F108" s="64">
        <v>53670.390760000009</v>
      </c>
      <c r="G108" s="64">
        <v>51866.157970996654</v>
      </c>
      <c r="H108" s="40">
        <v>0.48251356592119365</v>
      </c>
      <c r="I108" s="40">
        <v>-3.3616911735772748E-2</v>
      </c>
      <c r="J108" s="40">
        <v>0.10969971383350696</v>
      </c>
    </row>
    <row r="109" spans="1:10" ht="11.25" customHeight="1" x14ac:dyDescent="0.2">
      <c r="A109" s="49">
        <v>44470</v>
      </c>
      <c r="B109" s="64">
        <v>7538.94</v>
      </c>
      <c r="C109" s="64">
        <v>9631.1075584697755</v>
      </c>
      <c r="D109" s="64">
        <v>12942.638380000002</v>
      </c>
      <c r="E109" s="64">
        <v>20715.366134018164</v>
      </c>
      <c r="F109" s="64">
        <v>53054.182640000006</v>
      </c>
      <c r="G109" s="64">
        <v>51270.66486497756</v>
      </c>
      <c r="H109" s="40">
        <v>0.48164722119858117</v>
      </c>
      <c r="I109" s="40">
        <v>-3.3616911735772748E-2</v>
      </c>
      <c r="J109" s="40">
        <v>0.10989724489650077</v>
      </c>
    </row>
    <row r="110" spans="1:10" ht="11.25" customHeight="1" x14ac:dyDescent="0.2">
      <c r="A110" s="49">
        <v>44501</v>
      </c>
      <c r="B110" s="64">
        <v>7687.98</v>
      </c>
      <c r="C110" s="64">
        <v>9821.5083668744501</v>
      </c>
      <c r="D110" s="64">
        <v>10611.11268</v>
      </c>
      <c r="E110" s="64">
        <v>16983.637941642213</v>
      </c>
      <c r="F110" s="64">
        <v>43496.84304</v>
      </c>
      <c r="G110" s="64">
        <v>42034.613506739559</v>
      </c>
      <c r="H110" s="40">
        <v>0.46483472034727447</v>
      </c>
      <c r="I110" s="40">
        <v>-3.3616911735772748E-2</v>
      </c>
      <c r="J110" s="40">
        <v>0.11398523241353753</v>
      </c>
    </row>
    <row r="111" spans="1:10" ht="11.25" customHeight="1" x14ac:dyDescent="0.2">
      <c r="A111" s="49">
        <v>44531</v>
      </c>
      <c r="B111" s="64">
        <v>7650.72</v>
      </c>
      <c r="C111" s="64">
        <v>9773.9081647732801</v>
      </c>
      <c r="D111" s="64">
        <v>10121.42985</v>
      </c>
      <c r="E111" s="64">
        <v>16199.875093978369</v>
      </c>
      <c r="F111" s="64">
        <v>41489.5458</v>
      </c>
      <c r="G111" s="64">
        <v>40094.795400884104</v>
      </c>
      <c r="H111" s="40">
        <v>0.4614879729225132</v>
      </c>
      <c r="I111" s="40">
        <v>-3.3616911735772637E-2</v>
      </c>
      <c r="J111" s="40">
        <v>0.11486142836406921</v>
      </c>
    </row>
    <row r="112" spans="1:10" ht="11.25" customHeight="1" x14ac:dyDescent="0.2">
      <c r="A112" s="49">
        <v>44562</v>
      </c>
      <c r="B112" s="64">
        <v>7638.3</v>
      </c>
      <c r="C112" s="64">
        <v>9758.0414307395586</v>
      </c>
      <c r="D112" s="64">
        <v>10712.115400000001</v>
      </c>
      <c r="E112" s="64">
        <v>17145.298050184294</v>
      </c>
      <c r="F112" s="64">
        <v>43910.871200000001</v>
      </c>
      <c r="G112" s="64">
        <v>42434.723318628712</v>
      </c>
      <c r="H112" s="40">
        <v>0.46608885382092491</v>
      </c>
      <c r="I112" s="40">
        <v>-3.3616911735772859E-2</v>
      </c>
      <c r="J112" s="40">
        <v>0.11366254354841043</v>
      </c>
    </row>
    <row r="113" spans="1:10" ht="11.25" customHeight="1" x14ac:dyDescent="0.2">
      <c r="A113" s="49">
        <v>44593</v>
      </c>
      <c r="B113" s="64">
        <v>1440.72</v>
      </c>
      <c r="C113" s="64">
        <v>1840.5411479118516</v>
      </c>
      <c r="D113" s="64">
        <v>2660.1313900000005</v>
      </c>
      <c r="E113" s="64">
        <v>4257.6786966093587</v>
      </c>
      <c r="F113" s="64">
        <v>10904.352920000001</v>
      </c>
      <c r="G113" s="64">
        <v>10537.782250352644</v>
      </c>
      <c r="H113" s="40">
        <v>0.4870618963154405</v>
      </c>
      <c r="I113" s="40">
        <v>-3.3616911735772859E-2</v>
      </c>
      <c r="J113" s="40">
        <v>0.10868214462011894</v>
      </c>
    </row>
    <row r="114" spans="1:10" ht="11.25" customHeight="1" x14ac:dyDescent="0.2">
      <c r="A114" s="49">
        <v>44621</v>
      </c>
      <c r="B114" s="64">
        <v>1415.8799999999999</v>
      </c>
      <c r="C114" s="64">
        <v>1808.8076798444058</v>
      </c>
      <c r="D114" s="64">
        <v>2786.1766800000005</v>
      </c>
      <c r="E114" s="64">
        <v>4459.4207414039765</v>
      </c>
      <c r="F114" s="64">
        <v>11421.035040000001</v>
      </c>
      <c r="G114" s="64">
        <v>11037.095113129153</v>
      </c>
      <c r="H114" s="40">
        <v>0.491704871826808</v>
      </c>
      <c r="I114" s="40">
        <v>-3.3616911735772748E-2</v>
      </c>
      <c r="J114" s="40">
        <v>0.10767598657978938</v>
      </c>
    </row>
    <row r="115" spans="1:10" ht="11.25" customHeight="1" x14ac:dyDescent="0.2">
      <c r="A115" s="49">
        <v>44652</v>
      </c>
      <c r="B115" s="64">
        <v>1328.94</v>
      </c>
      <c r="C115" s="64">
        <v>1697.7405416083459</v>
      </c>
      <c r="D115" s="64">
        <v>2573.28015</v>
      </c>
      <c r="E115" s="64">
        <v>4118.6687681102603</v>
      </c>
      <c r="F115" s="64">
        <v>10548.334199999999</v>
      </c>
      <c r="G115" s="64">
        <v>10193.731780239166</v>
      </c>
      <c r="H115" s="40">
        <v>0.49053848479527895</v>
      </c>
      <c r="I115" s="40">
        <v>-3.3616911735772748E-2</v>
      </c>
      <c r="J115" s="40">
        <v>0.10792573780795989</v>
      </c>
    </row>
    <row r="116" spans="1:10" ht="11.25" customHeight="1" x14ac:dyDescent="0.2">
      <c r="A116" s="49">
        <v>44682</v>
      </c>
      <c r="B116" s="64">
        <v>1328.94</v>
      </c>
      <c r="C116" s="64">
        <v>1697.7405416083459</v>
      </c>
      <c r="D116" s="64">
        <v>2631.41221</v>
      </c>
      <c r="E116" s="64">
        <v>4211.7121547574206</v>
      </c>
      <c r="F116" s="64">
        <v>10786.62788</v>
      </c>
      <c r="G116" s="64">
        <v>10424.014762631416</v>
      </c>
      <c r="H116" s="40">
        <v>0.49215331945583851</v>
      </c>
      <c r="I116" s="40">
        <v>-3.3616911735772637E-2</v>
      </c>
      <c r="J116" s="40">
        <v>0.10758049168812445</v>
      </c>
    </row>
    <row r="117" spans="1:10" ht="11.25" customHeight="1" x14ac:dyDescent="0.2">
      <c r="A117" s="48" t="s">
        <v>37</v>
      </c>
      <c r="B117" s="64">
        <v>135190.63999999998</v>
      </c>
      <c r="C117" s="64">
        <v>174448.2567066217</v>
      </c>
      <c r="D117" s="64">
        <v>12634.704950000003</v>
      </c>
      <c r="E117" s="64">
        <v>20222.50265749461</v>
      </c>
      <c r="F117" s="64">
        <v>82853.211500000005</v>
      </c>
      <c r="G117" s="64">
        <v>78419.388082747435</v>
      </c>
      <c r="H117" s="40">
        <v>0.31689704109915073</v>
      </c>
      <c r="I117" s="40">
        <v>-5.3514201042799248E-2</v>
      </c>
      <c r="J117" s="40">
        <v>0.18385580198502982</v>
      </c>
    </row>
    <row r="118" spans="1:10" ht="11.25" customHeight="1" x14ac:dyDescent="0.2">
      <c r="A118" s="49">
        <v>44348</v>
      </c>
      <c r="B118" s="64">
        <v>15193.88</v>
      </c>
      <c r="C118" s="64">
        <v>19605.98661719188</v>
      </c>
      <c r="D118" s="64">
        <v>1508.8668700000003</v>
      </c>
      <c r="E118" s="64">
        <v>2415.0199319360099</v>
      </c>
      <c r="F118" s="64">
        <v>9894.5298999999995</v>
      </c>
      <c r="G118" s="64">
        <v>9365.0320377074113</v>
      </c>
      <c r="H118" s="40">
        <v>0.31840629092452333</v>
      </c>
      <c r="I118" s="40">
        <v>-5.3514201042799248E-2</v>
      </c>
      <c r="J118" s="40">
        <v>0.1800470724219676</v>
      </c>
    </row>
    <row r="119" spans="1:10" ht="11.25" customHeight="1" x14ac:dyDescent="0.2">
      <c r="A119" s="49">
        <v>44378</v>
      </c>
      <c r="B119" s="64">
        <v>15098.72</v>
      </c>
      <c r="C119" s="64">
        <v>19483.193381593599</v>
      </c>
      <c r="D119" s="64">
        <v>1566.23586</v>
      </c>
      <c r="E119" s="64">
        <v>2506.8419853455575</v>
      </c>
      <c r="F119" s="64">
        <v>10270.732199999999</v>
      </c>
      <c r="G119" s="64">
        <v>9721.1021721924481</v>
      </c>
      <c r="H119" s="40">
        <v>0.31953757043669473</v>
      </c>
      <c r="I119" s="40">
        <v>-5.3514201042799137E-2</v>
      </c>
      <c r="J119" s="40">
        <v>0.17729079236788614</v>
      </c>
    </row>
    <row r="120" spans="1:10" ht="11.25" customHeight="1" x14ac:dyDescent="0.2">
      <c r="A120" s="49">
        <v>44409</v>
      </c>
      <c r="B120" s="64">
        <v>15257.32</v>
      </c>
      <c r="C120" s="64">
        <v>19687.8487742574</v>
      </c>
      <c r="D120" s="64">
        <v>1458.6429900000001</v>
      </c>
      <c r="E120" s="64">
        <v>2334.6339988422819</v>
      </c>
      <c r="F120" s="64">
        <v>9565.1823000000004</v>
      </c>
      <c r="G120" s="64">
        <v>9053.3092113867751</v>
      </c>
      <c r="H120" s="40">
        <v>0.31745223330981309</v>
      </c>
      <c r="I120" s="40">
        <v>-5.3514201042799248E-2</v>
      </c>
      <c r="J120" s="40">
        <v>0.18243674853511127</v>
      </c>
    </row>
    <row r="121" spans="1:10" ht="11.25" customHeight="1" x14ac:dyDescent="0.2">
      <c r="A121" s="49">
        <v>44440</v>
      </c>
      <c r="B121" s="64">
        <v>15352.48</v>
      </c>
      <c r="C121" s="64">
        <v>19810.642009855677</v>
      </c>
      <c r="D121" s="64">
        <v>1328.71298</v>
      </c>
      <c r="E121" s="64">
        <v>2126.6742575652765</v>
      </c>
      <c r="F121" s="64">
        <v>8713.1545999999998</v>
      </c>
      <c r="G121" s="64">
        <v>8246.8770930186092</v>
      </c>
      <c r="H121" s="40">
        <v>0.31509276906770456</v>
      </c>
      <c r="I121" s="40">
        <v>-5.3514201042799248E-2</v>
      </c>
      <c r="J121" s="40">
        <v>0.18861857999501952</v>
      </c>
    </row>
    <row r="122" spans="1:10" ht="11.25" customHeight="1" x14ac:dyDescent="0.2">
      <c r="A122" s="49">
        <v>44470</v>
      </c>
      <c r="B122" s="64">
        <v>15098.72</v>
      </c>
      <c r="C122" s="64">
        <v>19483.193381593599</v>
      </c>
      <c r="D122" s="64">
        <v>1366.5196300000002</v>
      </c>
      <c r="E122" s="64">
        <v>2187.1857679742293</v>
      </c>
      <c r="F122" s="64">
        <v>8961.0751</v>
      </c>
      <c r="G122" s="64">
        <v>8481.5303255389772</v>
      </c>
      <c r="H122" s="40">
        <v>0.316128986673474</v>
      </c>
      <c r="I122" s="40">
        <v>-5.3514201042799248E-2</v>
      </c>
      <c r="J122" s="40">
        <v>0.18585448954311778</v>
      </c>
    </row>
    <row r="123" spans="1:10" ht="11.25" customHeight="1" x14ac:dyDescent="0.2">
      <c r="A123" s="49">
        <v>44501</v>
      </c>
      <c r="B123" s="64">
        <v>15701.4</v>
      </c>
      <c r="C123" s="64">
        <v>20260.883873716033</v>
      </c>
      <c r="D123" s="64">
        <v>1593.1514200000001</v>
      </c>
      <c r="E123" s="64">
        <v>2549.9217395449591</v>
      </c>
      <c r="F123" s="64">
        <v>10447.233399999999</v>
      </c>
      <c r="G123" s="64">
        <v>9888.158051491353</v>
      </c>
      <c r="H123" s="40">
        <v>0.31895907903582921</v>
      </c>
      <c r="I123" s="40">
        <v>-5.3514201042799137E-2</v>
      </c>
      <c r="J123" s="40">
        <v>0.17868997531761344</v>
      </c>
    </row>
    <row r="124" spans="1:10" ht="11.25" customHeight="1" x14ac:dyDescent="0.2">
      <c r="A124" s="49">
        <v>44531</v>
      </c>
      <c r="B124" s="64">
        <v>16018.599999999999</v>
      </c>
      <c r="C124" s="64">
        <v>20670.194659043631</v>
      </c>
      <c r="D124" s="64">
        <v>1253.86275</v>
      </c>
      <c r="E124" s="64">
        <v>2006.8725699849833</v>
      </c>
      <c r="F124" s="64">
        <v>8222.3174999999992</v>
      </c>
      <c r="G124" s="64">
        <v>7782.3067482672732</v>
      </c>
      <c r="H124" s="40">
        <v>0.31290294599295709</v>
      </c>
      <c r="I124" s="40">
        <v>-5.3514201042799248E-2</v>
      </c>
      <c r="J124" s="40">
        <v>0.19472981051860172</v>
      </c>
    </row>
    <row r="125" spans="1:10" ht="11.25" customHeight="1" x14ac:dyDescent="0.2">
      <c r="A125" s="49">
        <v>44562</v>
      </c>
      <c r="B125" s="64">
        <v>15479.359999999999</v>
      </c>
      <c r="C125" s="64">
        <v>19974.366323986716</v>
      </c>
      <c r="D125" s="64">
        <v>1276.4773700000001</v>
      </c>
      <c r="E125" s="64">
        <v>2043.0684459360266</v>
      </c>
      <c r="F125" s="64">
        <v>8370.6148999999987</v>
      </c>
      <c r="G125" s="64">
        <v>7922.6681313895488</v>
      </c>
      <c r="H125" s="40">
        <v>0.31401578349902226</v>
      </c>
      <c r="I125" s="40">
        <v>-5.3514201042799137E-2</v>
      </c>
      <c r="J125" s="40">
        <v>0.19157701133397209</v>
      </c>
    </row>
    <row r="126" spans="1:10" ht="11.25" customHeight="1" x14ac:dyDescent="0.2">
      <c r="A126" s="49">
        <v>44593</v>
      </c>
      <c r="B126" s="64">
        <v>3108.56</v>
      </c>
      <c r="C126" s="64">
        <v>4011.245696210447</v>
      </c>
      <c r="D126" s="64">
        <v>316.39657</v>
      </c>
      <c r="E126" s="64">
        <v>506.4091724316188</v>
      </c>
      <c r="F126" s="64">
        <v>2074.7988999999998</v>
      </c>
      <c r="G126" s="64">
        <v>1963.7676945420212</v>
      </c>
      <c r="H126" s="40">
        <v>0.3190400451244455</v>
      </c>
      <c r="I126" s="40">
        <v>-5.3514201042799137E-2</v>
      </c>
      <c r="J126" s="40">
        <v>0.17849286182610724</v>
      </c>
    </row>
    <row r="127" spans="1:10" ht="11.25" customHeight="1" x14ac:dyDescent="0.2">
      <c r="A127" s="49">
        <v>44621</v>
      </c>
      <c r="B127" s="64">
        <v>2823.08</v>
      </c>
      <c r="C127" s="64">
        <v>3642.8659894156099</v>
      </c>
      <c r="D127" s="64">
        <v>326.94081</v>
      </c>
      <c r="E127" s="64">
        <v>523.2857771695285</v>
      </c>
      <c r="F127" s="64">
        <v>2143.9436999999998</v>
      </c>
      <c r="G127" s="64">
        <v>2029.2122658137571</v>
      </c>
      <c r="H127" s="40">
        <v>0.32257912498842778</v>
      </c>
      <c r="I127" s="40">
        <v>-5.3514201042799137E-2</v>
      </c>
      <c r="J127" s="40">
        <v>0.17026927942116021</v>
      </c>
    </row>
    <row r="128" spans="1:10" ht="11.25" customHeight="1" x14ac:dyDescent="0.2">
      <c r="A128" s="49">
        <v>44652</v>
      </c>
      <c r="B128" s="64">
        <v>3140.2799999999997</v>
      </c>
      <c r="C128" s="64">
        <v>4052.1767747432068</v>
      </c>
      <c r="D128" s="64">
        <v>297.18108000000001</v>
      </c>
      <c r="E128" s="64">
        <v>475.65378090266495</v>
      </c>
      <c r="F128" s="64">
        <v>1948.7915999999998</v>
      </c>
      <c r="G128" s="64">
        <v>1844.5035745270814</v>
      </c>
      <c r="H128" s="40">
        <v>0.31720198433370261</v>
      </c>
      <c r="I128" s="40">
        <v>-5.3514201042799248E-2</v>
      </c>
      <c r="J128" s="40">
        <v>0.18307374509822538</v>
      </c>
    </row>
    <row r="129" spans="1:10" ht="11.25" customHeight="1" x14ac:dyDescent="0.2">
      <c r="A129" s="49">
        <v>44682</v>
      </c>
      <c r="B129" s="64">
        <v>2918.24</v>
      </c>
      <c r="C129" s="64">
        <v>3765.6592250138892</v>
      </c>
      <c r="D129" s="64">
        <v>341.71662000000003</v>
      </c>
      <c r="E129" s="64">
        <v>546.93522986146775</v>
      </c>
      <c r="F129" s="64">
        <v>2240.8373999999999</v>
      </c>
      <c r="G129" s="64">
        <v>2120.9207768721762</v>
      </c>
      <c r="H129" s="40">
        <v>0.32289933811308114</v>
      </c>
      <c r="I129" s="40">
        <v>-5.3514201042799248E-2</v>
      </c>
      <c r="J129" s="40">
        <v>0.16956119577579343</v>
      </c>
    </row>
    <row r="130" spans="1:10" ht="11.25" customHeight="1" x14ac:dyDescent="0.2">
      <c r="A130" s="44" t="s">
        <v>46</v>
      </c>
      <c r="B130" s="64">
        <v>88480.08</v>
      </c>
      <c r="C130" s="64">
        <v>113795.29203031954</v>
      </c>
      <c r="D130" s="64">
        <v>59588.413780000024</v>
      </c>
      <c r="E130" s="64">
        <v>95374.356646289409</v>
      </c>
      <c r="F130" s="64">
        <v>258056.46796000004</v>
      </c>
      <c r="G130" s="64">
        <v>248649.35728015887</v>
      </c>
      <c r="H130" s="40">
        <v>0.41265466634240866</v>
      </c>
      <c r="I130" s="40">
        <v>-3.6453690753061485E-2</v>
      </c>
      <c r="J130" s="40">
        <v>0.1272860549996484</v>
      </c>
    </row>
    <row r="131" spans="1:10" ht="11.25" customHeight="1" x14ac:dyDescent="0.2">
      <c r="A131" s="45" t="s">
        <v>25</v>
      </c>
      <c r="B131" s="64">
        <v>88480.08</v>
      </c>
      <c r="C131" s="64">
        <v>113795.29203031954</v>
      </c>
      <c r="D131" s="64">
        <v>59588.413780000024</v>
      </c>
      <c r="E131" s="64">
        <v>95374.356646289409</v>
      </c>
      <c r="F131" s="64">
        <v>258056.46796000004</v>
      </c>
      <c r="G131" s="64">
        <v>248649.35728015887</v>
      </c>
      <c r="H131" s="40">
        <v>0.41265466634240866</v>
      </c>
      <c r="I131" s="40">
        <v>-3.6453690753061485E-2</v>
      </c>
      <c r="J131" s="40">
        <v>0.1272860549996484</v>
      </c>
    </row>
    <row r="132" spans="1:10" ht="11.25" customHeight="1" x14ac:dyDescent="0.2">
      <c r="A132" s="46" t="s">
        <v>25</v>
      </c>
      <c r="B132" s="64">
        <v>88480.08</v>
      </c>
      <c r="C132" s="64">
        <v>113795.29203031954</v>
      </c>
      <c r="D132" s="64">
        <v>59588.413780000024</v>
      </c>
      <c r="E132" s="64">
        <v>95374.356646289409</v>
      </c>
      <c r="F132" s="64">
        <v>258056.46796000004</v>
      </c>
      <c r="G132" s="64">
        <v>248649.35728015887</v>
      </c>
      <c r="H132" s="40">
        <v>0.41265466634240866</v>
      </c>
      <c r="I132" s="40">
        <v>-3.6453690753061485E-2</v>
      </c>
      <c r="J132" s="40">
        <v>0.1272860549996484</v>
      </c>
    </row>
    <row r="133" spans="1:10" ht="11.25" customHeight="1" x14ac:dyDescent="0.2">
      <c r="A133" s="47" t="s">
        <v>25</v>
      </c>
      <c r="B133" s="64">
        <v>88480.08</v>
      </c>
      <c r="C133" s="64">
        <v>113795.29203031954</v>
      </c>
      <c r="D133" s="64">
        <v>59588.413780000024</v>
      </c>
      <c r="E133" s="64">
        <v>95374.356646289409</v>
      </c>
      <c r="F133" s="64">
        <v>258056.46796000004</v>
      </c>
      <c r="G133" s="64">
        <v>248649.35728015887</v>
      </c>
      <c r="H133" s="40">
        <v>0.41265466634240866</v>
      </c>
      <c r="I133" s="40">
        <v>-3.6453690753061485E-2</v>
      </c>
      <c r="J133" s="40">
        <v>0.1272860549996484</v>
      </c>
    </row>
    <row r="134" spans="1:10" ht="11.25" customHeight="1" x14ac:dyDescent="0.2">
      <c r="A134" s="48" t="s">
        <v>35</v>
      </c>
      <c r="B134" s="64">
        <v>29385.719999999998</v>
      </c>
      <c r="C134" s="64">
        <v>37540.692723788277</v>
      </c>
      <c r="D134" s="64">
        <v>53977.906920000009</v>
      </c>
      <c r="E134" s="64">
        <v>86394.448501600855</v>
      </c>
      <c r="F134" s="64">
        <v>221265.06576000003</v>
      </c>
      <c r="G134" s="64">
        <v>213826.81757413613</v>
      </c>
      <c r="H134" s="40">
        <v>0.48668125181649802</v>
      </c>
      <c r="I134" s="40">
        <v>-3.3616911735772859E-2</v>
      </c>
      <c r="J134" s="40">
        <v>0.10876607133764105</v>
      </c>
    </row>
    <row r="135" spans="1:10" ht="11.25" customHeight="1" x14ac:dyDescent="0.2">
      <c r="A135" s="49">
        <v>44348</v>
      </c>
      <c r="B135" s="64">
        <v>2844.18</v>
      </c>
      <c r="C135" s="64">
        <v>3633.4820937225345</v>
      </c>
      <c r="D135" s="64">
        <v>4729.6466000000009</v>
      </c>
      <c r="E135" s="64">
        <v>7570.0454673071199</v>
      </c>
      <c r="F135" s="64">
        <v>19387.664800000002</v>
      </c>
      <c r="G135" s="64">
        <v>18735.911383655653</v>
      </c>
      <c r="H135" s="40">
        <v>0.4792426804476424</v>
      </c>
      <c r="I135" s="40">
        <v>-3.3616911735772748E-2</v>
      </c>
      <c r="J135" s="40">
        <v>0.11045188489407187</v>
      </c>
    </row>
    <row r="136" spans="1:10" ht="11.25" customHeight="1" x14ac:dyDescent="0.2">
      <c r="A136" s="49">
        <v>44378</v>
      </c>
      <c r="B136" s="64">
        <v>2508.84</v>
      </c>
      <c r="C136" s="64">
        <v>3205.0802748120173</v>
      </c>
      <c r="D136" s="64">
        <v>5238.7530300000008</v>
      </c>
      <c r="E136" s="64">
        <v>8384.896797382904</v>
      </c>
      <c r="F136" s="64">
        <v>21474.582840000003</v>
      </c>
      <c r="G136" s="64">
        <v>20752.673684105182</v>
      </c>
      <c r="H136" s="40">
        <v>0.49594551847477719</v>
      </c>
      <c r="I136" s="40">
        <v>-3.3616911735772748E-2</v>
      </c>
      <c r="J136" s="40">
        <v>0.10678448107978289</v>
      </c>
    </row>
    <row r="137" spans="1:10" ht="11.25" customHeight="1" x14ac:dyDescent="0.2">
      <c r="A137" s="49">
        <v>44409</v>
      </c>
      <c r="B137" s="64">
        <v>2235.6</v>
      </c>
      <c r="C137" s="64">
        <v>2856.0121260701144</v>
      </c>
      <c r="D137" s="64">
        <v>4580.1542500000005</v>
      </c>
      <c r="E137" s="64">
        <v>7330.7751830295183</v>
      </c>
      <c r="F137" s="64">
        <v>18774.869000000002</v>
      </c>
      <c r="G137" s="64">
        <v>18143.715885976308</v>
      </c>
      <c r="H137" s="40">
        <v>0.49459427899702124</v>
      </c>
      <c r="I137" s="40">
        <v>-3.3616911735772637E-2</v>
      </c>
      <c r="J137" s="40">
        <v>0.10706577633180303</v>
      </c>
    </row>
    <row r="138" spans="1:10" ht="11.25" customHeight="1" x14ac:dyDescent="0.2">
      <c r="A138" s="49">
        <v>44440</v>
      </c>
      <c r="B138" s="64">
        <v>2235.6</v>
      </c>
      <c r="C138" s="64">
        <v>2856.0121260701144</v>
      </c>
      <c r="D138" s="64">
        <v>4247.2476200000001</v>
      </c>
      <c r="E138" s="64">
        <v>6797.9408005477508</v>
      </c>
      <c r="F138" s="64">
        <v>17410.22536</v>
      </c>
      <c r="G138" s="64">
        <v>16824.947350772967</v>
      </c>
      <c r="H138" s="40">
        <v>0.4891531457310212</v>
      </c>
      <c r="I138" s="40">
        <v>-3.3616911735772748E-2</v>
      </c>
      <c r="J138" s="40">
        <v>0.10822497799070607</v>
      </c>
    </row>
    <row r="139" spans="1:10" ht="11.25" customHeight="1" x14ac:dyDescent="0.2">
      <c r="A139" s="49">
        <v>44470</v>
      </c>
      <c r="B139" s="64">
        <v>2049.3000000000002</v>
      </c>
      <c r="C139" s="64">
        <v>2618.0111155642717</v>
      </c>
      <c r="D139" s="64">
        <v>3659.1981300000002</v>
      </c>
      <c r="E139" s="64">
        <v>5856.7369955263011</v>
      </c>
      <c r="F139" s="64">
        <v>14999.705640000002</v>
      </c>
      <c r="G139" s="64">
        <v>14495.461859437548</v>
      </c>
      <c r="H139" s="40">
        <v>0.48458454712510735</v>
      </c>
      <c r="I139" s="40">
        <v>-3.3616911735772859E-2</v>
      </c>
      <c r="J139" s="40">
        <v>0.10923237117287266</v>
      </c>
    </row>
    <row r="140" spans="1:10" ht="11.25" customHeight="1" x14ac:dyDescent="0.2">
      <c r="A140" s="49">
        <v>44501</v>
      </c>
      <c r="B140" s="64">
        <v>2409.48</v>
      </c>
      <c r="C140" s="64">
        <v>3078.1464025422347</v>
      </c>
      <c r="D140" s="64">
        <v>4071.6721500000003</v>
      </c>
      <c r="E140" s="64">
        <v>6516.9231256026887</v>
      </c>
      <c r="F140" s="64">
        <v>16690.510200000001</v>
      </c>
      <c r="G140" s="64">
        <v>16129.426791781585</v>
      </c>
      <c r="H140" s="40">
        <v>0.4804573795023348</v>
      </c>
      <c r="I140" s="40">
        <v>-3.3616911735772748E-2</v>
      </c>
      <c r="J140" s="40">
        <v>0.11017051480238349</v>
      </c>
    </row>
    <row r="141" spans="1:10" ht="11.25" customHeight="1" x14ac:dyDescent="0.2">
      <c r="A141" s="49">
        <v>44531</v>
      </c>
      <c r="B141" s="64">
        <v>2570.94</v>
      </c>
      <c r="C141" s="64">
        <v>3284.4139449806316</v>
      </c>
      <c r="D141" s="64">
        <v>4426.9852900000005</v>
      </c>
      <c r="E141" s="64">
        <v>7085.620293152514</v>
      </c>
      <c r="F141" s="64">
        <v>18147.002120000001</v>
      </c>
      <c r="G141" s="64">
        <v>17536.955951463078</v>
      </c>
      <c r="H141" s="40">
        <v>0.48187267059736572</v>
      </c>
      <c r="I141" s="40">
        <v>-3.3616911735772859E-2</v>
      </c>
      <c r="J141" s="40">
        <v>0.10984572492731726</v>
      </c>
    </row>
    <row r="142" spans="1:10" ht="11.25" customHeight="1" x14ac:dyDescent="0.2">
      <c r="A142" s="49">
        <v>44562</v>
      </c>
      <c r="B142" s="64">
        <v>2620.62</v>
      </c>
      <c r="C142" s="64">
        <v>3347.8808811155232</v>
      </c>
      <c r="D142" s="64">
        <v>4869.3577800000003</v>
      </c>
      <c r="E142" s="64">
        <v>7793.6604800844225</v>
      </c>
      <c r="F142" s="64">
        <v>19960.365840000002</v>
      </c>
      <c r="G142" s="64">
        <v>19289.359983342987</v>
      </c>
      <c r="H142" s="40">
        <v>0.48752662403758773</v>
      </c>
      <c r="I142" s="40">
        <v>-3.3616911735772859E-2</v>
      </c>
      <c r="J142" s="40">
        <v>0.10857997866268354</v>
      </c>
    </row>
    <row r="143" spans="1:10" ht="11.25" customHeight="1" x14ac:dyDescent="0.2">
      <c r="A143" s="49">
        <v>44593</v>
      </c>
      <c r="B143" s="64">
        <v>2645.46</v>
      </c>
      <c r="C143" s="64">
        <v>3379.6143491829689</v>
      </c>
      <c r="D143" s="64">
        <v>4676.2317000000003</v>
      </c>
      <c r="E143" s="64">
        <v>7484.5521406742864</v>
      </c>
      <c r="F143" s="64">
        <v>19168.707600000002</v>
      </c>
      <c r="G143" s="64">
        <v>18524.314848521964</v>
      </c>
      <c r="H143" s="40">
        <v>0.48383282648424752</v>
      </c>
      <c r="I143" s="40">
        <v>-3.3616911735772748E-2</v>
      </c>
      <c r="J143" s="40">
        <v>0.10940122138435338</v>
      </c>
    </row>
    <row r="144" spans="1:10" ht="11.25" customHeight="1" x14ac:dyDescent="0.2">
      <c r="A144" s="49">
        <v>44621</v>
      </c>
      <c r="B144" s="64">
        <v>2471.58</v>
      </c>
      <c r="C144" s="64">
        <v>3157.4800727108486</v>
      </c>
      <c r="D144" s="64">
        <v>5175.1407400000007</v>
      </c>
      <c r="E144" s="64">
        <v>8283.0820174838027</v>
      </c>
      <c r="F144" s="64">
        <v>21213.824720000001</v>
      </c>
      <c r="G144" s="64">
        <v>20500.681446809609</v>
      </c>
      <c r="H144" s="40">
        <v>0.49613964981734782</v>
      </c>
      <c r="I144" s="40">
        <v>-3.3616911735772637E-2</v>
      </c>
      <c r="J144" s="40">
        <v>0.10674427762545324</v>
      </c>
    </row>
    <row r="145" spans="1:10" ht="11.25" customHeight="1" x14ac:dyDescent="0.2">
      <c r="A145" s="49">
        <v>44652</v>
      </c>
      <c r="B145" s="64">
        <v>2409.48</v>
      </c>
      <c r="C145" s="64">
        <v>3078.1464025422347</v>
      </c>
      <c r="D145" s="64">
        <v>4051.8323300000002</v>
      </c>
      <c r="E145" s="64">
        <v>6485.1684614247797</v>
      </c>
      <c r="F145" s="64">
        <v>16609.183240000002</v>
      </c>
      <c r="G145" s="64">
        <v>16050.833793017644</v>
      </c>
      <c r="H145" s="40">
        <v>0.48008862217731751</v>
      </c>
      <c r="I145" s="40">
        <v>-3.3616911735772859E-2</v>
      </c>
      <c r="J145" s="40">
        <v>0.1102556760979303</v>
      </c>
    </row>
    <row r="146" spans="1:10" ht="11.25" customHeight="1" x14ac:dyDescent="0.2">
      <c r="A146" s="49">
        <v>44682</v>
      </c>
      <c r="B146" s="64">
        <v>2384.64</v>
      </c>
      <c r="C146" s="64">
        <v>3046.4129344747889</v>
      </c>
      <c r="D146" s="64">
        <v>4251.6873000000005</v>
      </c>
      <c r="E146" s="64">
        <v>6805.0467393847657</v>
      </c>
      <c r="F146" s="64">
        <v>17428.4244</v>
      </c>
      <c r="G146" s="64">
        <v>16842.534595251611</v>
      </c>
      <c r="H146" s="40">
        <v>0.48447465420512836</v>
      </c>
      <c r="I146" s="40">
        <v>-3.3616911735772748E-2</v>
      </c>
      <c r="J146" s="40">
        <v>0.10925699969350466</v>
      </c>
    </row>
    <row r="147" spans="1:10" ht="11.25" customHeight="1" x14ac:dyDescent="0.2">
      <c r="A147" s="48" t="s">
        <v>37</v>
      </c>
      <c r="B147" s="64">
        <v>59094.36</v>
      </c>
      <c r="C147" s="64">
        <v>76254.59930653125</v>
      </c>
      <c r="D147" s="64">
        <v>5610.5068599999995</v>
      </c>
      <c r="E147" s="64">
        <v>8979.9081446885466</v>
      </c>
      <c r="F147" s="64">
        <v>36791.402199999997</v>
      </c>
      <c r="G147" s="64">
        <v>34822.539706022711</v>
      </c>
      <c r="H147" s="40">
        <v>0.3172812430885481</v>
      </c>
      <c r="I147" s="40">
        <v>-5.3514201042799248E-2</v>
      </c>
      <c r="J147" s="40">
        <v>0.1828715308369635</v>
      </c>
    </row>
    <row r="148" spans="1:10" ht="11.25" customHeight="1" x14ac:dyDescent="0.2">
      <c r="A148" s="49">
        <v>44348</v>
      </c>
      <c r="B148" s="64">
        <v>5677.88</v>
      </c>
      <c r="C148" s="64">
        <v>7326.6630573639795</v>
      </c>
      <c r="D148" s="64">
        <v>499.04778000000005</v>
      </c>
      <c r="E148" s="64">
        <v>798.75193739817269</v>
      </c>
      <c r="F148" s="64">
        <v>3272.5506</v>
      </c>
      <c r="G148" s="64">
        <v>3097.4226692688667</v>
      </c>
      <c r="H148" s="40">
        <v>0.31544600878628892</v>
      </c>
      <c r="I148" s="40">
        <v>-5.3514201042799248E-2</v>
      </c>
      <c r="J148" s="40">
        <v>0.18766742593796137</v>
      </c>
    </row>
    <row r="149" spans="1:10" ht="11.25" customHeight="1" x14ac:dyDescent="0.2">
      <c r="A149" s="49">
        <v>44378</v>
      </c>
      <c r="B149" s="64">
        <v>5487.5599999999995</v>
      </c>
      <c r="C149" s="64">
        <v>7081.0765861674217</v>
      </c>
      <c r="D149" s="64">
        <v>535.39766000000009</v>
      </c>
      <c r="E149" s="64">
        <v>856.93181162622977</v>
      </c>
      <c r="F149" s="64">
        <v>3510.9181999999996</v>
      </c>
      <c r="G149" s="64">
        <v>3323.0342176003769</v>
      </c>
      <c r="H149" s="40">
        <v>0.31795852567783989</v>
      </c>
      <c r="I149" s="40">
        <v>-5.3514201042799248E-2</v>
      </c>
      <c r="J149" s="40">
        <v>0.18116102839564641</v>
      </c>
    </row>
    <row r="150" spans="1:10" ht="11.25" customHeight="1" x14ac:dyDescent="0.2">
      <c r="A150" s="49">
        <v>44409</v>
      </c>
      <c r="B150" s="64">
        <v>4884.88</v>
      </c>
      <c r="C150" s="64">
        <v>6303.3860940449886</v>
      </c>
      <c r="D150" s="64">
        <v>463.46097000000003</v>
      </c>
      <c r="E150" s="64">
        <v>741.79339640772753</v>
      </c>
      <c r="F150" s="64">
        <v>3039.1868999999997</v>
      </c>
      <c r="G150" s="64">
        <v>2876.5472412267582</v>
      </c>
      <c r="H150" s="40">
        <v>0.31726446200245073</v>
      </c>
      <c r="I150" s="40">
        <v>-5.3514201042799137E-2</v>
      </c>
      <c r="J150" s="40">
        <v>0.18291430865665492</v>
      </c>
    </row>
    <row r="151" spans="1:10" ht="11.25" customHeight="1" x14ac:dyDescent="0.2">
      <c r="A151" s="49">
        <v>44440</v>
      </c>
      <c r="B151" s="64">
        <v>5582.7199999999993</v>
      </c>
      <c r="C151" s="64">
        <v>7203.8698217657011</v>
      </c>
      <c r="D151" s="64">
        <v>487.39362</v>
      </c>
      <c r="E151" s="64">
        <v>780.09884795100936</v>
      </c>
      <c r="F151" s="64">
        <v>3196.1273999999999</v>
      </c>
      <c r="G151" s="64">
        <v>3025.0891957580006</v>
      </c>
      <c r="H151" s="40">
        <v>0.31529147056010332</v>
      </c>
      <c r="I151" s="40">
        <v>-5.3514201042799248E-2</v>
      </c>
      <c r="J151" s="40">
        <v>0.18808239950947359</v>
      </c>
    </row>
    <row r="152" spans="1:10" ht="11.25" customHeight="1" x14ac:dyDescent="0.2">
      <c r="A152" s="49">
        <v>44470</v>
      </c>
      <c r="B152" s="64">
        <v>3996.72</v>
      </c>
      <c r="C152" s="64">
        <v>5157.3158951277173</v>
      </c>
      <c r="D152" s="64">
        <v>379.59264000000007</v>
      </c>
      <c r="E152" s="64">
        <v>607.55777056474858</v>
      </c>
      <c r="F152" s="64">
        <v>2489.2128000000002</v>
      </c>
      <c r="G152" s="64">
        <v>2356.0045657824908</v>
      </c>
      <c r="H152" s="40">
        <v>0.31729018009382104</v>
      </c>
      <c r="I152" s="40">
        <v>-5.3514201042799359E-2</v>
      </c>
      <c r="J152" s="40">
        <v>0.18284875679886148</v>
      </c>
    </row>
    <row r="153" spans="1:10" ht="11.25" customHeight="1" x14ac:dyDescent="0.2">
      <c r="A153" s="49">
        <v>44501</v>
      </c>
      <c r="B153" s="64">
        <v>3996.72</v>
      </c>
      <c r="C153" s="64">
        <v>5157.3158951277173</v>
      </c>
      <c r="D153" s="64">
        <v>448.47705000000002</v>
      </c>
      <c r="E153" s="64">
        <v>717.81085283280322</v>
      </c>
      <c r="F153" s="64">
        <v>2940.9285</v>
      </c>
      <c r="G153" s="64">
        <v>2783.5470609985018</v>
      </c>
      <c r="H153" s="40">
        <v>0.32167971000532369</v>
      </c>
      <c r="I153" s="40">
        <v>-5.3514201042799248E-2</v>
      </c>
      <c r="J153" s="40">
        <v>0.17228901002894847</v>
      </c>
    </row>
    <row r="154" spans="1:10" ht="11.25" customHeight="1" x14ac:dyDescent="0.2">
      <c r="A154" s="49">
        <v>44531</v>
      </c>
      <c r="B154" s="64">
        <v>4726.28</v>
      </c>
      <c r="C154" s="64">
        <v>6098.7307013811896</v>
      </c>
      <c r="D154" s="64">
        <v>482.67646000000002</v>
      </c>
      <c r="E154" s="64">
        <v>772.54878793668138</v>
      </c>
      <c r="F154" s="64">
        <v>3165.1941999999999</v>
      </c>
      <c r="G154" s="64">
        <v>2995.8113612416978</v>
      </c>
      <c r="H154" s="40">
        <v>0.31912784107200465</v>
      </c>
      <c r="I154" s="40">
        <v>-5.3514201042799248E-2</v>
      </c>
      <c r="J154" s="40">
        <v>0.17827959528967563</v>
      </c>
    </row>
    <row r="155" spans="1:10" ht="11.25" customHeight="1" x14ac:dyDescent="0.2">
      <c r="A155" s="49">
        <v>44562</v>
      </c>
      <c r="B155" s="64">
        <v>5614.44</v>
      </c>
      <c r="C155" s="64">
        <v>7244.80090029846</v>
      </c>
      <c r="D155" s="64">
        <v>483.64764000000008</v>
      </c>
      <c r="E155" s="64">
        <v>774.10321205727826</v>
      </c>
      <c r="F155" s="64">
        <v>3171.5628000000002</v>
      </c>
      <c r="G155" s="64">
        <v>3001.8391507009369</v>
      </c>
      <c r="H155" s="40">
        <v>0.31498669513312194</v>
      </c>
      <c r="I155" s="40">
        <v>-5.3514201042799248E-2</v>
      </c>
      <c r="J155" s="40">
        <v>0.18890602557141034</v>
      </c>
    </row>
    <row r="156" spans="1:10" ht="11.25" customHeight="1" x14ac:dyDescent="0.2">
      <c r="A156" s="49">
        <v>44593</v>
      </c>
      <c r="B156" s="64">
        <v>4853.16</v>
      </c>
      <c r="C156" s="64">
        <v>6262.4550155122288</v>
      </c>
      <c r="D156" s="64">
        <v>488.08731999999998</v>
      </c>
      <c r="E156" s="64">
        <v>781.20915089429286</v>
      </c>
      <c r="F156" s="64">
        <v>3200.6763999999998</v>
      </c>
      <c r="G156" s="64">
        <v>3029.3947596574567</v>
      </c>
      <c r="H156" s="40">
        <v>0.31873020371700789</v>
      </c>
      <c r="I156" s="40">
        <v>-5.3514201042799359E-2</v>
      </c>
      <c r="J156" s="40">
        <v>0.17924945905089174</v>
      </c>
    </row>
    <row r="157" spans="1:10" ht="11.25" customHeight="1" x14ac:dyDescent="0.2">
      <c r="A157" s="49">
        <v>44621</v>
      </c>
      <c r="B157" s="64">
        <v>5931.6399999999994</v>
      </c>
      <c r="C157" s="64">
        <v>7654.1116856260569</v>
      </c>
      <c r="D157" s="64">
        <v>533.24719000000005</v>
      </c>
      <c r="E157" s="64">
        <v>853.48987250205084</v>
      </c>
      <c r="F157" s="64">
        <v>3496.8163</v>
      </c>
      <c r="G157" s="64">
        <v>3309.6869695120627</v>
      </c>
      <c r="H157" s="40">
        <v>0.3159706129579205</v>
      </c>
      <c r="I157" s="40">
        <v>-5.3514201042799248E-2</v>
      </c>
      <c r="J157" s="40">
        <v>0.18627185997885687</v>
      </c>
    </row>
    <row r="158" spans="1:10" ht="11.25" customHeight="1" x14ac:dyDescent="0.2">
      <c r="A158" s="49">
        <v>44652</v>
      </c>
      <c r="B158" s="64">
        <v>4060.16</v>
      </c>
      <c r="C158" s="64">
        <v>5239.1780521932369</v>
      </c>
      <c r="D158" s="64">
        <v>391.94050000000004</v>
      </c>
      <c r="E158" s="64">
        <v>627.3211629551954</v>
      </c>
      <c r="F158" s="64">
        <v>2570.1849999999999</v>
      </c>
      <c r="G158" s="64">
        <v>2432.6436031928129</v>
      </c>
      <c r="H158" s="40">
        <v>0.31769244992300427</v>
      </c>
      <c r="I158" s="40">
        <v>-5.3514201042799248E-2</v>
      </c>
      <c r="J158" s="40">
        <v>0.18182930875442826</v>
      </c>
    </row>
    <row r="159" spans="1:10" ht="11.25" customHeight="1" x14ac:dyDescent="0.2">
      <c r="A159" s="49">
        <v>44682</v>
      </c>
      <c r="B159" s="64">
        <v>4282.2</v>
      </c>
      <c r="C159" s="64">
        <v>5525.6956019225545</v>
      </c>
      <c r="D159" s="64">
        <v>417.53803000000005</v>
      </c>
      <c r="E159" s="64">
        <v>668.29134156235773</v>
      </c>
      <c r="F159" s="64">
        <v>2738.0430999999999</v>
      </c>
      <c r="G159" s="64">
        <v>2591.5189110827505</v>
      </c>
      <c r="H159" s="40">
        <v>0.31794302234435667</v>
      </c>
      <c r="I159" s="40">
        <v>-5.3514201042799248E-2</v>
      </c>
      <c r="J159" s="40">
        <v>0.18119983648505977</v>
      </c>
    </row>
    <row r="160" spans="1:10" ht="11.25" customHeight="1" x14ac:dyDescent="0.2">
      <c r="A160" s="44" t="s">
        <v>50</v>
      </c>
      <c r="B160" s="64">
        <v>113521.01759999999</v>
      </c>
      <c r="C160" s="64">
        <v>150736.8507264393</v>
      </c>
      <c r="D160" s="64">
        <v>32895.639697200008</v>
      </c>
      <c r="E160" s="64">
        <v>54331.539799971571</v>
      </c>
      <c r="F160" s="64">
        <v>141764.1293652</v>
      </c>
      <c r="G160" s="64">
        <v>140991.80602872957</v>
      </c>
      <c r="H160" s="40">
        <v>0.40058101524718048</v>
      </c>
      <c r="I160" s="40">
        <v>-5.4479461054696143E-3</v>
      </c>
      <c r="J160" s="40">
        <v>0.20084409707905126</v>
      </c>
    </row>
    <row r="161" spans="1:10" ht="11.25" customHeight="1" x14ac:dyDescent="0.2">
      <c r="A161" s="45" t="s">
        <v>51</v>
      </c>
      <c r="B161" s="64">
        <v>113521.01759999999</v>
      </c>
      <c r="C161" s="64">
        <v>150736.8507264393</v>
      </c>
      <c r="D161" s="64">
        <v>32895.639697200008</v>
      </c>
      <c r="E161" s="64">
        <v>54331.539799971571</v>
      </c>
      <c r="F161" s="64">
        <v>141764.1293652</v>
      </c>
      <c r="G161" s="64">
        <v>140991.80602872957</v>
      </c>
      <c r="H161" s="40">
        <v>0.40058101524718048</v>
      </c>
      <c r="I161" s="40">
        <v>-5.4479461054696143E-3</v>
      </c>
      <c r="J161" s="40">
        <v>0.20084409707905126</v>
      </c>
    </row>
    <row r="162" spans="1:10" ht="11.25" customHeight="1" x14ac:dyDescent="0.2">
      <c r="A162" s="46" t="s">
        <v>25</v>
      </c>
      <c r="B162" s="64">
        <v>113521.01759999999</v>
      </c>
      <c r="C162" s="64">
        <v>150736.8507264393</v>
      </c>
      <c r="D162" s="64">
        <v>32895.639697200008</v>
      </c>
      <c r="E162" s="64">
        <v>54331.539799971571</v>
      </c>
      <c r="F162" s="64">
        <v>141764.1293652</v>
      </c>
      <c r="G162" s="64">
        <v>140991.80602872957</v>
      </c>
      <c r="H162" s="40">
        <v>0.40058101524718048</v>
      </c>
      <c r="I162" s="40">
        <v>-5.4479461054696143E-3</v>
      </c>
      <c r="J162" s="40">
        <v>0.20084409707905126</v>
      </c>
    </row>
    <row r="163" spans="1:10" ht="11.25" customHeight="1" x14ac:dyDescent="0.2">
      <c r="A163" s="47" t="s">
        <v>25</v>
      </c>
      <c r="B163" s="64">
        <v>113521.01759999999</v>
      </c>
      <c r="C163" s="64">
        <v>150736.8507264393</v>
      </c>
      <c r="D163" s="64">
        <v>32895.639697200008</v>
      </c>
      <c r="E163" s="64">
        <v>54331.539799971571</v>
      </c>
      <c r="F163" s="64">
        <v>141764.1293652</v>
      </c>
      <c r="G163" s="64">
        <v>140991.80602872957</v>
      </c>
      <c r="H163" s="40">
        <v>0.40058101524718048</v>
      </c>
      <c r="I163" s="40">
        <v>-5.4479461054696143E-3</v>
      </c>
      <c r="J163" s="40">
        <v>0.20084409707905126</v>
      </c>
    </row>
    <row r="164" spans="1:10" ht="11.25" customHeight="1" x14ac:dyDescent="0.2">
      <c r="A164" s="48" t="s">
        <v>35</v>
      </c>
      <c r="B164" s="64">
        <v>31942.252799999998</v>
      </c>
      <c r="C164" s="64">
        <v>42109.042786777754</v>
      </c>
      <c r="D164" s="64">
        <v>30081.205841400002</v>
      </c>
      <c r="E164" s="64">
        <v>49683.126622470707</v>
      </c>
      <c r="F164" s="64">
        <v>123308.22679920003</v>
      </c>
      <c r="G164" s="64">
        <v>122966.0590126795</v>
      </c>
      <c r="H164" s="40">
        <v>0.47995889651948809</v>
      </c>
      <c r="I164" s="40">
        <v>-2.7748982805317901E-3</v>
      </c>
      <c r="J164" s="40">
        <v>0.15877772282365243</v>
      </c>
    </row>
    <row r="165" spans="1:10" ht="11.25" customHeight="1" x14ac:dyDescent="0.2">
      <c r="A165" s="49">
        <v>44348</v>
      </c>
      <c r="B165" s="64">
        <v>2661.8543999999997</v>
      </c>
      <c r="C165" s="64">
        <v>3509.0868988981474</v>
      </c>
      <c r="D165" s="64">
        <v>2094.1484970000001</v>
      </c>
      <c r="E165" s="64">
        <v>3458.76576528441</v>
      </c>
      <c r="F165" s="64">
        <v>8584.2881160000015</v>
      </c>
      <c r="G165" s="64">
        <v>8560.4675896673252</v>
      </c>
      <c r="H165" s="40">
        <v>0.46506484858908559</v>
      </c>
      <c r="I165" s="40">
        <v>-2.7748982805315681E-3</v>
      </c>
      <c r="J165" s="40">
        <v>0.16401660493895265</v>
      </c>
    </row>
    <row r="166" spans="1:10" ht="11.25" customHeight="1" x14ac:dyDescent="0.2">
      <c r="A166" s="49">
        <v>44378</v>
      </c>
      <c r="B166" s="64">
        <v>2661.8543999999997</v>
      </c>
      <c r="C166" s="64">
        <v>3509.0868988981474</v>
      </c>
      <c r="D166" s="64">
        <v>3139.6251544000006</v>
      </c>
      <c r="E166" s="64">
        <v>5185.510012981902</v>
      </c>
      <c r="F166" s="64">
        <v>12869.883363200002</v>
      </c>
      <c r="G166" s="64">
        <v>12834.170745984818</v>
      </c>
      <c r="H166" s="40">
        <v>0.49868612486720387</v>
      </c>
      <c r="I166" s="40">
        <v>-2.774898280531457E-3</v>
      </c>
      <c r="J166" s="40">
        <v>0.15303675221113178</v>
      </c>
    </row>
    <row r="167" spans="1:10" ht="11.25" customHeight="1" x14ac:dyDescent="0.2">
      <c r="A167" s="49">
        <v>44409</v>
      </c>
      <c r="B167" s="64">
        <v>2661.8543999999997</v>
      </c>
      <c r="C167" s="64">
        <v>3509.0868988981474</v>
      </c>
      <c r="D167" s="64">
        <v>3123.7796590000003</v>
      </c>
      <c r="E167" s="64">
        <v>5159.3390623057658</v>
      </c>
      <c r="F167" s="64">
        <v>12804.929852000001</v>
      </c>
      <c r="G167" s="64">
        <v>12769.397474171361</v>
      </c>
      <c r="H167" s="40">
        <v>0.49826723792174654</v>
      </c>
      <c r="I167" s="40">
        <v>-2.774898280531457E-3</v>
      </c>
      <c r="J167" s="40">
        <v>0.15315616772068741</v>
      </c>
    </row>
    <row r="168" spans="1:10" ht="11.25" customHeight="1" x14ac:dyDescent="0.2">
      <c r="A168" s="49">
        <v>44440</v>
      </c>
      <c r="B168" s="64">
        <v>2661.8543999999997</v>
      </c>
      <c r="C168" s="64">
        <v>3509.0868988981474</v>
      </c>
      <c r="D168" s="64">
        <v>2157.2696473999999</v>
      </c>
      <c r="E168" s="64">
        <v>3563.0187704469604</v>
      </c>
      <c r="F168" s="64">
        <v>8843.0329672000007</v>
      </c>
      <c r="G168" s="64">
        <v>8818.4944502246344</v>
      </c>
      <c r="H168" s="40">
        <v>0.46750853470157727</v>
      </c>
      <c r="I168" s="40">
        <v>-2.774898280531457E-3</v>
      </c>
      <c r="J168" s="40">
        <v>0.16311063491572564</v>
      </c>
    </row>
    <row r="169" spans="1:10" ht="11.25" customHeight="1" x14ac:dyDescent="0.2">
      <c r="A169" s="49">
        <v>44470</v>
      </c>
      <c r="B169" s="64">
        <v>2661.8543999999997</v>
      </c>
      <c r="C169" s="64">
        <v>3509.0868988981474</v>
      </c>
      <c r="D169" s="64">
        <v>4010.6057390000005</v>
      </c>
      <c r="E169" s="64">
        <v>6624.0507050854003</v>
      </c>
      <c r="F169" s="64">
        <v>16440.188092</v>
      </c>
      <c r="G169" s="64">
        <v>16394.568242331898</v>
      </c>
      <c r="H169" s="40">
        <v>0.51865090130043079</v>
      </c>
      <c r="I169" s="40">
        <v>-2.774898280531346E-3</v>
      </c>
      <c r="J169" s="40">
        <v>0.14775708872404225</v>
      </c>
    </row>
    <row r="170" spans="1:10" ht="11.25" customHeight="1" x14ac:dyDescent="0.2">
      <c r="A170" s="49">
        <v>44501</v>
      </c>
      <c r="B170" s="64">
        <v>2661.8543999999997</v>
      </c>
      <c r="C170" s="64">
        <v>3509.0868988981474</v>
      </c>
      <c r="D170" s="64">
        <v>2530.5843024000001</v>
      </c>
      <c r="E170" s="64">
        <v>4179.5977524258878</v>
      </c>
      <c r="F170" s="64">
        <v>10373.316307200001</v>
      </c>
      <c r="G170" s="64">
        <v>10344.531409615742</v>
      </c>
      <c r="H170" s="40">
        <v>0.48074634906527525</v>
      </c>
      <c r="I170" s="40">
        <v>-2.7748982805315681E-3</v>
      </c>
      <c r="J170" s="40">
        <v>0.15851855883752486</v>
      </c>
    </row>
    <row r="171" spans="1:10" ht="11.25" customHeight="1" x14ac:dyDescent="0.2">
      <c r="A171" s="49">
        <v>44531</v>
      </c>
      <c r="B171" s="64">
        <v>2661.8543999999997</v>
      </c>
      <c r="C171" s="64">
        <v>3509.0868988981474</v>
      </c>
      <c r="D171" s="64">
        <v>2049.6115696000002</v>
      </c>
      <c r="E171" s="64">
        <v>3385.2070849889324</v>
      </c>
      <c r="F171" s="64">
        <v>8401.7233087999994</v>
      </c>
      <c r="G171" s="64">
        <v>8378.4093812369101</v>
      </c>
      <c r="H171" s="40">
        <v>0.46330123752807251</v>
      </c>
      <c r="I171" s="40">
        <v>-2.774898280531346E-3</v>
      </c>
      <c r="J171" s="40">
        <v>0.16468259863228973</v>
      </c>
    </row>
    <row r="172" spans="1:10" ht="11.25" customHeight="1" x14ac:dyDescent="0.2">
      <c r="A172" s="49">
        <v>44562</v>
      </c>
      <c r="B172" s="64">
        <v>2661.8543999999997</v>
      </c>
      <c r="C172" s="64">
        <v>3509.0868988981474</v>
      </c>
      <c r="D172" s="64">
        <v>2424.8172508000002</v>
      </c>
      <c r="E172" s="64">
        <v>4004.9093491473163</v>
      </c>
      <c r="F172" s="64">
        <v>9939.7583024000014</v>
      </c>
      <c r="G172" s="64">
        <v>9912.1764841777731</v>
      </c>
      <c r="H172" s="40">
        <v>0.47719309675978572</v>
      </c>
      <c r="I172" s="40">
        <v>-2.774898280531457E-3</v>
      </c>
      <c r="J172" s="40">
        <v>0.1597014584633385</v>
      </c>
    </row>
    <row r="173" spans="1:10" ht="11.25" customHeight="1" x14ac:dyDescent="0.2">
      <c r="A173" s="49">
        <v>44593</v>
      </c>
      <c r="B173" s="64">
        <v>2661.8543999999997</v>
      </c>
      <c r="C173" s="64">
        <v>3509.0868988981474</v>
      </c>
      <c r="D173" s="64">
        <v>3672.3076726000004</v>
      </c>
      <c r="E173" s="64">
        <v>6065.3062931191689</v>
      </c>
      <c r="F173" s="64">
        <v>15053.443992800001</v>
      </c>
      <c r="G173" s="64">
        <v>15011.672216948304</v>
      </c>
      <c r="H173" s="40">
        <v>0.51154850196109525</v>
      </c>
      <c r="I173" s="40">
        <v>-2.774898280531457E-3</v>
      </c>
      <c r="J173" s="40">
        <v>0.14954732819490046</v>
      </c>
    </row>
    <row r="174" spans="1:10" ht="11.25" customHeight="1" x14ac:dyDescent="0.2">
      <c r="A174" s="49">
        <v>44621</v>
      </c>
      <c r="B174" s="64">
        <v>2661.8543999999997</v>
      </c>
      <c r="C174" s="64">
        <v>3509.0868988981474</v>
      </c>
      <c r="D174" s="64">
        <v>1353.4530968000001</v>
      </c>
      <c r="E174" s="64">
        <v>2235.4084454069193</v>
      </c>
      <c r="F174" s="64">
        <v>5548.0455904</v>
      </c>
      <c r="G174" s="64">
        <v>5532.6503282308895</v>
      </c>
      <c r="H174" s="40">
        <v>0.4306489226250152</v>
      </c>
      <c r="I174" s="40">
        <v>-2.774898280531346E-3</v>
      </c>
      <c r="J174" s="40">
        <v>0.17920415252990796</v>
      </c>
    </row>
    <row r="175" spans="1:10" ht="11.25" customHeight="1" x14ac:dyDescent="0.2">
      <c r="A175" s="49">
        <v>44652</v>
      </c>
      <c r="B175" s="64">
        <v>2661.8543999999997</v>
      </c>
      <c r="C175" s="64">
        <v>3509.0868988981474</v>
      </c>
      <c r="D175" s="64">
        <v>1586.1797350000002</v>
      </c>
      <c r="E175" s="64">
        <v>2619.7875522510749</v>
      </c>
      <c r="F175" s="64">
        <v>6502.0335800000003</v>
      </c>
      <c r="G175" s="64">
        <v>6483.9910981989005</v>
      </c>
      <c r="H175" s="40">
        <v>0.4427554620271954</v>
      </c>
      <c r="I175" s="40">
        <v>-2.774898280531457E-3</v>
      </c>
      <c r="J175" s="40">
        <v>0.17328242795614068</v>
      </c>
    </row>
    <row r="176" spans="1:10" ht="11.25" customHeight="1" x14ac:dyDescent="0.2">
      <c r="A176" s="49">
        <v>44682</v>
      </c>
      <c r="B176" s="64">
        <v>2661.8543999999997</v>
      </c>
      <c r="C176" s="64">
        <v>3509.0868988981474</v>
      </c>
      <c r="D176" s="64">
        <v>1938.8235174000001</v>
      </c>
      <c r="E176" s="64">
        <v>3202.225829026977</v>
      </c>
      <c r="F176" s="64">
        <v>7947.5833272000009</v>
      </c>
      <c r="G176" s="64">
        <v>7925.5295918909733</v>
      </c>
      <c r="H176" s="40">
        <v>0.45876604457412551</v>
      </c>
      <c r="I176" s="40">
        <v>-2.774898280531457E-3</v>
      </c>
      <c r="J176" s="40">
        <v>0.16644386297861713</v>
      </c>
    </row>
    <row r="177" spans="1:10" ht="11.25" customHeight="1" x14ac:dyDescent="0.2">
      <c r="A177" s="48" t="s">
        <v>37</v>
      </c>
      <c r="B177" s="64">
        <v>81578.76479999999</v>
      </c>
      <c r="C177" s="64">
        <v>108627.80793966154</v>
      </c>
      <c r="D177" s="64">
        <v>2814.4338558000004</v>
      </c>
      <c r="E177" s="64">
        <v>4648.4131775008682</v>
      </c>
      <c r="F177" s="64">
        <v>18455.902565999997</v>
      </c>
      <c r="G177" s="64">
        <v>18025.74701605006</v>
      </c>
      <c r="H177" s="40">
        <v>0.34224348551075345</v>
      </c>
      <c r="I177" s="40">
        <v>-2.3307207459058787E-2</v>
      </c>
      <c r="J177" s="40">
        <v>0.27664672392277145</v>
      </c>
    </row>
    <row r="178" spans="1:10" ht="11.25" customHeight="1" x14ac:dyDescent="0.2">
      <c r="A178" s="49">
        <v>44348</v>
      </c>
      <c r="B178" s="64">
        <v>6798.2303999999995</v>
      </c>
      <c r="C178" s="64">
        <v>9052.3173283051256</v>
      </c>
      <c r="D178" s="64">
        <v>273.61192879999999</v>
      </c>
      <c r="E178" s="64">
        <v>451.90662155171674</v>
      </c>
      <c r="F178" s="64">
        <v>1794.2347759999996</v>
      </c>
      <c r="G178" s="64">
        <v>1752.4161738455098</v>
      </c>
      <c r="H178" s="40">
        <v>0.34395303344801609</v>
      </c>
      <c r="I178" s="40">
        <v>-2.3307207459058787E-2</v>
      </c>
      <c r="J178" s="40">
        <v>0.26963029879450606</v>
      </c>
    </row>
    <row r="179" spans="1:10" ht="11.25" customHeight="1" x14ac:dyDescent="0.2">
      <c r="A179" s="49">
        <v>44378</v>
      </c>
      <c r="B179" s="64">
        <v>6798.2303999999995</v>
      </c>
      <c r="C179" s="64">
        <v>9052.3173283051256</v>
      </c>
      <c r="D179" s="64">
        <v>415.04764700000004</v>
      </c>
      <c r="E179" s="64">
        <v>685.50658869796882</v>
      </c>
      <c r="F179" s="64">
        <v>2721.7121899999997</v>
      </c>
      <c r="G179" s="64">
        <v>2658.2766793438204</v>
      </c>
      <c r="H179" s="40">
        <v>0.34998593615187912</v>
      </c>
      <c r="I179" s="40">
        <v>-2.3307207459058787E-2</v>
      </c>
      <c r="J179" s="40">
        <v>0.2477214673227579</v>
      </c>
    </row>
    <row r="180" spans="1:10" ht="11.25" customHeight="1" x14ac:dyDescent="0.2">
      <c r="A180" s="49">
        <v>44409</v>
      </c>
      <c r="B180" s="64">
        <v>6798.2303999999995</v>
      </c>
      <c r="C180" s="64">
        <v>9052.3173283051256</v>
      </c>
      <c r="D180" s="64">
        <v>417.65595900000005</v>
      </c>
      <c r="E180" s="64">
        <v>689.81456411790896</v>
      </c>
      <c r="F180" s="64">
        <v>2738.8164299999999</v>
      </c>
      <c r="G180" s="64">
        <v>2674.9822672737109</v>
      </c>
      <c r="H180" s="40">
        <v>0.35009497208505524</v>
      </c>
      <c r="I180" s="40">
        <v>-2.3307207459058898E-2</v>
      </c>
      <c r="J180" s="40">
        <v>0.24736161620191477</v>
      </c>
    </row>
    <row r="181" spans="1:10" ht="11.25" customHeight="1" x14ac:dyDescent="0.2">
      <c r="A181" s="49">
        <v>44440</v>
      </c>
      <c r="B181" s="64">
        <v>6798.2303999999995</v>
      </c>
      <c r="C181" s="64">
        <v>9052.3173283051256</v>
      </c>
      <c r="D181" s="64">
        <v>247.00714640000001</v>
      </c>
      <c r="E181" s="64">
        <v>407.96527226832768</v>
      </c>
      <c r="F181" s="64">
        <v>1619.7715279999998</v>
      </c>
      <c r="G181" s="64">
        <v>1582.0191769606272</v>
      </c>
      <c r="H181" s="40">
        <v>0.34279114625560103</v>
      </c>
      <c r="I181" s="40">
        <v>-2.3307207459058787E-2</v>
      </c>
      <c r="J181" s="40">
        <v>0.27435547761370294</v>
      </c>
    </row>
    <row r="182" spans="1:10" ht="11.25" customHeight="1" x14ac:dyDescent="0.2">
      <c r="A182" s="49">
        <v>44470</v>
      </c>
      <c r="B182" s="64">
        <v>6798.2303999999995</v>
      </c>
      <c r="C182" s="64">
        <v>9052.3173283051256</v>
      </c>
      <c r="D182" s="64">
        <v>522.44489360000011</v>
      </c>
      <c r="E182" s="64">
        <v>862.88747661400259</v>
      </c>
      <c r="F182" s="64">
        <v>3425.9792719999996</v>
      </c>
      <c r="G182" s="64">
        <v>3346.1292623570607</v>
      </c>
      <c r="H182" s="40">
        <v>0.35441122673305303</v>
      </c>
      <c r="I182" s="40">
        <v>-2.3307207459058676E-2</v>
      </c>
      <c r="J182" s="40">
        <v>0.23399649503257236</v>
      </c>
    </row>
    <row r="183" spans="1:10" ht="11.25" customHeight="1" x14ac:dyDescent="0.2">
      <c r="A183" s="49">
        <v>44501</v>
      </c>
      <c r="B183" s="64">
        <v>6798.2303999999995</v>
      </c>
      <c r="C183" s="64">
        <v>9052.3173283051256</v>
      </c>
      <c r="D183" s="64">
        <v>317.69240160000004</v>
      </c>
      <c r="E183" s="64">
        <v>524.71140614870444</v>
      </c>
      <c r="F183" s="64">
        <v>2083.2964319999996</v>
      </c>
      <c r="G183" s="64">
        <v>2034.7406098606589</v>
      </c>
      <c r="H183" s="40">
        <v>0.34585899840010303</v>
      </c>
      <c r="I183" s="40">
        <v>-2.3307207459058676E-2</v>
      </c>
      <c r="J183" s="40">
        <v>0.26225596427821718</v>
      </c>
    </row>
    <row r="184" spans="1:10" ht="11.25" customHeight="1" x14ac:dyDescent="0.2">
      <c r="A184" s="49">
        <v>44531</v>
      </c>
      <c r="B184" s="64">
        <v>6798.2303999999995</v>
      </c>
      <c r="C184" s="64">
        <v>9052.3173283051256</v>
      </c>
      <c r="D184" s="64">
        <v>130.35039220000002</v>
      </c>
      <c r="E184" s="64">
        <v>215.29107161150665</v>
      </c>
      <c r="F184" s="64">
        <v>854.78439399999991</v>
      </c>
      <c r="G184" s="64">
        <v>834.86175679627615</v>
      </c>
      <c r="H184" s="40">
        <v>0.33759115724678357</v>
      </c>
      <c r="I184" s="40">
        <v>-2.3307207459058676E-2</v>
      </c>
      <c r="J184" s="40">
        <v>0.29795659268624708</v>
      </c>
    </row>
    <row r="185" spans="1:10" ht="11.25" customHeight="1" x14ac:dyDescent="0.2">
      <c r="A185" s="49">
        <v>44562</v>
      </c>
      <c r="B185" s="64">
        <v>6798.2303999999995</v>
      </c>
      <c r="C185" s="64">
        <v>9052.3173283051256</v>
      </c>
      <c r="D185" s="64">
        <v>265.72178500000001</v>
      </c>
      <c r="E185" s="64">
        <v>438.874995906398</v>
      </c>
      <c r="F185" s="64">
        <v>1742.4944499999999</v>
      </c>
      <c r="G185" s="64">
        <v>1701.8817703575914</v>
      </c>
      <c r="H185" s="40">
        <v>0.34360936705739098</v>
      </c>
      <c r="I185" s="40">
        <v>-2.3307207459058787E-2</v>
      </c>
      <c r="J185" s="40">
        <v>0.27100913211508004</v>
      </c>
    </row>
    <row r="186" spans="1:10" ht="11.25" customHeight="1" x14ac:dyDescent="0.2">
      <c r="A186" s="49">
        <v>44593</v>
      </c>
      <c r="B186" s="64">
        <v>6798.2303999999995</v>
      </c>
      <c r="C186" s="64">
        <v>9052.3173283051256</v>
      </c>
      <c r="D186" s="64">
        <v>112.74428620000002</v>
      </c>
      <c r="E186" s="64">
        <v>186.21223752691094</v>
      </c>
      <c r="F186" s="64">
        <v>739.33077399999991</v>
      </c>
      <c r="G186" s="64">
        <v>722.0990382695154</v>
      </c>
      <c r="H186" s="40">
        <v>0.33679111635002146</v>
      </c>
      <c r="I186" s="40">
        <v>-2.3307207459058787E-2</v>
      </c>
      <c r="J186" s="40">
        <v>0.30199096701704176</v>
      </c>
    </row>
    <row r="187" spans="1:10" ht="11.25" customHeight="1" x14ac:dyDescent="0.2">
      <c r="A187" s="49">
        <v>44621</v>
      </c>
      <c r="B187" s="64">
        <v>6798.2303999999995</v>
      </c>
      <c r="C187" s="64">
        <v>9052.3173283051256</v>
      </c>
      <c r="D187" s="64">
        <v>34.820965200000003</v>
      </c>
      <c r="E187" s="64">
        <v>57.511471856200373</v>
      </c>
      <c r="F187" s="64">
        <v>228.34160399999999</v>
      </c>
      <c r="G187" s="64">
        <v>223.01959886403773</v>
      </c>
      <c r="H187" s="40">
        <v>0.33320069077143355</v>
      </c>
      <c r="I187" s="40">
        <v>-2.3307207459058787E-2</v>
      </c>
      <c r="J187" s="40">
        <v>0.32167242918399741</v>
      </c>
    </row>
    <row r="188" spans="1:10" ht="11.25" customHeight="1" x14ac:dyDescent="0.2">
      <c r="A188" s="49">
        <v>44652</v>
      </c>
      <c r="B188" s="64">
        <v>6798.2303999999995</v>
      </c>
      <c r="C188" s="64">
        <v>9052.3173283051256</v>
      </c>
      <c r="D188" s="64">
        <v>35.994705600000003</v>
      </c>
      <c r="E188" s="64">
        <v>59.450060795173421</v>
      </c>
      <c r="F188" s="64">
        <v>236.038512</v>
      </c>
      <c r="G188" s="64">
        <v>230.53711343248847</v>
      </c>
      <c r="H188" s="40">
        <v>0.33325537984314701</v>
      </c>
      <c r="I188" s="40">
        <v>-2.3307207459058787E-2</v>
      </c>
      <c r="J188" s="40">
        <v>0.32135165077536842</v>
      </c>
    </row>
    <row r="189" spans="1:10" ht="11.25" customHeight="1" x14ac:dyDescent="0.2">
      <c r="A189" s="49">
        <v>44682</v>
      </c>
      <c r="B189" s="64">
        <v>6798.2303999999995</v>
      </c>
      <c r="C189" s="64">
        <v>9052.3173283051256</v>
      </c>
      <c r="D189" s="64">
        <v>41.341745200000005</v>
      </c>
      <c r="E189" s="64">
        <v>68.281410406050625</v>
      </c>
      <c r="F189" s="64">
        <v>271.10220399999997</v>
      </c>
      <c r="G189" s="64">
        <v>264.78356868876392</v>
      </c>
      <c r="H189" s="40">
        <v>0.33350428142087774</v>
      </c>
      <c r="I189" s="40">
        <v>-2.3307207459058676E-2</v>
      </c>
      <c r="J189" s="40">
        <v>0.31990045479383578</v>
      </c>
    </row>
    <row r="190" spans="1:10" ht="11.25" customHeight="1" x14ac:dyDescent="0.2">
      <c r="A190" s="43" t="s">
        <v>34</v>
      </c>
      <c r="B190" s="64">
        <v>3205460.1636000015</v>
      </c>
      <c r="C190" s="64">
        <v>4103229.2895107898</v>
      </c>
      <c r="D190" s="64">
        <v>5984726.5718379961</v>
      </c>
      <c r="E190" s="64">
        <v>8847384.5247262456</v>
      </c>
      <c r="F190" s="64">
        <v>14916788.013285592</v>
      </c>
      <c r="G190" s="64">
        <v>14434259.484791499</v>
      </c>
      <c r="H190" s="40">
        <v>0.40917852782017716</v>
      </c>
      <c r="I190" s="40">
        <v>-3.2348018089708219E-2</v>
      </c>
      <c r="J190" s="40">
        <v>0.13597303620515433</v>
      </c>
    </row>
    <row r="191" spans="1:10" ht="11.25" customHeight="1" x14ac:dyDescent="0.2">
      <c r="A191" s="44" t="s">
        <v>43</v>
      </c>
      <c r="B191" s="64">
        <v>775790.46</v>
      </c>
      <c r="C191" s="64">
        <v>991083.80794843077</v>
      </c>
      <c r="D191" s="64">
        <v>1607130.8325799995</v>
      </c>
      <c r="E191" s="64">
        <v>2346316.8272500043</v>
      </c>
      <c r="F191" s="64">
        <v>3752929.7223200002</v>
      </c>
      <c r="G191" s="64">
        <v>3618208.3483703951</v>
      </c>
      <c r="H191" s="40">
        <v>0.40055009185176105</v>
      </c>
      <c r="I191" s="40">
        <v>-3.5897654344116403E-2</v>
      </c>
      <c r="J191" s="40">
        <v>0.13360134831797121</v>
      </c>
    </row>
    <row r="192" spans="1:10" ht="11.25" customHeight="1" x14ac:dyDescent="0.2">
      <c r="A192" s="45" t="s">
        <v>25</v>
      </c>
      <c r="B192" s="64">
        <v>775790.46</v>
      </c>
      <c r="C192" s="64">
        <v>991083.80794843077</v>
      </c>
      <c r="D192" s="64">
        <v>1607130.8325799995</v>
      </c>
      <c r="E192" s="64">
        <v>2346316.8272500043</v>
      </c>
      <c r="F192" s="64">
        <v>3752929.7223200002</v>
      </c>
      <c r="G192" s="64">
        <v>3618208.3483703951</v>
      </c>
      <c r="H192" s="40">
        <v>0.40055009185176105</v>
      </c>
      <c r="I192" s="40">
        <v>-3.5897654344116403E-2</v>
      </c>
      <c r="J192" s="40">
        <v>0.13360134831797121</v>
      </c>
    </row>
    <row r="193" spans="1:10" ht="11.25" customHeight="1" x14ac:dyDescent="0.2">
      <c r="A193" s="46" t="s">
        <v>25</v>
      </c>
      <c r="B193" s="64">
        <v>775790.46</v>
      </c>
      <c r="C193" s="64">
        <v>991083.80794843077</v>
      </c>
      <c r="D193" s="64">
        <v>1607130.8325799995</v>
      </c>
      <c r="E193" s="64">
        <v>2346316.8272500043</v>
      </c>
      <c r="F193" s="64">
        <v>3752929.7223200002</v>
      </c>
      <c r="G193" s="64">
        <v>3618208.3483703951</v>
      </c>
      <c r="H193" s="40">
        <v>0.40055009185176105</v>
      </c>
      <c r="I193" s="40">
        <v>-3.5897654344116403E-2</v>
      </c>
      <c r="J193" s="40">
        <v>0.13360134831797121</v>
      </c>
    </row>
    <row r="194" spans="1:10" ht="11.25" customHeight="1" x14ac:dyDescent="0.2">
      <c r="A194" s="47" t="s">
        <v>25</v>
      </c>
      <c r="B194" s="64">
        <v>775790.46</v>
      </c>
      <c r="C194" s="64">
        <v>991083.80794843077</v>
      </c>
      <c r="D194" s="64">
        <v>1607130.8325799995</v>
      </c>
      <c r="E194" s="64">
        <v>2346316.8272500043</v>
      </c>
      <c r="F194" s="64">
        <v>3752929.7223200002</v>
      </c>
      <c r="G194" s="64">
        <v>3618208.3483703951</v>
      </c>
      <c r="H194" s="40">
        <v>0.40055009185176105</v>
      </c>
      <c r="I194" s="40">
        <v>-3.5897654344116403E-2</v>
      </c>
      <c r="J194" s="40">
        <v>0.13360134831797121</v>
      </c>
    </row>
    <row r="195" spans="1:10" ht="11.25" customHeight="1" x14ac:dyDescent="0.2">
      <c r="A195" s="48" t="s">
        <v>35</v>
      </c>
      <c r="B195" s="64">
        <v>0</v>
      </c>
      <c r="C195" s="64">
        <v>0</v>
      </c>
      <c r="D195" s="64">
        <v>810588.58874000004</v>
      </c>
      <c r="E195" s="64">
        <v>1297389.2112873953</v>
      </c>
      <c r="F195" s="64">
        <v>3322747.1687199995</v>
      </c>
      <c r="G195" s="64">
        <v>3211046.6704288507</v>
      </c>
      <c r="H195" s="40">
        <v>0.60055203010455727</v>
      </c>
      <c r="I195" s="40">
        <v>-3.3616911735772859E-2</v>
      </c>
      <c r="J195" s="40">
        <v>9.074997683874364E-2</v>
      </c>
    </row>
    <row r="196" spans="1:10" ht="11.25" customHeight="1" x14ac:dyDescent="0.2">
      <c r="A196" s="49">
        <v>44348</v>
      </c>
      <c r="B196" s="64">
        <v>0</v>
      </c>
      <c r="C196" s="64">
        <v>0</v>
      </c>
      <c r="D196" s="64">
        <v>58408.221970000006</v>
      </c>
      <c r="E196" s="64">
        <v>93485.398248881131</v>
      </c>
      <c r="F196" s="64">
        <v>239425.71716</v>
      </c>
      <c r="G196" s="64">
        <v>231376.96395895819</v>
      </c>
      <c r="H196" s="40">
        <v>0.60055203010455749</v>
      </c>
      <c r="I196" s="40">
        <v>-3.3616911735772748E-2</v>
      </c>
      <c r="J196" s="40">
        <v>9.074997683874364E-2</v>
      </c>
    </row>
    <row r="197" spans="1:10" ht="11.25" customHeight="1" x14ac:dyDescent="0.2">
      <c r="A197" s="49">
        <v>44378</v>
      </c>
      <c r="B197" s="64">
        <v>0</v>
      </c>
      <c r="C197" s="64">
        <v>0</v>
      </c>
      <c r="D197" s="64">
        <v>60544.263010000002</v>
      </c>
      <c r="E197" s="64">
        <v>96904.243071839781</v>
      </c>
      <c r="F197" s="64">
        <v>248181.73028000002</v>
      </c>
      <c r="G197" s="64">
        <v>239838.62695874591</v>
      </c>
      <c r="H197" s="40">
        <v>0.60055203010455771</v>
      </c>
      <c r="I197" s="40">
        <v>-3.3616911735772748E-2</v>
      </c>
      <c r="J197" s="40">
        <v>9.0749976838743862E-2</v>
      </c>
    </row>
    <row r="198" spans="1:10" ht="11.25" customHeight="1" x14ac:dyDescent="0.2">
      <c r="A198" s="49">
        <v>44409</v>
      </c>
      <c r="B198" s="64">
        <v>0</v>
      </c>
      <c r="C198" s="64">
        <v>0</v>
      </c>
      <c r="D198" s="64">
        <v>61689.492340000012</v>
      </c>
      <c r="E198" s="64">
        <v>98737.242200906563</v>
      </c>
      <c r="F198" s="64">
        <v>252876.22952000002</v>
      </c>
      <c r="G198" s="64">
        <v>244375.31163215116</v>
      </c>
      <c r="H198" s="40">
        <v>0.60055203010455749</v>
      </c>
      <c r="I198" s="40">
        <v>-3.3616911735772748E-2</v>
      </c>
      <c r="J198" s="40">
        <v>9.074997683874364E-2</v>
      </c>
    </row>
    <row r="199" spans="1:10" ht="11.25" customHeight="1" x14ac:dyDescent="0.2">
      <c r="A199" s="49">
        <v>44440</v>
      </c>
      <c r="B199" s="64">
        <v>0</v>
      </c>
      <c r="C199" s="64">
        <v>0</v>
      </c>
      <c r="D199" s="64">
        <v>68467.357560000004</v>
      </c>
      <c r="E199" s="64">
        <v>109585.56813855264</v>
      </c>
      <c r="F199" s="64">
        <v>280659.90768</v>
      </c>
      <c r="G199" s="64">
        <v>271224.98833575129</v>
      </c>
      <c r="H199" s="40">
        <v>0.60055203010455771</v>
      </c>
      <c r="I199" s="40">
        <v>-3.3616911735772859E-2</v>
      </c>
      <c r="J199" s="40">
        <v>9.0749976838743862E-2</v>
      </c>
    </row>
    <row r="200" spans="1:10" ht="11.25" customHeight="1" x14ac:dyDescent="0.2">
      <c r="A200" s="49">
        <v>44470</v>
      </c>
      <c r="B200" s="64">
        <v>0</v>
      </c>
      <c r="C200" s="64">
        <v>0</v>
      </c>
      <c r="D200" s="64">
        <v>66054.807700000005</v>
      </c>
      <c r="E200" s="64">
        <v>105724.15656240117</v>
      </c>
      <c r="F200" s="64">
        <v>270770.43560000003</v>
      </c>
      <c r="G200" s="64">
        <v>261667.96976577808</v>
      </c>
      <c r="H200" s="40">
        <v>0.60055203010455771</v>
      </c>
      <c r="I200" s="40">
        <v>-3.3616911735772748E-2</v>
      </c>
      <c r="J200" s="40">
        <v>9.0749976838743862E-2</v>
      </c>
    </row>
    <row r="201" spans="1:10" ht="11.25" customHeight="1" x14ac:dyDescent="0.2">
      <c r="A201" s="49">
        <v>44501</v>
      </c>
      <c r="B201" s="64">
        <v>0</v>
      </c>
      <c r="C201" s="64">
        <v>0</v>
      </c>
      <c r="D201" s="64">
        <v>77249.946410000004</v>
      </c>
      <c r="E201" s="64">
        <v>123642.55855199379</v>
      </c>
      <c r="F201" s="64">
        <v>316661.30548000004</v>
      </c>
      <c r="G201" s="64">
        <v>306016.13032354432</v>
      </c>
      <c r="H201" s="40">
        <v>0.60055203010455771</v>
      </c>
      <c r="I201" s="40">
        <v>-3.3616911735772748E-2</v>
      </c>
      <c r="J201" s="40">
        <v>9.074997683874364E-2</v>
      </c>
    </row>
    <row r="202" spans="1:10" ht="11.25" customHeight="1" x14ac:dyDescent="0.2">
      <c r="A202" s="49">
        <v>44531</v>
      </c>
      <c r="B202" s="64">
        <v>0</v>
      </c>
      <c r="C202" s="64">
        <v>0</v>
      </c>
      <c r="D202" s="64">
        <v>71031.758350000004</v>
      </c>
      <c r="E202" s="64">
        <v>113690.02502898886</v>
      </c>
      <c r="F202" s="64">
        <v>291171.84380000003</v>
      </c>
      <c r="G202" s="64">
        <v>281383.54562703322</v>
      </c>
      <c r="H202" s="40">
        <v>0.60055203010455749</v>
      </c>
      <c r="I202" s="40">
        <v>-3.3616911735772748E-2</v>
      </c>
      <c r="J202" s="40">
        <v>9.074997683874364E-2</v>
      </c>
    </row>
    <row r="203" spans="1:10" ht="11.25" customHeight="1" x14ac:dyDescent="0.2">
      <c r="A203" s="49">
        <v>44562</v>
      </c>
      <c r="B203" s="64">
        <v>0</v>
      </c>
      <c r="C203" s="64">
        <v>0</v>
      </c>
      <c r="D203" s="64">
        <v>73210.115090000007</v>
      </c>
      <c r="E203" s="64">
        <v>117176.59833148781</v>
      </c>
      <c r="F203" s="64">
        <v>300101.31652000005</v>
      </c>
      <c r="G203" s="64">
        <v>290012.83705075795</v>
      </c>
      <c r="H203" s="40">
        <v>0.60055203010455749</v>
      </c>
      <c r="I203" s="40">
        <v>-3.361691173577297E-2</v>
      </c>
      <c r="J203" s="40">
        <v>9.0749976838743418E-2</v>
      </c>
    </row>
    <row r="204" spans="1:10" ht="11.25" customHeight="1" x14ac:dyDescent="0.2">
      <c r="A204" s="49">
        <v>44593</v>
      </c>
      <c r="B204" s="64">
        <v>0</v>
      </c>
      <c r="C204" s="64">
        <v>0</v>
      </c>
      <c r="D204" s="64">
        <v>67021.409280000007</v>
      </c>
      <c r="E204" s="64">
        <v>107271.25268357244</v>
      </c>
      <c r="F204" s="64">
        <v>274732.70783999999</v>
      </c>
      <c r="G204" s="64">
        <v>265497.04264961288</v>
      </c>
      <c r="H204" s="40">
        <v>0.60055203010455749</v>
      </c>
      <c r="I204" s="40">
        <v>-3.3616911735772748E-2</v>
      </c>
      <c r="J204" s="40">
        <v>9.0749976838743862E-2</v>
      </c>
    </row>
    <row r="205" spans="1:10" ht="11.25" customHeight="1" x14ac:dyDescent="0.2">
      <c r="A205" s="49">
        <v>44621</v>
      </c>
      <c r="B205" s="64">
        <v>0</v>
      </c>
      <c r="C205" s="64">
        <v>0</v>
      </c>
      <c r="D205" s="64">
        <v>71605.240140000009</v>
      </c>
      <c r="E205" s="64">
        <v>114607.91247220137</v>
      </c>
      <c r="F205" s="64">
        <v>293522.64792000002</v>
      </c>
      <c r="G205" s="64">
        <v>283655.32297242311</v>
      </c>
      <c r="H205" s="40">
        <v>0.60055203010455749</v>
      </c>
      <c r="I205" s="40">
        <v>-3.3616911735772637E-2</v>
      </c>
      <c r="J205" s="40">
        <v>9.074997683874364E-2</v>
      </c>
    </row>
    <row r="206" spans="1:10" ht="11.25" customHeight="1" x14ac:dyDescent="0.2">
      <c r="A206" s="49">
        <v>44652</v>
      </c>
      <c r="B206" s="64">
        <v>0</v>
      </c>
      <c r="C206" s="64">
        <v>0</v>
      </c>
      <c r="D206" s="64">
        <v>68946.079930000007</v>
      </c>
      <c r="E206" s="64">
        <v>110351.7881997126</v>
      </c>
      <c r="F206" s="64">
        <v>282622.27604000003</v>
      </c>
      <c r="G206" s="64">
        <v>273121.3879318001</v>
      </c>
      <c r="H206" s="40">
        <v>0.60055203010455749</v>
      </c>
      <c r="I206" s="40">
        <v>-3.3616911735772859E-2</v>
      </c>
      <c r="J206" s="40">
        <v>9.074997683874364E-2</v>
      </c>
    </row>
    <row r="207" spans="1:10" ht="11.25" customHeight="1" x14ac:dyDescent="0.2">
      <c r="A207" s="49">
        <v>44682</v>
      </c>
      <c r="B207" s="64">
        <v>0</v>
      </c>
      <c r="C207" s="64">
        <v>0</v>
      </c>
      <c r="D207" s="64">
        <v>66359.896959999998</v>
      </c>
      <c r="E207" s="64">
        <v>106212.46779685727</v>
      </c>
      <c r="F207" s="64">
        <v>272021.05088</v>
      </c>
      <c r="G207" s="64">
        <v>262876.54322229489</v>
      </c>
      <c r="H207" s="40">
        <v>0.60055203010455771</v>
      </c>
      <c r="I207" s="40">
        <v>-3.3616911735772748E-2</v>
      </c>
      <c r="J207" s="40">
        <v>9.074997683874364E-2</v>
      </c>
    </row>
    <row r="208" spans="1:10" ht="11.25" customHeight="1" x14ac:dyDescent="0.2">
      <c r="A208" s="48" t="s">
        <v>25</v>
      </c>
      <c r="B208" s="64">
        <v>775790.46</v>
      </c>
      <c r="C208" s="64">
        <v>991083.80794843077</v>
      </c>
      <c r="D208" s="64">
        <v>0</v>
      </c>
      <c r="E208" s="64">
        <v>0</v>
      </c>
      <c r="F208" s="64">
        <v>0</v>
      </c>
      <c r="G208" s="64">
        <v>0</v>
      </c>
      <c r="H208" s="40">
        <v>0.27751481753002172</v>
      </c>
      <c r="I208" s="40">
        <v>0</v>
      </c>
      <c r="J208" s="40">
        <v>0.27751481753002172</v>
      </c>
    </row>
    <row r="209" spans="1:10" ht="11.25" customHeight="1" x14ac:dyDescent="0.2">
      <c r="A209" s="49">
        <v>44348</v>
      </c>
      <c r="B209" s="64">
        <v>58957.740000000005</v>
      </c>
      <c r="C209" s="64">
        <v>75319.386458082401</v>
      </c>
      <c r="D209" s="64">
        <v>0</v>
      </c>
      <c r="E209" s="64">
        <v>0</v>
      </c>
      <c r="F209" s="64">
        <v>0</v>
      </c>
      <c r="G209" s="64">
        <v>0</v>
      </c>
      <c r="H209" s="40">
        <v>0.27751481753002061</v>
      </c>
      <c r="I209" s="40">
        <v>0</v>
      </c>
      <c r="J209" s="40">
        <v>0.27751481753002061</v>
      </c>
    </row>
    <row r="210" spans="1:10" ht="11.25" customHeight="1" x14ac:dyDescent="0.2">
      <c r="A210" s="49">
        <v>44378</v>
      </c>
      <c r="B210" s="64">
        <v>59814.720000000001</v>
      </c>
      <c r="C210" s="64">
        <v>76414.191106409286</v>
      </c>
      <c r="D210" s="64">
        <v>0</v>
      </c>
      <c r="E210" s="64">
        <v>0</v>
      </c>
      <c r="F210" s="64">
        <v>0</v>
      </c>
      <c r="G210" s="64">
        <v>0</v>
      </c>
      <c r="H210" s="40">
        <v>0.27751481753002083</v>
      </c>
      <c r="I210" s="40">
        <v>0</v>
      </c>
      <c r="J210" s="40">
        <v>0.27751481753002083</v>
      </c>
    </row>
    <row r="211" spans="1:10" ht="11.25" customHeight="1" x14ac:dyDescent="0.2">
      <c r="A211" s="49">
        <v>44409</v>
      </c>
      <c r="B211" s="64">
        <v>59293.08</v>
      </c>
      <c r="C211" s="64">
        <v>75747.788276992913</v>
      </c>
      <c r="D211" s="64">
        <v>0</v>
      </c>
      <c r="E211" s="64">
        <v>0</v>
      </c>
      <c r="F211" s="64">
        <v>0</v>
      </c>
      <c r="G211" s="64">
        <v>0</v>
      </c>
      <c r="H211" s="40">
        <v>0.27751481753002061</v>
      </c>
      <c r="I211" s="40">
        <v>0</v>
      </c>
      <c r="J211" s="40">
        <v>0.27751481753002061</v>
      </c>
    </row>
    <row r="212" spans="1:10" ht="11.25" customHeight="1" x14ac:dyDescent="0.2">
      <c r="A212" s="49">
        <v>44440</v>
      </c>
      <c r="B212" s="64">
        <v>62634.06</v>
      </c>
      <c r="C212" s="64">
        <v>80015.939732064377</v>
      </c>
      <c r="D212" s="64">
        <v>0</v>
      </c>
      <c r="E212" s="64">
        <v>0</v>
      </c>
      <c r="F212" s="64">
        <v>0</v>
      </c>
      <c r="G212" s="64">
        <v>0</v>
      </c>
      <c r="H212" s="40">
        <v>0.27751481753002083</v>
      </c>
      <c r="I212" s="40">
        <v>0</v>
      </c>
      <c r="J212" s="40">
        <v>0.27751481753002083</v>
      </c>
    </row>
    <row r="213" spans="1:10" ht="11.25" customHeight="1" x14ac:dyDescent="0.2">
      <c r="A213" s="49">
        <v>44470</v>
      </c>
      <c r="B213" s="64">
        <v>62969.4</v>
      </c>
      <c r="C213" s="64">
        <v>80444.341550974888</v>
      </c>
      <c r="D213" s="64">
        <v>0</v>
      </c>
      <c r="E213" s="64">
        <v>0</v>
      </c>
      <c r="F213" s="64">
        <v>0</v>
      </c>
      <c r="G213" s="64">
        <v>0</v>
      </c>
      <c r="H213" s="40">
        <v>0.27751481753002061</v>
      </c>
      <c r="I213" s="40">
        <v>0</v>
      </c>
      <c r="J213" s="40">
        <v>0.27751481753002061</v>
      </c>
    </row>
    <row r="214" spans="1:10" ht="11.25" customHeight="1" x14ac:dyDescent="0.2">
      <c r="A214" s="49">
        <v>44501</v>
      </c>
      <c r="B214" s="64">
        <v>66037.14</v>
      </c>
      <c r="C214" s="64">
        <v>84363.424857304431</v>
      </c>
      <c r="D214" s="64">
        <v>0</v>
      </c>
      <c r="E214" s="64">
        <v>0</v>
      </c>
      <c r="F214" s="64">
        <v>0</v>
      </c>
      <c r="G214" s="64">
        <v>0</v>
      </c>
      <c r="H214" s="40">
        <v>0.27751481753002061</v>
      </c>
      <c r="I214" s="40">
        <v>0</v>
      </c>
      <c r="J214" s="40">
        <v>0.27751481753002061</v>
      </c>
    </row>
    <row r="215" spans="1:10" ht="11.25" customHeight="1" x14ac:dyDescent="0.2">
      <c r="A215" s="49">
        <v>44531</v>
      </c>
      <c r="B215" s="64">
        <v>66335.22</v>
      </c>
      <c r="C215" s="64">
        <v>84744.226474113777</v>
      </c>
      <c r="D215" s="64">
        <v>0</v>
      </c>
      <c r="E215" s="64">
        <v>0</v>
      </c>
      <c r="F215" s="64">
        <v>0</v>
      </c>
      <c r="G215" s="64">
        <v>0</v>
      </c>
      <c r="H215" s="40">
        <v>0.27751481753002061</v>
      </c>
      <c r="I215" s="40">
        <v>0</v>
      </c>
      <c r="J215" s="40">
        <v>0.27751481753002061</v>
      </c>
    </row>
    <row r="216" spans="1:10" ht="11.25" customHeight="1" x14ac:dyDescent="0.2">
      <c r="A216" s="49">
        <v>44562</v>
      </c>
      <c r="B216" s="64">
        <v>69042.78</v>
      </c>
      <c r="C216" s="64">
        <v>88203.174493465369</v>
      </c>
      <c r="D216" s="64">
        <v>0</v>
      </c>
      <c r="E216" s="64">
        <v>0</v>
      </c>
      <c r="F216" s="64">
        <v>0</v>
      </c>
      <c r="G216" s="64">
        <v>0</v>
      </c>
      <c r="H216" s="40">
        <v>0.27751481753002083</v>
      </c>
      <c r="I216" s="40">
        <v>0</v>
      </c>
      <c r="J216" s="40">
        <v>0.27751481753002083</v>
      </c>
    </row>
    <row r="217" spans="1:10" ht="11.25" customHeight="1" x14ac:dyDescent="0.2">
      <c r="A217" s="49">
        <v>44593</v>
      </c>
      <c r="B217" s="64">
        <v>66099.239999999991</v>
      </c>
      <c r="C217" s="64">
        <v>84442.758527473052</v>
      </c>
      <c r="D217" s="64">
        <v>0</v>
      </c>
      <c r="E217" s="64">
        <v>0</v>
      </c>
      <c r="F217" s="64">
        <v>0</v>
      </c>
      <c r="G217" s="64">
        <v>0</v>
      </c>
      <c r="H217" s="40">
        <v>0.27751481753002105</v>
      </c>
      <c r="I217" s="40">
        <v>0</v>
      </c>
      <c r="J217" s="40">
        <v>0.27751481753002105</v>
      </c>
    </row>
    <row r="218" spans="1:10" ht="11.25" customHeight="1" x14ac:dyDescent="0.2">
      <c r="A218" s="49">
        <v>44621</v>
      </c>
      <c r="B218" s="64">
        <v>68844.06</v>
      </c>
      <c r="C218" s="64">
        <v>87949.306748925796</v>
      </c>
      <c r="D218" s="64">
        <v>0</v>
      </c>
      <c r="E218" s="64">
        <v>0</v>
      </c>
      <c r="F218" s="64">
        <v>0</v>
      </c>
      <c r="G218" s="64">
        <v>0</v>
      </c>
      <c r="H218" s="40">
        <v>0.27751481753002083</v>
      </c>
      <c r="I218" s="40">
        <v>0</v>
      </c>
      <c r="J218" s="40">
        <v>0.27751481753002083</v>
      </c>
    </row>
    <row r="219" spans="1:10" ht="11.25" customHeight="1" x14ac:dyDescent="0.2">
      <c r="A219" s="49">
        <v>44652</v>
      </c>
      <c r="B219" s="64">
        <v>68322.42</v>
      </c>
      <c r="C219" s="64">
        <v>87282.903919509437</v>
      </c>
      <c r="D219" s="64">
        <v>0</v>
      </c>
      <c r="E219" s="64">
        <v>0</v>
      </c>
      <c r="F219" s="64">
        <v>0</v>
      </c>
      <c r="G219" s="64">
        <v>0</v>
      </c>
      <c r="H219" s="40">
        <v>0.27751481753002083</v>
      </c>
      <c r="I219" s="40">
        <v>0</v>
      </c>
      <c r="J219" s="40">
        <v>0.27751481753002083</v>
      </c>
    </row>
    <row r="220" spans="1:10" ht="11.25" customHeight="1" x14ac:dyDescent="0.2">
      <c r="A220" s="49">
        <v>44682</v>
      </c>
      <c r="B220" s="64">
        <v>67440.599999999991</v>
      </c>
      <c r="C220" s="64">
        <v>86156.365803115114</v>
      </c>
      <c r="D220" s="64">
        <v>0</v>
      </c>
      <c r="E220" s="64">
        <v>0</v>
      </c>
      <c r="F220" s="64">
        <v>0</v>
      </c>
      <c r="G220" s="64">
        <v>0</v>
      </c>
      <c r="H220" s="40">
        <v>0.27751481753002083</v>
      </c>
      <c r="I220" s="40">
        <v>0</v>
      </c>
      <c r="J220" s="40">
        <v>0.27751481753002083</v>
      </c>
    </row>
    <row r="221" spans="1:10" ht="11.25" customHeight="1" x14ac:dyDescent="0.2">
      <c r="A221" s="48" t="s">
        <v>37</v>
      </c>
      <c r="B221" s="64">
        <v>0</v>
      </c>
      <c r="C221" s="64">
        <v>0</v>
      </c>
      <c r="D221" s="64">
        <v>796542.24383999989</v>
      </c>
      <c r="E221" s="64">
        <v>1048927.6159626085</v>
      </c>
      <c r="F221" s="64">
        <v>430182.55359999993</v>
      </c>
      <c r="G221" s="64">
        <v>407161.67794154485</v>
      </c>
      <c r="H221" s="40">
        <v>0.31685120792326127</v>
      </c>
      <c r="I221" s="40">
        <v>-5.3514201042799026E-2</v>
      </c>
      <c r="J221" s="40">
        <v>0.18697306595807373</v>
      </c>
    </row>
    <row r="222" spans="1:10" ht="11.25" customHeight="1" x14ac:dyDescent="0.2">
      <c r="A222" s="49">
        <v>44348</v>
      </c>
      <c r="B222" s="64">
        <v>0</v>
      </c>
      <c r="C222" s="64">
        <v>0</v>
      </c>
      <c r="D222" s="64">
        <v>55797.983639999999</v>
      </c>
      <c r="E222" s="64">
        <v>73477.642156016344</v>
      </c>
      <c r="F222" s="64">
        <v>30134.3956</v>
      </c>
      <c r="G222" s="64">
        <v>28521.777495558352</v>
      </c>
      <c r="H222" s="40">
        <v>0.31685120792326082</v>
      </c>
      <c r="I222" s="40">
        <v>-5.3514201042799359E-2</v>
      </c>
      <c r="J222" s="40">
        <v>0.18697306595807328</v>
      </c>
    </row>
    <row r="223" spans="1:10" ht="11.25" customHeight="1" x14ac:dyDescent="0.2">
      <c r="A223" s="49">
        <v>44378</v>
      </c>
      <c r="B223" s="64">
        <v>0</v>
      </c>
      <c r="C223" s="64">
        <v>0</v>
      </c>
      <c r="D223" s="64">
        <v>60621.89301</v>
      </c>
      <c r="E223" s="64">
        <v>79830.013036813179</v>
      </c>
      <c r="F223" s="64">
        <v>32739.607899999999</v>
      </c>
      <c r="G223" s="64">
        <v>30987.57394077698</v>
      </c>
      <c r="H223" s="40">
        <v>0.31685120792326082</v>
      </c>
      <c r="I223" s="40">
        <v>-5.3514201042799248E-2</v>
      </c>
      <c r="J223" s="40">
        <v>0.1869730659580735</v>
      </c>
    </row>
    <row r="224" spans="1:10" ht="11.25" customHeight="1" x14ac:dyDescent="0.2">
      <c r="A224" s="49">
        <v>44409</v>
      </c>
      <c r="B224" s="64">
        <v>0</v>
      </c>
      <c r="C224" s="64">
        <v>0</v>
      </c>
      <c r="D224" s="64">
        <v>60788.670389999992</v>
      </c>
      <c r="E224" s="64">
        <v>80049.634031120455</v>
      </c>
      <c r="F224" s="64">
        <v>32829.678099999997</v>
      </c>
      <c r="G224" s="64">
        <v>31072.824105986212</v>
      </c>
      <c r="H224" s="40">
        <v>0.31685120792326082</v>
      </c>
      <c r="I224" s="40">
        <v>-5.3514201042799248E-2</v>
      </c>
      <c r="J224" s="40">
        <v>0.1869730659580735</v>
      </c>
    </row>
    <row r="225" spans="1:10" ht="11.25" customHeight="1" x14ac:dyDescent="0.2">
      <c r="A225" s="49">
        <v>44440</v>
      </c>
      <c r="B225" s="64">
        <v>0</v>
      </c>
      <c r="C225" s="64">
        <v>0</v>
      </c>
      <c r="D225" s="64">
        <v>70791.943949999986</v>
      </c>
      <c r="E225" s="64">
        <v>93222.456901793281</v>
      </c>
      <c r="F225" s="64">
        <v>38232.070499999994</v>
      </c>
      <c r="G225" s="64">
        <v>36186.111792980519</v>
      </c>
      <c r="H225" s="40">
        <v>0.31685120792326105</v>
      </c>
      <c r="I225" s="40">
        <v>-5.3514201042799248E-2</v>
      </c>
      <c r="J225" s="40">
        <v>0.1869730659580735</v>
      </c>
    </row>
    <row r="226" spans="1:10" ht="11.25" customHeight="1" x14ac:dyDescent="0.2">
      <c r="A226" s="49">
        <v>44470</v>
      </c>
      <c r="B226" s="64">
        <v>0</v>
      </c>
      <c r="C226" s="64">
        <v>0</v>
      </c>
      <c r="D226" s="64">
        <v>62905.395419999986</v>
      </c>
      <c r="E226" s="64">
        <v>82837.045943717356</v>
      </c>
      <c r="F226" s="64">
        <v>33972.841799999995</v>
      </c>
      <c r="G226" s="64">
        <v>32154.812313919581</v>
      </c>
      <c r="H226" s="40">
        <v>0.31685120792326105</v>
      </c>
      <c r="I226" s="40">
        <v>-5.3514201042799248E-2</v>
      </c>
      <c r="J226" s="40">
        <v>0.1869730659580735</v>
      </c>
    </row>
    <row r="227" spans="1:10" ht="11.25" customHeight="1" x14ac:dyDescent="0.2">
      <c r="A227" s="49">
        <v>44501</v>
      </c>
      <c r="B227" s="64">
        <v>0</v>
      </c>
      <c r="C227" s="64">
        <v>0</v>
      </c>
      <c r="D227" s="64">
        <v>81970.239959999992</v>
      </c>
      <c r="E227" s="64">
        <v>107942.60950508554</v>
      </c>
      <c r="F227" s="64">
        <v>44269.0484</v>
      </c>
      <c r="G227" s="64">
        <v>41900.025643948989</v>
      </c>
      <c r="H227" s="40">
        <v>0.31685120792326082</v>
      </c>
      <c r="I227" s="40">
        <v>-5.3514201042799248E-2</v>
      </c>
      <c r="J227" s="40">
        <v>0.1869730659580735</v>
      </c>
    </row>
    <row r="228" spans="1:10" ht="11.25" customHeight="1" x14ac:dyDescent="0.2">
      <c r="A228" s="49">
        <v>44531</v>
      </c>
      <c r="B228" s="64">
        <v>0</v>
      </c>
      <c r="C228" s="64">
        <v>0</v>
      </c>
      <c r="D228" s="64">
        <v>83085.458399999989</v>
      </c>
      <c r="E228" s="64">
        <v>109411.18625489784</v>
      </c>
      <c r="F228" s="64">
        <v>44871.335999999996</v>
      </c>
      <c r="G228" s="64">
        <v>42470.082304236996</v>
      </c>
      <c r="H228" s="40">
        <v>0.31685120792326105</v>
      </c>
      <c r="I228" s="40">
        <v>-5.3514201042799359E-2</v>
      </c>
      <c r="J228" s="40">
        <v>0.1869730659580735</v>
      </c>
    </row>
    <row r="229" spans="1:10" ht="11.25" customHeight="1" x14ac:dyDescent="0.2">
      <c r="A229" s="49">
        <v>44562</v>
      </c>
      <c r="B229" s="64">
        <v>0</v>
      </c>
      <c r="C229" s="64">
        <v>0</v>
      </c>
      <c r="D229" s="64">
        <v>67388.169240000003</v>
      </c>
      <c r="E229" s="64">
        <v>88740.192063431139</v>
      </c>
      <c r="F229" s="64">
        <v>36393.819600000003</v>
      </c>
      <c r="G229" s="64">
        <v>34446.233421210236</v>
      </c>
      <c r="H229" s="40">
        <v>0.31685120792326082</v>
      </c>
      <c r="I229" s="40">
        <v>-5.3514201042799248E-2</v>
      </c>
      <c r="J229" s="40">
        <v>0.1869730659580735</v>
      </c>
    </row>
    <row r="230" spans="1:10" ht="11.25" customHeight="1" x14ac:dyDescent="0.2">
      <c r="A230" s="49">
        <v>44593</v>
      </c>
      <c r="B230" s="64">
        <v>0</v>
      </c>
      <c r="C230" s="64">
        <v>0</v>
      </c>
      <c r="D230" s="64">
        <v>63605.355029999999</v>
      </c>
      <c r="E230" s="64">
        <v>83758.788601643362</v>
      </c>
      <c r="F230" s="64">
        <v>34350.863700000002</v>
      </c>
      <c r="G230" s="64">
        <v>32512.604673964404</v>
      </c>
      <c r="H230" s="40">
        <v>0.31685120792326105</v>
      </c>
      <c r="I230" s="40">
        <v>-5.3514201042799359E-2</v>
      </c>
      <c r="J230" s="40">
        <v>0.18697306595807373</v>
      </c>
    </row>
    <row r="231" spans="1:10" ht="11.25" customHeight="1" x14ac:dyDescent="0.2">
      <c r="A231" s="49">
        <v>44621</v>
      </c>
      <c r="B231" s="64">
        <v>0</v>
      </c>
      <c r="C231" s="64">
        <v>0</v>
      </c>
      <c r="D231" s="64">
        <v>68712.280559999985</v>
      </c>
      <c r="E231" s="64">
        <v>90483.849654597987</v>
      </c>
      <c r="F231" s="64">
        <v>37108.922399999996</v>
      </c>
      <c r="G231" s="64">
        <v>35123.06806620476</v>
      </c>
      <c r="H231" s="40">
        <v>0.31685120792326105</v>
      </c>
      <c r="I231" s="40">
        <v>-5.3514201042799248E-2</v>
      </c>
      <c r="J231" s="40">
        <v>0.1869730659580735</v>
      </c>
    </row>
    <row r="232" spans="1:10" ht="11.25" customHeight="1" x14ac:dyDescent="0.2">
      <c r="A232" s="49">
        <v>44652</v>
      </c>
      <c r="B232" s="64">
        <v>0</v>
      </c>
      <c r="C232" s="64">
        <v>0</v>
      </c>
      <c r="D232" s="64">
        <v>56516.474069999997</v>
      </c>
      <c r="E232" s="64">
        <v>74423.787146643139</v>
      </c>
      <c r="F232" s="64">
        <v>30522.425299999995</v>
      </c>
      <c r="G232" s="64">
        <v>28889.042096181976</v>
      </c>
      <c r="H232" s="40">
        <v>0.31685120792326082</v>
      </c>
      <c r="I232" s="40">
        <v>-5.3514201042799137E-2</v>
      </c>
      <c r="J232" s="40">
        <v>0.18697306595807328</v>
      </c>
    </row>
    <row r="233" spans="1:10" ht="11.25" customHeight="1" x14ac:dyDescent="0.2">
      <c r="A233" s="49">
        <v>44682</v>
      </c>
      <c r="B233" s="64">
        <v>0</v>
      </c>
      <c r="C233" s="64">
        <v>0</v>
      </c>
      <c r="D233" s="64">
        <v>64358.380169999989</v>
      </c>
      <c r="E233" s="64">
        <v>84750.410666848926</v>
      </c>
      <c r="F233" s="64">
        <v>34757.544299999994</v>
      </c>
      <c r="G233" s="64">
        <v>32897.522086575795</v>
      </c>
      <c r="H233" s="40">
        <v>0.31685120792326082</v>
      </c>
      <c r="I233" s="40">
        <v>-5.3514201042799248E-2</v>
      </c>
      <c r="J233" s="40">
        <v>0.1869730659580735</v>
      </c>
    </row>
    <row r="234" spans="1:10" ht="11.25" customHeight="1" x14ac:dyDescent="0.2">
      <c r="A234" s="44" t="s">
        <v>40</v>
      </c>
      <c r="B234" s="64">
        <v>2128291.2000000002</v>
      </c>
      <c r="C234" s="64">
        <v>2718923.5440187491</v>
      </c>
      <c r="D234" s="64">
        <v>3510903.5177300004</v>
      </c>
      <c r="E234" s="64">
        <v>5218845.1337993722</v>
      </c>
      <c r="F234" s="64">
        <v>9366936.8705599997</v>
      </c>
      <c r="G234" s="64">
        <v>9036878.1189673338</v>
      </c>
      <c r="H234" s="40">
        <v>0.40760677280060076</v>
      </c>
      <c r="I234" s="40">
        <v>-3.5236572654826714E-2</v>
      </c>
      <c r="J234" s="40">
        <v>0.13118072415355764</v>
      </c>
    </row>
    <row r="235" spans="1:10" ht="11.25" customHeight="1" x14ac:dyDescent="0.2">
      <c r="A235" s="45" t="s">
        <v>25</v>
      </c>
      <c r="B235" s="64">
        <v>2128291.2000000002</v>
      </c>
      <c r="C235" s="64">
        <v>2718923.5440187491</v>
      </c>
      <c r="D235" s="64">
        <v>3510903.5177300004</v>
      </c>
      <c r="E235" s="64">
        <v>5218845.1337993722</v>
      </c>
      <c r="F235" s="64">
        <v>9366936.8705599997</v>
      </c>
      <c r="G235" s="64">
        <v>9036878.1189673338</v>
      </c>
      <c r="H235" s="40">
        <v>0.40760677280060076</v>
      </c>
      <c r="I235" s="40">
        <v>-3.5236572654826714E-2</v>
      </c>
      <c r="J235" s="40">
        <v>0.13118072415355764</v>
      </c>
    </row>
    <row r="236" spans="1:10" ht="11.25" customHeight="1" x14ac:dyDescent="0.2">
      <c r="A236" s="46" t="s">
        <v>25</v>
      </c>
      <c r="B236" s="64">
        <v>2128291.2000000002</v>
      </c>
      <c r="C236" s="64">
        <v>2718923.5440187491</v>
      </c>
      <c r="D236" s="64">
        <v>3510903.5177300004</v>
      </c>
      <c r="E236" s="64">
        <v>5218845.1337993722</v>
      </c>
      <c r="F236" s="64">
        <v>9366936.8705599997</v>
      </c>
      <c r="G236" s="64">
        <v>9036878.1189673338</v>
      </c>
      <c r="H236" s="40">
        <v>0.40760677280060076</v>
      </c>
      <c r="I236" s="40">
        <v>-3.5236572654826714E-2</v>
      </c>
      <c r="J236" s="40">
        <v>0.13118072415355764</v>
      </c>
    </row>
    <row r="237" spans="1:10" ht="11.25" customHeight="1" x14ac:dyDescent="0.2">
      <c r="A237" s="47" t="s">
        <v>25</v>
      </c>
      <c r="B237" s="64">
        <v>2128291.2000000002</v>
      </c>
      <c r="C237" s="64">
        <v>2718923.5440187491</v>
      </c>
      <c r="D237" s="64">
        <v>3510903.5177300004</v>
      </c>
      <c r="E237" s="64">
        <v>5218845.1337993722</v>
      </c>
      <c r="F237" s="64">
        <v>9366936.8705599997</v>
      </c>
      <c r="G237" s="64">
        <v>9036878.1189673338</v>
      </c>
      <c r="H237" s="40">
        <v>0.40760677280060076</v>
      </c>
      <c r="I237" s="40">
        <v>-3.5236572654826714E-2</v>
      </c>
      <c r="J237" s="40">
        <v>0.13118072415355764</v>
      </c>
    </row>
    <row r="238" spans="1:10" ht="11.25" customHeight="1" x14ac:dyDescent="0.2">
      <c r="A238" s="48" t="s">
        <v>35</v>
      </c>
      <c r="B238" s="64">
        <v>0</v>
      </c>
      <c r="C238" s="64">
        <v>0</v>
      </c>
      <c r="D238" s="64">
        <v>2099068.9804700003</v>
      </c>
      <c r="E238" s="64">
        <v>3359669.1180207632</v>
      </c>
      <c r="F238" s="64">
        <v>8604458.0551599991</v>
      </c>
      <c r="G238" s="64">
        <v>8315202.7481855275</v>
      </c>
      <c r="H238" s="40">
        <v>0.60055203010455727</v>
      </c>
      <c r="I238" s="40">
        <v>-3.3616911735772415E-2</v>
      </c>
      <c r="J238" s="40">
        <v>9.0749976838744084E-2</v>
      </c>
    </row>
    <row r="239" spans="1:10" ht="11.25" customHeight="1" x14ac:dyDescent="0.2">
      <c r="A239" s="49">
        <v>44348</v>
      </c>
      <c r="B239" s="64">
        <v>0</v>
      </c>
      <c r="C239" s="64">
        <v>0</v>
      </c>
      <c r="D239" s="64">
        <v>212069.29274999999</v>
      </c>
      <c r="E239" s="64">
        <v>339427.93703385023</v>
      </c>
      <c r="F239" s="64">
        <v>869309.84699999995</v>
      </c>
      <c r="G239" s="64">
        <v>840086.33460236283</v>
      </c>
      <c r="H239" s="40">
        <v>0.60055203010455771</v>
      </c>
      <c r="I239" s="40">
        <v>-3.3616911735772748E-2</v>
      </c>
      <c r="J239" s="40">
        <v>9.0749976838743862E-2</v>
      </c>
    </row>
    <row r="240" spans="1:10" ht="11.25" customHeight="1" x14ac:dyDescent="0.2">
      <c r="A240" s="49">
        <v>44378</v>
      </c>
      <c r="B240" s="64">
        <v>0</v>
      </c>
      <c r="C240" s="64">
        <v>0</v>
      </c>
      <c r="D240" s="64">
        <v>222234.77254999999</v>
      </c>
      <c r="E240" s="64">
        <v>355698.3163647271</v>
      </c>
      <c r="F240" s="64">
        <v>910979.96140000003</v>
      </c>
      <c r="G240" s="64">
        <v>880355.62844455848</v>
      </c>
      <c r="H240" s="40">
        <v>0.60055203010455749</v>
      </c>
      <c r="I240" s="40">
        <v>-3.3616911735772859E-2</v>
      </c>
      <c r="J240" s="40">
        <v>9.074997683874364E-2</v>
      </c>
    </row>
    <row r="241" spans="1:10" ht="11.25" customHeight="1" x14ac:dyDescent="0.2">
      <c r="A241" s="49">
        <v>44409</v>
      </c>
      <c r="B241" s="64">
        <v>0</v>
      </c>
      <c r="C241" s="64">
        <v>0</v>
      </c>
      <c r="D241" s="64">
        <v>219911.50188</v>
      </c>
      <c r="E241" s="64">
        <v>351979.80077737622</v>
      </c>
      <c r="F241" s="64">
        <v>901456.46063999995</v>
      </c>
      <c r="G241" s="64">
        <v>871152.278369023</v>
      </c>
      <c r="H241" s="40">
        <v>0.60055203010455749</v>
      </c>
      <c r="I241" s="40">
        <v>-3.3616911735772748E-2</v>
      </c>
      <c r="J241" s="40">
        <v>9.074997683874364E-2</v>
      </c>
    </row>
    <row r="242" spans="1:10" ht="11.25" customHeight="1" x14ac:dyDescent="0.2">
      <c r="A242" s="49">
        <v>44440</v>
      </c>
      <c r="B242" s="64">
        <v>0</v>
      </c>
      <c r="C242" s="64">
        <v>0</v>
      </c>
      <c r="D242" s="64">
        <v>173358.19669000001</v>
      </c>
      <c r="E242" s="64">
        <v>277468.81364744471</v>
      </c>
      <c r="F242" s="64">
        <v>710626.16131999996</v>
      </c>
      <c r="G242" s="64">
        <v>686737.10437777452</v>
      </c>
      <c r="H242" s="40">
        <v>0.60055203010455749</v>
      </c>
      <c r="I242" s="40">
        <v>-3.3616911735772748E-2</v>
      </c>
      <c r="J242" s="40">
        <v>9.0749976838743862E-2</v>
      </c>
    </row>
    <row r="243" spans="1:10" ht="11.25" customHeight="1" x14ac:dyDescent="0.2">
      <c r="A243" s="49">
        <v>44470</v>
      </c>
      <c r="B243" s="64">
        <v>0</v>
      </c>
      <c r="C243" s="64">
        <v>0</v>
      </c>
      <c r="D243" s="64">
        <v>163727.62896000003</v>
      </c>
      <c r="E243" s="64">
        <v>262054.58891613377</v>
      </c>
      <c r="F243" s="64">
        <v>671148.74688000011</v>
      </c>
      <c r="G243" s="64">
        <v>648586.79869456065</v>
      </c>
      <c r="H243" s="40">
        <v>0.60055203010455727</v>
      </c>
      <c r="I243" s="40">
        <v>-3.3616911735772748E-2</v>
      </c>
      <c r="J243" s="40">
        <v>9.074997683874364E-2</v>
      </c>
    </row>
    <row r="244" spans="1:10" ht="11.25" customHeight="1" x14ac:dyDescent="0.2">
      <c r="A244" s="49">
        <v>44501</v>
      </c>
      <c r="B244" s="64">
        <v>0</v>
      </c>
      <c r="C244" s="64">
        <v>0</v>
      </c>
      <c r="D244" s="64">
        <v>162584.55010000002</v>
      </c>
      <c r="E244" s="64">
        <v>260225.03172619117</v>
      </c>
      <c r="F244" s="64">
        <v>666463.06280000007</v>
      </c>
      <c r="G244" s="64">
        <v>644058.63284269965</v>
      </c>
      <c r="H244" s="40">
        <v>0.60055203010455749</v>
      </c>
      <c r="I244" s="40">
        <v>-3.3616911735772859E-2</v>
      </c>
      <c r="J244" s="40">
        <v>9.074997683874364E-2</v>
      </c>
    </row>
    <row r="245" spans="1:10" ht="11.25" customHeight="1" x14ac:dyDescent="0.2">
      <c r="A245" s="49">
        <v>44531</v>
      </c>
      <c r="B245" s="64">
        <v>0</v>
      </c>
      <c r="C245" s="64">
        <v>0</v>
      </c>
      <c r="D245" s="64">
        <v>154494.69007000001</v>
      </c>
      <c r="E245" s="64">
        <v>247276.78983191293</v>
      </c>
      <c r="F245" s="64">
        <v>633301.28396000003</v>
      </c>
      <c r="G245" s="64">
        <v>612011.65059496509</v>
      </c>
      <c r="H245" s="40">
        <v>0.60055203010455749</v>
      </c>
      <c r="I245" s="40">
        <v>-3.3616911735772859E-2</v>
      </c>
      <c r="J245" s="40">
        <v>9.074997683874364E-2</v>
      </c>
    </row>
    <row r="246" spans="1:10" ht="11.25" customHeight="1" x14ac:dyDescent="0.2">
      <c r="A246" s="49">
        <v>44562</v>
      </c>
      <c r="B246" s="64">
        <v>0</v>
      </c>
      <c r="C246" s="64">
        <v>0</v>
      </c>
      <c r="D246" s="64">
        <v>148391.72558000003</v>
      </c>
      <c r="E246" s="64">
        <v>237508.67762778746</v>
      </c>
      <c r="F246" s="64">
        <v>608284.14424000017</v>
      </c>
      <c r="G246" s="64">
        <v>587835.50985281402</v>
      </c>
      <c r="H246" s="40">
        <v>0.60055203010455771</v>
      </c>
      <c r="I246" s="40">
        <v>-3.3616911735772748E-2</v>
      </c>
      <c r="J246" s="40">
        <v>9.0749976838743862E-2</v>
      </c>
    </row>
    <row r="247" spans="1:10" ht="11.25" customHeight="1" x14ac:dyDescent="0.2">
      <c r="A247" s="49">
        <v>44593</v>
      </c>
      <c r="B247" s="64">
        <v>0</v>
      </c>
      <c r="C247" s="64">
        <v>0</v>
      </c>
      <c r="D247" s="64">
        <v>150020.67192000002</v>
      </c>
      <c r="E247" s="64">
        <v>240115.89099920582</v>
      </c>
      <c r="F247" s="64">
        <v>614961.48576000007</v>
      </c>
      <c r="G247" s="64">
        <v>594288.37977230642</v>
      </c>
      <c r="H247" s="40">
        <v>0.60055203010455749</v>
      </c>
      <c r="I247" s="40">
        <v>-3.3616911735772859E-2</v>
      </c>
      <c r="J247" s="40">
        <v>9.0749976838743862E-2</v>
      </c>
    </row>
    <row r="248" spans="1:10" ht="11.25" customHeight="1" x14ac:dyDescent="0.2">
      <c r="A248" s="49">
        <v>44621</v>
      </c>
      <c r="B248" s="64">
        <v>0</v>
      </c>
      <c r="C248" s="64">
        <v>0</v>
      </c>
      <c r="D248" s="64">
        <v>161611.63585000002</v>
      </c>
      <c r="E248" s="64">
        <v>258667.83184823603</v>
      </c>
      <c r="F248" s="64">
        <v>662474.9138000001</v>
      </c>
      <c r="G248" s="64">
        <v>640204.55309562187</v>
      </c>
      <c r="H248" s="40">
        <v>0.60055203010455771</v>
      </c>
      <c r="I248" s="40">
        <v>-3.3616911735772637E-2</v>
      </c>
      <c r="J248" s="40">
        <v>9.074997683874364E-2</v>
      </c>
    </row>
    <row r="249" spans="1:10" ht="11.25" customHeight="1" x14ac:dyDescent="0.2">
      <c r="A249" s="49">
        <v>44652</v>
      </c>
      <c r="B249" s="64">
        <v>0</v>
      </c>
      <c r="C249" s="64">
        <v>0</v>
      </c>
      <c r="D249" s="64">
        <v>159370.49926000001</v>
      </c>
      <c r="E249" s="64">
        <v>255080.77612936991</v>
      </c>
      <c r="F249" s="64">
        <v>653288.09528000001</v>
      </c>
      <c r="G249" s="64">
        <v>631326.56704294111</v>
      </c>
      <c r="H249" s="40">
        <v>0.60055203010455771</v>
      </c>
      <c r="I249" s="40">
        <v>-3.3616911735772859E-2</v>
      </c>
      <c r="J249" s="40">
        <v>9.0749976838743862E-2</v>
      </c>
    </row>
    <row r="250" spans="1:10" ht="11.25" customHeight="1" x14ac:dyDescent="0.2">
      <c r="A250" s="49">
        <v>44682</v>
      </c>
      <c r="B250" s="64">
        <v>0</v>
      </c>
      <c r="C250" s="64">
        <v>0</v>
      </c>
      <c r="D250" s="64">
        <v>171293.81486000001</v>
      </c>
      <c r="E250" s="64">
        <v>274164.66311852727</v>
      </c>
      <c r="F250" s="64">
        <v>702163.89208000002</v>
      </c>
      <c r="G250" s="64">
        <v>678559.31049589999</v>
      </c>
      <c r="H250" s="40">
        <v>0.60055203010455771</v>
      </c>
      <c r="I250" s="40">
        <v>-3.3616911735772748E-2</v>
      </c>
      <c r="J250" s="40">
        <v>9.074997683874364E-2</v>
      </c>
    </row>
    <row r="251" spans="1:10" ht="11.25" customHeight="1" x14ac:dyDescent="0.2">
      <c r="A251" s="48" t="s">
        <v>25</v>
      </c>
      <c r="B251" s="64">
        <v>2128291.2000000002</v>
      </c>
      <c r="C251" s="64">
        <v>2718923.5440187491</v>
      </c>
      <c r="D251" s="64">
        <v>0</v>
      </c>
      <c r="E251" s="64">
        <v>0</v>
      </c>
      <c r="F251" s="64">
        <v>0</v>
      </c>
      <c r="G251" s="64">
        <v>0</v>
      </c>
      <c r="H251" s="40">
        <v>0.27751481753002083</v>
      </c>
      <c r="I251" s="40">
        <v>0</v>
      </c>
      <c r="J251" s="40">
        <v>0.27751481753002083</v>
      </c>
    </row>
    <row r="252" spans="1:10" ht="11.25" customHeight="1" x14ac:dyDescent="0.2">
      <c r="A252" s="49">
        <v>44348</v>
      </c>
      <c r="B252" s="64">
        <v>191032.02</v>
      </c>
      <c r="C252" s="64">
        <v>244046.23617269128</v>
      </c>
      <c r="D252" s="64">
        <v>0</v>
      </c>
      <c r="E252" s="64">
        <v>0</v>
      </c>
      <c r="F252" s="64">
        <v>0</v>
      </c>
      <c r="G252" s="64">
        <v>0</v>
      </c>
      <c r="H252" s="40">
        <v>0.27751481753002083</v>
      </c>
      <c r="I252" s="40">
        <v>0</v>
      </c>
      <c r="J252" s="40">
        <v>0.27751481753002083</v>
      </c>
    </row>
    <row r="253" spans="1:10" ht="11.25" customHeight="1" x14ac:dyDescent="0.2">
      <c r="A253" s="49">
        <v>44378</v>
      </c>
      <c r="B253" s="64">
        <v>190063.26</v>
      </c>
      <c r="C253" s="64">
        <v>242808.6309180609</v>
      </c>
      <c r="D253" s="64">
        <v>0</v>
      </c>
      <c r="E253" s="64">
        <v>0</v>
      </c>
      <c r="F253" s="64">
        <v>0</v>
      </c>
      <c r="G253" s="64">
        <v>0</v>
      </c>
      <c r="H253" s="40">
        <v>0.27751481753002061</v>
      </c>
      <c r="I253" s="40">
        <v>0</v>
      </c>
      <c r="J253" s="40">
        <v>0.27751481753002061</v>
      </c>
    </row>
    <row r="254" spans="1:10" ht="11.25" customHeight="1" x14ac:dyDescent="0.2">
      <c r="A254" s="49">
        <v>44409</v>
      </c>
      <c r="B254" s="64">
        <v>190386.18</v>
      </c>
      <c r="C254" s="64">
        <v>243221.16600293771</v>
      </c>
      <c r="D254" s="64">
        <v>0</v>
      </c>
      <c r="E254" s="64">
        <v>0</v>
      </c>
      <c r="F254" s="64">
        <v>0</v>
      </c>
      <c r="G254" s="64">
        <v>0</v>
      </c>
      <c r="H254" s="40">
        <v>0.27751481753002083</v>
      </c>
      <c r="I254" s="40">
        <v>0</v>
      </c>
      <c r="J254" s="40">
        <v>0.27751481753002083</v>
      </c>
    </row>
    <row r="255" spans="1:10" ht="11.25" customHeight="1" x14ac:dyDescent="0.2">
      <c r="A255" s="49">
        <v>44440</v>
      </c>
      <c r="B255" s="64">
        <v>173259</v>
      </c>
      <c r="C255" s="64">
        <v>221340.93977043388</v>
      </c>
      <c r="D255" s="64">
        <v>0</v>
      </c>
      <c r="E255" s="64">
        <v>0</v>
      </c>
      <c r="F255" s="64">
        <v>0</v>
      </c>
      <c r="G255" s="64">
        <v>0</v>
      </c>
      <c r="H255" s="40">
        <v>0.27751481753002083</v>
      </c>
      <c r="I255" s="40">
        <v>0</v>
      </c>
      <c r="J255" s="40">
        <v>0.27751481753002083</v>
      </c>
    </row>
    <row r="256" spans="1:10" ht="11.25" customHeight="1" x14ac:dyDescent="0.2">
      <c r="A256" s="49">
        <v>44470</v>
      </c>
      <c r="B256" s="64">
        <v>171656.82</v>
      </c>
      <c r="C256" s="64">
        <v>219294.13108008364</v>
      </c>
      <c r="D256" s="64">
        <v>0</v>
      </c>
      <c r="E256" s="64">
        <v>0</v>
      </c>
      <c r="F256" s="64">
        <v>0</v>
      </c>
      <c r="G256" s="64">
        <v>0</v>
      </c>
      <c r="H256" s="40">
        <v>0.27751481753002083</v>
      </c>
      <c r="I256" s="40">
        <v>0</v>
      </c>
      <c r="J256" s="40">
        <v>0.27751481753002083</v>
      </c>
    </row>
    <row r="257" spans="1:10" ht="11.25" customHeight="1" x14ac:dyDescent="0.2">
      <c r="A257" s="49">
        <v>44501</v>
      </c>
      <c r="B257" s="64">
        <v>171681.66</v>
      </c>
      <c r="C257" s="64">
        <v>219325.86454815106</v>
      </c>
      <c r="D257" s="64">
        <v>0</v>
      </c>
      <c r="E257" s="64">
        <v>0</v>
      </c>
      <c r="F257" s="64">
        <v>0</v>
      </c>
      <c r="G257" s="64">
        <v>0</v>
      </c>
      <c r="H257" s="40">
        <v>0.27751481753002061</v>
      </c>
      <c r="I257" s="40">
        <v>0</v>
      </c>
      <c r="J257" s="40">
        <v>0.27751481753002061</v>
      </c>
    </row>
    <row r="258" spans="1:10" ht="11.25" customHeight="1" x14ac:dyDescent="0.2">
      <c r="A258" s="49">
        <v>44531</v>
      </c>
      <c r="B258" s="64">
        <v>172464.12</v>
      </c>
      <c r="C258" s="64">
        <v>220325.46879227561</v>
      </c>
      <c r="D258" s="64">
        <v>0</v>
      </c>
      <c r="E258" s="64">
        <v>0</v>
      </c>
      <c r="F258" s="64">
        <v>0</v>
      </c>
      <c r="G258" s="64">
        <v>0</v>
      </c>
      <c r="H258" s="40">
        <v>0.27751481753002083</v>
      </c>
      <c r="I258" s="40">
        <v>0</v>
      </c>
      <c r="J258" s="40">
        <v>0.27751481753002083</v>
      </c>
    </row>
    <row r="259" spans="1:10" ht="11.25" customHeight="1" x14ac:dyDescent="0.2">
      <c r="A259" s="49">
        <v>44562</v>
      </c>
      <c r="B259" s="64">
        <v>172103.94</v>
      </c>
      <c r="C259" s="64">
        <v>219865.33350529763</v>
      </c>
      <c r="D259" s="64">
        <v>0</v>
      </c>
      <c r="E259" s="64">
        <v>0</v>
      </c>
      <c r="F259" s="64">
        <v>0</v>
      </c>
      <c r="G259" s="64">
        <v>0</v>
      </c>
      <c r="H259" s="40">
        <v>0.27751481753002061</v>
      </c>
      <c r="I259" s="40">
        <v>0</v>
      </c>
      <c r="J259" s="40">
        <v>0.27751481753002061</v>
      </c>
    </row>
    <row r="260" spans="1:10" ht="11.25" customHeight="1" x14ac:dyDescent="0.2">
      <c r="A260" s="49">
        <v>44593</v>
      </c>
      <c r="B260" s="64">
        <v>173308.68</v>
      </c>
      <c r="C260" s="64">
        <v>221404.40670656876</v>
      </c>
      <c r="D260" s="64">
        <v>0</v>
      </c>
      <c r="E260" s="64">
        <v>0</v>
      </c>
      <c r="F260" s="64">
        <v>0</v>
      </c>
      <c r="G260" s="64">
        <v>0</v>
      </c>
      <c r="H260" s="40">
        <v>0.27751481753002083</v>
      </c>
      <c r="I260" s="40">
        <v>0</v>
      </c>
      <c r="J260" s="40">
        <v>0.27751481753002083</v>
      </c>
    </row>
    <row r="261" spans="1:10" ht="11.25" customHeight="1" x14ac:dyDescent="0.2">
      <c r="A261" s="49">
        <v>44621</v>
      </c>
      <c r="B261" s="64">
        <v>173259</v>
      </c>
      <c r="C261" s="64">
        <v>221340.93977043388</v>
      </c>
      <c r="D261" s="64">
        <v>0</v>
      </c>
      <c r="E261" s="64">
        <v>0</v>
      </c>
      <c r="F261" s="64">
        <v>0</v>
      </c>
      <c r="G261" s="64">
        <v>0</v>
      </c>
      <c r="H261" s="40">
        <v>0.27751481753002083</v>
      </c>
      <c r="I261" s="40">
        <v>0</v>
      </c>
      <c r="J261" s="40">
        <v>0.27751481753002083</v>
      </c>
    </row>
    <row r="262" spans="1:10" ht="11.25" customHeight="1" x14ac:dyDescent="0.2">
      <c r="A262" s="49">
        <v>44652</v>
      </c>
      <c r="B262" s="64">
        <v>174178.08000000002</v>
      </c>
      <c r="C262" s="64">
        <v>222515.07808892935</v>
      </c>
      <c r="D262" s="64">
        <v>0</v>
      </c>
      <c r="E262" s="64">
        <v>0</v>
      </c>
      <c r="F262" s="64">
        <v>0</v>
      </c>
      <c r="G262" s="64">
        <v>0</v>
      </c>
      <c r="H262" s="40">
        <v>0.27751481753002061</v>
      </c>
      <c r="I262" s="40">
        <v>0</v>
      </c>
      <c r="J262" s="40">
        <v>0.27751481753002061</v>
      </c>
    </row>
    <row r="263" spans="1:10" ht="11.25" customHeight="1" x14ac:dyDescent="0.2">
      <c r="A263" s="49">
        <v>44682</v>
      </c>
      <c r="B263" s="64">
        <v>174898.44</v>
      </c>
      <c r="C263" s="64">
        <v>223435.34866288528</v>
      </c>
      <c r="D263" s="64">
        <v>0</v>
      </c>
      <c r="E263" s="64">
        <v>0</v>
      </c>
      <c r="F263" s="64">
        <v>0</v>
      </c>
      <c r="G263" s="64">
        <v>0</v>
      </c>
      <c r="H263" s="40">
        <v>0.27751481753002083</v>
      </c>
      <c r="I263" s="40">
        <v>0</v>
      </c>
      <c r="J263" s="40">
        <v>0.27751481753002083</v>
      </c>
    </row>
    <row r="264" spans="1:10" ht="11.25" customHeight="1" x14ac:dyDescent="0.2">
      <c r="A264" s="48" t="s">
        <v>37</v>
      </c>
      <c r="B264" s="64">
        <v>0</v>
      </c>
      <c r="C264" s="64">
        <v>0</v>
      </c>
      <c r="D264" s="64">
        <v>1411834.5372599999</v>
      </c>
      <c r="E264" s="64">
        <v>1859176.0157786089</v>
      </c>
      <c r="F264" s="64">
        <v>762478.81539999996</v>
      </c>
      <c r="G264" s="64">
        <v>721675.37078180898</v>
      </c>
      <c r="H264" s="40">
        <v>0.3168512079232606</v>
      </c>
      <c r="I264" s="40">
        <v>-5.3514201042799359E-2</v>
      </c>
      <c r="J264" s="40">
        <v>0.1869730659580735</v>
      </c>
    </row>
    <row r="265" spans="1:10" ht="11.25" customHeight="1" x14ac:dyDescent="0.2">
      <c r="A265" s="49">
        <v>44348</v>
      </c>
      <c r="B265" s="64">
        <v>0</v>
      </c>
      <c r="C265" s="64">
        <v>0</v>
      </c>
      <c r="D265" s="64">
        <v>123112.02959999999</v>
      </c>
      <c r="E265" s="64">
        <v>162120.22488864424</v>
      </c>
      <c r="F265" s="64">
        <v>66488.183999999994</v>
      </c>
      <c r="G265" s="64">
        <v>62930.121954453367</v>
      </c>
      <c r="H265" s="40">
        <v>0.31685120792326082</v>
      </c>
      <c r="I265" s="40">
        <v>-5.3514201042799248E-2</v>
      </c>
      <c r="J265" s="40">
        <v>0.1869730659580735</v>
      </c>
    </row>
    <row r="266" spans="1:10" ht="11.25" customHeight="1" x14ac:dyDescent="0.2">
      <c r="A266" s="49">
        <v>44378</v>
      </c>
      <c r="B266" s="64">
        <v>0</v>
      </c>
      <c r="C266" s="64">
        <v>0</v>
      </c>
      <c r="D266" s="64">
        <v>126477.05804999999</v>
      </c>
      <c r="E266" s="64">
        <v>166551.46666772288</v>
      </c>
      <c r="F266" s="64">
        <v>68305.5095</v>
      </c>
      <c r="G266" s="64">
        <v>64650.19473228616</v>
      </c>
      <c r="H266" s="40">
        <v>0.31685120792326082</v>
      </c>
      <c r="I266" s="40">
        <v>-5.3514201042799359E-2</v>
      </c>
      <c r="J266" s="40">
        <v>0.1869730659580735</v>
      </c>
    </row>
    <row r="267" spans="1:10" ht="11.25" customHeight="1" x14ac:dyDescent="0.2">
      <c r="A267" s="49">
        <v>44409</v>
      </c>
      <c r="B267" s="64">
        <v>0</v>
      </c>
      <c r="C267" s="64">
        <v>0</v>
      </c>
      <c r="D267" s="64">
        <v>139179.93515999999</v>
      </c>
      <c r="E267" s="64">
        <v>183279.26573412711</v>
      </c>
      <c r="F267" s="64">
        <v>75165.85639999999</v>
      </c>
      <c r="G267" s="64">
        <v>71143.415649056216</v>
      </c>
      <c r="H267" s="40">
        <v>0.31685120792326082</v>
      </c>
      <c r="I267" s="40">
        <v>-5.3514201042799137E-2</v>
      </c>
      <c r="J267" s="40">
        <v>0.1869730659580735</v>
      </c>
    </row>
    <row r="268" spans="1:10" ht="11.25" customHeight="1" x14ac:dyDescent="0.2">
      <c r="A268" s="49">
        <v>44440</v>
      </c>
      <c r="B268" s="64">
        <v>0</v>
      </c>
      <c r="C268" s="64">
        <v>0</v>
      </c>
      <c r="D268" s="64">
        <v>123232.47992999999</v>
      </c>
      <c r="E268" s="64">
        <v>162278.84005119948</v>
      </c>
      <c r="F268" s="64">
        <v>66553.234700000001</v>
      </c>
      <c r="G268" s="64">
        <v>62991.691518215594</v>
      </c>
      <c r="H268" s="40">
        <v>0.31685120792326082</v>
      </c>
      <c r="I268" s="40">
        <v>-5.3514201042799359E-2</v>
      </c>
      <c r="J268" s="40">
        <v>0.18697306595807328</v>
      </c>
    </row>
    <row r="269" spans="1:10" ht="11.25" customHeight="1" x14ac:dyDescent="0.2">
      <c r="A269" s="49">
        <v>44470</v>
      </c>
      <c r="B269" s="64">
        <v>0</v>
      </c>
      <c r="C269" s="64">
        <v>0</v>
      </c>
      <c r="D269" s="64">
        <v>110853.04985999998</v>
      </c>
      <c r="E269" s="64">
        <v>145976.97261011845</v>
      </c>
      <c r="F269" s="64">
        <v>59867.569399999993</v>
      </c>
      <c r="G269" s="64">
        <v>56663.804255184659</v>
      </c>
      <c r="H269" s="40">
        <v>0.31685120792326082</v>
      </c>
      <c r="I269" s="40">
        <v>-5.3514201042799248E-2</v>
      </c>
      <c r="J269" s="40">
        <v>0.1869730659580735</v>
      </c>
    </row>
    <row r="270" spans="1:10" ht="11.25" customHeight="1" x14ac:dyDescent="0.2">
      <c r="A270" s="49">
        <v>44501</v>
      </c>
      <c r="B270" s="64">
        <v>0</v>
      </c>
      <c r="C270" s="64">
        <v>0</v>
      </c>
      <c r="D270" s="64">
        <v>112266.44603999998</v>
      </c>
      <c r="E270" s="64">
        <v>147838.20507702557</v>
      </c>
      <c r="F270" s="64">
        <v>60630.891599999995</v>
      </c>
      <c r="G270" s="64">
        <v>57386.277877513428</v>
      </c>
      <c r="H270" s="40">
        <v>0.31685120792326105</v>
      </c>
      <c r="I270" s="40">
        <v>-5.3514201042799248E-2</v>
      </c>
      <c r="J270" s="40">
        <v>0.1869730659580735</v>
      </c>
    </row>
    <row r="271" spans="1:10" ht="11.25" customHeight="1" x14ac:dyDescent="0.2">
      <c r="A271" s="49">
        <v>44531</v>
      </c>
      <c r="B271" s="64">
        <v>0</v>
      </c>
      <c r="C271" s="64">
        <v>0</v>
      </c>
      <c r="D271" s="64">
        <v>108373.28921999999</v>
      </c>
      <c r="E271" s="64">
        <v>142711.49681597386</v>
      </c>
      <c r="F271" s="64">
        <v>58528.343799999995</v>
      </c>
      <c r="G271" s="64">
        <v>55396.246243184716</v>
      </c>
      <c r="H271" s="40">
        <v>0.3168512079232606</v>
      </c>
      <c r="I271" s="40">
        <v>-5.3514201042799359E-2</v>
      </c>
      <c r="J271" s="40">
        <v>0.18697306595807328</v>
      </c>
    </row>
    <row r="272" spans="1:10" ht="11.25" customHeight="1" x14ac:dyDescent="0.2">
      <c r="A272" s="49">
        <v>44562</v>
      </c>
      <c r="B272" s="64">
        <v>0</v>
      </c>
      <c r="C272" s="64">
        <v>0</v>
      </c>
      <c r="D272" s="64">
        <v>107372.62493999999</v>
      </c>
      <c r="E272" s="64">
        <v>141393.77085013024</v>
      </c>
      <c r="F272" s="64">
        <v>57987.922599999998</v>
      </c>
      <c r="G272" s="64">
        <v>54884.745251929315</v>
      </c>
      <c r="H272" s="40">
        <v>0.31685120792326082</v>
      </c>
      <c r="I272" s="40">
        <v>-5.3514201042799248E-2</v>
      </c>
      <c r="J272" s="40">
        <v>0.1869730659580735</v>
      </c>
    </row>
    <row r="273" spans="1:10" ht="11.25" customHeight="1" x14ac:dyDescent="0.2">
      <c r="A273" s="49">
        <v>44593</v>
      </c>
      <c r="B273" s="64">
        <v>0</v>
      </c>
      <c r="C273" s="64">
        <v>0</v>
      </c>
      <c r="D273" s="64">
        <v>105734.33198999999</v>
      </c>
      <c r="E273" s="64">
        <v>139236.38279999059</v>
      </c>
      <c r="F273" s="64">
        <v>57103.142099999997</v>
      </c>
      <c r="G273" s="64">
        <v>54047.313073485071</v>
      </c>
      <c r="H273" s="40">
        <v>0.31685120792326105</v>
      </c>
      <c r="I273" s="40">
        <v>-5.3514201042799137E-2</v>
      </c>
      <c r="J273" s="40">
        <v>0.18697306595807373</v>
      </c>
    </row>
    <row r="274" spans="1:10" ht="11.25" customHeight="1" x14ac:dyDescent="0.2">
      <c r="A274" s="49">
        <v>44621</v>
      </c>
      <c r="B274" s="64">
        <v>0</v>
      </c>
      <c r="C274" s="64">
        <v>0</v>
      </c>
      <c r="D274" s="64">
        <v>113187.09086999999</v>
      </c>
      <c r="E274" s="64">
        <v>149050.55733347937</v>
      </c>
      <c r="F274" s="64">
        <v>61128.097299999994</v>
      </c>
      <c r="G274" s="64">
        <v>57856.876011724002</v>
      </c>
      <c r="H274" s="40">
        <v>0.31685120792326082</v>
      </c>
      <c r="I274" s="40">
        <v>-5.3514201042799248E-2</v>
      </c>
      <c r="J274" s="40">
        <v>0.1869730659580735</v>
      </c>
    </row>
    <row r="275" spans="1:10" ht="11.25" customHeight="1" x14ac:dyDescent="0.2">
      <c r="A275" s="49">
        <v>44652</v>
      </c>
      <c r="B275" s="64">
        <v>0</v>
      </c>
      <c r="C275" s="64">
        <v>0</v>
      </c>
      <c r="D275" s="64">
        <v>117653.01849</v>
      </c>
      <c r="E275" s="64">
        <v>154931.51951437423</v>
      </c>
      <c r="F275" s="64">
        <v>63539.977100000004</v>
      </c>
      <c r="G275" s="64">
        <v>60139.685991215738</v>
      </c>
      <c r="H275" s="40">
        <v>0.31685120792326082</v>
      </c>
      <c r="I275" s="40">
        <v>-5.3514201042799359E-2</v>
      </c>
      <c r="J275" s="40">
        <v>0.18697306595807328</v>
      </c>
    </row>
    <row r="276" spans="1:10" ht="11.25" customHeight="1" x14ac:dyDescent="0.2">
      <c r="A276" s="49">
        <v>44682</v>
      </c>
      <c r="B276" s="64">
        <v>0</v>
      </c>
      <c r="C276" s="64">
        <v>0</v>
      </c>
      <c r="D276" s="64">
        <v>124393.18311</v>
      </c>
      <c r="E276" s="64">
        <v>163807.31343582287</v>
      </c>
      <c r="F276" s="64">
        <v>67180.086899999995</v>
      </c>
      <c r="G276" s="64">
        <v>63584.998223560673</v>
      </c>
      <c r="H276" s="40">
        <v>0.31685120792326082</v>
      </c>
      <c r="I276" s="40">
        <v>-5.3514201042799248E-2</v>
      </c>
      <c r="J276" s="40">
        <v>0.1869730659580735</v>
      </c>
    </row>
    <row r="277" spans="1:10" ht="11.25" customHeight="1" x14ac:dyDescent="0.2">
      <c r="A277" s="44" t="s">
        <v>46</v>
      </c>
      <c r="B277" s="64">
        <v>93808.26</v>
      </c>
      <c r="C277" s="64">
        <v>119841.44215670877</v>
      </c>
      <c r="D277" s="64">
        <v>99550.90082000001</v>
      </c>
      <c r="E277" s="64">
        <v>144984.21619192488</v>
      </c>
      <c r="F277" s="64">
        <v>228024.28816</v>
      </c>
      <c r="G277" s="64">
        <v>219815.19610035254</v>
      </c>
      <c r="H277" s="40">
        <v>0.36960492187470018</v>
      </c>
      <c r="I277" s="40">
        <v>-3.6000954660966977E-2</v>
      </c>
      <c r="J277" s="40">
        <v>0.15011839127072268</v>
      </c>
    </row>
    <row r="278" spans="1:10" ht="11.25" customHeight="1" x14ac:dyDescent="0.2">
      <c r="A278" s="45" t="s">
        <v>25</v>
      </c>
      <c r="B278" s="64">
        <v>93808.26</v>
      </c>
      <c r="C278" s="64">
        <v>119841.44215670877</v>
      </c>
      <c r="D278" s="64">
        <v>99550.90082000001</v>
      </c>
      <c r="E278" s="64">
        <v>144984.21619192488</v>
      </c>
      <c r="F278" s="64">
        <v>228024.28816</v>
      </c>
      <c r="G278" s="64">
        <v>219815.19610035254</v>
      </c>
      <c r="H278" s="40">
        <v>0.36960492187470018</v>
      </c>
      <c r="I278" s="40">
        <v>-3.6000954660966977E-2</v>
      </c>
      <c r="J278" s="40">
        <v>0.15011839127072268</v>
      </c>
    </row>
    <row r="279" spans="1:10" ht="11.25" customHeight="1" x14ac:dyDescent="0.2">
      <c r="A279" s="46" t="s">
        <v>25</v>
      </c>
      <c r="B279" s="64">
        <v>93808.26</v>
      </c>
      <c r="C279" s="64">
        <v>119841.44215670877</v>
      </c>
      <c r="D279" s="64">
        <v>99550.90082000001</v>
      </c>
      <c r="E279" s="64">
        <v>144984.21619192488</v>
      </c>
      <c r="F279" s="64">
        <v>228024.28816</v>
      </c>
      <c r="G279" s="64">
        <v>219815.19610035254</v>
      </c>
      <c r="H279" s="40">
        <v>0.36960492187470018</v>
      </c>
      <c r="I279" s="40">
        <v>-3.6000954660966977E-2</v>
      </c>
      <c r="J279" s="40">
        <v>0.15011839127072268</v>
      </c>
    </row>
    <row r="280" spans="1:10" ht="11.25" customHeight="1" x14ac:dyDescent="0.2">
      <c r="A280" s="47" t="s">
        <v>25</v>
      </c>
      <c r="B280" s="64">
        <v>93808.26</v>
      </c>
      <c r="C280" s="64">
        <v>119841.44215670877</v>
      </c>
      <c r="D280" s="64">
        <v>99550.90082000001</v>
      </c>
      <c r="E280" s="64">
        <v>144984.21619192488</v>
      </c>
      <c r="F280" s="64">
        <v>228024.28816</v>
      </c>
      <c r="G280" s="64">
        <v>219815.19610035254</v>
      </c>
      <c r="H280" s="40">
        <v>0.36960492187470018</v>
      </c>
      <c r="I280" s="40">
        <v>-3.6000954660966977E-2</v>
      </c>
      <c r="J280" s="40">
        <v>0.15011839127072268</v>
      </c>
    </row>
    <row r="281" spans="1:10" ht="11.25" customHeight="1" x14ac:dyDescent="0.2">
      <c r="A281" s="48" t="s">
        <v>35</v>
      </c>
      <c r="B281" s="64">
        <v>0</v>
      </c>
      <c r="C281" s="64">
        <v>0</v>
      </c>
      <c r="D281" s="64">
        <v>48961.762220000011</v>
      </c>
      <c r="E281" s="64">
        <v>78365.847918717642</v>
      </c>
      <c r="F281" s="64">
        <v>200702.99416000003</v>
      </c>
      <c r="G281" s="64">
        <v>193955.97932021794</v>
      </c>
      <c r="H281" s="40">
        <v>0.60055203010455749</v>
      </c>
      <c r="I281" s="40">
        <v>-3.3616911735772748E-2</v>
      </c>
      <c r="J281" s="40">
        <v>9.074997683874364E-2</v>
      </c>
    </row>
    <row r="282" spans="1:10" ht="11.25" customHeight="1" x14ac:dyDescent="0.2">
      <c r="A282" s="49">
        <v>44348</v>
      </c>
      <c r="B282" s="64">
        <v>0</v>
      </c>
      <c r="C282" s="64">
        <v>0</v>
      </c>
      <c r="D282" s="64">
        <v>3927.0357000000004</v>
      </c>
      <c r="E282" s="64">
        <v>6285.4249619280727</v>
      </c>
      <c r="F282" s="64">
        <v>16097.619600000002</v>
      </c>
      <c r="G282" s="64">
        <v>15556.467342750755</v>
      </c>
      <c r="H282" s="40">
        <v>0.60055203010455749</v>
      </c>
      <c r="I282" s="40">
        <v>-3.3616911735772859E-2</v>
      </c>
      <c r="J282" s="40">
        <v>9.074997683874364E-2</v>
      </c>
    </row>
    <row r="283" spans="1:10" ht="11.25" customHeight="1" x14ac:dyDescent="0.2">
      <c r="A283" s="49">
        <v>44378</v>
      </c>
      <c r="B283" s="64">
        <v>0</v>
      </c>
      <c r="C283" s="64">
        <v>0</v>
      </c>
      <c r="D283" s="64">
        <v>4176.9064400000007</v>
      </c>
      <c r="E283" s="64">
        <v>6685.3560820988005</v>
      </c>
      <c r="F283" s="64">
        <v>17121.884320000001</v>
      </c>
      <c r="G283" s="64">
        <v>16546.299446064448</v>
      </c>
      <c r="H283" s="40">
        <v>0.60055203010455727</v>
      </c>
      <c r="I283" s="40">
        <v>-3.3616911735772859E-2</v>
      </c>
      <c r="J283" s="40">
        <v>9.0749976838743418E-2</v>
      </c>
    </row>
    <row r="284" spans="1:10" ht="11.25" customHeight="1" x14ac:dyDescent="0.2">
      <c r="A284" s="49">
        <v>44409</v>
      </c>
      <c r="B284" s="64">
        <v>0</v>
      </c>
      <c r="C284" s="64">
        <v>0</v>
      </c>
      <c r="D284" s="64">
        <v>3990.9254700000001</v>
      </c>
      <c r="E284" s="64">
        <v>6387.6838630044858</v>
      </c>
      <c r="F284" s="64">
        <v>16359.515160000001</v>
      </c>
      <c r="G284" s="64">
        <v>15809.558782826243</v>
      </c>
      <c r="H284" s="40">
        <v>0.60055203010455749</v>
      </c>
      <c r="I284" s="40">
        <v>-3.3616911735772859E-2</v>
      </c>
      <c r="J284" s="40">
        <v>9.0749976838743862E-2</v>
      </c>
    </row>
    <row r="285" spans="1:10" ht="11.25" customHeight="1" x14ac:dyDescent="0.2">
      <c r="A285" s="49">
        <v>44440</v>
      </c>
      <c r="B285" s="64">
        <v>0</v>
      </c>
      <c r="C285" s="64">
        <v>0</v>
      </c>
      <c r="D285" s="64">
        <v>3586.3596300000004</v>
      </c>
      <c r="E285" s="64">
        <v>5740.155186481531</v>
      </c>
      <c r="F285" s="64">
        <v>14701.127640000001</v>
      </c>
      <c r="G285" s="64">
        <v>14206.92112970979</v>
      </c>
      <c r="H285" s="40">
        <v>0.60055203010455771</v>
      </c>
      <c r="I285" s="40">
        <v>-3.3616911735772859E-2</v>
      </c>
      <c r="J285" s="40">
        <v>9.074997683874364E-2</v>
      </c>
    </row>
    <row r="286" spans="1:10" ht="11.25" customHeight="1" x14ac:dyDescent="0.2">
      <c r="A286" s="49">
        <v>44470</v>
      </c>
      <c r="B286" s="64">
        <v>0</v>
      </c>
      <c r="C286" s="64">
        <v>0</v>
      </c>
      <c r="D286" s="64">
        <v>3588.0245100000002</v>
      </c>
      <c r="E286" s="64">
        <v>5742.8199135454106</v>
      </c>
      <c r="F286" s="64">
        <v>14707.95228</v>
      </c>
      <c r="G286" s="64">
        <v>14213.516346389282</v>
      </c>
      <c r="H286" s="40">
        <v>0.60055203010455749</v>
      </c>
      <c r="I286" s="40">
        <v>-3.3616911735772748E-2</v>
      </c>
      <c r="J286" s="40">
        <v>9.0749976838743862E-2</v>
      </c>
    </row>
    <row r="287" spans="1:10" ht="11.25" customHeight="1" x14ac:dyDescent="0.2">
      <c r="A287" s="49">
        <v>44501</v>
      </c>
      <c r="B287" s="64">
        <v>0</v>
      </c>
      <c r="C287" s="64">
        <v>0</v>
      </c>
      <c r="D287" s="64">
        <v>3874.8000900000006</v>
      </c>
      <c r="E287" s="64">
        <v>6201.8191502988229</v>
      </c>
      <c r="F287" s="64">
        <v>15883.496520000002</v>
      </c>
      <c r="G287" s="64">
        <v>15349.542419431707</v>
      </c>
      <c r="H287" s="40">
        <v>0.60055203010455749</v>
      </c>
      <c r="I287" s="40">
        <v>-3.3616911735772859E-2</v>
      </c>
      <c r="J287" s="40">
        <v>9.0749976838743418E-2</v>
      </c>
    </row>
    <row r="288" spans="1:10" ht="11.25" customHeight="1" x14ac:dyDescent="0.2">
      <c r="A288" s="49">
        <v>44531</v>
      </c>
      <c r="B288" s="64">
        <v>0</v>
      </c>
      <c r="C288" s="64">
        <v>0</v>
      </c>
      <c r="D288" s="64">
        <v>3784.4109800000001</v>
      </c>
      <c r="E288" s="64">
        <v>6057.1466767889788</v>
      </c>
      <c r="F288" s="64">
        <v>15512.97544</v>
      </c>
      <c r="G288" s="64">
        <v>14991.477113874309</v>
      </c>
      <c r="H288" s="40">
        <v>0.60055203010455771</v>
      </c>
      <c r="I288" s="40">
        <v>-3.3616911735772748E-2</v>
      </c>
      <c r="J288" s="40">
        <v>9.0749976838743862E-2</v>
      </c>
    </row>
    <row r="289" spans="1:10" ht="11.25" customHeight="1" x14ac:dyDescent="0.2">
      <c r="A289" s="49">
        <v>44562</v>
      </c>
      <c r="B289" s="64">
        <v>0</v>
      </c>
      <c r="C289" s="64">
        <v>0</v>
      </c>
      <c r="D289" s="64">
        <v>4052.0404400000002</v>
      </c>
      <c r="E289" s="64">
        <v>6485.5015523077645</v>
      </c>
      <c r="F289" s="64">
        <v>16610.036319999999</v>
      </c>
      <c r="G289" s="64">
        <v>16051.65819510258</v>
      </c>
      <c r="H289" s="40">
        <v>0.60055203010455749</v>
      </c>
      <c r="I289" s="40">
        <v>-3.3616911735772748E-2</v>
      </c>
      <c r="J289" s="40">
        <v>9.074997683874364E-2</v>
      </c>
    </row>
    <row r="290" spans="1:10" ht="11.25" customHeight="1" x14ac:dyDescent="0.2">
      <c r="A290" s="49">
        <v>44593</v>
      </c>
      <c r="B290" s="64">
        <v>0</v>
      </c>
      <c r="C290" s="64">
        <v>0</v>
      </c>
      <c r="D290" s="64">
        <v>4118.1500500000002</v>
      </c>
      <c r="E290" s="64">
        <v>6591.3134228026856</v>
      </c>
      <c r="F290" s="64">
        <v>16881.0314</v>
      </c>
      <c r="G290" s="64">
        <v>16313.543257417392</v>
      </c>
      <c r="H290" s="40">
        <v>0.60055203010455749</v>
      </c>
      <c r="I290" s="40">
        <v>-3.3616911735772748E-2</v>
      </c>
      <c r="J290" s="40">
        <v>9.074997683874364E-2</v>
      </c>
    </row>
    <row r="291" spans="1:10" ht="11.25" customHeight="1" x14ac:dyDescent="0.2">
      <c r="A291" s="49">
        <v>44621</v>
      </c>
      <c r="B291" s="64">
        <v>0</v>
      </c>
      <c r="C291" s="64">
        <v>0</v>
      </c>
      <c r="D291" s="64">
        <v>5153.9135200000001</v>
      </c>
      <c r="E291" s="64">
        <v>8249.106747419326</v>
      </c>
      <c r="F291" s="64">
        <v>21126.810560000002</v>
      </c>
      <c r="G291" s="64">
        <v>20416.592434146092</v>
      </c>
      <c r="H291" s="40">
        <v>0.60055203010455749</v>
      </c>
      <c r="I291" s="40">
        <v>-3.3616911735772637E-2</v>
      </c>
      <c r="J291" s="40">
        <v>9.0749976838743862E-2</v>
      </c>
    </row>
    <row r="292" spans="1:10" ht="11.25" customHeight="1" x14ac:dyDescent="0.2">
      <c r="A292" s="49">
        <v>44652</v>
      </c>
      <c r="B292" s="64">
        <v>0</v>
      </c>
      <c r="C292" s="64">
        <v>0</v>
      </c>
      <c r="D292" s="64">
        <v>3929.3249100000003</v>
      </c>
      <c r="E292" s="64">
        <v>6289.0889616409086</v>
      </c>
      <c r="F292" s="64">
        <v>16107.003480000001</v>
      </c>
      <c r="G292" s="64">
        <v>15565.535765685056</v>
      </c>
      <c r="H292" s="40">
        <v>0.60055203010455771</v>
      </c>
      <c r="I292" s="40">
        <v>-3.3616911735772859E-2</v>
      </c>
      <c r="J292" s="40">
        <v>9.074997683874364E-2</v>
      </c>
    </row>
    <row r="293" spans="1:10" ht="11.25" customHeight="1" x14ac:dyDescent="0.2">
      <c r="A293" s="49">
        <v>44682</v>
      </c>
      <c r="B293" s="64">
        <v>0</v>
      </c>
      <c r="C293" s="64">
        <v>0</v>
      </c>
      <c r="D293" s="64">
        <v>4779.8704800000005</v>
      </c>
      <c r="E293" s="64">
        <v>7650.4314004008465</v>
      </c>
      <c r="F293" s="64">
        <v>19593.541440000001</v>
      </c>
      <c r="G293" s="64">
        <v>18934.867086820312</v>
      </c>
      <c r="H293" s="40">
        <v>0.60055203010455749</v>
      </c>
      <c r="I293" s="40">
        <v>-3.361691173577297E-2</v>
      </c>
      <c r="J293" s="40">
        <v>9.074997683874364E-2</v>
      </c>
    </row>
    <row r="294" spans="1:10" ht="11.25" customHeight="1" x14ac:dyDescent="0.2">
      <c r="A294" s="48" t="s">
        <v>25</v>
      </c>
      <c r="B294" s="64">
        <v>93808.26</v>
      </c>
      <c r="C294" s="64">
        <v>119841.44215670877</v>
      </c>
      <c r="D294" s="64">
        <v>0</v>
      </c>
      <c r="E294" s="64">
        <v>0</v>
      </c>
      <c r="F294" s="64">
        <v>0</v>
      </c>
      <c r="G294" s="64">
        <v>0</v>
      </c>
      <c r="H294" s="40">
        <v>0.27751481753002105</v>
      </c>
      <c r="I294" s="40">
        <v>0</v>
      </c>
      <c r="J294" s="40">
        <v>0.27751481753002105</v>
      </c>
    </row>
    <row r="295" spans="1:10" ht="11.25" customHeight="1" x14ac:dyDescent="0.2">
      <c r="A295" s="49">
        <v>44348</v>
      </c>
      <c r="B295" s="64">
        <v>7886.7</v>
      </c>
      <c r="C295" s="64">
        <v>10075.376111414016</v>
      </c>
      <c r="D295" s="64">
        <v>0</v>
      </c>
      <c r="E295" s="64">
        <v>0</v>
      </c>
      <c r="F295" s="64">
        <v>0</v>
      </c>
      <c r="G295" s="64">
        <v>0</v>
      </c>
      <c r="H295" s="40">
        <v>0.27751481753002105</v>
      </c>
      <c r="I295" s="40">
        <v>0</v>
      </c>
      <c r="J295" s="40">
        <v>0.27751481753002105</v>
      </c>
    </row>
    <row r="296" spans="1:10" ht="11.25" customHeight="1" x14ac:dyDescent="0.2">
      <c r="A296" s="49">
        <v>44378</v>
      </c>
      <c r="B296" s="64">
        <v>7837.02</v>
      </c>
      <c r="C296" s="64">
        <v>10011.909175279125</v>
      </c>
      <c r="D296" s="64">
        <v>0</v>
      </c>
      <c r="E296" s="64">
        <v>0</v>
      </c>
      <c r="F296" s="64">
        <v>0</v>
      </c>
      <c r="G296" s="64">
        <v>0</v>
      </c>
      <c r="H296" s="40">
        <v>0.27751481753002083</v>
      </c>
      <c r="I296" s="40">
        <v>0</v>
      </c>
      <c r="J296" s="40">
        <v>0.27751481753002083</v>
      </c>
    </row>
    <row r="297" spans="1:10" ht="11.25" customHeight="1" x14ac:dyDescent="0.2">
      <c r="A297" s="49">
        <v>44409</v>
      </c>
      <c r="B297" s="64">
        <v>7663.14</v>
      </c>
      <c r="C297" s="64">
        <v>9789.7748988070052</v>
      </c>
      <c r="D297" s="64">
        <v>0</v>
      </c>
      <c r="E297" s="64">
        <v>0</v>
      </c>
      <c r="F297" s="64">
        <v>0</v>
      </c>
      <c r="G297" s="64">
        <v>0</v>
      </c>
      <c r="H297" s="40">
        <v>0.27751481753002105</v>
      </c>
      <c r="I297" s="40">
        <v>0</v>
      </c>
      <c r="J297" s="40">
        <v>0.27751481753002105</v>
      </c>
    </row>
    <row r="298" spans="1:10" ht="11.25" customHeight="1" x14ac:dyDescent="0.2">
      <c r="A298" s="49">
        <v>44440</v>
      </c>
      <c r="B298" s="64">
        <v>7638.3</v>
      </c>
      <c r="C298" s="64">
        <v>9758.0414307395586</v>
      </c>
      <c r="D298" s="64">
        <v>0</v>
      </c>
      <c r="E298" s="64">
        <v>0</v>
      </c>
      <c r="F298" s="64">
        <v>0</v>
      </c>
      <c r="G298" s="64">
        <v>0</v>
      </c>
      <c r="H298" s="40">
        <v>0.27751481753002083</v>
      </c>
      <c r="I298" s="40">
        <v>0</v>
      </c>
      <c r="J298" s="40">
        <v>0.27751481753002083</v>
      </c>
    </row>
    <row r="299" spans="1:10" ht="11.25" customHeight="1" x14ac:dyDescent="0.2">
      <c r="A299" s="49">
        <v>44470</v>
      </c>
      <c r="B299" s="64">
        <v>7638.3</v>
      </c>
      <c r="C299" s="64">
        <v>9758.0414307395586</v>
      </c>
      <c r="D299" s="64">
        <v>0</v>
      </c>
      <c r="E299" s="64">
        <v>0</v>
      </c>
      <c r="F299" s="64">
        <v>0</v>
      </c>
      <c r="G299" s="64">
        <v>0</v>
      </c>
      <c r="H299" s="40">
        <v>0.27751481753002083</v>
      </c>
      <c r="I299" s="40">
        <v>0</v>
      </c>
      <c r="J299" s="40">
        <v>0.27751481753002083</v>
      </c>
    </row>
    <row r="300" spans="1:10" ht="11.25" customHeight="1" x14ac:dyDescent="0.2">
      <c r="A300" s="49">
        <v>44501</v>
      </c>
      <c r="B300" s="64">
        <v>7799.76</v>
      </c>
      <c r="C300" s="64">
        <v>9964.3089731779564</v>
      </c>
      <c r="D300" s="64">
        <v>0</v>
      </c>
      <c r="E300" s="64">
        <v>0</v>
      </c>
      <c r="F300" s="64">
        <v>0</v>
      </c>
      <c r="G300" s="64">
        <v>0</v>
      </c>
      <c r="H300" s="40">
        <v>0.27751481753002105</v>
      </c>
      <c r="I300" s="40">
        <v>0</v>
      </c>
      <c r="J300" s="40">
        <v>0.27751481753002105</v>
      </c>
    </row>
    <row r="301" spans="1:10" ht="11.25" customHeight="1" x14ac:dyDescent="0.2">
      <c r="A301" s="49">
        <v>44531</v>
      </c>
      <c r="B301" s="64">
        <v>8035.74</v>
      </c>
      <c r="C301" s="64">
        <v>10265.776919818691</v>
      </c>
      <c r="D301" s="64">
        <v>0</v>
      </c>
      <c r="E301" s="64">
        <v>0</v>
      </c>
      <c r="F301" s="64">
        <v>0</v>
      </c>
      <c r="G301" s="64">
        <v>0</v>
      </c>
      <c r="H301" s="40">
        <v>0.27751481753002105</v>
      </c>
      <c r="I301" s="40">
        <v>0</v>
      </c>
      <c r="J301" s="40">
        <v>0.27751481753002105</v>
      </c>
    </row>
    <row r="302" spans="1:10" ht="11.25" customHeight="1" x14ac:dyDescent="0.2">
      <c r="A302" s="49">
        <v>44562</v>
      </c>
      <c r="B302" s="64">
        <v>7936.38</v>
      </c>
      <c r="C302" s="64">
        <v>10138.843047548908</v>
      </c>
      <c r="D302" s="64">
        <v>0</v>
      </c>
      <c r="E302" s="64">
        <v>0</v>
      </c>
      <c r="F302" s="64">
        <v>0</v>
      </c>
      <c r="G302" s="64">
        <v>0</v>
      </c>
      <c r="H302" s="40">
        <v>0.27751481753002083</v>
      </c>
      <c r="I302" s="40">
        <v>0</v>
      </c>
      <c r="J302" s="40">
        <v>0.27751481753002083</v>
      </c>
    </row>
    <row r="303" spans="1:10" ht="11.25" customHeight="1" x14ac:dyDescent="0.2">
      <c r="A303" s="49">
        <v>44593</v>
      </c>
      <c r="B303" s="64">
        <v>7576.2</v>
      </c>
      <c r="C303" s="64">
        <v>9678.7077605709437</v>
      </c>
      <c r="D303" s="64">
        <v>0</v>
      </c>
      <c r="E303" s="64">
        <v>0</v>
      </c>
      <c r="F303" s="64">
        <v>0</v>
      </c>
      <c r="G303" s="64">
        <v>0</v>
      </c>
      <c r="H303" s="40">
        <v>0.27751481753002083</v>
      </c>
      <c r="I303" s="40">
        <v>0</v>
      </c>
      <c r="J303" s="40">
        <v>0.27751481753002083</v>
      </c>
    </row>
    <row r="304" spans="1:10" ht="11.25" customHeight="1" x14ac:dyDescent="0.2">
      <c r="A304" s="49">
        <v>44621</v>
      </c>
      <c r="B304" s="64">
        <v>8308.98</v>
      </c>
      <c r="C304" s="64">
        <v>10614.845068560593</v>
      </c>
      <c r="D304" s="64">
        <v>0</v>
      </c>
      <c r="E304" s="64">
        <v>0</v>
      </c>
      <c r="F304" s="64">
        <v>0</v>
      </c>
      <c r="G304" s="64">
        <v>0</v>
      </c>
      <c r="H304" s="40">
        <v>0.27751481753002105</v>
      </c>
      <c r="I304" s="40">
        <v>0</v>
      </c>
      <c r="J304" s="40">
        <v>0.27751481753002105</v>
      </c>
    </row>
    <row r="305" spans="1:10" ht="11.25" customHeight="1" x14ac:dyDescent="0.2">
      <c r="A305" s="49">
        <v>44652</v>
      </c>
      <c r="B305" s="64">
        <v>7638.3</v>
      </c>
      <c r="C305" s="64">
        <v>9758.0414307395586</v>
      </c>
      <c r="D305" s="64">
        <v>0</v>
      </c>
      <c r="E305" s="64">
        <v>0</v>
      </c>
      <c r="F305" s="64">
        <v>0</v>
      </c>
      <c r="G305" s="64">
        <v>0</v>
      </c>
      <c r="H305" s="40">
        <v>0.27751481753002083</v>
      </c>
      <c r="I305" s="40">
        <v>0</v>
      </c>
      <c r="J305" s="40">
        <v>0.27751481753002083</v>
      </c>
    </row>
    <row r="306" spans="1:10" ht="11.25" customHeight="1" x14ac:dyDescent="0.2">
      <c r="A306" s="49">
        <v>44682</v>
      </c>
      <c r="B306" s="64">
        <v>7849.4400000000005</v>
      </c>
      <c r="C306" s="64">
        <v>10027.775909312846</v>
      </c>
      <c r="D306" s="64">
        <v>0</v>
      </c>
      <c r="E306" s="64">
        <v>0</v>
      </c>
      <c r="F306" s="64">
        <v>0</v>
      </c>
      <c r="G306" s="64">
        <v>0</v>
      </c>
      <c r="H306" s="40">
        <v>0.27751481753002061</v>
      </c>
      <c r="I306" s="40">
        <v>0</v>
      </c>
      <c r="J306" s="40">
        <v>0.27751481753002061</v>
      </c>
    </row>
    <row r="307" spans="1:10" ht="11.25" customHeight="1" x14ac:dyDescent="0.2">
      <c r="A307" s="48" t="s">
        <v>37</v>
      </c>
      <c r="B307" s="64">
        <v>0</v>
      </c>
      <c r="C307" s="64">
        <v>0</v>
      </c>
      <c r="D307" s="64">
        <v>50589.138599999998</v>
      </c>
      <c r="E307" s="64">
        <v>66618.368273207263</v>
      </c>
      <c r="F307" s="64">
        <v>27321.294000000002</v>
      </c>
      <c r="G307" s="64">
        <v>25859.216780134575</v>
      </c>
      <c r="H307" s="40">
        <v>0.31685120792326082</v>
      </c>
      <c r="I307" s="40">
        <v>-5.3514201042799359E-2</v>
      </c>
      <c r="J307" s="40">
        <v>0.1869730659580735</v>
      </c>
    </row>
    <row r="308" spans="1:10" ht="11.25" customHeight="1" x14ac:dyDescent="0.2">
      <c r="A308" s="49">
        <v>44348</v>
      </c>
      <c r="B308" s="64">
        <v>0</v>
      </c>
      <c r="C308" s="64">
        <v>0</v>
      </c>
      <c r="D308" s="64">
        <v>3763.4410800000001</v>
      </c>
      <c r="E308" s="64">
        <v>4955.8919321460216</v>
      </c>
      <c r="F308" s="64">
        <v>2032.4932000000001</v>
      </c>
      <c r="G308" s="64">
        <v>1923.7259502770776</v>
      </c>
      <c r="H308" s="40">
        <v>0.31685120792326082</v>
      </c>
      <c r="I308" s="40">
        <v>-5.3514201042799359E-2</v>
      </c>
      <c r="J308" s="40">
        <v>0.1869730659580735</v>
      </c>
    </row>
    <row r="309" spans="1:10" ht="11.25" customHeight="1" x14ac:dyDescent="0.2">
      <c r="A309" s="49">
        <v>44378</v>
      </c>
      <c r="B309" s="64">
        <v>0</v>
      </c>
      <c r="C309" s="64">
        <v>0</v>
      </c>
      <c r="D309" s="64">
        <v>3975.7031999999999</v>
      </c>
      <c r="E309" s="64">
        <v>5235.4095612643741</v>
      </c>
      <c r="F309" s="64">
        <v>2147.1280000000002</v>
      </c>
      <c r="G309" s="64">
        <v>2032.2261605433766</v>
      </c>
      <c r="H309" s="40">
        <v>0.31685120792326105</v>
      </c>
      <c r="I309" s="40">
        <v>-5.3514201042799248E-2</v>
      </c>
      <c r="J309" s="40">
        <v>0.1869730659580735</v>
      </c>
    </row>
    <row r="310" spans="1:10" ht="11.25" customHeight="1" x14ac:dyDescent="0.2">
      <c r="A310" s="49">
        <v>44409</v>
      </c>
      <c r="B310" s="64">
        <v>0</v>
      </c>
      <c r="C310" s="64">
        <v>0</v>
      </c>
      <c r="D310" s="64">
        <v>3909.1607099999997</v>
      </c>
      <c r="E310" s="64">
        <v>5147.783002929651</v>
      </c>
      <c r="F310" s="64">
        <v>2111.1909000000001</v>
      </c>
      <c r="G310" s="64">
        <v>1998.2122057376716</v>
      </c>
      <c r="H310" s="40">
        <v>0.31685120792326082</v>
      </c>
      <c r="I310" s="40">
        <v>-5.3514201042799359E-2</v>
      </c>
      <c r="J310" s="40">
        <v>0.18697306595807328</v>
      </c>
    </row>
    <row r="311" spans="1:10" ht="11.25" customHeight="1" x14ac:dyDescent="0.2">
      <c r="A311" s="49">
        <v>44440</v>
      </c>
      <c r="B311" s="64">
        <v>0</v>
      </c>
      <c r="C311" s="64">
        <v>0</v>
      </c>
      <c r="D311" s="64">
        <v>3637.09458</v>
      </c>
      <c r="E311" s="64">
        <v>4789.5123910041448</v>
      </c>
      <c r="F311" s="64">
        <v>1964.2582</v>
      </c>
      <c r="G311" s="64">
        <v>1859.142491785233</v>
      </c>
      <c r="H311" s="40">
        <v>0.31685120792326082</v>
      </c>
      <c r="I311" s="40">
        <v>-5.3514201042799248E-2</v>
      </c>
      <c r="J311" s="40">
        <v>0.18697306595807328</v>
      </c>
    </row>
    <row r="312" spans="1:10" ht="11.25" customHeight="1" x14ac:dyDescent="0.2">
      <c r="A312" s="49">
        <v>44470</v>
      </c>
      <c r="B312" s="64">
        <v>0</v>
      </c>
      <c r="C312" s="64">
        <v>0</v>
      </c>
      <c r="D312" s="64">
        <v>3459.36717</v>
      </c>
      <c r="E312" s="64">
        <v>4555.4718364645723</v>
      </c>
      <c r="F312" s="64">
        <v>1868.2742999999998</v>
      </c>
      <c r="G312" s="64">
        <v>1768.2950935067049</v>
      </c>
      <c r="H312" s="40">
        <v>0.31685120792326082</v>
      </c>
      <c r="I312" s="40">
        <v>-5.3514201042799137E-2</v>
      </c>
      <c r="J312" s="40">
        <v>0.1869730659580735</v>
      </c>
    </row>
    <row r="313" spans="1:10" ht="11.25" customHeight="1" x14ac:dyDescent="0.2">
      <c r="A313" s="49">
        <v>44501</v>
      </c>
      <c r="B313" s="64">
        <v>0</v>
      </c>
      <c r="C313" s="64">
        <v>0</v>
      </c>
      <c r="D313" s="64">
        <v>3849.3567000000003</v>
      </c>
      <c r="E313" s="64">
        <v>5069.0300201224973</v>
      </c>
      <c r="F313" s="64">
        <v>2078.893</v>
      </c>
      <c r="G313" s="64">
        <v>1967.6427020515321</v>
      </c>
      <c r="H313" s="40">
        <v>0.31685120792326082</v>
      </c>
      <c r="I313" s="40">
        <v>-5.3514201042799248E-2</v>
      </c>
      <c r="J313" s="40">
        <v>0.1869730659580735</v>
      </c>
    </row>
    <row r="314" spans="1:10" ht="11.25" customHeight="1" x14ac:dyDescent="0.2">
      <c r="A314" s="49">
        <v>44531</v>
      </c>
      <c r="B314" s="64">
        <v>0</v>
      </c>
      <c r="C314" s="64">
        <v>0</v>
      </c>
      <c r="D314" s="64">
        <v>4274.72325</v>
      </c>
      <c r="E314" s="64">
        <v>5629.1744753001467</v>
      </c>
      <c r="F314" s="64">
        <v>2308.6174999999998</v>
      </c>
      <c r="G314" s="64">
        <v>2185.0736789740754</v>
      </c>
      <c r="H314" s="40">
        <v>0.3168512079232606</v>
      </c>
      <c r="I314" s="40">
        <v>-5.3514201042799137E-2</v>
      </c>
      <c r="J314" s="40">
        <v>0.1869730659580735</v>
      </c>
    </row>
    <row r="315" spans="1:10" ht="11.25" customHeight="1" x14ac:dyDescent="0.2">
      <c r="A315" s="49">
        <v>44562</v>
      </c>
      <c r="B315" s="64">
        <v>0</v>
      </c>
      <c r="C315" s="64">
        <v>0</v>
      </c>
      <c r="D315" s="64">
        <v>3941.1684899999996</v>
      </c>
      <c r="E315" s="64">
        <v>5189.9324866855932</v>
      </c>
      <c r="F315" s="64">
        <v>2128.4770999999996</v>
      </c>
      <c r="G315" s="64">
        <v>2014.5733485556054</v>
      </c>
      <c r="H315" s="40">
        <v>0.31685120792326082</v>
      </c>
      <c r="I315" s="40">
        <v>-5.3514201042799137E-2</v>
      </c>
      <c r="J315" s="40">
        <v>0.1869730659580735</v>
      </c>
    </row>
    <row r="316" spans="1:10" ht="11.25" customHeight="1" x14ac:dyDescent="0.2">
      <c r="A316" s="49">
        <v>44593</v>
      </c>
      <c r="B316" s="64">
        <v>0</v>
      </c>
      <c r="C316" s="64">
        <v>0</v>
      </c>
      <c r="D316" s="64">
        <v>3676.6831499999998</v>
      </c>
      <c r="E316" s="64">
        <v>4841.6446472285998</v>
      </c>
      <c r="F316" s="64">
        <v>1985.6385</v>
      </c>
      <c r="G316" s="64">
        <v>1879.3786421126777</v>
      </c>
      <c r="H316" s="40">
        <v>0.31685120792326082</v>
      </c>
      <c r="I316" s="40">
        <v>-5.3514201042799248E-2</v>
      </c>
      <c r="J316" s="40">
        <v>0.1869730659580735</v>
      </c>
    </row>
    <row r="317" spans="1:10" ht="11.25" customHeight="1" x14ac:dyDescent="0.2">
      <c r="A317" s="49">
        <v>44621</v>
      </c>
      <c r="B317" s="64">
        <v>0</v>
      </c>
      <c r="C317" s="64">
        <v>0</v>
      </c>
      <c r="D317" s="64">
        <v>5603.04612</v>
      </c>
      <c r="E317" s="64">
        <v>7378.3780511717396</v>
      </c>
      <c r="F317" s="64">
        <v>3025.9947999999999</v>
      </c>
      <c r="G317" s="64">
        <v>2864.0611059183348</v>
      </c>
      <c r="H317" s="40">
        <v>0.31685120792326082</v>
      </c>
      <c r="I317" s="40">
        <v>-5.3514201042799248E-2</v>
      </c>
      <c r="J317" s="40">
        <v>0.18697306595807328</v>
      </c>
    </row>
    <row r="318" spans="1:10" ht="11.25" customHeight="1" x14ac:dyDescent="0.2">
      <c r="A318" s="49">
        <v>44652</v>
      </c>
      <c r="B318" s="64">
        <v>0</v>
      </c>
      <c r="C318" s="64">
        <v>0</v>
      </c>
      <c r="D318" s="64">
        <v>4597.32798</v>
      </c>
      <c r="E318" s="64">
        <v>6053.9969036824041</v>
      </c>
      <c r="F318" s="64">
        <v>2482.8441999999995</v>
      </c>
      <c r="G318" s="64">
        <v>2349.9767763232517</v>
      </c>
      <c r="H318" s="40">
        <v>0.3168512079232606</v>
      </c>
      <c r="I318" s="40">
        <v>-5.3514201042799137E-2</v>
      </c>
      <c r="J318" s="40">
        <v>0.1869730659580735</v>
      </c>
    </row>
    <row r="319" spans="1:10" ht="11.25" customHeight="1" x14ac:dyDescent="0.2">
      <c r="A319" s="49">
        <v>44682</v>
      </c>
      <c r="B319" s="64">
        <v>0</v>
      </c>
      <c r="C319" s="64">
        <v>0</v>
      </c>
      <c r="D319" s="64">
        <v>5902.0661699999991</v>
      </c>
      <c r="E319" s="64">
        <v>7772.142965207513</v>
      </c>
      <c r="F319" s="64">
        <v>3187.4842999999996</v>
      </c>
      <c r="G319" s="64">
        <v>3016.9086243490337</v>
      </c>
      <c r="H319" s="40">
        <v>0.31685120792326082</v>
      </c>
      <c r="I319" s="40">
        <v>-5.3514201042799137E-2</v>
      </c>
      <c r="J319" s="40">
        <v>0.18697306595807373</v>
      </c>
    </row>
    <row r="320" spans="1:10" ht="11.25" customHeight="1" x14ac:dyDescent="0.2">
      <c r="A320" s="44" t="s">
        <v>24</v>
      </c>
      <c r="B320" s="64">
        <v>4471.2</v>
      </c>
      <c r="C320" s="64">
        <v>5712.0242521402288</v>
      </c>
      <c r="D320" s="64">
        <v>2123.55843</v>
      </c>
      <c r="E320" s="64">
        <v>3126.6857151557369</v>
      </c>
      <c r="F320" s="64">
        <v>5290.2606200000009</v>
      </c>
      <c r="G320" s="64">
        <v>5102.1089912825601</v>
      </c>
      <c r="H320" s="40">
        <v>0.34026288621704182</v>
      </c>
      <c r="I320" s="40">
        <v>-3.5565663439363959E-2</v>
      </c>
      <c r="J320" s="40">
        <v>0.17297405245459196</v>
      </c>
    </row>
    <row r="321" spans="1:10" ht="11.25" customHeight="1" x14ac:dyDescent="0.2">
      <c r="A321" s="45" t="s">
        <v>24</v>
      </c>
      <c r="B321" s="64">
        <v>4471.2</v>
      </c>
      <c r="C321" s="64">
        <v>5712.0242521402288</v>
      </c>
      <c r="D321" s="64">
        <v>2123.55843</v>
      </c>
      <c r="E321" s="64">
        <v>3126.6857151557369</v>
      </c>
      <c r="F321" s="64">
        <v>5290.2606200000009</v>
      </c>
      <c r="G321" s="64">
        <v>5102.1089912825601</v>
      </c>
      <c r="H321" s="40">
        <v>0.34026288621704182</v>
      </c>
      <c r="I321" s="40">
        <v>-3.5565663439363959E-2</v>
      </c>
      <c r="J321" s="40">
        <v>0.17297405245459196</v>
      </c>
    </row>
    <row r="322" spans="1:10" ht="11.25" customHeight="1" x14ac:dyDescent="0.2">
      <c r="A322" s="46" t="s">
        <v>25</v>
      </c>
      <c r="B322" s="64">
        <v>4471.2</v>
      </c>
      <c r="C322" s="64">
        <v>5712.0242521402288</v>
      </c>
      <c r="D322" s="64">
        <v>2123.55843</v>
      </c>
      <c r="E322" s="64">
        <v>3126.6857151557369</v>
      </c>
      <c r="F322" s="64">
        <v>5290.2606200000009</v>
      </c>
      <c r="G322" s="64">
        <v>5102.1089912825601</v>
      </c>
      <c r="H322" s="40">
        <v>0.34026288621704182</v>
      </c>
      <c r="I322" s="40">
        <v>-3.5565663439363959E-2</v>
      </c>
      <c r="J322" s="40">
        <v>0.17297405245459196</v>
      </c>
    </row>
    <row r="323" spans="1:10" ht="11.25" customHeight="1" x14ac:dyDescent="0.2">
      <c r="A323" s="47" t="s">
        <v>25</v>
      </c>
      <c r="B323" s="64">
        <v>4471.2</v>
      </c>
      <c r="C323" s="64">
        <v>5712.0242521402288</v>
      </c>
      <c r="D323" s="64">
        <v>2123.55843</v>
      </c>
      <c r="E323" s="64">
        <v>3126.6857151557369</v>
      </c>
      <c r="F323" s="64">
        <v>5290.2606200000009</v>
      </c>
      <c r="G323" s="64">
        <v>5102.1089912825601</v>
      </c>
      <c r="H323" s="40">
        <v>0.34026288621704182</v>
      </c>
      <c r="I323" s="40">
        <v>-3.5565663439363959E-2</v>
      </c>
      <c r="J323" s="40">
        <v>0.17297405245459196</v>
      </c>
    </row>
    <row r="324" spans="1:10" ht="11.25" customHeight="1" x14ac:dyDescent="0.2">
      <c r="A324" s="48" t="s">
        <v>35</v>
      </c>
      <c r="B324" s="64">
        <v>0</v>
      </c>
      <c r="C324" s="64">
        <v>0</v>
      </c>
      <c r="D324" s="64">
        <v>1164.16734</v>
      </c>
      <c r="E324" s="64">
        <v>1863.310399418423</v>
      </c>
      <c r="F324" s="64">
        <v>4772.1295200000004</v>
      </c>
      <c r="G324" s="64">
        <v>4611.705263134485</v>
      </c>
      <c r="H324" s="40">
        <v>0.60055203010455793</v>
      </c>
      <c r="I324" s="40">
        <v>-3.3616911735772748E-2</v>
      </c>
      <c r="J324" s="40">
        <v>9.0749976838743862E-2</v>
      </c>
    </row>
    <row r="325" spans="1:10" ht="11.25" customHeight="1" x14ac:dyDescent="0.2">
      <c r="A325" s="49">
        <v>44348</v>
      </c>
      <c r="B325" s="64">
        <v>0</v>
      </c>
      <c r="C325" s="64">
        <v>0</v>
      </c>
      <c r="D325" s="64">
        <v>81.024159999999995</v>
      </c>
      <c r="E325" s="64">
        <v>129.68338377551649</v>
      </c>
      <c r="F325" s="64">
        <v>332.13247999999999</v>
      </c>
      <c r="G325" s="64">
        <v>320.96721173525668</v>
      </c>
      <c r="H325" s="40">
        <v>0.60055203010455771</v>
      </c>
      <c r="I325" s="40">
        <v>-3.3616911735772748E-2</v>
      </c>
      <c r="J325" s="40">
        <v>9.0749976838743862E-2</v>
      </c>
    </row>
    <row r="326" spans="1:10" ht="11.25" customHeight="1" x14ac:dyDescent="0.2">
      <c r="A326" s="49">
        <v>44378</v>
      </c>
      <c r="B326" s="64">
        <v>0</v>
      </c>
      <c r="C326" s="64">
        <v>0</v>
      </c>
      <c r="D326" s="64">
        <v>91.845880000000008</v>
      </c>
      <c r="E326" s="64">
        <v>147.0041096907396</v>
      </c>
      <c r="F326" s="64">
        <v>376.49264000000005</v>
      </c>
      <c r="G326" s="64">
        <v>363.83612015195195</v>
      </c>
      <c r="H326" s="40">
        <v>0.60055203010455749</v>
      </c>
      <c r="I326" s="40">
        <v>-3.3616911735772859E-2</v>
      </c>
      <c r="J326" s="40">
        <v>9.074997683874364E-2</v>
      </c>
    </row>
    <row r="327" spans="1:10" ht="11.25" customHeight="1" x14ac:dyDescent="0.2">
      <c r="A327" s="49">
        <v>44409</v>
      </c>
      <c r="B327" s="64">
        <v>0</v>
      </c>
      <c r="C327" s="64">
        <v>0</v>
      </c>
      <c r="D327" s="64">
        <v>85.533210000000011</v>
      </c>
      <c r="E327" s="64">
        <v>136.90035290685947</v>
      </c>
      <c r="F327" s="64">
        <v>350.61588000000006</v>
      </c>
      <c r="G327" s="64">
        <v>338.82925690887976</v>
      </c>
      <c r="H327" s="40">
        <v>0.60055203010455771</v>
      </c>
      <c r="I327" s="40">
        <v>-3.3616911735772748E-2</v>
      </c>
      <c r="J327" s="40">
        <v>9.074997683874364E-2</v>
      </c>
    </row>
    <row r="328" spans="1:10" ht="11.25" customHeight="1" x14ac:dyDescent="0.2">
      <c r="A328" s="49">
        <v>44440</v>
      </c>
      <c r="B328" s="64">
        <v>0</v>
      </c>
      <c r="C328" s="64">
        <v>0</v>
      </c>
      <c r="D328" s="64">
        <v>96.077450000000013</v>
      </c>
      <c r="E328" s="64">
        <v>153.77695764476914</v>
      </c>
      <c r="F328" s="64">
        <v>393.83860000000004</v>
      </c>
      <c r="G328" s="64">
        <v>380.59896254565973</v>
      </c>
      <c r="H328" s="40">
        <v>0.60055203010455749</v>
      </c>
      <c r="I328" s="40">
        <v>-3.3616911735772748E-2</v>
      </c>
      <c r="J328" s="40">
        <v>9.074997683874364E-2</v>
      </c>
    </row>
    <row r="329" spans="1:10" ht="11.25" customHeight="1" x14ac:dyDescent="0.2">
      <c r="A329" s="49">
        <v>44470</v>
      </c>
      <c r="B329" s="64">
        <v>0</v>
      </c>
      <c r="C329" s="64">
        <v>0</v>
      </c>
      <c r="D329" s="64">
        <v>92.400840000000017</v>
      </c>
      <c r="E329" s="64">
        <v>147.89235204536644</v>
      </c>
      <c r="F329" s="64">
        <v>378.76752000000005</v>
      </c>
      <c r="G329" s="64">
        <v>366.03452571178252</v>
      </c>
      <c r="H329" s="40">
        <v>0.60055203010455771</v>
      </c>
      <c r="I329" s="40">
        <v>-3.3616911735772748E-2</v>
      </c>
      <c r="J329" s="40">
        <v>9.0749976838743862E-2</v>
      </c>
    </row>
    <row r="330" spans="1:10" ht="11.25" customHeight="1" x14ac:dyDescent="0.2">
      <c r="A330" s="49">
        <v>44501</v>
      </c>
      <c r="B330" s="64">
        <v>0</v>
      </c>
      <c r="C330" s="64">
        <v>0</v>
      </c>
      <c r="D330" s="64">
        <v>92.053989999999999</v>
      </c>
      <c r="E330" s="64">
        <v>147.33720057372466</v>
      </c>
      <c r="F330" s="64">
        <v>377.34572000000003</v>
      </c>
      <c r="G330" s="64">
        <v>364.66052223688837</v>
      </c>
      <c r="H330" s="40">
        <v>0.60055203010455771</v>
      </c>
      <c r="I330" s="40">
        <v>-3.3616911735772859E-2</v>
      </c>
      <c r="J330" s="40">
        <v>9.074997683874364E-2</v>
      </c>
    </row>
    <row r="331" spans="1:10" ht="11.25" customHeight="1" x14ac:dyDescent="0.2">
      <c r="A331" s="49">
        <v>44531</v>
      </c>
      <c r="B331" s="64">
        <v>0</v>
      </c>
      <c r="C331" s="64">
        <v>0</v>
      </c>
      <c r="D331" s="64">
        <v>165.72493</v>
      </c>
      <c r="E331" s="64">
        <v>265.25137315043571</v>
      </c>
      <c r="F331" s="64">
        <v>679.33604000000003</v>
      </c>
      <c r="G331" s="64">
        <v>656.49886030439063</v>
      </c>
      <c r="H331" s="40">
        <v>0.60055203010455771</v>
      </c>
      <c r="I331" s="40">
        <v>-3.3616911735772748E-2</v>
      </c>
      <c r="J331" s="40">
        <v>9.0749976838743862E-2</v>
      </c>
    </row>
    <row r="332" spans="1:10" ht="11.25" customHeight="1" x14ac:dyDescent="0.2">
      <c r="A332" s="49">
        <v>44562</v>
      </c>
      <c r="B332" s="64">
        <v>0</v>
      </c>
      <c r="C332" s="64">
        <v>0</v>
      </c>
      <c r="D332" s="64">
        <v>99.129730000000009</v>
      </c>
      <c r="E332" s="64">
        <v>158.66229059521669</v>
      </c>
      <c r="F332" s="64">
        <v>406.35044000000005</v>
      </c>
      <c r="G332" s="64">
        <v>392.69019312472761</v>
      </c>
      <c r="H332" s="40">
        <v>0.60055203010455771</v>
      </c>
      <c r="I332" s="40">
        <v>-3.3616911735772748E-2</v>
      </c>
      <c r="J332" s="40">
        <v>9.0749976838743862E-2</v>
      </c>
    </row>
    <row r="333" spans="1:10" ht="11.25" customHeight="1" x14ac:dyDescent="0.2">
      <c r="A333" s="49">
        <v>44593</v>
      </c>
      <c r="B333" s="64">
        <v>0</v>
      </c>
      <c r="C333" s="64">
        <v>0</v>
      </c>
      <c r="D333" s="64">
        <v>114.66861000000002</v>
      </c>
      <c r="E333" s="64">
        <v>183.53307652476778</v>
      </c>
      <c r="F333" s="64">
        <v>470.04708000000005</v>
      </c>
      <c r="G333" s="64">
        <v>454.24554879998232</v>
      </c>
      <c r="H333" s="40">
        <v>0.60055203010455749</v>
      </c>
      <c r="I333" s="40">
        <v>-3.3616911735772748E-2</v>
      </c>
      <c r="J333" s="40">
        <v>9.074997683874364E-2</v>
      </c>
    </row>
    <row r="334" spans="1:10" ht="11.25" customHeight="1" x14ac:dyDescent="0.2">
      <c r="A334" s="49">
        <v>44621</v>
      </c>
      <c r="B334" s="64">
        <v>0</v>
      </c>
      <c r="C334" s="64">
        <v>0</v>
      </c>
      <c r="D334" s="64">
        <v>86.643130000000014</v>
      </c>
      <c r="E334" s="64">
        <v>138.67683761611312</v>
      </c>
      <c r="F334" s="64">
        <v>355.16564000000005</v>
      </c>
      <c r="G334" s="64">
        <v>343.22606802854079</v>
      </c>
      <c r="H334" s="40">
        <v>0.60055203010455749</v>
      </c>
      <c r="I334" s="40">
        <v>-3.3616911735772748E-2</v>
      </c>
      <c r="J334" s="40">
        <v>9.074997683874364E-2</v>
      </c>
    </row>
    <row r="335" spans="1:10" ht="11.25" customHeight="1" x14ac:dyDescent="0.2">
      <c r="A335" s="49">
        <v>44652</v>
      </c>
      <c r="B335" s="64">
        <v>0</v>
      </c>
      <c r="C335" s="64">
        <v>0</v>
      </c>
      <c r="D335" s="64">
        <v>85.949430000000007</v>
      </c>
      <c r="E335" s="64">
        <v>137.56653467282959</v>
      </c>
      <c r="F335" s="64">
        <v>352.32204000000007</v>
      </c>
      <c r="G335" s="64">
        <v>340.47806107875266</v>
      </c>
      <c r="H335" s="40">
        <v>0.60055203010455771</v>
      </c>
      <c r="I335" s="40">
        <v>-3.3616911735772748E-2</v>
      </c>
      <c r="J335" s="40">
        <v>9.0749976838743862E-2</v>
      </c>
    </row>
    <row r="336" spans="1:10" ht="11.25" customHeight="1" x14ac:dyDescent="0.2">
      <c r="A336" s="49">
        <v>44682</v>
      </c>
      <c r="B336" s="64">
        <v>0</v>
      </c>
      <c r="C336" s="64">
        <v>0</v>
      </c>
      <c r="D336" s="64">
        <v>73.115980000000008</v>
      </c>
      <c r="E336" s="64">
        <v>117.02593022208424</v>
      </c>
      <c r="F336" s="64">
        <v>299.71544</v>
      </c>
      <c r="G336" s="64">
        <v>289.63993250767174</v>
      </c>
      <c r="H336" s="40">
        <v>0.60055203010455749</v>
      </c>
      <c r="I336" s="40">
        <v>-3.3616911735772637E-2</v>
      </c>
      <c r="J336" s="40">
        <v>9.0749976838743862E-2</v>
      </c>
    </row>
    <row r="337" spans="1:10" ht="11.25" customHeight="1" x14ac:dyDescent="0.2">
      <c r="A337" s="48" t="s">
        <v>25</v>
      </c>
      <c r="B337" s="64">
        <v>4471.2</v>
      </c>
      <c r="C337" s="64">
        <v>5712.0242521402288</v>
      </c>
      <c r="D337" s="64">
        <v>0</v>
      </c>
      <c r="E337" s="64">
        <v>0</v>
      </c>
      <c r="F337" s="64">
        <v>0</v>
      </c>
      <c r="G337" s="64">
        <v>0</v>
      </c>
      <c r="H337" s="40">
        <v>0.27751481753002083</v>
      </c>
      <c r="I337" s="40">
        <v>0</v>
      </c>
      <c r="J337" s="40">
        <v>0.27751481753002083</v>
      </c>
    </row>
    <row r="338" spans="1:10" ht="11.25" customHeight="1" x14ac:dyDescent="0.2">
      <c r="A338" s="49">
        <v>44348</v>
      </c>
      <c r="B338" s="64">
        <v>372.6</v>
      </c>
      <c r="C338" s="64">
        <v>476.00202101168577</v>
      </c>
      <c r="D338" s="64">
        <v>0</v>
      </c>
      <c r="E338" s="64">
        <v>0</v>
      </c>
      <c r="F338" s="64">
        <v>0</v>
      </c>
      <c r="G338" s="64">
        <v>0</v>
      </c>
      <c r="H338" s="40">
        <v>0.27751481753002083</v>
      </c>
      <c r="I338" s="40">
        <v>0</v>
      </c>
      <c r="J338" s="40">
        <v>0.27751481753002083</v>
      </c>
    </row>
    <row r="339" spans="1:10" ht="11.25" customHeight="1" x14ac:dyDescent="0.2">
      <c r="A339" s="49">
        <v>44378</v>
      </c>
      <c r="B339" s="64">
        <v>372.6</v>
      </c>
      <c r="C339" s="64">
        <v>476.00202101168577</v>
      </c>
      <c r="D339" s="64">
        <v>0</v>
      </c>
      <c r="E339" s="64">
        <v>0</v>
      </c>
      <c r="F339" s="64">
        <v>0</v>
      </c>
      <c r="G339" s="64">
        <v>0</v>
      </c>
      <c r="H339" s="40">
        <v>0.27751481753002083</v>
      </c>
      <c r="I339" s="40">
        <v>0</v>
      </c>
      <c r="J339" s="40">
        <v>0.27751481753002083</v>
      </c>
    </row>
    <row r="340" spans="1:10" ht="11.25" customHeight="1" x14ac:dyDescent="0.2">
      <c r="A340" s="49">
        <v>44409</v>
      </c>
      <c r="B340" s="64">
        <v>372.6</v>
      </c>
      <c r="C340" s="64">
        <v>476.00202101168577</v>
      </c>
      <c r="D340" s="64">
        <v>0</v>
      </c>
      <c r="E340" s="64">
        <v>0</v>
      </c>
      <c r="F340" s="64">
        <v>0</v>
      </c>
      <c r="G340" s="64">
        <v>0</v>
      </c>
      <c r="H340" s="40">
        <v>0.27751481753002083</v>
      </c>
      <c r="I340" s="40">
        <v>0</v>
      </c>
      <c r="J340" s="40">
        <v>0.27751481753002083</v>
      </c>
    </row>
    <row r="341" spans="1:10" ht="11.25" customHeight="1" x14ac:dyDescent="0.2">
      <c r="A341" s="49">
        <v>44440</v>
      </c>
      <c r="B341" s="64">
        <v>372.6</v>
      </c>
      <c r="C341" s="64">
        <v>476.00202101168577</v>
      </c>
      <c r="D341" s="64">
        <v>0</v>
      </c>
      <c r="E341" s="64">
        <v>0</v>
      </c>
      <c r="F341" s="64">
        <v>0</v>
      </c>
      <c r="G341" s="64">
        <v>0</v>
      </c>
      <c r="H341" s="40">
        <v>0.27751481753002083</v>
      </c>
      <c r="I341" s="40">
        <v>0</v>
      </c>
      <c r="J341" s="40">
        <v>0.27751481753002083</v>
      </c>
    </row>
    <row r="342" spans="1:10" ht="11.25" customHeight="1" x14ac:dyDescent="0.2">
      <c r="A342" s="49">
        <v>44470</v>
      </c>
      <c r="B342" s="64">
        <v>372.6</v>
      </c>
      <c r="C342" s="64">
        <v>476.00202101168577</v>
      </c>
      <c r="D342" s="64">
        <v>0</v>
      </c>
      <c r="E342" s="64">
        <v>0</v>
      </c>
      <c r="F342" s="64">
        <v>0</v>
      </c>
      <c r="G342" s="64">
        <v>0</v>
      </c>
      <c r="H342" s="40">
        <v>0.27751481753002083</v>
      </c>
      <c r="I342" s="40">
        <v>0</v>
      </c>
      <c r="J342" s="40">
        <v>0.27751481753002083</v>
      </c>
    </row>
    <row r="343" spans="1:10" ht="11.25" customHeight="1" x14ac:dyDescent="0.2">
      <c r="A343" s="49">
        <v>44501</v>
      </c>
      <c r="B343" s="64">
        <v>372.6</v>
      </c>
      <c r="C343" s="64">
        <v>476.00202101168577</v>
      </c>
      <c r="D343" s="64">
        <v>0</v>
      </c>
      <c r="E343" s="64">
        <v>0</v>
      </c>
      <c r="F343" s="64">
        <v>0</v>
      </c>
      <c r="G343" s="64">
        <v>0</v>
      </c>
      <c r="H343" s="40">
        <v>0.27751481753002083</v>
      </c>
      <c r="I343" s="40">
        <v>0</v>
      </c>
      <c r="J343" s="40">
        <v>0.27751481753002083</v>
      </c>
    </row>
    <row r="344" spans="1:10" ht="11.25" customHeight="1" x14ac:dyDescent="0.2">
      <c r="A344" s="49">
        <v>44531</v>
      </c>
      <c r="B344" s="64">
        <v>372.6</v>
      </c>
      <c r="C344" s="64">
        <v>476.00202101168577</v>
      </c>
      <c r="D344" s="64">
        <v>0</v>
      </c>
      <c r="E344" s="64">
        <v>0</v>
      </c>
      <c r="F344" s="64">
        <v>0</v>
      </c>
      <c r="G344" s="64">
        <v>0</v>
      </c>
      <c r="H344" s="40">
        <v>0.27751481753002083</v>
      </c>
      <c r="I344" s="40">
        <v>0</v>
      </c>
      <c r="J344" s="40">
        <v>0.27751481753002083</v>
      </c>
    </row>
    <row r="345" spans="1:10" ht="11.25" customHeight="1" x14ac:dyDescent="0.2">
      <c r="A345" s="49">
        <v>44562</v>
      </c>
      <c r="B345" s="64">
        <v>372.6</v>
      </c>
      <c r="C345" s="64">
        <v>476.00202101168577</v>
      </c>
      <c r="D345" s="64">
        <v>0</v>
      </c>
      <c r="E345" s="64">
        <v>0</v>
      </c>
      <c r="F345" s="64">
        <v>0</v>
      </c>
      <c r="G345" s="64">
        <v>0</v>
      </c>
      <c r="H345" s="40">
        <v>0.27751481753002083</v>
      </c>
      <c r="I345" s="40">
        <v>0</v>
      </c>
      <c r="J345" s="40">
        <v>0.27751481753002083</v>
      </c>
    </row>
    <row r="346" spans="1:10" ht="11.25" customHeight="1" x14ac:dyDescent="0.2">
      <c r="A346" s="49">
        <v>44593</v>
      </c>
      <c r="B346" s="64">
        <v>372.6</v>
      </c>
      <c r="C346" s="64">
        <v>476.00202101168577</v>
      </c>
      <c r="D346" s="64">
        <v>0</v>
      </c>
      <c r="E346" s="64">
        <v>0</v>
      </c>
      <c r="F346" s="64">
        <v>0</v>
      </c>
      <c r="G346" s="64">
        <v>0</v>
      </c>
      <c r="H346" s="40">
        <v>0.27751481753002083</v>
      </c>
      <c r="I346" s="40">
        <v>0</v>
      </c>
      <c r="J346" s="40">
        <v>0.27751481753002083</v>
      </c>
    </row>
    <row r="347" spans="1:10" ht="11.25" customHeight="1" x14ac:dyDescent="0.2">
      <c r="A347" s="49">
        <v>44621</v>
      </c>
      <c r="B347" s="64">
        <v>372.6</v>
      </c>
      <c r="C347" s="64">
        <v>476.00202101168577</v>
      </c>
      <c r="D347" s="64">
        <v>0</v>
      </c>
      <c r="E347" s="64">
        <v>0</v>
      </c>
      <c r="F347" s="64">
        <v>0</v>
      </c>
      <c r="G347" s="64">
        <v>0</v>
      </c>
      <c r="H347" s="40">
        <v>0.27751481753002083</v>
      </c>
      <c r="I347" s="40">
        <v>0</v>
      </c>
      <c r="J347" s="40">
        <v>0.27751481753002083</v>
      </c>
    </row>
    <row r="348" spans="1:10" ht="11.25" customHeight="1" x14ac:dyDescent="0.2">
      <c r="A348" s="49">
        <v>44652</v>
      </c>
      <c r="B348" s="64">
        <v>372.6</v>
      </c>
      <c r="C348" s="64">
        <v>476.00202101168577</v>
      </c>
      <c r="D348" s="64">
        <v>0</v>
      </c>
      <c r="E348" s="64">
        <v>0</v>
      </c>
      <c r="F348" s="64">
        <v>0</v>
      </c>
      <c r="G348" s="64">
        <v>0</v>
      </c>
      <c r="H348" s="40">
        <v>0.27751481753002083</v>
      </c>
      <c r="I348" s="40">
        <v>0</v>
      </c>
      <c r="J348" s="40">
        <v>0.27751481753002083</v>
      </c>
    </row>
    <row r="349" spans="1:10" ht="11.25" customHeight="1" x14ac:dyDescent="0.2">
      <c r="A349" s="49">
        <v>44682</v>
      </c>
      <c r="B349" s="64">
        <v>372.6</v>
      </c>
      <c r="C349" s="64">
        <v>476.00202101168577</v>
      </c>
      <c r="D349" s="64">
        <v>0</v>
      </c>
      <c r="E349" s="64">
        <v>0</v>
      </c>
      <c r="F349" s="64">
        <v>0</v>
      </c>
      <c r="G349" s="64">
        <v>0</v>
      </c>
      <c r="H349" s="40">
        <v>0.27751481753002083</v>
      </c>
      <c r="I349" s="40">
        <v>0</v>
      </c>
      <c r="J349" s="40">
        <v>0.27751481753002083</v>
      </c>
    </row>
    <row r="350" spans="1:10" ht="11.25" customHeight="1" x14ac:dyDescent="0.2">
      <c r="A350" s="48" t="s">
        <v>37</v>
      </c>
      <c r="B350" s="64">
        <v>0</v>
      </c>
      <c r="C350" s="64">
        <v>0</v>
      </c>
      <c r="D350" s="64">
        <v>959.39108999999996</v>
      </c>
      <c r="E350" s="64">
        <v>1263.3753157373139</v>
      </c>
      <c r="F350" s="64">
        <v>518.13109999999995</v>
      </c>
      <c r="G350" s="64">
        <v>490.40372814807318</v>
      </c>
      <c r="H350" s="40">
        <v>0.31685120792326105</v>
      </c>
      <c r="I350" s="40">
        <v>-5.3514201042799359E-2</v>
      </c>
      <c r="J350" s="40">
        <v>0.1869730659580735</v>
      </c>
    </row>
    <row r="351" spans="1:10" ht="11.25" customHeight="1" x14ac:dyDescent="0.2">
      <c r="A351" s="49">
        <v>44378</v>
      </c>
      <c r="B351" s="64">
        <v>0</v>
      </c>
      <c r="C351" s="64">
        <v>0</v>
      </c>
      <c r="D351" s="64">
        <v>74.965589999999992</v>
      </c>
      <c r="E351" s="64">
        <v>98.718527744179909</v>
      </c>
      <c r="F351" s="64">
        <v>40.486099999999993</v>
      </c>
      <c r="G351" s="64">
        <v>38.319518705161123</v>
      </c>
      <c r="H351" s="40">
        <v>0.31685120792326082</v>
      </c>
      <c r="I351" s="40">
        <v>-5.3514201042799137E-2</v>
      </c>
      <c r="J351" s="40">
        <v>0.1869730659580735</v>
      </c>
    </row>
    <row r="352" spans="1:10" ht="11.25" customHeight="1" x14ac:dyDescent="0.2">
      <c r="A352" s="49">
        <v>44409</v>
      </c>
      <c r="B352" s="64">
        <v>0</v>
      </c>
      <c r="C352" s="64">
        <v>0</v>
      </c>
      <c r="D352" s="64">
        <v>47.169359999999998</v>
      </c>
      <c r="E352" s="64">
        <v>62.115028692967144</v>
      </c>
      <c r="F352" s="64">
        <v>25.474399999999999</v>
      </c>
      <c r="G352" s="64">
        <v>24.111157836955314</v>
      </c>
      <c r="H352" s="40">
        <v>0.31685120792326082</v>
      </c>
      <c r="I352" s="40">
        <v>-5.3514201042799248E-2</v>
      </c>
      <c r="J352" s="40">
        <v>0.1869730659580735</v>
      </c>
    </row>
    <row r="353" spans="1:10" ht="11.25" customHeight="1" x14ac:dyDescent="0.2">
      <c r="A353" s="49">
        <v>44440</v>
      </c>
      <c r="B353" s="64">
        <v>0</v>
      </c>
      <c r="C353" s="64">
        <v>0</v>
      </c>
      <c r="D353" s="64">
        <v>64.857869999999991</v>
      </c>
      <c r="E353" s="64">
        <v>85.408164452829823</v>
      </c>
      <c r="F353" s="64">
        <v>35.027299999999997</v>
      </c>
      <c r="G353" s="64">
        <v>33.152842025813555</v>
      </c>
      <c r="H353" s="40">
        <v>0.31685120792326105</v>
      </c>
      <c r="I353" s="40">
        <v>-5.3514201042799248E-2</v>
      </c>
      <c r="J353" s="40">
        <v>0.1869730659580735</v>
      </c>
    </row>
    <row r="354" spans="1:10" ht="11.25" customHeight="1" x14ac:dyDescent="0.2">
      <c r="A354" s="49">
        <v>44470</v>
      </c>
      <c r="B354" s="64">
        <v>0</v>
      </c>
      <c r="C354" s="64">
        <v>0</v>
      </c>
      <c r="D354" s="64">
        <v>47.169359999999998</v>
      </c>
      <c r="E354" s="64">
        <v>62.115028692967144</v>
      </c>
      <c r="F354" s="64">
        <v>25.474399999999999</v>
      </c>
      <c r="G354" s="64">
        <v>24.111157836955314</v>
      </c>
      <c r="H354" s="40">
        <v>0.31685120792326082</v>
      </c>
      <c r="I354" s="40">
        <v>-5.3514201042799248E-2</v>
      </c>
      <c r="J354" s="40">
        <v>0.1869730659580735</v>
      </c>
    </row>
    <row r="355" spans="1:10" ht="11.25" customHeight="1" x14ac:dyDescent="0.2">
      <c r="A355" s="49">
        <v>44501</v>
      </c>
      <c r="B355" s="64">
        <v>0</v>
      </c>
      <c r="C355" s="64">
        <v>0</v>
      </c>
      <c r="D355" s="64">
        <v>73.280969999999996</v>
      </c>
      <c r="E355" s="64">
        <v>96.500133862288223</v>
      </c>
      <c r="F355" s="64">
        <v>39.576299999999996</v>
      </c>
      <c r="G355" s="64">
        <v>37.458405925269858</v>
      </c>
      <c r="H355" s="40">
        <v>0.3168512079232606</v>
      </c>
      <c r="I355" s="40">
        <v>-5.3514201042799359E-2</v>
      </c>
      <c r="J355" s="40">
        <v>0.18697306595807328</v>
      </c>
    </row>
    <row r="356" spans="1:10" ht="11.25" customHeight="1" x14ac:dyDescent="0.2">
      <c r="A356" s="49">
        <v>44531</v>
      </c>
      <c r="B356" s="64">
        <v>0</v>
      </c>
      <c r="C356" s="64">
        <v>0</v>
      </c>
      <c r="D356" s="64">
        <v>185.3082</v>
      </c>
      <c r="E356" s="64">
        <v>244.0233270080852</v>
      </c>
      <c r="F356" s="64">
        <v>100.07799999999999</v>
      </c>
      <c r="G356" s="64">
        <v>94.722405788038728</v>
      </c>
      <c r="H356" s="40">
        <v>0.31685120792326082</v>
      </c>
      <c r="I356" s="40">
        <v>-5.3514201042799248E-2</v>
      </c>
      <c r="J356" s="40">
        <v>0.1869730659580735</v>
      </c>
    </row>
    <row r="357" spans="1:10" ht="11.25" customHeight="1" x14ac:dyDescent="0.2">
      <c r="A357" s="49">
        <v>44562</v>
      </c>
      <c r="B357" s="64">
        <v>0</v>
      </c>
      <c r="C357" s="64">
        <v>0</v>
      </c>
      <c r="D357" s="64">
        <v>107.81568</v>
      </c>
      <c r="E357" s="64">
        <v>141.97720844106775</v>
      </c>
      <c r="F357" s="64">
        <v>58.227199999999996</v>
      </c>
      <c r="G357" s="64">
        <v>55.111217913040718</v>
      </c>
      <c r="H357" s="40">
        <v>0.31685120792326082</v>
      </c>
      <c r="I357" s="40">
        <v>-5.3514201042799248E-2</v>
      </c>
      <c r="J357" s="40">
        <v>0.1869730659580735</v>
      </c>
    </row>
    <row r="358" spans="1:10" ht="11.25" customHeight="1" x14ac:dyDescent="0.2">
      <c r="A358" s="49">
        <v>44593</v>
      </c>
      <c r="B358" s="64">
        <v>0</v>
      </c>
      <c r="C358" s="64">
        <v>0</v>
      </c>
      <c r="D358" s="64">
        <v>115.39647000000001</v>
      </c>
      <c r="E358" s="64">
        <v>151.95998090958034</v>
      </c>
      <c r="F358" s="64">
        <v>62.321300000000001</v>
      </c>
      <c r="G358" s="64">
        <v>58.986225422551399</v>
      </c>
      <c r="H358" s="40">
        <v>0.31685120792326082</v>
      </c>
      <c r="I358" s="40">
        <v>-5.3514201042799248E-2</v>
      </c>
      <c r="J358" s="40">
        <v>0.1869730659580735</v>
      </c>
    </row>
    <row r="359" spans="1:10" ht="11.25" customHeight="1" x14ac:dyDescent="0.2">
      <c r="A359" s="49">
        <v>44621</v>
      </c>
      <c r="B359" s="64">
        <v>0</v>
      </c>
      <c r="C359" s="64">
        <v>0</v>
      </c>
      <c r="D359" s="64">
        <v>94.338719999999995</v>
      </c>
      <c r="E359" s="64">
        <v>124.23005738593429</v>
      </c>
      <c r="F359" s="64">
        <v>50.948799999999999</v>
      </c>
      <c r="G359" s="64">
        <v>48.222315673910629</v>
      </c>
      <c r="H359" s="40">
        <v>0.31685120792326082</v>
      </c>
      <c r="I359" s="40">
        <v>-5.3514201042799248E-2</v>
      </c>
      <c r="J359" s="40">
        <v>0.1869730659580735</v>
      </c>
    </row>
    <row r="360" spans="1:10" ht="11.25" customHeight="1" x14ac:dyDescent="0.2">
      <c r="A360" s="49">
        <v>44652</v>
      </c>
      <c r="B360" s="64">
        <v>0</v>
      </c>
      <c r="C360" s="64">
        <v>0</v>
      </c>
      <c r="D360" s="64">
        <v>38.746259999999999</v>
      </c>
      <c r="E360" s="64">
        <v>51.023059283508722</v>
      </c>
      <c r="F360" s="64">
        <v>20.9254</v>
      </c>
      <c r="G360" s="64">
        <v>19.805593937499008</v>
      </c>
      <c r="H360" s="40">
        <v>0.31685120792326082</v>
      </c>
      <c r="I360" s="40">
        <v>-5.3514201042799248E-2</v>
      </c>
      <c r="J360" s="40">
        <v>0.18697306595807328</v>
      </c>
    </row>
    <row r="361" spans="1:10" ht="11.25" customHeight="1" x14ac:dyDescent="0.2">
      <c r="A361" s="49">
        <v>44682</v>
      </c>
      <c r="B361" s="64">
        <v>0</v>
      </c>
      <c r="C361" s="64">
        <v>0</v>
      </c>
      <c r="D361" s="64">
        <v>110.34260999999999</v>
      </c>
      <c r="E361" s="64">
        <v>145.30479926390527</v>
      </c>
      <c r="F361" s="64">
        <v>59.591900000000003</v>
      </c>
      <c r="G361" s="64">
        <v>56.402887082877612</v>
      </c>
      <c r="H361" s="40">
        <v>0.31685120792326082</v>
      </c>
      <c r="I361" s="40">
        <v>-5.3514201042799248E-2</v>
      </c>
      <c r="J361" s="40">
        <v>0.1869730659580735</v>
      </c>
    </row>
    <row r="362" spans="1:10" ht="11.25" customHeight="1" x14ac:dyDescent="0.2">
      <c r="A362" s="44" t="s">
        <v>45</v>
      </c>
      <c r="B362" s="64">
        <v>5246.2079999999987</v>
      </c>
      <c r="C362" s="64">
        <v>6841.7357153412968</v>
      </c>
      <c r="D362" s="64">
        <v>5332.118467199999</v>
      </c>
      <c r="E362" s="64">
        <v>7799.2794528095046</v>
      </c>
      <c r="F362" s="64">
        <v>10639.0017792</v>
      </c>
      <c r="G362" s="64">
        <v>10460.969976338964</v>
      </c>
      <c r="H362" s="40">
        <v>0.38405779151814801</v>
      </c>
      <c r="I362" s="40">
        <v>-1.6733882234055142E-2</v>
      </c>
      <c r="J362" s="40">
        <v>0.183088881548924</v>
      </c>
    </row>
    <row r="363" spans="1:10" ht="11.25" customHeight="1" x14ac:dyDescent="0.2">
      <c r="A363" s="45" t="s">
        <v>25</v>
      </c>
      <c r="B363" s="64">
        <v>5246.2079999999987</v>
      </c>
      <c r="C363" s="64">
        <v>6841.7357153412968</v>
      </c>
      <c r="D363" s="64">
        <v>5332.118467199999</v>
      </c>
      <c r="E363" s="64">
        <v>7799.2794528095046</v>
      </c>
      <c r="F363" s="64">
        <v>10639.0017792</v>
      </c>
      <c r="G363" s="64">
        <v>10460.969976338964</v>
      </c>
      <c r="H363" s="40">
        <v>0.38405779151814801</v>
      </c>
      <c r="I363" s="40">
        <v>-1.6733882234055142E-2</v>
      </c>
      <c r="J363" s="40">
        <v>0.183088881548924</v>
      </c>
    </row>
    <row r="364" spans="1:10" ht="11.25" customHeight="1" x14ac:dyDescent="0.2">
      <c r="A364" s="46" t="s">
        <v>25</v>
      </c>
      <c r="B364" s="64">
        <v>5246.2079999999987</v>
      </c>
      <c r="C364" s="64">
        <v>6841.7357153412968</v>
      </c>
      <c r="D364" s="64">
        <v>5332.118467199999</v>
      </c>
      <c r="E364" s="64">
        <v>7799.2794528095046</v>
      </c>
      <c r="F364" s="64">
        <v>10639.0017792</v>
      </c>
      <c r="G364" s="64">
        <v>10460.969976338964</v>
      </c>
      <c r="H364" s="40">
        <v>0.38405779151814801</v>
      </c>
      <c r="I364" s="40">
        <v>-1.6733882234055142E-2</v>
      </c>
      <c r="J364" s="40">
        <v>0.183088881548924</v>
      </c>
    </row>
    <row r="365" spans="1:10" ht="11.25" customHeight="1" x14ac:dyDescent="0.2">
      <c r="A365" s="47" t="s">
        <v>25</v>
      </c>
      <c r="B365" s="64">
        <v>5246.2079999999987</v>
      </c>
      <c r="C365" s="64">
        <v>6841.7357153412968</v>
      </c>
      <c r="D365" s="64">
        <v>5332.118467199999</v>
      </c>
      <c r="E365" s="64">
        <v>7799.2794528095046</v>
      </c>
      <c r="F365" s="64">
        <v>10639.0017792</v>
      </c>
      <c r="G365" s="64">
        <v>10460.969976338964</v>
      </c>
      <c r="H365" s="40">
        <v>0.38405779151814801</v>
      </c>
      <c r="I365" s="40">
        <v>-1.6733882234055142E-2</v>
      </c>
      <c r="J365" s="40">
        <v>0.183088881548924</v>
      </c>
    </row>
    <row r="366" spans="1:10" ht="11.25" customHeight="1" x14ac:dyDescent="0.2">
      <c r="A366" s="48" t="s">
        <v>35</v>
      </c>
      <c r="B366" s="64">
        <v>0</v>
      </c>
      <c r="C366" s="64">
        <v>0</v>
      </c>
      <c r="D366" s="64">
        <v>2180.1270624000003</v>
      </c>
      <c r="E366" s="64">
        <v>3562.1027705187512</v>
      </c>
      <c r="F366" s="64">
        <v>8936.7295871999995</v>
      </c>
      <c r="G366" s="64">
        <v>8816.227344491057</v>
      </c>
      <c r="H366" s="40">
        <v>0.63389686406506884</v>
      </c>
      <c r="I366" s="40">
        <v>-1.3483930730268101E-2</v>
      </c>
      <c r="J366" s="40">
        <v>0.1134739346895508</v>
      </c>
    </row>
    <row r="367" spans="1:10" ht="11.25" customHeight="1" x14ac:dyDescent="0.2">
      <c r="A367" s="49">
        <v>44348</v>
      </c>
      <c r="B367" s="64">
        <v>0</v>
      </c>
      <c r="C367" s="64">
        <v>0</v>
      </c>
      <c r="D367" s="64">
        <v>336.63873599999999</v>
      </c>
      <c r="E367" s="64">
        <v>550.03297507322873</v>
      </c>
      <c r="F367" s="64">
        <v>1379.9422079999997</v>
      </c>
      <c r="G367" s="64">
        <v>1361.3351628555547</v>
      </c>
      <c r="H367" s="40">
        <v>0.63389686406506929</v>
      </c>
      <c r="I367" s="40">
        <v>-1.348393073026799E-2</v>
      </c>
      <c r="J367" s="40">
        <v>0.1134739346895508</v>
      </c>
    </row>
    <row r="368" spans="1:10" ht="11.25" customHeight="1" x14ac:dyDescent="0.2">
      <c r="A368" s="49">
        <v>44378</v>
      </c>
      <c r="B368" s="64">
        <v>0</v>
      </c>
      <c r="C368" s="64">
        <v>0</v>
      </c>
      <c r="D368" s="64">
        <v>201.18409920000002</v>
      </c>
      <c r="E368" s="64">
        <v>328.71406878263576</v>
      </c>
      <c r="F368" s="64">
        <v>824.68949759999987</v>
      </c>
      <c r="G368" s="64">
        <v>813.56944154038206</v>
      </c>
      <c r="H368" s="40">
        <v>0.63389686406506884</v>
      </c>
      <c r="I368" s="40">
        <v>-1.3483930730267879E-2</v>
      </c>
      <c r="J368" s="40">
        <v>0.1134739346895508</v>
      </c>
    </row>
    <row r="369" spans="1:10" ht="11.25" customHeight="1" x14ac:dyDescent="0.2">
      <c r="A369" s="49">
        <v>44409</v>
      </c>
      <c r="B369" s="64">
        <v>0</v>
      </c>
      <c r="C369" s="64">
        <v>0</v>
      </c>
      <c r="D369" s="64">
        <v>161.7597408</v>
      </c>
      <c r="E369" s="64">
        <v>264.29873322509837</v>
      </c>
      <c r="F369" s="64">
        <v>663.08202239999991</v>
      </c>
      <c r="G369" s="64">
        <v>654.1410703414723</v>
      </c>
      <c r="H369" s="40">
        <v>0.63389686406506884</v>
      </c>
      <c r="I369" s="40">
        <v>-1.348393073026799E-2</v>
      </c>
      <c r="J369" s="40">
        <v>0.1134739346895508</v>
      </c>
    </row>
    <row r="370" spans="1:10" ht="11.25" customHeight="1" x14ac:dyDescent="0.2">
      <c r="A370" s="49">
        <v>44440</v>
      </c>
      <c r="B370" s="64">
        <v>0</v>
      </c>
      <c r="C370" s="64">
        <v>0</v>
      </c>
      <c r="D370" s="64">
        <v>181.20553920000003</v>
      </c>
      <c r="E370" s="64">
        <v>296.07116225009997</v>
      </c>
      <c r="F370" s="64">
        <v>742.79381760000001</v>
      </c>
      <c r="G370" s="64">
        <v>732.7780372166103</v>
      </c>
      <c r="H370" s="40">
        <v>0.63389686406506884</v>
      </c>
      <c r="I370" s="40">
        <v>-1.348393073026799E-2</v>
      </c>
      <c r="J370" s="40">
        <v>0.1134739346895508</v>
      </c>
    </row>
    <row r="371" spans="1:10" ht="11.25" customHeight="1" x14ac:dyDescent="0.2">
      <c r="A371" s="49">
        <v>44470</v>
      </c>
      <c r="B371" s="64">
        <v>0</v>
      </c>
      <c r="C371" s="64">
        <v>0</v>
      </c>
      <c r="D371" s="64">
        <v>184.06913280000001</v>
      </c>
      <c r="E371" s="64">
        <v>300.74997885309676</v>
      </c>
      <c r="F371" s="64">
        <v>754.53219839999986</v>
      </c>
      <c r="G371" s="64">
        <v>744.35813850301747</v>
      </c>
      <c r="H371" s="40">
        <v>0.63389686406506907</v>
      </c>
      <c r="I371" s="40">
        <v>-1.348393073026799E-2</v>
      </c>
      <c r="J371" s="40">
        <v>0.11347393468955103</v>
      </c>
    </row>
    <row r="372" spans="1:10" ht="11.25" customHeight="1" x14ac:dyDescent="0.2">
      <c r="A372" s="49">
        <v>44501</v>
      </c>
      <c r="B372" s="64">
        <v>0</v>
      </c>
      <c r="C372" s="64">
        <v>0</v>
      </c>
      <c r="D372" s="64">
        <v>187.7318688</v>
      </c>
      <c r="E372" s="64">
        <v>306.73451171739498</v>
      </c>
      <c r="F372" s="64">
        <v>769.54640639999991</v>
      </c>
      <c r="G372" s="64">
        <v>759.16989596237568</v>
      </c>
      <c r="H372" s="40">
        <v>0.63389686406506907</v>
      </c>
      <c r="I372" s="40">
        <v>-1.348393073026799E-2</v>
      </c>
      <c r="J372" s="40">
        <v>0.1134739346895508</v>
      </c>
    </row>
    <row r="373" spans="1:10" ht="11.25" customHeight="1" x14ac:dyDescent="0.2">
      <c r="A373" s="49">
        <v>44531</v>
      </c>
      <c r="B373" s="64">
        <v>0</v>
      </c>
      <c r="C373" s="64">
        <v>0</v>
      </c>
      <c r="D373" s="64">
        <v>152.7693888</v>
      </c>
      <c r="E373" s="64">
        <v>249.60942528545729</v>
      </c>
      <c r="F373" s="64">
        <v>626.22896639999999</v>
      </c>
      <c r="G373" s="64">
        <v>617.78493839577504</v>
      </c>
      <c r="H373" s="40">
        <v>0.63389686406506907</v>
      </c>
      <c r="I373" s="40">
        <v>-1.348393073026799E-2</v>
      </c>
      <c r="J373" s="40">
        <v>0.1134739346895508</v>
      </c>
    </row>
    <row r="374" spans="1:10" ht="11.25" customHeight="1" x14ac:dyDescent="0.2">
      <c r="A374" s="49">
        <v>44593</v>
      </c>
      <c r="B374" s="64">
        <v>0</v>
      </c>
      <c r="C374" s="64">
        <v>0</v>
      </c>
      <c r="D374" s="64">
        <v>253.12835520000004</v>
      </c>
      <c r="E374" s="64">
        <v>413.58562576722898</v>
      </c>
      <c r="F374" s="64">
        <v>1037.6182655999999</v>
      </c>
      <c r="G374" s="64">
        <v>1023.6270927821888</v>
      </c>
      <c r="H374" s="40">
        <v>0.63389686406506907</v>
      </c>
      <c r="I374" s="40">
        <v>-1.3483930730267879E-2</v>
      </c>
      <c r="J374" s="40">
        <v>0.11347393468955103</v>
      </c>
    </row>
    <row r="375" spans="1:10" ht="11.25" customHeight="1" x14ac:dyDescent="0.2">
      <c r="A375" s="49">
        <v>44621</v>
      </c>
      <c r="B375" s="64">
        <v>0</v>
      </c>
      <c r="C375" s="64">
        <v>0</v>
      </c>
      <c r="D375" s="64">
        <v>206.31192960000001</v>
      </c>
      <c r="E375" s="64">
        <v>337.0924147926533</v>
      </c>
      <c r="F375" s="64">
        <v>845.70938879999994</v>
      </c>
      <c r="G375" s="64">
        <v>834.30590198348341</v>
      </c>
      <c r="H375" s="40">
        <v>0.63389686406506907</v>
      </c>
      <c r="I375" s="40">
        <v>-1.3483930730268101E-2</v>
      </c>
      <c r="J375" s="40">
        <v>0.1134739346895508</v>
      </c>
    </row>
    <row r="376" spans="1:10" ht="11.25" customHeight="1" x14ac:dyDescent="0.2">
      <c r="A376" s="49">
        <v>44652</v>
      </c>
      <c r="B376" s="64">
        <v>0</v>
      </c>
      <c r="C376" s="64">
        <v>0</v>
      </c>
      <c r="D376" s="64">
        <v>149.37303360000001</v>
      </c>
      <c r="E376" s="64">
        <v>244.0601311749262</v>
      </c>
      <c r="F376" s="64">
        <v>612.30670079999993</v>
      </c>
      <c r="G376" s="64">
        <v>604.05039966073377</v>
      </c>
      <c r="H376" s="40">
        <v>0.63389686406506884</v>
      </c>
      <c r="I376" s="40">
        <v>-1.348393073026799E-2</v>
      </c>
      <c r="J376" s="40">
        <v>0.11347393468955103</v>
      </c>
    </row>
    <row r="377" spans="1:10" ht="11.25" customHeight="1" x14ac:dyDescent="0.2">
      <c r="A377" s="49">
        <v>44682</v>
      </c>
      <c r="B377" s="64">
        <v>0</v>
      </c>
      <c r="C377" s="64">
        <v>0</v>
      </c>
      <c r="D377" s="64">
        <v>165.95523840000001</v>
      </c>
      <c r="E377" s="64">
        <v>271.15374359693095</v>
      </c>
      <c r="F377" s="64">
        <v>680.28011519999995</v>
      </c>
      <c r="G377" s="64">
        <v>671.10726524946449</v>
      </c>
      <c r="H377" s="40">
        <v>0.63389686406506907</v>
      </c>
      <c r="I377" s="40">
        <v>-1.3483930730267879E-2</v>
      </c>
      <c r="J377" s="40">
        <v>0.11347393468955103</v>
      </c>
    </row>
    <row r="378" spans="1:10" ht="11.25" customHeight="1" x14ac:dyDescent="0.2">
      <c r="A378" s="48" t="s">
        <v>25</v>
      </c>
      <c r="B378" s="64">
        <v>5246.2079999999987</v>
      </c>
      <c r="C378" s="64">
        <v>6841.7357153412968</v>
      </c>
      <c r="D378" s="64">
        <v>0</v>
      </c>
      <c r="E378" s="64">
        <v>0</v>
      </c>
      <c r="F378" s="64">
        <v>0</v>
      </c>
      <c r="G378" s="64">
        <v>0</v>
      </c>
      <c r="H378" s="40">
        <v>0.30412970956189667</v>
      </c>
      <c r="I378" s="40">
        <v>0</v>
      </c>
      <c r="J378" s="40">
        <v>0.30412970956189667</v>
      </c>
    </row>
    <row r="379" spans="1:10" ht="11.25" customHeight="1" x14ac:dyDescent="0.2">
      <c r="A379" s="49">
        <v>44348</v>
      </c>
      <c r="B379" s="64">
        <v>1168.4736</v>
      </c>
      <c r="C379" s="64">
        <v>1523.8411365987433</v>
      </c>
      <c r="D379" s="64">
        <v>0</v>
      </c>
      <c r="E379" s="64">
        <v>0</v>
      </c>
      <c r="F379" s="64">
        <v>0</v>
      </c>
      <c r="G379" s="64">
        <v>0</v>
      </c>
      <c r="H379" s="40">
        <v>0.30412970956189622</v>
      </c>
      <c r="I379" s="40">
        <v>0</v>
      </c>
      <c r="J379" s="40">
        <v>0.30412970956189622</v>
      </c>
    </row>
    <row r="380" spans="1:10" ht="11.25" customHeight="1" x14ac:dyDescent="0.2">
      <c r="A380" s="49">
        <v>44378</v>
      </c>
      <c r="B380" s="64">
        <v>441.15839999999997</v>
      </c>
      <c r="C380" s="64">
        <v>575.3277760627908</v>
      </c>
      <c r="D380" s="64">
        <v>0</v>
      </c>
      <c r="E380" s="64">
        <v>0</v>
      </c>
      <c r="F380" s="64">
        <v>0</v>
      </c>
      <c r="G380" s="64">
        <v>0</v>
      </c>
      <c r="H380" s="40">
        <v>0.30412970956189622</v>
      </c>
      <c r="I380" s="40">
        <v>0</v>
      </c>
      <c r="J380" s="40">
        <v>0.30412970956189622</v>
      </c>
    </row>
    <row r="381" spans="1:10" ht="11.25" customHeight="1" x14ac:dyDescent="0.2">
      <c r="A381" s="49">
        <v>44409</v>
      </c>
      <c r="B381" s="64">
        <v>441.15839999999997</v>
      </c>
      <c r="C381" s="64">
        <v>575.3277760627908</v>
      </c>
      <c r="D381" s="64">
        <v>0</v>
      </c>
      <c r="E381" s="64">
        <v>0</v>
      </c>
      <c r="F381" s="64">
        <v>0</v>
      </c>
      <c r="G381" s="64">
        <v>0</v>
      </c>
      <c r="H381" s="40">
        <v>0.30412970956189622</v>
      </c>
      <c r="I381" s="40">
        <v>0</v>
      </c>
      <c r="J381" s="40">
        <v>0.30412970956189622</v>
      </c>
    </row>
    <row r="382" spans="1:10" ht="11.25" customHeight="1" x14ac:dyDescent="0.2">
      <c r="A382" s="49">
        <v>44440</v>
      </c>
      <c r="B382" s="64">
        <v>441.15839999999997</v>
      </c>
      <c r="C382" s="64">
        <v>575.3277760627908</v>
      </c>
      <c r="D382" s="64">
        <v>0</v>
      </c>
      <c r="E382" s="64">
        <v>0</v>
      </c>
      <c r="F382" s="64">
        <v>0</v>
      </c>
      <c r="G382" s="64">
        <v>0</v>
      </c>
      <c r="H382" s="40">
        <v>0.30412970956189622</v>
      </c>
      <c r="I382" s="40">
        <v>0</v>
      </c>
      <c r="J382" s="40">
        <v>0.30412970956189622</v>
      </c>
    </row>
    <row r="383" spans="1:10" ht="11.25" customHeight="1" x14ac:dyDescent="0.2">
      <c r="A383" s="49">
        <v>44470</v>
      </c>
      <c r="B383" s="64">
        <v>441.15839999999997</v>
      </c>
      <c r="C383" s="64">
        <v>575.3277760627908</v>
      </c>
      <c r="D383" s="64">
        <v>0</v>
      </c>
      <c r="E383" s="64">
        <v>0</v>
      </c>
      <c r="F383" s="64">
        <v>0</v>
      </c>
      <c r="G383" s="64">
        <v>0</v>
      </c>
      <c r="H383" s="40">
        <v>0.30412970956189622</v>
      </c>
      <c r="I383" s="40">
        <v>0</v>
      </c>
      <c r="J383" s="40">
        <v>0.30412970956189622</v>
      </c>
    </row>
    <row r="384" spans="1:10" ht="11.25" customHeight="1" x14ac:dyDescent="0.2">
      <c r="A384" s="49">
        <v>44501</v>
      </c>
      <c r="B384" s="64">
        <v>441.15839999999997</v>
      </c>
      <c r="C384" s="64">
        <v>575.3277760627908</v>
      </c>
      <c r="D384" s="64">
        <v>0</v>
      </c>
      <c r="E384" s="64">
        <v>0</v>
      </c>
      <c r="F384" s="64">
        <v>0</v>
      </c>
      <c r="G384" s="64">
        <v>0</v>
      </c>
      <c r="H384" s="40">
        <v>0.30412970956189622</v>
      </c>
      <c r="I384" s="40">
        <v>0</v>
      </c>
      <c r="J384" s="40">
        <v>0.30412970956189622</v>
      </c>
    </row>
    <row r="385" spans="1:10" ht="11.25" customHeight="1" x14ac:dyDescent="0.2">
      <c r="A385" s="49">
        <v>44531</v>
      </c>
      <c r="B385" s="64">
        <v>441.15839999999997</v>
      </c>
      <c r="C385" s="64">
        <v>575.3277760627908</v>
      </c>
      <c r="D385" s="64">
        <v>0</v>
      </c>
      <c r="E385" s="64">
        <v>0</v>
      </c>
      <c r="F385" s="64">
        <v>0</v>
      </c>
      <c r="G385" s="64">
        <v>0</v>
      </c>
      <c r="H385" s="40">
        <v>0.30412970956189622</v>
      </c>
      <c r="I385" s="40">
        <v>0</v>
      </c>
      <c r="J385" s="40">
        <v>0.30412970956189622</v>
      </c>
    </row>
    <row r="386" spans="1:10" ht="11.25" customHeight="1" x14ac:dyDescent="0.2">
      <c r="A386" s="49">
        <v>44593</v>
      </c>
      <c r="B386" s="64">
        <v>357.69599999999997</v>
      </c>
      <c r="C386" s="64">
        <v>466.48198059145204</v>
      </c>
      <c r="D386" s="64">
        <v>0</v>
      </c>
      <c r="E386" s="64">
        <v>0</v>
      </c>
      <c r="F386" s="64">
        <v>0</v>
      </c>
      <c r="G386" s="64">
        <v>0</v>
      </c>
      <c r="H386" s="40">
        <v>0.30412970956189644</v>
      </c>
      <c r="I386" s="40">
        <v>0</v>
      </c>
      <c r="J386" s="40">
        <v>0.30412970956189644</v>
      </c>
    </row>
    <row r="387" spans="1:10" ht="11.25" customHeight="1" x14ac:dyDescent="0.2">
      <c r="A387" s="49">
        <v>44621</v>
      </c>
      <c r="B387" s="64">
        <v>357.69599999999997</v>
      </c>
      <c r="C387" s="64">
        <v>466.48198059145204</v>
      </c>
      <c r="D387" s="64">
        <v>0</v>
      </c>
      <c r="E387" s="64">
        <v>0</v>
      </c>
      <c r="F387" s="64">
        <v>0</v>
      </c>
      <c r="G387" s="64">
        <v>0</v>
      </c>
      <c r="H387" s="40">
        <v>0.30412970956189644</v>
      </c>
      <c r="I387" s="40">
        <v>0</v>
      </c>
      <c r="J387" s="40">
        <v>0.30412970956189644</v>
      </c>
    </row>
    <row r="388" spans="1:10" ht="11.25" customHeight="1" x14ac:dyDescent="0.2">
      <c r="A388" s="49">
        <v>44652</v>
      </c>
      <c r="B388" s="64">
        <v>357.69599999999997</v>
      </c>
      <c r="C388" s="64">
        <v>466.48198059145204</v>
      </c>
      <c r="D388" s="64">
        <v>0</v>
      </c>
      <c r="E388" s="64">
        <v>0</v>
      </c>
      <c r="F388" s="64">
        <v>0</v>
      </c>
      <c r="G388" s="64">
        <v>0</v>
      </c>
      <c r="H388" s="40">
        <v>0.30412970956189644</v>
      </c>
      <c r="I388" s="40">
        <v>0</v>
      </c>
      <c r="J388" s="40">
        <v>0.30412970956189644</v>
      </c>
    </row>
    <row r="389" spans="1:10" ht="11.25" customHeight="1" x14ac:dyDescent="0.2">
      <c r="A389" s="49">
        <v>44682</v>
      </c>
      <c r="B389" s="64">
        <v>357.69599999999997</v>
      </c>
      <c r="C389" s="64">
        <v>466.48198059145204</v>
      </c>
      <c r="D389" s="64">
        <v>0</v>
      </c>
      <c r="E389" s="64">
        <v>0</v>
      </c>
      <c r="F389" s="64">
        <v>0</v>
      </c>
      <c r="G389" s="64">
        <v>0</v>
      </c>
      <c r="H389" s="40">
        <v>0.30412970956189644</v>
      </c>
      <c r="I389" s="40">
        <v>0</v>
      </c>
      <c r="J389" s="40">
        <v>0.30412970956189644</v>
      </c>
    </row>
    <row r="390" spans="1:10" ht="11.25" customHeight="1" x14ac:dyDescent="0.2">
      <c r="A390" s="48" t="s">
        <v>37</v>
      </c>
      <c r="B390" s="64">
        <v>0</v>
      </c>
      <c r="C390" s="64">
        <v>0</v>
      </c>
      <c r="D390" s="64">
        <v>3151.9914048000001</v>
      </c>
      <c r="E390" s="64">
        <v>4237.176682290753</v>
      </c>
      <c r="F390" s="64">
        <v>1702.2721919999999</v>
      </c>
      <c r="G390" s="64">
        <v>1644.742631847907</v>
      </c>
      <c r="H390" s="40">
        <v>0.34428560808832853</v>
      </c>
      <c r="I390" s="40">
        <v>-3.3795746897857359E-2</v>
      </c>
      <c r="J390" s="40">
        <v>0.21170167149886665</v>
      </c>
    </row>
    <row r="391" spans="1:10" ht="11.25" customHeight="1" x14ac:dyDescent="0.2">
      <c r="A391" s="49">
        <v>44348</v>
      </c>
      <c r="B391" s="64">
        <v>0</v>
      </c>
      <c r="C391" s="64">
        <v>0</v>
      </c>
      <c r="D391" s="64">
        <v>269.2696608</v>
      </c>
      <c r="E391" s="64">
        <v>361.97532970826603</v>
      </c>
      <c r="F391" s="64">
        <v>145.42243199999999</v>
      </c>
      <c r="G391" s="64">
        <v>140.50777229485709</v>
      </c>
      <c r="H391" s="40">
        <v>0.34428560808832875</v>
      </c>
      <c r="I391" s="40">
        <v>-3.379574689785747E-2</v>
      </c>
      <c r="J391" s="40">
        <v>0.21170167149886687</v>
      </c>
    </row>
    <row r="392" spans="1:10" ht="11.25" customHeight="1" x14ac:dyDescent="0.2">
      <c r="A392" s="49">
        <v>44378</v>
      </c>
      <c r="B392" s="64">
        <v>0</v>
      </c>
      <c r="C392" s="64">
        <v>0</v>
      </c>
      <c r="D392" s="64">
        <v>321.82980479999998</v>
      </c>
      <c r="E392" s="64">
        <v>432.63117484651616</v>
      </c>
      <c r="F392" s="64">
        <v>173.80819199999999</v>
      </c>
      <c r="G392" s="64">
        <v>167.93421433439377</v>
      </c>
      <c r="H392" s="40">
        <v>0.34428560808832898</v>
      </c>
      <c r="I392" s="40">
        <v>-3.379574689785747E-2</v>
      </c>
      <c r="J392" s="40">
        <v>0.21170167149886665</v>
      </c>
    </row>
    <row r="393" spans="1:10" ht="11.25" customHeight="1" x14ac:dyDescent="0.2">
      <c r="A393" s="49">
        <v>44409</v>
      </c>
      <c r="B393" s="64">
        <v>0</v>
      </c>
      <c r="C393" s="64">
        <v>0</v>
      </c>
      <c r="D393" s="64">
        <v>289.48510079999994</v>
      </c>
      <c r="E393" s="64">
        <v>389.15065476143911</v>
      </c>
      <c r="F393" s="64">
        <v>156.34003199999998</v>
      </c>
      <c r="G393" s="64">
        <v>151.05640384852504</v>
      </c>
      <c r="H393" s="40">
        <v>0.34428560808832898</v>
      </c>
      <c r="I393" s="40">
        <v>-3.379574689785747E-2</v>
      </c>
      <c r="J393" s="40">
        <v>0.21170167149886687</v>
      </c>
    </row>
    <row r="394" spans="1:10" ht="11.25" customHeight="1" x14ac:dyDescent="0.2">
      <c r="A394" s="49">
        <v>44440</v>
      </c>
      <c r="B394" s="64">
        <v>0</v>
      </c>
      <c r="C394" s="64">
        <v>0</v>
      </c>
      <c r="D394" s="64">
        <v>299.99712959999999</v>
      </c>
      <c r="E394" s="64">
        <v>403.28182378908912</v>
      </c>
      <c r="F394" s="64">
        <v>162.01718399999999</v>
      </c>
      <c r="G394" s="64">
        <v>156.54169225643238</v>
      </c>
      <c r="H394" s="40">
        <v>0.34428560808832853</v>
      </c>
      <c r="I394" s="40">
        <v>-3.379574689785747E-2</v>
      </c>
      <c r="J394" s="40">
        <v>0.21170167149886665</v>
      </c>
    </row>
    <row r="395" spans="1:10" ht="11.25" customHeight="1" x14ac:dyDescent="0.2">
      <c r="A395" s="49">
        <v>44470</v>
      </c>
      <c r="B395" s="64">
        <v>0</v>
      </c>
      <c r="C395" s="64">
        <v>0</v>
      </c>
      <c r="D395" s="64">
        <v>278.97307199999995</v>
      </c>
      <c r="E395" s="64">
        <v>375.01948573378905</v>
      </c>
      <c r="F395" s="64">
        <v>150.66287999999997</v>
      </c>
      <c r="G395" s="64">
        <v>145.57111544061769</v>
      </c>
      <c r="H395" s="40">
        <v>0.34428560808832875</v>
      </c>
      <c r="I395" s="40">
        <v>-3.3795746897857581E-2</v>
      </c>
      <c r="J395" s="40">
        <v>0.21170167149886665</v>
      </c>
    </row>
    <row r="396" spans="1:10" ht="11.25" customHeight="1" x14ac:dyDescent="0.2">
      <c r="A396" s="49">
        <v>44501</v>
      </c>
      <c r="B396" s="64">
        <v>0</v>
      </c>
      <c r="C396" s="64">
        <v>0</v>
      </c>
      <c r="D396" s="64">
        <v>278.16445439999995</v>
      </c>
      <c r="E396" s="64">
        <v>373.93247273166213</v>
      </c>
      <c r="F396" s="64">
        <v>150.22617599999998</v>
      </c>
      <c r="G396" s="64">
        <v>145.14917017847097</v>
      </c>
      <c r="H396" s="40">
        <v>0.34428560808832875</v>
      </c>
      <c r="I396" s="40">
        <v>-3.3795746897857581E-2</v>
      </c>
      <c r="J396" s="40">
        <v>0.21170167149886643</v>
      </c>
    </row>
    <row r="397" spans="1:10" ht="11.25" customHeight="1" x14ac:dyDescent="0.2">
      <c r="A397" s="49">
        <v>44531</v>
      </c>
      <c r="B397" s="64">
        <v>0</v>
      </c>
      <c r="C397" s="64">
        <v>0</v>
      </c>
      <c r="D397" s="64">
        <v>250.67145599999998</v>
      </c>
      <c r="E397" s="64">
        <v>336.97403065934674</v>
      </c>
      <c r="F397" s="64">
        <v>135.37823999999998</v>
      </c>
      <c r="G397" s="64">
        <v>130.80303126548259</v>
      </c>
      <c r="H397" s="40">
        <v>0.34428560808832875</v>
      </c>
      <c r="I397" s="40">
        <v>-3.3795746897857359E-2</v>
      </c>
      <c r="J397" s="40">
        <v>0.21170167149886687</v>
      </c>
    </row>
    <row r="398" spans="1:10" ht="11.25" customHeight="1" x14ac:dyDescent="0.2">
      <c r="A398" s="49">
        <v>44593</v>
      </c>
      <c r="B398" s="64">
        <v>0</v>
      </c>
      <c r="C398" s="64">
        <v>0</v>
      </c>
      <c r="D398" s="64">
        <v>398.64847679999997</v>
      </c>
      <c r="E398" s="64">
        <v>535.89741004857399</v>
      </c>
      <c r="F398" s="64">
        <v>215.29507199999998</v>
      </c>
      <c r="G398" s="64">
        <v>208.01901423833198</v>
      </c>
      <c r="H398" s="40">
        <v>0.34428560808832875</v>
      </c>
      <c r="I398" s="40">
        <v>-3.379574689785747E-2</v>
      </c>
      <c r="J398" s="40">
        <v>0.21170167149886687</v>
      </c>
    </row>
    <row r="399" spans="1:10" ht="11.25" customHeight="1" x14ac:dyDescent="0.2">
      <c r="A399" s="49">
        <v>44621</v>
      </c>
      <c r="B399" s="64">
        <v>0</v>
      </c>
      <c r="C399" s="64">
        <v>0</v>
      </c>
      <c r="D399" s="64">
        <v>276.54721919999997</v>
      </c>
      <c r="E399" s="64">
        <v>371.75844672740834</v>
      </c>
      <c r="F399" s="64">
        <v>149.352768</v>
      </c>
      <c r="G399" s="64">
        <v>144.30527965417755</v>
      </c>
      <c r="H399" s="40">
        <v>0.34428560808832898</v>
      </c>
      <c r="I399" s="40">
        <v>-3.3795746897857581E-2</v>
      </c>
      <c r="J399" s="40">
        <v>0.21170167149886665</v>
      </c>
    </row>
    <row r="400" spans="1:10" ht="11.25" customHeight="1" x14ac:dyDescent="0.2">
      <c r="A400" s="49">
        <v>44652</v>
      </c>
      <c r="B400" s="64">
        <v>0</v>
      </c>
      <c r="C400" s="64">
        <v>0</v>
      </c>
      <c r="D400" s="64">
        <v>219.13536959999999</v>
      </c>
      <c r="E400" s="64">
        <v>294.58052357639667</v>
      </c>
      <c r="F400" s="64">
        <v>118.346784</v>
      </c>
      <c r="G400" s="64">
        <v>114.34716604176059</v>
      </c>
      <c r="H400" s="40">
        <v>0.34428560808832875</v>
      </c>
      <c r="I400" s="40">
        <v>-3.379574689785747E-2</v>
      </c>
      <c r="J400" s="40">
        <v>0.21170167149886665</v>
      </c>
    </row>
    <row r="401" spans="1:10" ht="11.25" customHeight="1" x14ac:dyDescent="0.2">
      <c r="A401" s="49">
        <v>44682</v>
      </c>
      <c r="B401" s="64">
        <v>0</v>
      </c>
      <c r="C401" s="64">
        <v>0</v>
      </c>
      <c r="D401" s="64">
        <v>269.2696608</v>
      </c>
      <c r="E401" s="64">
        <v>361.97532970826603</v>
      </c>
      <c r="F401" s="64">
        <v>145.42243199999999</v>
      </c>
      <c r="G401" s="64">
        <v>140.50777229485709</v>
      </c>
      <c r="H401" s="40">
        <v>0.34428560808832875</v>
      </c>
      <c r="I401" s="40">
        <v>-3.379574689785747E-2</v>
      </c>
      <c r="J401" s="40">
        <v>0.21170167149886687</v>
      </c>
    </row>
    <row r="402" spans="1:10" ht="11.25" customHeight="1" x14ac:dyDescent="0.2">
      <c r="A402" s="44" t="s">
        <v>50</v>
      </c>
      <c r="B402" s="64">
        <v>197852.83559999999</v>
      </c>
      <c r="C402" s="64">
        <v>260826.73541941625</v>
      </c>
      <c r="D402" s="64">
        <v>759685.64381079993</v>
      </c>
      <c r="E402" s="64">
        <v>1126312.3823169824</v>
      </c>
      <c r="F402" s="64">
        <v>1552967.8698464001</v>
      </c>
      <c r="G402" s="64">
        <v>1543794.7423857939</v>
      </c>
      <c r="H402" s="40">
        <v>0.44865104386190735</v>
      </c>
      <c r="I402" s="40">
        <v>-5.9068366053919297E-3</v>
      </c>
      <c r="J402" s="40">
        <v>0.16746721671880538</v>
      </c>
    </row>
    <row r="403" spans="1:10" ht="11.25" customHeight="1" x14ac:dyDescent="0.2">
      <c r="A403" s="45" t="s">
        <v>51</v>
      </c>
      <c r="B403" s="64">
        <v>197852.83559999999</v>
      </c>
      <c r="C403" s="64">
        <v>260826.73541941625</v>
      </c>
      <c r="D403" s="64">
        <v>759685.64381079993</v>
      </c>
      <c r="E403" s="64">
        <v>1126312.3823169824</v>
      </c>
      <c r="F403" s="64">
        <v>1552967.8698464001</v>
      </c>
      <c r="G403" s="64">
        <v>1543794.7423857939</v>
      </c>
      <c r="H403" s="40">
        <v>0.44865104386190735</v>
      </c>
      <c r="I403" s="40">
        <v>-5.9068366053919297E-3</v>
      </c>
      <c r="J403" s="40">
        <v>0.16746721671880538</v>
      </c>
    </row>
    <row r="404" spans="1:10" ht="11.25" customHeight="1" x14ac:dyDescent="0.2">
      <c r="A404" s="46" t="s">
        <v>25</v>
      </c>
      <c r="B404" s="64">
        <v>197852.83559999999</v>
      </c>
      <c r="C404" s="64">
        <v>260826.73541941625</v>
      </c>
      <c r="D404" s="64">
        <v>759685.64381079993</v>
      </c>
      <c r="E404" s="64">
        <v>1126312.3823169824</v>
      </c>
      <c r="F404" s="64">
        <v>1552967.8698464001</v>
      </c>
      <c r="G404" s="64">
        <v>1543794.7423857939</v>
      </c>
      <c r="H404" s="40">
        <v>0.44865104386190735</v>
      </c>
      <c r="I404" s="40">
        <v>-5.9068366053919297E-3</v>
      </c>
      <c r="J404" s="40">
        <v>0.16746721671880538</v>
      </c>
    </row>
    <row r="405" spans="1:10" ht="11.25" customHeight="1" x14ac:dyDescent="0.2">
      <c r="A405" s="47" t="s">
        <v>25</v>
      </c>
      <c r="B405" s="64">
        <v>197852.83559999999</v>
      </c>
      <c r="C405" s="64">
        <v>260826.73541941625</v>
      </c>
      <c r="D405" s="64">
        <v>759685.64381079993</v>
      </c>
      <c r="E405" s="64">
        <v>1126312.3823169824</v>
      </c>
      <c r="F405" s="64">
        <v>1552967.8698464001</v>
      </c>
      <c r="G405" s="64">
        <v>1543794.7423857939</v>
      </c>
      <c r="H405" s="40">
        <v>0.44865104386190735</v>
      </c>
      <c r="I405" s="40">
        <v>-5.9068366053919297E-3</v>
      </c>
      <c r="J405" s="40">
        <v>0.16746721671880538</v>
      </c>
    </row>
    <row r="406" spans="1:10" ht="11.25" customHeight="1" x14ac:dyDescent="0.2">
      <c r="A406" s="48" t="s">
        <v>35</v>
      </c>
      <c r="B406" s="64">
        <v>0</v>
      </c>
      <c r="C406" s="64">
        <v>0</v>
      </c>
      <c r="D406" s="64">
        <v>321060.1236388</v>
      </c>
      <c r="E406" s="64">
        <v>530273.64861216012</v>
      </c>
      <c r="F406" s="64">
        <v>1316082.6979664001</v>
      </c>
      <c r="G406" s="64">
        <v>1312430.7023507757</v>
      </c>
      <c r="H406" s="40">
        <v>0.65163347787385195</v>
      </c>
      <c r="I406" s="40">
        <v>-2.7748982805315681E-3</v>
      </c>
      <c r="J406" s="40">
        <v>0.12556114631232074</v>
      </c>
    </row>
    <row r="407" spans="1:10" ht="11.25" customHeight="1" x14ac:dyDescent="0.2">
      <c r="A407" s="49">
        <v>44348</v>
      </c>
      <c r="B407" s="64">
        <v>0</v>
      </c>
      <c r="C407" s="64">
        <v>0</v>
      </c>
      <c r="D407" s="64">
        <v>25582.7805506</v>
      </c>
      <c r="E407" s="64">
        <v>42253.376814471012</v>
      </c>
      <c r="F407" s="64">
        <v>104868.3793768</v>
      </c>
      <c r="G407" s="64">
        <v>104577.38029118521</v>
      </c>
      <c r="H407" s="40">
        <v>0.65163347787385173</v>
      </c>
      <c r="I407" s="40">
        <v>-2.774898280531346E-3</v>
      </c>
      <c r="J407" s="40">
        <v>0.12556114631232074</v>
      </c>
    </row>
    <row r="408" spans="1:10" ht="11.25" customHeight="1" x14ac:dyDescent="0.2">
      <c r="A408" s="49">
        <v>44378</v>
      </c>
      <c r="B408" s="64">
        <v>0</v>
      </c>
      <c r="C408" s="64">
        <v>0</v>
      </c>
      <c r="D408" s="64">
        <v>25256.285096000003</v>
      </c>
      <c r="E408" s="64">
        <v>41714.125991280016</v>
      </c>
      <c r="F408" s="64">
        <v>103530.016288</v>
      </c>
      <c r="G408" s="64">
        <v>103242.73102381904</v>
      </c>
      <c r="H408" s="40">
        <v>0.65163347787385195</v>
      </c>
      <c r="I408" s="40">
        <v>-2.774898280531346E-3</v>
      </c>
      <c r="J408" s="40">
        <v>0.12556114631232074</v>
      </c>
    </row>
    <row r="409" spans="1:10" ht="11.25" customHeight="1" x14ac:dyDescent="0.2">
      <c r="A409" s="49">
        <v>44409</v>
      </c>
      <c r="B409" s="64">
        <v>0</v>
      </c>
      <c r="C409" s="64">
        <v>0</v>
      </c>
      <c r="D409" s="64">
        <v>25634.881582800001</v>
      </c>
      <c r="E409" s="64">
        <v>42339.428623484317</v>
      </c>
      <c r="F409" s="64">
        <v>105081.95079839999</v>
      </c>
      <c r="G409" s="64">
        <v>104790.35907381463</v>
      </c>
      <c r="H409" s="40">
        <v>0.65163347787385173</v>
      </c>
      <c r="I409" s="40">
        <v>-2.774898280531346E-3</v>
      </c>
      <c r="J409" s="40">
        <v>0.12556114631232074</v>
      </c>
    </row>
    <row r="410" spans="1:10" ht="11.25" customHeight="1" x14ac:dyDescent="0.2">
      <c r="A410" s="49">
        <v>44440</v>
      </c>
      <c r="B410" s="64">
        <v>0</v>
      </c>
      <c r="C410" s="64">
        <v>0</v>
      </c>
      <c r="D410" s="64">
        <v>25351.423276200003</v>
      </c>
      <c r="E410" s="64">
        <v>41871.259394722329</v>
      </c>
      <c r="F410" s="64">
        <v>103920.0046536</v>
      </c>
      <c r="G410" s="64">
        <v>103631.63721137391</v>
      </c>
      <c r="H410" s="40">
        <v>0.65163347787385173</v>
      </c>
      <c r="I410" s="40">
        <v>-2.774898280531457E-3</v>
      </c>
      <c r="J410" s="40">
        <v>0.12556114631232074</v>
      </c>
    </row>
    <row r="411" spans="1:10" ht="11.25" customHeight="1" x14ac:dyDescent="0.2">
      <c r="A411" s="49">
        <v>44470</v>
      </c>
      <c r="B411" s="64">
        <v>0</v>
      </c>
      <c r="C411" s="64">
        <v>0</v>
      </c>
      <c r="D411" s="64">
        <v>25413.696725199999</v>
      </c>
      <c r="E411" s="64">
        <v>41974.112307873394</v>
      </c>
      <c r="F411" s="64">
        <v>104175.2746256</v>
      </c>
      <c r="G411" s="64">
        <v>103886.19883516754</v>
      </c>
      <c r="H411" s="40">
        <v>0.65163347787385195</v>
      </c>
      <c r="I411" s="40">
        <v>-2.774898280531346E-3</v>
      </c>
      <c r="J411" s="40">
        <v>0.12556114631232074</v>
      </c>
    </row>
    <row r="412" spans="1:10" ht="11.25" customHeight="1" x14ac:dyDescent="0.2">
      <c r="A412" s="49">
        <v>44501</v>
      </c>
      <c r="B412" s="64">
        <v>0</v>
      </c>
      <c r="C412" s="64">
        <v>0</v>
      </c>
      <c r="D412" s="64">
        <v>25952.443568800001</v>
      </c>
      <c r="E412" s="64">
        <v>42863.924630862028</v>
      </c>
      <c r="F412" s="64">
        <v>106383.69400639999</v>
      </c>
      <c r="G412" s="64">
        <v>106088.49007682505</v>
      </c>
      <c r="H412" s="40">
        <v>0.65163347787385195</v>
      </c>
      <c r="I412" s="40">
        <v>-2.774898280531457E-3</v>
      </c>
      <c r="J412" s="40">
        <v>0.12556114631232052</v>
      </c>
    </row>
    <row r="413" spans="1:10" ht="11.25" customHeight="1" x14ac:dyDescent="0.2">
      <c r="A413" s="49">
        <v>44531</v>
      </c>
      <c r="B413" s="64">
        <v>0</v>
      </c>
      <c r="C413" s="64">
        <v>0</v>
      </c>
      <c r="D413" s="64">
        <v>27947.802248800002</v>
      </c>
      <c r="E413" s="64">
        <v>46159.525827116209</v>
      </c>
      <c r="F413" s="64">
        <v>114563.02504640001</v>
      </c>
      <c r="G413" s="64">
        <v>114245.12430518627</v>
      </c>
      <c r="H413" s="40">
        <v>0.65163347787385195</v>
      </c>
      <c r="I413" s="40">
        <v>-2.774898280531457E-3</v>
      </c>
      <c r="J413" s="40">
        <v>0.12556114631232052</v>
      </c>
    </row>
    <row r="414" spans="1:10" ht="11.25" customHeight="1" x14ac:dyDescent="0.2">
      <c r="A414" s="49">
        <v>44562</v>
      </c>
      <c r="B414" s="64">
        <v>0</v>
      </c>
      <c r="C414" s="64">
        <v>0</v>
      </c>
      <c r="D414" s="64">
        <v>29198.748684000002</v>
      </c>
      <c r="E414" s="64">
        <v>48225.630838519479</v>
      </c>
      <c r="F414" s="64">
        <v>119690.87755200001</v>
      </c>
      <c r="G414" s="64">
        <v>119358.74754168566</v>
      </c>
      <c r="H414" s="40">
        <v>0.65163347787385195</v>
      </c>
      <c r="I414" s="40">
        <v>-2.774898280531457E-3</v>
      </c>
      <c r="J414" s="40">
        <v>0.12556114631232052</v>
      </c>
    </row>
    <row r="415" spans="1:10" ht="11.25" customHeight="1" x14ac:dyDescent="0.2">
      <c r="A415" s="49">
        <v>44593</v>
      </c>
      <c r="B415" s="64">
        <v>0</v>
      </c>
      <c r="C415" s="64">
        <v>0</v>
      </c>
      <c r="D415" s="64">
        <v>27209.715160600001</v>
      </c>
      <c r="E415" s="64">
        <v>44940.476482658654</v>
      </c>
      <c r="F415" s="64">
        <v>111537.4744568</v>
      </c>
      <c r="G415" s="64">
        <v>111227.96931071501</v>
      </c>
      <c r="H415" s="40">
        <v>0.65163347787385195</v>
      </c>
      <c r="I415" s="40">
        <v>-2.774898280531457E-3</v>
      </c>
      <c r="J415" s="40">
        <v>0.12556114631232074</v>
      </c>
    </row>
    <row r="416" spans="1:10" ht="11.25" customHeight="1" x14ac:dyDescent="0.2">
      <c r="A416" s="49">
        <v>44621</v>
      </c>
      <c r="B416" s="64">
        <v>0</v>
      </c>
      <c r="C416" s="64">
        <v>0</v>
      </c>
      <c r="D416" s="64">
        <v>25152.409070600002</v>
      </c>
      <c r="E416" s="64">
        <v>41542.560870180896</v>
      </c>
      <c r="F416" s="64">
        <v>103104.20993680001</v>
      </c>
      <c r="G416" s="64">
        <v>102818.10624193081</v>
      </c>
      <c r="H416" s="40">
        <v>0.65163347787385173</v>
      </c>
      <c r="I416" s="40">
        <v>-2.7748982805315681E-3</v>
      </c>
      <c r="J416" s="40">
        <v>0.12556114631232052</v>
      </c>
    </row>
    <row r="417" spans="1:10" ht="11.25" customHeight="1" x14ac:dyDescent="0.2">
      <c r="A417" s="49">
        <v>44652</v>
      </c>
      <c r="B417" s="64">
        <v>0</v>
      </c>
      <c r="C417" s="64">
        <v>0</v>
      </c>
      <c r="D417" s="64">
        <v>29395.545824400004</v>
      </c>
      <c r="E417" s="64">
        <v>48550.66758395396</v>
      </c>
      <c r="F417" s="64">
        <v>120497.58412320001</v>
      </c>
      <c r="G417" s="64">
        <v>120163.21558420834</v>
      </c>
      <c r="H417" s="40">
        <v>0.65163347787385173</v>
      </c>
      <c r="I417" s="40">
        <v>-2.774898280531457E-3</v>
      </c>
      <c r="J417" s="40">
        <v>0.12556114631232074</v>
      </c>
    </row>
    <row r="418" spans="1:10" ht="11.25" customHeight="1" x14ac:dyDescent="0.2">
      <c r="A418" s="49">
        <v>44682</v>
      </c>
      <c r="B418" s="64">
        <v>0</v>
      </c>
      <c r="C418" s="64">
        <v>0</v>
      </c>
      <c r="D418" s="64">
        <v>28964.391850800002</v>
      </c>
      <c r="E418" s="64">
        <v>47838.559247037861</v>
      </c>
      <c r="F418" s="64">
        <v>118730.2071024</v>
      </c>
      <c r="G418" s="64">
        <v>118400.74285486441</v>
      </c>
      <c r="H418" s="40">
        <v>0.65163347787385195</v>
      </c>
      <c r="I418" s="40">
        <v>-2.774898280531457E-3</v>
      </c>
      <c r="J418" s="40">
        <v>0.12556114631232052</v>
      </c>
    </row>
    <row r="419" spans="1:10" ht="11.25" customHeight="1" x14ac:dyDescent="0.2">
      <c r="A419" s="48" t="s">
        <v>25</v>
      </c>
      <c r="B419" s="64">
        <v>197852.83559999999</v>
      </c>
      <c r="C419" s="64">
        <v>260826.73541941625</v>
      </c>
      <c r="D419" s="64">
        <v>0</v>
      </c>
      <c r="E419" s="64">
        <v>0</v>
      </c>
      <c r="F419" s="64">
        <v>0</v>
      </c>
      <c r="G419" s="64">
        <v>0</v>
      </c>
      <c r="H419" s="40">
        <v>0.31828656702565983</v>
      </c>
      <c r="I419" s="40">
        <v>0</v>
      </c>
      <c r="J419" s="40">
        <v>0.31828656702565983</v>
      </c>
    </row>
    <row r="420" spans="1:10" ht="11.25" customHeight="1" x14ac:dyDescent="0.2">
      <c r="A420" s="49">
        <v>44348</v>
      </c>
      <c r="B420" s="64">
        <v>16671.614399999999</v>
      </c>
      <c r="C420" s="64">
        <v>21977.965314151556</v>
      </c>
      <c r="D420" s="64">
        <v>0</v>
      </c>
      <c r="E420" s="64">
        <v>0</v>
      </c>
      <c r="F420" s="64">
        <v>0</v>
      </c>
      <c r="G420" s="64">
        <v>0</v>
      </c>
      <c r="H420" s="40">
        <v>0.31828656702565983</v>
      </c>
      <c r="I420" s="40">
        <v>0</v>
      </c>
      <c r="J420" s="40">
        <v>0.31828656702565983</v>
      </c>
    </row>
    <row r="421" spans="1:10" ht="11.25" customHeight="1" x14ac:dyDescent="0.2">
      <c r="A421" s="49">
        <v>44378</v>
      </c>
      <c r="B421" s="64">
        <v>16531.516799999998</v>
      </c>
      <c r="C421" s="64">
        <v>21793.276529999021</v>
      </c>
      <c r="D421" s="64">
        <v>0</v>
      </c>
      <c r="E421" s="64">
        <v>0</v>
      </c>
      <c r="F421" s="64">
        <v>0</v>
      </c>
      <c r="G421" s="64">
        <v>0</v>
      </c>
      <c r="H421" s="40">
        <v>0.31828656702566005</v>
      </c>
      <c r="I421" s="40">
        <v>0</v>
      </c>
      <c r="J421" s="40">
        <v>0.31828656702566005</v>
      </c>
    </row>
    <row r="422" spans="1:10" ht="11.25" customHeight="1" x14ac:dyDescent="0.2">
      <c r="A422" s="49">
        <v>44409</v>
      </c>
      <c r="B422" s="64">
        <v>16659.939599999998</v>
      </c>
      <c r="C422" s="64">
        <v>21962.574582138845</v>
      </c>
      <c r="D422" s="64">
        <v>0</v>
      </c>
      <c r="E422" s="64">
        <v>0</v>
      </c>
      <c r="F422" s="64">
        <v>0</v>
      </c>
      <c r="G422" s="64">
        <v>0</v>
      </c>
      <c r="H422" s="40">
        <v>0.31828656702566005</v>
      </c>
      <c r="I422" s="40">
        <v>0</v>
      </c>
      <c r="J422" s="40">
        <v>0.31828656702566005</v>
      </c>
    </row>
    <row r="423" spans="1:10" ht="11.25" customHeight="1" x14ac:dyDescent="0.2">
      <c r="A423" s="49">
        <v>44440</v>
      </c>
      <c r="B423" s="64">
        <v>16017.825599999998</v>
      </c>
      <c r="C423" s="64">
        <v>21116.084321439728</v>
      </c>
      <c r="D423" s="64">
        <v>0</v>
      </c>
      <c r="E423" s="64">
        <v>0</v>
      </c>
      <c r="F423" s="64">
        <v>0</v>
      </c>
      <c r="G423" s="64">
        <v>0</v>
      </c>
      <c r="H423" s="40">
        <v>0.31828656702565983</v>
      </c>
      <c r="I423" s="40">
        <v>0</v>
      </c>
      <c r="J423" s="40">
        <v>0.31828656702565983</v>
      </c>
    </row>
    <row r="424" spans="1:10" ht="11.25" customHeight="1" x14ac:dyDescent="0.2">
      <c r="A424" s="49">
        <v>44470</v>
      </c>
      <c r="B424" s="64">
        <v>16671.614399999999</v>
      </c>
      <c r="C424" s="64">
        <v>21977.965314151556</v>
      </c>
      <c r="D424" s="64">
        <v>0</v>
      </c>
      <c r="E424" s="64">
        <v>0</v>
      </c>
      <c r="F424" s="64">
        <v>0</v>
      </c>
      <c r="G424" s="64">
        <v>0</v>
      </c>
      <c r="H424" s="40">
        <v>0.31828656702565983</v>
      </c>
      <c r="I424" s="40">
        <v>0</v>
      </c>
      <c r="J424" s="40">
        <v>0.31828656702565983</v>
      </c>
    </row>
    <row r="425" spans="1:10" ht="11.25" customHeight="1" x14ac:dyDescent="0.2">
      <c r="A425" s="49">
        <v>44501</v>
      </c>
      <c r="B425" s="64">
        <v>16274.671199999999</v>
      </c>
      <c r="C425" s="64">
        <v>21454.680425719373</v>
      </c>
      <c r="D425" s="64">
        <v>0</v>
      </c>
      <c r="E425" s="64">
        <v>0</v>
      </c>
      <c r="F425" s="64">
        <v>0</v>
      </c>
      <c r="G425" s="64">
        <v>0</v>
      </c>
      <c r="H425" s="40">
        <v>0.31828656702565983</v>
      </c>
      <c r="I425" s="40">
        <v>0</v>
      </c>
      <c r="J425" s="40">
        <v>0.31828656702565983</v>
      </c>
    </row>
    <row r="426" spans="1:10" ht="11.25" customHeight="1" x14ac:dyDescent="0.2">
      <c r="A426" s="49">
        <v>44531</v>
      </c>
      <c r="B426" s="64">
        <v>16601.565599999998</v>
      </c>
      <c r="C426" s="64">
        <v>21885.620922075286</v>
      </c>
      <c r="D426" s="64">
        <v>0</v>
      </c>
      <c r="E426" s="64">
        <v>0</v>
      </c>
      <c r="F426" s="64">
        <v>0</v>
      </c>
      <c r="G426" s="64">
        <v>0</v>
      </c>
      <c r="H426" s="40">
        <v>0.31828656702565983</v>
      </c>
      <c r="I426" s="40">
        <v>0</v>
      </c>
      <c r="J426" s="40">
        <v>0.31828656702565983</v>
      </c>
    </row>
    <row r="427" spans="1:10" ht="11.25" customHeight="1" x14ac:dyDescent="0.2">
      <c r="A427" s="49">
        <v>44562</v>
      </c>
      <c r="B427" s="64">
        <v>16566.5412</v>
      </c>
      <c r="C427" s="64">
        <v>21839.448726037153</v>
      </c>
      <c r="D427" s="64">
        <v>0</v>
      </c>
      <c r="E427" s="64">
        <v>0</v>
      </c>
      <c r="F427" s="64">
        <v>0</v>
      </c>
      <c r="G427" s="64">
        <v>0</v>
      </c>
      <c r="H427" s="40">
        <v>0.31828656702565983</v>
      </c>
      <c r="I427" s="40">
        <v>0</v>
      </c>
      <c r="J427" s="40">
        <v>0.31828656702565983</v>
      </c>
    </row>
    <row r="428" spans="1:10" ht="11.25" customHeight="1" x14ac:dyDescent="0.2">
      <c r="A428" s="49">
        <v>44593</v>
      </c>
      <c r="B428" s="64">
        <v>16438.118399999999</v>
      </c>
      <c r="C428" s="64">
        <v>21670.150673897329</v>
      </c>
      <c r="D428" s="64">
        <v>0</v>
      </c>
      <c r="E428" s="64">
        <v>0</v>
      </c>
      <c r="F428" s="64">
        <v>0</v>
      </c>
      <c r="G428" s="64">
        <v>0</v>
      </c>
      <c r="H428" s="40">
        <v>0.31828656702565961</v>
      </c>
      <c r="I428" s="40">
        <v>0</v>
      </c>
      <c r="J428" s="40">
        <v>0.31828656702565961</v>
      </c>
    </row>
    <row r="429" spans="1:10" ht="11.25" customHeight="1" x14ac:dyDescent="0.2">
      <c r="A429" s="49">
        <v>44621</v>
      </c>
      <c r="B429" s="64">
        <v>16157.923199999999</v>
      </c>
      <c r="C429" s="64">
        <v>21300.773105592263</v>
      </c>
      <c r="D429" s="64">
        <v>0</v>
      </c>
      <c r="E429" s="64">
        <v>0</v>
      </c>
      <c r="F429" s="64">
        <v>0</v>
      </c>
      <c r="G429" s="64">
        <v>0</v>
      </c>
      <c r="H429" s="40">
        <v>0.31828656702565983</v>
      </c>
      <c r="I429" s="40">
        <v>0</v>
      </c>
      <c r="J429" s="40">
        <v>0.31828656702565983</v>
      </c>
    </row>
    <row r="430" spans="1:10" ht="11.25" customHeight="1" x14ac:dyDescent="0.2">
      <c r="A430" s="49">
        <v>44652</v>
      </c>
      <c r="B430" s="64">
        <v>16613.240399999999</v>
      </c>
      <c r="C430" s="64">
        <v>21901.011654087997</v>
      </c>
      <c r="D430" s="64">
        <v>0</v>
      </c>
      <c r="E430" s="64">
        <v>0</v>
      </c>
      <c r="F430" s="64">
        <v>0</v>
      </c>
      <c r="G430" s="64">
        <v>0</v>
      </c>
      <c r="H430" s="40">
        <v>0.31828656702565983</v>
      </c>
      <c r="I430" s="40">
        <v>0</v>
      </c>
      <c r="J430" s="40">
        <v>0.31828656702565983</v>
      </c>
    </row>
    <row r="431" spans="1:10" ht="11.25" customHeight="1" x14ac:dyDescent="0.2">
      <c r="A431" s="49">
        <v>44682</v>
      </c>
      <c r="B431" s="64">
        <v>16648.264800000001</v>
      </c>
      <c r="C431" s="64">
        <v>21947.183850126134</v>
      </c>
      <c r="D431" s="64">
        <v>0</v>
      </c>
      <c r="E431" s="64">
        <v>0</v>
      </c>
      <c r="F431" s="64">
        <v>0</v>
      </c>
      <c r="G431" s="64">
        <v>0</v>
      </c>
      <c r="H431" s="40">
        <v>0.31828656702565983</v>
      </c>
      <c r="I431" s="40">
        <v>0</v>
      </c>
      <c r="J431" s="40">
        <v>0.31828656702565983</v>
      </c>
    </row>
    <row r="432" spans="1:10" ht="11.25" customHeight="1" x14ac:dyDescent="0.2">
      <c r="A432" s="48" t="s">
        <v>37</v>
      </c>
      <c r="B432" s="64">
        <v>0</v>
      </c>
      <c r="C432" s="64">
        <v>0</v>
      </c>
      <c r="D432" s="64">
        <v>438625.52017199981</v>
      </c>
      <c r="E432" s="64">
        <v>596038.73370482214</v>
      </c>
      <c r="F432" s="64">
        <v>236885.17187999995</v>
      </c>
      <c r="G432" s="64">
        <v>231364.040035018</v>
      </c>
      <c r="H432" s="40">
        <v>0.35887837413357815</v>
      </c>
      <c r="I432" s="40">
        <v>-2.3307207459058787E-2</v>
      </c>
      <c r="J432" s="40">
        <v>0.22485518508439539</v>
      </c>
    </row>
    <row r="433" spans="1:10" ht="11.25" customHeight="1" x14ac:dyDescent="0.2">
      <c r="A433" s="49">
        <v>44348</v>
      </c>
      <c r="B433" s="64">
        <v>0</v>
      </c>
      <c r="C433" s="64">
        <v>0</v>
      </c>
      <c r="D433" s="64">
        <v>35116.645132799989</v>
      </c>
      <c r="E433" s="64">
        <v>47719.249643085066</v>
      </c>
      <c r="F433" s="64">
        <v>18965.181311999997</v>
      </c>
      <c r="G433" s="64">
        <v>18523.155896662549</v>
      </c>
      <c r="H433" s="40">
        <v>0.3588783741335777</v>
      </c>
      <c r="I433" s="40">
        <v>-2.3307207459058787E-2</v>
      </c>
      <c r="J433" s="40">
        <v>0.22485518508439517</v>
      </c>
    </row>
    <row r="434" spans="1:10" ht="11.25" customHeight="1" x14ac:dyDescent="0.2">
      <c r="A434" s="49">
        <v>44378</v>
      </c>
      <c r="B434" s="64">
        <v>0</v>
      </c>
      <c r="C434" s="64">
        <v>0</v>
      </c>
      <c r="D434" s="64">
        <v>33239.355143399996</v>
      </c>
      <c r="E434" s="64">
        <v>45168.240874511961</v>
      </c>
      <c r="F434" s="64">
        <v>17951.327485999998</v>
      </c>
      <c r="G434" s="64">
        <v>17532.932172118293</v>
      </c>
      <c r="H434" s="40">
        <v>0.3588783741335777</v>
      </c>
      <c r="I434" s="40">
        <v>-2.3307207459058676E-2</v>
      </c>
      <c r="J434" s="40">
        <v>0.22485518508439517</v>
      </c>
    </row>
    <row r="435" spans="1:10" ht="11.25" customHeight="1" x14ac:dyDescent="0.2">
      <c r="A435" s="49">
        <v>44409</v>
      </c>
      <c r="B435" s="64">
        <v>0</v>
      </c>
      <c r="C435" s="64">
        <v>0</v>
      </c>
      <c r="D435" s="64">
        <v>35754.812881199992</v>
      </c>
      <c r="E435" s="64">
        <v>48586.441995455352</v>
      </c>
      <c r="F435" s="64">
        <v>19309.831747999997</v>
      </c>
      <c r="G435" s="64">
        <v>18859.773493449844</v>
      </c>
      <c r="H435" s="40">
        <v>0.35887837413357793</v>
      </c>
      <c r="I435" s="40">
        <v>-2.3307207459058676E-2</v>
      </c>
      <c r="J435" s="40">
        <v>0.22485518508439517</v>
      </c>
    </row>
    <row r="436" spans="1:10" ht="11.25" customHeight="1" x14ac:dyDescent="0.2">
      <c r="A436" s="49">
        <v>44440</v>
      </c>
      <c r="B436" s="64">
        <v>0</v>
      </c>
      <c r="C436" s="64">
        <v>0</v>
      </c>
      <c r="D436" s="64">
        <v>33326.449997399992</v>
      </c>
      <c r="E436" s="64">
        <v>45286.592188110881</v>
      </c>
      <c r="F436" s="64">
        <v>17998.364145999996</v>
      </c>
      <c r="G436" s="64">
        <v>17578.872538925491</v>
      </c>
      <c r="H436" s="40">
        <v>0.35887837413357793</v>
      </c>
      <c r="I436" s="40">
        <v>-2.3307207459058676E-2</v>
      </c>
      <c r="J436" s="40">
        <v>0.22485518508439517</v>
      </c>
    </row>
    <row r="437" spans="1:10" ht="11.25" customHeight="1" x14ac:dyDescent="0.2">
      <c r="A437" s="49">
        <v>44470</v>
      </c>
      <c r="B437" s="64">
        <v>0</v>
      </c>
      <c r="C437" s="64">
        <v>0</v>
      </c>
      <c r="D437" s="64">
        <v>34320.123104399994</v>
      </c>
      <c r="E437" s="64">
        <v>46636.873084171297</v>
      </c>
      <c r="F437" s="64">
        <v>18535.009675999994</v>
      </c>
      <c r="G437" s="64">
        <v>18103.010360225802</v>
      </c>
      <c r="H437" s="40">
        <v>0.3588783741335777</v>
      </c>
      <c r="I437" s="40">
        <v>-2.3307207459058676E-2</v>
      </c>
      <c r="J437" s="40">
        <v>0.22485518508439495</v>
      </c>
    </row>
    <row r="438" spans="1:10" ht="11.25" customHeight="1" x14ac:dyDescent="0.2">
      <c r="A438" s="49">
        <v>44501</v>
      </c>
      <c r="B438" s="64">
        <v>0</v>
      </c>
      <c r="C438" s="64">
        <v>0</v>
      </c>
      <c r="D438" s="64">
        <v>35468.191634399991</v>
      </c>
      <c r="E438" s="64">
        <v>48196.958581611623</v>
      </c>
      <c r="F438" s="64">
        <v>19155.038375999997</v>
      </c>
      <c r="G438" s="64">
        <v>18708.587922684332</v>
      </c>
      <c r="H438" s="40">
        <v>0.3588783741335777</v>
      </c>
      <c r="I438" s="40">
        <v>-2.3307207459058787E-2</v>
      </c>
      <c r="J438" s="40">
        <v>0.22485518508439495</v>
      </c>
    </row>
    <row r="439" spans="1:10" ht="11.25" customHeight="1" x14ac:dyDescent="0.2">
      <c r="A439" s="49">
        <v>44531</v>
      </c>
      <c r="B439" s="64">
        <v>0</v>
      </c>
      <c r="C439" s="64">
        <v>0</v>
      </c>
      <c r="D439" s="64">
        <v>41708.142037799989</v>
      </c>
      <c r="E439" s="64">
        <v>56676.29224045798</v>
      </c>
      <c r="F439" s="64">
        <v>22525.001261999998</v>
      </c>
      <c r="G439" s="64">
        <v>22000.006384571003</v>
      </c>
      <c r="H439" s="40">
        <v>0.35887837413357793</v>
      </c>
      <c r="I439" s="40">
        <v>-2.3307207459058787E-2</v>
      </c>
      <c r="J439" s="40">
        <v>0.22485518508439495</v>
      </c>
    </row>
    <row r="440" spans="1:10" ht="11.25" customHeight="1" x14ac:dyDescent="0.2">
      <c r="A440" s="49">
        <v>44562</v>
      </c>
      <c r="B440" s="64">
        <v>0</v>
      </c>
      <c r="C440" s="64">
        <v>0</v>
      </c>
      <c r="D440" s="64">
        <v>39439.716976799988</v>
      </c>
      <c r="E440" s="64">
        <v>53593.778481722438</v>
      </c>
      <c r="F440" s="64">
        <v>21299.910071999995</v>
      </c>
      <c r="G440" s="64">
        <v>20803.468649092596</v>
      </c>
      <c r="H440" s="40">
        <v>0.35887837413357793</v>
      </c>
      <c r="I440" s="40">
        <v>-2.3307207459058787E-2</v>
      </c>
      <c r="J440" s="40">
        <v>0.22485518508439495</v>
      </c>
    </row>
    <row r="441" spans="1:10" ht="11.25" customHeight="1" x14ac:dyDescent="0.2">
      <c r="A441" s="49">
        <v>44593</v>
      </c>
      <c r="B441" s="64">
        <v>0</v>
      </c>
      <c r="C441" s="64">
        <v>0</v>
      </c>
      <c r="D441" s="64">
        <v>37322.520253199989</v>
      </c>
      <c r="E441" s="64">
        <v>50716.765640235935</v>
      </c>
      <c r="F441" s="64">
        <v>20156.491627999996</v>
      </c>
      <c r="G441" s="64">
        <v>19686.70009597942</v>
      </c>
      <c r="H441" s="40">
        <v>0.35887837413357793</v>
      </c>
      <c r="I441" s="40">
        <v>-2.3307207459058676E-2</v>
      </c>
      <c r="J441" s="40">
        <v>0.22485518508439517</v>
      </c>
    </row>
    <row r="442" spans="1:10" ht="11.25" customHeight="1" x14ac:dyDescent="0.2">
      <c r="A442" s="49">
        <v>44621</v>
      </c>
      <c r="B442" s="64">
        <v>0</v>
      </c>
      <c r="C442" s="64">
        <v>0</v>
      </c>
      <c r="D442" s="64">
        <v>35025.591421799996</v>
      </c>
      <c r="E442" s="64">
        <v>47595.518724322566</v>
      </c>
      <c r="F442" s="64">
        <v>18916.006621999997</v>
      </c>
      <c r="G442" s="64">
        <v>18475.127331364114</v>
      </c>
      <c r="H442" s="40">
        <v>0.3588783741335777</v>
      </c>
      <c r="I442" s="40">
        <v>-2.3307207459058787E-2</v>
      </c>
      <c r="J442" s="40">
        <v>0.22485518508439495</v>
      </c>
    </row>
    <row r="443" spans="1:10" ht="11.25" customHeight="1" x14ac:dyDescent="0.2">
      <c r="A443" s="49">
        <v>44652</v>
      </c>
      <c r="B443" s="64">
        <v>0</v>
      </c>
      <c r="C443" s="64">
        <v>0</v>
      </c>
      <c r="D443" s="64">
        <v>36364.476859199989</v>
      </c>
      <c r="E443" s="64">
        <v>49414.901190647797</v>
      </c>
      <c r="F443" s="64">
        <v>19639.088367999997</v>
      </c>
      <c r="G443" s="64">
        <v>19181.356061100232</v>
      </c>
      <c r="H443" s="40">
        <v>0.35887837413357793</v>
      </c>
      <c r="I443" s="40">
        <v>-2.3307207459058787E-2</v>
      </c>
      <c r="J443" s="40">
        <v>0.22485518508439495</v>
      </c>
    </row>
    <row r="444" spans="1:10" ht="11.25" customHeight="1" x14ac:dyDescent="0.2">
      <c r="A444" s="49">
        <v>44682</v>
      </c>
      <c r="B444" s="64">
        <v>0</v>
      </c>
      <c r="C444" s="64">
        <v>0</v>
      </c>
      <c r="D444" s="64">
        <v>41539.494729599988</v>
      </c>
      <c r="E444" s="64">
        <v>56447.12106048916</v>
      </c>
      <c r="F444" s="64">
        <v>22433.921183999995</v>
      </c>
      <c r="G444" s="64">
        <v>21911.049128844334</v>
      </c>
      <c r="H444" s="40">
        <v>0.35887837413357793</v>
      </c>
      <c r="I444" s="40">
        <v>-2.3307207459058787E-2</v>
      </c>
      <c r="J444" s="40">
        <v>0.22485518508439517</v>
      </c>
    </row>
    <row r="445" spans="1:10" ht="11.25" customHeight="1" x14ac:dyDescent="0.2">
      <c r="A445" s="42" t="s">
        <v>22</v>
      </c>
      <c r="B445" s="64">
        <v>0</v>
      </c>
      <c r="C445" s="64">
        <v>0</v>
      </c>
      <c r="D445" s="64">
        <v>27195023.177580014</v>
      </c>
      <c r="E445" s="64">
        <v>31256464.758316439</v>
      </c>
      <c r="F445" s="64">
        <v>26627679.143309999</v>
      </c>
      <c r="G445" s="64">
        <v>25664558.264305808</v>
      </c>
      <c r="H445" s="40">
        <v>0.14934503104541408</v>
      </c>
      <c r="I445" s="40">
        <v>-3.6169914539704973E-2</v>
      </c>
      <c r="J445" s="40">
        <v>5.7565312927992718E-2</v>
      </c>
    </row>
    <row r="446" spans="1:10" ht="11.25" customHeight="1" x14ac:dyDescent="0.2">
      <c r="A446" s="43" t="s">
        <v>36</v>
      </c>
      <c r="B446" s="64">
        <v>0</v>
      </c>
      <c r="C446" s="64">
        <v>0</v>
      </c>
      <c r="D446" s="64">
        <v>7451.5698400000019</v>
      </c>
      <c r="E446" s="64">
        <v>8849.5045361171033</v>
      </c>
      <c r="F446" s="64">
        <v>8594.441740000002</v>
      </c>
      <c r="G446" s="64">
        <v>8285.4383671542873</v>
      </c>
      <c r="H446" s="40">
        <v>0.18760271005083951</v>
      </c>
      <c r="I446" s="40">
        <v>-3.5953862065008835E-2</v>
      </c>
      <c r="J446" s="40">
        <v>6.786305231317713E-2</v>
      </c>
    </row>
    <row r="447" spans="1:10" ht="11.25" customHeight="1" x14ac:dyDescent="0.2">
      <c r="A447" s="44" t="s">
        <v>24</v>
      </c>
      <c r="B447" s="64">
        <v>0</v>
      </c>
      <c r="C447" s="64">
        <v>0</v>
      </c>
      <c r="D447" s="64">
        <v>7451.5698400000019</v>
      </c>
      <c r="E447" s="64">
        <v>8849.5045361171033</v>
      </c>
      <c r="F447" s="64">
        <v>8594.441740000002</v>
      </c>
      <c r="G447" s="64">
        <v>8285.4383671542873</v>
      </c>
      <c r="H447" s="40">
        <v>0.18760271005083951</v>
      </c>
      <c r="I447" s="40">
        <v>-3.5953862065008835E-2</v>
      </c>
      <c r="J447" s="40">
        <v>6.786305231317713E-2</v>
      </c>
    </row>
    <row r="448" spans="1:10" ht="11.25" customHeight="1" x14ac:dyDescent="0.2">
      <c r="A448" s="45" t="s">
        <v>24</v>
      </c>
      <c r="B448" s="64">
        <v>0</v>
      </c>
      <c r="C448" s="64">
        <v>0</v>
      </c>
      <c r="D448" s="64">
        <v>7451.5698400000019</v>
      </c>
      <c r="E448" s="64">
        <v>8849.5045361171033</v>
      </c>
      <c r="F448" s="64">
        <v>8594.441740000002</v>
      </c>
      <c r="G448" s="64">
        <v>8285.4383671542873</v>
      </c>
      <c r="H448" s="40">
        <v>0.18760271005083951</v>
      </c>
      <c r="I448" s="40">
        <v>-3.5953862065008835E-2</v>
      </c>
      <c r="J448" s="40">
        <v>6.786305231317713E-2</v>
      </c>
    </row>
    <row r="449" spans="1:10" ht="11.25" customHeight="1" x14ac:dyDescent="0.2">
      <c r="A449" s="46" t="s">
        <v>25</v>
      </c>
      <c r="B449" s="64">
        <v>0</v>
      </c>
      <c r="C449" s="64">
        <v>0</v>
      </c>
      <c r="D449" s="64">
        <v>7451.5698400000019</v>
      </c>
      <c r="E449" s="64">
        <v>8849.5045361171033</v>
      </c>
      <c r="F449" s="64">
        <v>8594.441740000002</v>
      </c>
      <c r="G449" s="64">
        <v>8285.4383671542873</v>
      </c>
      <c r="H449" s="40">
        <v>0.18760271005083951</v>
      </c>
      <c r="I449" s="40">
        <v>-3.5953862065008835E-2</v>
      </c>
      <c r="J449" s="40">
        <v>6.786305231317713E-2</v>
      </c>
    </row>
    <row r="450" spans="1:10" ht="11.25" customHeight="1" x14ac:dyDescent="0.2">
      <c r="A450" s="47" t="s">
        <v>25</v>
      </c>
      <c r="B450" s="64">
        <v>0</v>
      </c>
      <c r="C450" s="64">
        <v>0</v>
      </c>
      <c r="D450" s="64">
        <v>7451.5698400000019</v>
      </c>
      <c r="E450" s="64">
        <v>8849.5045361171033</v>
      </c>
      <c r="F450" s="64">
        <v>8594.441740000002</v>
      </c>
      <c r="G450" s="64">
        <v>8285.4383671542873</v>
      </c>
      <c r="H450" s="40">
        <v>0.18760271005083951</v>
      </c>
      <c r="I450" s="40">
        <v>-3.5953862065008835E-2</v>
      </c>
      <c r="J450" s="40">
        <v>6.786305231317713E-2</v>
      </c>
    </row>
    <row r="451" spans="1:10" ht="11.25" customHeight="1" x14ac:dyDescent="0.2">
      <c r="A451" s="48" t="s">
        <v>35</v>
      </c>
      <c r="B451" s="64">
        <v>0</v>
      </c>
      <c r="C451" s="64">
        <v>0</v>
      </c>
      <c r="D451" s="64">
        <v>3633.5371799999998</v>
      </c>
      <c r="E451" s="64">
        <v>4798.4526415111632</v>
      </c>
      <c r="F451" s="64">
        <v>6824.071280000001</v>
      </c>
      <c r="G451" s="64">
        <v>6594.6670781016201</v>
      </c>
      <c r="H451" s="40">
        <v>0.32060094717708743</v>
      </c>
      <c r="I451" s="40">
        <v>-3.3616911735772637E-2</v>
      </c>
      <c r="J451" s="40">
        <v>8.9457476170683004E-2</v>
      </c>
    </row>
    <row r="452" spans="1:10" ht="11.25" customHeight="1" x14ac:dyDescent="0.2">
      <c r="A452" s="49">
        <v>44348</v>
      </c>
      <c r="B452" s="64">
        <v>0</v>
      </c>
      <c r="C452" s="64">
        <v>0</v>
      </c>
      <c r="D452" s="64">
        <v>319.17228</v>
      </c>
      <c r="E452" s="64">
        <v>421.49921528067057</v>
      </c>
      <c r="F452" s="64">
        <v>599.43088</v>
      </c>
      <c r="G452" s="64">
        <v>579.27986501534349</v>
      </c>
      <c r="H452" s="40">
        <v>0.32060094717708743</v>
      </c>
      <c r="I452" s="40">
        <v>-3.3616911735772637E-2</v>
      </c>
      <c r="J452" s="40">
        <v>8.9457476170683004E-2</v>
      </c>
    </row>
    <row r="453" spans="1:10" ht="11.25" customHeight="1" x14ac:dyDescent="0.2">
      <c r="A453" s="49">
        <v>44378</v>
      </c>
      <c r="B453" s="64">
        <v>0</v>
      </c>
      <c r="C453" s="64">
        <v>0</v>
      </c>
      <c r="D453" s="64">
        <v>314.32715999999999</v>
      </c>
      <c r="E453" s="64">
        <v>415.10074521948394</v>
      </c>
      <c r="F453" s="64">
        <v>590.33136000000002</v>
      </c>
      <c r="G453" s="64">
        <v>570.4862427760213</v>
      </c>
      <c r="H453" s="40">
        <v>0.32060094717708765</v>
      </c>
      <c r="I453" s="40">
        <v>-3.3616911735772748E-2</v>
      </c>
      <c r="J453" s="40">
        <v>8.9457476170683004E-2</v>
      </c>
    </row>
    <row r="454" spans="1:10" ht="11.25" customHeight="1" x14ac:dyDescent="0.2">
      <c r="A454" s="49">
        <v>44409</v>
      </c>
      <c r="B454" s="64">
        <v>0</v>
      </c>
      <c r="C454" s="64">
        <v>0</v>
      </c>
      <c r="D454" s="64">
        <v>288.13322999999997</v>
      </c>
      <c r="E454" s="64">
        <v>380.50901645119359</v>
      </c>
      <c r="F454" s="64">
        <v>541.13708000000008</v>
      </c>
      <c r="G454" s="64">
        <v>522.94572254468619</v>
      </c>
      <c r="H454" s="40">
        <v>0.32060094717708765</v>
      </c>
      <c r="I454" s="40">
        <v>-3.361691173577297E-2</v>
      </c>
      <c r="J454" s="40">
        <v>8.9457476170682781E-2</v>
      </c>
    </row>
    <row r="455" spans="1:10" ht="11.25" customHeight="1" x14ac:dyDescent="0.2">
      <c r="A455" s="49">
        <v>44440</v>
      </c>
      <c r="B455" s="64">
        <v>0</v>
      </c>
      <c r="C455" s="64">
        <v>0</v>
      </c>
      <c r="D455" s="64">
        <v>293.12975999999998</v>
      </c>
      <c r="E455" s="64">
        <v>387.10743870179232</v>
      </c>
      <c r="F455" s="64">
        <v>550.52096000000006</v>
      </c>
      <c r="G455" s="64">
        <v>532.01414547898707</v>
      </c>
      <c r="H455" s="40">
        <v>0.32060094717708765</v>
      </c>
      <c r="I455" s="40">
        <v>-3.361691173577297E-2</v>
      </c>
      <c r="J455" s="40">
        <v>8.9457476170682559E-2</v>
      </c>
    </row>
    <row r="456" spans="1:10" ht="11.25" customHeight="1" x14ac:dyDescent="0.2">
      <c r="A456" s="49">
        <v>44470</v>
      </c>
      <c r="B456" s="64">
        <v>0</v>
      </c>
      <c r="C456" s="64">
        <v>0</v>
      </c>
      <c r="D456" s="64">
        <v>295.70373000000001</v>
      </c>
      <c r="E456" s="64">
        <v>390.50662592179776</v>
      </c>
      <c r="F456" s="64">
        <v>555.35508000000004</v>
      </c>
      <c r="G456" s="64">
        <v>536.68575729362703</v>
      </c>
      <c r="H456" s="40">
        <v>0.32060094717708743</v>
      </c>
      <c r="I456" s="40">
        <v>-3.3616911735772748E-2</v>
      </c>
      <c r="J456" s="40">
        <v>8.9457476170683004E-2</v>
      </c>
    </row>
    <row r="457" spans="1:10" ht="11.25" customHeight="1" x14ac:dyDescent="0.2">
      <c r="A457" s="49">
        <v>44501</v>
      </c>
      <c r="B457" s="64">
        <v>0</v>
      </c>
      <c r="C457" s="64">
        <v>0</v>
      </c>
      <c r="D457" s="64">
        <v>329.61957000000001</v>
      </c>
      <c r="E457" s="64">
        <v>435.29591635010428</v>
      </c>
      <c r="F457" s="64">
        <v>619.05172000000005</v>
      </c>
      <c r="G457" s="64">
        <v>598.24111296888168</v>
      </c>
      <c r="H457" s="40">
        <v>0.32060094717708743</v>
      </c>
      <c r="I457" s="40">
        <v>-3.3616911735772859E-2</v>
      </c>
      <c r="J457" s="40">
        <v>8.9457476170683004E-2</v>
      </c>
    </row>
    <row r="458" spans="1:10" ht="11.25" customHeight="1" x14ac:dyDescent="0.2">
      <c r="A458" s="49">
        <v>44531</v>
      </c>
      <c r="B458" s="64">
        <v>0</v>
      </c>
      <c r="C458" s="64">
        <v>0</v>
      </c>
      <c r="D458" s="64">
        <v>334.91892000000001</v>
      </c>
      <c r="E458" s="64">
        <v>442.29424297952721</v>
      </c>
      <c r="F458" s="64">
        <v>629.00432000000012</v>
      </c>
      <c r="G458" s="64">
        <v>607.85913729314029</v>
      </c>
      <c r="H458" s="40">
        <v>0.32060094717708743</v>
      </c>
      <c r="I458" s="40">
        <v>-3.3616911735772859E-2</v>
      </c>
      <c r="J458" s="40">
        <v>8.9457476170683004E-2</v>
      </c>
    </row>
    <row r="459" spans="1:10" ht="11.25" customHeight="1" x14ac:dyDescent="0.2">
      <c r="A459" s="49">
        <v>44562</v>
      </c>
      <c r="B459" s="64">
        <v>0</v>
      </c>
      <c r="C459" s="64">
        <v>0</v>
      </c>
      <c r="D459" s="64">
        <v>290.10156000000001</v>
      </c>
      <c r="E459" s="64">
        <v>383.10839491355068</v>
      </c>
      <c r="F459" s="64">
        <v>544.83375999999998</v>
      </c>
      <c r="G459" s="64">
        <v>526.51813157941081</v>
      </c>
      <c r="H459" s="40">
        <v>0.32060094717708743</v>
      </c>
      <c r="I459" s="40">
        <v>-3.3616911735772748E-2</v>
      </c>
      <c r="J459" s="40">
        <v>8.9457476170682781E-2</v>
      </c>
    </row>
    <row r="460" spans="1:10" ht="11.25" customHeight="1" x14ac:dyDescent="0.2">
      <c r="A460" s="49">
        <v>44593</v>
      </c>
      <c r="B460" s="64">
        <v>0</v>
      </c>
      <c r="C460" s="64">
        <v>0</v>
      </c>
      <c r="D460" s="64">
        <v>311.14755000000002</v>
      </c>
      <c r="E460" s="64">
        <v>410.9017492418302</v>
      </c>
      <c r="F460" s="64">
        <v>584.35980000000006</v>
      </c>
      <c r="G460" s="64">
        <v>564.71542818146622</v>
      </c>
      <c r="H460" s="40">
        <v>0.32060094717708743</v>
      </c>
      <c r="I460" s="40">
        <v>-3.3616911735772748E-2</v>
      </c>
      <c r="J460" s="40">
        <v>8.9457476170682781E-2</v>
      </c>
    </row>
    <row r="461" spans="1:10" ht="11.25" customHeight="1" x14ac:dyDescent="0.2">
      <c r="A461" s="49">
        <v>44621</v>
      </c>
      <c r="B461" s="64">
        <v>0</v>
      </c>
      <c r="C461" s="64">
        <v>0</v>
      </c>
      <c r="D461" s="64">
        <v>295.24950000000001</v>
      </c>
      <c r="E461" s="64">
        <v>389.90676935356146</v>
      </c>
      <c r="F461" s="64">
        <v>554.50200000000007</v>
      </c>
      <c r="G461" s="64">
        <v>535.8613552086905</v>
      </c>
      <c r="H461" s="40">
        <v>0.32060094717708743</v>
      </c>
      <c r="I461" s="40">
        <v>-3.361691173577297E-2</v>
      </c>
      <c r="J461" s="40">
        <v>8.9457476170682781E-2</v>
      </c>
    </row>
    <row r="462" spans="1:10" ht="11.25" customHeight="1" x14ac:dyDescent="0.2">
      <c r="A462" s="49">
        <v>44652</v>
      </c>
      <c r="B462" s="64">
        <v>0</v>
      </c>
      <c r="C462" s="64">
        <v>0</v>
      </c>
      <c r="D462" s="64">
        <v>291.76706999999999</v>
      </c>
      <c r="E462" s="64">
        <v>385.30786899708357</v>
      </c>
      <c r="F462" s="64">
        <v>547.96172000000001</v>
      </c>
      <c r="G462" s="64">
        <v>529.54093922417781</v>
      </c>
      <c r="H462" s="40">
        <v>0.32060094717708743</v>
      </c>
      <c r="I462" s="40">
        <v>-3.3616911735772748E-2</v>
      </c>
      <c r="J462" s="40">
        <v>8.9457476170682781E-2</v>
      </c>
    </row>
    <row r="463" spans="1:10" ht="11.25" customHeight="1" x14ac:dyDescent="0.2">
      <c r="A463" s="49">
        <v>44682</v>
      </c>
      <c r="B463" s="64">
        <v>0</v>
      </c>
      <c r="C463" s="64">
        <v>0</v>
      </c>
      <c r="D463" s="64">
        <v>270.26684999999998</v>
      </c>
      <c r="E463" s="64">
        <v>356.91465810056781</v>
      </c>
      <c r="F463" s="64">
        <v>507.58260000000001</v>
      </c>
      <c r="G463" s="64">
        <v>490.51924053718596</v>
      </c>
      <c r="H463" s="40">
        <v>0.32060094717708743</v>
      </c>
      <c r="I463" s="40">
        <v>-3.3616911735772748E-2</v>
      </c>
      <c r="J463" s="40">
        <v>8.9457476170683004E-2</v>
      </c>
    </row>
    <row r="464" spans="1:10" ht="11.25" customHeight="1" x14ac:dyDescent="0.2">
      <c r="A464" s="48" t="s">
        <v>38</v>
      </c>
      <c r="B464" s="64">
        <v>0</v>
      </c>
      <c r="C464" s="64">
        <v>0</v>
      </c>
      <c r="D464" s="64">
        <v>1028.1727200000003</v>
      </c>
      <c r="E464" s="64">
        <v>1157.1424907854082</v>
      </c>
      <c r="F464" s="64">
        <v>760.94736000000012</v>
      </c>
      <c r="G464" s="64">
        <v>735.36665976331085</v>
      </c>
      <c r="H464" s="40">
        <v>0.1254359002886285</v>
      </c>
      <c r="I464" s="40">
        <v>-3.3616911735772748E-2</v>
      </c>
      <c r="J464" s="40">
        <v>5.7787664285070539E-2</v>
      </c>
    </row>
    <row r="465" spans="1:10" ht="11.25" customHeight="1" x14ac:dyDescent="0.2">
      <c r="A465" s="49">
        <v>44348</v>
      </c>
      <c r="B465" s="64">
        <v>0</v>
      </c>
      <c r="C465" s="64">
        <v>0</v>
      </c>
      <c r="D465" s="64">
        <v>59.554100000000005</v>
      </c>
      <c r="E465" s="64">
        <v>67.024322149379003</v>
      </c>
      <c r="F465" s="64">
        <v>44.075800000000001</v>
      </c>
      <c r="G465" s="64">
        <v>42.594107721716426</v>
      </c>
      <c r="H465" s="40">
        <v>0.12543590028862828</v>
      </c>
      <c r="I465" s="40">
        <v>-3.3616911735772748E-2</v>
      </c>
      <c r="J465" s="40">
        <v>5.7787664285070539E-2</v>
      </c>
    </row>
    <row r="466" spans="1:10" ht="11.25" customHeight="1" x14ac:dyDescent="0.2">
      <c r="A466" s="49">
        <v>44378</v>
      </c>
      <c r="B466" s="64">
        <v>0</v>
      </c>
      <c r="C466" s="64">
        <v>0</v>
      </c>
      <c r="D466" s="64">
        <v>68.00694</v>
      </c>
      <c r="E466" s="64">
        <v>76.537451744774728</v>
      </c>
      <c r="F466" s="64">
        <v>50.331719999999997</v>
      </c>
      <c r="G466" s="64">
        <v>48.639723011250368</v>
      </c>
      <c r="H466" s="40">
        <v>0.12543590028862828</v>
      </c>
      <c r="I466" s="40">
        <v>-3.3616911735772748E-2</v>
      </c>
      <c r="J466" s="40">
        <v>5.7787664285070317E-2</v>
      </c>
    </row>
    <row r="467" spans="1:10" ht="11.25" customHeight="1" x14ac:dyDescent="0.2">
      <c r="A467" s="49">
        <v>44409</v>
      </c>
      <c r="B467" s="64">
        <v>0</v>
      </c>
      <c r="C467" s="64">
        <v>0</v>
      </c>
      <c r="D467" s="64">
        <v>53.790800000000011</v>
      </c>
      <c r="E467" s="64">
        <v>60.538097425245553</v>
      </c>
      <c r="F467" s="64">
        <v>39.810400000000008</v>
      </c>
      <c r="G467" s="64">
        <v>38.472097297034196</v>
      </c>
      <c r="H467" s="40">
        <v>0.12543590028862828</v>
      </c>
      <c r="I467" s="40">
        <v>-3.3616911735772859E-2</v>
      </c>
      <c r="J467" s="40">
        <v>5.7787664285070317E-2</v>
      </c>
    </row>
    <row r="468" spans="1:10" ht="11.25" customHeight="1" x14ac:dyDescent="0.2">
      <c r="A468" s="49">
        <v>44440</v>
      </c>
      <c r="B468" s="64">
        <v>0</v>
      </c>
      <c r="C468" s="64">
        <v>0</v>
      </c>
      <c r="D468" s="64">
        <v>51.869700000000009</v>
      </c>
      <c r="E468" s="64">
        <v>58.376022517201065</v>
      </c>
      <c r="F468" s="64">
        <v>38.388600000000004</v>
      </c>
      <c r="G468" s="64">
        <v>37.098093822140115</v>
      </c>
      <c r="H468" s="40">
        <v>0.12543590028862805</v>
      </c>
      <c r="I468" s="40">
        <v>-3.3616911735772859E-2</v>
      </c>
      <c r="J468" s="40">
        <v>5.7787664285070317E-2</v>
      </c>
    </row>
    <row r="469" spans="1:10" ht="11.25" customHeight="1" x14ac:dyDescent="0.2">
      <c r="A469" s="49">
        <v>44470</v>
      </c>
      <c r="B469" s="64">
        <v>0</v>
      </c>
      <c r="C469" s="64">
        <v>0</v>
      </c>
      <c r="D469" s="64">
        <v>52.253920000000008</v>
      </c>
      <c r="E469" s="64">
        <v>58.808437498809965</v>
      </c>
      <c r="F469" s="64">
        <v>38.672960000000003</v>
      </c>
      <c r="G469" s="64">
        <v>37.372894517118937</v>
      </c>
      <c r="H469" s="40">
        <v>0.12543590028862828</v>
      </c>
      <c r="I469" s="40">
        <v>-3.3616911735772637E-2</v>
      </c>
      <c r="J469" s="40">
        <v>5.7787664285070539E-2</v>
      </c>
    </row>
    <row r="470" spans="1:10" ht="11.25" customHeight="1" x14ac:dyDescent="0.2">
      <c r="A470" s="49">
        <v>44501</v>
      </c>
      <c r="B470" s="64">
        <v>0</v>
      </c>
      <c r="C470" s="64">
        <v>0</v>
      </c>
      <c r="D470" s="64">
        <v>455.30070000000006</v>
      </c>
      <c r="E470" s="64">
        <v>512.4117532065427</v>
      </c>
      <c r="F470" s="64">
        <v>336.96660000000003</v>
      </c>
      <c r="G470" s="64">
        <v>325.63882354989659</v>
      </c>
      <c r="H470" s="40">
        <v>0.12543590028862828</v>
      </c>
      <c r="I470" s="40">
        <v>-3.3616911735772748E-2</v>
      </c>
      <c r="J470" s="40">
        <v>5.7787664285070539E-2</v>
      </c>
    </row>
    <row r="471" spans="1:10" ht="11.25" customHeight="1" x14ac:dyDescent="0.2">
      <c r="A471" s="49">
        <v>44531</v>
      </c>
      <c r="B471" s="64">
        <v>0</v>
      </c>
      <c r="C471" s="64">
        <v>0</v>
      </c>
      <c r="D471" s="64">
        <v>47.643280000000004</v>
      </c>
      <c r="E471" s="64">
        <v>53.619457719503195</v>
      </c>
      <c r="F471" s="64">
        <v>35.260640000000002</v>
      </c>
      <c r="G471" s="64">
        <v>34.075286177373144</v>
      </c>
      <c r="H471" s="40">
        <v>0.12543590028862805</v>
      </c>
      <c r="I471" s="40">
        <v>-3.3616911735772748E-2</v>
      </c>
      <c r="J471" s="40">
        <v>5.7787664285070317E-2</v>
      </c>
    </row>
    <row r="472" spans="1:10" ht="11.25" customHeight="1" x14ac:dyDescent="0.2">
      <c r="A472" s="49">
        <v>44562</v>
      </c>
      <c r="B472" s="64">
        <v>0</v>
      </c>
      <c r="C472" s="64">
        <v>0</v>
      </c>
      <c r="D472" s="64">
        <v>50.717040000000004</v>
      </c>
      <c r="E472" s="64">
        <v>57.078777572374378</v>
      </c>
      <c r="F472" s="64">
        <v>37.535520000000005</v>
      </c>
      <c r="G472" s="64">
        <v>36.27369173720367</v>
      </c>
      <c r="H472" s="40">
        <v>0.12543590028862828</v>
      </c>
      <c r="I472" s="40">
        <v>-3.3616911735772859E-2</v>
      </c>
      <c r="J472" s="40">
        <v>5.7787664285070539E-2</v>
      </c>
    </row>
    <row r="473" spans="1:10" ht="11.25" customHeight="1" x14ac:dyDescent="0.2">
      <c r="A473" s="49">
        <v>44593</v>
      </c>
      <c r="B473" s="64">
        <v>0</v>
      </c>
      <c r="C473" s="64">
        <v>0</v>
      </c>
      <c r="D473" s="64">
        <v>52.253920000000008</v>
      </c>
      <c r="E473" s="64">
        <v>58.808437498809965</v>
      </c>
      <c r="F473" s="64">
        <v>38.672960000000003</v>
      </c>
      <c r="G473" s="64">
        <v>37.372894517118937</v>
      </c>
      <c r="H473" s="40">
        <v>0.12543590028862828</v>
      </c>
      <c r="I473" s="40">
        <v>-3.3616911735772637E-2</v>
      </c>
      <c r="J473" s="40">
        <v>5.7787664285070539E-2</v>
      </c>
    </row>
    <row r="474" spans="1:10" ht="11.25" customHeight="1" x14ac:dyDescent="0.2">
      <c r="A474" s="49">
        <v>44621</v>
      </c>
      <c r="B474" s="64">
        <v>0</v>
      </c>
      <c r="C474" s="64">
        <v>0</v>
      </c>
      <c r="D474" s="64">
        <v>44.569520000000004</v>
      </c>
      <c r="E474" s="64">
        <v>50.160137866632027</v>
      </c>
      <c r="F474" s="64">
        <v>32.985760000000006</v>
      </c>
      <c r="G474" s="64">
        <v>31.876880617542618</v>
      </c>
      <c r="H474" s="40">
        <v>0.12543590028862828</v>
      </c>
      <c r="I474" s="40">
        <v>-3.3616911735772859E-2</v>
      </c>
      <c r="J474" s="40">
        <v>5.7787664285070317E-2</v>
      </c>
    </row>
    <row r="475" spans="1:10" ht="11.25" customHeight="1" x14ac:dyDescent="0.2">
      <c r="A475" s="49">
        <v>44652</v>
      </c>
      <c r="B475" s="64">
        <v>0</v>
      </c>
      <c r="C475" s="64">
        <v>0</v>
      </c>
      <c r="D475" s="64">
        <v>48.027500000000003</v>
      </c>
      <c r="E475" s="64">
        <v>54.051872701112096</v>
      </c>
      <c r="F475" s="64">
        <v>35.545000000000002</v>
      </c>
      <c r="G475" s="64">
        <v>34.350086872351959</v>
      </c>
      <c r="H475" s="40">
        <v>0.12543590028862828</v>
      </c>
      <c r="I475" s="40">
        <v>-3.3616911735772748E-2</v>
      </c>
      <c r="J475" s="40">
        <v>5.7787664285070539E-2</v>
      </c>
    </row>
    <row r="476" spans="1:10" ht="11.25" customHeight="1" x14ac:dyDescent="0.2">
      <c r="A476" s="49">
        <v>44682</v>
      </c>
      <c r="B476" s="64">
        <v>0</v>
      </c>
      <c r="C476" s="64">
        <v>0</v>
      </c>
      <c r="D476" s="64">
        <v>44.185300000000005</v>
      </c>
      <c r="E476" s="64">
        <v>49.727722885023134</v>
      </c>
      <c r="F476" s="64">
        <v>32.7014</v>
      </c>
      <c r="G476" s="64">
        <v>31.602079922563803</v>
      </c>
      <c r="H476" s="40">
        <v>0.12543590028862828</v>
      </c>
      <c r="I476" s="40">
        <v>-3.3616911735772637E-2</v>
      </c>
      <c r="J476" s="40">
        <v>5.7787664285070539E-2</v>
      </c>
    </row>
    <row r="477" spans="1:10" ht="11.25" customHeight="1" x14ac:dyDescent="0.2">
      <c r="A477" s="48" t="s">
        <v>37</v>
      </c>
      <c r="B477" s="64">
        <v>0</v>
      </c>
      <c r="C477" s="64">
        <v>0</v>
      </c>
      <c r="D477" s="64">
        <v>2789.8599399999998</v>
      </c>
      <c r="E477" s="64">
        <v>2893.9094038205303</v>
      </c>
      <c r="F477" s="64">
        <v>1009.4231</v>
      </c>
      <c r="G477" s="64">
        <v>955.40462928935426</v>
      </c>
      <c r="H477" s="40">
        <v>3.729558689621193E-2</v>
      </c>
      <c r="I477" s="40">
        <v>-5.3514201042799359E-2</v>
      </c>
      <c r="J477" s="40">
        <v>1.3168535374475487E-2</v>
      </c>
    </row>
    <row r="478" spans="1:10" ht="11.25" customHeight="1" x14ac:dyDescent="0.2">
      <c r="A478" s="49">
        <v>44348</v>
      </c>
      <c r="B478" s="64">
        <v>0</v>
      </c>
      <c r="C478" s="64">
        <v>0</v>
      </c>
      <c r="D478" s="64">
        <v>241.39392000000001</v>
      </c>
      <c r="E478" s="64">
        <v>250.39684791957725</v>
      </c>
      <c r="F478" s="64">
        <v>87.340800000000002</v>
      </c>
      <c r="G478" s="64">
        <v>82.666826869561078</v>
      </c>
      <c r="H478" s="40">
        <v>3.729558689621193E-2</v>
      </c>
      <c r="I478" s="40">
        <v>-5.3514201042799248E-2</v>
      </c>
      <c r="J478" s="40">
        <v>1.3168535374475487E-2</v>
      </c>
    </row>
    <row r="479" spans="1:10" ht="11.25" customHeight="1" x14ac:dyDescent="0.2">
      <c r="A479" s="49">
        <v>44378</v>
      </c>
      <c r="B479" s="64">
        <v>0</v>
      </c>
      <c r="C479" s="64">
        <v>0</v>
      </c>
      <c r="D479" s="64">
        <v>206.19064</v>
      </c>
      <c r="E479" s="64">
        <v>213.88064093130558</v>
      </c>
      <c r="F479" s="64">
        <v>74.6036</v>
      </c>
      <c r="G479" s="64">
        <v>70.611247951083428</v>
      </c>
      <c r="H479" s="40">
        <v>3.7295586896212152E-2</v>
      </c>
      <c r="I479" s="40">
        <v>-5.3514201042799137E-2</v>
      </c>
      <c r="J479" s="40">
        <v>1.3168535374475487E-2</v>
      </c>
    </row>
    <row r="480" spans="1:10" ht="11.25" customHeight="1" x14ac:dyDescent="0.2">
      <c r="A480" s="49">
        <v>44409</v>
      </c>
      <c r="B480" s="64">
        <v>0</v>
      </c>
      <c r="C480" s="64">
        <v>0</v>
      </c>
      <c r="D480" s="64">
        <v>192.36078000000001</v>
      </c>
      <c r="E480" s="64">
        <v>199.53498818591311</v>
      </c>
      <c r="F480" s="64">
        <v>69.599699999999999</v>
      </c>
      <c r="G480" s="64">
        <v>65.875127661681475</v>
      </c>
      <c r="H480" s="40">
        <v>3.729558689621193E-2</v>
      </c>
      <c r="I480" s="40">
        <v>-5.3514201042799359E-2</v>
      </c>
      <c r="J480" s="40">
        <v>1.3168535374475487E-2</v>
      </c>
    </row>
    <row r="481" spans="1:10" ht="11.25" customHeight="1" x14ac:dyDescent="0.2">
      <c r="A481" s="49">
        <v>44440</v>
      </c>
      <c r="B481" s="64">
        <v>0</v>
      </c>
      <c r="C481" s="64">
        <v>0</v>
      </c>
      <c r="D481" s="64">
        <v>203.67612</v>
      </c>
      <c r="E481" s="64">
        <v>211.2723404321433</v>
      </c>
      <c r="F481" s="64">
        <v>73.693799999999996</v>
      </c>
      <c r="G481" s="64">
        <v>69.750135171192156</v>
      </c>
      <c r="H481" s="40">
        <v>3.729558689621193E-2</v>
      </c>
      <c r="I481" s="40">
        <v>-5.3514201042799248E-2</v>
      </c>
      <c r="J481" s="40">
        <v>1.3168535374475709E-2</v>
      </c>
    </row>
    <row r="482" spans="1:10" ht="11.25" customHeight="1" x14ac:dyDescent="0.2">
      <c r="A482" s="49">
        <v>44470</v>
      </c>
      <c r="B482" s="64">
        <v>0</v>
      </c>
      <c r="C482" s="64">
        <v>0</v>
      </c>
      <c r="D482" s="64">
        <v>422.43936000000002</v>
      </c>
      <c r="E482" s="64">
        <v>438.19448385926017</v>
      </c>
      <c r="F482" s="64">
        <v>152.84639999999999</v>
      </c>
      <c r="G482" s="64">
        <v>144.66694702173189</v>
      </c>
      <c r="H482" s="40">
        <v>3.729558689621193E-2</v>
      </c>
      <c r="I482" s="40">
        <v>-5.3514201042799248E-2</v>
      </c>
      <c r="J482" s="40">
        <v>1.3168535374475709E-2</v>
      </c>
    </row>
    <row r="483" spans="1:10" ht="11.25" customHeight="1" x14ac:dyDescent="0.2">
      <c r="A483" s="49">
        <v>44501</v>
      </c>
      <c r="B483" s="64">
        <v>0</v>
      </c>
      <c r="C483" s="64">
        <v>0</v>
      </c>
      <c r="D483" s="64">
        <v>236.36488</v>
      </c>
      <c r="E483" s="64">
        <v>245.18024692125272</v>
      </c>
      <c r="F483" s="64">
        <v>85.521199999999993</v>
      </c>
      <c r="G483" s="64">
        <v>80.944601309778548</v>
      </c>
      <c r="H483" s="40">
        <v>3.729558689621193E-2</v>
      </c>
      <c r="I483" s="40">
        <v>-5.3514201042799248E-2</v>
      </c>
      <c r="J483" s="40">
        <v>1.3168535374475487E-2</v>
      </c>
    </row>
    <row r="484" spans="1:10" ht="11.25" customHeight="1" x14ac:dyDescent="0.2">
      <c r="A484" s="49">
        <v>44531</v>
      </c>
      <c r="B484" s="64">
        <v>0</v>
      </c>
      <c r="C484" s="64">
        <v>0</v>
      </c>
      <c r="D484" s="64">
        <v>216.24871999999999</v>
      </c>
      <c r="E484" s="64">
        <v>224.3138429279546</v>
      </c>
      <c r="F484" s="64">
        <v>78.242799999999988</v>
      </c>
      <c r="G484" s="64">
        <v>74.055699070648458</v>
      </c>
      <c r="H484" s="40">
        <v>3.729558689621193E-2</v>
      </c>
      <c r="I484" s="40">
        <v>-5.3514201042799248E-2</v>
      </c>
      <c r="J484" s="40">
        <v>1.3168535374475487E-2</v>
      </c>
    </row>
    <row r="485" spans="1:10" ht="11.25" customHeight="1" x14ac:dyDescent="0.2">
      <c r="A485" s="49">
        <v>44562</v>
      </c>
      <c r="B485" s="64">
        <v>0</v>
      </c>
      <c r="C485" s="64">
        <v>0</v>
      </c>
      <c r="D485" s="64">
        <v>222.53501999999997</v>
      </c>
      <c r="E485" s="64">
        <v>230.83459417586025</v>
      </c>
      <c r="F485" s="64">
        <v>80.517299999999992</v>
      </c>
      <c r="G485" s="64">
        <v>76.20848102037661</v>
      </c>
      <c r="H485" s="40">
        <v>3.729558689621193E-2</v>
      </c>
      <c r="I485" s="40">
        <v>-5.3514201042799248E-2</v>
      </c>
      <c r="J485" s="40">
        <v>1.3168535374475487E-2</v>
      </c>
    </row>
    <row r="486" spans="1:10" ht="11.25" customHeight="1" x14ac:dyDescent="0.2">
      <c r="A486" s="49">
        <v>44593</v>
      </c>
      <c r="B486" s="64">
        <v>0</v>
      </c>
      <c r="C486" s="64">
        <v>0</v>
      </c>
      <c r="D486" s="64">
        <v>236.36488</v>
      </c>
      <c r="E486" s="64">
        <v>245.18024692125272</v>
      </c>
      <c r="F486" s="64">
        <v>85.521199999999993</v>
      </c>
      <c r="G486" s="64">
        <v>80.944601309778548</v>
      </c>
      <c r="H486" s="40">
        <v>3.729558689621193E-2</v>
      </c>
      <c r="I486" s="40">
        <v>-5.3514201042799248E-2</v>
      </c>
      <c r="J486" s="40">
        <v>1.3168535374475487E-2</v>
      </c>
    </row>
    <row r="487" spans="1:10" ht="11.25" customHeight="1" x14ac:dyDescent="0.2">
      <c r="A487" s="49">
        <v>44621</v>
      </c>
      <c r="B487" s="64">
        <v>0</v>
      </c>
      <c r="C487" s="64">
        <v>0</v>
      </c>
      <c r="D487" s="64">
        <v>225.04953999999998</v>
      </c>
      <c r="E487" s="64">
        <v>233.44289467502253</v>
      </c>
      <c r="F487" s="64">
        <v>81.427099999999996</v>
      </c>
      <c r="G487" s="64">
        <v>77.069593800267867</v>
      </c>
      <c r="H487" s="40">
        <v>3.7295586896212152E-2</v>
      </c>
      <c r="I487" s="40">
        <v>-5.3514201042799359E-2</v>
      </c>
      <c r="J487" s="40">
        <v>1.3168535374475709E-2</v>
      </c>
    </row>
    <row r="488" spans="1:10" ht="11.25" customHeight="1" x14ac:dyDescent="0.2">
      <c r="A488" s="49">
        <v>44652</v>
      </c>
      <c r="B488" s="64">
        <v>0</v>
      </c>
      <c r="C488" s="64">
        <v>0</v>
      </c>
      <c r="D488" s="64">
        <v>209.96242000000001</v>
      </c>
      <c r="E488" s="64">
        <v>217.79309168004897</v>
      </c>
      <c r="F488" s="64">
        <v>75.968299999999999</v>
      </c>
      <c r="G488" s="64">
        <v>71.902917120920307</v>
      </c>
      <c r="H488" s="40">
        <v>3.729558689621193E-2</v>
      </c>
      <c r="I488" s="40">
        <v>-5.3514201042799359E-2</v>
      </c>
      <c r="J488" s="40">
        <v>1.3168535374475487E-2</v>
      </c>
    </row>
    <row r="489" spans="1:10" ht="11.25" customHeight="1" x14ac:dyDescent="0.2">
      <c r="A489" s="49">
        <v>44682</v>
      </c>
      <c r="B489" s="64">
        <v>0</v>
      </c>
      <c r="C489" s="64">
        <v>0</v>
      </c>
      <c r="D489" s="64">
        <v>177.27365999999998</v>
      </c>
      <c r="E489" s="64">
        <v>183.88518519093952</v>
      </c>
      <c r="F489" s="64">
        <v>64.140899999999988</v>
      </c>
      <c r="G489" s="64">
        <v>60.708450982333908</v>
      </c>
      <c r="H489" s="40">
        <v>3.729558689621193E-2</v>
      </c>
      <c r="I489" s="40">
        <v>-5.3514201042799248E-2</v>
      </c>
      <c r="J489" s="40">
        <v>1.3168535374475709E-2</v>
      </c>
    </row>
    <row r="490" spans="1:10" ht="11.25" customHeight="1" x14ac:dyDescent="0.2">
      <c r="A490" s="43" t="s">
        <v>23</v>
      </c>
      <c r="B490" s="64">
        <v>0</v>
      </c>
      <c r="C490" s="64">
        <v>0</v>
      </c>
      <c r="D490" s="64">
        <v>27187571.607740007</v>
      </c>
      <c r="E490" s="64">
        <v>31247615.253780324</v>
      </c>
      <c r="F490" s="64">
        <v>26619084.70157</v>
      </c>
      <c r="G490" s="64">
        <v>25656272.825938653</v>
      </c>
      <c r="H490" s="40">
        <v>0.14933454538045132</v>
      </c>
      <c r="I490" s="40">
        <v>-3.6169984296062996E-2</v>
      </c>
      <c r="J490" s="40">
        <v>5.756224197624138E-2</v>
      </c>
    </row>
    <row r="491" spans="1:10" ht="11.25" customHeight="1" x14ac:dyDescent="0.2">
      <c r="A491" s="44" t="s">
        <v>24</v>
      </c>
      <c r="B491" s="64">
        <v>0</v>
      </c>
      <c r="C491" s="64">
        <v>0</v>
      </c>
      <c r="D491" s="64">
        <v>27187571.607740007</v>
      </c>
      <c r="E491" s="64">
        <v>31247615.253780324</v>
      </c>
      <c r="F491" s="64">
        <v>26619084.70157</v>
      </c>
      <c r="G491" s="64">
        <v>25656272.825938653</v>
      </c>
      <c r="H491" s="40">
        <v>0.14933454538045132</v>
      </c>
      <c r="I491" s="40">
        <v>-3.6169984296062996E-2</v>
      </c>
      <c r="J491" s="40">
        <v>5.756224197624138E-2</v>
      </c>
    </row>
    <row r="492" spans="1:10" ht="11.25" customHeight="1" x14ac:dyDescent="0.2">
      <c r="A492" s="45" t="s">
        <v>24</v>
      </c>
      <c r="B492" s="64">
        <v>0</v>
      </c>
      <c r="C492" s="64">
        <v>0</v>
      </c>
      <c r="D492" s="64">
        <v>26020766.407790001</v>
      </c>
      <c r="E492" s="64">
        <v>30091943.888006572</v>
      </c>
      <c r="F492" s="64">
        <v>25162031.395660002</v>
      </c>
      <c r="G492" s="64">
        <v>24251918.598611657</v>
      </c>
      <c r="H492" s="40">
        <v>0.15645878435762595</v>
      </c>
      <c r="I492" s="40">
        <v>-3.6170084312243667E-2</v>
      </c>
      <c r="J492" s="40">
        <v>6.1760294841778807E-2</v>
      </c>
    </row>
    <row r="493" spans="1:10" ht="11.25" customHeight="1" x14ac:dyDescent="0.2">
      <c r="A493" s="46" t="s">
        <v>25</v>
      </c>
      <c r="B493" s="64">
        <v>0</v>
      </c>
      <c r="C493" s="64">
        <v>0</v>
      </c>
      <c r="D493" s="64">
        <v>26020766.407790001</v>
      </c>
      <c r="E493" s="64">
        <v>30091943.888006572</v>
      </c>
      <c r="F493" s="64">
        <v>25162031.395660002</v>
      </c>
      <c r="G493" s="64">
        <v>24251918.598611657</v>
      </c>
      <c r="H493" s="40">
        <v>0.15645878435762595</v>
      </c>
      <c r="I493" s="40">
        <v>-3.6170084312243667E-2</v>
      </c>
      <c r="J493" s="40">
        <v>6.1760294841778807E-2</v>
      </c>
    </row>
    <row r="494" spans="1:10" ht="11.25" customHeight="1" x14ac:dyDescent="0.2">
      <c r="A494" s="47" t="s">
        <v>25</v>
      </c>
      <c r="B494" s="64">
        <v>0</v>
      </c>
      <c r="C494" s="64">
        <v>0</v>
      </c>
      <c r="D494" s="64">
        <v>26020766.407790001</v>
      </c>
      <c r="E494" s="64">
        <v>30091943.888006572</v>
      </c>
      <c r="F494" s="64">
        <v>25162031.395660002</v>
      </c>
      <c r="G494" s="64">
        <v>24251918.598611657</v>
      </c>
      <c r="H494" s="40">
        <v>0.15645878435762595</v>
      </c>
      <c r="I494" s="40">
        <v>-3.6170084312243667E-2</v>
      </c>
      <c r="J494" s="40">
        <v>6.1760294841778807E-2</v>
      </c>
    </row>
    <row r="495" spans="1:10" ht="11.25" customHeight="1" x14ac:dyDescent="0.2">
      <c r="A495" s="48" t="s">
        <v>25</v>
      </c>
      <c r="B495" s="64">
        <v>0</v>
      </c>
      <c r="C495" s="64">
        <v>0</v>
      </c>
      <c r="D495" s="64">
        <v>26020766.407790001</v>
      </c>
      <c r="E495" s="64">
        <v>30091943.888006572</v>
      </c>
      <c r="F495" s="64">
        <v>25162031.395660002</v>
      </c>
      <c r="G495" s="64">
        <v>24251918.598611657</v>
      </c>
      <c r="H495" s="40">
        <v>0.15645878435762595</v>
      </c>
      <c r="I495" s="40">
        <v>-3.6170084312243667E-2</v>
      </c>
      <c r="J495" s="40">
        <v>6.1760294841778807E-2</v>
      </c>
    </row>
    <row r="496" spans="1:10" ht="11.25" customHeight="1" x14ac:dyDescent="0.2">
      <c r="A496" s="49">
        <v>44348</v>
      </c>
      <c r="B496" s="64">
        <v>0</v>
      </c>
      <c r="C496" s="64">
        <v>0</v>
      </c>
      <c r="D496" s="64">
        <v>2180224.0436900002</v>
      </c>
      <c r="E496" s="64">
        <v>2521339.2471930049</v>
      </c>
      <c r="F496" s="64">
        <v>2108272.4842599998</v>
      </c>
      <c r="G496" s="64">
        <v>2032016.0907511325</v>
      </c>
      <c r="H496" s="40">
        <v>0.15645878435762572</v>
      </c>
      <c r="I496" s="40">
        <v>-3.6170084312243556E-2</v>
      </c>
      <c r="J496" s="40">
        <v>6.1760294841778807E-2</v>
      </c>
    </row>
    <row r="497" spans="1:10" ht="11.25" customHeight="1" x14ac:dyDescent="0.2">
      <c r="A497" s="49">
        <v>44378</v>
      </c>
      <c r="B497" s="64">
        <v>0</v>
      </c>
      <c r="C497" s="64">
        <v>0</v>
      </c>
      <c r="D497" s="64">
        <v>2242514.3771800003</v>
      </c>
      <c r="E497" s="64">
        <v>2593375.4505380816</v>
      </c>
      <c r="F497" s="64">
        <v>2168507.11772</v>
      </c>
      <c r="G497" s="64">
        <v>2090072.0324403672</v>
      </c>
      <c r="H497" s="40">
        <v>0.15645878435762595</v>
      </c>
      <c r="I497" s="40">
        <v>-3.6170084312243667E-2</v>
      </c>
      <c r="J497" s="40">
        <v>6.1760294841778807E-2</v>
      </c>
    </row>
    <row r="498" spans="1:10" ht="11.25" customHeight="1" x14ac:dyDescent="0.2">
      <c r="A498" s="49">
        <v>44409</v>
      </c>
      <c r="B498" s="64">
        <v>0</v>
      </c>
      <c r="C498" s="64">
        <v>0</v>
      </c>
      <c r="D498" s="64">
        <v>2245568.1124799997</v>
      </c>
      <c r="E498" s="64">
        <v>2596906.969550869</v>
      </c>
      <c r="F498" s="64">
        <v>2171460.0739200003</v>
      </c>
      <c r="G498" s="64">
        <v>2092918.179965643</v>
      </c>
      <c r="H498" s="40">
        <v>0.15645878435762595</v>
      </c>
      <c r="I498" s="40">
        <v>-3.6170084312243667E-2</v>
      </c>
      <c r="J498" s="40">
        <v>6.1760294841778807E-2</v>
      </c>
    </row>
    <row r="499" spans="1:10" ht="11.25" customHeight="1" x14ac:dyDescent="0.2">
      <c r="A499" s="49">
        <v>44440</v>
      </c>
      <c r="B499" s="64">
        <v>0</v>
      </c>
      <c r="C499" s="64">
        <v>0</v>
      </c>
      <c r="D499" s="64">
        <v>2144634.59595</v>
      </c>
      <c r="E499" s="64">
        <v>2480181.5177236451</v>
      </c>
      <c r="F499" s="64">
        <v>2073857.5562999998</v>
      </c>
      <c r="G499" s="64">
        <v>1998845.9536370453</v>
      </c>
      <c r="H499" s="40">
        <v>0.15645878435762595</v>
      </c>
      <c r="I499" s="40">
        <v>-3.6170084312243556E-2</v>
      </c>
      <c r="J499" s="40">
        <v>6.1760294841779251E-2</v>
      </c>
    </row>
    <row r="500" spans="1:10" ht="11.25" customHeight="1" x14ac:dyDescent="0.2">
      <c r="A500" s="49">
        <v>44470</v>
      </c>
      <c r="B500" s="64">
        <v>0</v>
      </c>
      <c r="C500" s="64">
        <v>0</v>
      </c>
      <c r="D500" s="64">
        <v>2147908.7930300003</v>
      </c>
      <c r="E500" s="64">
        <v>2483967.9916985296</v>
      </c>
      <c r="F500" s="64">
        <v>2077023.6986200002</v>
      </c>
      <c r="G500" s="64">
        <v>2001897.5763223865</v>
      </c>
      <c r="H500" s="40">
        <v>0.15645878435762595</v>
      </c>
      <c r="I500" s="40">
        <v>-3.6170084312243667E-2</v>
      </c>
      <c r="J500" s="40">
        <v>6.1760294841778807E-2</v>
      </c>
    </row>
    <row r="501" spans="1:10" ht="11.25" customHeight="1" x14ac:dyDescent="0.2">
      <c r="A501" s="49">
        <v>44501</v>
      </c>
      <c r="B501" s="64">
        <v>0</v>
      </c>
      <c r="C501" s="64">
        <v>0</v>
      </c>
      <c r="D501" s="64">
        <v>2127944.3423699997</v>
      </c>
      <c r="E501" s="64">
        <v>2460879.9273578981</v>
      </c>
      <c r="F501" s="64">
        <v>2057718.11298</v>
      </c>
      <c r="G501" s="64">
        <v>1983290.2753426824</v>
      </c>
      <c r="H501" s="40">
        <v>0.15645878435762617</v>
      </c>
      <c r="I501" s="40">
        <v>-3.6170084312243667E-2</v>
      </c>
      <c r="J501" s="40">
        <v>6.1760294841779029E-2</v>
      </c>
    </row>
    <row r="502" spans="1:10" ht="11.25" customHeight="1" x14ac:dyDescent="0.2">
      <c r="A502" s="49">
        <v>44531</v>
      </c>
      <c r="B502" s="64">
        <v>0</v>
      </c>
      <c r="C502" s="64">
        <v>0</v>
      </c>
      <c r="D502" s="64">
        <v>2121009.6769399997</v>
      </c>
      <c r="E502" s="64">
        <v>2452860.2726047933</v>
      </c>
      <c r="F502" s="64">
        <v>2051012.3047599997</v>
      </c>
      <c r="G502" s="64">
        <v>1976827.0167713815</v>
      </c>
      <c r="H502" s="40">
        <v>0.15645878435762617</v>
      </c>
      <c r="I502" s="40">
        <v>-3.6170084312243556E-2</v>
      </c>
      <c r="J502" s="40">
        <v>6.1760294841779029E-2</v>
      </c>
    </row>
    <row r="503" spans="1:10" ht="11.25" customHeight="1" x14ac:dyDescent="0.2">
      <c r="A503" s="49">
        <v>44562</v>
      </c>
      <c r="B503" s="64">
        <v>0</v>
      </c>
      <c r="C503" s="64">
        <v>0</v>
      </c>
      <c r="D503" s="64">
        <v>2146229.7017700002</v>
      </c>
      <c r="E503" s="64">
        <v>2482026.1918611643</v>
      </c>
      <c r="F503" s="64">
        <v>2075400.0205799998</v>
      </c>
      <c r="G503" s="64">
        <v>2000332.6268539892</v>
      </c>
      <c r="H503" s="40">
        <v>0.15645878435762595</v>
      </c>
      <c r="I503" s="40">
        <v>-3.6170084312243556E-2</v>
      </c>
      <c r="J503" s="40">
        <v>6.1760294841779029E-2</v>
      </c>
    </row>
    <row r="504" spans="1:10" ht="11.25" customHeight="1" x14ac:dyDescent="0.2">
      <c r="A504" s="49">
        <v>44593</v>
      </c>
      <c r="B504" s="64">
        <v>0</v>
      </c>
      <c r="C504" s="64">
        <v>0</v>
      </c>
      <c r="D504" s="64">
        <v>2248414.0455700001</v>
      </c>
      <c r="E504" s="64">
        <v>2600198.1738724941</v>
      </c>
      <c r="F504" s="64">
        <v>2174212.0857800003</v>
      </c>
      <c r="G504" s="64">
        <v>2095570.6513246384</v>
      </c>
      <c r="H504" s="40">
        <v>0.15645878435762595</v>
      </c>
      <c r="I504" s="40">
        <v>-3.6170084312243778E-2</v>
      </c>
      <c r="J504" s="40">
        <v>6.1760294841778807E-2</v>
      </c>
    </row>
    <row r="505" spans="1:10" ht="11.25" customHeight="1" x14ac:dyDescent="0.2">
      <c r="A505" s="49">
        <v>44621</v>
      </c>
      <c r="B505" s="64">
        <v>0</v>
      </c>
      <c r="C505" s="64">
        <v>0</v>
      </c>
      <c r="D505" s="64">
        <v>2173963.7319399999</v>
      </c>
      <c r="E505" s="64">
        <v>2514099.4546769001</v>
      </c>
      <c r="F505" s="64">
        <v>2102218.7747599999</v>
      </c>
      <c r="G505" s="64">
        <v>2026181.3444341491</v>
      </c>
      <c r="H505" s="40">
        <v>0.15645878435762595</v>
      </c>
      <c r="I505" s="40">
        <v>-3.6170084312243667E-2</v>
      </c>
      <c r="J505" s="40">
        <v>6.1760294841779029E-2</v>
      </c>
    </row>
    <row r="506" spans="1:10" ht="11.25" customHeight="1" x14ac:dyDescent="0.2">
      <c r="A506" s="49">
        <v>44652</v>
      </c>
      <c r="B506" s="64">
        <v>0</v>
      </c>
      <c r="C506" s="64">
        <v>0</v>
      </c>
      <c r="D506" s="64">
        <v>2108150.9502900001</v>
      </c>
      <c r="E506" s="64">
        <v>2437989.6852147467</v>
      </c>
      <c r="F506" s="64">
        <v>2038577.9406599996</v>
      </c>
      <c r="G506" s="64">
        <v>1964842.4046692476</v>
      </c>
      <c r="H506" s="40">
        <v>0.15645878435762572</v>
      </c>
      <c r="I506" s="40">
        <v>-3.6170084312243556E-2</v>
      </c>
      <c r="J506" s="40">
        <v>6.1760294841778807E-2</v>
      </c>
    </row>
    <row r="507" spans="1:10" ht="11.25" customHeight="1" x14ac:dyDescent="0.2">
      <c r="A507" s="49">
        <v>44682</v>
      </c>
      <c r="B507" s="64">
        <v>0</v>
      </c>
      <c r="C507" s="64">
        <v>0</v>
      </c>
      <c r="D507" s="64">
        <v>2134204.0365800001</v>
      </c>
      <c r="E507" s="64">
        <v>2468119.0057144449</v>
      </c>
      <c r="F507" s="64">
        <v>2063771.2253200002</v>
      </c>
      <c r="G507" s="64">
        <v>1989124.4460989933</v>
      </c>
      <c r="H507" s="40">
        <v>0.15645878435762595</v>
      </c>
      <c r="I507" s="40">
        <v>-3.6170084312243667E-2</v>
      </c>
      <c r="J507" s="40">
        <v>6.1760294841778807E-2</v>
      </c>
    </row>
    <row r="508" spans="1:10" ht="11.25" customHeight="1" x14ac:dyDescent="0.2">
      <c r="A508" s="45" t="s">
        <v>29</v>
      </c>
      <c r="B508" s="64">
        <v>0</v>
      </c>
      <c r="C508" s="64">
        <v>0</v>
      </c>
      <c r="D508" s="64">
        <v>145231.44149999999</v>
      </c>
      <c r="E508" s="64">
        <v>143838.09648300189</v>
      </c>
      <c r="F508" s="64">
        <v>181344.07500000001</v>
      </c>
      <c r="G508" s="64">
        <v>174789.86226445669</v>
      </c>
      <c r="H508" s="40">
        <v>-9.5939625924463812E-3</v>
      </c>
      <c r="I508" s="40">
        <v>-3.6142414553898772E-2</v>
      </c>
      <c r="J508" s="40">
        <v>-2.4336048941199118E-2</v>
      </c>
    </row>
    <row r="509" spans="1:10" ht="11.25" customHeight="1" x14ac:dyDescent="0.2">
      <c r="A509" s="46" t="s">
        <v>25</v>
      </c>
      <c r="B509" s="64">
        <v>0</v>
      </c>
      <c r="C509" s="64">
        <v>0</v>
      </c>
      <c r="D509" s="64">
        <v>145231.44149999999</v>
      </c>
      <c r="E509" s="64">
        <v>143838.09648300189</v>
      </c>
      <c r="F509" s="64">
        <v>181344.07500000001</v>
      </c>
      <c r="G509" s="64">
        <v>174789.86226445669</v>
      </c>
      <c r="H509" s="40">
        <v>-9.5939625924463812E-3</v>
      </c>
      <c r="I509" s="40">
        <v>-3.6142414553898772E-2</v>
      </c>
      <c r="J509" s="40">
        <v>-2.4336048941199118E-2</v>
      </c>
    </row>
    <row r="510" spans="1:10" ht="11.25" customHeight="1" x14ac:dyDescent="0.2">
      <c r="A510" s="47" t="s">
        <v>25</v>
      </c>
      <c r="B510" s="64">
        <v>0</v>
      </c>
      <c r="C510" s="64">
        <v>0</v>
      </c>
      <c r="D510" s="64">
        <v>145231.44149999999</v>
      </c>
      <c r="E510" s="64">
        <v>143838.09648300189</v>
      </c>
      <c r="F510" s="64">
        <v>181344.07500000001</v>
      </c>
      <c r="G510" s="64">
        <v>174789.86226445669</v>
      </c>
      <c r="H510" s="40">
        <v>-9.5939625924463812E-3</v>
      </c>
      <c r="I510" s="40">
        <v>-3.6142414553898772E-2</v>
      </c>
      <c r="J510" s="40">
        <v>-2.4336048941199118E-2</v>
      </c>
    </row>
    <row r="511" spans="1:10" ht="11.25" customHeight="1" x14ac:dyDescent="0.2">
      <c r="A511" s="48" t="s">
        <v>25</v>
      </c>
      <c r="B511" s="64">
        <v>0</v>
      </c>
      <c r="C511" s="64">
        <v>0</v>
      </c>
      <c r="D511" s="64">
        <v>145231.44149999999</v>
      </c>
      <c r="E511" s="64">
        <v>143838.09648300189</v>
      </c>
      <c r="F511" s="64">
        <v>181344.07500000001</v>
      </c>
      <c r="G511" s="64">
        <v>174789.86226445669</v>
      </c>
      <c r="H511" s="40">
        <v>-9.5939625924463812E-3</v>
      </c>
      <c r="I511" s="40">
        <v>-3.6142414553898772E-2</v>
      </c>
      <c r="J511" s="40">
        <v>-2.4336048941199118E-2</v>
      </c>
    </row>
    <row r="512" spans="1:10" ht="11.25" customHeight="1" x14ac:dyDescent="0.2">
      <c r="A512" s="49">
        <v>44348</v>
      </c>
      <c r="B512" s="64">
        <v>0</v>
      </c>
      <c r="C512" s="64">
        <v>0</v>
      </c>
      <c r="D512" s="64">
        <v>11695.928569999998</v>
      </c>
      <c r="E512" s="64">
        <v>11583.718268815494</v>
      </c>
      <c r="F512" s="64">
        <v>14604.188499999998</v>
      </c>
      <c r="G512" s="64">
        <v>14076.357865009719</v>
      </c>
      <c r="H512" s="40">
        <v>-9.5939625924463812E-3</v>
      </c>
      <c r="I512" s="40">
        <v>-3.6142414553898661E-2</v>
      </c>
      <c r="J512" s="40">
        <v>-2.4336048941199007E-2</v>
      </c>
    </row>
    <row r="513" spans="1:10" ht="11.25" customHeight="1" x14ac:dyDescent="0.2">
      <c r="A513" s="49">
        <v>44378</v>
      </c>
      <c r="B513" s="64">
        <v>0</v>
      </c>
      <c r="C513" s="64">
        <v>0</v>
      </c>
      <c r="D513" s="64">
        <v>11838.787400000001</v>
      </c>
      <c r="E513" s="64">
        <v>11725.206516544475</v>
      </c>
      <c r="F513" s="64">
        <v>14782.570000000002</v>
      </c>
      <c r="G513" s="64">
        <v>14248.292226887976</v>
      </c>
      <c r="H513" s="40">
        <v>-9.5939625924464922E-3</v>
      </c>
      <c r="I513" s="40">
        <v>-3.6142414553898661E-2</v>
      </c>
      <c r="J513" s="40">
        <v>-2.4336048941199007E-2</v>
      </c>
    </row>
    <row r="514" spans="1:10" ht="11.25" customHeight="1" x14ac:dyDescent="0.2">
      <c r="A514" s="49">
        <v>44409</v>
      </c>
      <c r="B514" s="64">
        <v>0</v>
      </c>
      <c r="C514" s="64">
        <v>0</v>
      </c>
      <c r="D514" s="64">
        <v>11983.403719999998</v>
      </c>
      <c r="E514" s="64">
        <v>11868.435392980136</v>
      </c>
      <c r="F514" s="64">
        <v>14963.145999999999</v>
      </c>
      <c r="G514" s="64">
        <v>14422.34177423749</v>
      </c>
      <c r="H514" s="40">
        <v>-9.5939625924462701E-3</v>
      </c>
      <c r="I514" s="40">
        <v>-3.614241455389855E-2</v>
      </c>
      <c r="J514" s="40">
        <v>-2.4336048941199007E-2</v>
      </c>
    </row>
    <row r="515" spans="1:10" ht="11.25" customHeight="1" x14ac:dyDescent="0.2">
      <c r="A515" s="49">
        <v>44440</v>
      </c>
      <c r="B515" s="64">
        <v>0</v>
      </c>
      <c r="C515" s="64">
        <v>0</v>
      </c>
      <c r="D515" s="64">
        <v>12083.32958</v>
      </c>
      <c r="E515" s="64">
        <v>11967.40256801728</v>
      </c>
      <c r="F515" s="64">
        <v>15087.919</v>
      </c>
      <c r="G515" s="64">
        <v>14542.605176746356</v>
      </c>
      <c r="H515" s="40">
        <v>-9.5939625924462701E-3</v>
      </c>
      <c r="I515" s="40">
        <v>-3.6142414553898661E-2</v>
      </c>
      <c r="J515" s="40">
        <v>-2.4336048941199007E-2</v>
      </c>
    </row>
    <row r="516" spans="1:10" ht="11.25" customHeight="1" x14ac:dyDescent="0.2">
      <c r="A516" s="49">
        <v>44470</v>
      </c>
      <c r="B516" s="64">
        <v>0</v>
      </c>
      <c r="C516" s="64">
        <v>0</v>
      </c>
      <c r="D516" s="64">
        <v>12023.65861</v>
      </c>
      <c r="E516" s="64">
        <v>11908.304079071315</v>
      </c>
      <c r="F516" s="64">
        <v>15013.410500000002</v>
      </c>
      <c r="G516" s="64">
        <v>14470.789593841146</v>
      </c>
      <c r="H516" s="40">
        <v>-9.5939625924463812E-3</v>
      </c>
      <c r="I516" s="40">
        <v>-3.6142414553898772E-2</v>
      </c>
      <c r="J516" s="40">
        <v>-2.4336048941199229E-2</v>
      </c>
    </row>
    <row r="517" spans="1:10" ht="11.25" customHeight="1" x14ac:dyDescent="0.2">
      <c r="A517" s="49">
        <v>44501</v>
      </c>
      <c r="B517" s="64">
        <v>0</v>
      </c>
      <c r="C517" s="64">
        <v>0</v>
      </c>
      <c r="D517" s="64">
        <v>11745.054599999999</v>
      </c>
      <c r="E517" s="64">
        <v>11632.372985521361</v>
      </c>
      <c r="F517" s="64">
        <v>14665.53</v>
      </c>
      <c r="G517" s="64">
        <v>14135.482335087363</v>
      </c>
      <c r="H517" s="40">
        <v>-9.5939625924462701E-3</v>
      </c>
      <c r="I517" s="40">
        <v>-3.6142414553898661E-2</v>
      </c>
      <c r="J517" s="40">
        <v>-2.4336048941199118E-2</v>
      </c>
    </row>
    <row r="518" spans="1:10" ht="11.25" customHeight="1" x14ac:dyDescent="0.2">
      <c r="A518" s="49">
        <v>44531</v>
      </c>
      <c r="B518" s="64">
        <v>0</v>
      </c>
      <c r="C518" s="64">
        <v>0</v>
      </c>
      <c r="D518" s="64">
        <v>11440.339310000001</v>
      </c>
      <c r="E518" s="64">
        <v>11330.581122614967</v>
      </c>
      <c r="F518" s="64">
        <v>14285.045500000002</v>
      </c>
      <c r="G518" s="64">
        <v>13768.749463617696</v>
      </c>
      <c r="H518" s="40">
        <v>-9.5939625924463812E-3</v>
      </c>
      <c r="I518" s="40">
        <v>-3.6142414553898772E-2</v>
      </c>
      <c r="J518" s="40">
        <v>-2.4336048941199118E-2</v>
      </c>
    </row>
    <row r="519" spans="1:10" ht="11.25" customHeight="1" x14ac:dyDescent="0.2">
      <c r="A519" s="49">
        <v>44562</v>
      </c>
      <c r="B519" s="64">
        <v>0</v>
      </c>
      <c r="C519" s="64">
        <v>0</v>
      </c>
      <c r="D519" s="64">
        <v>11541.185759999998</v>
      </c>
      <c r="E519" s="64">
        <v>11430.460055546086</v>
      </c>
      <c r="F519" s="64">
        <v>14410.967999999999</v>
      </c>
      <c r="G519" s="64">
        <v>13890.120820421032</v>
      </c>
      <c r="H519" s="40">
        <v>-9.5939625924461591E-3</v>
      </c>
      <c r="I519" s="40">
        <v>-3.614241455389855E-2</v>
      </c>
      <c r="J519" s="40">
        <v>-2.4336048941198896E-2</v>
      </c>
    </row>
    <row r="520" spans="1:10" ht="11.25" customHeight="1" x14ac:dyDescent="0.2">
      <c r="A520" s="49">
        <v>44593</v>
      </c>
      <c r="B520" s="64">
        <v>0</v>
      </c>
      <c r="C520" s="64">
        <v>0</v>
      </c>
      <c r="D520" s="64">
        <v>11963.987639999999</v>
      </c>
      <c r="E520" s="64">
        <v>11849.205590125348</v>
      </c>
      <c r="F520" s="64">
        <v>14938.901999999998</v>
      </c>
      <c r="G520" s="64">
        <v>14398.974010935934</v>
      </c>
      <c r="H520" s="40">
        <v>-9.5939625924463812E-3</v>
      </c>
      <c r="I520" s="40">
        <v>-3.614241455389855E-2</v>
      </c>
      <c r="J520" s="40">
        <v>-2.4336048941199007E-2</v>
      </c>
    </row>
    <row r="521" spans="1:10" ht="11.25" customHeight="1" x14ac:dyDescent="0.2">
      <c r="A521" s="49">
        <v>44621</v>
      </c>
      <c r="B521" s="64">
        <v>0</v>
      </c>
      <c r="C521" s="64">
        <v>0</v>
      </c>
      <c r="D521" s="64">
        <v>12874.785909999999</v>
      </c>
      <c r="E521" s="64">
        <v>12751.265695593704</v>
      </c>
      <c r="F521" s="64">
        <v>16076.175499999999</v>
      </c>
      <c r="G521" s="64">
        <v>15495.143700637771</v>
      </c>
      <c r="H521" s="40">
        <v>-9.5939625924463812E-3</v>
      </c>
      <c r="I521" s="40">
        <v>-3.6142414553898661E-2</v>
      </c>
      <c r="J521" s="40">
        <v>-2.4336048941199007E-2</v>
      </c>
    </row>
    <row r="522" spans="1:10" ht="11.25" customHeight="1" x14ac:dyDescent="0.2">
      <c r="A522" s="49">
        <v>44652</v>
      </c>
      <c r="B522" s="64">
        <v>0</v>
      </c>
      <c r="C522" s="64">
        <v>0</v>
      </c>
      <c r="D522" s="64">
        <v>12957.973769999999</v>
      </c>
      <c r="E522" s="64">
        <v>12833.655454376718</v>
      </c>
      <c r="F522" s="64">
        <v>16180.048499999999</v>
      </c>
      <c r="G522" s="64">
        <v>15595.262479610814</v>
      </c>
      <c r="H522" s="40">
        <v>-9.5939625924463812E-3</v>
      </c>
      <c r="I522" s="40">
        <v>-3.614241455389855E-2</v>
      </c>
      <c r="J522" s="40">
        <v>-2.4336048941198896E-2</v>
      </c>
    </row>
    <row r="523" spans="1:10" ht="11.25" customHeight="1" x14ac:dyDescent="0.2">
      <c r="A523" s="49">
        <v>44682</v>
      </c>
      <c r="B523" s="64">
        <v>0</v>
      </c>
      <c r="C523" s="64">
        <v>0</v>
      </c>
      <c r="D523" s="64">
        <v>13083.006629999998</v>
      </c>
      <c r="E523" s="64">
        <v>12957.488753795051</v>
      </c>
      <c r="F523" s="64">
        <v>16336.1715</v>
      </c>
      <c r="G523" s="64">
        <v>15745.742817423416</v>
      </c>
      <c r="H523" s="40">
        <v>-9.5939625924462701E-3</v>
      </c>
      <c r="I523" s="40">
        <v>-3.6142414553898661E-2</v>
      </c>
      <c r="J523" s="40">
        <v>-2.4336048941199118E-2</v>
      </c>
    </row>
    <row r="524" spans="1:10" ht="11.25" customHeight="1" x14ac:dyDescent="0.2">
      <c r="A524" s="45" t="s">
        <v>30</v>
      </c>
      <c r="B524" s="64">
        <v>0</v>
      </c>
      <c r="C524" s="64">
        <v>0</v>
      </c>
      <c r="D524" s="64">
        <v>474381.62082000007</v>
      </c>
      <c r="E524" s="64">
        <v>469858.49265943008</v>
      </c>
      <c r="F524" s="64">
        <v>592398.35055000009</v>
      </c>
      <c r="G524" s="64">
        <v>570964.87803863769</v>
      </c>
      <c r="H524" s="40">
        <v>-9.5347879472047481E-3</v>
      </c>
      <c r="I524" s="40">
        <v>-3.6180844344794405E-2</v>
      </c>
      <c r="J524" s="40">
        <v>-2.4331728536858499E-2</v>
      </c>
    </row>
    <row r="525" spans="1:10" ht="11.25" customHeight="1" x14ac:dyDescent="0.2">
      <c r="A525" s="46" t="s">
        <v>25</v>
      </c>
      <c r="B525" s="64">
        <v>0</v>
      </c>
      <c r="C525" s="64">
        <v>0</v>
      </c>
      <c r="D525" s="64">
        <v>474381.62082000007</v>
      </c>
      <c r="E525" s="64">
        <v>469858.49265943008</v>
      </c>
      <c r="F525" s="64">
        <v>592398.35055000009</v>
      </c>
      <c r="G525" s="64">
        <v>570964.87803863769</v>
      </c>
      <c r="H525" s="40">
        <v>-9.5347879472047481E-3</v>
      </c>
      <c r="I525" s="40">
        <v>-3.6180844344794405E-2</v>
      </c>
      <c r="J525" s="40">
        <v>-2.4331728536858499E-2</v>
      </c>
    </row>
    <row r="526" spans="1:10" ht="11.25" customHeight="1" x14ac:dyDescent="0.2">
      <c r="A526" s="47" t="s">
        <v>25</v>
      </c>
      <c r="B526" s="64">
        <v>0</v>
      </c>
      <c r="C526" s="64">
        <v>0</v>
      </c>
      <c r="D526" s="64">
        <v>474381.62082000007</v>
      </c>
      <c r="E526" s="64">
        <v>469858.49265943008</v>
      </c>
      <c r="F526" s="64">
        <v>592398.35055000009</v>
      </c>
      <c r="G526" s="64">
        <v>570964.87803863769</v>
      </c>
      <c r="H526" s="40">
        <v>-9.5347879472047481E-3</v>
      </c>
      <c r="I526" s="40">
        <v>-3.6180844344794405E-2</v>
      </c>
      <c r="J526" s="40">
        <v>-2.4331728536858499E-2</v>
      </c>
    </row>
    <row r="527" spans="1:10" ht="11.25" customHeight="1" x14ac:dyDescent="0.2">
      <c r="A527" s="48" t="s">
        <v>25</v>
      </c>
      <c r="B527" s="64">
        <v>0</v>
      </c>
      <c r="C527" s="64">
        <v>0</v>
      </c>
      <c r="D527" s="64">
        <v>474381.62082000007</v>
      </c>
      <c r="E527" s="64">
        <v>469858.49265943008</v>
      </c>
      <c r="F527" s="64">
        <v>592398.35055000009</v>
      </c>
      <c r="G527" s="64">
        <v>570964.87803863769</v>
      </c>
      <c r="H527" s="40">
        <v>-9.5347879472047481E-3</v>
      </c>
      <c r="I527" s="40">
        <v>-3.6180844344794405E-2</v>
      </c>
      <c r="J527" s="40">
        <v>-2.4331728536858499E-2</v>
      </c>
    </row>
    <row r="528" spans="1:10" ht="11.25" customHeight="1" x14ac:dyDescent="0.2">
      <c r="A528" s="49">
        <v>44348</v>
      </c>
      <c r="B528" s="64">
        <v>0</v>
      </c>
      <c r="C528" s="64">
        <v>0</v>
      </c>
      <c r="D528" s="64">
        <v>37548.79002</v>
      </c>
      <c r="E528" s="64">
        <v>37190.770269485176</v>
      </c>
      <c r="F528" s="64">
        <v>46890.183549999994</v>
      </c>
      <c r="G528" s="64">
        <v>45193.657117678631</v>
      </c>
      <c r="H528" s="40">
        <v>-9.5347879472049701E-3</v>
      </c>
      <c r="I528" s="40">
        <v>-3.618084434479385E-2</v>
      </c>
      <c r="J528" s="40">
        <v>-2.4331728536858388E-2</v>
      </c>
    </row>
    <row r="529" spans="1:10" ht="11.25" customHeight="1" x14ac:dyDescent="0.2">
      <c r="A529" s="49">
        <v>44378</v>
      </c>
      <c r="B529" s="64">
        <v>0</v>
      </c>
      <c r="C529" s="64">
        <v>0</v>
      </c>
      <c r="D529" s="64">
        <v>37530.857520000005</v>
      </c>
      <c r="E529" s="64">
        <v>37173.008752070033</v>
      </c>
      <c r="F529" s="64">
        <v>46867.789799999999</v>
      </c>
      <c r="G529" s="64">
        <v>45172.073592461675</v>
      </c>
      <c r="H529" s="40">
        <v>-9.5347879472051922E-3</v>
      </c>
      <c r="I529" s="40">
        <v>-3.6180844344793961E-2</v>
      </c>
      <c r="J529" s="40">
        <v>-2.4331728536858499E-2</v>
      </c>
    </row>
    <row r="530" spans="1:10" ht="11.25" customHeight="1" x14ac:dyDescent="0.2">
      <c r="A530" s="49">
        <v>44409</v>
      </c>
      <c r="B530" s="64">
        <v>0</v>
      </c>
      <c r="C530" s="64">
        <v>0</v>
      </c>
      <c r="D530" s="64">
        <v>38105.558279999997</v>
      </c>
      <c r="E530" s="64">
        <v>37742.229862190339</v>
      </c>
      <c r="F530" s="64">
        <v>47585.464699999997</v>
      </c>
      <c r="G530" s="64">
        <v>45863.782408614607</v>
      </c>
      <c r="H530" s="40">
        <v>-9.5347879472048591E-3</v>
      </c>
      <c r="I530" s="40">
        <v>-3.6180844344794072E-2</v>
      </c>
      <c r="J530" s="40">
        <v>-2.4331728536858277E-2</v>
      </c>
    </row>
    <row r="531" spans="1:10" ht="11.25" customHeight="1" x14ac:dyDescent="0.2">
      <c r="A531" s="49">
        <v>44440</v>
      </c>
      <c r="B531" s="64">
        <v>0</v>
      </c>
      <c r="C531" s="64">
        <v>0</v>
      </c>
      <c r="D531" s="64">
        <v>39197.862720000005</v>
      </c>
      <c r="E531" s="64">
        <v>38824.119410981155</v>
      </c>
      <c r="F531" s="64">
        <v>48949.512800000004</v>
      </c>
      <c r="G531" s="64">
        <v>47178.478096629704</v>
      </c>
      <c r="H531" s="40">
        <v>-9.5347879472049701E-3</v>
      </c>
      <c r="I531" s="40">
        <v>-3.6180844344793961E-2</v>
      </c>
      <c r="J531" s="40">
        <v>-2.4331728536858277E-2</v>
      </c>
    </row>
    <row r="532" spans="1:10" ht="11.25" customHeight="1" x14ac:dyDescent="0.2">
      <c r="A532" s="49">
        <v>44470</v>
      </c>
      <c r="B532" s="64">
        <v>0</v>
      </c>
      <c r="C532" s="64">
        <v>0</v>
      </c>
      <c r="D532" s="64">
        <v>39271.457700000006</v>
      </c>
      <c r="E532" s="64">
        <v>38897.012678452869</v>
      </c>
      <c r="F532" s="64">
        <v>49041.416750000004</v>
      </c>
      <c r="G532" s="64">
        <v>47267.05688412008</v>
      </c>
      <c r="H532" s="40">
        <v>-9.5347879472051922E-3</v>
      </c>
      <c r="I532" s="40">
        <v>-3.6180844344793961E-2</v>
      </c>
      <c r="J532" s="40">
        <v>-2.4331728536858277E-2</v>
      </c>
    </row>
    <row r="533" spans="1:10" ht="11.25" customHeight="1" x14ac:dyDescent="0.2">
      <c r="A533" s="49">
        <v>44501</v>
      </c>
      <c r="B533" s="64">
        <v>0</v>
      </c>
      <c r="C533" s="64">
        <v>0</v>
      </c>
      <c r="D533" s="64">
        <v>38098.959120000007</v>
      </c>
      <c r="E533" s="64">
        <v>37735.693623781575</v>
      </c>
      <c r="F533" s="64">
        <v>47577.2238</v>
      </c>
      <c r="G533" s="64">
        <v>45855.839671334776</v>
      </c>
      <c r="H533" s="40">
        <v>-9.5347879472049701E-3</v>
      </c>
      <c r="I533" s="40">
        <v>-3.6180844344793961E-2</v>
      </c>
      <c r="J533" s="40">
        <v>-2.4331728536858166E-2</v>
      </c>
    </row>
    <row r="534" spans="1:10" ht="11.25" customHeight="1" x14ac:dyDescent="0.2">
      <c r="A534" s="49">
        <v>44531</v>
      </c>
      <c r="B534" s="64">
        <v>0</v>
      </c>
      <c r="C534" s="64">
        <v>0</v>
      </c>
      <c r="D534" s="64">
        <v>37824.233220000002</v>
      </c>
      <c r="E534" s="64">
        <v>37463.58717698168</v>
      </c>
      <c r="F534" s="64">
        <v>47234.151550000002</v>
      </c>
      <c r="G534" s="64">
        <v>45525.180065011045</v>
      </c>
      <c r="H534" s="40">
        <v>-9.5347879472048591E-3</v>
      </c>
      <c r="I534" s="40">
        <v>-3.6180844344793961E-2</v>
      </c>
      <c r="J534" s="40">
        <v>-2.4331728536858277E-2</v>
      </c>
    </row>
    <row r="535" spans="1:10" ht="11.25" customHeight="1" x14ac:dyDescent="0.2">
      <c r="A535" s="49">
        <v>44562</v>
      </c>
      <c r="B535" s="64">
        <v>0</v>
      </c>
      <c r="C535" s="64">
        <v>0</v>
      </c>
      <c r="D535" s="64">
        <v>38399.077440000008</v>
      </c>
      <c r="E535" s="64">
        <v>38032.950379241302</v>
      </c>
      <c r="F535" s="64">
        <v>47952.005600000004</v>
      </c>
      <c r="G535" s="64">
        <v>46217.061549365717</v>
      </c>
      <c r="H535" s="40">
        <v>-9.5347879472050812E-3</v>
      </c>
      <c r="I535" s="40">
        <v>-3.6180844344793961E-2</v>
      </c>
      <c r="J535" s="40">
        <v>-2.4331728536858388E-2</v>
      </c>
    </row>
    <row r="536" spans="1:10" ht="11.25" customHeight="1" x14ac:dyDescent="0.2">
      <c r="A536" s="49">
        <v>44593</v>
      </c>
      <c r="B536" s="64">
        <v>0</v>
      </c>
      <c r="C536" s="64">
        <v>0</v>
      </c>
      <c r="D536" s="64">
        <v>40612.808700000009</v>
      </c>
      <c r="E536" s="64">
        <v>40225.574181105105</v>
      </c>
      <c r="F536" s="64">
        <v>50716.469250000009</v>
      </c>
      <c r="G536" s="64">
        <v>48881.504570348225</v>
      </c>
      <c r="H536" s="40">
        <v>-9.5347879472050812E-3</v>
      </c>
      <c r="I536" s="40">
        <v>-3.6180844344794072E-2</v>
      </c>
      <c r="J536" s="40">
        <v>-2.4331728536858388E-2</v>
      </c>
    </row>
    <row r="537" spans="1:10" ht="11.25" customHeight="1" x14ac:dyDescent="0.2">
      <c r="A537" s="49">
        <v>44621</v>
      </c>
      <c r="B537" s="64">
        <v>0</v>
      </c>
      <c r="C537" s="64">
        <v>0</v>
      </c>
      <c r="D537" s="64">
        <v>42906.877560000001</v>
      </c>
      <c r="E537" s="64">
        <v>42497.769580988715</v>
      </c>
      <c r="F537" s="64">
        <v>53581.256900000008</v>
      </c>
      <c r="G537" s="64">
        <v>51642.641784302687</v>
      </c>
      <c r="H537" s="40">
        <v>-9.5347879472049701E-3</v>
      </c>
      <c r="I537" s="40">
        <v>-3.6180844344794072E-2</v>
      </c>
      <c r="J537" s="40">
        <v>-2.4331728536858388E-2</v>
      </c>
    </row>
    <row r="538" spans="1:10" ht="11.25" customHeight="1" x14ac:dyDescent="0.2">
      <c r="A538" s="49">
        <v>44652</v>
      </c>
      <c r="B538" s="64">
        <v>0</v>
      </c>
      <c r="C538" s="64">
        <v>0</v>
      </c>
      <c r="D538" s="64">
        <v>42323.999580000003</v>
      </c>
      <c r="E538" s="64">
        <v>41920.449218927111</v>
      </c>
      <c r="F538" s="64">
        <v>52853.370450000009</v>
      </c>
      <c r="G538" s="64">
        <v>50941.090880650823</v>
      </c>
      <c r="H538" s="40">
        <v>-9.5347879472049701E-3</v>
      </c>
      <c r="I538" s="40">
        <v>-3.6180844344794072E-2</v>
      </c>
      <c r="J538" s="40">
        <v>-2.4331728536858388E-2</v>
      </c>
    </row>
    <row r="539" spans="1:10" ht="11.25" customHeight="1" x14ac:dyDescent="0.2">
      <c r="A539" s="49">
        <v>44682</v>
      </c>
      <c r="B539" s="64">
        <v>0</v>
      </c>
      <c r="C539" s="64">
        <v>0</v>
      </c>
      <c r="D539" s="64">
        <v>42561.138960000004</v>
      </c>
      <c r="E539" s="64">
        <v>42155.327525224879</v>
      </c>
      <c r="F539" s="64">
        <v>53149.505400000002</v>
      </c>
      <c r="G539" s="64">
        <v>51226.511418119815</v>
      </c>
      <c r="H539" s="40">
        <v>-9.5347879472049701E-3</v>
      </c>
      <c r="I539" s="40">
        <v>-3.6180844344793961E-2</v>
      </c>
      <c r="J539" s="40">
        <v>-2.4331728536858388E-2</v>
      </c>
    </row>
    <row r="540" spans="1:10" ht="11.25" customHeight="1" x14ac:dyDescent="0.2">
      <c r="A540" s="45" t="s">
        <v>31</v>
      </c>
      <c r="B540" s="64">
        <v>0</v>
      </c>
      <c r="C540" s="64">
        <v>0</v>
      </c>
      <c r="D540" s="64">
        <v>448631.77022999997</v>
      </c>
      <c r="E540" s="64">
        <v>444354.16143447789</v>
      </c>
      <c r="F540" s="64">
        <v>560232.02424000006</v>
      </c>
      <c r="G540" s="64">
        <v>539972.40350680694</v>
      </c>
      <c r="H540" s="40">
        <v>-9.534787947204526E-3</v>
      </c>
      <c r="I540" s="40">
        <v>-3.6162910823737793E-2</v>
      </c>
      <c r="J540" s="40">
        <v>-2.4321647444594419E-2</v>
      </c>
    </row>
    <row r="541" spans="1:10" ht="11.25" customHeight="1" x14ac:dyDescent="0.2">
      <c r="A541" s="46" t="s">
        <v>25</v>
      </c>
      <c r="B541" s="64">
        <v>0</v>
      </c>
      <c r="C541" s="64">
        <v>0</v>
      </c>
      <c r="D541" s="64">
        <v>448631.77022999997</v>
      </c>
      <c r="E541" s="64">
        <v>444354.16143447789</v>
      </c>
      <c r="F541" s="64">
        <v>560232.02424000006</v>
      </c>
      <c r="G541" s="64">
        <v>539972.40350680694</v>
      </c>
      <c r="H541" s="40">
        <v>-9.534787947204526E-3</v>
      </c>
      <c r="I541" s="40">
        <v>-3.6162910823737793E-2</v>
      </c>
      <c r="J541" s="40">
        <v>-2.4321647444594419E-2</v>
      </c>
    </row>
    <row r="542" spans="1:10" ht="11.25" customHeight="1" x14ac:dyDescent="0.2">
      <c r="A542" s="47" t="s">
        <v>25</v>
      </c>
      <c r="B542" s="64">
        <v>0</v>
      </c>
      <c r="C542" s="64">
        <v>0</v>
      </c>
      <c r="D542" s="64">
        <v>448631.77022999997</v>
      </c>
      <c r="E542" s="64">
        <v>444354.16143447789</v>
      </c>
      <c r="F542" s="64">
        <v>560232.02424000006</v>
      </c>
      <c r="G542" s="64">
        <v>539972.40350680694</v>
      </c>
      <c r="H542" s="40">
        <v>-9.534787947204526E-3</v>
      </c>
      <c r="I542" s="40">
        <v>-3.6162910823737793E-2</v>
      </c>
      <c r="J542" s="40">
        <v>-2.4321647444594419E-2</v>
      </c>
    </row>
    <row r="543" spans="1:10" ht="11.25" customHeight="1" x14ac:dyDescent="0.2">
      <c r="A543" s="48" t="s">
        <v>25</v>
      </c>
      <c r="B543" s="64">
        <v>0</v>
      </c>
      <c r="C543" s="64">
        <v>0</v>
      </c>
      <c r="D543" s="64">
        <v>448631.77022999997</v>
      </c>
      <c r="E543" s="64">
        <v>444354.16143447789</v>
      </c>
      <c r="F543" s="64">
        <v>560232.02424000006</v>
      </c>
      <c r="G543" s="64">
        <v>539972.40350680694</v>
      </c>
      <c r="H543" s="40">
        <v>-9.534787947204526E-3</v>
      </c>
      <c r="I543" s="40">
        <v>-3.6162910823737793E-2</v>
      </c>
      <c r="J543" s="40">
        <v>-2.4321647444594419E-2</v>
      </c>
    </row>
    <row r="544" spans="1:10" ht="11.25" customHeight="1" x14ac:dyDescent="0.2">
      <c r="A544" s="49">
        <v>44348</v>
      </c>
      <c r="B544" s="64">
        <v>0</v>
      </c>
      <c r="C544" s="64">
        <v>0</v>
      </c>
      <c r="D544" s="64">
        <v>35511.084179999998</v>
      </c>
      <c r="E544" s="64">
        <v>35172.493522568366</v>
      </c>
      <c r="F544" s="64">
        <v>44344.711840000011</v>
      </c>
      <c r="G544" s="64">
        <v>42741.077980225746</v>
      </c>
      <c r="H544" s="40">
        <v>-9.5347879472046371E-3</v>
      </c>
      <c r="I544" s="40">
        <v>-3.6162910823737682E-2</v>
      </c>
      <c r="J544" s="40">
        <v>-2.4321647444594641E-2</v>
      </c>
    </row>
    <row r="545" spans="1:10" ht="11.25" customHeight="1" x14ac:dyDescent="0.2">
      <c r="A545" s="49">
        <v>44378</v>
      </c>
      <c r="B545" s="64">
        <v>0</v>
      </c>
      <c r="C545" s="64">
        <v>0</v>
      </c>
      <c r="D545" s="64">
        <v>35343.235979999998</v>
      </c>
      <c r="E545" s="64">
        <v>35006.245719562685</v>
      </c>
      <c r="F545" s="64">
        <v>44135.110240000009</v>
      </c>
      <c r="G545" s="64">
        <v>42539.056184195062</v>
      </c>
      <c r="H545" s="40">
        <v>-9.5347879472046371E-3</v>
      </c>
      <c r="I545" s="40">
        <v>-3.6162910823737571E-2</v>
      </c>
      <c r="J545" s="40">
        <v>-2.432164744459453E-2</v>
      </c>
    </row>
    <row r="546" spans="1:10" ht="11.25" customHeight="1" x14ac:dyDescent="0.2">
      <c r="A546" s="49">
        <v>44409</v>
      </c>
      <c r="B546" s="64">
        <v>0</v>
      </c>
      <c r="C546" s="64">
        <v>0</v>
      </c>
      <c r="D546" s="64">
        <v>36986.211629999991</v>
      </c>
      <c r="E546" s="64">
        <v>36633.555945137508</v>
      </c>
      <c r="F546" s="64">
        <v>46186.78744</v>
      </c>
      <c r="G546" s="64">
        <v>44516.53876457236</v>
      </c>
      <c r="H546" s="40">
        <v>-9.5347879472046371E-3</v>
      </c>
      <c r="I546" s="40">
        <v>-3.616291082373746E-2</v>
      </c>
      <c r="J546" s="40">
        <v>-2.4321647444594419E-2</v>
      </c>
    </row>
    <row r="547" spans="1:10" ht="11.25" customHeight="1" x14ac:dyDescent="0.2">
      <c r="A547" s="49">
        <v>44440</v>
      </c>
      <c r="B547" s="64">
        <v>0</v>
      </c>
      <c r="C547" s="64">
        <v>0</v>
      </c>
      <c r="D547" s="64">
        <v>37021.287600000003</v>
      </c>
      <c r="E547" s="64">
        <v>36668.297473201521</v>
      </c>
      <c r="F547" s="64">
        <v>46230.588800000005</v>
      </c>
      <c r="G547" s="64">
        <v>44558.756139896723</v>
      </c>
      <c r="H547" s="40">
        <v>-9.5347879472047481E-3</v>
      </c>
      <c r="I547" s="40">
        <v>-3.6162910823737571E-2</v>
      </c>
      <c r="J547" s="40">
        <v>-2.432164744459453E-2</v>
      </c>
    </row>
    <row r="548" spans="1:10" ht="11.25" customHeight="1" x14ac:dyDescent="0.2">
      <c r="A548" s="49">
        <v>44470</v>
      </c>
      <c r="B548" s="64">
        <v>0</v>
      </c>
      <c r="C548" s="64">
        <v>0</v>
      </c>
      <c r="D548" s="64">
        <v>37216.249739999999</v>
      </c>
      <c r="E548" s="64">
        <v>36861.400690538889</v>
      </c>
      <c r="F548" s="64">
        <v>46474.049120000003</v>
      </c>
      <c r="G548" s="64">
        <v>44793.41222605545</v>
      </c>
      <c r="H548" s="40">
        <v>-9.5347879472046371E-3</v>
      </c>
      <c r="I548" s="40">
        <v>-3.616291082373746E-2</v>
      </c>
      <c r="J548" s="40">
        <v>-2.432164744459453E-2</v>
      </c>
    </row>
    <row r="549" spans="1:10" ht="11.25" customHeight="1" x14ac:dyDescent="0.2">
      <c r="A549" s="49">
        <v>44501</v>
      </c>
      <c r="B549" s="64">
        <v>0</v>
      </c>
      <c r="C549" s="64">
        <v>0</v>
      </c>
      <c r="D549" s="64">
        <v>35250.919469999993</v>
      </c>
      <c r="E549" s="64">
        <v>34914.809427909553</v>
      </c>
      <c r="F549" s="64">
        <v>44019.829360000003</v>
      </c>
      <c r="G549" s="64">
        <v>42427.944196378179</v>
      </c>
      <c r="H549" s="40">
        <v>-9.5347879472047481E-3</v>
      </c>
      <c r="I549" s="40">
        <v>-3.6162910823737571E-2</v>
      </c>
      <c r="J549" s="40">
        <v>-2.4321647444594641E-2</v>
      </c>
    </row>
    <row r="550" spans="1:10" ht="11.25" customHeight="1" x14ac:dyDescent="0.2">
      <c r="A550" s="49">
        <v>44531</v>
      </c>
      <c r="B550" s="64">
        <v>0</v>
      </c>
      <c r="C550" s="64">
        <v>0</v>
      </c>
      <c r="D550" s="64">
        <v>33817.323690000005</v>
      </c>
      <c r="E550" s="64">
        <v>33494.882679673865</v>
      </c>
      <c r="F550" s="64">
        <v>42229.616720000005</v>
      </c>
      <c r="G550" s="64">
        <v>40702.470856434033</v>
      </c>
      <c r="H550" s="40">
        <v>-9.5347879472049701E-3</v>
      </c>
      <c r="I550" s="40">
        <v>-3.616291082373746E-2</v>
      </c>
      <c r="J550" s="40">
        <v>-2.432164744459453E-2</v>
      </c>
    </row>
    <row r="551" spans="1:10" ht="11.25" customHeight="1" x14ac:dyDescent="0.2">
      <c r="A551" s="49">
        <v>44562</v>
      </c>
      <c r="B551" s="64">
        <v>0</v>
      </c>
      <c r="C551" s="64">
        <v>0</v>
      </c>
      <c r="D551" s="64">
        <v>35351.413199999995</v>
      </c>
      <c r="E551" s="64">
        <v>35014.344971503982</v>
      </c>
      <c r="F551" s="64">
        <v>44145.321600000003</v>
      </c>
      <c r="G551" s="64">
        <v>42548.898271693994</v>
      </c>
      <c r="H551" s="40">
        <v>-9.5347879472047481E-3</v>
      </c>
      <c r="I551" s="40">
        <v>-3.616291082373746E-2</v>
      </c>
      <c r="J551" s="40">
        <v>-2.4321647444594641E-2</v>
      </c>
    </row>
    <row r="552" spans="1:10" ht="11.25" customHeight="1" x14ac:dyDescent="0.2">
      <c r="A552" s="49">
        <v>44593</v>
      </c>
      <c r="B552" s="64">
        <v>0</v>
      </c>
      <c r="C552" s="64">
        <v>0</v>
      </c>
      <c r="D552" s="64">
        <v>41267.201489999999</v>
      </c>
      <c r="E552" s="64">
        <v>40873.727474618274</v>
      </c>
      <c r="F552" s="64">
        <v>51532.703119999998</v>
      </c>
      <c r="G552" s="64">
        <v>49669.1305725653</v>
      </c>
      <c r="H552" s="40">
        <v>-9.5347879472048591E-3</v>
      </c>
      <c r="I552" s="40">
        <v>-3.616291082373746E-2</v>
      </c>
      <c r="J552" s="40">
        <v>-2.432164744459453E-2</v>
      </c>
    </row>
    <row r="553" spans="1:10" ht="11.25" customHeight="1" x14ac:dyDescent="0.2">
      <c r="A553" s="49">
        <v>44621</v>
      </c>
      <c r="B553" s="64">
        <v>0</v>
      </c>
      <c r="C553" s="64">
        <v>0</v>
      </c>
      <c r="D553" s="64">
        <v>41587.834589999999</v>
      </c>
      <c r="E553" s="64">
        <v>41191.303406000923</v>
      </c>
      <c r="F553" s="64">
        <v>51933.095920000007</v>
      </c>
      <c r="G553" s="64">
        <v>50055.04400344444</v>
      </c>
      <c r="H553" s="40">
        <v>-9.5347879472047481E-3</v>
      </c>
      <c r="I553" s="40">
        <v>-3.6162910823737571E-2</v>
      </c>
      <c r="J553" s="40">
        <v>-2.4321647444594641E-2</v>
      </c>
    </row>
    <row r="554" spans="1:10" ht="11.25" customHeight="1" x14ac:dyDescent="0.2">
      <c r="A554" s="49">
        <v>44652</v>
      </c>
      <c r="B554" s="64">
        <v>0</v>
      </c>
      <c r="C554" s="64">
        <v>0</v>
      </c>
      <c r="D554" s="64">
        <v>39380.200380000002</v>
      </c>
      <c r="E554" s="64">
        <v>39004.718520058268</v>
      </c>
      <c r="F554" s="64">
        <v>49176.297440000009</v>
      </c>
      <c r="G554" s="64">
        <v>47397.9393810357</v>
      </c>
      <c r="H554" s="40">
        <v>-9.5347879472047481E-3</v>
      </c>
      <c r="I554" s="40">
        <v>-3.616291082373746E-2</v>
      </c>
      <c r="J554" s="40">
        <v>-2.432164744459453E-2</v>
      </c>
    </row>
    <row r="555" spans="1:10" ht="11.25" customHeight="1" x14ac:dyDescent="0.2">
      <c r="A555" s="49">
        <v>44682</v>
      </c>
      <c r="B555" s="64">
        <v>0</v>
      </c>
      <c r="C555" s="64">
        <v>0</v>
      </c>
      <c r="D555" s="64">
        <v>39898.808279999997</v>
      </c>
      <c r="E555" s="64">
        <v>39518.381603704023</v>
      </c>
      <c r="F555" s="64">
        <v>49823.912640000002</v>
      </c>
      <c r="G555" s="64">
        <v>48022.134930309992</v>
      </c>
      <c r="H555" s="40">
        <v>-9.5347879472046371E-3</v>
      </c>
      <c r="I555" s="40">
        <v>-3.6162910823737571E-2</v>
      </c>
      <c r="J555" s="40">
        <v>-2.4321647444594308E-2</v>
      </c>
    </row>
    <row r="556" spans="1:10" ht="11.25" customHeight="1" x14ac:dyDescent="0.2">
      <c r="A556" s="45" t="s">
        <v>32</v>
      </c>
      <c r="B556" s="64">
        <v>0</v>
      </c>
      <c r="C556" s="64">
        <v>0</v>
      </c>
      <c r="D556" s="64">
        <v>98560.367400000003</v>
      </c>
      <c r="E556" s="64">
        <v>97620.615196842409</v>
      </c>
      <c r="F556" s="64">
        <v>123078.85612</v>
      </c>
      <c r="G556" s="64">
        <v>118627.08351708511</v>
      </c>
      <c r="H556" s="40">
        <v>-9.5347879472047481E-3</v>
      </c>
      <c r="I556" s="40">
        <v>-3.6170084312243445E-2</v>
      </c>
      <c r="J556" s="40">
        <v>-2.4325679906498809E-2</v>
      </c>
    </row>
    <row r="557" spans="1:10" ht="11.25" customHeight="1" x14ac:dyDescent="0.2">
      <c r="A557" s="46" t="s">
        <v>25</v>
      </c>
      <c r="B557" s="64">
        <v>0</v>
      </c>
      <c r="C557" s="64">
        <v>0</v>
      </c>
      <c r="D557" s="64">
        <v>98560.367400000003</v>
      </c>
      <c r="E557" s="64">
        <v>97620.615196842409</v>
      </c>
      <c r="F557" s="64">
        <v>123078.85612</v>
      </c>
      <c r="G557" s="64">
        <v>118627.08351708511</v>
      </c>
      <c r="H557" s="40">
        <v>-9.5347879472047481E-3</v>
      </c>
      <c r="I557" s="40">
        <v>-3.6170084312243445E-2</v>
      </c>
      <c r="J557" s="40">
        <v>-2.4325679906498809E-2</v>
      </c>
    </row>
    <row r="558" spans="1:10" ht="11.25" customHeight="1" x14ac:dyDescent="0.2">
      <c r="A558" s="47" t="s">
        <v>25</v>
      </c>
      <c r="B558" s="64">
        <v>0</v>
      </c>
      <c r="C558" s="64">
        <v>0</v>
      </c>
      <c r="D558" s="64">
        <v>98560.367400000003</v>
      </c>
      <c r="E558" s="64">
        <v>97620.615196842409</v>
      </c>
      <c r="F558" s="64">
        <v>123078.85612</v>
      </c>
      <c r="G558" s="64">
        <v>118627.08351708511</v>
      </c>
      <c r="H558" s="40">
        <v>-9.5347879472047481E-3</v>
      </c>
      <c r="I558" s="40">
        <v>-3.6170084312243445E-2</v>
      </c>
      <c r="J558" s="40">
        <v>-2.4325679906498809E-2</v>
      </c>
    </row>
    <row r="559" spans="1:10" ht="11.25" customHeight="1" x14ac:dyDescent="0.2">
      <c r="A559" s="48" t="s">
        <v>25</v>
      </c>
      <c r="B559" s="64">
        <v>0</v>
      </c>
      <c r="C559" s="64">
        <v>0</v>
      </c>
      <c r="D559" s="64">
        <v>98560.367400000003</v>
      </c>
      <c r="E559" s="64">
        <v>97620.615196842409</v>
      </c>
      <c r="F559" s="64">
        <v>123078.85612</v>
      </c>
      <c r="G559" s="64">
        <v>118627.08351708511</v>
      </c>
      <c r="H559" s="40">
        <v>-9.5347879472047481E-3</v>
      </c>
      <c r="I559" s="40">
        <v>-3.6170084312243445E-2</v>
      </c>
      <c r="J559" s="40">
        <v>-2.4325679906498809E-2</v>
      </c>
    </row>
    <row r="560" spans="1:10" ht="11.25" customHeight="1" x14ac:dyDescent="0.2">
      <c r="A560" s="49">
        <v>44348</v>
      </c>
      <c r="B560" s="64">
        <v>0</v>
      </c>
      <c r="C560" s="64">
        <v>0</v>
      </c>
      <c r="D560" s="64">
        <v>7733.9286000000002</v>
      </c>
      <c r="E560" s="64">
        <v>7660.1872308001775</v>
      </c>
      <c r="F560" s="64">
        <v>9657.8686799999996</v>
      </c>
      <c r="G560" s="64">
        <v>9308.5427555678234</v>
      </c>
      <c r="H560" s="40">
        <v>-9.5347879472048591E-3</v>
      </c>
      <c r="I560" s="40">
        <v>-3.6170084312243556E-2</v>
      </c>
      <c r="J560" s="40">
        <v>-2.4325679906498809E-2</v>
      </c>
    </row>
    <row r="561" spans="1:10" ht="11.25" customHeight="1" x14ac:dyDescent="0.2">
      <c r="A561" s="49">
        <v>44378</v>
      </c>
      <c r="B561" s="64">
        <v>0</v>
      </c>
      <c r="C561" s="64">
        <v>0</v>
      </c>
      <c r="D561" s="64">
        <v>8821.1162999999997</v>
      </c>
      <c r="E561" s="64">
        <v>8737.0088266218681</v>
      </c>
      <c r="F561" s="64">
        <v>11015.51194</v>
      </c>
      <c r="G561" s="64">
        <v>10617.079944387671</v>
      </c>
      <c r="H561" s="40">
        <v>-9.5347879472047481E-3</v>
      </c>
      <c r="I561" s="40">
        <v>-3.6170084312243889E-2</v>
      </c>
      <c r="J561" s="40">
        <v>-2.432567990649892E-2</v>
      </c>
    </row>
    <row r="562" spans="1:10" ht="11.25" customHeight="1" x14ac:dyDescent="0.2">
      <c r="A562" s="49">
        <v>44409</v>
      </c>
      <c r="B562" s="64">
        <v>0</v>
      </c>
      <c r="C562" s="64">
        <v>0</v>
      </c>
      <c r="D562" s="64">
        <v>8960.9898000000012</v>
      </c>
      <c r="E562" s="64">
        <v>8875.5486624599343</v>
      </c>
      <c r="F562" s="64">
        <v>11190.18124</v>
      </c>
      <c r="G562" s="64">
        <v>10785.431441079914</v>
      </c>
      <c r="H562" s="40">
        <v>-9.5347879472049701E-3</v>
      </c>
      <c r="I562" s="40">
        <v>-3.6170084312243556E-2</v>
      </c>
      <c r="J562" s="40">
        <v>-2.4325679906499031E-2</v>
      </c>
    </row>
    <row r="563" spans="1:10" ht="11.25" customHeight="1" x14ac:dyDescent="0.2">
      <c r="A563" s="49">
        <v>44440</v>
      </c>
      <c r="B563" s="64">
        <v>0</v>
      </c>
      <c r="C563" s="64">
        <v>0</v>
      </c>
      <c r="D563" s="64">
        <v>7317.4164000000001</v>
      </c>
      <c r="E563" s="64">
        <v>7247.646386304601</v>
      </c>
      <c r="F563" s="64">
        <v>9137.7423199999994</v>
      </c>
      <c r="G563" s="64">
        <v>8807.2294098620441</v>
      </c>
      <c r="H563" s="40">
        <v>-9.5347879472048591E-3</v>
      </c>
      <c r="I563" s="40">
        <v>-3.6170084312243445E-2</v>
      </c>
      <c r="J563" s="40">
        <v>-2.432567990649892E-2</v>
      </c>
    </row>
    <row r="564" spans="1:10" ht="11.25" customHeight="1" x14ac:dyDescent="0.2">
      <c r="A564" s="49">
        <v>44470</v>
      </c>
      <c r="B564" s="64">
        <v>0</v>
      </c>
      <c r="C564" s="64">
        <v>0</v>
      </c>
      <c r="D564" s="64">
        <v>7452.7470000000003</v>
      </c>
      <c r="E564" s="64">
        <v>7381.6866377308334</v>
      </c>
      <c r="F564" s="64">
        <v>9306.7386000000006</v>
      </c>
      <c r="G564" s="64">
        <v>8970.1130801659874</v>
      </c>
      <c r="H564" s="40">
        <v>-9.5347879472048591E-3</v>
      </c>
      <c r="I564" s="40">
        <v>-3.6170084312243778E-2</v>
      </c>
      <c r="J564" s="40">
        <v>-2.432567990649892E-2</v>
      </c>
    </row>
    <row r="565" spans="1:10" ht="11.25" customHeight="1" x14ac:dyDescent="0.2">
      <c r="A565" s="49">
        <v>44501</v>
      </c>
      <c r="B565" s="64">
        <v>0</v>
      </c>
      <c r="C565" s="64">
        <v>0</v>
      </c>
      <c r="D565" s="64">
        <v>7205.2784999999994</v>
      </c>
      <c r="E565" s="64">
        <v>7136.5776974019454</v>
      </c>
      <c r="F565" s="64">
        <v>8997.7083000000002</v>
      </c>
      <c r="G565" s="64">
        <v>8672.2604321720264</v>
      </c>
      <c r="H565" s="40">
        <v>-9.5347879472048591E-3</v>
      </c>
      <c r="I565" s="40">
        <v>-3.6170084312243556E-2</v>
      </c>
      <c r="J565" s="40">
        <v>-2.432567990649892E-2</v>
      </c>
    </row>
    <row r="566" spans="1:10" ht="11.25" customHeight="1" x14ac:dyDescent="0.2">
      <c r="A566" s="49">
        <v>44531</v>
      </c>
      <c r="B566" s="64">
        <v>0</v>
      </c>
      <c r="C566" s="64">
        <v>0</v>
      </c>
      <c r="D566" s="64">
        <v>6212.7743999999993</v>
      </c>
      <c r="E566" s="64">
        <v>6153.5369135321771</v>
      </c>
      <c r="F566" s="64">
        <v>7758.3027199999988</v>
      </c>
      <c r="G566" s="64">
        <v>7477.6842564976905</v>
      </c>
      <c r="H566" s="40">
        <v>-9.5347879472047481E-3</v>
      </c>
      <c r="I566" s="40">
        <v>-3.6170084312243556E-2</v>
      </c>
      <c r="J566" s="40">
        <v>-2.4325679906498809E-2</v>
      </c>
    </row>
    <row r="567" spans="1:10" ht="11.25" customHeight="1" x14ac:dyDescent="0.2">
      <c r="A567" s="49">
        <v>44562</v>
      </c>
      <c r="B567" s="64">
        <v>0</v>
      </c>
      <c r="C567" s="64">
        <v>0</v>
      </c>
      <c r="D567" s="64">
        <v>7160.3276999999998</v>
      </c>
      <c r="E567" s="64">
        <v>7092.0554937480028</v>
      </c>
      <c r="F567" s="64">
        <v>8941.5752599999996</v>
      </c>
      <c r="G567" s="64">
        <v>8618.1577289615288</v>
      </c>
      <c r="H567" s="40">
        <v>-9.5347879472048591E-3</v>
      </c>
      <c r="I567" s="40">
        <v>-3.6170084312243556E-2</v>
      </c>
      <c r="J567" s="40">
        <v>-2.432567990649892E-2</v>
      </c>
    </row>
    <row r="568" spans="1:10" ht="11.25" customHeight="1" x14ac:dyDescent="0.2">
      <c r="A568" s="49">
        <v>44593</v>
      </c>
      <c r="B568" s="64">
        <v>0</v>
      </c>
      <c r="C568" s="64">
        <v>0</v>
      </c>
      <c r="D568" s="64">
        <v>9984.5769</v>
      </c>
      <c r="E568" s="64">
        <v>9889.3760765159404</v>
      </c>
      <c r="F568" s="64">
        <v>12468.40222</v>
      </c>
      <c r="G568" s="64">
        <v>12017.419060463633</v>
      </c>
      <c r="H568" s="40">
        <v>-9.5347879472048591E-3</v>
      </c>
      <c r="I568" s="40">
        <v>-3.6170084312243667E-2</v>
      </c>
      <c r="J568" s="40">
        <v>-2.4325679906499031E-2</v>
      </c>
    </row>
    <row r="569" spans="1:10" ht="11.25" customHeight="1" x14ac:dyDescent="0.2">
      <c r="A569" s="49">
        <v>44621</v>
      </c>
      <c r="B569" s="64">
        <v>0</v>
      </c>
      <c r="C569" s="64">
        <v>0</v>
      </c>
      <c r="D569" s="64">
        <v>10457.038499999999</v>
      </c>
      <c r="E569" s="64">
        <v>10357.332855346744</v>
      </c>
      <c r="F569" s="64">
        <v>13058.396299999999</v>
      </c>
      <c r="G569" s="64">
        <v>12586.073004846308</v>
      </c>
      <c r="H569" s="40">
        <v>-9.5347879472046371E-3</v>
      </c>
      <c r="I569" s="40">
        <v>-3.6170084312243667E-2</v>
      </c>
      <c r="J569" s="40">
        <v>-2.4325679906498809E-2</v>
      </c>
    </row>
    <row r="570" spans="1:10" ht="11.25" customHeight="1" x14ac:dyDescent="0.2">
      <c r="A570" s="49">
        <v>44652</v>
      </c>
      <c r="B570" s="64">
        <v>0</v>
      </c>
      <c r="C570" s="64">
        <v>0</v>
      </c>
      <c r="D570" s="64">
        <v>8322.3536999999997</v>
      </c>
      <c r="E570" s="64">
        <v>8243.0018222488652</v>
      </c>
      <c r="F570" s="64">
        <v>10392.674059999999</v>
      </c>
      <c r="G570" s="64">
        <v>10016.770163020134</v>
      </c>
      <c r="H570" s="40">
        <v>-9.5347879472047481E-3</v>
      </c>
      <c r="I570" s="40">
        <v>-3.6170084312243445E-2</v>
      </c>
      <c r="J570" s="40">
        <v>-2.4325679906498809E-2</v>
      </c>
    </row>
    <row r="571" spans="1:10" ht="11.25" customHeight="1" x14ac:dyDescent="0.2">
      <c r="A571" s="49">
        <v>44682</v>
      </c>
      <c r="B571" s="64">
        <v>0</v>
      </c>
      <c r="C571" s="64">
        <v>0</v>
      </c>
      <c r="D571" s="64">
        <v>8931.8196000000007</v>
      </c>
      <c r="E571" s="64">
        <v>8846.6565941313129</v>
      </c>
      <c r="F571" s="64">
        <v>11153.75448</v>
      </c>
      <c r="G571" s="64">
        <v>10750.322240060335</v>
      </c>
      <c r="H571" s="40">
        <v>-9.5347879472048591E-3</v>
      </c>
      <c r="I571" s="40">
        <v>-3.6170084312243556E-2</v>
      </c>
      <c r="J571" s="40">
        <v>-2.4325679906498809E-2</v>
      </c>
    </row>
    <row r="572" spans="1:10" ht="11.25" customHeight="1" x14ac:dyDescent="0.2">
      <c r="A572" s="42" t="s">
        <v>44</v>
      </c>
      <c r="B572" s="64">
        <v>0</v>
      </c>
      <c r="C572" s="64">
        <v>0</v>
      </c>
      <c r="D572" s="64">
        <v>1723893.5750000002</v>
      </c>
      <c r="E572" s="64">
        <v>2129521.1406017472</v>
      </c>
      <c r="F572" s="64">
        <v>1666984.53125</v>
      </c>
      <c r="G572" s="64">
        <v>1716239.1884054991</v>
      </c>
      <c r="H572" s="40">
        <v>0.23529733591689173</v>
      </c>
      <c r="I572" s="40">
        <v>2.9547159096050324E-2</v>
      </c>
      <c r="J572" s="40">
        <v>0.13414879818853254</v>
      </c>
    </row>
    <row r="573" spans="1:10" ht="11.25" customHeight="1" x14ac:dyDescent="0.2">
      <c r="A573" s="43" t="s">
        <v>23</v>
      </c>
      <c r="B573" s="64">
        <v>0</v>
      </c>
      <c r="C573" s="64">
        <v>0</v>
      </c>
      <c r="D573" s="64">
        <v>1723893.5750000002</v>
      </c>
      <c r="E573" s="64">
        <v>2129521.1406017472</v>
      </c>
      <c r="F573" s="64">
        <v>1666984.53125</v>
      </c>
      <c r="G573" s="64">
        <v>1716239.1884054991</v>
      </c>
      <c r="H573" s="40">
        <v>0.23529733591689173</v>
      </c>
      <c r="I573" s="40">
        <v>2.9547159096050324E-2</v>
      </c>
      <c r="J573" s="40">
        <v>0.13414879818853254</v>
      </c>
    </row>
    <row r="574" spans="1:10" ht="11.25" customHeight="1" x14ac:dyDescent="0.2">
      <c r="A574" s="44" t="s">
        <v>45</v>
      </c>
      <c r="B574" s="64">
        <v>0</v>
      </c>
      <c r="C574" s="64">
        <v>0</v>
      </c>
      <c r="D574" s="64">
        <v>1723893.5750000002</v>
      </c>
      <c r="E574" s="64">
        <v>2129521.1406017472</v>
      </c>
      <c r="F574" s="64">
        <v>1666984.53125</v>
      </c>
      <c r="G574" s="64">
        <v>1716239.1884054991</v>
      </c>
      <c r="H574" s="40">
        <v>0.23529733591689173</v>
      </c>
      <c r="I574" s="40">
        <v>2.9547159096050324E-2</v>
      </c>
      <c r="J574" s="40">
        <v>0.13414879818853254</v>
      </c>
    </row>
    <row r="575" spans="1:10" ht="11.25" customHeight="1" x14ac:dyDescent="0.2">
      <c r="A575" s="45" t="s">
        <v>25</v>
      </c>
      <c r="B575" s="64">
        <v>0</v>
      </c>
      <c r="C575" s="64">
        <v>0</v>
      </c>
      <c r="D575" s="64">
        <v>1723893.5750000002</v>
      </c>
      <c r="E575" s="64">
        <v>2129521.1406017472</v>
      </c>
      <c r="F575" s="64">
        <v>1666984.53125</v>
      </c>
      <c r="G575" s="64">
        <v>1716239.1884054991</v>
      </c>
      <c r="H575" s="40">
        <v>0.23529733591689173</v>
      </c>
      <c r="I575" s="40">
        <v>2.9547159096050324E-2</v>
      </c>
      <c r="J575" s="40">
        <v>0.13414879818853254</v>
      </c>
    </row>
    <row r="576" spans="1:10" ht="11.25" customHeight="1" x14ac:dyDescent="0.2">
      <c r="A576" s="46" t="s">
        <v>25</v>
      </c>
      <c r="B576" s="64">
        <v>0</v>
      </c>
      <c r="C576" s="64">
        <v>0</v>
      </c>
      <c r="D576" s="64">
        <v>1723893.5750000002</v>
      </c>
      <c r="E576" s="64">
        <v>2129521.1406017472</v>
      </c>
      <c r="F576" s="64">
        <v>1666984.53125</v>
      </c>
      <c r="G576" s="64">
        <v>1716239.1884054991</v>
      </c>
      <c r="H576" s="40">
        <v>0.23529733591689173</v>
      </c>
      <c r="I576" s="40">
        <v>2.9547159096050324E-2</v>
      </c>
      <c r="J576" s="40">
        <v>0.13414879818853254</v>
      </c>
    </row>
    <row r="577" spans="1:10" ht="11.25" customHeight="1" x14ac:dyDescent="0.2">
      <c r="A577" s="47" t="s">
        <v>25</v>
      </c>
      <c r="B577" s="64">
        <v>0</v>
      </c>
      <c r="C577" s="64">
        <v>0</v>
      </c>
      <c r="D577" s="64">
        <v>1723893.5750000002</v>
      </c>
      <c r="E577" s="64">
        <v>2129521.1406017472</v>
      </c>
      <c r="F577" s="64">
        <v>1666984.53125</v>
      </c>
      <c r="G577" s="64">
        <v>1716239.1884054991</v>
      </c>
      <c r="H577" s="40">
        <v>0.23529733591689173</v>
      </c>
      <c r="I577" s="40">
        <v>2.9547159096050324E-2</v>
      </c>
      <c r="J577" s="40">
        <v>0.13414879818853254</v>
      </c>
    </row>
    <row r="578" spans="1:10" ht="11.25" customHeight="1" x14ac:dyDescent="0.2">
      <c r="A578" s="48" t="s">
        <v>25</v>
      </c>
      <c r="B578" s="64">
        <v>0</v>
      </c>
      <c r="C578" s="64">
        <v>0</v>
      </c>
      <c r="D578" s="64">
        <v>1723893.5750000002</v>
      </c>
      <c r="E578" s="64">
        <v>2129521.1406017472</v>
      </c>
      <c r="F578" s="64">
        <v>1666984.53125</v>
      </c>
      <c r="G578" s="64">
        <v>1716239.1884054991</v>
      </c>
      <c r="H578" s="40">
        <v>0.23529733591689173</v>
      </c>
      <c r="I578" s="40">
        <v>2.9547159096050324E-2</v>
      </c>
      <c r="J578" s="40">
        <v>0.13414879818853254</v>
      </c>
    </row>
    <row r="579" spans="1:10" ht="11.25" customHeight="1" x14ac:dyDescent="0.2">
      <c r="A579" s="49">
        <v>44348</v>
      </c>
      <c r="B579" s="64">
        <v>0</v>
      </c>
      <c r="C579" s="64">
        <v>0</v>
      </c>
      <c r="D579" s="64">
        <v>146930.95968</v>
      </c>
      <c r="E579" s="64">
        <v>181503.42305641627</v>
      </c>
      <c r="F579" s="64">
        <v>142080.486</v>
      </c>
      <c r="G579" s="64">
        <v>146278.56072428616</v>
      </c>
      <c r="H579" s="40">
        <v>0.23529733591689195</v>
      </c>
      <c r="I579" s="40">
        <v>2.9547159096050324E-2</v>
      </c>
      <c r="J579" s="40">
        <v>0.13414879818853298</v>
      </c>
    </row>
    <row r="580" spans="1:10" ht="11.25" customHeight="1" x14ac:dyDescent="0.2">
      <c r="A580" s="49">
        <v>44378</v>
      </c>
      <c r="B580" s="64">
        <v>0</v>
      </c>
      <c r="C580" s="64">
        <v>0</v>
      </c>
      <c r="D580" s="64">
        <v>153166.93367999999</v>
      </c>
      <c r="E580" s="64">
        <v>189206.70512546328</v>
      </c>
      <c r="F580" s="64">
        <v>148110.59850000002</v>
      </c>
      <c r="G580" s="64">
        <v>152486.84591769075</v>
      </c>
      <c r="H580" s="40">
        <v>0.23529733591689217</v>
      </c>
      <c r="I580" s="40">
        <v>2.9547159096050324E-2</v>
      </c>
      <c r="J580" s="40">
        <v>0.13414879818853298</v>
      </c>
    </row>
    <row r="581" spans="1:10" ht="11.25" customHeight="1" x14ac:dyDescent="0.2">
      <c r="A581" s="49">
        <v>44409</v>
      </c>
      <c r="B581" s="64">
        <v>0</v>
      </c>
      <c r="C581" s="64">
        <v>0</v>
      </c>
      <c r="D581" s="64">
        <v>147021.44244000001</v>
      </c>
      <c r="E581" s="64">
        <v>181615.19616879069</v>
      </c>
      <c r="F581" s="64">
        <v>142167.98174999998</v>
      </c>
      <c r="G581" s="64">
        <v>146368.64172513163</v>
      </c>
      <c r="H581" s="40">
        <v>0.23529733591689195</v>
      </c>
      <c r="I581" s="40">
        <v>2.9547159096050546E-2</v>
      </c>
      <c r="J581" s="40">
        <v>0.13414879818853298</v>
      </c>
    </row>
    <row r="582" spans="1:10" ht="11.25" customHeight="1" x14ac:dyDescent="0.2">
      <c r="A582" s="49">
        <v>44440</v>
      </c>
      <c r="B582" s="64">
        <v>0</v>
      </c>
      <c r="C582" s="64">
        <v>0</v>
      </c>
      <c r="D582" s="64">
        <v>143457.29120000001</v>
      </c>
      <c r="E582" s="64">
        <v>177212.40963721377</v>
      </c>
      <c r="F582" s="64">
        <v>138721.49</v>
      </c>
      <c r="G582" s="64">
        <v>142820.31593507115</v>
      </c>
      <c r="H582" s="40">
        <v>0.23529733591689173</v>
      </c>
      <c r="I582" s="40">
        <v>2.9547159096050324E-2</v>
      </c>
      <c r="J582" s="40">
        <v>0.13414879818853276</v>
      </c>
    </row>
    <row r="583" spans="1:10" ht="11.25" customHeight="1" x14ac:dyDescent="0.2">
      <c r="A583" s="49">
        <v>44470</v>
      </c>
      <c r="B583" s="64">
        <v>0</v>
      </c>
      <c r="C583" s="64">
        <v>0</v>
      </c>
      <c r="D583" s="64">
        <v>147356.74492000003</v>
      </c>
      <c r="E583" s="64">
        <v>182029.39442906101</v>
      </c>
      <c r="F583" s="64">
        <v>142492.21525000001</v>
      </c>
      <c r="G583" s="64">
        <v>146702.45540394043</v>
      </c>
      <c r="H583" s="40">
        <v>0.23529733591689173</v>
      </c>
      <c r="I583" s="40">
        <v>2.9547159096050546E-2</v>
      </c>
      <c r="J583" s="40">
        <v>0.13414879818853276</v>
      </c>
    </row>
    <row r="584" spans="1:10" ht="11.25" customHeight="1" x14ac:dyDescent="0.2">
      <c r="A584" s="49">
        <v>44501</v>
      </c>
      <c r="B584" s="64">
        <v>0</v>
      </c>
      <c r="C584" s="64">
        <v>0</v>
      </c>
      <c r="D584" s="64">
        <v>139747.76976000005</v>
      </c>
      <c r="E584" s="64">
        <v>172630.04768485524</v>
      </c>
      <c r="F584" s="64">
        <v>135134.427</v>
      </c>
      <c r="G584" s="64">
        <v>139127.26541392264</v>
      </c>
      <c r="H584" s="40">
        <v>0.23529733591689173</v>
      </c>
      <c r="I584" s="40">
        <v>2.9547159096050546E-2</v>
      </c>
      <c r="J584" s="40">
        <v>0.13414879818853276</v>
      </c>
    </row>
    <row r="585" spans="1:10" ht="11.25" customHeight="1" x14ac:dyDescent="0.2">
      <c r="A585" s="49">
        <v>44531</v>
      </c>
      <c r="B585" s="64">
        <v>0</v>
      </c>
      <c r="C585" s="64">
        <v>0</v>
      </c>
      <c r="D585" s="64">
        <v>148361.29376000003</v>
      </c>
      <c r="E585" s="64">
        <v>183270.31093491142</v>
      </c>
      <c r="F585" s="64">
        <v>143463.60200000001</v>
      </c>
      <c r="G585" s="64">
        <v>147702.54387278648</v>
      </c>
      <c r="H585" s="40">
        <v>0.23529733591689173</v>
      </c>
      <c r="I585" s="40">
        <v>2.9547159096050546E-2</v>
      </c>
      <c r="J585" s="40">
        <v>0.13414879818853298</v>
      </c>
    </row>
    <row r="586" spans="1:10" ht="11.25" customHeight="1" x14ac:dyDescent="0.2">
      <c r="A586" s="49">
        <v>44562</v>
      </c>
      <c r="B586" s="64">
        <v>0</v>
      </c>
      <c r="C586" s="64">
        <v>0</v>
      </c>
      <c r="D586" s="64">
        <v>142954.88092</v>
      </c>
      <c r="E586" s="64">
        <v>176591.78355679254</v>
      </c>
      <c r="F586" s="64">
        <v>138235.66524999999</v>
      </c>
      <c r="G586" s="64">
        <v>142320.13644389011</v>
      </c>
      <c r="H586" s="40">
        <v>0.23529733591689195</v>
      </c>
      <c r="I586" s="40">
        <v>2.9547159096050324E-2</v>
      </c>
      <c r="J586" s="40">
        <v>0.13414879818853276</v>
      </c>
    </row>
    <row r="587" spans="1:10" ht="11.25" customHeight="1" x14ac:dyDescent="0.2">
      <c r="A587" s="49">
        <v>44593</v>
      </c>
      <c r="B587" s="64">
        <v>0</v>
      </c>
      <c r="C587" s="64">
        <v>0</v>
      </c>
      <c r="D587" s="64">
        <v>141583.78180000003</v>
      </c>
      <c r="E587" s="64">
        <v>174898.06846657855</v>
      </c>
      <c r="F587" s="64">
        <v>136909.82875000002</v>
      </c>
      <c r="G587" s="64">
        <v>140955.1252418893</v>
      </c>
      <c r="H587" s="40">
        <v>0.23529733591689195</v>
      </c>
      <c r="I587" s="40">
        <v>2.9547159096050546E-2</v>
      </c>
      <c r="J587" s="40">
        <v>0.13414879818853298</v>
      </c>
    </row>
    <row r="588" spans="1:10" ht="11.25" customHeight="1" x14ac:dyDescent="0.2">
      <c r="A588" s="49">
        <v>44621</v>
      </c>
      <c r="B588" s="64">
        <v>0</v>
      </c>
      <c r="C588" s="64">
        <v>0</v>
      </c>
      <c r="D588" s="64">
        <v>139860.26184000002</v>
      </c>
      <c r="E588" s="64">
        <v>172769.00885159094</v>
      </c>
      <c r="F588" s="64">
        <v>135243.20549999998</v>
      </c>
      <c r="G588" s="64">
        <v>139239.25800956835</v>
      </c>
      <c r="H588" s="40">
        <v>0.23529733591689173</v>
      </c>
      <c r="I588" s="40">
        <v>2.9547159096050546E-2</v>
      </c>
      <c r="J588" s="40">
        <v>0.13414879818853298</v>
      </c>
    </row>
    <row r="589" spans="1:10" ht="11.25" customHeight="1" x14ac:dyDescent="0.2">
      <c r="A589" s="49">
        <v>44652</v>
      </c>
      <c r="B589" s="64">
        <v>0</v>
      </c>
      <c r="C589" s="64">
        <v>0</v>
      </c>
      <c r="D589" s="64">
        <v>133800.36240000001</v>
      </c>
      <c r="E589" s="64">
        <v>165283.23121743469</v>
      </c>
      <c r="F589" s="64">
        <v>129383.355</v>
      </c>
      <c r="G589" s="64">
        <v>133206.26557456577</v>
      </c>
      <c r="H589" s="40">
        <v>0.23529733591689195</v>
      </c>
      <c r="I589" s="40">
        <v>2.9547159096050546E-2</v>
      </c>
      <c r="J589" s="40">
        <v>0.13414879818853276</v>
      </c>
    </row>
    <row r="590" spans="1:10" ht="11.25" customHeight="1" x14ac:dyDescent="0.2">
      <c r="A590" s="49">
        <v>44682</v>
      </c>
      <c r="B590" s="64">
        <v>0</v>
      </c>
      <c r="C590" s="64">
        <v>0</v>
      </c>
      <c r="D590" s="64">
        <v>139651.85260000004</v>
      </c>
      <c r="E590" s="64">
        <v>172511.56147263848</v>
      </c>
      <c r="F590" s="64">
        <v>135041.67625000002</v>
      </c>
      <c r="G590" s="64">
        <v>139031.7741427561</v>
      </c>
      <c r="H590" s="40">
        <v>0.2352973359168915</v>
      </c>
      <c r="I590" s="40">
        <v>2.9547159096050324E-2</v>
      </c>
      <c r="J590" s="40">
        <v>0.13414879818853254</v>
      </c>
    </row>
    <row r="591" spans="1:10" ht="11.25" customHeight="1" x14ac:dyDescent="0.2">
      <c r="A591" s="42" t="s">
        <v>39</v>
      </c>
      <c r="B591" s="64">
        <v>0</v>
      </c>
      <c r="C591" s="64">
        <v>0</v>
      </c>
      <c r="D591" s="64">
        <v>8975834.0058323983</v>
      </c>
      <c r="E591" s="64">
        <v>10388363.56867042</v>
      </c>
      <c r="F591" s="64">
        <v>8686575.358709598</v>
      </c>
      <c r="G591" s="64">
        <v>8378067.631946926</v>
      </c>
      <c r="H591" s="40">
        <v>0.15737028580521617</v>
      </c>
      <c r="I591" s="40">
        <v>-3.5515460814295352E-2</v>
      </c>
      <c r="J591" s="40">
        <v>6.2506864906648252E-2</v>
      </c>
    </row>
    <row r="592" spans="1:10" ht="11.25" customHeight="1" x14ac:dyDescent="0.2">
      <c r="A592" s="43" t="s">
        <v>36</v>
      </c>
      <c r="B592" s="64">
        <v>0</v>
      </c>
      <c r="C592" s="64">
        <v>0</v>
      </c>
      <c r="D592" s="64">
        <v>151499.84402000005</v>
      </c>
      <c r="E592" s="64">
        <v>176329.65028972793</v>
      </c>
      <c r="F592" s="64">
        <v>153461.08584000001</v>
      </c>
      <c r="G592" s="64">
        <v>147910.87515669697</v>
      </c>
      <c r="H592" s="40">
        <v>0.16389327943103371</v>
      </c>
      <c r="I592" s="40">
        <v>-3.6166893078612539E-2</v>
      </c>
      <c r="J592" s="40">
        <v>6.3219887200880454E-2</v>
      </c>
    </row>
    <row r="593" spans="1:10" ht="11.25" customHeight="1" x14ac:dyDescent="0.2">
      <c r="A593" s="44" t="s">
        <v>43</v>
      </c>
      <c r="B593" s="64">
        <v>0</v>
      </c>
      <c r="C593" s="64">
        <v>0</v>
      </c>
      <c r="D593" s="64">
        <v>143962.73246000006</v>
      </c>
      <c r="E593" s="64">
        <v>167462.72513798607</v>
      </c>
      <c r="F593" s="64">
        <v>145408.91073999999</v>
      </c>
      <c r="G593" s="64">
        <v>140141.7624118448</v>
      </c>
      <c r="H593" s="40">
        <v>0.16323663962487966</v>
      </c>
      <c r="I593" s="40">
        <v>-3.6223009314561239E-2</v>
      </c>
      <c r="J593" s="40">
        <v>6.3008400367789763E-2</v>
      </c>
    </row>
    <row r="594" spans="1:10" ht="11.25" customHeight="1" x14ac:dyDescent="0.2">
      <c r="A594" s="45" t="s">
        <v>25</v>
      </c>
      <c r="B594" s="64">
        <v>0</v>
      </c>
      <c r="C594" s="64">
        <v>0</v>
      </c>
      <c r="D594" s="64">
        <v>143962.73246000006</v>
      </c>
      <c r="E594" s="64">
        <v>167462.72513798607</v>
      </c>
      <c r="F594" s="64">
        <v>145408.91073999999</v>
      </c>
      <c r="G594" s="64">
        <v>140141.7624118448</v>
      </c>
      <c r="H594" s="40">
        <v>0.16323663962487966</v>
      </c>
      <c r="I594" s="40">
        <v>-3.6223009314561239E-2</v>
      </c>
      <c r="J594" s="40">
        <v>6.3008400367789763E-2</v>
      </c>
    </row>
    <row r="595" spans="1:10" ht="11.25" customHeight="1" x14ac:dyDescent="0.2">
      <c r="A595" s="46" t="s">
        <v>25</v>
      </c>
      <c r="B595" s="64">
        <v>0</v>
      </c>
      <c r="C595" s="64">
        <v>0</v>
      </c>
      <c r="D595" s="64">
        <v>143962.73246000006</v>
      </c>
      <c r="E595" s="64">
        <v>167462.72513798607</v>
      </c>
      <c r="F595" s="64">
        <v>145408.91073999999</v>
      </c>
      <c r="G595" s="64">
        <v>140141.7624118448</v>
      </c>
      <c r="H595" s="40">
        <v>0.16323663962487966</v>
      </c>
      <c r="I595" s="40">
        <v>-3.6223009314561239E-2</v>
      </c>
      <c r="J595" s="40">
        <v>6.3008400367789763E-2</v>
      </c>
    </row>
    <row r="596" spans="1:10" ht="11.25" customHeight="1" x14ac:dyDescent="0.2">
      <c r="A596" s="47" t="s">
        <v>25</v>
      </c>
      <c r="B596" s="64">
        <v>0</v>
      </c>
      <c r="C596" s="64">
        <v>0</v>
      </c>
      <c r="D596" s="64">
        <v>143962.73246000006</v>
      </c>
      <c r="E596" s="64">
        <v>167462.72513798607</v>
      </c>
      <c r="F596" s="64">
        <v>145408.91073999999</v>
      </c>
      <c r="G596" s="64">
        <v>140141.7624118448</v>
      </c>
      <c r="H596" s="40">
        <v>0.16323663962487966</v>
      </c>
      <c r="I596" s="40">
        <v>-3.6223009314561239E-2</v>
      </c>
      <c r="J596" s="40">
        <v>6.3008400367789763E-2</v>
      </c>
    </row>
    <row r="597" spans="1:10" ht="11.25" customHeight="1" x14ac:dyDescent="0.2">
      <c r="A597" s="48" t="s">
        <v>35</v>
      </c>
      <c r="B597" s="64">
        <v>0</v>
      </c>
      <c r="C597" s="64">
        <v>0</v>
      </c>
      <c r="D597" s="64">
        <v>101716.95819999999</v>
      </c>
      <c r="E597" s="64">
        <v>121888.17393977102</v>
      </c>
      <c r="F597" s="64">
        <v>118493.38072</v>
      </c>
      <c r="G597" s="64">
        <v>114509.99919906243</v>
      </c>
      <c r="H597" s="40">
        <v>0.19830730388250073</v>
      </c>
      <c r="I597" s="40">
        <v>-3.3616911735772859E-2</v>
      </c>
      <c r="J597" s="40">
        <v>7.3510782001540376E-2</v>
      </c>
    </row>
    <row r="598" spans="1:10" ht="11.25" customHeight="1" x14ac:dyDescent="0.2">
      <c r="A598" s="49">
        <v>44348</v>
      </c>
      <c r="B598" s="64">
        <v>0</v>
      </c>
      <c r="C598" s="64">
        <v>0</v>
      </c>
      <c r="D598" s="64">
        <v>7445.5382</v>
      </c>
      <c r="E598" s="64">
        <v>8922.0428063961681</v>
      </c>
      <c r="F598" s="64">
        <v>8673.5487200000007</v>
      </c>
      <c r="G598" s="64">
        <v>8381.9707982438358</v>
      </c>
      <c r="H598" s="40">
        <v>0.19830730388250073</v>
      </c>
      <c r="I598" s="40">
        <v>-3.3616911735772748E-2</v>
      </c>
      <c r="J598" s="40">
        <v>7.3510782001540376E-2</v>
      </c>
    </row>
    <row r="599" spans="1:10" ht="11.25" customHeight="1" x14ac:dyDescent="0.2">
      <c r="A599" s="49">
        <v>44378</v>
      </c>
      <c r="B599" s="64">
        <v>0</v>
      </c>
      <c r="C599" s="64">
        <v>0</v>
      </c>
      <c r="D599" s="64">
        <v>7808.7589999999991</v>
      </c>
      <c r="E599" s="64">
        <v>9357.2929439582131</v>
      </c>
      <c r="F599" s="64">
        <v>9096.6764000000003</v>
      </c>
      <c r="G599" s="64">
        <v>8790.8742323723127</v>
      </c>
      <c r="H599" s="40">
        <v>0.19830730388250095</v>
      </c>
      <c r="I599" s="40">
        <v>-3.3616911735772859E-2</v>
      </c>
      <c r="J599" s="40">
        <v>7.351078200154082E-2</v>
      </c>
    </row>
    <row r="600" spans="1:10" ht="11.25" customHeight="1" x14ac:dyDescent="0.2">
      <c r="A600" s="49">
        <v>44409</v>
      </c>
      <c r="B600" s="64">
        <v>0</v>
      </c>
      <c r="C600" s="64">
        <v>0</v>
      </c>
      <c r="D600" s="64">
        <v>7982.8023000000003</v>
      </c>
      <c r="E600" s="64">
        <v>9565.8503015400274</v>
      </c>
      <c r="F600" s="64">
        <v>9299.4250800000009</v>
      </c>
      <c r="G600" s="64">
        <v>8986.8071278922089</v>
      </c>
      <c r="H600" s="40">
        <v>0.19830730388250095</v>
      </c>
      <c r="I600" s="40">
        <v>-3.3616911735772859E-2</v>
      </c>
      <c r="J600" s="40">
        <v>7.3510782001540598E-2</v>
      </c>
    </row>
    <row r="601" spans="1:10" ht="11.25" customHeight="1" x14ac:dyDescent="0.2">
      <c r="A601" s="49">
        <v>44440</v>
      </c>
      <c r="B601" s="64">
        <v>0</v>
      </c>
      <c r="C601" s="64">
        <v>0</v>
      </c>
      <c r="D601" s="64">
        <v>8513.7197999999989</v>
      </c>
      <c r="E601" s="64">
        <v>10202.052619549064</v>
      </c>
      <c r="F601" s="64">
        <v>9917.9080800000011</v>
      </c>
      <c r="G601" s="64">
        <v>9584.4986394711323</v>
      </c>
      <c r="H601" s="40">
        <v>0.19830730388250095</v>
      </c>
      <c r="I601" s="40">
        <v>-3.3616911735772859E-2</v>
      </c>
      <c r="J601" s="40">
        <v>7.3510782001540598E-2</v>
      </c>
    </row>
    <row r="602" spans="1:10" ht="11.25" customHeight="1" x14ac:dyDescent="0.2">
      <c r="A602" s="49">
        <v>44470</v>
      </c>
      <c r="B602" s="64">
        <v>0</v>
      </c>
      <c r="C602" s="64">
        <v>0</v>
      </c>
      <c r="D602" s="64">
        <v>8680.4400999999998</v>
      </c>
      <c r="E602" s="64">
        <v>10401.834772744545</v>
      </c>
      <c r="F602" s="64">
        <v>10112.125960000001</v>
      </c>
      <c r="G602" s="64">
        <v>9772.187514141664</v>
      </c>
      <c r="H602" s="40">
        <v>0.19830730388250073</v>
      </c>
      <c r="I602" s="40">
        <v>-3.3616911735772859E-2</v>
      </c>
      <c r="J602" s="40">
        <v>7.3510782001540598E-2</v>
      </c>
    </row>
    <row r="603" spans="1:10" ht="11.25" customHeight="1" x14ac:dyDescent="0.2">
      <c r="A603" s="49">
        <v>44501</v>
      </c>
      <c r="B603" s="64">
        <v>0</v>
      </c>
      <c r="C603" s="64">
        <v>0</v>
      </c>
      <c r="D603" s="64">
        <v>8537.641599999999</v>
      </c>
      <c r="E603" s="64">
        <v>10230.718287211081</v>
      </c>
      <c r="F603" s="64">
        <v>9945.7753599999996</v>
      </c>
      <c r="G603" s="64">
        <v>9611.429107579057</v>
      </c>
      <c r="H603" s="40">
        <v>0.19830730388250095</v>
      </c>
      <c r="I603" s="40">
        <v>-3.3616911735772637E-2</v>
      </c>
      <c r="J603" s="40">
        <v>7.351078200154082E-2</v>
      </c>
    </row>
    <row r="604" spans="1:10" ht="11.25" customHeight="1" x14ac:dyDescent="0.2">
      <c r="A604" s="49">
        <v>44531</v>
      </c>
      <c r="B604" s="64">
        <v>0</v>
      </c>
      <c r="C604" s="64">
        <v>0</v>
      </c>
      <c r="D604" s="64">
        <v>9584.0982999999997</v>
      </c>
      <c r="E604" s="64">
        <v>11484.69499401786</v>
      </c>
      <c r="F604" s="64">
        <v>11164.82668</v>
      </c>
      <c r="G604" s="64">
        <v>10789.499686953239</v>
      </c>
      <c r="H604" s="40">
        <v>0.19830730388250095</v>
      </c>
      <c r="I604" s="40">
        <v>-3.3616911735772859E-2</v>
      </c>
      <c r="J604" s="40">
        <v>7.3510782001540598E-2</v>
      </c>
    </row>
    <row r="605" spans="1:10" ht="11.25" customHeight="1" x14ac:dyDescent="0.2">
      <c r="A605" s="49">
        <v>44562</v>
      </c>
      <c r="B605" s="64">
        <v>0</v>
      </c>
      <c r="C605" s="64">
        <v>0</v>
      </c>
      <c r="D605" s="64">
        <v>8619.6592000000001</v>
      </c>
      <c r="E605" s="64">
        <v>10329.000576337994</v>
      </c>
      <c r="F605" s="64">
        <v>10041.320319999999</v>
      </c>
      <c r="G605" s="64">
        <v>9703.7621410919382</v>
      </c>
      <c r="H605" s="40">
        <v>0.19830730388250073</v>
      </c>
      <c r="I605" s="40">
        <v>-3.3616911735772637E-2</v>
      </c>
      <c r="J605" s="40">
        <v>7.3510782001540598E-2</v>
      </c>
    </row>
    <row r="606" spans="1:10" ht="11.25" customHeight="1" x14ac:dyDescent="0.2">
      <c r="A606" s="49">
        <v>44593</v>
      </c>
      <c r="B606" s="64">
        <v>0</v>
      </c>
      <c r="C606" s="64">
        <v>0</v>
      </c>
      <c r="D606" s="64">
        <v>9985.6427999999996</v>
      </c>
      <c r="E606" s="64">
        <v>11965.868701201707</v>
      </c>
      <c r="F606" s="64">
        <v>11632.598880000001</v>
      </c>
      <c r="G606" s="64">
        <v>11241.546830193392</v>
      </c>
      <c r="H606" s="40">
        <v>0.19830730388250095</v>
      </c>
      <c r="I606" s="40">
        <v>-3.3616911735772748E-2</v>
      </c>
      <c r="J606" s="40">
        <v>7.3510782001540598E-2</v>
      </c>
    </row>
    <row r="607" spans="1:10" ht="11.25" customHeight="1" x14ac:dyDescent="0.2">
      <c r="A607" s="49">
        <v>44621</v>
      </c>
      <c r="B607" s="64">
        <v>0</v>
      </c>
      <c r="C607" s="64">
        <v>0</v>
      </c>
      <c r="D607" s="64">
        <v>9096.1424000000006</v>
      </c>
      <c r="E607" s="64">
        <v>10899.973875075302</v>
      </c>
      <c r="F607" s="64">
        <v>10596.39104</v>
      </c>
      <c r="G607" s="64">
        <v>10240.173097690587</v>
      </c>
      <c r="H607" s="40">
        <v>0.19830730388250095</v>
      </c>
      <c r="I607" s="40">
        <v>-3.3616911735772748E-2</v>
      </c>
      <c r="J607" s="40">
        <v>7.351078200154082E-2</v>
      </c>
    </row>
    <row r="608" spans="1:10" ht="11.25" customHeight="1" x14ac:dyDescent="0.2">
      <c r="A608" s="49">
        <v>44652</v>
      </c>
      <c r="B608" s="64">
        <v>0</v>
      </c>
      <c r="C608" s="64">
        <v>0</v>
      </c>
      <c r="D608" s="64">
        <v>7577.8404</v>
      </c>
      <c r="E608" s="64">
        <v>9080.581498975891</v>
      </c>
      <c r="F608" s="64">
        <v>8827.6718400000009</v>
      </c>
      <c r="G608" s="64">
        <v>8530.9127749223535</v>
      </c>
      <c r="H608" s="40">
        <v>0.19830730388250073</v>
      </c>
      <c r="I608" s="40">
        <v>-3.3616911735772859E-2</v>
      </c>
      <c r="J608" s="40">
        <v>7.3510782001540376E-2</v>
      </c>
    </row>
    <row r="609" spans="1:10" ht="11.25" customHeight="1" x14ac:dyDescent="0.2">
      <c r="A609" s="49">
        <v>44682</v>
      </c>
      <c r="B609" s="64">
        <v>0</v>
      </c>
      <c r="C609" s="64">
        <v>0</v>
      </c>
      <c r="D609" s="64">
        <v>7884.6741000000002</v>
      </c>
      <c r="E609" s="64">
        <v>9448.2625627631842</v>
      </c>
      <c r="F609" s="64">
        <v>9185.112360000001</v>
      </c>
      <c r="G609" s="64">
        <v>8876.3372485107247</v>
      </c>
      <c r="H609" s="40">
        <v>0.19830730388250095</v>
      </c>
      <c r="I609" s="40">
        <v>-3.3616911735772859E-2</v>
      </c>
      <c r="J609" s="40">
        <v>7.3510782001540598E-2</v>
      </c>
    </row>
    <row r="610" spans="1:10" ht="11.25" customHeight="1" x14ac:dyDescent="0.2">
      <c r="A610" s="48" t="s">
        <v>38</v>
      </c>
      <c r="B610" s="64">
        <v>0</v>
      </c>
      <c r="C610" s="64">
        <v>0</v>
      </c>
      <c r="D610" s="64">
        <v>6755.9556999999995</v>
      </c>
      <c r="E610" s="64">
        <v>8095.7110600166143</v>
      </c>
      <c r="F610" s="64">
        <v>7870.2317200000007</v>
      </c>
      <c r="G610" s="64">
        <v>7605.6588349286812</v>
      </c>
      <c r="H610" s="40">
        <v>0.19830730388250117</v>
      </c>
      <c r="I610" s="40">
        <v>-3.3616911735772859E-2</v>
      </c>
      <c r="J610" s="40">
        <v>7.351078200154082E-2</v>
      </c>
    </row>
    <row r="611" spans="1:10" ht="11.25" customHeight="1" x14ac:dyDescent="0.2">
      <c r="A611" s="49">
        <v>44348</v>
      </c>
      <c r="B611" s="64">
        <v>0</v>
      </c>
      <c r="C611" s="64">
        <v>0</v>
      </c>
      <c r="D611" s="64">
        <v>499.67270000000002</v>
      </c>
      <c r="E611" s="64">
        <v>598.76144596068968</v>
      </c>
      <c r="F611" s="64">
        <v>582.08492000000012</v>
      </c>
      <c r="G611" s="64">
        <v>562.51702262163576</v>
      </c>
      <c r="H611" s="40">
        <v>0.19830730388250073</v>
      </c>
      <c r="I611" s="40">
        <v>-3.3616911735772748E-2</v>
      </c>
      <c r="J611" s="40">
        <v>7.3510782001540376E-2</v>
      </c>
    </row>
    <row r="612" spans="1:10" ht="11.25" customHeight="1" x14ac:dyDescent="0.2">
      <c r="A612" s="49">
        <v>44378</v>
      </c>
      <c r="B612" s="64">
        <v>0</v>
      </c>
      <c r="C612" s="64">
        <v>0</v>
      </c>
      <c r="D612" s="64">
        <v>523.59450000000004</v>
      </c>
      <c r="E612" s="64">
        <v>627.42711362270609</v>
      </c>
      <c r="F612" s="64">
        <v>609.95220000000006</v>
      </c>
      <c r="G612" s="64">
        <v>589.4474907295596</v>
      </c>
      <c r="H612" s="40">
        <v>0.19830730388250073</v>
      </c>
      <c r="I612" s="40">
        <v>-3.3616911735772859E-2</v>
      </c>
      <c r="J612" s="40">
        <v>7.3510782001540376E-2</v>
      </c>
    </row>
    <row r="613" spans="1:10" ht="11.25" customHeight="1" x14ac:dyDescent="0.2">
      <c r="A613" s="49">
        <v>44409</v>
      </c>
      <c r="B613" s="64">
        <v>0</v>
      </c>
      <c r="C613" s="64">
        <v>0</v>
      </c>
      <c r="D613" s="64">
        <v>526.27960000000007</v>
      </c>
      <c r="E613" s="64">
        <v>630.64468856436099</v>
      </c>
      <c r="F613" s="64">
        <v>613.08016000000009</v>
      </c>
      <c r="G613" s="64">
        <v>592.4702983743266</v>
      </c>
      <c r="H613" s="40">
        <v>0.19830730388250073</v>
      </c>
      <c r="I613" s="40">
        <v>-3.3616911735772859E-2</v>
      </c>
      <c r="J613" s="40">
        <v>7.3510782001540376E-2</v>
      </c>
    </row>
    <row r="614" spans="1:10" ht="11.25" customHeight="1" x14ac:dyDescent="0.2">
      <c r="A614" s="49">
        <v>44440</v>
      </c>
      <c r="B614" s="64">
        <v>0</v>
      </c>
      <c r="C614" s="64">
        <v>0</v>
      </c>
      <c r="D614" s="64">
        <v>551.66599999999994</v>
      </c>
      <c r="E614" s="64">
        <v>661.0653971036437</v>
      </c>
      <c r="F614" s="64">
        <v>642.65359999999998</v>
      </c>
      <c r="G614" s="64">
        <v>621.04957065212341</v>
      </c>
      <c r="H614" s="40">
        <v>0.19830730388250095</v>
      </c>
      <c r="I614" s="40">
        <v>-3.3616911735772748E-2</v>
      </c>
      <c r="J614" s="40">
        <v>7.351078200154082E-2</v>
      </c>
    </row>
    <row r="615" spans="1:10" ht="11.25" customHeight="1" x14ac:dyDescent="0.2">
      <c r="A615" s="49">
        <v>44470</v>
      </c>
      <c r="B615" s="64">
        <v>0</v>
      </c>
      <c r="C615" s="64">
        <v>0</v>
      </c>
      <c r="D615" s="64">
        <v>538.4846</v>
      </c>
      <c r="E615" s="64">
        <v>645.27002920824691</v>
      </c>
      <c r="F615" s="64">
        <v>627.29816000000005</v>
      </c>
      <c r="G615" s="64">
        <v>606.21033312326733</v>
      </c>
      <c r="H615" s="40">
        <v>0.19830730388250073</v>
      </c>
      <c r="I615" s="40">
        <v>-3.3616911735772859E-2</v>
      </c>
      <c r="J615" s="40">
        <v>7.3510782001540376E-2</v>
      </c>
    </row>
    <row r="616" spans="1:10" ht="11.25" customHeight="1" x14ac:dyDescent="0.2">
      <c r="A616" s="49">
        <v>44501</v>
      </c>
      <c r="B616" s="64">
        <v>0</v>
      </c>
      <c r="C616" s="64">
        <v>0</v>
      </c>
      <c r="D616" s="64">
        <v>523.10629999999992</v>
      </c>
      <c r="E616" s="64">
        <v>626.84209999695065</v>
      </c>
      <c r="F616" s="64">
        <v>609.38347999999996</v>
      </c>
      <c r="G616" s="64">
        <v>588.89788933960187</v>
      </c>
      <c r="H616" s="40">
        <v>0.19830730388250095</v>
      </c>
      <c r="I616" s="40">
        <v>-3.3616911735772859E-2</v>
      </c>
      <c r="J616" s="40">
        <v>7.3510782001540598E-2</v>
      </c>
    </row>
    <row r="617" spans="1:10" ht="11.25" customHeight="1" x14ac:dyDescent="0.2">
      <c r="A617" s="49">
        <v>44531</v>
      </c>
      <c r="B617" s="64">
        <v>0</v>
      </c>
      <c r="C617" s="64">
        <v>0</v>
      </c>
      <c r="D617" s="64">
        <v>585.35180000000003</v>
      </c>
      <c r="E617" s="64">
        <v>701.43133728076896</v>
      </c>
      <c r="F617" s="64">
        <v>681.89528000000007</v>
      </c>
      <c r="G617" s="64">
        <v>658.97206655920002</v>
      </c>
      <c r="H617" s="40">
        <v>0.19830730388250095</v>
      </c>
      <c r="I617" s="40">
        <v>-3.3616911735772748E-2</v>
      </c>
      <c r="J617" s="40">
        <v>7.3510782001540598E-2</v>
      </c>
    </row>
    <row r="618" spans="1:10" ht="11.25" customHeight="1" x14ac:dyDescent="0.2">
      <c r="A618" s="49">
        <v>44562</v>
      </c>
      <c r="B618" s="64">
        <v>0</v>
      </c>
      <c r="C618" s="64">
        <v>0</v>
      </c>
      <c r="D618" s="64">
        <v>613.91150000000005</v>
      </c>
      <c r="E618" s="64">
        <v>735.65463438746201</v>
      </c>
      <c r="F618" s="64">
        <v>715.16540000000009</v>
      </c>
      <c r="G618" s="64">
        <v>691.12374787172143</v>
      </c>
      <c r="H618" s="40">
        <v>0.19830730388250095</v>
      </c>
      <c r="I618" s="40">
        <v>-3.3616911735772859E-2</v>
      </c>
      <c r="J618" s="40">
        <v>7.3510782001540598E-2</v>
      </c>
    </row>
    <row r="619" spans="1:10" ht="11.25" customHeight="1" x14ac:dyDescent="0.2">
      <c r="A619" s="49">
        <v>44593</v>
      </c>
      <c r="B619" s="64">
        <v>0</v>
      </c>
      <c r="C619" s="64">
        <v>0</v>
      </c>
      <c r="D619" s="64">
        <v>729.61489999999992</v>
      </c>
      <c r="E619" s="64">
        <v>874.30286369150042</v>
      </c>
      <c r="F619" s="64">
        <v>849.95204000000001</v>
      </c>
      <c r="G619" s="64">
        <v>821.37927729167995</v>
      </c>
      <c r="H619" s="40">
        <v>0.19830730388250095</v>
      </c>
      <c r="I619" s="40">
        <v>-3.3616911735772859E-2</v>
      </c>
      <c r="J619" s="40">
        <v>7.3510782001540598E-2</v>
      </c>
    </row>
    <row r="620" spans="1:10" ht="11.25" customHeight="1" x14ac:dyDescent="0.2">
      <c r="A620" s="49">
        <v>44621</v>
      </c>
      <c r="B620" s="64">
        <v>0</v>
      </c>
      <c r="C620" s="64">
        <v>0</v>
      </c>
      <c r="D620" s="64">
        <v>615.13199999999995</v>
      </c>
      <c r="E620" s="64">
        <v>737.11716845185049</v>
      </c>
      <c r="F620" s="64">
        <v>716.58720000000005</v>
      </c>
      <c r="G620" s="64">
        <v>692.49775134661547</v>
      </c>
      <c r="H620" s="40">
        <v>0.19830730388250095</v>
      </c>
      <c r="I620" s="40">
        <v>-3.3616911735772859E-2</v>
      </c>
      <c r="J620" s="40">
        <v>7.3510782001540598E-2</v>
      </c>
    </row>
    <row r="621" spans="1:10" ht="11.25" customHeight="1" x14ac:dyDescent="0.2">
      <c r="A621" s="49">
        <v>44652</v>
      </c>
      <c r="B621" s="64">
        <v>0</v>
      </c>
      <c r="C621" s="64">
        <v>0</v>
      </c>
      <c r="D621" s="64">
        <v>523.35040000000004</v>
      </c>
      <c r="E621" s="64">
        <v>627.13460680982837</v>
      </c>
      <c r="F621" s="64">
        <v>609.66783999999996</v>
      </c>
      <c r="G621" s="64">
        <v>589.1726900345808</v>
      </c>
      <c r="H621" s="40">
        <v>0.19830730388250073</v>
      </c>
      <c r="I621" s="40">
        <v>-3.3616911735772637E-2</v>
      </c>
      <c r="J621" s="40">
        <v>7.3510782001540598E-2</v>
      </c>
    </row>
    <row r="622" spans="1:10" ht="11.25" customHeight="1" x14ac:dyDescent="0.2">
      <c r="A622" s="49">
        <v>44682</v>
      </c>
      <c r="B622" s="64">
        <v>0</v>
      </c>
      <c r="C622" s="64">
        <v>0</v>
      </c>
      <c r="D622" s="64">
        <v>525.79139999999995</v>
      </c>
      <c r="E622" s="64">
        <v>630.05967493860555</v>
      </c>
      <c r="F622" s="64">
        <v>612.51143999999999</v>
      </c>
      <c r="G622" s="64">
        <v>591.92069698436887</v>
      </c>
      <c r="H622" s="40">
        <v>0.19830730388250095</v>
      </c>
      <c r="I622" s="40">
        <v>-3.3616911735772859E-2</v>
      </c>
      <c r="J622" s="40">
        <v>7.3510782001540598E-2</v>
      </c>
    </row>
    <row r="623" spans="1:10" ht="11.25" customHeight="1" x14ac:dyDescent="0.2">
      <c r="A623" s="48" t="s">
        <v>37</v>
      </c>
      <c r="B623" s="64">
        <v>0</v>
      </c>
      <c r="C623" s="64">
        <v>0</v>
      </c>
      <c r="D623" s="64">
        <v>35489.81856</v>
      </c>
      <c r="E623" s="64">
        <v>37478.840138198517</v>
      </c>
      <c r="F623" s="64">
        <v>19045.298299999999</v>
      </c>
      <c r="G623" s="64">
        <v>18026.104377853717</v>
      </c>
      <c r="H623" s="40">
        <v>5.6044850576957073E-2</v>
      </c>
      <c r="I623" s="40">
        <v>-5.3514201042799248E-2</v>
      </c>
      <c r="J623" s="40">
        <v>1.7783544106853677E-2</v>
      </c>
    </row>
    <row r="624" spans="1:10" ht="11.25" customHeight="1" x14ac:dyDescent="0.2">
      <c r="A624" s="49">
        <v>44348</v>
      </c>
      <c r="B624" s="64">
        <v>0</v>
      </c>
      <c r="C624" s="64">
        <v>0</v>
      </c>
      <c r="D624" s="64">
        <v>2393.8483199999996</v>
      </c>
      <c r="E624" s="64">
        <v>2528.0111913982996</v>
      </c>
      <c r="F624" s="64">
        <v>1284.6375999999998</v>
      </c>
      <c r="G624" s="64">
        <v>1215.8912452064608</v>
      </c>
      <c r="H624" s="40">
        <v>5.6044850576957295E-2</v>
      </c>
      <c r="I624" s="40">
        <v>-5.3514201042799137E-2</v>
      </c>
      <c r="J624" s="40">
        <v>1.7783544106854121E-2</v>
      </c>
    </row>
    <row r="625" spans="1:10" ht="11.25" customHeight="1" x14ac:dyDescent="0.2">
      <c r="A625" s="49">
        <v>44378</v>
      </c>
      <c r="B625" s="64">
        <v>0</v>
      </c>
      <c r="C625" s="64">
        <v>0</v>
      </c>
      <c r="D625" s="64">
        <v>2552.3644799999997</v>
      </c>
      <c r="E625" s="64">
        <v>2695.4113658995329</v>
      </c>
      <c r="F625" s="64">
        <v>1369.7039</v>
      </c>
      <c r="G625" s="64">
        <v>1296.4052901262937</v>
      </c>
      <c r="H625" s="40">
        <v>5.6044850576957295E-2</v>
      </c>
      <c r="I625" s="40">
        <v>-5.3514201042799248E-2</v>
      </c>
      <c r="J625" s="40">
        <v>1.7783544106853899E-2</v>
      </c>
    </row>
    <row r="626" spans="1:10" ht="11.25" customHeight="1" x14ac:dyDescent="0.2">
      <c r="A626" s="49">
        <v>44409</v>
      </c>
      <c r="B626" s="64">
        <v>0</v>
      </c>
      <c r="C626" s="64">
        <v>0</v>
      </c>
      <c r="D626" s="64">
        <v>2586.2716799999998</v>
      </c>
      <c r="E626" s="64">
        <v>2731.2188898570157</v>
      </c>
      <c r="F626" s="64">
        <v>1387.8998999999999</v>
      </c>
      <c r="G626" s="64">
        <v>1313.627545724119</v>
      </c>
      <c r="H626" s="40">
        <v>5.6044850576957073E-2</v>
      </c>
      <c r="I626" s="40">
        <v>-5.3514201042799137E-2</v>
      </c>
      <c r="J626" s="40">
        <v>1.7783544106853899E-2</v>
      </c>
    </row>
    <row r="627" spans="1:10" ht="11.25" customHeight="1" x14ac:dyDescent="0.2">
      <c r="A627" s="49">
        <v>44440</v>
      </c>
      <c r="B627" s="64">
        <v>0</v>
      </c>
      <c r="C627" s="64">
        <v>0</v>
      </c>
      <c r="D627" s="64">
        <v>2487.09312</v>
      </c>
      <c r="E627" s="64">
        <v>2626.4818822813781</v>
      </c>
      <c r="F627" s="64">
        <v>1334.6766</v>
      </c>
      <c r="G627" s="64">
        <v>1263.2524481004803</v>
      </c>
      <c r="H627" s="40">
        <v>5.6044850576957073E-2</v>
      </c>
      <c r="I627" s="40">
        <v>-5.3514201042799248E-2</v>
      </c>
      <c r="J627" s="40">
        <v>1.7783544106853677E-2</v>
      </c>
    </row>
    <row r="628" spans="1:10" ht="11.25" customHeight="1" x14ac:dyDescent="0.2">
      <c r="A628" s="49">
        <v>44470</v>
      </c>
      <c r="B628" s="64">
        <v>0</v>
      </c>
      <c r="C628" s="64">
        <v>0</v>
      </c>
      <c r="D628" s="64">
        <v>3082.1644799999999</v>
      </c>
      <c r="E628" s="64">
        <v>3254.9039277352049</v>
      </c>
      <c r="F628" s="64">
        <v>1654.0164</v>
      </c>
      <c r="G628" s="64">
        <v>1565.503033842313</v>
      </c>
      <c r="H628" s="40">
        <v>5.6044850576957295E-2</v>
      </c>
      <c r="I628" s="40">
        <v>-5.3514201042799137E-2</v>
      </c>
      <c r="J628" s="40">
        <v>1.7783544106853899E-2</v>
      </c>
    </row>
    <row r="629" spans="1:10" ht="11.25" customHeight="1" x14ac:dyDescent="0.2">
      <c r="A629" s="49">
        <v>44501</v>
      </c>
      <c r="B629" s="64">
        <v>0</v>
      </c>
      <c r="C629" s="64">
        <v>0</v>
      </c>
      <c r="D629" s="64">
        <v>3645.0239999999994</v>
      </c>
      <c r="E629" s="64">
        <v>3849.3088254294221</v>
      </c>
      <c r="F629" s="64">
        <v>1956.0699999999997</v>
      </c>
      <c r="G629" s="64">
        <v>1851.3924767662115</v>
      </c>
      <c r="H629" s="40">
        <v>5.6044850576957073E-2</v>
      </c>
      <c r="I629" s="40">
        <v>-5.3514201042799137E-2</v>
      </c>
      <c r="J629" s="40">
        <v>1.7783544106853899E-2</v>
      </c>
    </row>
    <row r="630" spans="1:10" ht="11.25" customHeight="1" x14ac:dyDescent="0.2">
      <c r="A630" s="49">
        <v>44531</v>
      </c>
      <c r="B630" s="64">
        <v>0</v>
      </c>
      <c r="C630" s="64">
        <v>0</v>
      </c>
      <c r="D630" s="64">
        <v>4549.49856</v>
      </c>
      <c r="E630" s="64">
        <v>4804.4745269952818</v>
      </c>
      <c r="F630" s="64">
        <v>2441.4483</v>
      </c>
      <c r="G630" s="64">
        <v>2310.7961448381993</v>
      </c>
      <c r="H630" s="40">
        <v>5.6044850576957073E-2</v>
      </c>
      <c r="I630" s="40">
        <v>-5.3514201042799359E-2</v>
      </c>
      <c r="J630" s="40">
        <v>1.7783544106853899E-2</v>
      </c>
    </row>
    <row r="631" spans="1:10" ht="11.25" customHeight="1" x14ac:dyDescent="0.2">
      <c r="A631" s="49">
        <v>44562</v>
      </c>
      <c r="B631" s="64">
        <v>0</v>
      </c>
      <c r="C631" s="64">
        <v>0</v>
      </c>
      <c r="D631" s="64">
        <v>2860.0723199999998</v>
      </c>
      <c r="E631" s="64">
        <v>3020.3646458136909</v>
      </c>
      <c r="F631" s="64">
        <v>1534.8326</v>
      </c>
      <c r="G631" s="64">
        <v>1452.6972596765577</v>
      </c>
      <c r="H631" s="40">
        <v>5.6044850576957073E-2</v>
      </c>
      <c r="I631" s="40">
        <v>-5.3514201042799248E-2</v>
      </c>
      <c r="J631" s="40">
        <v>1.7783544106853899E-2</v>
      </c>
    </row>
    <row r="632" spans="1:10" ht="11.25" customHeight="1" x14ac:dyDescent="0.2">
      <c r="A632" s="49">
        <v>44593</v>
      </c>
      <c r="B632" s="64">
        <v>0</v>
      </c>
      <c r="C632" s="64">
        <v>0</v>
      </c>
      <c r="D632" s="64">
        <v>3283.9123199999999</v>
      </c>
      <c r="E632" s="64">
        <v>3467.9586952822287</v>
      </c>
      <c r="F632" s="64">
        <v>1762.2826</v>
      </c>
      <c r="G632" s="64">
        <v>1667.975454649373</v>
      </c>
      <c r="H632" s="40">
        <v>5.6044850576957295E-2</v>
      </c>
      <c r="I632" s="40">
        <v>-5.3514201042799248E-2</v>
      </c>
      <c r="J632" s="40">
        <v>1.7783544106853899E-2</v>
      </c>
    </row>
    <row r="633" spans="1:10" ht="11.25" customHeight="1" x14ac:dyDescent="0.2">
      <c r="A633" s="49">
        <v>44621</v>
      </c>
      <c r="B633" s="64">
        <v>0</v>
      </c>
      <c r="C633" s="64">
        <v>0</v>
      </c>
      <c r="D633" s="64">
        <v>2788.8671999999997</v>
      </c>
      <c r="E633" s="64">
        <v>2945.1688455029766</v>
      </c>
      <c r="F633" s="64">
        <v>1496.6209999999999</v>
      </c>
      <c r="G633" s="64">
        <v>1416.5305229211247</v>
      </c>
      <c r="H633" s="40">
        <v>5.6044850576957295E-2</v>
      </c>
      <c r="I633" s="40">
        <v>-5.3514201042799248E-2</v>
      </c>
      <c r="J633" s="40">
        <v>1.7783544106853899E-2</v>
      </c>
    </row>
    <row r="634" spans="1:10" ht="11.25" customHeight="1" x14ac:dyDescent="0.2">
      <c r="A634" s="49">
        <v>44652</v>
      </c>
      <c r="B634" s="64">
        <v>0</v>
      </c>
      <c r="C634" s="64">
        <v>0</v>
      </c>
      <c r="D634" s="64">
        <v>2825.3174399999998</v>
      </c>
      <c r="E634" s="64">
        <v>2983.6619337572706</v>
      </c>
      <c r="F634" s="64">
        <v>1516.1816999999999</v>
      </c>
      <c r="G634" s="64">
        <v>1435.0444476887867</v>
      </c>
      <c r="H634" s="40">
        <v>5.6044850576957073E-2</v>
      </c>
      <c r="I634" s="40">
        <v>-5.3514201042799248E-2</v>
      </c>
      <c r="J634" s="40">
        <v>1.7783544106853677E-2</v>
      </c>
    </row>
    <row r="635" spans="1:10" ht="11.25" customHeight="1" x14ac:dyDescent="0.2">
      <c r="A635" s="49">
        <v>44682</v>
      </c>
      <c r="B635" s="64">
        <v>0</v>
      </c>
      <c r="C635" s="64">
        <v>0</v>
      </c>
      <c r="D635" s="64">
        <v>2435.3846400000002</v>
      </c>
      <c r="E635" s="64">
        <v>2571.8754082462165</v>
      </c>
      <c r="F635" s="64">
        <v>1306.9277</v>
      </c>
      <c r="G635" s="64">
        <v>1236.9885083137967</v>
      </c>
      <c r="H635" s="40">
        <v>5.6044850576957073E-2</v>
      </c>
      <c r="I635" s="40">
        <v>-5.3514201042799248E-2</v>
      </c>
      <c r="J635" s="40">
        <v>1.7783544106853677E-2</v>
      </c>
    </row>
    <row r="636" spans="1:10" ht="11.25" customHeight="1" x14ac:dyDescent="0.2">
      <c r="A636" s="44" t="s">
        <v>40</v>
      </c>
      <c r="B636" s="64">
        <v>0</v>
      </c>
      <c r="C636" s="64">
        <v>0</v>
      </c>
      <c r="D636" s="64">
        <v>7537.1115600000012</v>
      </c>
      <c r="E636" s="64">
        <v>8866.9251517417615</v>
      </c>
      <c r="F636" s="64">
        <v>8052.1750999999986</v>
      </c>
      <c r="G636" s="64">
        <v>7769.1127448521329</v>
      </c>
      <c r="H636" s="40">
        <v>0.17643543964496655</v>
      </c>
      <c r="I636" s="40">
        <v>-3.5153527044868405E-2</v>
      </c>
      <c r="J636" s="40">
        <v>6.7145550622256245E-2</v>
      </c>
    </row>
    <row r="637" spans="1:10" ht="11.25" customHeight="1" x14ac:dyDescent="0.2">
      <c r="A637" s="45" t="s">
        <v>25</v>
      </c>
      <c r="B637" s="64">
        <v>0</v>
      </c>
      <c r="C637" s="64">
        <v>0</v>
      </c>
      <c r="D637" s="64">
        <v>7537.1115600000012</v>
      </c>
      <c r="E637" s="64">
        <v>8866.9251517417615</v>
      </c>
      <c r="F637" s="64">
        <v>8052.1750999999986</v>
      </c>
      <c r="G637" s="64">
        <v>7769.1127448521329</v>
      </c>
      <c r="H637" s="40">
        <v>0.17643543964496655</v>
      </c>
      <c r="I637" s="40">
        <v>-3.5153527044868405E-2</v>
      </c>
      <c r="J637" s="40">
        <v>6.7145550622256245E-2</v>
      </c>
    </row>
    <row r="638" spans="1:10" ht="11.25" customHeight="1" x14ac:dyDescent="0.2">
      <c r="A638" s="46" t="s">
        <v>25</v>
      </c>
      <c r="B638" s="64">
        <v>0</v>
      </c>
      <c r="C638" s="64">
        <v>0</v>
      </c>
      <c r="D638" s="64">
        <v>7537.1115600000012</v>
      </c>
      <c r="E638" s="64">
        <v>8866.9251517417615</v>
      </c>
      <c r="F638" s="64">
        <v>8052.1750999999986</v>
      </c>
      <c r="G638" s="64">
        <v>7769.1127448521329</v>
      </c>
      <c r="H638" s="40">
        <v>0.17643543964496655</v>
      </c>
      <c r="I638" s="40">
        <v>-3.5153527044868405E-2</v>
      </c>
      <c r="J638" s="40">
        <v>6.7145550622256245E-2</v>
      </c>
    </row>
    <row r="639" spans="1:10" ht="11.25" customHeight="1" x14ac:dyDescent="0.2">
      <c r="A639" s="47" t="s">
        <v>25</v>
      </c>
      <c r="B639" s="64">
        <v>0</v>
      </c>
      <c r="C639" s="64">
        <v>0</v>
      </c>
      <c r="D639" s="64">
        <v>7537.1115600000012</v>
      </c>
      <c r="E639" s="64">
        <v>8866.9251517417615</v>
      </c>
      <c r="F639" s="64">
        <v>8052.1750999999986</v>
      </c>
      <c r="G639" s="64">
        <v>7769.1127448521329</v>
      </c>
      <c r="H639" s="40">
        <v>0.17643543964496655</v>
      </c>
      <c r="I639" s="40">
        <v>-3.5153527044868405E-2</v>
      </c>
      <c r="J639" s="40">
        <v>6.7145550622256245E-2</v>
      </c>
    </row>
    <row r="640" spans="1:10" ht="11.25" customHeight="1" x14ac:dyDescent="0.2">
      <c r="A640" s="48" t="s">
        <v>35</v>
      </c>
      <c r="B640" s="64">
        <v>0</v>
      </c>
      <c r="C640" s="64">
        <v>0</v>
      </c>
      <c r="D640" s="64">
        <v>6095.6652000000004</v>
      </c>
      <c r="E640" s="64">
        <v>7304.480131182384</v>
      </c>
      <c r="F640" s="64">
        <v>7101.0379200000007</v>
      </c>
      <c r="G640" s="64">
        <v>6862.3229550109845</v>
      </c>
      <c r="H640" s="40">
        <v>0.19830730388250051</v>
      </c>
      <c r="I640" s="40">
        <v>-3.3616911735772859E-2</v>
      </c>
      <c r="J640" s="40">
        <v>7.3510782001540376E-2</v>
      </c>
    </row>
    <row r="641" spans="1:10" ht="11.25" customHeight="1" x14ac:dyDescent="0.2">
      <c r="A641" s="49">
        <v>44348</v>
      </c>
      <c r="B641" s="64">
        <v>0</v>
      </c>
      <c r="C641" s="64">
        <v>0</v>
      </c>
      <c r="D641" s="64">
        <v>481.36519999999996</v>
      </c>
      <c r="E641" s="64">
        <v>576.8234349948608</v>
      </c>
      <c r="F641" s="64">
        <v>560.75792000000001</v>
      </c>
      <c r="G641" s="64">
        <v>541.9069704982245</v>
      </c>
      <c r="H641" s="40">
        <v>0.19830730388250095</v>
      </c>
      <c r="I641" s="40">
        <v>-3.3616911735772748E-2</v>
      </c>
      <c r="J641" s="40">
        <v>7.3510782001540598E-2</v>
      </c>
    </row>
    <row r="642" spans="1:10" ht="11.25" customHeight="1" x14ac:dyDescent="0.2">
      <c r="A642" s="49">
        <v>44378</v>
      </c>
      <c r="B642" s="64">
        <v>0</v>
      </c>
      <c r="C642" s="64">
        <v>0</v>
      </c>
      <c r="D642" s="64">
        <v>529.2088</v>
      </c>
      <c r="E642" s="64">
        <v>634.15477031889361</v>
      </c>
      <c r="F642" s="64">
        <v>616.49248000000011</v>
      </c>
      <c r="G642" s="64">
        <v>595.76790671407241</v>
      </c>
      <c r="H642" s="40">
        <v>0.19830730388250095</v>
      </c>
      <c r="I642" s="40">
        <v>-3.3616911735772859E-2</v>
      </c>
      <c r="J642" s="40">
        <v>7.3510782001540376E-2</v>
      </c>
    </row>
    <row r="643" spans="1:10" ht="11.25" customHeight="1" x14ac:dyDescent="0.2">
      <c r="A643" s="49">
        <v>44409</v>
      </c>
      <c r="B643" s="64">
        <v>0</v>
      </c>
      <c r="C643" s="64">
        <v>0</v>
      </c>
      <c r="D643" s="64">
        <v>529.94109999999989</v>
      </c>
      <c r="E643" s="64">
        <v>635.03229075752677</v>
      </c>
      <c r="F643" s="64">
        <v>617.34555999999998</v>
      </c>
      <c r="G643" s="64">
        <v>596.59230879900872</v>
      </c>
      <c r="H643" s="40">
        <v>0.19830730388250117</v>
      </c>
      <c r="I643" s="40">
        <v>-3.3616911735772859E-2</v>
      </c>
      <c r="J643" s="40">
        <v>7.3510782001540598E-2</v>
      </c>
    </row>
    <row r="644" spans="1:10" ht="11.25" customHeight="1" x14ac:dyDescent="0.2">
      <c r="A644" s="49">
        <v>44440</v>
      </c>
      <c r="B644" s="64">
        <v>0</v>
      </c>
      <c r="C644" s="64">
        <v>0</v>
      </c>
      <c r="D644" s="64">
        <v>501.86959999999999</v>
      </c>
      <c r="E644" s="64">
        <v>601.39400727658915</v>
      </c>
      <c r="F644" s="64">
        <v>584.64416000000006</v>
      </c>
      <c r="G644" s="64">
        <v>564.99022887644503</v>
      </c>
      <c r="H644" s="40">
        <v>0.19830730388250095</v>
      </c>
      <c r="I644" s="40">
        <v>-3.3616911735772748E-2</v>
      </c>
      <c r="J644" s="40">
        <v>7.3510782001540598E-2</v>
      </c>
    </row>
    <row r="645" spans="1:10" ht="11.25" customHeight="1" x14ac:dyDescent="0.2">
      <c r="A645" s="49">
        <v>44470</v>
      </c>
      <c r="B645" s="64">
        <v>0</v>
      </c>
      <c r="C645" s="64">
        <v>0</v>
      </c>
      <c r="D645" s="64">
        <v>494.05840000000001</v>
      </c>
      <c r="E645" s="64">
        <v>592.03378926450216</v>
      </c>
      <c r="F645" s="64">
        <v>575.54464000000007</v>
      </c>
      <c r="G645" s="64">
        <v>556.19660663712295</v>
      </c>
      <c r="H645" s="40">
        <v>0.19830730388250095</v>
      </c>
      <c r="I645" s="40">
        <v>-3.3616911735772748E-2</v>
      </c>
      <c r="J645" s="40">
        <v>7.3510782001540598E-2</v>
      </c>
    </row>
    <row r="646" spans="1:10" ht="11.25" customHeight="1" x14ac:dyDescent="0.2">
      <c r="A646" s="49">
        <v>44501</v>
      </c>
      <c r="B646" s="64">
        <v>0</v>
      </c>
      <c r="C646" s="64">
        <v>0</v>
      </c>
      <c r="D646" s="64">
        <v>492.59379999999993</v>
      </c>
      <c r="E646" s="64">
        <v>590.27874838723574</v>
      </c>
      <c r="F646" s="64">
        <v>573.83848</v>
      </c>
      <c r="G646" s="64">
        <v>554.54780246724999</v>
      </c>
      <c r="H646" s="40">
        <v>0.19830730388250073</v>
      </c>
      <c r="I646" s="40">
        <v>-3.3616911735772748E-2</v>
      </c>
      <c r="J646" s="40">
        <v>7.3510782001540376E-2</v>
      </c>
    </row>
    <row r="647" spans="1:10" ht="11.25" customHeight="1" x14ac:dyDescent="0.2">
      <c r="A647" s="49">
        <v>44531</v>
      </c>
      <c r="B647" s="64">
        <v>0</v>
      </c>
      <c r="C647" s="64">
        <v>0</v>
      </c>
      <c r="D647" s="64">
        <v>507.72800000000001</v>
      </c>
      <c r="E647" s="64">
        <v>608.41417078565439</v>
      </c>
      <c r="F647" s="64">
        <v>591.4688000000001</v>
      </c>
      <c r="G647" s="64">
        <v>571.58544555593664</v>
      </c>
      <c r="H647" s="40">
        <v>0.19830730388250073</v>
      </c>
      <c r="I647" s="40">
        <v>-3.3616911735772748E-2</v>
      </c>
      <c r="J647" s="40">
        <v>7.3510782001540376E-2</v>
      </c>
    </row>
    <row r="648" spans="1:10" ht="11.25" customHeight="1" x14ac:dyDescent="0.2">
      <c r="A648" s="49">
        <v>44562</v>
      </c>
      <c r="B648" s="64">
        <v>0</v>
      </c>
      <c r="C648" s="64">
        <v>0</v>
      </c>
      <c r="D648" s="64">
        <v>462.56950000000001</v>
      </c>
      <c r="E648" s="64">
        <v>554.30041040327649</v>
      </c>
      <c r="F648" s="64">
        <v>538.86220000000003</v>
      </c>
      <c r="G648" s="64">
        <v>520.74731698485573</v>
      </c>
      <c r="H648" s="40">
        <v>0.19830730388250095</v>
      </c>
      <c r="I648" s="40">
        <v>-3.3616911735772748E-2</v>
      </c>
      <c r="J648" s="40">
        <v>7.3510782001540598E-2</v>
      </c>
    </row>
    <row r="649" spans="1:10" ht="11.25" customHeight="1" x14ac:dyDescent="0.2">
      <c r="A649" s="49">
        <v>44593</v>
      </c>
      <c r="B649" s="64">
        <v>0</v>
      </c>
      <c r="C649" s="64">
        <v>0</v>
      </c>
      <c r="D649" s="64">
        <v>543.85480000000007</v>
      </c>
      <c r="E649" s="64">
        <v>651.70517909155683</v>
      </c>
      <c r="F649" s="64">
        <v>633.55408000000011</v>
      </c>
      <c r="G649" s="64">
        <v>612.25594841280133</v>
      </c>
      <c r="H649" s="40">
        <v>0.19830730388250095</v>
      </c>
      <c r="I649" s="40">
        <v>-3.3616911735772859E-2</v>
      </c>
      <c r="J649" s="40">
        <v>7.3510782001540376E-2</v>
      </c>
    </row>
    <row r="650" spans="1:10" ht="11.25" customHeight="1" x14ac:dyDescent="0.2">
      <c r="A650" s="49">
        <v>44621</v>
      </c>
      <c r="B650" s="64">
        <v>0</v>
      </c>
      <c r="C650" s="64">
        <v>0</v>
      </c>
      <c r="D650" s="64">
        <v>522.37400000000002</v>
      </c>
      <c r="E650" s="64">
        <v>625.9645795583175</v>
      </c>
      <c r="F650" s="64">
        <v>608.5304000000001</v>
      </c>
      <c r="G650" s="64">
        <v>588.07348725466557</v>
      </c>
      <c r="H650" s="40">
        <v>0.19830730388250073</v>
      </c>
      <c r="I650" s="40">
        <v>-3.3616911735772859E-2</v>
      </c>
      <c r="J650" s="40">
        <v>7.3510782001540376E-2</v>
      </c>
    </row>
    <row r="651" spans="1:10" ht="11.25" customHeight="1" x14ac:dyDescent="0.2">
      <c r="A651" s="49">
        <v>44652</v>
      </c>
      <c r="B651" s="64">
        <v>0</v>
      </c>
      <c r="C651" s="64">
        <v>0</v>
      </c>
      <c r="D651" s="64">
        <v>499.67270000000002</v>
      </c>
      <c r="E651" s="64">
        <v>598.76144596068968</v>
      </c>
      <c r="F651" s="64">
        <v>582.08492000000012</v>
      </c>
      <c r="G651" s="64">
        <v>562.51702262163576</v>
      </c>
      <c r="H651" s="40">
        <v>0.19830730388250073</v>
      </c>
      <c r="I651" s="40">
        <v>-3.3616911735772748E-2</v>
      </c>
      <c r="J651" s="40">
        <v>7.3510782001540376E-2</v>
      </c>
    </row>
    <row r="652" spans="1:10" ht="11.25" customHeight="1" x14ac:dyDescent="0.2">
      <c r="A652" s="49">
        <v>44682</v>
      </c>
      <c r="B652" s="64">
        <v>0</v>
      </c>
      <c r="C652" s="64">
        <v>0</v>
      </c>
      <c r="D652" s="64">
        <v>530.42930000000001</v>
      </c>
      <c r="E652" s="64">
        <v>635.6173043832822</v>
      </c>
      <c r="F652" s="64">
        <v>617.91428000000008</v>
      </c>
      <c r="G652" s="64">
        <v>597.14191018896645</v>
      </c>
      <c r="H652" s="40">
        <v>0.19830730388250073</v>
      </c>
      <c r="I652" s="40">
        <v>-3.3616911735772859E-2</v>
      </c>
      <c r="J652" s="40">
        <v>7.3510782001540376E-2</v>
      </c>
    </row>
    <row r="653" spans="1:10" ht="11.25" customHeight="1" x14ac:dyDescent="0.2">
      <c r="A653" s="48" t="s">
        <v>38</v>
      </c>
      <c r="B653" s="64">
        <v>0</v>
      </c>
      <c r="C653" s="64">
        <v>0</v>
      </c>
      <c r="D653" s="64">
        <v>282.6678</v>
      </c>
      <c r="E653" s="64">
        <v>338.72288931239797</v>
      </c>
      <c r="F653" s="64">
        <v>329.28888000000001</v>
      </c>
      <c r="G653" s="64">
        <v>318.21920478546855</v>
      </c>
      <c r="H653" s="40">
        <v>0.19830730388250073</v>
      </c>
      <c r="I653" s="40">
        <v>-3.3616911735772748E-2</v>
      </c>
      <c r="J653" s="40">
        <v>7.3510782001540598E-2</v>
      </c>
    </row>
    <row r="654" spans="1:10" ht="11.25" customHeight="1" x14ac:dyDescent="0.2">
      <c r="A654" s="49">
        <v>44348</v>
      </c>
      <c r="B654" s="64">
        <v>0</v>
      </c>
      <c r="C654" s="64">
        <v>0</v>
      </c>
      <c r="D654" s="64">
        <v>20.016200000000001</v>
      </c>
      <c r="E654" s="64">
        <v>23.985558655972916</v>
      </c>
      <c r="F654" s="64">
        <v>23.317520000000002</v>
      </c>
      <c r="G654" s="64">
        <v>22.533656988262887</v>
      </c>
      <c r="H654" s="40">
        <v>0.19830730388250095</v>
      </c>
      <c r="I654" s="40">
        <v>-3.3616911735772748E-2</v>
      </c>
      <c r="J654" s="40">
        <v>7.3510782001540598E-2</v>
      </c>
    </row>
    <row r="655" spans="1:10" ht="11.25" customHeight="1" x14ac:dyDescent="0.2">
      <c r="A655" s="49">
        <v>44378</v>
      </c>
      <c r="B655" s="64">
        <v>0</v>
      </c>
      <c r="C655" s="64">
        <v>0</v>
      </c>
      <c r="D655" s="64">
        <v>22.4572</v>
      </c>
      <c r="E655" s="64">
        <v>26.910626784750097</v>
      </c>
      <c r="F655" s="64">
        <v>26.16112</v>
      </c>
      <c r="G655" s="64">
        <v>25.28166393805104</v>
      </c>
      <c r="H655" s="40">
        <v>0.19830730388250073</v>
      </c>
      <c r="I655" s="40">
        <v>-3.3616911735772859E-2</v>
      </c>
      <c r="J655" s="40">
        <v>7.3510782001540376E-2</v>
      </c>
    </row>
    <row r="656" spans="1:10" ht="11.25" customHeight="1" x14ac:dyDescent="0.2">
      <c r="A656" s="49">
        <v>44409</v>
      </c>
      <c r="B656" s="64">
        <v>0</v>
      </c>
      <c r="C656" s="64">
        <v>0</v>
      </c>
      <c r="D656" s="64">
        <v>23.189499999999999</v>
      </c>
      <c r="E656" s="64">
        <v>27.788147223383255</v>
      </c>
      <c r="F656" s="64">
        <v>27.014200000000002</v>
      </c>
      <c r="G656" s="64">
        <v>26.106066022987488</v>
      </c>
      <c r="H656" s="40">
        <v>0.19830730388250095</v>
      </c>
      <c r="I656" s="40">
        <v>-3.3616911735772859E-2</v>
      </c>
      <c r="J656" s="40">
        <v>7.3510782001540598E-2</v>
      </c>
    </row>
    <row r="657" spans="1:10" ht="11.25" customHeight="1" x14ac:dyDescent="0.2">
      <c r="A657" s="49">
        <v>44440</v>
      </c>
      <c r="B657" s="64">
        <v>0</v>
      </c>
      <c r="C657" s="64">
        <v>0</v>
      </c>
      <c r="D657" s="64">
        <v>23.677700000000002</v>
      </c>
      <c r="E657" s="64">
        <v>28.373160849138692</v>
      </c>
      <c r="F657" s="64">
        <v>27.582920000000001</v>
      </c>
      <c r="G657" s="64">
        <v>26.655667412945121</v>
      </c>
      <c r="H657" s="40">
        <v>0.19830730388250095</v>
      </c>
      <c r="I657" s="40">
        <v>-3.3616911735772748E-2</v>
      </c>
      <c r="J657" s="40">
        <v>7.3510782001540598E-2</v>
      </c>
    </row>
    <row r="658" spans="1:10" ht="11.25" customHeight="1" x14ac:dyDescent="0.2">
      <c r="A658" s="49">
        <v>44470</v>
      </c>
      <c r="B658" s="64">
        <v>0</v>
      </c>
      <c r="C658" s="64">
        <v>0</v>
      </c>
      <c r="D658" s="64">
        <v>20.260300000000001</v>
      </c>
      <c r="E658" s="64">
        <v>24.278065468850635</v>
      </c>
      <c r="F658" s="64">
        <v>23.601880000000001</v>
      </c>
      <c r="G658" s="64">
        <v>22.808457683241702</v>
      </c>
      <c r="H658" s="40">
        <v>0.19830730388250095</v>
      </c>
      <c r="I658" s="40">
        <v>-3.3616911735772748E-2</v>
      </c>
      <c r="J658" s="40">
        <v>7.3510782001540598E-2</v>
      </c>
    </row>
    <row r="659" spans="1:10" ht="11.25" customHeight="1" x14ac:dyDescent="0.2">
      <c r="A659" s="49">
        <v>44501</v>
      </c>
      <c r="B659" s="64">
        <v>0</v>
      </c>
      <c r="C659" s="64">
        <v>0</v>
      </c>
      <c r="D659" s="64">
        <v>21.724899999999998</v>
      </c>
      <c r="E659" s="64">
        <v>26.033106346116941</v>
      </c>
      <c r="F659" s="64">
        <v>25.308039999999998</v>
      </c>
      <c r="G659" s="64">
        <v>24.457261853114595</v>
      </c>
      <c r="H659" s="40">
        <v>0.19830730388250095</v>
      </c>
      <c r="I659" s="40">
        <v>-3.3616911735772637E-2</v>
      </c>
      <c r="J659" s="40">
        <v>7.3510782001540598E-2</v>
      </c>
    </row>
    <row r="660" spans="1:10" ht="11.25" customHeight="1" x14ac:dyDescent="0.2">
      <c r="A660" s="49">
        <v>44531</v>
      </c>
      <c r="B660" s="64">
        <v>0</v>
      </c>
      <c r="C660" s="64">
        <v>0</v>
      </c>
      <c r="D660" s="64">
        <v>26.850999999999999</v>
      </c>
      <c r="E660" s="64">
        <v>32.175749416549031</v>
      </c>
      <c r="F660" s="64">
        <v>31.279600000000002</v>
      </c>
      <c r="G660" s="64">
        <v>30.228076447669725</v>
      </c>
      <c r="H660" s="40">
        <v>0.19830730388250095</v>
      </c>
      <c r="I660" s="40">
        <v>-3.3616911735772748E-2</v>
      </c>
      <c r="J660" s="40">
        <v>7.3510782001540598E-2</v>
      </c>
    </row>
    <row r="661" spans="1:10" ht="11.25" customHeight="1" x14ac:dyDescent="0.2">
      <c r="A661" s="49">
        <v>44562</v>
      </c>
      <c r="B661" s="64">
        <v>0</v>
      </c>
      <c r="C661" s="64">
        <v>0</v>
      </c>
      <c r="D661" s="64">
        <v>25.386399999999998</v>
      </c>
      <c r="E661" s="64">
        <v>30.420708539282717</v>
      </c>
      <c r="F661" s="64">
        <v>29.573440000000002</v>
      </c>
      <c r="G661" s="64">
        <v>28.579272277796829</v>
      </c>
      <c r="H661" s="40">
        <v>0.19830730388250095</v>
      </c>
      <c r="I661" s="40">
        <v>-3.3616911735772748E-2</v>
      </c>
      <c r="J661" s="40">
        <v>7.3510782001540598E-2</v>
      </c>
    </row>
    <row r="662" spans="1:10" ht="11.25" customHeight="1" x14ac:dyDescent="0.2">
      <c r="A662" s="49">
        <v>44593</v>
      </c>
      <c r="B662" s="64">
        <v>0</v>
      </c>
      <c r="C662" s="64">
        <v>0</v>
      </c>
      <c r="D662" s="64">
        <v>28.803799999999999</v>
      </c>
      <c r="E662" s="64">
        <v>34.515803919570779</v>
      </c>
      <c r="F662" s="64">
        <v>33.554479999999998</v>
      </c>
      <c r="G662" s="64">
        <v>32.426482007500248</v>
      </c>
      <c r="H662" s="40">
        <v>0.19830730388250095</v>
      </c>
      <c r="I662" s="40">
        <v>-3.3616911735772748E-2</v>
      </c>
      <c r="J662" s="40">
        <v>7.3510782001540598E-2</v>
      </c>
    </row>
    <row r="663" spans="1:10" ht="11.25" customHeight="1" x14ac:dyDescent="0.2">
      <c r="A663" s="49">
        <v>44621</v>
      </c>
      <c r="B663" s="64">
        <v>0</v>
      </c>
      <c r="C663" s="64">
        <v>0</v>
      </c>
      <c r="D663" s="64">
        <v>22.213099999999997</v>
      </c>
      <c r="E663" s="64">
        <v>26.618119971872378</v>
      </c>
      <c r="F663" s="64">
        <v>25.876760000000001</v>
      </c>
      <c r="G663" s="64">
        <v>25.006863243072225</v>
      </c>
      <c r="H663" s="40">
        <v>0.19830730388250095</v>
      </c>
      <c r="I663" s="40">
        <v>-3.3616911735772748E-2</v>
      </c>
      <c r="J663" s="40">
        <v>7.3510782001540598E-2</v>
      </c>
    </row>
    <row r="664" spans="1:10" ht="11.25" customHeight="1" x14ac:dyDescent="0.2">
      <c r="A664" s="49">
        <v>44652</v>
      </c>
      <c r="B664" s="64">
        <v>0</v>
      </c>
      <c r="C664" s="64">
        <v>0</v>
      </c>
      <c r="D664" s="64">
        <v>21.968999999999998</v>
      </c>
      <c r="E664" s="64">
        <v>26.32561315899466</v>
      </c>
      <c r="F664" s="64">
        <v>25.592400000000001</v>
      </c>
      <c r="G664" s="64">
        <v>24.73206254809341</v>
      </c>
      <c r="H664" s="40">
        <v>0.19830730388250095</v>
      </c>
      <c r="I664" s="40">
        <v>-3.3616911735772748E-2</v>
      </c>
      <c r="J664" s="40">
        <v>7.3510782001540376E-2</v>
      </c>
    </row>
    <row r="665" spans="1:10" ht="11.25" customHeight="1" x14ac:dyDescent="0.2">
      <c r="A665" s="49">
        <v>44682</v>
      </c>
      <c r="B665" s="64">
        <v>0</v>
      </c>
      <c r="C665" s="64">
        <v>0</v>
      </c>
      <c r="D665" s="64">
        <v>26.1187</v>
      </c>
      <c r="E665" s="64">
        <v>31.298228977915876</v>
      </c>
      <c r="F665" s="64">
        <v>30.42652</v>
      </c>
      <c r="G665" s="64">
        <v>29.403674362733277</v>
      </c>
      <c r="H665" s="40">
        <v>0.19830730388250095</v>
      </c>
      <c r="I665" s="40">
        <v>-3.3616911735772748E-2</v>
      </c>
      <c r="J665" s="40">
        <v>7.3510782001540598E-2</v>
      </c>
    </row>
    <row r="666" spans="1:10" ht="11.25" customHeight="1" x14ac:dyDescent="0.2">
      <c r="A666" s="48" t="s">
        <v>37</v>
      </c>
      <c r="B666" s="64">
        <v>0</v>
      </c>
      <c r="C666" s="64">
        <v>0</v>
      </c>
      <c r="D666" s="64">
        <v>1158.7785600000002</v>
      </c>
      <c r="E666" s="64">
        <v>1223.7221312469815</v>
      </c>
      <c r="F666" s="64">
        <v>621.84830000000011</v>
      </c>
      <c r="G666" s="64">
        <v>588.57058505567704</v>
      </c>
      <c r="H666" s="40">
        <v>5.6044850576956851E-2</v>
      </c>
      <c r="I666" s="40">
        <v>-5.351420104279947E-2</v>
      </c>
      <c r="J666" s="40">
        <v>1.7783544106853455E-2</v>
      </c>
    </row>
    <row r="667" spans="1:10" ht="11.25" customHeight="1" x14ac:dyDescent="0.2">
      <c r="A667" s="49">
        <v>44348</v>
      </c>
      <c r="B667" s="64">
        <v>0</v>
      </c>
      <c r="C667" s="64">
        <v>0</v>
      </c>
      <c r="D667" s="64">
        <v>93.244799999999998</v>
      </c>
      <c r="E667" s="64">
        <v>98.470690883078248</v>
      </c>
      <c r="F667" s="64">
        <v>50.038999999999994</v>
      </c>
      <c r="G667" s="64">
        <v>47.361202894019364</v>
      </c>
      <c r="H667" s="40">
        <v>5.6044850576957073E-2</v>
      </c>
      <c r="I667" s="40">
        <v>-5.3514201042799248E-2</v>
      </c>
      <c r="J667" s="40">
        <v>1.7783544106853899E-2</v>
      </c>
    </row>
    <row r="668" spans="1:10" ht="11.25" customHeight="1" x14ac:dyDescent="0.2">
      <c r="A668" s="49">
        <v>44378</v>
      </c>
      <c r="B668" s="64">
        <v>0</v>
      </c>
      <c r="C668" s="64">
        <v>0</v>
      </c>
      <c r="D668" s="64">
        <v>95.787840000000003</v>
      </c>
      <c r="E668" s="64">
        <v>101.15625517988947</v>
      </c>
      <c r="F668" s="64">
        <v>51.403700000000001</v>
      </c>
      <c r="G668" s="64">
        <v>48.652872063856258</v>
      </c>
      <c r="H668" s="40">
        <v>5.6044850576957073E-2</v>
      </c>
      <c r="I668" s="40">
        <v>-5.3514201042799359E-2</v>
      </c>
      <c r="J668" s="40">
        <v>1.7783544106853677E-2</v>
      </c>
    </row>
    <row r="669" spans="1:10" ht="11.25" customHeight="1" x14ac:dyDescent="0.2">
      <c r="A669" s="49">
        <v>44409</v>
      </c>
      <c r="B669" s="64">
        <v>0</v>
      </c>
      <c r="C669" s="64">
        <v>0</v>
      </c>
      <c r="D669" s="64">
        <v>88.158719999999988</v>
      </c>
      <c r="E669" s="64">
        <v>93.09956228945579</v>
      </c>
      <c r="F669" s="64">
        <v>47.309599999999996</v>
      </c>
      <c r="G669" s="64">
        <v>44.777864554345584</v>
      </c>
      <c r="H669" s="40">
        <v>5.6044850576957073E-2</v>
      </c>
      <c r="I669" s="40">
        <v>-5.3514201042799137E-2</v>
      </c>
      <c r="J669" s="40">
        <v>1.7783544106853899E-2</v>
      </c>
    </row>
    <row r="670" spans="1:10" ht="11.25" customHeight="1" x14ac:dyDescent="0.2">
      <c r="A670" s="49">
        <v>44440</v>
      </c>
      <c r="B670" s="64">
        <v>0</v>
      </c>
      <c r="C670" s="64">
        <v>0</v>
      </c>
      <c r="D670" s="64">
        <v>91.54943999999999</v>
      </c>
      <c r="E670" s="64">
        <v>96.680314685204095</v>
      </c>
      <c r="F670" s="64">
        <v>49.129199999999997</v>
      </c>
      <c r="G670" s="64">
        <v>46.500090114128106</v>
      </c>
      <c r="H670" s="40">
        <v>5.6044850576957073E-2</v>
      </c>
      <c r="I670" s="40">
        <v>-5.3514201042799248E-2</v>
      </c>
      <c r="J670" s="40">
        <v>1.7783544106853899E-2</v>
      </c>
    </row>
    <row r="671" spans="1:10" ht="11.25" customHeight="1" x14ac:dyDescent="0.2">
      <c r="A671" s="49">
        <v>44470</v>
      </c>
      <c r="B671" s="64">
        <v>0</v>
      </c>
      <c r="C671" s="64">
        <v>0</v>
      </c>
      <c r="D671" s="64">
        <v>94.940159999999992</v>
      </c>
      <c r="E671" s="64">
        <v>100.2610670809524</v>
      </c>
      <c r="F671" s="64">
        <v>50.948799999999999</v>
      </c>
      <c r="G671" s="64">
        <v>48.222315673910629</v>
      </c>
      <c r="H671" s="40">
        <v>5.6044850576957295E-2</v>
      </c>
      <c r="I671" s="40">
        <v>-5.3514201042799248E-2</v>
      </c>
      <c r="J671" s="40">
        <v>1.7783544106853899E-2</v>
      </c>
    </row>
    <row r="672" spans="1:10" ht="11.25" customHeight="1" x14ac:dyDescent="0.2">
      <c r="A672" s="49">
        <v>44501</v>
      </c>
      <c r="B672" s="64">
        <v>0</v>
      </c>
      <c r="C672" s="64">
        <v>0</v>
      </c>
      <c r="D672" s="64">
        <v>86.463359999999994</v>
      </c>
      <c r="E672" s="64">
        <v>91.309186091581637</v>
      </c>
      <c r="F672" s="64">
        <v>46.399799999999992</v>
      </c>
      <c r="G672" s="64">
        <v>43.916751774454319</v>
      </c>
      <c r="H672" s="40">
        <v>5.6044850576957073E-2</v>
      </c>
      <c r="I672" s="40">
        <v>-5.3514201042799137E-2</v>
      </c>
      <c r="J672" s="40">
        <v>1.7783544106853677E-2</v>
      </c>
    </row>
    <row r="673" spans="1:10" ht="11.25" customHeight="1" x14ac:dyDescent="0.2">
      <c r="A673" s="49">
        <v>44531</v>
      </c>
      <c r="B673" s="64">
        <v>0</v>
      </c>
      <c r="C673" s="64">
        <v>0</v>
      </c>
      <c r="D673" s="64">
        <v>105.96</v>
      </c>
      <c r="E673" s="64">
        <v>111.89851236713437</v>
      </c>
      <c r="F673" s="64">
        <v>56.862499999999997</v>
      </c>
      <c r="G673" s="64">
        <v>53.819548743203825</v>
      </c>
      <c r="H673" s="40">
        <v>5.6044850576957073E-2</v>
      </c>
      <c r="I673" s="40">
        <v>-5.3514201042799248E-2</v>
      </c>
      <c r="J673" s="40">
        <v>1.7783544106853899E-2</v>
      </c>
    </row>
    <row r="674" spans="1:10" ht="11.25" customHeight="1" x14ac:dyDescent="0.2">
      <c r="A674" s="49">
        <v>44562</v>
      </c>
      <c r="B674" s="64">
        <v>0</v>
      </c>
      <c r="C674" s="64">
        <v>0</v>
      </c>
      <c r="D674" s="64">
        <v>105.96</v>
      </c>
      <c r="E674" s="64">
        <v>111.89851236713437</v>
      </c>
      <c r="F674" s="64">
        <v>56.862499999999997</v>
      </c>
      <c r="G674" s="64">
        <v>53.819548743203825</v>
      </c>
      <c r="H674" s="40">
        <v>5.6044850576957073E-2</v>
      </c>
      <c r="I674" s="40">
        <v>-5.3514201042799248E-2</v>
      </c>
      <c r="J674" s="40">
        <v>1.7783544106853899E-2</v>
      </c>
    </row>
    <row r="675" spans="1:10" ht="11.25" customHeight="1" x14ac:dyDescent="0.2">
      <c r="A675" s="49">
        <v>44593</v>
      </c>
      <c r="B675" s="64">
        <v>0</v>
      </c>
      <c r="C675" s="64">
        <v>0</v>
      </c>
      <c r="D675" s="64">
        <v>105.11232</v>
      </c>
      <c r="E675" s="64">
        <v>111.0033242681973</v>
      </c>
      <c r="F675" s="64">
        <v>56.407599999999995</v>
      </c>
      <c r="G675" s="64">
        <v>53.388992353258196</v>
      </c>
      <c r="H675" s="40">
        <v>5.6044850576957073E-2</v>
      </c>
      <c r="I675" s="40">
        <v>-5.3514201042799137E-2</v>
      </c>
      <c r="J675" s="40">
        <v>1.7783544106853899E-2</v>
      </c>
    </row>
    <row r="676" spans="1:10" ht="11.25" customHeight="1" x14ac:dyDescent="0.2">
      <c r="A676" s="49">
        <v>44621</v>
      </c>
      <c r="B676" s="64">
        <v>0</v>
      </c>
      <c r="C676" s="64">
        <v>0</v>
      </c>
      <c r="D676" s="64">
        <v>96.63552</v>
      </c>
      <c r="E676" s="64">
        <v>102.05144327882655</v>
      </c>
      <c r="F676" s="64">
        <v>51.858600000000003</v>
      </c>
      <c r="G676" s="64">
        <v>49.083428453801893</v>
      </c>
      <c r="H676" s="40">
        <v>5.6044850576957073E-2</v>
      </c>
      <c r="I676" s="40">
        <v>-5.3514201042799248E-2</v>
      </c>
      <c r="J676" s="40">
        <v>1.7783544106853899E-2</v>
      </c>
    </row>
    <row r="677" spans="1:10" ht="11.25" customHeight="1" x14ac:dyDescent="0.2">
      <c r="A677" s="49">
        <v>44652</v>
      </c>
      <c r="B677" s="64">
        <v>0</v>
      </c>
      <c r="C677" s="64">
        <v>0</v>
      </c>
      <c r="D677" s="64">
        <v>98.330879999999993</v>
      </c>
      <c r="E677" s="64">
        <v>103.84181947670071</v>
      </c>
      <c r="F677" s="64">
        <v>52.7684</v>
      </c>
      <c r="G677" s="64">
        <v>49.944541233693151</v>
      </c>
      <c r="H677" s="40">
        <v>5.6044850576957295E-2</v>
      </c>
      <c r="I677" s="40">
        <v>-5.3514201042799248E-2</v>
      </c>
      <c r="J677" s="40">
        <v>1.7783544106853899E-2</v>
      </c>
    </row>
    <row r="678" spans="1:10" ht="11.25" customHeight="1" x14ac:dyDescent="0.2">
      <c r="A678" s="49">
        <v>44682</v>
      </c>
      <c r="B678" s="64">
        <v>0</v>
      </c>
      <c r="C678" s="64">
        <v>0</v>
      </c>
      <c r="D678" s="64">
        <v>96.63552</v>
      </c>
      <c r="E678" s="64">
        <v>102.05144327882655</v>
      </c>
      <c r="F678" s="64">
        <v>51.858600000000003</v>
      </c>
      <c r="G678" s="64">
        <v>49.083428453801893</v>
      </c>
      <c r="H678" s="40">
        <v>5.6044850576957073E-2</v>
      </c>
      <c r="I678" s="40">
        <v>-5.3514201042799248E-2</v>
      </c>
      <c r="J678" s="40">
        <v>1.7783544106853899E-2</v>
      </c>
    </row>
    <row r="679" spans="1:10" ht="11.25" customHeight="1" x14ac:dyDescent="0.2">
      <c r="A679" s="43" t="s">
        <v>23</v>
      </c>
      <c r="B679" s="64">
        <v>0</v>
      </c>
      <c r="C679" s="64">
        <v>0</v>
      </c>
      <c r="D679" s="64">
        <v>8824334.1618123986</v>
      </c>
      <c r="E679" s="64">
        <v>10212033.918380691</v>
      </c>
      <c r="F679" s="64">
        <v>8533114.2728695944</v>
      </c>
      <c r="G679" s="64">
        <v>8230156.7567902273</v>
      </c>
      <c r="H679" s="40">
        <v>0.15725829633397281</v>
      </c>
      <c r="I679" s="40">
        <v>-3.5503745337455372E-2</v>
      </c>
      <c r="J679" s="40">
        <v>6.2494337492686736E-2</v>
      </c>
    </row>
    <row r="680" spans="1:10" ht="11.25" customHeight="1" x14ac:dyDescent="0.2">
      <c r="A680" s="44" t="s">
        <v>43</v>
      </c>
      <c r="B680" s="64">
        <v>0</v>
      </c>
      <c r="C680" s="64">
        <v>0</v>
      </c>
      <c r="D680" s="64">
        <v>7006431.2972499989</v>
      </c>
      <c r="E680" s="64">
        <v>8102649.0207029581</v>
      </c>
      <c r="F680" s="64">
        <v>6775205.6764999991</v>
      </c>
      <c r="G680" s="64">
        <v>6530145.9159482028</v>
      </c>
      <c r="H680" s="40">
        <v>0.15645878435762572</v>
      </c>
      <c r="I680" s="40">
        <v>-3.6170084312243889E-2</v>
      </c>
      <c r="J680" s="40">
        <v>6.1760294841778807E-2</v>
      </c>
    </row>
    <row r="681" spans="1:10" ht="11.25" customHeight="1" x14ac:dyDescent="0.2">
      <c r="A681" s="45" t="s">
        <v>25</v>
      </c>
      <c r="B681" s="64">
        <v>0</v>
      </c>
      <c r="C681" s="64">
        <v>0</v>
      </c>
      <c r="D681" s="64">
        <v>7006431.2972499989</v>
      </c>
      <c r="E681" s="64">
        <v>8102649.0207029581</v>
      </c>
      <c r="F681" s="64">
        <v>6775205.6764999991</v>
      </c>
      <c r="G681" s="64">
        <v>6530145.9159482028</v>
      </c>
      <c r="H681" s="40">
        <v>0.15645878435762572</v>
      </c>
      <c r="I681" s="40">
        <v>-3.6170084312243889E-2</v>
      </c>
      <c r="J681" s="40">
        <v>6.1760294841778807E-2</v>
      </c>
    </row>
    <row r="682" spans="1:10" ht="11.25" customHeight="1" x14ac:dyDescent="0.2">
      <c r="A682" s="46" t="s">
        <v>25</v>
      </c>
      <c r="B682" s="64">
        <v>0</v>
      </c>
      <c r="C682" s="64">
        <v>0</v>
      </c>
      <c r="D682" s="64">
        <v>7006431.2972499989</v>
      </c>
      <c r="E682" s="64">
        <v>8102649.0207029581</v>
      </c>
      <c r="F682" s="64">
        <v>6775205.6764999991</v>
      </c>
      <c r="G682" s="64">
        <v>6530145.9159482028</v>
      </c>
      <c r="H682" s="40">
        <v>0.15645878435762572</v>
      </c>
      <c r="I682" s="40">
        <v>-3.6170084312243889E-2</v>
      </c>
      <c r="J682" s="40">
        <v>6.1760294841778807E-2</v>
      </c>
    </row>
    <row r="683" spans="1:10" ht="11.25" customHeight="1" x14ac:dyDescent="0.2">
      <c r="A683" s="47" t="s">
        <v>25</v>
      </c>
      <c r="B683" s="64">
        <v>0</v>
      </c>
      <c r="C683" s="64">
        <v>0</v>
      </c>
      <c r="D683" s="64">
        <v>7006431.2972499989</v>
      </c>
      <c r="E683" s="64">
        <v>8102649.0207029581</v>
      </c>
      <c r="F683" s="64">
        <v>6775205.6764999991</v>
      </c>
      <c r="G683" s="64">
        <v>6530145.9159482028</v>
      </c>
      <c r="H683" s="40">
        <v>0.15645878435762572</v>
      </c>
      <c r="I683" s="40">
        <v>-3.6170084312243889E-2</v>
      </c>
      <c r="J683" s="40">
        <v>6.1760294841778807E-2</v>
      </c>
    </row>
    <row r="684" spans="1:10" ht="11.25" customHeight="1" x14ac:dyDescent="0.2">
      <c r="A684" s="48" t="s">
        <v>25</v>
      </c>
      <c r="B684" s="64">
        <v>0</v>
      </c>
      <c r="C684" s="64">
        <v>0</v>
      </c>
      <c r="D684" s="64">
        <v>7006431.2972499989</v>
      </c>
      <c r="E684" s="64">
        <v>8102649.0207029581</v>
      </c>
      <c r="F684" s="64">
        <v>6775205.6764999991</v>
      </c>
      <c r="G684" s="64">
        <v>6530145.9159482028</v>
      </c>
      <c r="H684" s="40">
        <v>0.15645878435762572</v>
      </c>
      <c r="I684" s="40">
        <v>-3.6170084312243889E-2</v>
      </c>
      <c r="J684" s="40">
        <v>6.1760294841778807E-2</v>
      </c>
    </row>
    <row r="685" spans="1:10" ht="11.25" customHeight="1" x14ac:dyDescent="0.2">
      <c r="A685" s="49">
        <v>44348</v>
      </c>
      <c r="B685" s="64">
        <v>0</v>
      </c>
      <c r="C685" s="64">
        <v>0</v>
      </c>
      <c r="D685" s="64">
        <v>539335.66071000008</v>
      </c>
      <c r="E685" s="64">
        <v>623719.46254540351</v>
      </c>
      <c r="F685" s="64">
        <v>521536.55333999998</v>
      </c>
      <c r="G685" s="64">
        <v>502672.53223377524</v>
      </c>
      <c r="H685" s="40">
        <v>0.1564587843576255</v>
      </c>
      <c r="I685" s="40">
        <v>-3.6170084312243667E-2</v>
      </c>
      <c r="J685" s="40">
        <v>6.1760294841779029E-2</v>
      </c>
    </row>
    <row r="686" spans="1:10" ht="11.25" customHeight="1" x14ac:dyDescent="0.2">
      <c r="A686" s="49">
        <v>44378</v>
      </c>
      <c r="B686" s="64">
        <v>0</v>
      </c>
      <c r="C686" s="64">
        <v>0</v>
      </c>
      <c r="D686" s="64">
        <v>557617.00609999988</v>
      </c>
      <c r="E686" s="64">
        <v>644861.08501154487</v>
      </c>
      <c r="F686" s="64">
        <v>539214.57939999993</v>
      </c>
      <c r="G686" s="64">
        <v>519711.14260071103</v>
      </c>
      <c r="H686" s="40">
        <v>0.15645878435762617</v>
      </c>
      <c r="I686" s="40">
        <v>-3.6170084312243445E-2</v>
      </c>
      <c r="J686" s="40">
        <v>6.1760294841779029E-2</v>
      </c>
    </row>
    <row r="687" spans="1:10" ht="11.25" customHeight="1" x14ac:dyDescent="0.2">
      <c r="A687" s="49">
        <v>44409</v>
      </c>
      <c r="B687" s="64">
        <v>0</v>
      </c>
      <c r="C687" s="64">
        <v>0</v>
      </c>
      <c r="D687" s="64">
        <v>571910.58694000007</v>
      </c>
      <c r="E687" s="64">
        <v>661391.02213388868</v>
      </c>
      <c r="F687" s="64">
        <v>553036.44475999998</v>
      </c>
      <c r="G687" s="64">
        <v>533033.06992528727</v>
      </c>
      <c r="H687" s="40">
        <v>0.15645878435762572</v>
      </c>
      <c r="I687" s="40">
        <v>-3.6170084312243667E-2</v>
      </c>
      <c r="J687" s="40">
        <v>6.1760294841778807E-2</v>
      </c>
    </row>
    <row r="688" spans="1:10" ht="11.25" customHeight="1" x14ac:dyDescent="0.2">
      <c r="A688" s="49">
        <v>44440</v>
      </c>
      <c r="B688" s="64">
        <v>0</v>
      </c>
      <c r="C688" s="64">
        <v>0</v>
      </c>
      <c r="D688" s="64">
        <v>562962.43233999994</v>
      </c>
      <c r="E688" s="64">
        <v>651042.85014292854</v>
      </c>
      <c r="F688" s="64">
        <v>544383.59635999997</v>
      </c>
      <c r="G688" s="64">
        <v>524693.19578145631</v>
      </c>
      <c r="H688" s="40">
        <v>0.15645878435762595</v>
      </c>
      <c r="I688" s="40">
        <v>-3.6170084312243778E-2</v>
      </c>
      <c r="J688" s="40">
        <v>6.1760294841778807E-2</v>
      </c>
    </row>
    <row r="689" spans="1:10" ht="11.25" customHeight="1" x14ac:dyDescent="0.2">
      <c r="A689" s="49">
        <v>44470</v>
      </c>
      <c r="B689" s="64">
        <v>0</v>
      </c>
      <c r="C689" s="64">
        <v>0</v>
      </c>
      <c r="D689" s="64">
        <v>578298.7294699999</v>
      </c>
      <c r="E689" s="64">
        <v>668778.6456784358</v>
      </c>
      <c r="F689" s="64">
        <v>559213.76637999993</v>
      </c>
      <c r="G689" s="64">
        <v>538986.95730146812</v>
      </c>
      <c r="H689" s="40">
        <v>0.15645878435762617</v>
      </c>
      <c r="I689" s="40">
        <v>-3.6170084312243445E-2</v>
      </c>
      <c r="J689" s="40">
        <v>6.1760294841779251E-2</v>
      </c>
    </row>
    <row r="690" spans="1:10" ht="11.25" customHeight="1" x14ac:dyDescent="0.2">
      <c r="A690" s="49">
        <v>44501</v>
      </c>
      <c r="B690" s="64">
        <v>0</v>
      </c>
      <c r="C690" s="64">
        <v>0</v>
      </c>
      <c r="D690" s="64">
        <v>580670.08306999994</v>
      </c>
      <c r="E690" s="64">
        <v>671521.01837997395</v>
      </c>
      <c r="F690" s="64">
        <v>561506.86077999999</v>
      </c>
      <c r="G690" s="64">
        <v>541197.1102836841</v>
      </c>
      <c r="H690" s="40">
        <v>0.15645878435762617</v>
      </c>
      <c r="I690" s="40">
        <v>-3.6170084312243667E-2</v>
      </c>
      <c r="J690" s="40">
        <v>6.1760294841779251E-2</v>
      </c>
    </row>
    <row r="691" spans="1:10" ht="11.25" customHeight="1" x14ac:dyDescent="0.2">
      <c r="A691" s="49">
        <v>44531</v>
      </c>
      <c r="B691" s="64">
        <v>0</v>
      </c>
      <c r="C691" s="64">
        <v>0</v>
      </c>
      <c r="D691" s="64">
        <v>614592.48158000002</v>
      </c>
      <c r="E691" s="64">
        <v>710750.87412334338</v>
      </c>
      <c r="F691" s="64">
        <v>594309.75532</v>
      </c>
      <c r="G691" s="64">
        <v>572813.52136248676</v>
      </c>
      <c r="H691" s="40">
        <v>0.15645878435762595</v>
      </c>
      <c r="I691" s="40">
        <v>-3.6170084312243556E-2</v>
      </c>
      <c r="J691" s="40">
        <v>6.1760294841779029E-2</v>
      </c>
    </row>
    <row r="692" spans="1:10" ht="11.25" customHeight="1" x14ac:dyDescent="0.2">
      <c r="A692" s="49">
        <v>44562</v>
      </c>
      <c r="B692" s="64">
        <v>0</v>
      </c>
      <c r="C692" s="64">
        <v>0</v>
      </c>
      <c r="D692" s="64">
        <v>596512.76299999992</v>
      </c>
      <c r="E692" s="64">
        <v>689842.42475278862</v>
      </c>
      <c r="F692" s="64">
        <v>576826.70199999993</v>
      </c>
      <c r="G692" s="64">
        <v>555962.83155510656</v>
      </c>
      <c r="H692" s="40">
        <v>0.15645878435762617</v>
      </c>
      <c r="I692" s="40">
        <v>-3.6170084312243556E-2</v>
      </c>
      <c r="J692" s="40">
        <v>6.1760294841779251E-2</v>
      </c>
    </row>
    <row r="693" spans="1:10" ht="11.25" customHeight="1" x14ac:dyDescent="0.2">
      <c r="A693" s="49">
        <v>44593</v>
      </c>
      <c r="B693" s="64">
        <v>0</v>
      </c>
      <c r="C693" s="64">
        <v>0</v>
      </c>
      <c r="D693" s="64">
        <v>635766.38432999991</v>
      </c>
      <c r="E693" s="64">
        <v>735237.61995771492</v>
      </c>
      <c r="F693" s="64">
        <v>614784.87881999987</v>
      </c>
      <c r="G693" s="64">
        <v>592548.05791918805</v>
      </c>
      <c r="H693" s="40">
        <v>0.15645878435762595</v>
      </c>
      <c r="I693" s="40">
        <v>-3.6170084312243556E-2</v>
      </c>
      <c r="J693" s="40">
        <v>6.1760294841779029E-2</v>
      </c>
    </row>
    <row r="694" spans="1:10" ht="11.25" customHeight="1" x14ac:dyDescent="0.2">
      <c r="A694" s="49">
        <v>44621</v>
      </c>
      <c r="B694" s="64">
        <v>0</v>
      </c>
      <c r="C694" s="64">
        <v>0</v>
      </c>
      <c r="D694" s="64">
        <v>635519.67709999997</v>
      </c>
      <c r="E694" s="64">
        <v>734952.31321441696</v>
      </c>
      <c r="F694" s="64">
        <v>614546.31339999998</v>
      </c>
      <c r="G694" s="64">
        <v>592318.12143054348</v>
      </c>
      <c r="H694" s="40">
        <v>0.15645878435762595</v>
      </c>
      <c r="I694" s="40">
        <v>-3.6170084312243667E-2</v>
      </c>
      <c r="J694" s="40">
        <v>6.1760294841779029E-2</v>
      </c>
    </row>
    <row r="695" spans="1:10" ht="11.25" customHeight="1" x14ac:dyDescent="0.2">
      <c r="A695" s="49">
        <v>44652</v>
      </c>
      <c r="B695" s="64">
        <v>0</v>
      </c>
      <c r="C695" s="64">
        <v>0</v>
      </c>
      <c r="D695" s="64">
        <v>576112.02032999985</v>
      </c>
      <c r="E695" s="64">
        <v>666249.80668464769</v>
      </c>
      <c r="F695" s="64">
        <v>557099.22282000002</v>
      </c>
      <c r="G695" s="64">
        <v>536948.89696031518</v>
      </c>
      <c r="H695" s="40">
        <v>0.15645878435762617</v>
      </c>
      <c r="I695" s="40">
        <v>-3.6170084312243667E-2</v>
      </c>
      <c r="J695" s="40">
        <v>6.1760294841779029E-2</v>
      </c>
    </row>
    <row r="696" spans="1:10" ht="11.25" customHeight="1" x14ac:dyDescent="0.2">
      <c r="A696" s="49">
        <v>44682</v>
      </c>
      <c r="B696" s="64">
        <v>0</v>
      </c>
      <c r="C696" s="64">
        <v>0</v>
      </c>
      <c r="D696" s="64">
        <v>557133.47227999987</v>
      </c>
      <c r="E696" s="64">
        <v>644301.89807787188</v>
      </c>
      <c r="F696" s="64">
        <v>538747.00311999989</v>
      </c>
      <c r="G696" s="64">
        <v>519260.47859418095</v>
      </c>
      <c r="H696" s="40">
        <v>0.15645878435762617</v>
      </c>
      <c r="I696" s="40">
        <v>-3.6170084312243556E-2</v>
      </c>
      <c r="J696" s="40">
        <v>6.1760294841779029E-2</v>
      </c>
    </row>
    <row r="697" spans="1:10" ht="11.25" customHeight="1" x14ac:dyDescent="0.2">
      <c r="A697" s="44" t="s">
        <v>52</v>
      </c>
      <c r="B697" s="64">
        <v>0</v>
      </c>
      <c r="C697" s="64">
        <v>0</v>
      </c>
      <c r="D697" s="64">
        <v>41021.638349999994</v>
      </c>
      <c r="E697" s="64">
        <v>47439.834018599169</v>
      </c>
      <c r="F697" s="64">
        <v>39667.845899999993</v>
      </c>
      <c r="G697" s="64">
        <v>38233.056569311913</v>
      </c>
      <c r="H697" s="40">
        <v>0.15645878435762617</v>
      </c>
      <c r="I697" s="40">
        <v>-3.6170084312243445E-2</v>
      </c>
      <c r="J697" s="40">
        <v>6.1760294841779251E-2</v>
      </c>
    </row>
    <row r="698" spans="1:10" ht="11.25" customHeight="1" x14ac:dyDescent="0.2">
      <c r="A698" s="45" t="s">
        <v>25</v>
      </c>
      <c r="B698" s="64">
        <v>0</v>
      </c>
      <c r="C698" s="64">
        <v>0</v>
      </c>
      <c r="D698" s="64">
        <v>41021.638349999994</v>
      </c>
      <c r="E698" s="64">
        <v>47439.834018599169</v>
      </c>
      <c r="F698" s="64">
        <v>39667.845899999993</v>
      </c>
      <c r="G698" s="64">
        <v>38233.056569311913</v>
      </c>
      <c r="H698" s="40">
        <v>0.15645878435762617</v>
      </c>
      <c r="I698" s="40">
        <v>-3.6170084312243445E-2</v>
      </c>
      <c r="J698" s="40">
        <v>6.1760294841779251E-2</v>
      </c>
    </row>
    <row r="699" spans="1:10" ht="11.25" customHeight="1" x14ac:dyDescent="0.2">
      <c r="A699" s="46" t="s">
        <v>25</v>
      </c>
      <c r="B699" s="64">
        <v>0</v>
      </c>
      <c r="C699" s="64">
        <v>0</v>
      </c>
      <c r="D699" s="64">
        <v>41021.638349999994</v>
      </c>
      <c r="E699" s="64">
        <v>47439.834018599169</v>
      </c>
      <c r="F699" s="64">
        <v>39667.845899999993</v>
      </c>
      <c r="G699" s="64">
        <v>38233.056569311913</v>
      </c>
      <c r="H699" s="40">
        <v>0.15645878435762617</v>
      </c>
      <c r="I699" s="40">
        <v>-3.6170084312243445E-2</v>
      </c>
      <c r="J699" s="40">
        <v>6.1760294841779251E-2</v>
      </c>
    </row>
    <row r="700" spans="1:10" ht="11.25" customHeight="1" x14ac:dyDescent="0.2">
      <c r="A700" s="47" t="s">
        <v>25</v>
      </c>
      <c r="B700" s="64">
        <v>0</v>
      </c>
      <c r="C700" s="64">
        <v>0</v>
      </c>
      <c r="D700" s="64">
        <v>41021.638349999994</v>
      </c>
      <c r="E700" s="64">
        <v>47439.834018599169</v>
      </c>
      <c r="F700" s="64">
        <v>39667.845899999993</v>
      </c>
      <c r="G700" s="64">
        <v>38233.056569311913</v>
      </c>
      <c r="H700" s="40">
        <v>0.15645878435762617</v>
      </c>
      <c r="I700" s="40">
        <v>-3.6170084312243445E-2</v>
      </c>
      <c r="J700" s="40">
        <v>6.1760294841779251E-2</v>
      </c>
    </row>
    <row r="701" spans="1:10" ht="11.25" customHeight="1" x14ac:dyDescent="0.2">
      <c r="A701" s="48" t="s">
        <v>25</v>
      </c>
      <c r="B701" s="64">
        <v>0</v>
      </c>
      <c r="C701" s="64">
        <v>0</v>
      </c>
      <c r="D701" s="64">
        <v>41021.638349999994</v>
      </c>
      <c r="E701" s="64">
        <v>47439.834018599169</v>
      </c>
      <c r="F701" s="64">
        <v>39667.845899999993</v>
      </c>
      <c r="G701" s="64">
        <v>38233.056569311913</v>
      </c>
      <c r="H701" s="40">
        <v>0.15645878435762617</v>
      </c>
      <c r="I701" s="40">
        <v>-3.6170084312243445E-2</v>
      </c>
      <c r="J701" s="40">
        <v>6.1760294841779251E-2</v>
      </c>
    </row>
    <row r="702" spans="1:10" ht="11.25" customHeight="1" x14ac:dyDescent="0.2">
      <c r="A702" s="49">
        <v>44348</v>
      </c>
      <c r="B702" s="64">
        <v>0</v>
      </c>
      <c r="C702" s="64">
        <v>0</v>
      </c>
      <c r="D702" s="64">
        <v>3336.2598499999999</v>
      </c>
      <c r="E702" s="64">
        <v>3858.2470104321551</v>
      </c>
      <c r="F702" s="64">
        <v>3226.1569</v>
      </c>
      <c r="G702" s="64">
        <v>3109.4665329224731</v>
      </c>
      <c r="H702" s="40">
        <v>0.15645878435762595</v>
      </c>
      <c r="I702" s="40">
        <v>-3.6170084312243778E-2</v>
      </c>
      <c r="J702" s="40">
        <v>6.1760294841778807E-2</v>
      </c>
    </row>
    <row r="703" spans="1:10" ht="11.25" customHeight="1" x14ac:dyDescent="0.2">
      <c r="A703" s="49">
        <v>44378</v>
      </c>
      <c r="B703" s="64">
        <v>0</v>
      </c>
      <c r="C703" s="64">
        <v>0</v>
      </c>
      <c r="D703" s="64">
        <v>3556.1040899999998</v>
      </c>
      <c r="E703" s="64">
        <v>4112.4878129705812</v>
      </c>
      <c r="F703" s="64">
        <v>3438.7458599999995</v>
      </c>
      <c r="G703" s="64">
        <v>3314.3661323154211</v>
      </c>
      <c r="H703" s="40">
        <v>0.15645878435762595</v>
      </c>
      <c r="I703" s="40">
        <v>-3.6170084312243556E-2</v>
      </c>
      <c r="J703" s="40">
        <v>6.1760294841778807E-2</v>
      </c>
    </row>
    <row r="704" spans="1:10" ht="11.25" customHeight="1" x14ac:dyDescent="0.2">
      <c r="A704" s="49">
        <v>44409</v>
      </c>
      <c r="B704" s="64">
        <v>0</v>
      </c>
      <c r="C704" s="64">
        <v>0</v>
      </c>
      <c r="D704" s="64">
        <v>3817.3235099999997</v>
      </c>
      <c r="E704" s="64">
        <v>4414.5773058743853</v>
      </c>
      <c r="F704" s="64">
        <v>3691.3445399999996</v>
      </c>
      <c r="G704" s="64">
        <v>3557.8282967626596</v>
      </c>
      <c r="H704" s="40">
        <v>0.15645878435762595</v>
      </c>
      <c r="I704" s="40">
        <v>-3.6170084312243556E-2</v>
      </c>
      <c r="J704" s="40">
        <v>6.1760294841779029E-2</v>
      </c>
    </row>
    <row r="705" spans="1:10" ht="11.25" customHeight="1" x14ac:dyDescent="0.2">
      <c r="A705" s="49">
        <v>44440</v>
      </c>
      <c r="B705" s="64">
        <v>0</v>
      </c>
      <c r="C705" s="64">
        <v>0</v>
      </c>
      <c r="D705" s="64">
        <v>3406.04187</v>
      </c>
      <c r="E705" s="64">
        <v>3938.947040451375</v>
      </c>
      <c r="F705" s="64">
        <v>3293.63598</v>
      </c>
      <c r="G705" s="64">
        <v>3174.504888909561</v>
      </c>
      <c r="H705" s="40">
        <v>0.15645878435762595</v>
      </c>
      <c r="I705" s="40">
        <v>-3.6170084312243556E-2</v>
      </c>
      <c r="J705" s="40">
        <v>6.1760294841779029E-2</v>
      </c>
    </row>
    <row r="706" spans="1:10" ht="11.25" customHeight="1" x14ac:dyDescent="0.2">
      <c r="A706" s="49">
        <v>44470</v>
      </c>
      <c r="B706" s="64">
        <v>0</v>
      </c>
      <c r="C706" s="64">
        <v>0</v>
      </c>
      <c r="D706" s="64">
        <v>3285.0040299999996</v>
      </c>
      <c r="E706" s="64">
        <v>3798.971767143702</v>
      </c>
      <c r="F706" s="64">
        <v>3176.5926199999994</v>
      </c>
      <c r="G706" s="64">
        <v>3061.6949971089489</v>
      </c>
      <c r="H706" s="40">
        <v>0.15645878435762595</v>
      </c>
      <c r="I706" s="40">
        <v>-3.6170084312243556E-2</v>
      </c>
      <c r="J706" s="40">
        <v>6.1760294841779029E-2</v>
      </c>
    </row>
    <row r="707" spans="1:10" ht="11.25" customHeight="1" x14ac:dyDescent="0.2">
      <c r="A707" s="49">
        <v>44501</v>
      </c>
      <c r="B707" s="64">
        <v>0</v>
      </c>
      <c r="C707" s="64">
        <v>0</v>
      </c>
      <c r="D707" s="64">
        <v>3356.9474399999999</v>
      </c>
      <c r="E707" s="64">
        <v>3882.1713556148443</v>
      </c>
      <c r="F707" s="64">
        <v>3246.16176</v>
      </c>
      <c r="G707" s="64">
        <v>3128.7478154496184</v>
      </c>
      <c r="H707" s="40">
        <v>0.15645878435762595</v>
      </c>
      <c r="I707" s="40">
        <v>-3.6170084312243778E-2</v>
      </c>
      <c r="J707" s="40">
        <v>6.1760294841778807E-2</v>
      </c>
    </row>
    <row r="708" spans="1:10" ht="11.25" customHeight="1" x14ac:dyDescent="0.2">
      <c r="A708" s="49">
        <v>44531</v>
      </c>
      <c r="B708" s="64">
        <v>0</v>
      </c>
      <c r="C708" s="64">
        <v>0</v>
      </c>
      <c r="D708" s="64">
        <v>3432.59609</v>
      </c>
      <c r="E708" s="64">
        <v>3969.6559014321401</v>
      </c>
      <c r="F708" s="64">
        <v>3319.3138600000002</v>
      </c>
      <c r="G708" s="64">
        <v>3199.2539978250011</v>
      </c>
      <c r="H708" s="40">
        <v>0.15645878435762595</v>
      </c>
      <c r="I708" s="40">
        <v>-3.6170084312243667E-2</v>
      </c>
      <c r="J708" s="40">
        <v>6.1760294841779029E-2</v>
      </c>
    </row>
    <row r="709" spans="1:10" ht="11.25" customHeight="1" x14ac:dyDescent="0.2">
      <c r="A709" s="49">
        <v>44562</v>
      </c>
      <c r="B709" s="64">
        <v>0</v>
      </c>
      <c r="C709" s="64">
        <v>0</v>
      </c>
      <c r="D709" s="64">
        <v>3517.1990699999997</v>
      </c>
      <c r="E709" s="64">
        <v>4067.4957608359723</v>
      </c>
      <c r="F709" s="64">
        <v>3401.1247799999996</v>
      </c>
      <c r="G709" s="64">
        <v>3278.1058099509387</v>
      </c>
      <c r="H709" s="40">
        <v>0.15645878435762595</v>
      </c>
      <c r="I709" s="40">
        <v>-3.6170084312243556E-2</v>
      </c>
      <c r="J709" s="40">
        <v>6.1760294841779029E-2</v>
      </c>
    </row>
    <row r="710" spans="1:10" ht="11.25" customHeight="1" x14ac:dyDescent="0.2">
      <c r="A710" s="49">
        <v>44593</v>
      </c>
      <c r="B710" s="64">
        <v>0</v>
      </c>
      <c r="C710" s="64">
        <v>0</v>
      </c>
      <c r="D710" s="64">
        <v>3256.9059599999996</v>
      </c>
      <c r="E710" s="64">
        <v>3766.4775072687066</v>
      </c>
      <c r="F710" s="64">
        <v>3149.42184</v>
      </c>
      <c r="G710" s="64">
        <v>3035.5069865123783</v>
      </c>
      <c r="H710" s="40">
        <v>0.15645878435762617</v>
      </c>
      <c r="I710" s="40">
        <v>-3.6170084312243667E-2</v>
      </c>
      <c r="J710" s="40">
        <v>6.1760294841779029E-2</v>
      </c>
    </row>
    <row r="711" spans="1:10" ht="11.25" customHeight="1" x14ac:dyDescent="0.2">
      <c r="A711" s="49">
        <v>44621</v>
      </c>
      <c r="B711" s="64">
        <v>0</v>
      </c>
      <c r="C711" s="64">
        <v>0</v>
      </c>
      <c r="D711" s="64">
        <v>3594.3915699999998</v>
      </c>
      <c r="E711" s="64">
        <v>4156.7657055474983</v>
      </c>
      <c r="F711" s="64">
        <v>3475.7697799999996</v>
      </c>
      <c r="G711" s="64">
        <v>3350.0508940074515</v>
      </c>
      <c r="H711" s="40">
        <v>0.15645878435762595</v>
      </c>
      <c r="I711" s="40">
        <v>-3.6170084312243556E-2</v>
      </c>
      <c r="J711" s="40">
        <v>6.1760294841779029E-2</v>
      </c>
    </row>
    <row r="712" spans="1:10" ht="11.25" customHeight="1" x14ac:dyDescent="0.2">
      <c r="A712" s="49">
        <v>44652</v>
      </c>
      <c r="B712" s="64">
        <v>0</v>
      </c>
      <c r="C712" s="64">
        <v>0</v>
      </c>
      <c r="D712" s="64">
        <v>3293.3408199999999</v>
      </c>
      <c r="E712" s="64">
        <v>3808.612921172547</v>
      </c>
      <c r="F712" s="64">
        <v>3184.6542799999997</v>
      </c>
      <c r="G712" s="64">
        <v>3069.4650661870523</v>
      </c>
      <c r="H712" s="40">
        <v>0.15645878435762595</v>
      </c>
      <c r="I712" s="40">
        <v>-3.6170084312243556E-2</v>
      </c>
      <c r="J712" s="40">
        <v>6.1760294841779029E-2</v>
      </c>
    </row>
    <row r="713" spans="1:10" ht="11.25" customHeight="1" x14ac:dyDescent="0.2">
      <c r="A713" s="49">
        <v>44682</v>
      </c>
      <c r="B713" s="64">
        <v>0</v>
      </c>
      <c r="C713" s="64">
        <v>0</v>
      </c>
      <c r="D713" s="64">
        <v>3169.52405</v>
      </c>
      <c r="E713" s="64">
        <v>3665.4239298552593</v>
      </c>
      <c r="F713" s="64">
        <v>3064.9236999999998</v>
      </c>
      <c r="G713" s="64">
        <v>2954.0651513604062</v>
      </c>
      <c r="H713" s="40">
        <v>0.15645878435762595</v>
      </c>
      <c r="I713" s="40">
        <v>-3.6170084312243667E-2</v>
      </c>
      <c r="J713" s="40">
        <v>6.1760294841779029E-2</v>
      </c>
    </row>
    <row r="714" spans="1:10" ht="11.25" customHeight="1" x14ac:dyDescent="0.2">
      <c r="A714" s="44" t="s">
        <v>40</v>
      </c>
      <c r="B714" s="64">
        <v>0</v>
      </c>
      <c r="C714" s="64">
        <v>0</v>
      </c>
      <c r="D714" s="64">
        <v>1057123.4982</v>
      </c>
      <c r="E714" s="64">
        <v>1222519.755644253</v>
      </c>
      <c r="F714" s="64">
        <v>1022236.4027999999</v>
      </c>
      <c r="G714" s="64">
        <v>985262.02592367935</v>
      </c>
      <c r="H714" s="40">
        <v>0.15645878435762617</v>
      </c>
      <c r="I714" s="40">
        <v>-3.6170084312243778E-2</v>
      </c>
      <c r="J714" s="40">
        <v>6.1760294841778807E-2</v>
      </c>
    </row>
    <row r="715" spans="1:10" ht="11.25" customHeight="1" x14ac:dyDescent="0.2">
      <c r="A715" s="45" t="s">
        <v>25</v>
      </c>
      <c r="B715" s="64">
        <v>0</v>
      </c>
      <c r="C715" s="64">
        <v>0</v>
      </c>
      <c r="D715" s="64">
        <v>1057123.4982</v>
      </c>
      <c r="E715" s="64">
        <v>1222519.755644253</v>
      </c>
      <c r="F715" s="64">
        <v>1022236.4027999999</v>
      </c>
      <c r="G715" s="64">
        <v>985262.02592367935</v>
      </c>
      <c r="H715" s="40">
        <v>0.15645878435762617</v>
      </c>
      <c r="I715" s="40">
        <v>-3.6170084312243778E-2</v>
      </c>
      <c r="J715" s="40">
        <v>6.1760294841778807E-2</v>
      </c>
    </row>
    <row r="716" spans="1:10" ht="11.25" customHeight="1" x14ac:dyDescent="0.2">
      <c r="A716" s="46" t="s">
        <v>25</v>
      </c>
      <c r="B716" s="64">
        <v>0</v>
      </c>
      <c r="C716" s="64">
        <v>0</v>
      </c>
      <c r="D716" s="64">
        <v>1057123.4982</v>
      </c>
      <c r="E716" s="64">
        <v>1222519.755644253</v>
      </c>
      <c r="F716" s="64">
        <v>1022236.4027999999</v>
      </c>
      <c r="G716" s="64">
        <v>985262.02592367935</v>
      </c>
      <c r="H716" s="40">
        <v>0.15645878435762617</v>
      </c>
      <c r="I716" s="40">
        <v>-3.6170084312243778E-2</v>
      </c>
      <c r="J716" s="40">
        <v>6.1760294841778807E-2</v>
      </c>
    </row>
    <row r="717" spans="1:10" ht="11.25" customHeight="1" x14ac:dyDescent="0.2">
      <c r="A717" s="47" t="s">
        <v>25</v>
      </c>
      <c r="B717" s="64">
        <v>0</v>
      </c>
      <c r="C717" s="64">
        <v>0</v>
      </c>
      <c r="D717" s="64">
        <v>1057123.4982</v>
      </c>
      <c r="E717" s="64">
        <v>1222519.755644253</v>
      </c>
      <c r="F717" s="64">
        <v>1022236.4027999999</v>
      </c>
      <c r="G717" s="64">
        <v>985262.02592367935</v>
      </c>
      <c r="H717" s="40">
        <v>0.15645878435762617</v>
      </c>
      <c r="I717" s="40">
        <v>-3.6170084312243778E-2</v>
      </c>
      <c r="J717" s="40">
        <v>6.1760294841778807E-2</v>
      </c>
    </row>
    <row r="718" spans="1:10" ht="11.25" customHeight="1" x14ac:dyDescent="0.2">
      <c r="A718" s="48" t="s">
        <v>25</v>
      </c>
      <c r="B718" s="64">
        <v>0</v>
      </c>
      <c r="C718" s="64">
        <v>0</v>
      </c>
      <c r="D718" s="64">
        <v>1057123.4982</v>
      </c>
      <c r="E718" s="64">
        <v>1222519.755644253</v>
      </c>
      <c r="F718" s="64">
        <v>1022236.4027999999</v>
      </c>
      <c r="G718" s="64">
        <v>985262.02592367935</v>
      </c>
      <c r="H718" s="40">
        <v>0.15645878435762617</v>
      </c>
      <c r="I718" s="40">
        <v>-3.6170084312243778E-2</v>
      </c>
      <c r="J718" s="40">
        <v>6.1760294841778807E-2</v>
      </c>
    </row>
    <row r="719" spans="1:10" ht="11.25" customHeight="1" x14ac:dyDescent="0.2">
      <c r="A719" s="49">
        <v>44348</v>
      </c>
      <c r="B719" s="64">
        <v>0</v>
      </c>
      <c r="C719" s="64">
        <v>0</v>
      </c>
      <c r="D719" s="64">
        <v>86592.385109999988</v>
      </c>
      <c r="E719" s="64">
        <v>100140.52441893797</v>
      </c>
      <c r="F719" s="64">
        <v>83734.670939999996</v>
      </c>
      <c r="G719" s="64">
        <v>80705.980832242203</v>
      </c>
      <c r="H719" s="40">
        <v>0.15645878435762595</v>
      </c>
      <c r="I719" s="40">
        <v>-3.6170084312243778E-2</v>
      </c>
      <c r="J719" s="40">
        <v>6.1760294841778807E-2</v>
      </c>
    </row>
    <row r="720" spans="1:10" ht="11.25" customHeight="1" x14ac:dyDescent="0.2">
      <c r="A720" s="49">
        <v>44378</v>
      </c>
      <c r="B720" s="64">
        <v>0</v>
      </c>
      <c r="C720" s="64">
        <v>0</v>
      </c>
      <c r="D720" s="64">
        <v>90158.369839999985</v>
      </c>
      <c r="E720" s="64">
        <v>104264.43878483164</v>
      </c>
      <c r="F720" s="64">
        <v>87182.971359999981</v>
      </c>
      <c r="G720" s="64">
        <v>84029.555935316879</v>
      </c>
      <c r="H720" s="40">
        <v>0.15645878435762617</v>
      </c>
      <c r="I720" s="40">
        <v>-3.6170084312243445E-2</v>
      </c>
      <c r="J720" s="40">
        <v>6.1760294841779029E-2</v>
      </c>
    </row>
    <row r="721" spans="1:10" ht="11.25" customHeight="1" x14ac:dyDescent="0.2">
      <c r="A721" s="49">
        <v>44409</v>
      </c>
      <c r="B721" s="64">
        <v>0</v>
      </c>
      <c r="C721" s="64">
        <v>0</v>
      </c>
      <c r="D721" s="64">
        <v>93533.843479999996</v>
      </c>
      <c r="E721" s="64">
        <v>108168.03492717724</v>
      </c>
      <c r="F721" s="64">
        <v>90447.047919999983</v>
      </c>
      <c r="G721" s="64">
        <v>87175.57057094005</v>
      </c>
      <c r="H721" s="40">
        <v>0.15645878435762595</v>
      </c>
      <c r="I721" s="40">
        <v>-3.6170084312243556E-2</v>
      </c>
      <c r="J721" s="40">
        <v>6.1760294841779029E-2</v>
      </c>
    </row>
    <row r="722" spans="1:10" ht="11.25" customHeight="1" x14ac:dyDescent="0.2">
      <c r="A722" s="49">
        <v>44440</v>
      </c>
      <c r="B722" s="64">
        <v>0</v>
      </c>
      <c r="C722" s="64">
        <v>0</v>
      </c>
      <c r="D722" s="64">
        <v>91321.197659999991</v>
      </c>
      <c r="E722" s="64">
        <v>105609.20123196607</v>
      </c>
      <c r="F722" s="64">
        <v>88307.423640000008</v>
      </c>
      <c r="G722" s="64">
        <v>85113.336681544184</v>
      </c>
      <c r="H722" s="40">
        <v>0.15645878435762595</v>
      </c>
      <c r="I722" s="40">
        <v>-3.6170084312243667E-2</v>
      </c>
      <c r="J722" s="40">
        <v>6.1760294841779029E-2</v>
      </c>
    </row>
    <row r="723" spans="1:10" ht="11.25" customHeight="1" x14ac:dyDescent="0.2">
      <c r="A723" s="49">
        <v>44470</v>
      </c>
      <c r="B723" s="64">
        <v>0</v>
      </c>
      <c r="C723" s="64">
        <v>0</v>
      </c>
      <c r="D723" s="64">
        <v>92230.525309999983</v>
      </c>
      <c r="E723" s="64">
        <v>106660.80118066784</v>
      </c>
      <c r="F723" s="64">
        <v>89186.741739999998</v>
      </c>
      <c r="G723" s="64">
        <v>85960.849771729903</v>
      </c>
      <c r="H723" s="40">
        <v>0.15645878435762595</v>
      </c>
      <c r="I723" s="40">
        <v>-3.6170084312243556E-2</v>
      </c>
      <c r="J723" s="40">
        <v>6.1760294841779029E-2</v>
      </c>
    </row>
    <row r="724" spans="1:10" ht="11.25" customHeight="1" x14ac:dyDescent="0.2">
      <c r="A724" s="49">
        <v>44501</v>
      </c>
      <c r="B724" s="64">
        <v>0</v>
      </c>
      <c r="C724" s="64">
        <v>0</v>
      </c>
      <c r="D724" s="64">
        <v>91484.22821999999</v>
      </c>
      <c r="E724" s="64">
        <v>105797.73935519681</v>
      </c>
      <c r="F724" s="64">
        <v>88465.073879999982</v>
      </c>
      <c r="G724" s="64">
        <v>85265.284699071533</v>
      </c>
      <c r="H724" s="40">
        <v>0.15645878435762595</v>
      </c>
      <c r="I724" s="40">
        <v>-3.6170084312243445E-2</v>
      </c>
      <c r="J724" s="40">
        <v>6.1760294841779029E-2</v>
      </c>
    </row>
    <row r="725" spans="1:10" ht="11.25" customHeight="1" x14ac:dyDescent="0.2">
      <c r="A725" s="49">
        <v>44531</v>
      </c>
      <c r="B725" s="64">
        <v>0</v>
      </c>
      <c r="C725" s="64">
        <v>0</v>
      </c>
      <c r="D725" s="64">
        <v>93457.268519999998</v>
      </c>
      <c r="E725" s="64">
        <v>108079.47914202343</v>
      </c>
      <c r="F725" s="64">
        <v>90373.000079999998</v>
      </c>
      <c r="G725" s="64">
        <v>87104.201047556009</v>
      </c>
      <c r="H725" s="40">
        <v>0.15645878435762595</v>
      </c>
      <c r="I725" s="40">
        <v>-3.6170084312243556E-2</v>
      </c>
      <c r="J725" s="40">
        <v>6.1760294841779029E-2</v>
      </c>
    </row>
    <row r="726" spans="1:10" ht="11.25" customHeight="1" x14ac:dyDescent="0.2">
      <c r="A726" s="49">
        <v>44562</v>
      </c>
      <c r="B726" s="64">
        <v>0</v>
      </c>
      <c r="C726" s="64">
        <v>0</v>
      </c>
      <c r="D726" s="64">
        <v>74350.889689999996</v>
      </c>
      <c r="E726" s="64">
        <v>85983.739506805345</v>
      </c>
      <c r="F726" s="64">
        <v>71897.168259999991</v>
      </c>
      <c r="G726" s="64">
        <v>69296.641622224226</v>
      </c>
      <c r="H726" s="40">
        <v>0.15645878435762595</v>
      </c>
      <c r="I726" s="40">
        <v>-3.6170084312243667E-2</v>
      </c>
      <c r="J726" s="40">
        <v>6.1760294841779029E-2</v>
      </c>
    </row>
    <row r="727" spans="1:10" ht="11.25" customHeight="1" x14ac:dyDescent="0.2">
      <c r="A727" s="49">
        <v>44593</v>
      </c>
      <c r="B727" s="64">
        <v>0</v>
      </c>
      <c r="C727" s="64">
        <v>0</v>
      </c>
      <c r="D727" s="64">
        <v>87884.58756</v>
      </c>
      <c r="E727" s="64">
        <v>101634.90329340892</v>
      </c>
      <c r="F727" s="64">
        <v>84984.228239999982</v>
      </c>
      <c r="G727" s="64">
        <v>81910.341539348243</v>
      </c>
      <c r="H727" s="40">
        <v>0.15645878435762572</v>
      </c>
      <c r="I727" s="40">
        <v>-3.6170084312243445E-2</v>
      </c>
      <c r="J727" s="40">
        <v>6.1760294841779029E-2</v>
      </c>
    </row>
    <row r="728" spans="1:10" ht="11.25" customHeight="1" x14ac:dyDescent="0.2">
      <c r="A728" s="49">
        <v>44621</v>
      </c>
      <c r="B728" s="64">
        <v>0</v>
      </c>
      <c r="C728" s="64">
        <v>0</v>
      </c>
      <c r="D728" s="64">
        <v>89546.696469999995</v>
      </c>
      <c r="E728" s="64">
        <v>103557.06374293752</v>
      </c>
      <c r="F728" s="64">
        <v>86591.484379999994</v>
      </c>
      <c r="G728" s="64">
        <v>83459.463089253069</v>
      </c>
      <c r="H728" s="40">
        <v>0.15645878435762617</v>
      </c>
      <c r="I728" s="40">
        <v>-3.6170084312243556E-2</v>
      </c>
      <c r="J728" s="40">
        <v>6.1760294841778807E-2</v>
      </c>
    </row>
    <row r="729" spans="1:10" ht="11.25" customHeight="1" x14ac:dyDescent="0.2">
      <c r="A729" s="49">
        <v>44652</v>
      </c>
      <c r="B729" s="64">
        <v>0</v>
      </c>
      <c r="C729" s="64">
        <v>0</v>
      </c>
      <c r="D729" s="64">
        <v>83950.857759999984</v>
      </c>
      <c r="E729" s="64">
        <v>97085.706910909561</v>
      </c>
      <c r="F729" s="64">
        <v>81180.319039999988</v>
      </c>
      <c r="G729" s="64">
        <v>78244.020055828354</v>
      </c>
      <c r="H729" s="40">
        <v>0.15645878435762617</v>
      </c>
      <c r="I729" s="40">
        <v>-3.6170084312243556E-2</v>
      </c>
      <c r="J729" s="40">
        <v>6.1760294841779251E-2</v>
      </c>
    </row>
    <row r="730" spans="1:10" ht="11.25" customHeight="1" x14ac:dyDescent="0.2">
      <c r="A730" s="49">
        <v>44682</v>
      </c>
      <c r="B730" s="64">
        <v>0</v>
      </c>
      <c r="C730" s="64">
        <v>0</v>
      </c>
      <c r="D730" s="64">
        <v>82612.648579999994</v>
      </c>
      <c r="E730" s="64">
        <v>95538.123149390551</v>
      </c>
      <c r="F730" s="64">
        <v>79886.273320000008</v>
      </c>
      <c r="G730" s="64">
        <v>76996.780078624666</v>
      </c>
      <c r="H730" s="40">
        <v>0.15645878435762595</v>
      </c>
      <c r="I730" s="40">
        <v>-3.6170084312243667E-2</v>
      </c>
      <c r="J730" s="40">
        <v>6.1760294841779029E-2</v>
      </c>
    </row>
    <row r="731" spans="1:10" ht="11.25" customHeight="1" x14ac:dyDescent="0.2">
      <c r="A731" s="44" t="s">
        <v>46</v>
      </c>
      <c r="B731" s="64">
        <v>0</v>
      </c>
      <c r="C731" s="64">
        <v>0</v>
      </c>
      <c r="D731" s="64">
        <v>528603.74182</v>
      </c>
      <c r="E731" s="64">
        <v>611308.44067204953</v>
      </c>
      <c r="F731" s="64">
        <v>511158.80827999994</v>
      </c>
      <c r="G731" s="64">
        <v>492670.15108756645</v>
      </c>
      <c r="H731" s="40">
        <v>0.15645878435762572</v>
      </c>
      <c r="I731" s="40">
        <v>-3.6170084312243445E-2</v>
      </c>
      <c r="J731" s="40">
        <v>6.1760294841779029E-2</v>
      </c>
    </row>
    <row r="732" spans="1:10" ht="11.25" customHeight="1" x14ac:dyDescent="0.2">
      <c r="A732" s="45" t="s">
        <v>25</v>
      </c>
      <c r="B732" s="64">
        <v>0</v>
      </c>
      <c r="C732" s="64">
        <v>0</v>
      </c>
      <c r="D732" s="64">
        <v>528603.74182</v>
      </c>
      <c r="E732" s="64">
        <v>611308.44067204953</v>
      </c>
      <c r="F732" s="64">
        <v>511158.80827999994</v>
      </c>
      <c r="G732" s="64">
        <v>492670.15108756645</v>
      </c>
      <c r="H732" s="40">
        <v>0.15645878435762572</v>
      </c>
      <c r="I732" s="40">
        <v>-3.6170084312243445E-2</v>
      </c>
      <c r="J732" s="40">
        <v>6.1760294841779029E-2</v>
      </c>
    </row>
    <row r="733" spans="1:10" ht="11.25" customHeight="1" x14ac:dyDescent="0.2">
      <c r="A733" s="46" t="s">
        <v>25</v>
      </c>
      <c r="B733" s="64">
        <v>0</v>
      </c>
      <c r="C733" s="64">
        <v>0</v>
      </c>
      <c r="D733" s="64">
        <v>528603.74182</v>
      </c>
      <c r="E733" s="64">
        <v>611308.44067204953</v>
      </c>
      <c r="F733" s="64">
        <v>511158.80827999994</v>
      </c>
      <c r="G733" s="64">
        <v>492670.15108756645</v>
      </c>
      <c r="H733" s="40">
        <v>0.15645878435762572</v>
      </c>
      <c r="I733" s="40">
        <v>-3.6170084312243445E-2</v>
      </c>
      <c r="J733" s="40">
        <v>6.1760294841779029E-2</v>
      </c>
    </row>
    <row r="734" spans="1:10" ht="11.25" customHeight="1" x14ac:dyDescent="0.2">
      <c r="A734" s="47" t="s">
        <v>25</v>
      </c>
      <c r="B734" s="64">
        <v>0</v>
      </c>
      <c r="C734" s="64">
        <v>0</v>
      </c>
      <c r="D734" s="64">
        <v>528603.74182</v>
      </c>
      <c r="E734" s="64">
        <v>611308.44067204953</v>
      </c>
      <c r="F734" s="64">
        <v>511158.80827999994</v>
      </c>
      <c r="G734" s="64">
        <v>492670.15108756645</v>
      </c>
      <c r="H734" s="40">
        <v>0.15645878435762572</v>
      </c>
      <c r="I734" s="40">
        <v>-3.6170084312243445E-2</v>
      </c>
      <c r="J734" s="40">
        <v>6.1760294841779029E-2</v>
      </c>
    </row>
    <row r="735" spans="1:10" ht="11.25" customHeight="1" x14ac:dyDescent="0.2">
      <c r="A735" s="48" t="s">
        <v>25</v>
      </c>
      <c r="B735" s="64">
        <v>0</v>
      </c>
      <c r="C735" s="64">
        <v>0</v>
      </c>
      <c r="D735" s="64">
        <v>528603.74182</v>
      </c>
      <c r="E735" s="64">
        <v>611308.44067204953</v>
      </c>
      <c r="F735" s="64">
        <v>511158.80827999994</v>
      </c>
      <c r="G735" s="64">
        <v>492670.15108756645</v>
      </c>
      <c r="H735" s="40">
        <v>0.15645878435762572</v>
      </c>
      <c r="I735" s="40">
        <v>-3.6170084312243445E-2</v>
      </c>
      <c r="J735" s="40">
        <v>6.1760294841779029E-2</v>
      </c>
    </row>
    <row r="736" spans="1:10" ht="11.25" customHeight="1" x14ac:dyDescent="0.2">
      <c r="A736" s="49">
        <v>44348</v>
      </c>
      <c r="B736" s="64">
        <v>0</v>
      </c>
      <c r="C736" s="64">
        <v>0</v>
      </c>
      <c r="D736" s="64">
        <v>36020.18189</v>
      </c>
      <c r="E736" s="64">
        <v>41655.855760849976</v>
      </c>
      <c r="F736" s="64">
        <v>34831.447059999999</v>
      </c>
      <c r="G736" s="64">
        <v>33571.590683122347</v>
      </c>
      <c r="H736" s="40">
        <v>0.15645878435762595</v>
      </c>
      <c r="I736" s="40">
        <v>-3.6170084312243667E-2</v>
      </c>
      <c r="J736" s="40">
        <v>6.1760294841779029E-2</v>
      </c>
    </row>
    <row r="737" spans="1:10" ht="11.25" customHeight="1" x14ac:dyDescent="0.2">
      <c r="A737" s="49">
        <v>44378</v>
      </c>
      <c r="B737" s="64">
        <v>0</v>
      </c>
      <c r="C737" s="64">
        <v>0</v>
      </c>
      <c r="D737" s="64">
        <v>38486.945419999996</v>
      </c>
      <c r="E737" s="64">
        <v>44508.566114051493</v>
      </c>
      <c r="F737" s="64">
        <v>37216.802679999993</v>
      </c>
      <c r="G737" s="64">
        <v>35870.667789232255</v>
      </c>
      <c r="H737" s="40">
        <v>0.15645878435762595</v>
      </c>
      <c r="I737" s="40">
        <v>-3.6170084312243778E-2</v>
      </c>
      <c r="J737" s="40">
        <v>6.1760294841778807E-2</v>
      </c>
    </row>
    <row r="738" spans="1:10" ht="11.25" customHeight="1" x14ac:dyDescent="0.2">
      <c r="A738" s="49">
        <v>44409</v>
      </c>
      <c r="B738" s="64">
        <v>0</v>
      </c>
      <c r="C738" s="64">
        <v>0</v>
      </c>
      <c r="D738" s="64">
        <v>45102.033900000002</v>
      </c>
      <c r="E738" s="64">
        <v>52158.643296050439</v>
      </c>
      <c r="F738" s="64">
        <v>43613.580600000001</v>
      </c>
      <c r="G738" s="64">
        <v>42036.073712539168</v>
      </c>
      <c r="H738" s="40">
        <v>0.15645878435762595</v>
      </c>
      <c r="I738" s="40">
        <v>-3.6170084312243667E-2</v>
      </c>
      <c r="J738" s="40">
        <v>6.1760294841779029E-2</v>
      </c>
    </row>
    <row r="739" spans="1:10" ht="11.25" customHeight="1" x14ac:dyDescent="0.2">
      <c r="A739" s="49">
        <v>44440</v>
      </c>
      <c r="B739" s="64">
        <v>0</v>
      </c>
      <c r="C739" s="64">
        <v>0</v>
      </c>
      <c r="D739" s="64">
        <v>45527.518960000001</v>
      </c>
      <c r="E739" s="64">
        <v>52650.699231300365</v>
      </c>
      <c r="F739" s="64">
        <v>44025.023840000002</v>
      </c>
      <c r="G739" s="64">
        <v>42432.635015858665</v>
      </c>
      <c r="H739" s="40">
        <v>0.15645878435762595</v>
      </c>
      <c r="I739" s="40">
        <v>-3.6170084312243667E-2</v>
      </c>
      <c r="J739" s="40">
        <v>6.1760294841779029E-2</v>
      </c>
    </row>
    <row r="740" spans="1:10" ht="11.25" customHeight="1" x14ac:dyDescent="0.2">
      <c r="A740" s="49">
        <v>44470</v>
      </c>
      <c r="B740" s="64">
        <v>0</v>
      </c>
      <c r="C740" s="64">
        <v>0</v>
      </c>
      <c r="D740" s="64">
        <v>45823.629390000002</v>
      </c>
      <c r="E740" s="64">
        <v>52993.138739213784</v>
      </c>
      <c r="F740" s="64">
        <v>44311.362059999999</v>
      </c>
      <c r="G740" s="64">
        <v>42708.616358299449</v>
      </c>
      <c r="H740" s="40">
        <v>0.15645878435762595</v>
      </c>
      <c r="I740" s="40">
        <v>-3.6170084312243556E-2</v>
      </c>
      <c r="J740" s="40">
        <v>6.1760294841779029E-2</v>
      </c>
    </row>
    <row r="741" spans="1:10" ht="11.25" customHeight="1" x14ac:dyDescent="0.2">
      <c r="A741" s="49">
        <v>44501</v>
      </c>
      <c r="B741" s="64">
        <v>0</v>
      </c>
      <c r="C741" s="64">
        <v>0</v>
      </c>
      <c r="D741" s="64">
        <v>44257.856719999996</v>
      </c>
      <c r="E741" s="64">
        <v>51182.387180685189</v>
      </c>
      <c r="F741" s="64">
        <v>42797.262880000002</v>
      </c>
      <c r="G741" s="64">
        <v>41249.282273297147</v>
      </c>
      <c r="H741" s="40">
        <v>0.15645878435762617</v>
      </c>
      <c r="I741" s="40">
        <v>-3.6170084312243667E-2</v>
      </c>
      <c r="J741" s="40">
        <v>6.1760294841779029E-2</v>
      </c>
    </row>
    <row r="742" spans="1:10" ht="11.25" customHeight="1" x14ac:dyDescent="0.2">
      <c r="A742" s="49">
        <v>44531</v>
      </c>
      <c r="B742" s="64">
        <v>0</v>
      </c>
      <c r="C742" s="64">
        <v>0</v>
      </c>
      <c r="D742" s="64">
        <v>46797.798739999998</v>
      </c>
      <c r="E742" s="64">
        <v>54119.725441473238</v>
      </c>
      <c r="F742" s="64">
        <v>45253.381959999999</v>
      </c>
      <c r="G742" s="64">
        <v>43616.563319092631</v>
      </c>
      <c r="H742" s="40">
        <v>0.15645878435762595</v>
      </c>
      <c r="I742" s="40">
        <v>-3.6170084312243667E-2</v>
      </c>
      <c r="J742" s="40">
        <v>6.1760294841778807E-2</v>
      </c>
    </row>
    <row r="743" spans="1:10" ht="11.25" customHeight="1" x14ac:dyDescent="0.2">
      <c r="A743" s="49">
        <v>44562</v>
      </c>
      <c r="B743" s="64">
        <v>0</v>
      </c>
      <c r="C743" s="64">
        <v>0</v>
      </c>
      <c r="D743" s="64">
        <v>36143.381120000005</v>
      </c>
      <c r="E743" s="64">
        <v>41798.330592609564</v>
      </c>
      <c r="F743" s="64">
        <v>34950.580479999997</v>
      </c>
      <c r="G743" s="64">
        <v>33686.415037276543</v>
      </c>
      <c r="H743" s="40">
        <v>0.15645878435762572</v>
      </c>
      <c r="I743" s="40">
        <v>-3.6170084312243556E-2</v>
      </c>
      <c r="J743" s="40">
        <v>6.1760294841778807E-2</v>
      </c>
    </row>
    <row r="744" spans="1:10" ht="11.25" customHeight="1" x14ac:dyDescent="0.2">
      <c r="A744" s="49">
        <v>44593</v>
      </c>
      <c r="B744" s="64">
        <v>0</v>
      </c>
      <c r="C744" s="64">
        <v>0</v>
      </c>
      <c r="D744" s="64">
        <v>41948.257119999995</v>
      </c>
      <c r="E744" s="64">
        <v>48511.430434916321</v>
      </c>
      <c r="F744" s="64">
        <v>40563.884479999993</v>
      </c>
      <c r="G744" s="64">
        <v>39096.685358326285</v>
      </c>
      <c r="H744" s="40">
        <v>0.15645878435762595</v>
      </c>
      <c r="I744" s="40">
        <v>-3.6170084312243556E-2</v>
      </c>
      <c r="J744" s="40">
        <v>6.1760294841779029E-2</v>
      </c>
    </row>
    <row r="745" spans="1:10" ht="11.25" customHeight="1" x14ac:dyDescent="0.2">
      <c r="A745" s="49">
        <v>44621</v>
      </c>
      <c r="B745" s="64">
        <v>0</v>
      </c>
      <c r="C745" s="64">
        <v>0</v>
      </c>
      <c r="D745" s="64">
        <v>51012.509239999999</v>
      </c>
      <c r="E745" s="64">
        <v>58993.86442272256</v>
      </c>
      <c r="F745" s="64">
        <v>49328.998959999997</v>
      </c>
      <c r="G745" s="64">
        <v>47544.764908578218</v>
      </c>
      <c r="H745" s="40">
        <v>0.15645878435762595</v>
      </c>
      <c r="I745" s="40">
        <v>-3.6170084312243667E-2</v>
      </c>
      <c r="J745" s="40">
        <v>6.1760294841779029E-2</v>
      </c>
    </row>
    <row r="746" spans="1:10" ht="11.25" customHeight="1" x14ac:dyDescent="0.2">
      <c r="A746" s="49">
        <v>44652</v>
      </c>
      <c r="B746" s="64">
        <v>0</v>
      </c>
      <c r="C746" s="64">
        <v>0</v>
      </c>
      <c r="D746" s="64">
        <v>48364.806489999995</v>
      </c>
      <c r="E746" s="64">
        <v>55931.905319117221</v>
      </c>
      <c r="F746" s="64">
        <v>46768.675459999999</v>
      </c>
      <c r="G746" s="64">
        <v>45077.048525439837</v>
      </c>
      <c r="H746" s="40">
        <v>0.15645878435762617</v>
      </c>
      <c r="I746" s="40">
        <v>-3.6170084312243667E-2</v>
      </c>
      <c r="J746" s="40">
        <v>6.1760294841779029E-2</v>
      </c>
    </row>
    <row r="747" spans="1:10" ht="11.25" customHeight="1" x14ac:dyDescent="0.2">
      <c r="A747" s="49">
        <v>44682</v>
      </c>
      <c r="B747" s="64">
        <v>0</v>
      </c>
      <c r="C747" s="64">
        <v>0</v>
      </c>
      <c r="D747" s="64">
        <v>49118.822829999997</v>
      </c>
      <c r="E747" s="64">
        <v>56803.894139059397</v>
      </c>
      <c r="F747" s="64">
        <v>47497.807819999995</v>
      </c>
      <c r="G747" s="64">
        <v>45779.80810650385</v>
      </c>
      <c r="H747" s="40">
        <v>0.15645878435762595</v>
      </c>
      <c r="I747" s="40">
        <v>-3.6170084312243667E-2</v>
      </c>
      <c r="J747" s="40">
        <v>6.1760294841778807E-2</v>
      </c>
    </row>
    <row r="748" spans="1:10" ht="11.25" customHeight="1" x14ac:dyDescent="0.2">
      <c r="A748" s="44" t="s">
        <v>50</v>
      </c>
      <c r="B748" s="64">
        <v>0</v>
      </c>
      <c r="C748" s="64">
        <v>0</v>
      </c>
      <c r="D748" s="64">
        <v>191153.98619239999</v>
      </c>
      <c r="E748" s="64">
        <v>228116.86734283192</v>
      </c>
      <c r="F748" s="64">
        <v>184845.53938959999</v>
      </c>
      <c r="G748" s="64">
        <v>183845.60726147014</v>
      </c>
      <c r="H748" s="40">
        <v>0.19336704343286937</v>
      </c>
      <c r="I748" s="40">
        <v>-5.4095550881662069E-3</v>
      </c>
      <c r="J748" s="40">
        <v>9.5646261698431712E-2</v>
      </c>
    </row>
    <row r="749" spans="1:10" ht="11.25" customHeight="1" x14ac:dyDescent="0.2">
      <c r="A749" s="45" t="s">
        <v>51</v>
      </c>
      <c r="B749" s="64">
        <v>0</v>
      </c>
      <c r="C749" s="64">
        <v>0</v>
      </c>
      <c r="D749" s="64">
        <v>191153.98619239999</v>
      </c>
      <c r="E749" s="64">
        <v>228116.86734283192</v>
      </c>
      <c r="F749" s="64">
        <v>184845.53938959999</v>
      </c>
      <c r="G749" s="64">
        <v>183845.60726147014</v>
      </c>
      <c r="H749" s="40">
        <v>0.19336704343286937</v>
      </c>
      <c r="I749" s="40">
        <v>-5.4095550881662069E-3</v>
      </c>
      <c r="J749" s="40">
        <v>9.5646261698431712E-2</v>
      </c>
    </row>
    <row r="750" spans="1:10" ht="11.25" customHeight="1" x14ac:dyDescent="0.2">
      <c r="A750" s="46" t="s">
        <v>25</v>
      </c>
      <c r="B750" s="64">
        <v>0</v>
      </c>
      <c r="C750" s="64">
        <v>0</v>
      </c>
      <c r="D750" s="64">
        <v>191153.98619239999</v>
      </c>
      <c r="E750" s="64">
        <v>228116.86734283192</v>
      </c>
      <c r="F750" s="64">
        <v>184845.53938959999</v>
      </c>
      <c r="G750" s="64">
        <v>183845.60726147014</v>
      </c>
      <c r="H750" s="40">
        <v>0.19336704343286937</v>
      </c>
      <c r="I750" s="40">
        <v>-5.4095550881662069E-3</v>
      </c>
      <c r="J750" s="40">
        <v>9.5646261698431712E-2</v>
      </c>
    </row>
    <row r="751" spans="1:10" ht="11.25" customHeight="1" x14ac:dyDescent="0.2">
      <c r="A751" s="47" t="s">
        <v>25</v>
      </c>
      <c r="B751" s="64">
        <v>0</v>
      </c>
      <c r="C751" s="64">
        <v>0</v>
      </c>
      <c r="D751" s="64">
        <v>191153.98619239999</v>
      </c>
      <c r="E751" s="64">
        <v>228116.86734283192</v>
      </c>
      <c r="F751" s="64">
        <v>184845.53938959999</v>
      </c>
      <c r="G751" s="64">
        <v>183845.60726147014</v>
      </c>
      <c r="H751" s="40">
        <v>0.19336704343286937</v>
      </c>
      <c r="I751" s="40">
        <v>-5.4095550881662069E-3</v>
      </c>
      <c r="J751" s="40">
        <v>9.5646261698431712E-2</v>
      </c>
    </row>
    <row r="752" spans="1:10" ht="11.25" customHeight="1" x14ac:dyDescent="0.2">
      <c r="A752" s="48" t="s">
        <v>25</v>
      </c>
      <c r="B752" s="64">
        <v>0</v>
      </c>
      <c r="C752" s="64">
        <v>0</v>
      </c>
      <c r="D752" s="64">
        <v>191153.98619239999</v>
      </c>
      <c r="E752" s="64">
        <v>228116.86734283192</v>
      </c>
      <c r="F752" s="64">
        <v>184845.53938959999</v>
      </c>
      <c r="G752" s="64">
        <v>183845.60726147014</v>
      </c>
      <c r="H752" s="40">
        <v>0.19336704343286937</v>
      </c>
      <c r="I752" s="40">
        <v>-5.4095550881662069E-3</v>
      </c>
      <c r="J752" s="40">
        <v>9.5646261698431712E-2</v>
      </c>
    </row>
    <row r="753" spans="1:10" ht="11.25" customHeight="1" x14ac:dyDescent="0.2">
      <c r="A753" s="49">
        <v>44348</v>
      </c>
      <c r="B753" s="64">
        <v>0</v>
      </c>
      <c r="C753" s="64">
        <v>0</v>
      </c>
      <c r="D753" s="64">
        <v>12387.315140199998</v>
      </c>
      <c r="E753" s="64">
        <v>14782.613644931693</v>
      </c>
      <c r="F753" s="64">
        <v>11978.510070799999</v>
      </c>
      <c r="G753" s="64">
        <v>11913.711660697852</v>
      </c>
      <c r="H753" s="40">
        <v>0.19336704343286937</v>
      </c>
      <c r="I753" s="40">
        <v>-5.4095550881662069E-3</v>
      </c>
      <c r="J753" s="40">
        <v>9.564626169843149E-2</v>
      </c>
    </row>
    <row r="754" spans="1:10" ht="11.25" customHeight="1" x14ac:dyDescent="0.2">
      <c r="A754" s="49">
        <v>44378</v>
      </c>
      <c r="B754" s="64">
        <v>0</v>
      </c>
      <c r="C754" s="64">
        <v>0</v>
      </c>
      <c r="D754" s="64">
        <v>14530.475359399999</v>
      </c>
      <c r="E754" s="64">
        <v>17340.190419321338</v>
      </c>
      <c r="F754" s="64">
        <v>14050.941907599999</v>
      </c>
      <c r="G754" s="64">
        <v>13974.932563310213</v>
      </c>
      <c r="H754" s="40">
        <v>0.19336704343286937</v>
      </c>
      <c r="I754" s="40">
        <v>-5.4095550881663179E-3</v>
      </c>
      <c r="J754" s="40">
        <v>9.564626169843149E-2</v>
      </c>
    </row>
    <row r="755" spans="1:10" ht="11.25" customHeight="1" x14ac:dyDescent="0.2">
      <c r="A755" s="49">
        <v>44409</v>
      </c>
      <c r="B755" s="64">
        <v>0</v>
      </c>
      <c r="C755" s="64">
        <v>0</v>
      </c>
      <c r="D755" s="64">
        <v>14415.248570799997</v>
      </c>
      <c r="E755" s="64">
        <v>17202.682567285487</v>
      </c>
      <c r="F755" s="64">
        <v>13939.517823199998</v>
      </c>
      <c r="G755" s="64">
        <v>13864.111233632922</v>
      </c>
      <c r="H755" s="40">
        <v>0.19336704343286937</v>
      </c>
      <c r="I755" s="40">
        <v>-5.4095550881662069E-3</v>
      </c>
      <c r="J755" s="40">
        <v>9.564626169843149E-2</v>
      </c>
    </row>
    <row r="756" spans="1:10" ht="11.25" customHeight="1" x14ac:dyDescent="0.2">
      <c r="A756" s="49">
        <v>44440</v>
      </c>
      <c r="B756" s="64">
        <v>0</v>
      </c>
      <c r="C756" s="64">
        <v>0</v>
      </c>
      <c r="D756" s="64">
        <v>13604.307393599998</v>
      </c>
      <c r="E756" s="64">
        <v>16234.932092252355</v>
      </c>
      <c r="F756" s="64">
        <v>13155.339254399998</v>
      </c>
      <c r="G756" s="64">
        <v>13084.174721999805</v>
      </c>
      <c r="H756" s="40">
        <v>0.19336704343286937</v>
      </c>
      <c r="I756" s="40">
        <v>-5.4095550881663179E-3</v>
      </c>
      <c r="J756" s="40">
        <v>9.5646261698431712E-2</v>
      </c>
    </row>
    <row r="757" spans="1:10" ht="11.25" customHeight="1" x14ac:dyDescent="0.2">
      <c r="A757" s="49">
        <v>44470</v>
      </c>
      <c r="B757" s="64">
        <v>0</v>
      </c>
      <c r="C757" s="64">
        <v>0</v>
      </c>
      <c r="D757" s="64">
        <v>12856.929608599998</v>
      </c>
      <c r="E757" s="64">
        <v>15343.036074639496</v>
      </c>
      <c r="F757" s="64">
        <v>12432.626364399997</v>
      </c>
      <c r="G757" s="64">
        <v>12365.371387191188</v>
      </c>
      <c r="H757" s="40">
        <v>0.19336704343286937</v>
      </c>
      <c r="I757" s="40">
        <v>-5.4095550881662069E-3</v>
      </c>
      <c r="J757" s="40">
        <v>9.564626169843149E-2</v>
      </c>
    </row>
    <row r="758" spans="1:10" ht="11.25" customHeight="1" x14ac:dyDescent="0.2">
      <c r="A758" s="49">
        <v>44501</v>
      </c>
      <c r="B758" s="64">
        <v>0</v>
      </c>
      <c r="C758" s="64">
        <v>0</v>
      </c>
      <c r="D758" s="64">
        <v>12927.1686082</v>
      </c>
      <c r="E758" s="64">
        <v>15426.856981925834</v>
      </c>
      <c r="F758" s="64">
        <v>12500.547342799999</v>
      </c>
      <c r="G758" s="64">
        <v>12432.924943316892</v>
      </c>
      <c r="H758" s="40">
        <v>0.19336704343286937</v>
      </c>
      <c r="I758" s="40">
        <v>-5.4095550881663179E-3</v>
      </c>
      <c r="J758" s="40">
        <v>9.564626169843149E-2</v>
      </c>
    </row>
    <row r="759" spans="1:10" ht="11.25" customHeight="1" x14ac:dyDescent="0.2">
      <c r="A759" s="49">
        <v>44531</v>
      </c>
      <c r="B759" s="64">
        <v>0</v>
      </c>
      <c r="C759" s="64">
        <v>0</v>
      </c>
      <c r="D759" s="64">
        <v>16711.947760199997</v>
      </c>
      <c r="E759" s="64">
        <v>19943.487688594436</v>
      </c>
      <c r="F759" s="64">
        <v>16160.421550799998</v>
      </c>
      <c r="G759" s="64">
        <v>16073.000860172957</v>
      </c>
      <c r="H759" s="40">
        <v>0.19336704343286959</v>
      </c>
      <c r="I759" s="40">
        <v>-5.4095550881662069E-3</v>
      </c>
      <c r="J759" s="40">
        <v>9.564626169843149E-2</v>
      </c>
    </row>
    <row r="760" spans="1:10" ht="11.25" customHeight="1" x14ac:dyDescent="0.2">
      <c r="A760" s="49">
        <v>44562</v>
      </c>
      <c r="B760" s="64">
        <v>0</v>
      </c>
      <c r="C760" s="64">
        <v>0</v>
      </c>
      <c r="D760" s="64">
        <v>17830.837609199996</v>
      </c>
      <c r="E760" s="64">
        <v>21278.733959622612</v>
      </c>
      <c r="F760" s="64">
        <v>17242.385896799999</v>
      </c>
      <c r="G760" s="64">
        <v>17149.112260439837</v>
      </c>
      <c r="H760" s="40">
        <v>0.19336704343286937</v>
      </c>
      <c r="I760" s="40">
        <v>-5.4095550881663179E-3</v>
      </c>
      <c r="J760" s="40">
        <v>9.564626169843149E-2</v>
      </c>
    </row>
    <row r="761" spans="1:10" ht="11.25" customHeight="1" x14ac:dyDescent="0.2">
      <c r="A761" s="49">
        <v>44593</v>
      </c>
      <c r="B761" s="64">
        <v>0</v>
      </c>
      <c r="C761" s="64">
        <v>0</v>
      </c>
      <c r="D761" s="64">
        <v>19341.846831999999</v>
      </c>
      <c r="E761" s="64">
        <v>23081.922568435246</v>
      </c>
      <c r="F761" s="64">
        <v>18703.528928</v>
      </c>
      <c r="G761" s="64">
        <v>18602.351157920872</v>
      </c>
      <c r="H761" s="40">
        <v>0.19336704343286915</v>
      </c>
      <c r="I761" s="40">
        <v>-5.4095550881663179E-3</v>
      </c>
      <c r="J761" s="40">
        <v>9.564626169843149E-2</v>
      </c>
    </row>
    <row r="762" spans="1:10" ht="11.25" customHeight="1" x14ac:dyDescent="0.2">
      <c r="A762" s="49">
        <v>44621</v>
      </c>
      <c r="B762" s="64">
        <v>0</v>
      </c>
      <c r="C762" s="64">
        <v>0</v>
      </c>
      <c r="D762" s="64">
        <v>18968.883548999998</v>
      </c>
      <c r="E762" s="64">
        <v>22636.840478092523</v>
      </c>
      <c r="F762" s="64">
        <v>18342.874145999998</v>
      </c>
      <c r="G762" s="64">
        <v>18243.647357831913</v>
      </c>
      <c r="H762" s="40">
        <v>0.19336704343286937</v>
      </c>
      <c r="I762" s="40">
        <v>-5.4095550881660959E-3</v>
      </c>
      <c r="J762" s="40">
        <v>9.5646261698431712E-2</v>
      </c>
    </row>
    <row r="763" spans="1:10" ht="11.25" customHeight="1" x14ac:dyDescent="0.2">
      <c r="A763" s="49">
        <v>44652</v>
      </c>
      <c r="B763" s="64">
        <v>0</v>
      </c>
      <c r="C763" s="64">
        <v>0</v>
      </c>
      <c r="D763" s="64">
        <v>18573.571493399999</v>
      </c>
      <c r="E763" s="64">
        <v>22165.08809906778</v>
      </c>
      <c r="F763" s="64">
        <v>17960.608143599999</v>
      </c>
      <c r="G763" s="64">
        <v>17863.449244430227</v>
      </c>
      <c r="H763" s="40">
        <v>0.19336704343286937</v>
      </c>
      <c r="I763" s="40">
        <v>-5.4095550881662069E-3</v>
      </c>
      <c r="J763" s="40">
        <v>9.5646261698431712E-2</v>
      </c>
    </row>
    <row r="764" spans="1:10" ht="11.25" customHeight="1" x14ac:dyDescent="0.2">
      <c r="A764" s="49">
        <v>44682</v>
      </c>
      <c r="B764" s="64">
        <v>0</v>
      </c>
      <c r="C764" s="64">
        <v>0</v>
      </c>
      <c r="D764" s="64">
        <v>19005.454267799996</v>
      </c>
      <c r="E764" s="64">
        <v>22680.482768663089</v>
      </c>
      <c r="F764" s="64">
        <v>18378.237961199997</v>
      </c>
      <c r="G764" s="64">
        <v>18278.819870525458</v>
      </c>
      <c r="H764" s="40">
        <v>0.19336704343286937</v>
      </c>
      <c r="I764" s="40">
        <v>-5.4095550881662069E-3</v>
      </c>
      <c r="J764" s="40">
        <v>9.5646261698431712E-2</v>
      </c>
    </row>
    <row r="765" spans="1:10" ht="11.25" customHeight="1" x14ac:dyDescent="0.2">
      <c r="A765" s="42" t="s">
        <v>47</v>
      </c>
      <c r="B765" s="64">
        <v>0</v>
      </c>
      <c r="C765" s="64">
        <v>0</v>
      </c>
      <c r="D765" s="64">
        <v>2071889.9289199999</v>
      </c>
      <c r="E765" s="64">
        <v>2396104.6913598119</v>
      </c>
      <c r="F765" s="64">
        <v>2003567.0953200001</v>
      </c>
      <c r="G765" s="64">
        <v>1931086.1453443686</v>
      </c>
      <c r="H765" s="40">
        <v>0.1564826190399089</v>
      </c>
      <c r="I765" s="40">
        <v>-3.6175953450690468E-2</v>
      </c>
      <c r="J765" s="40">
        <v>6.1768241197715623E-2</v>
      </c>
    </row>
    <row r="766" spans="1:10" ht="11.25" customHeight="1" x14ac:dyDescent="0.2">
      <c r="A766" s="43" t="s">
        <v>23</v>
      </c>
      <c r="B766" s="64">
        <v>0</v>
      </c>
      <c r="C766" s="64">
        <v>0</v>
      </c>
      <c r="D766" s="64">
        <v>2071889.9289199999</v>
      </c>
      <c r="E766" s="64">
        <v>2396104.6913598119</v>
      </c>
      <c r="F766" s="64">
        <v>2003567.0953200001</v>
      </c>
      <c r="G766" s="64">
        <v>1931086.1453443686</v>
      </c>
      <c r="H766" s="40">
        <v>0.1564826190399089</v>
      </c>
      <c r="I766" s="40">
        <v>-3.6175953450690468E-2</v>
      </c>
      <c r="J766" s="40">
        <v>6.1768241197715623E-2</v>
      </c>
    </row>
    <row r="767" spans="1:10" ht="11.25" customHeight="1" x14ac:dyDescent="0.2">
      <c r="A767" s="44" t="s">
        <v>48</v>
      </c>
      <c r="B767" s="64">
        <v>0</v>
      </c>
      <c r="C767" s="64">
        <v>0</v>
      </c>
      <c r="D767" s="64">
        <v>2071889.9289199999</v>
      </c>
      <c r="E767" s="64">
        <v>2396104.6913598119</v>
      </c>
      <c r="F767" s="64">
        <v>2003567.0953200001</v>
      </c>
      <c r="G767" s="64">
        <v>1931086.1453443686</v>
      </c>
      <c r="H767" s="40">
        <v>0.1564826190399089</v>
      </c>
      <c r="I767" s="40">
        <v>-3.6175953450690468E-2</v>
      </c>
      <c r="J767" s="40">
        <v>6.1768241197715623E-2</v>
      </c>
    </row>
    <row r="768" spans="1:10" ht="11.25" customHeight="1" x14ac:dyDescent="0.2">
      <c r="A768" s="45" t="s">
        <v>49</v>
      </c>
      <c r="B768" s="64">
        <v>0</v>
      </c>
      <c r="C768" s="64">
        <v>0</v>
      </c>
      <c r="D768" s="64">
        <v>2071889.9289199999</v>
      </c>
      <c r="E768" s="64">
        <v>2396104.6913598119</v>
      </c>
      <c r="F768" s="64">
        <v>2003567.0953200001</v>
      </c>
      <c r="G768" s="64">
        <v>1931086.1453443686</v>
      </c>
      <c r="H768" s="40">
        <v>0.1564826190399089</v>
      </c>
      <c r="I768" s="40">
        <v>-3.6175953450690468E-2</v>
      </c>
      <c r="J768" s="40">
        <v>6.1768241197715623E-2</v>
      </c>
    </row>
    <row r="769" spans="1:10" ht="11.25" customHeight="1" x14ac:dyDescent="0.2">
      <c r="A769" s="46" t="s">
        <v>25</v>
      </c>
      <c r="B769" s="64">
        <v>0</v>
      </c>
      <c r="C769" s="64">
        <v>0</v>
      </c>
      <c r="D769" s="64">
        <v>2071889.9289199999</v>
      </c>
      <c r="E769" s="64">
        <v>2396104.6913598119</v>
      </c>
      <c r="F769" s="64">
        <v>2003567.0953200001</v>
      </c>
      <c r="G769" s="64">
        <v>1931086.1453443686</v>
      </c>
      <c r="H769" s="40">
        <v>0.1564826190399089</v>
      </c>
      <c r="I769" s="40">
        <v>-3.6175953450690468E-2</v>
      </c>
      <c r="J769" s="40">
        <v>6.1768241197715623E-2</v>
      </c>
    </row>
    <row r="770" spans="1:10" ht="11.25" customHeight="1" x14ac:dyDescent="0.2">
      <c r="A770" s="47" t="s">
        <v>25</v>
      </c>
      <c r="B770" s="64">
        <v>0</v>
      </c>
      <c r="C770" s="64">
        <v>0</v>
      </c>
      <c r="D770" s="64">
        <v>2071889.9289199999</v>
      </c>
      <c r="E770" s="64">
        <v>2396104.6913598119</v>
      </c>
      <c r="F770" s="64">
        <v>2003567.0953200001</v>
      </c>
      <c r="G770" s="64">
        <v>1931086.1453443686</v>
      </c>
      <c r="H770" s="40">
        <v>0.1564826190399089</v>
      </c>
      <c r="I770" s="40">
        <v>-3.6175953450690468E-2</v>
      </c>
      <c r="J770" s="40">
        <v>6.1768241197715623E-2</v>
      </c>
    </row>
    <row r="771" spans="1:10" ht="11.25" customHeight="1" x14ac:dyDescent="0.2">
      <c r="A771" s="48" t="s">
        <v>25</v>
      </c>
      <c r="B771" s="64">
        <v>0</v>
      </c>
      <c r="C771" s="64">
        <v>0</v>
      </c>
      <c r="D771" s="64">
        <v>2071889.9289199999</v>
      </c>
      <c r="E771" s="64">
        <v>2396104.6913598119</v>
      </c>
      <c r="F771" s="64">
        <v>2003567.0953200001</v>
      </c>
      <c r="G771" s="64">
        <v>1931086.1453443686</v>
      </c>
      <c r="H771" s="40">
        <v>0.1564826190399089</v>
      </c>
      <c r="I771" s="40">
        <v>-3.6175953450690468E-2</v>
      </c>
      <c r="J771" s="40">
        <v>6.1768241197715623E-2</v>
      </c>
    </row>
    <row r="772" spans="1:10" ht="11.25" customHeight="1" x14ac:dyDescent="0.2">
      <c r="A772" s="49">
        <v>44348</v>
      </c>
      <c r="B772" s="64">
        <v>0</v>
      </c>
      <c r="C772" s="64">
        <v>0</v>
      </c>
      <c r="D772" s="64">
        <v>168760.32319999998</v>
      </c>
      <c r="E772" s="64">
        <v>195168.38056435747</v>
      </c>
      <c r="F772" s="64">
        <v>163195.2672</v>
      </c>
      <c r="G772" s="64">
        <v>157291.52281039982</v>
      </c>
      <c r="H772" s="40">
        <v>0.1564826190399089</v>
      </c>
      <c r="I772" s="40">
        <v>-3.6175953450690357E-2</v>
      </c>
      <c r="J772" s="40">
        <v>6.1768241197715623E-2</v>
      </c>
    </row>
    <row r="773" spans="1:10" ht="11.25" customHeight="1" x14ac:dyDescent="0.2">
      <c r="A773" s="49">
        <v>44378</v>
      </c>
      <c r="B773" s="64">
        <v>0</v>
      </c>
      <c r="C773" s="64">
        <v>0</v>
      </c>
      <c r="D773" s="64">
        <v>185636.35551999998</v>
      </c>
      <c r="E773" s="64">
        <v>214685.2186207932</v>
      </c>
      <c r="F773" s="64">
        <v>179514.79392</v>
      </c>
      <c r="G773" s="64">
        <v>173020.6750914398</v>
      </c>
      <c r="H773" s="40">
        <v>0.15648261903990868</v>
      </c>
      <c r="I773" s="40">
        <v>-3.6175953450690357E-2</v>
      </c>
      <c r="J773" s="40">
        <v>6.1768241197715623E-2</v>
      </c>
    </row>
    <row r="774" spans="1:10" ht="11.25" customHeight="1" x14ac:dyDescent="0.2">
      <c r="A774" s="49">
        <v>44409</v>
      </c>
      <c r="B774" s="64">
        <v>0</v>
      </c>
      <c r="C774" s="64">
        <v>0</v>
      </c>
      <c r="D774" s="64">
        <v>185636.1857</v>
      </c>
      <c r="E774" s="64">
        <v>214685.02222691485</v>
      </c>
      <c r="F774" s="64">
        <v>179514.62969999999</v>
      </c>
      <c r="G774" s="64">
        <v>173020.51681225488</v>
      </c>
      <c r="H774" s="40">
        <v>0.15648261903990868</v>
      </c>
      <c r="I774" s="40">
        <v>-3.6175953450690357E-2</v>
      </c>
      <c r="J774" s="40">
        <v>6.1768241197715623E-2</v>
      </c>
    </row>
    <row r="775" spans="1:10" ht="11.25" customHeight="1" x14ac:dyDescent="0.2">
      <c r="A775" s="49">
        <v>44440</v>
      </c>
      <c r="B775" s="64">
        <v>0</v>
      </c>
      <c r="C775" s="64">
        <v>0</v>
      </c>
      <c r="D775" s="64">
        <v>174385.61069999999</v>
      </c>
      <c r="E775" s="64">
        <v>201673.92778520993</v>
      </c>
      <c r="F775" s="64">
        <v>168635.05470000001</v>
      </c>
      <c r="G775" s="64">
        <v>162534.52081101818</v>
      </c>
      <c r="H775" s="40">
        <v>0.1564826190399089</v>
      </c>
      <c r="I775" s="40">
        <v>-3.6175953450690357E-2</v>
      </c>
      <c r="J775" s="40">
        <v>6.1768241197715845E-2</v>
      </c>
    </row>
    <row r="776" spans="1:10" ht="11.25" customHeight="1" x14ac:dyDescent="0.2">
      <c r="A776" s="49">
        <v>44470</v>
      </c>
      <c r="B776" s="64">
        <v>0</v>
      </c>
      <c r="C776" s="64">
        <v>0</v>
      </c>
      <c r="D776" s="64">
        <v>174385.61069999999</v>
      </c>
      <c r="E776" s="64">
        <v>201673.92778520993</v>
      </c>
      <c r="F776" s="64">
        <v>168635.05470000001</v>
      </c>
      <c r="G776" s="64">
        <v>162534.52081101818</v>
      </c>
      <c r="H776" s="40">
        <v>0.1564826190399089</v>
      </c>
      <c r="I776" s="40">
        <v>-3.6175953450690357E-2</v>
      </c>
      <c r="J776" s="40">
        <v>6.1768241197715845E-2</v>
      </c>
    </row>
    <row r="777" spans="1:10" ht="11.25" customHeight="1" x14ac:dyDescent="0.2">
      <c r="A777" s="49">
        <v>44501</v>
      </c>
      <c r="B777" s="64">
        <v>0</v>
      </c>
      <c r="C777" s="64">
        <v>0</v>
      </c>
      <c r="D777" s="64">
        <v>168760.32319999998</v>
      </c>
      <c r="E777" s="64">
        <v>195168.38056435747</v>
      </c>
      <c r="F777" s="64">
        <v>163195.2672</v>
      </c>
      <c r="G777" s="64">
        <v>157291.52281039982</v>
      </c>
      <c r="H777" s="40">
        <v>0.1564826190399089</v>
      </c>
      <c r="I777" s="40">
        <v>-3.6175953450690357E-2</v>
      </c>
      <c r="J777" s="40">
        <v>6.1768241197715623E-2</v>
      </c>
    </row>
    <row r="778" spans="1:10" ht="11.25" customHeight="1" x14ac:dyDescent="0.2">
      <c r="A778" s="49">
        <v>44531</v>
      </c>
      <c r="B778" s="64">
        <v>0</v>
      </c>
      <c r="C778" s="64">
        <v>0</v>
      </c>
      <c r="D778" s="64">
        <v>174385.61069999999</v>
      </c>
      <c r="E778" s="64">
        <v>201673.92778520993</v>
      </c>
      <c r="F778" s="64">
        <v>168635.05470000001</v>
      </c>
      <c r="G778" s="64">
        <v>162534.52081101818</v>
      </c>
      <c r="H778" s="40">
        <v>0.1564826190399089</v>
      </c>
      <c r="I778" s="40">
        <v>-3.6175953450690357E-2</v>
      </c>
      <c r="J778" s="40">
        <v>6.1768241197715845E-2</v>
      </c>
    </row>
    <row r="779" spans="1:10" ht="11.25" customHeight="1" x14ac:dyDescent="0.2">
      <c r="A779" s="49">
        <v>44562</v>
      </c>
      <c r="B779" s="64">
        <v>0</v>
      </c>
      <c r="C779" s="64">
        <v>0</v>
      </c>
      <c r="D779" s="64">
        <v>152742.05169999998</v>
      </c>
      <c r="E779" s="64">
        <v>176643.52798754512</v>
      </c>
      <c r="F779" s="64">
        <v>147705.2157</v>
      </c>
      <c r="G779" s="64">
        <v>142361.83869241262</v>
      </c>
      <c r="H779" s="40">
        <v>0.15648261903990868</v>
      </c>
      <c r="I779" s="40">
        <v>-3.6175953450690357E-2</v>
      </c>
      <c r="J779" s="40">
        <v>6.1768241197715401E-2</v>
      </c>
    </row>
    <row r="780" spans="1:10" ht="11.25" customHeight="1" x14ac:dyDescent="0.2">
      <c r="A780" s="49">
        <v>44593</v>
      </c>
      <c r="B780" s="64">
        <v>0</v>
      </c>
      <c r="C780" s="64">
        <v>0</v>
      </c>
      <c r="D780" s="64">
        <v>145777.56367999999</v>
      </c>
      <c r="E780" s="64">
        <v>168589.21864190346</v>
      </c>
      <c r="F780" s="64">
        <v>140970.38928</v>
      </c>
      <c r="G780" s="64">
        <v>135870.65103948102</v>
      </c>
      <c r="H780" s="40">
        <v>0.15648261903990868</v>
      </c>
      <c r="I780" s="40">
        <v>-3.6175953450690357E-2</v>
      </c>
      <c r="J780" s="40">
        <v>6.1768241197715401E-2</v>
      </c>
    </row>
    <row r="781" spans="1:10" ht="11.25" customHeight="1" x14ac:dyDescent="0.2">
      <c r="A781" s="49">
        <v>44621</v>
      </c>
      <c r="B781" s="64">
        <v>0</v>
      </c>
      <c r="C781" s="64">
        <v>0</v>
      </c>
      <c r="D781" s="64">
        <v>170561.94357999999</v>
      </c>
      <c r="E781" s="64">
        <v>197251.92321993556</v>
      </c>
      <c r="F781" s="64">
        <v>164937.47718000002</v>
      </c>
      <c r="G781" s="64">
        <v>158970.70668326202</v>
      </c>
      <c r="H781" s="40">
        <v>0.1564826190399089</v>
      </c>
      <c r="I781" s="40">
        <v>-3.6175953450690468E-2</v>
      </c>
      <c r="J781" s="40">
        <v>6.1768241197715623E-2</v>
      </c>
    </row>
    <row r="782" spans="1:10" ht="11.25" customHeight="1" x14ac:dyDescent="0.2">
      <c r="A782" s="49">
        <v>44652</v>
      </c>
      <c r="B782" s="64">
        <v>0</v>
      </c>
      <c r="C782" s="64">
        <v>0</v>
      </c>
      <c r="D782" s="64">
        <v>177385.14135999998</v>
      </c>
      <c r="E782" s="64">
        <v>205142.83285877723</v>
      </c>
      <c r="F782" s="64">
        <v>171535.67256000001</v>
      </c>
      <c r="G782" s="64">
        <v>165330.2060543366</v>
      </c>
      <c r="H782" s="40">
        <v>0.1564826190399089</v>
      </c>
      <c r="I782" s="40">
        <v>-3.6175953450690246E-2</v>
      </c>
      <c r="J782" s="40">
        <v>6.1768241197715623E-2</v>
      </c>
    </row>
    <row r="783" spans="1:10" ht="11.25" customHeight="1" x14ac:dyDescent="0.2">
      <c r="A783" s="49">
        <v>44682</v>
      </c>
      <c r="B783" s="64">
        <v>0</v>
      </c>
      <c r="C783" s="64">
        <v>0</v>
      </c>
      <c r="D783" s="64">
        <v>193473.20888000002</v>
      </c>
      <c r="E783" s="64">
        <v>223748.40331959774</v>
      </c>
      <c r="F783" s="64">
        <v>187093.21848000001</v>
      </c>
      <c r="G783" s="64">
        <v>180324.94291732772</v>
      </c>
      <c r="H783" s="40">
        <v>0.15648261903990868</v>
      </c>
      <c r="I783" s="40">
        <v>-3.6175953450690246E-2</v>
      </c>
      <c r="J783" s="40">
        <v>6.1768241197715623E-2</v>
      </c>
    </row>
    <row r="784" spans="1:10" ht="11.25" customHeight="1" x14ac:dyDescent="0.2">
      <c r="A784" s="41" t="s">
        <v>53</v>
      </c>
      <c r="B784" s="64">
        <v>8935558.5999999996</v>
      </c>
      <c r="C784" s="64">
        <v>11482474.653601404</v>
      </c>
      <c r="D784" s="64">
        <v>12560887.743214997</v>
      </c>
      <c r="E784" s="64">
        <v>19427067.322261464</v>
      </c>
      <c r="F784" s="64">
        <v>0</v>
      </c>
      <c r="G784" s="64">
        <v>0</v>
      </c>
      <c r="H784" s="40">
        <v>0.43789077889234296</v>
      </c>
      <c r="I784" s="40">
        <v>0</v>
      </c>
      <c r="J784" s="40">
        <v>0.43789077889234296</v>
      </c>
    </row>
    <row r="785" spans="1:10" ht="11.25" customHeight="1" x14ac:dyDescent="0.2">
      <c r="A785" s="42" t="s">
        <v>42</v>
      </c>
      <c r="B785" s="64">
        <v>192584.52000000002</v>
      </c>
      <c r="C785" s="64">
        <v>246029.57792690661</v>
      </c>
      <c r="D785" s="64">
        <v>508219.73499500001</v>
      </c>
      <c r="E785" s="64">
        <v>760547.35544278414</v>
      </c>
      <c r="F785" s="64">
        <v>0</v>
      </c>
      <c r="G785" s="64">
        <v>0</v>
      </c>
      <c r="H785" s="40">
        <v>0.43631681199891159</v>
      </c>
      <c r="I785" s="40">
        <v>0</v>
      </c>
      <c r="J785" s="40">
        <v>0.43631681199891159</v>
      </c>
    </row>
    <row r="786" spans="1:10" ht="11.25" customHeight="1" x14ac:dyDescent="0.2">
      <c r="A786" s="43" t="s">
        <v>34</v>
      </c>
      <c r="B786" s="64">
        <v>192584.52000000002</v>
      </c>
      <c r="C786" s="64">
        <v>246029.57792690661</v>
      </c>
      <c r="D786" s="64">
        <v>508219.73499500001</v>
      </c>
      <c r="E786" s="64">
        <v>760547.35544278414</v>
      </c>
      <c r="F786" s="64">
        <v>0</v>
      </c>
      <c r="G786" s="64">
        <v>0</v>
      </c>
      <c r="H786" s="40">
        <v>0.43631681199891159</v>
      </c>
      <c r="I786" s="40">
        <v>0</v>
      </c>
      <c r="J786" s="40">
        <v>0.43631681199891159</v>
      </c>
    </row>
    <row r="787" spans="1:10" ht="11.25" customHeight="1" x14ac:dyDescent="0.2">
      <c r="A787" s="44" t="s">
        <v>40</v>
      </c>
      <c r="B787" s="64">
        <v>192584.52000000002</v>
      </c>
      <c r="C787" s="64">
        <v>246029.57792690661</v>
      </c>
      <c r="D787" s="64">
        <v>508219.73499500001</v>
      </c>
      <c r="E787" s="64">
        <v>760547.35544278414</v>
      </c>
      <c r="F787" s="64">
        <v>0</v>
      </c>
      <c r="G787" s="64">
        <v>0</v>
      </c>
      <c r="H787" s="40">
        <v>0.43631681199891159</v>
      </c>
      <c r="I787" s="40">
        <v>0</v>
      </c>
      <c r="J787" s="40">
        <v>0.43631681199891159</v>
      </c>
    </row>
    <row r="788" spans="1:10" ht="11.25" customHeight="1" x14ac:dyDescent="0.2">
      <c r="A788" s="45" t="s">
        <v>25</v>
      </c>
      <c r="B788" s="64">
        <v>192584.52000000002</v>
      </c>
      <c r="C788" s="64">
        <v>246029.57792690661</v>
      </c>
      <c r="D788" s="64">
        <v>508219.73499500001</v>
      </c>
      <c r="E788" s="64">
        <v>760547.35544278414</v>
      </c>
      <c r="F788" s="64">
        <v>0</v>
      </c>
      <c r="G788" s="64">
        <v>0</v>
      </c>
      <c r="H788" s="40">
        <v>0.43631681199891159</v>
      </c>
      <c r="I788" s="40">
        <v>0</v>
      </c>
      <c r="J788" s="40">
        <v>0.43631681199891159</v>
      </c>
    </row>
    <row r="789" spans="1:10" ht="11.25" customHeight="1" x14ac:dyDescent="0.2">
      <c r="A789" s="46" t="s">
        <v>54</v>
      </c>
      <c r="B789" s="64">
        <v>192584.52000000002</v>
      </c>
      <c r="C789" s="64">
        <v>246029.57792690661</v>
      </c>
      <c r="D789" s="64">
        <v>508219.73499500001</v>
      </c>
      <c r="E789" s="64">
        <v>760547.35544278414</v>
      </c>
      <c r="F789" s="64">
        <v>0</v>
      </c>
      <c r="G789" s="64">
        <v>0</v>
      </c>
      <c r="H789" s="40">
        <v>0.43631681199891159</v>
      </c>
      <c r="I789" s="40">
        <v>0</v>
      </c>
      <c r="J789" s="40">
        <v>0.43631681199891159</v>
      </c>
    </row>
    <row r="790" spans="1:10" ht="11.25" customHeight="1" x14ac:dyDescent="0.2">
      <c r="A790" s="47" t="s">
        <v>25</v>
      </c>
      <c r="B790" s="64">
        <v>192584.52000000002</v>
      </c>
      <c r="C790" s="64">
        <v>246029.57792690661</v>
      </c>
      <c r="D790" s="64">
        <v>508219.73499500001</v>
      </c>
      <c r="E790" s="64">
        <v>760547.35544278414</v>
      </c>
      <c r="F790" s="64">
        <v>0</v>
      </c>
      <c r="G790" s="64">
        <v>0</v>
      </c>
      <c r="H790" s="40">
        <v>0.43631681199891159</v>
      </c>
      <c r="I790" s="40">
        <v>0</v>
      </c>
      <c r="J790" s="40">
        <v>0.43631681199891159</v>
      </c>
    </row>
    <row r="791" spans="1:10" ht="11.25" customHeight="1" x14ac:dyDescent="0.2">
      <c r="A791" s="48" t="s">
        <v>35</v>
      </c>
      <c r="B791" s="64">
        <v>0</v>
      </c>
      <c r="C791" s="64">
        <v>0</v>
      </c>
      <c r="D791" s="64">
        <v>321809.37236000004</v>
      </c>
      <c r="E791" s="64">
        <v>515072.64423747151</v>
      </c>
      <c r="F791" s="64">
        <v>0</v>
      </c>
      <c r="G791" s="64">
        <v>0</v>
      </c>
      <c r="H791" s="40">
        <v>0.60055203010455749</v>
      </c>
      <c r="I791" s="40">
        <v>0</v>
      </c>
      <c r="J791" s="40">
        <v>0.60055203010455749</v>
      </c>
    </row>
    <row r="792" spans="1:10" ht="11.25" customHeight="1" x14ac:dyDescent="0.2">
      <c r="A792" s="49">
        <v>44348</v>
      </c>
      <c r="B792" s="64">
        <v>0</v>
      </c>
      <c r="C792" s="64">
        <v>0</v>
      </c>
      <c r="D792" s="64">
        <v>26117.388780000005</v>
      </c>
      <c r="E792" s="64">
        <v>41802.239632858997</v>
      </c>
      <c r="F792" s="64">
        <v>0</v>
      </c>
      <c r="G792" s="64">
        <v>0</v>
      </c>
      <c r="H792" s="40">
        <v>0.60055203010455727</v>
      </c>
      <c r="I792" s="40">
        <v>0</v>
      </c>
      <c r="J792" s="40">
        <v>0.60055203010455727</v>
      </c>
    </row>
    <row r="793" spans="1:10" ht="11.25" customHeight="1" x14ac:dyDescent="0.2">
      <c r="A793" s="49">
        <v>44378</v>
      </c>
      <c r="B793" s="64">
        <v>0</v>
      </c>
      <c r="C793" s="64">
        <v>0</v>
      </c>
      <c r="D793" s="64">
        <v>26478.87585</v>
      </c>
      <c r="E793" s="64">
        <v>42380.818496604043</v>
      </c>
      <c r="F793" s="64">
        <v>0</v>
      </c>
      <c r="G793" s="64">
        <v>0</v>
      </c>
      <c r="H793" s="40">
        <v>0.60055203010455749</v>
      </c>
      <c r="I793" s="40">
        <v>0</v>
      </c>
      <c r="J793" s="40">
        <v>0.60055203010455749</v>
      </c>
    </row>
    <row r="794" spans="1:10" ht="11.25" customHeight="1" x14ac:dyDescent="0.2">
      <c r="A794" s="49">
        <v>44409</v>
      </c>
      <c r="B794" s="64">
        <v>0</v>
      </c>
      <c r="C794" s="64">
        <v>0</v>
      </c>
      <c r="D794" s="64">
        <v>23349.872630000002</v>
      </c>
      <c r="E794" s="64">
        <v>37372.686040629349</v>
      </c>
      <c r="F794" s="64">
        <v>0</v>
      </c>
      <c r="G794" s="64">
        <v>0</v>
      </c>
      <c r="H794" s="40">
        <v>0.60055203010455771</v>
      </c>
      <c r="I794" s="40">
        <v>0</v>
      </c>
      <c r="J794" s="40">
        <v>0.60055203010455771</v>
      </c>
    </row>
    <row r="795" spans="1:10" ht="11.25" customHeight="1" x14ac:dyDescent="0.2">
      <c r="A795" s="49">
        <v>44440</v>
      </c>
      <c r="B795" s="64">
        <v>0</v>
      </c>
      <c r="C795" s="64">
        <v>0</v>
      </c>
      <c r="D795" s="64">
        <v>24021.998560000004</v>
      </c>
      <c r="E795" s="64">
        <v>38448.458562376763</v>
      </c>
      <c r="F795" s="64">
        <v>0</v>
      </c>
      <c r="G795" s="64">
        <v>0</v>
      </c>
      <c r="H795" s="40">
        <v>0.60055203010455749</v>
      </c>
      <c r="I795" s="40">
        <v>0</v>
      </c>
      <c r="J795" s="40">
        <v>0.60055203010455749</v>
      </c>
    </row>
    <row r="796" spans="1:10" ht="11.25" customHeight="1" x14ac:dyDescent="0.2">
      <c r="A796" s="49">
        <v>44470</v>
      </c>
      <c r="B796" s="64">
        <v>0</v>
      </c>
      <c r="C796" s="64">
        <v>0</v>
      </c>
      <c r="D796" s="64">
        <v>25881.045190000001</v>
      </c>
      <c r="E796" s="64">
        <v>41423.959420082298</v>
      </c>
      <c r="F796" s="64">
        <v>0</v>
      </c>
      <c r="G796" s="64">
        <v>0</v>
      </c>
      <c r="H796" s="40">
        <v>0.60055203010455771</v>
      </c>
      <c r="I796" s="40">
        <v>0</v>
      </c>
      <c r="J796" s="40">
        <v>0.60055203010455771</v>
      </c>
    </row>
    <row r="797" spans="1:10" ht="11.25" customHeight="1" x14ac:dyDescent="0.2">
      <c r="A797" s="49">
        <v>44501</v>
      </c>
      <c r="B797" s="64">
        <v>0</v>
      </c>
      <c r="C797" s="64">
        <v>0</v>
      </c>
      <c r="D797" s="64">
        <v>21794.042270000002</v>
      </c>
      <c r="E797" s="64">
        <v>34882.498599433042</v>
      </c>
      <c r="F797" s="64">
        <v>0</v>
      </c>
      <c r="G797" s="64">
        <v>0</v>
      </c>
      <c r="H797" s="40">
        <v>0.60055203010455749</v>
      </c>
      <c r="I797" s="40">
        <v>0</v>
      </c>
      <c r="J797" s="40">
        <v>0.60055203010455749</v>
      </c>
    </row>
    <row r="798" spans="1:10" ht="11.25" customHeight="1" x14ac:dyDescent="0.2">
      <c r="A798" s="49">
        <v>44531</v>
      </c>
      <c r="B798" s="64">
        <v>0</v>
      </c>
      <c r="C798" s="64">
        <v>0</v>
      </c>
      <c r="D798" s="64">
        <v>20583.327660000003</v>
      </c>
      <c r="E798" s="64">
        <v>32944.686872520295</v>
      </c>
      <c r="F798" s="64">
        <v>0</v>
      </c>
      <c r="G798" s="64">
        <v>0</v>
      </c>
      <c r="H798" s="40">
        <v>0.60055203010455749</v>
      </c>
      <c r="I798" s="40">
        <v>0</v>
      </c>
      <c r="J798" s="40">
        <v>0.60055203010455749</v>
      </c>
    </row>
    <row r="799" spans="1:10" ht="11.25" customHeight="1" x14ac:dyDescent="0.2">
      <c r="A799" s="49">
        <v>44562</v>
      </c>
      <c r="B799" s="64">
        <v>0</v>
      </c>
      <c r="C799" s="64">
        <v>0</v>
      </c>
      <c r="D799" s="64">
        <v>20977.765480000002</v>
      </c>
      <c r="E799" s="64">
        <v>33576.005126071308</v>
      </c>
      <c r="F799" s="64">
        <v>0</v>
      </c>
      <c r="G799" s="64">
        <v>0</v>
      </c>
      <c r="H799" s="40">
        <v>0.60055203010455749</v>
      </c>
      <c r="I799" s="40">
        <v>0</v>
      </c>
      <c r="J799" s="40">
        <v>0.60055203010455749</v>
      </c>
    </row>
    <row r="800" spans="1:10" ht="11.25" customHeight="1" x14ac:dyDescent="0.2">
      <c r="A800" s="49">
        <v>44593</v>
      </c>
      <c r="B800" s="64">
        <v>0</v>
      </c>
      <c r="C800" s="64">
        <v>0</v>
      </c>
      <c r="D800" s="64">
        <v>21482.016010000003</v>
      </c>
      <c r="E800" s="64">
        <v>34383.08433554411</v>
      </c>
      <c r="F800" s="64">
        <v>0</v>
      </c>
      <c r="G800" s="64">
        <v>0</v>
      </c>
      <c r="H800" s="40">
        <v>0.60055203010455749</v>
      </c>
      <c r="I800" s="40">
        <v>0</v>
      </c>
      <c r="J800" s="40">
        <v>0.60055203010455749</v>
      </c>
    </row>
    <row r="801" spans="1:10" ht="11.25" customHeight="1" x14ac:dyDescent="0.2">
      <c r="A801" s="49">
        <v>44621</v>
      </c>
      <c r="B801" s="64">
        <v>0</v>
      </c>
      <c r="C801" s="64">
        <v>0</v>
      </c>
      <c r="D801" s="64">
        <v>21903.924350000001</v>
      </c>
      <c r="E801" s="64">
        <v>35058.370585649151</v>
      </c>
      <c r="F801" s="64">
        <v>0</v>
      </c>
      <c r="G801" s="64">
        <v>0</v>
      </c>
      <c r="H801" s="40">
        <v>0.60055203010455749</v>
      </c>
      <c r="I801" s="40">
        <v>0</v>
      </c>
      <c r="J801" s="40">
        <v>0.60055203010455749</v>
      </c>
    </row>
    <row r="802" spans="1:10" ht="11.25" customHeight="1" x14ac:dyDescent="0.2">
      <c r="A802" s="49">
        <v>44652</v>
      </c>
      <c r="B802" s="64">
        <v>0</v>
      </c>
      <c r="C802" s="64">
        <v>0</v>
      </c>
      <c r="D802" s="64">
        <v>25490.97768</v>
      </c>
      <c r="E802" s="64">
        <v>40799.63607507397</v>
      </c>
      <c r="F802" s="64">
        <v>0</v>
      </c>
      <c r="G802" s="64">
        <v>0</v>
      </c>
      <c r="H802" s="40">
        <v>0.60055203010455771</v>
      </c>
      <c r="I802" s="40">
        <v>0</v>
      </c>
      <c r="J802" s="40">
        <v>0.60055203010455771</v>
      </c>
    </row>
    <row r="803" spans="1:10" ht="11.25" customHeight="1" x14ac:dyDescent="0.2">
      <c r="A803" s="49">
        <v>44682</v>
      </c>
      <c r="B803" s="64">
        <v>0</v>
      </c>
      <c r="C803" s="64">
        <v>0</v>
      </c>
      <c r="D803" s="64">
        <v>63728.137900000002</v>
      </c>
      <c r="E803" s="64">
        <v>102000.20049062819</v>
      </c>
      <c r="F803" s="64">
        <v>0</v>
      </c>
      <c r="G803" s="64">
        <v>0</v>
      </c>
      <c r="H803" s="40">
        <v>0.60055203010455749</v>
      </c>
      <c r="I803" s="40">
        <v>0</v>
      </c>
      <c r="J803" s="40">
        <v>0.60055203010455749</v>
      </c>
    </row>
    <row r="804" spans="1:10" ht="11.25" customHeight="1" x14ac:dyDescent="0.2">
      <c r="A804" s="48" t="s">
        <v>25</v>
      </c>
      <c r="B804" s="64">
        <v>192584.52000000002</v>
      </c>
      <c r="C804" s="64">
        <v>246029.57792690661</v>
      </c>
      <c r="D804" s="64">
        <v>0</v>
      </c>
      <c r="E804" s="64">
        <v>0</v>
      </c>
      <c r="F804" s="64">
        <v>0</v>
      </c>
      <c r="G804" s="64">
        <v>0</v>
      </c>
      <c r="H804" s="40">
        <v>0.27751481753002061</v>
      </c>
      <c r="I804" s="40">
        <v>0</v>
      </c>
      <c r="J804" s="40">
        <v>0.27751481753002061</v>
      </c>
    </row>
    <row r="805" spans="1:10" ht="11.25" customHeight="1" x14ac:dyDescent="0.2">
      <c r="A805" s="49">
        <v>44348</v>
      </c>
      <c r="B805" s="64">
        <v>15214.5</v>
      </c>
      <c r="C805" s="64">
        <v>19436.7491913105</v>
      </c>
      <c r="D805" s="64">
        <v>0</v>
      </c>
      <c r="E805" s="64">
        <v>0</v>
      </c>
      <c r="F805" s="64">
        <v>0</v>
      </c>
      <c r="G805" s="64">
        <v>0</v>
      </c>
      <c r="H805" s="40">
        <v>0.27751481753002083</v>
      </c>
      <c r="I805" s="40">
        <v>0</v>
      </c>
      <c r="J805" s="40">
        <v>0.27751481753002083</v>
      </c>
    </row>
    <row r="806" spans="1:10" ht="11.25" customHeight="1" x14ac:dyDescent="0.2">
      <c r="A806" s="49">
        <v>44378</v>
      </c>
      <c r="B806" s="64">
        <v>15214.5</v>
      </c>
      <c r="C806" s="64">
        <v>19436.7491913105</v>
      </c>
      <c r="D806" s="64">
        <v>0</v>
      </c>
      <c r="E806" s="64">
        <v>0</v>
      </c>
      <c r="F806" s="64">
        <v>0</v>
      </c>
      <c r="G806" s="64">
        <v>0</v>
      </c>
      <c r="H806" s="40">
        <v>0.27751481753002083</v>
      </c>
      <c r="I806" s="40">
        <v>0</v>
      </c>
      <c r="J806" s="40">
        <v>0.27751481753002083</v>
      </c>
    </row>
    <row r="807" spans="1:10" ht="11.25" customHeight="1" x14ac:dyDescent="0.2">
      <c r="A807" s="49">
        <v>44409</v>
      </c>
      <c r="B807" s="64">
        <v>15214.5</v>
      </c>
      <c r="C807" s="64">
        <v>19436.7491913105</v>
      </c>
      <c r="D807" s="64">
        <v>0</v>
      </c>
      <c r="E807" s="64">
        <v>0</v>
      </c>
      <c r="F807" s="64">
        <v>0</v>
      </c>
      <c r="G807" s="64">
        <v>0</v>
      </c>
      <c r="H807" s="40">
        <v>0.27751481753002083</v>
      </c>
      <c r="I807" s="40">
        <v>0</v>
      </c>
      <c r="J807" s="40">
        <v>0.27751481753002083</v>
      </c>
    </row>
    <row r="808" spans="1:10" ht="11.25" customHeight="1" x14ac:dyDescent="0.2">
      <c r="A808" s="49">
        <v>44440</v>
      </c>
      <c r="B808" s="64">
        <v>15289.02</v>
      </c>
      <c r="C808" s="64">
        <v>19531.94959551284</v>
      </c>
      <c r="D808" s="64">
        <v>0</v>
      </c>
      <c r="E808" s="64">
        <v>0</v>
      </c>
      <c r="F808" s="64">
        <v>0</v>
      </c>
      <c r="G808" s="64">
        <v>0</v>
      </c>
      <c r="H808" s="40">
        <v>0.27751481753002083</v>
      </c>
      <c r="I808" s="40">
        <v>0</v>
      </c>
      <c r="J808" s="40">
        <v>0.27751481753002083</v>
      </c>
    </row>
    <row r="809" spans="1:10" ht="11.25" customHeight="1" x14ac:dyDescent="0.2">
      <c r="A809" s="49">
        <v>44470</v>
      </c>
      <c r="B809" s="64">
        <v>15214.5</v>
      </c>
      <c r="C809" s="64">
        <v>19436.7491913105</v>
      </c>
      <c r="D809" s="64">
        <v>0</v>
      </c>
      <c r="E809" s="64">
        <v>0</v>
      </c>
      <c r="F809" s="64">
        <v>0</v>
      </c>
      <c r="G809" s="64">
        <v>0</v>
      </c>
      <c r="H809" s="40">
        <v>0.27751481753002083</v>
      </c>
      <c r="I809" s="40">
        <v>0</v>
      </c>
      <c r="J809" s="40">
        <v>0.27751481753002083</v>
      </c>
    </row>
    <row r="810" spans="1:10" ht="11.25" customHeight="1" x14ac:dyDescent="0.2">
      <c r="A810" s="49">
        <v>44501</v>
      </c>
      <c r="B810" s="64">
        <v>15214.5</v>
      </c>
      <c r="C810" s="64">
        <v>19436.7491913105</v>
      </c>
      <c r="D810" s="64">
        <v>0</v>
      </c>
      <c r="E810" s="64">
        <v>0</v>
      </c>
      <c r="F810" s="64">
        <v>0</v>
      </c>
      <c r="G810" s="64">
        <v>0</v>
      </c>
      <c r="H810" s="40">
        <v>0.27751481753002083</v>
      </c>
      <c r="I810" s="40">
        <v>0</v>
      </c>
      <c r="J810" s="40">
        <v>0.27751481753002083</v>
      </c>
    </row>
    <row r="811" spans="1:10" ht="11.25" customHeight="1" x14ac:dyDescent="0.2">
      <c r="A811" s="49">
        <v>44531</v>
      </c>
      <c r="B811" s="64">
        <v>15214.5</v>
      </c>
      <c r="C811" s="64">
        <v>19436.7491913105</v>
      </c>
      <c r="D811" s="64">
        <v>0</v>
      </c>
      <c r="E811" s="64">
        <v>0</v>
      </c>
      <c r="F811" s="64">
        <v>0</v>
      </c>
      <c r="G811" s="64">
        <v>0</v>
      </c>
      <c r="H811" s="40">
        <v>0.27751481753002083</v>
      </c>
      <c r="I811" s="40">
        <v>0</v>
      </c>
      <c r="J811" s="40">
        <v>0.27751481753002083</v>
      </c>
    </row>
    <row r="812" spans="1:10" ht="11.25" customHeight="1" x14ac:dyDescent="0.2">
      <c r="A812" s="49">
        <v>44562</v>
      </c>
      <c r="B812" s="64">
        <v>15214.5</v>
      </c>
      <c r="C812" s="64">
        <v>19436.7491913105</v>
      </c>
      <c r="D812" s="64">
        <v>0</v>
      </c>
      <c r="E812" s="64">
        <v>0</v>
      </c>
      <c r="F812" s="64">
        <v>0</v>
      </c>
      <c r="G812" s="64">
        <v>0</v>
      </c>
      <c r="H812" s="40">
        <v>0.27751481753002083</v>
      </c>
      <c r="I812" s="40">
        <v>0</v>
      </c>
      <c r="J812" s="40">
        <v>0.27751481753002083</v>
      </c>
    </row>
    <row r="813" spans="1:10" ht="11.25" customHeight="1" x14ac:dyDescent="0.2">
      <c r="A813" s="49">
        <v>44593</v>
      </c>
      <c r="B813" s="64">
        <v>15214.5</v>
      </c>
      <c r="C813" s="64">
        <v>19436.7491913105</v>
      </c>
      <c r="D813" s="64">
        <v>0</v>
      </c>
      <c r="E813" s="64">
        <v>0</v>
      </c>
      <c r="F813" s="64">
        <v>0</v>
      </c>
      <c r="G813" s="64">
        <v>0</v>
      </c>
      <c r="H813" s="40">
        <v>0.27751481753002083</v>
      </c>
      <c r="I813" s="40">
        <v>0</v>
      </c>
      <c r="J813" s="40">
        <v>0.27751481753002083</v>
      </c>
    </row>
    <row r="814" spans="1:10" ht="11.25" customHeight="1" x14ac:dyDescent="0.2">
      <c r="A814" s="49">
        <v>44621</v>
      </c>
      <c r="B814" s="64">
        <v>15214.5</v>
      </c>
      <c r="C814" s="64">
        <v>19436.7491913105</v>
      </c>
      <c r="D814" s="64">
        <v>0</v>
      </c>
      <c r="E814" s="64">
        <v>0</v>
      </c>
      <c r="F814" s="64">
        <v>0</v>
      </c>
      <c r="G814" s="64">
        <v>0</v>
      </c>
      <c r="H814" s="40">
        <v>0.27751481753002083</v>
      </c>
      <c r="I814" s="40">
        <v>0</v>
      </c>
      <c r="J814" s="40">
        <v>0.27751481753002083</v>
      </c>
    </row>
    <row r="815" spans="1:10" ht="11.25" customHeight="1" x14ac:dyDescent="0.2">
      <c r="A815" s="49">
        <v>44652</v>
      </c>
      <c r="B815" s="64">
        <v>15438.06</v>
      </c>
      <c r="C815" s="64">
        <v>19722.350403917513</v>
      </c>
      <c r="D815" s="64">
        <v>0</v>
      </c>
      <c r="E815" s="64">
        <v>0</v>
      </c>
      <c r="F815" s="64">
        <v>0</v>
      </c>
      <c r="G815" s="64">
        <v>0</v>
      </c>
      <c r="H815" s="40">
        <v>0.27751481753002083</v>
      </c>
      <c r="I815" s="40">
        <v>0</v>
      </c>
      <c r="J815" s="40">
        <v>0.27751481753002083</v>
      </c>
    </row>
    <row r="816" spans="1:10" ht="11.25" customHeight="1" x14ac:dyDescent="0.2">
      <c r="A816" s="49">
        <v>44682</v>
      </c>
      <c r="B816" s="64">
        <v>24926.94</v>
      </c>
      <c r="C816" s="64">
        <v>31844.535205681776</v>
      </c>
      <c r="D816" s="64">
        <v>0</v>
      </c>
      <c r="E816" s="64">
        <v>0</v>
      </c>
      <c r="F816" s="64">
        <v>0</v>
      </c>
      <c r="G816" s="64">
        <v>0</v>
      </c>
      <c r="H816" s="40">
        <v>0.27751481753002083</v>
      </c>
      <c r="I816" s="40">
        <v>0</v>
      </c>
      <c r="J816" s="40">
        <v>0.27751481753002083</v>
      </c>
    </row>
    <row r="817" spans="1:10" ht="11.25" customHeight="1" x14ac:dyDescent="0.2">
      <c r="A817" s="48" t="s">
        <v>37</v>
      </c>
      <c r="B817" s="64">
        <v>0</v>
      </c>
      <c r="C817" s="64">
        <v>0</v>
      </c>
      <c r="D817" s="64">
        <v>186410.36263499997</v>
      </c>
      <c r="E817" s="64">
        <v>245474.71120531281</v>
      </c>
      <c r="F817" s="64">
        <v>0</v>
      </c>
      <c r="G817" s="64">
        <v>0</v>
      </c>
      <c r="H817" s="40">
        <v>0.31685120792326082</v>
      </c>
      <c r="I817" s="40">
        <v>0</v>
      </c>
      <c r="J817" s="40">
        <v>0.31685120792326082</v>
      </c>
    </row>
    <row r="818" spans="1:10" ht="11.25" customHeight="1" x14ac:dyDescent="0.2">
      <c r="A818" s="49">
        <v>44348</v>
      </c>
      <c r="B818" s="64">
        <v>0</v>
      </c>
      <c r="C818" s="64">
        <v>0</v>
      </c>
      <c r="D818" s="64">
        <v>17957.206889999998</v>
      </c>
      <c r="E818" s="64">
        <v>23646.969584024399</v>
      </c>
      <c r="F818" s="64">
        <v>0</v>
      </c>
      <c r="G818" s="64">
        <v>0</v>
      </c>
      <c r="H818" s="40">
        <v>0.31685120792326082</v>
      </c>
      <c r="I818" s="40">
        <v>0</v>
      </c>
      <c r="J818" s="40">
        <v>0.31685120792326082</v>
      </c>
    </row>
    <row r="819" spans="1:10" ht="11.25" customHeight="1" x14ac:dyDescent="0.2">
      <c r="A819" s="49">
        <v>44378</v>
      </c>
      <c r="B819" s="64">
        <v>0</v>
      </c>
      <c r="C819" s="64">
        <v>0</v>
      </c>
      <c r="D819" s="64">
        <v>15970.1976</v>
      </c>
      <c r="E819" s="64">
        <v>21030.374000333162</v>
      </c>
      <c r="F819" s="64">
        <v>0</v>
      </c>
      <c r="G819" s="64">
        <v>0</v>
      </c>
      <c r="H819" s="40">
        <v>0.31685120792326105</v>
      </c>
      <c r="I819" s="40">
        <v>0</v>
      </c>
      <c r="J819" s="40">
        <v>0.31685120792326105</v>
      </c>
    </row>
    <row r="820" spans="1:10" ht="11.25" customHeight="1" x14ac:dyDescent="0.2">
      <c r="A820" s="49">
        <v>44409</v>
      </c>
      <c r="B820" s="64">
        <v>0</v>
      </c>
      <c r="C820" s="64">
        <v>0</v>
      </c>
      <c r="D820" s="64">
        <v>3952.5396749999995</v>
      </c>
      <c r="E820" s="64">
        <v>5204.9066453883624</v>
      </c>
      <c r="F820" s="64">
        <v>0</v>
      </c>
      <c r="G820" s="64">
        <v>0</v>
      </c>
      <c r="H820" s="40">
        <v>0.31685120792326082</v>
      </c>
      <c r="I820" s="40">
        <v>0</v>
      </c>
      <c r="J820" s="40">
        <v>0.31685120792326082</v>
      </c>
    </row>
    <row r="821" spans="1:10" ht="11.25" customHeight="1" x14ac:dyDescent="0.2">
      <c r="A821" s="49">
        <v>44440</v>
      </c>
      <c r="B821" s="64">
        <v>0</v>
      </c>
      <c r="C821" s="64">
        <v>0</v>
      </c>
      <c r="D821" s="64">
        <v>3679.2100799999998</v>
      </c>
      <c r="E821" s="64">
        <v>4844.9722380514377</v>
      </c>
      <c r="F821" s="64">
        <v>0</v>
      </c>
      <c r="G821" s="64">
        <v>0</v>
      </c>
      <c r="H821" s="40">
        <v>0.31685120792326105</v>
      </c>
      <c r="I821" s="40">
        <v>0</v>
      </c>
      <c r="J821" s="40">
        <v>0.31685120792326105</v>
      </c>
    </row>
    <row r="822" spans="1:10" ht="11.25" customHeight="1" x14ac:dyDescent="0.2">
      <c r="A822" s="49">
        <v>44470</v>
      </c>
      <c r="B822" s="64">
        <v>0</v>
      </c>
      <c r="C822" s="64">
        <v>0</v>
      </c>
      <c r="D822" s="64">
        <v>16328.600504999999</v>
      </c>
      <c r="E822" s="64">
        <v>21502.337298705617</v>
      </c>
      <c r="F822" s="64">
        <v>0</v>
      </c>
      <c r="G822" s="64">
        <v>0</v>
      </c>
      <c r="H822" s="40">
        <v>0.31685120792326105</v>
      </c>
      <c r="I822" s="40">
        <v>0</v>
      </c>
      <c r="J822" s="40">
        <v>0.31685120792326105</v>
      </c>
    </row>
    <row r="823" spans="1:10" ht="11.25" customHeight="1" x14ac:dyDescent="0.2">
      <c r="A823" s="49">
        <v>44501</v>
      </c>
      <c r="B823" s="64">
        <v>0</v>
      </c>
      <c r="C823" s="64">
        <v>0</v>
      </c>
      <c r="D823" s="64">
        <v>14750.111565000001</v>
      </c>
      <c r="E823" s="64">
        <v>19423.70223137311</v>
      </c>
      <c r="F823" s="64">
        <v>0</v>
      </c>
      <c r="G823" s="64">
        <v>0</v>
      </c>
      <c r="H823" s="40">
        <v>0.31685120792326082</v>
      </c>
      <c r="I823" s="40">
        <v>0</v>
      </c>
      <c r="J823" s="40">
        <v>0.31685120792326082</v>
      </c>
    </row>
    <row r="824" spans="1:10" ht="11.25" customHeight="1" x14ac:dyDescent="0.2">
      <c r="A824" s="49">
        <v>44531</v>
      </c>
      <c r="B824" s="64">
        <v>0</v>
      </c>
      <c r="C824" s="64">
        <v>0</v>
      </c>
      <c r="D824" s="64">
        <v>13964.236334999998</v>
      </c>
      <c r="E824" s="64">
        <v>18388.821485470635</v>
      </c>
      <c r="F824" s="64">
        <v>0</v>
      </c>
      <c r="G824" s="64">
        <v>0</v>
      </c>
      <c r="H824" s="40">
        <v>0.31685120792326082</v>
      </c>
      <c r="I824" s="40">
        <v>0</v>
      </c>
      <c r="J824" s="40">
        <v>0.31685120792326082</v>
      </c>
    </row>
    <row r="825" spans="1:10" ht="11.25" customHeight="1" x14ac:dyDescent="0.2">
      <c r="A825" s="49">
        <v>44562</v>
      </c>
      <c r="B825" s="64">
        <v>0</v>
      </c>
      <c r="C825" s="64">
        <v>0</v>
      </c>
      <c r="D825" s="64">
        <v>14527.32057</v>
      </c>
      <c r="E825" s="64">
        <v>19130.319640492933</v>
      </c>
      <c r="F825" s="64">
        <v>0</v>
      </c>
      <c r="G825" s="64">
        <v>0</v>
      </c>
      <c r="H825" s="40">
        <v>0.31685120792326082</v>
      </c>
      <c r="I825" s="40">
        <v>0</v>
      </c>
      <c r="J825" s="40">
        <v>0.31685120792326082</v>
      </c>
    </row>
    <row r="826" spans="1:10" ht="11.25" customHeight="1" x14ac:dyDescent="0.2">
      <c r="A826" s="49">
        <v>44593</v>
      </c>
      <c r="B826" s="64">
        <v>0</v>
      </c>
      <c r="C826" s="64">
        <v>0</v>
      </c>
      <c r="D826" s="64">
        <v>12925.246949999999</v>
      </c>
      <c r="E826" s="64">
        <v>17020.627058813941</v>
      </c>
      <c r="F826" s="64">
        <v>0</v>
      </c>
      <c r="G826" s="64">
        <v>0</v>
      </c>
      <c r="H826" s="40">
        <v>0.31685120792326082</v>
      </c>
      <c r="I826" s="40">
        <v>0</v>
      </c>
      <c r="J826" s="40">
        <v>0.31685120792326082</v>
      </c>
    </row>
    <row r="827" spans="1:10" ht="11.25" customHeight="1" x14ac:dyDescent="0.2">
      <c r="A827" s="49">
        <v>44621</v>
      </c>
      <c r="B827" s="64">
        <v>0</v>
      </c>
      <c r="C827" s="64">
        <v>0</v>
      </c>
      <c r="D827" s="64">
        <v>15860.276144999998</v>
      </c>
      <c r="E827" s="64">
        <v>20885.623799539728</v>
      </c>
      <c r="F827" s="64">
        <v>0</v>
      </c>
      <c r="G827" s="64">
        <v>0</v>
      </c>
      <c r="H827" s="40">
        <v>0.31685120792326082</v>
      </c>
      <c r="I827" s="40">
        <v>0</v>
      </c>
      <c r="J827" s="40">
        <v>0.31685120792326082</v>
      </c>
    </row>
    <row r="828" spans="1:10" ht="11.25" customHeight="1" x14ac:dyDescent="0.2">
      <c r="A828" s="49">
        <v>44652</v>
      </c>
      <c r="B828" s="64">
        <v>0</v>
      </c>
      <c r="C828" s="64">
        <v>0</v>
      </c>
      <c r="D828" s="64">
        <v>18754.453304999999</v>
      </c>
      <c r="E828" s="64">
        <v>24696.824488629638</v>
      </c>
      <c r="F828" s="64">
        <v>0</v>
      </c>
      <c r="G828" s="64">
        <v>0</v>
      </c>
      <c r="H828" s="40">
        <v>0.31685120792326082</v>
      </c>
      <c r="I828" s="40">
        <v>0</v>
      </c>
      <c r="J828" s="40">
        <v>0.31685120792326082</v>
      </c>
    </row>
    <row r="829" spans="1:10" ht="11.25" customHeight="1" x14ac:dyDescent="0.2">
      <c r="A829" s="49">
        <v>44682</v>
      </c>
      <c r="B829" s="64">
        <v>0</v>
      </c>
      <c r="C829" s="64">
        <v>0</v>
      </c>
      <c r="D829" s="64">
        <v>37740.963014999994</v>
      </c>
      <c r="E829" s="64">
        <v>49699.232734489859</v>
      </c>
      <c r="F829" s="64">
        <v>0</v>
      </c>
      <c r="G829" s="64">
        <v>0</v>
      </c>
      <c r="H829" s="40">
        <v>0.31685120792326105</v>
      </c>
      <c r="I829" s="40">
        <v>0</v>
      </c>
      <c r="J829" s="40">
        <v>0.31685120792326105</v>
      </c>
    </row>
    <row r="830" spans="1:10" ht="11.25" customHeight="1" x14ac:dyDescent="0.2">
      <c r="A830" s="42" t="s">
        <v>33</v>
      </c>
      <c r="B830" s="64">
        <v>8742974.0800000001</v>
      </c>
      <c r="C830" s="64">
        <v>11236445.075674497</v>
      </c>
      <c r="D830" s="64">
        <v>12052668.008219996</v>
      </c>
      <c r="E830" s="64">
        <v>18666519.966818675</v>
      </c>
      <c r="F830" s="64">
        <v>0</v>
      </c>
      <c r="G830" s="64">
        <v>0</v>
      </c>
      <c r="H830" s="40">
        <v>0.43794382090429207</v>
      </c>
      <c r="I830" s="40">
        <v>0</v>
      </c>
      <c r="J830" s="40">
        <v>0.43794382090429207</v>
      </c>
    </row>
    <row r="831" spans="1:10" ht="11.25" customHeight="1" x14ac:dyDescent="0.2">
      <c r="A831" s="43" t="s">
        <v>41</v>
      </c>
      <c r="B831" s="64">
        <v>7377308.1399999997</v>
      </c>
      <c r="C831" s="64">
        <v>9491786.6015284229</v>
      </c>
      <c r="D831" s="64">
        <v>6864750.3125600005</v>
      </c>
      <c r="E831" s="64">
        <v>10987390.048928807</v>
      </c>
      <c r="F831" s="64">
        <v>0</v>
      </c>
      <c r="G831" s="64">
        <v>0</v>
      </c>
      <c r="H831" s="40">
        <v>0.43793656785449531</v>
      </c>
      <c r="I831" s="40">
        <v>0</v>
      </c>
      <c r="J831" s="40">
        <v>0.43793656785449531</v>
      </c>
    </row>
    <row r="832" spans="1:10" ht="11.25" customHeight="1" x14ac:dyDescent="0.2">
      <c r="A832" s="44" t="s">
        <v>43</v>
      </c>
      <c r="B832" s="64">
        <v>2529258.06</v>
      </c>
      <c r="C832" s="64">
        <v>3254162.6264360785</v>
      </c>
      <c r="D832" s="64">
        <v>2189144.8155499995</v>
      </c>
      <c r="E832" s="64">
        <v>3503840.1787214191</v>
      </c>
      <c r="F832" s="64">
        <v>0</v>
      </c>
      <c r="G832" s="64">
        <v>0</v>
      </c>
      <c r="H832" s="40">
        <v>0.43226489628013209</v>
      </c>
      <c r="I832" s="40">
        <v>0</v>
      </c>
      <c r="J832" s="40">
        <v>0.43226489628013209</v>
      </c>
    </row>
    <row r="833" spans="1:10" ht="11.25" customHeight="1" x14ac:dyDescent="0.2">
      <c r="A833" s="45" t="s">
        <v>25</v>
      </c>
      <c r="B833" s="64">
        <v>2529258.06</v>
      </c>
      <c r="C833" s="64">
        <v>3254162.6264360785</v>
      </c>
      <c r="D833" s="64">
        <v>2189144.8155499995</v>
      </c>
      <c r="E833" s="64">
        <v>3503840.1787214191</v>
      </c>
      <c r="F833" s="64">
        <v>0</v>
      </c>
      <c r="G833" s="64">
        <v>0</v>
      </c>
      <c r="H833" s="40">
        <v>0.43226489628013209</v>
      </c>
      <c r="I833" s="40">
        <v>0</v>
      </c>
      <c r="J833" s="40">
        <v>0.43226489628013209</v>
      </c>
    </row>
    <row r="834" spans="1:10" ht="11.25" customHeight="1" x14ac:dyDescent="0.2">
      <c r="A834" s="46" t="s">
        <v>25</v>
      </c>
      <c r="B834" s="64">
        <v>2529258.06</v>
      </c>
      <c r="C834" s="64">
        <v>3254162.6264360785</v>
      </c>
      <c r="D834" s="64">
        <v>2189144.8155499995</v>
      </c>
      <c r="E834" s="64">
        <v>3503840.1787214191</v>
      </c>
      <c r="F834" s="64">
        <v>0</v>
      </c>
      <c r="G834" s="64">
        <v>0</v>
      </c>
      <c r="H834" s="40">
        <v>0.43226489628013209</v>
      </c>
      <c r="I834" s="40">
        <v>0</v>
      </c>
      <c r="J834" s="40">
        <v>0.43226489628013209</v>
      </c>
    </row>
    <row r="835" spans="1:10" ht="11.25" customHeight="1" x14ac:dyDescent="0.2">
      <c r="A835" s="47" t="s">
        <v>25</v>
      </c>
      <c r="B835" s="64">
        <v>2529258.06</v>
      </c>
      <c r="C835" s="64">
        <v>3254162.6264360785</v>
      </c>
      <c r="D835" s="64">
        <v>2189144.8155499995</v>
      </c>
      <c r="E835" s="64">
        <v>3503840.1787214191</v>
      </c>
      <c r="F835" s="64">
        <v>0</v>
      </c>
      <c r="G835" s="64">
        <v>0</v>
      </c>
      <c r="H835" s="40">
        <v>0.43226489628013209</v>
      </c>
      <c r="I835" s="40">
        <v>0</v>
      </c>
      <c r="J835" s="40">
        <v>0.43226489628013209</v>
      </c>
    </row>
    <row r="836" spans="1:10" ht="11.25" customHeight="1" x14ac:dyDescent="0.2">
      <c r="A836" s="48" t="s">
        <v>35</v>
      </c>
      <c r="B836" s="64">
        <v>742629.06</v>
      </c>
      <c r="C836" s="64">
        <v>948719.62807839073</v>
      </c>
      <c r="D836" s="64">
        <v>2001384.5050499998</v>
      </c>
      <c r="E836" s="64">
        <v>3203320.0325775826</v>
      </c>
      <c r="F836" s="64">
        <v>0</v>
      </c>
      <c r="G836" s="64">
        <v>0</v>
      </c>
      <c r="H836" s="40">
        <v>0.51312650693121387</v>
      </c>
      <c r="I836" s="40">
        <v>0</v>
      </c>
      <c r="J836" s="40">
        <v>0.51312650693121387</v>
      </c>
    </row>
    <row r="837" spans="1:10" ht="11.25" customHeight="1" x14ac:dyDescent="0.2">
      <c r="A837" s="49">
        <v>44348</v>
      </c>
      <c r="B837" s="64">
        <v>61479</v>
      </c>
      <c r="C837" s="64">
        <v>78540.333466928147</v>
      </c>
      <c r="D837" s="64">
        <v>168989.4822</v>
      </c>
      <c r="E837" s="64">
        <v>270476.45880152803</v>
      </c>
      <c r="F837" s="64">
        <v>0</v>
      </c>
      <c r="G837" s="64">
        <v>0</v>
      </c>
      <c r="H837" s="40">
        <v>0.51437970579239667</v>
      </c>
      <c r="I837" s="40">
        <v>0</v>
      </c>
      <c r="J837" s="40">
        <v>0.51437970579239667</v>
      </c>
    </row>
    <row r="838" spans="1:10" ht="11.25" customHeight="1" x14ac:dyDescent="0.2">
      <c r="A838" s="49">
        <v>44378</v>
      </c>
      <c r="B838" s="64">
        <v>61479</v>
      </c>
      <c r="C838" s="64">
        <v>78540.333466928147</v>
      </c>
      <c r="D838" s="64">
        <v>146926.76992000002</v>
      </c>
      <c r="E838" s="64">
        <v>235163.93987216125</v>
      </c>
      <c r="F838" s="64">
        <v>0</v>
      </c>
      <c r="G838" s="64">
        <v>0</v>
      </c>
      <c r="H838" s="40">
        <v>0.50525714071884842</v>
      </c>
      <c r="I838" s="40">
        <v>0</v>
      </c>
      <c r="J838" s="40">
        <v>0.50525714071884842</v>
      </c>
    </row>
    <row r="839" spans="1:10" ht="11.25" customHeight="1" x14ac:dyDescent="0.2">
      <c r="A839" s="49">
        <v>44409</v>
      </c>
      <c r="B839" s="64">
        <v>61479</v>
      </c>
      <c r="C839" s="64">
        <v>78540.333466928147</v>
      </c>
      <c r="D839" s="64">
        <v>148733.71968000001</v>
      </c>
      <c r="E839" s="64">
        <v>238056.05697882618</v>
      </c>
      <c r="F839" s="64">
        <v>0</v>
      </c>
      <c r="G839" s="64">
        <v>0</v>
      </c>
      <c r="H839" s="40">
        <v>0.50607627800876531</v>
      </c>
      <c r="I839" s="40">
        <v>0</v>
      </c>
      <c r="J839" s="40">
        <v>0.50607627800876531</v>
      </c>
    </row>
    <row r="840" spans="1:10" ht="11.25" customHeight="1" x14ac:dyDescent="0.2">
      <c r="A840" s="49">
        <v>44440</v>
      </c>
      <c r="B840" s="64">
        <v>61479</v>
      </c>
      <c r="C840" s="64">
        <v>78540.333466928147</v>
      </c>
      <c r="D840" s="64">
        <v>174853.18956000003</v>
      </c>
      <c r="E840" s="64">
        <v>279861.62752051506</v>
      </c>
      <c r="F840" s="64">
        <v>0</v>
      </c>
      <c r="G840" s="64">
        <v>0</v>
      </c>
      <c r="H840" s="40">
        <v>0.51651775263755217</v>
      </c>
      <c r="I840" s="40">
        <v>0</v>
      </c>
      <c r="J840" s="40">
        <v>0.51651775263755217</v>
      </c>
    </row>
    <row r="841" spans="1:10" ht="11.25" customHeight="1" x14ac:dyDescent="0.2">
      <c r="A841" s="49">
        <v>44470</v>
      </c>
      <c r="B841" s="64">
        <v>62994.239999999998</v>
      </c>
      <c r="C841" s="64">
        <v>80476.075019042342</v>
      </c>
      <c r="D841" s="64">
        <v>173104.30249</v>
      </c>
      <c r="E841" s="64">
        <v>277062.44277020294</v>
      </c>
      <c r="F841" s="64">
        <v>0</v>
      </c>
      <c r="G841" s="64">
        <v>0</v>
      </c>
      <c r="H841" s="40">
        <v>0.51436139341855069</v>
      </c>
      <c r="I841" s="40">
        <v>0</v>
      </c>
      <c r="J841" s="40">
        <v>0.51436139341855069</v>
      </c>
    </row>
    <row r="842" spans="1:10" ht="11.25" customHeight="1" x14ac:dyDescent="0.2">
      <c r="A842" s="49">
        <v>44501</v>
      </c>
      <c r="B842" s="64">
        <v>61590.78</v>
      </c>
      <c r="C842" s="64">
        <v>78683.13407323166</v>
      </c>
      <c r="D842" s="64">
        <v>188995.16587000003</v>
      </c>
      <c r="E842" s="64">
        <v>302496.5964131761</v>
      </c>
      <c r="F842" s="64">
        <v>0</v>
      </c>
      <c r="G842" s="64">
        <v>0</v>
      </c>
      <c r="H842" s="40">
        <v>0.52115366711011668</v>
      </c>
      <c r="I842" s="40">
        <v>0</v>
      </c>
      <c r="J842" s="40">
        <v>0.52115366711011668</v>
      </c>
    </row>
    <row r="843" spans="1:10" ht="11.25" customHeight="1" x14ac:dyDescent="0.2">
      <c r="A843" s="49">
        <v>44531</v>
      </c>
      <c r="B843" s="64">
        <v>64174.14</v>
      </c>
      <c r="C843" s="64">
        <v>81983.414752246012</v>
      </c>
      <c r="D843" s="64">
        <v>174931.85514000003</v>
      </c>
      <c r="E843" s="64">
        <v>279987.53587428341</v>
      </c>
      <c r="F843" s="64">
        <v>0</v>
      </c>
      <c r="G843" s="64">
        <v>0</v>
      </c>
      <c r="H843" s="40">
        <v>0.51385142147770146</v>
      </c>
      <c r="I843" s="40">
        <v>0</v>
      </c>
      <c r="J843" s="40">
        <v>0.51385142147770146</v>
      </c>
    </row>
    <row r="844" spans="1:10" ht="11.25" customHeight="1" x14ac:dyDescent="0.2">
      <c r="A844" s="49">
        <v>44562</v>
      </c>
      <c r="B844" s="64">
        <v>61491.42</v>
      </c>
      <c r="C844" s="64">
        <v>78556.200200961874</v>
      </c>
      <c r="D844" s="64">
        <v>165687.81705000001</v>
      </c>
      <c r="E844" s="64">
        <v>265191.97194297006</v>
      </c>
      <c r="F844" s="64">
        <v>0</v>
      </c>
      <c r="G844" s="64">
        <v>0</v>
      </c>
      <c r="H844" s="40">
        <v>0.51311438759817762</v>
      </c>
      <c r="I844" s="40">
        <v>0</v>
      </c>
      <c r="J844" s="40">
        <v>0.51311438759817762</v>
      </c>
    </row>
    <row r="845" spans="1:10" ht="11.25" customHeight="1" x14ac:dyDescent="0.2">
      <c r="A845" s="49">
        <v>44593</v>
      </c>
      <c r="B845" s="64">
        <v>61479</v>
      </c>
      <c r="C845" s="64">
        <v>78540.333466928147</v>
      </c>
      <c r="D845" s="64">
        <v>167734.02394000001</v>
      </c>
      <c r="E845" s="64">
        <v>268467.03253477346</v>
      </c>
      <c r="F845" s="64">
        <v>0</v>
      </c>
      <c r="G845" s="64">
        <v>0</v>
      </c>
      <c r="H845" s="40">
        <v>0.51390771796866153</v>
      </c>
      <c r="I845" s="40">
        <v>0</v>
      </c>
      <c r="J845" s="40">
        <v>0.51390771796866153</v>
      </c>
    </row>
    <row r="846" spans="1:10" ht="11.25" customHeight="1" x14ac:dyDescent="0.2">
      <c r="A846" s="49">
        <v>44621</v>
      </c>
      <c r="B846" s="64">
        <v>62025.48</v>
      </c>
      <c r="C846" s="64">
        <v>79238.469764411959</v>
      </c>
      <c r="D846" s="64">
        <v>163609.69996</v>
      </c>
      <c r="E846" s="64">
        <v>261865.83741577555</v>
      </c>
      <c r="F846" s="64">
        <v>0</v>
      </c>
      <c r="G846" s="64">
        <v>0</v>
      </c>
      <c r="H846" s="40">
        <v>0.51175143539521417</v>
      </c>
      <c r="I846" s="40">
        <v>0</v>
      </c>
      <c r="J846" s="40">
        <v>0.51175143539521417</v>
      </c>
    </row>
    <row r="847" spans="1:10" ht="11.25" customHeight="1" x14ac:dyDescent="0.2">
      <c r="A847" s="49">
        <v>44652</v>
      </c>
      <c r="B847" s="64">
        <v>61479</v>
      </c>
      <c r="C847" s="64">
        <v>78540.333466928147</v>
      </c>
      <c r="D847" s="64">
        <v>166647.41225999998</v>
      </c>
      <c r="E847" s="64">
        <v>266727.85400441411</v>
      </c>
      <c r="F847" s="64">
        <v>0</v>
      </c>
      <c r="G847" s="64">
        <v>0</v>
      </c>
      <c r="H847" s="40">
        <v>0.51349501379890028</v>
      </c>
      <c r="I847" s="40">
        <v>0</v>
      </c>
      <c r="J847" s="40">
        <v>0.51349501379890028</v>
      </c>
    </row>
    <row r="848" spans="1:10" ht="11.25" customHeight="1" x14ac:dyDescent="0.2">
      <c r="A848" s="49">
        <v>44682</v>
      </c>
      <c r="B848" s="64">
        <v>61479</v>
      </c>
      <c r="C848" s="64">
        <v>78540.333466928147</v>
      </c>
      <c r="D848" s="64">
        <v>161171.06698</v>
      </c>
      <c r="E848" s="64">
        <v>257962.67844895661</v>
      </c>
      <c r="F848" s="64">
        <v>0</v>
      </c>
      <c r="G848" s="64">
        <v>0</v>
      </c>
      <c r="H848" s="40">
        <v>0.51135374213074813</v>
      </c>
      <c r="I848" s="40">
        <v>0</v>
      </c>
      <c r="J848" s="40">
        <v>0.51135374213074813</v>
      </c>
    </row>
    <row r="849" spans="1:10" ht="11.25" customHeight="1" x14ac:dyDescent="0.2">
      <c r="A849" s="48" t="s">
        <v>37</v>
      </c>
      <c r="B849" s="64">
        <v>1786629</v>
      </c>
      <c r="C849" s="64">
        <v>2305442.9983576881</v>
      </c>
      <c r="D849" s="64">
        <v>187760.31049999999</v>
      </c>
      <c r="E849" s="64">
        <v>300520.14614383713</v>
      </c>
      <c r="F849" s="64">
        <v>0</v>
      </c>
      <c r="G849" s="64">
        <v>0</v>
      </c>
      <c r="H849" s="40">
        <v>0.31988313076998143</v>
      </c>
      <c r="I849" s="40">
        <v>0</v>
      </c>
      <c r="J849" s="40">
        <v>0.31988313076998143</v>
      </c>
    </row>
    <row r="850" spans="1:10" ht="11.25" customHeight="1" x14ac:dyDescent="0.2">
      <c r="A850" s="49">
        <v>44348</v>
      </c>
      <c r="B850" s="64">
        <v>143342.68</v>
      </c>
      <c r="C850" s="64">
        <v>184967.54388954092</v>
      </c>
      <c r="D850" s="64">
        <v>14794.81738</v>
      </c>
      <c r="E850" s="64">
        <v>23679.874992585192</v>
      </c>
      <c r="F850" s="64">
        <v>0</v>
      </c>
      <c r="G850" s="64">
        <v>0</v>
      </c>
      <c r="H850" s="40">
        <v>0.31940508948837221</v>
      </c>
      <c r="I850" s="40">
        <v>0</v>
      </c>
      <c r="J850" s="40">
        <v>0.31940508948837221</v>
      </c>
    </row>
    <row r="851" spans="1:10" ht="11.25" customHeight="1" x14ac:dyDescent="0.2">
      <c r="A851" s="49">
        <v>44378</v>
      </c>
      <c r="B851" s="64">
        <v>148830.24</v>
      </c>
      <c r="C851" s="64">
        <v>192048.62047570833</v>
      </c>
      <c r="D851" s="64">
        <v>15577.102870000001</v>
      </c>
      <c r="E851" s="64">
        <v>24931.96362172603</v>
      </c>
      <c r="F851" s="64">
        <v>0</v>
      </c>
      <c r="G851" s="64">
        <v>0</v>
      </c>
      <c r="H851" s="40">
        <v>0.31977428933332397</v>
      </c>
      <c r="I851" s="40">
        <v>0</v>
      </c>
      <c r="J851" s="40">
        <v>0.31977428933332397</v>
      </c>
    </row>
    <row r="852" spans="1:10" ht="11.25" customHeight="1" x14ac:dyDescent="0.2">
      <c r="A852" s="49">
        <v>44409</v>
      </c>
      <c r="B852" s="64">
        <v>142740</v>
      </c>
      <c r="C852" s="64">
        <v>184189.85339741848</v>
      </c>
      <c r="D852" s="64">
        <v>13419.765240000001</v>
      </c>
      <c r="E852" s="64">
        <v>21479.032498408575</v>
      </c>
      <c r="F852" s="64">
        <v>0</v>
      </c>
      <c r="G852" s="64">
        <v>0</v>
      </c>
      <c r="H852" s="40">
        <v>0.31704146442418835</v>
      </c>
      <c r="I852" s="40">
        <v>0</v>
      </c>
      <c r="J852" s="40">
        <v>0.31704146442418835</v>
      </c>
    </row>
    <row r="853" spans="1:10" ht="11.25" customHeight="1" x14ac:dyDescent="0.2">
      <c r="A853" s="49">
        <v>44440</v>
      </c>
      <c r="B853" s="64">
        <v>147720.04</v>
      </c>
      <c r="C853" s="64">
        <v>190616.03272706174</v>
      </c>
      <c r="D853" s="64">
        <v>16589.003060000003</v>
      </c>
      <c r="E853" s="64">
        <v>26551.562525093719</v>
      </c>
      <c r="F853" s="64">
        <v>0</v>
      </c>
      <c r="G853" s="64">
        <v>0</v>
      </c>
      <c r="H853" s="40">
        <v>0.32170202691067562</v>
      </c>
      <c r="I853" s="40">
        <v>0</v>
      </c>
      <c r="J853" s="40">
        <v>0.32170202691067562</v>
      </c>
    </row>
    <row r="854" spans="1:10" ht="11.25" customHeight="1" x14ac:dyDescent="0.2">
      <c r="A854" s="49">
        <v>44470</v>
      </c>
      <c r="B854" s="64">
        <v>149623.24</v>
      </c>
      <c r="C854" s="64">
        <v>193071.89743902732</v>
      </c>
      <c r="D854" s="64">
        <v>17620.049370000001</v>
      </c>
      <c r="E854" s="64">
        <v>28201.805789696034</v>
      </c>
      <c r="F854" s="64">
        <v>0</v>
      </c>
      <c r="G854" s="64">
        <v>0</v>
      </c>
      <c r="H854" s="40">
        <v>0.32306476428593434</v>
      </c>
      <c r="I854" s="40">
        <v>0</v>
      </c>
      <c r="J854" s="40">
        <v>0.32306476428593434</v>
      </c>
    </row>
    <row r="855" spans="1:10" ht="11.25" customHeight="1" x14ac:dyDescent="0.2">
      <c r="A855" s="49">
        <v>44501</v>
      </c>
      <c r="B855" s="64">
        <v>151843.63999999998</v>
      </c>
      <c r="C855" s="64">
        <v>195937.0729363205</v>
      </c>
      <c r="D855" s="64">
        <v>16543.565710000003</v>
      </c>
      <c r="E855" s="64">
        <v>26478.837682308647</v>
      </c>
      <c r="F855" s="64">
        <v>0</v>
      </c>
      <c r="G855" s="64">
        <v>0</v>
      </c>
      <c r="H855" s="40">
        <v>0.32085991736022135</v>
      </c>
      <c r="I855" s="40">
        <v>0</v>
      </c>
      <c r="J855" s="40">
        <v>0.32085991736022135</v>
      </c>
    </row>
    <row r="856" spans="1:10" ht="11.25" customHeight="1" x14ac:dyDescent="0.2">
      <c r="A856" s="49">
        <v>44531</v>
      </c>
      <c r="B856" s="64">
        <v>153207.6</v>
      </c>
      <c r="C856" s="64">
        <v>197697.10931322919</v>
      </c>
      <c r="D856" s="64">
        <v>16528.304310000003</v>
      </c>
      <c r="E856" s="64">
        <v>26454.411017556409</v>
      </c>
      <c r="F856" s="64">
        <v>0</v>
      </c>
      <c r="G856" s="64">
        <v>0</v>
      </c>
      <c r="H856" s="40">
        <v>0.32058989665146331</v>
      </c>
      <c r="I856" s="40">
        <v>0</v>
      </c>
      <c r="J856" s="40">
        <v>0.32058989665146331</v>
      </c>
    </row>
    <row r="857" spans="1:10" ht="11.25" customHeight="1" x14ac:dyDescent="0.2">
      <c r="A857" s="49">
        <v>44562</v>
      </c>
      <c r="B857" s="64">
        <v>147434.56</v>
      </c>
      <c r="C857" s="64">
        <v>190247.65302026691</v>
      </c>
      <c r="D857" s="64">
        <v>15518.970810000001</v>
      </c>
      <c r="E857" s="64">
        <v>24838.920235078869</v>
      </c>
      <c r="F857" s="64">
        <v>0</v>
      </c>
      <c r="G857" s="64">
        <v>0</v>
      </c>
      <c r="H857" s="40">
        <v>0.31992582293986427</v>
      </c>
      <c r="I857" s="40">
        <v>0</v>
      </c>
      <c r="J857" s="40">
        <v>0.31992582293986427</v>
      </c>
    </row>
    <row r="858" spans="1:10" ht="11.25" customHeight="1" x14ac:dyDescent="0.2">
      <c r="A858" s="49">
        <v>44593</v>
      </c>
      <c r="B858" s="64">
        <v>149369.47999999998</v>
      </c>
      <c r="C858" s="64">
        <v>192744.44881076526</v>
      </c>
      <c r="D858" s="64">
        <v>14701.306619999999</v>
      </c>
      <c r="E858" s="64">
        <v>23530.206155830572</v>
      </c>
      <c r="F858" s="64">
        <v>0</v>
      </c>
      <c r="G858" s="64">
        <v>0</v>
      </c>
      <c r="H858" s="40">
        <v>0.31817893618992543</v>
      </c>
      <c r="I858" s="40">
        <v>0</v>
      </c>
      <c r="J858" s="40">
        <v>0.31817893618992543</v>
      </c>
    </row>
    <row r="859" spans="1:10" ht="11.25" customHeight="1" x14ac:dyDescent="0.2">
      <c r="A859" s="49">
        <v>44621</v>
      </c>
      <c r="B859" s="64">
        <v>155681.75999999998</v>
      </c>
      <c r="C859" s="64">
        <v>200889.73343878443</v>
      </c>
      <c r="D859" s="64">
        <v>15556.638720000001</v>
      </c>
      <c r="E859" s="64">
        <v>24899.209684899168</v>
      </c>
      <c r="F859" s="64">
        <v>0</v>
      </c>
      <c r="G859" s="64">
        <v>0</v>
      </c>
      <c r="H859" s="40">
        <v>0.3185649060692386</v>
      </c>
      <c r="I859" s="40">
        <v>0</v>
      </c>
      <c r="J859" s="40">
        <v>0.3185649060692386</v>
      </c>
    </row>
    <row r="860" spans="1:10" ht="11.25" customHeight="1" x14ac:dyDescent="0.2">
      <c r="A860" s="49">
        <v>44652</v>
      </c>
      <c r="B860" s="64">
        <v>148830.24</v>
      </c>
      <c r="C860" s="64">
        <v>192048.62047570833</v>
      </c>
      <c r="D860" s="64">
        <v>16501.804970000001</v>
      </c>
      <c r="E860" s="64">
        <v>26411.997445122979</v>
      </c>
      <c r="F860" s="64">
        <v>0</v>
      </c>
      <c r="G860" s="64">
        <v>0</v>
      </c>
      <c r="H860" s="40">
        <v>0.32134467919072596</v>
      </c>
      <c r="I860" s="40">
        <v>0</v>
      </c>
      <c r="J860" s="40">
        <v>0.32134467919072596</v>
      </c>
    </row>
    <row r="861" spans="1:10" ht="11.25" customHeight="1" x14ac:dyDescent="0.2">
      <c r="A861" s="49">
        <v>44682</v>
      </c>
      <c r="B861" s="64">
        <v>148005.51999999999</v>
      </c>
      <c r="C861" s="64">
        <v>190984.4124338566</v>
      </c>
      <c r="D861" s="64">
        <v>14408.98144</v>
      </c>
      <c r="E861" s="64">
        <v>23062.324495530891</v>
      </c>
      <c r="F861" s="64">
        <v>0</v>
      </c>
      <c r="G861" s="64">
        <v>0</v>
      </c>
      <c r="H861" s="40">
        <v>0.3179040974272962</v>
      </c>
      <c r="I861" s="40">
        <v>0</v>
      </c>
      <c r="J861" s="40">
        <v>0.3179040974272962</v>
      </c>
    </row>
    <row r="862" spans="1:10" ht="11.25" customHeight="1" x14ac:dyDescent="0.2">
      <c r="A862" s="44" t="s">
        <v>40</v>
      </c>
      <c r="B862" s="64">
        <v>4848050.08</v>
      </c>
      <c r="C862" s="64">
        <v>6237623.9750923431</v>
      </c>
      <c r="D862" s="64">
        <v>4675605.4970100001</v>
      </c>
      <c r="E862" s="64">
        <v>7483549.8702073842</v>
      </c>
      <c r="F862" s="64">
        <v>0</v>
      </c>
      <c r="G862" s="64">
        <v>0</v>
      </c>
      <c r="H862" s="40">
        <v>0.4407465425799828</v>
      </c>
      <c r="I862" s="40">
        <v>0</v>
      </c>
      <c r="J862" s="40">
        <v>0.4407465425799828</v>
      </c>
    </row>
    <row r="863" spans="1:10" ht="11.25" customHeight="1" x14ac:dyDescent="0.2">
      <c r="A863" s="45" t="s">
        <v>25</v>
      </c>
      <c r="B863" s="64">
        <v>4848050.08</v>
      </c>
      <c r="C863" s="64">
        <v>6237623.9750923431</v>
      </c>
      <c r="D863" s="64">
        <v>4675605.4970100001</v>
      </c>
      <c r="E863" s="64">
        <v>7483549.8702073842</v>
      </c>
      <c r="F863" s="64">
        <v>0</v>
      </c>
      <c r="G863" s="64">
        <v>0</v>
      </c>
      <c r="H863" s="40">
        <v>0.4407465425799828</v>
      </c>
      <c r="I863" s="40">
        <v>0</v>
      </c>
      <c r="J863" s="40">
        <v>0.4407465425799828</v>
      </c>
    </row>
    <row r="864" spans="1:10" ht="11.25" customHeight="1" x14ac:dyDescent="0.2">
      <c r="A864" s="46" t="s">
        <v>54</v>
      </c>
      <c r="B864" s="64">
        <v>27823.620000000003</v>
      </c>
      <c r="C864" s="64">
        <v>35783.334849157407</v>
      </c>
      <c r="D864" s="64">
        <v>27272.260539999999</v>
      </c>
      <c r="E864" s="64">
        <v>43650.671972837416</v>
      </c>
      <c r="F864" s="64">
        <v>0</v>
      </c>
      <c r="G864" s="64">
        <v>0</v>
      </c>
      <c r="H864" s="40">
        <v>0.44174130703519965</v>
      </c>
      <c r="I864" s="40">
        <v>0</v>
      </c>
      <c r="J864" s="40">
        <v>0.44174130703519965</v>
      </c>
    </row>
    <row r="865" spans="1:10" ht="11.25" customHeight="1" x14ac:dyDescent="0.2">
      <c r="A865" s="47" t="s">
        <v>25</v>
      </c>
      <c r="B865" s="64">
        <v>27823.620000000003</v>
      </c>
      <c r="C865" s="64">
        <v>35783.334849157407</v>
      </c>
      <c r="D865" s="64">
        <v>27272.260539999999</v>
      </c>
      <c r="E865" s="64">
        <v>43650.671972837416</v>
      </c>
      <c r="F865" s="64">
        <v>0</v>
      </c>
      <c r="G865" s="64">
        <v>0</v>
      </c>
      <c r="H865" s="40">
        <v>0.44174130703519965</v>
      </c>
      <c r="I865" s="40">
        <v>0</v>
      </c>
      <c r="J865" s="40">
        <v>0.44174130703519965</v>
      </c>
    </row>
    <row r="866" spans="1:10" ht="11.25" customHeight="1" x14ac:dyDescent="0.2">
      <c r="A866" s="48" t="s">
        <v>35</v>
      </c>
      <c r="B866" s="64">
        <v>9315</v>
      </c>
      <c r="C866" s="64">
        <v>11900.050525292143</v>
      </c>
      <c r="D866" s="64">
        <v>0</v>
      </c>
      <c r="E866" s="64">
        <v>0</v>
      </c>
      <c r="F866" s="64">
        <v>0</v>
      </c>
      <c r="G866" s="64">
        <v>0</v>
      </c>
      <c r="H866" s="40">
        <v>0.27751481753002061</v>
      </c>
      <c r="I866" s="40">
        <v>0</v>
      </c>
      <c r="J866" s="40">
        <v>0.27751481753002061</v>
      </c>
    </row>
    <row r="867" spans="1:10" ht="11.25" customHeight="1" x14ac:dyDescent="0.2">
      <c r="A867" s="49">
        <v>44621</v>
      </c>
      <c r="B867" s="64">
        <v>3105</v>
      </c>
      <c r="C867" s="64">
        <v>3966.6835084307145</v>
      </c>
      <c r="D867" s="64">
        <v>0</v>
      </c>
      <c r="E867" s="64">
        <v>0</v>
      </c>
      <c r="F867" s="64">
        <v>0</v>
      </c>
      <c r="G867" s="64">
        <v>0</v>
      </c>
      <c r="H867" s="40">
        <v>0.27751481753002083</v>
      </c>
      <c r="I867" s="40">
        <v>0</v>
      </c>
      <c r="J867" s="40">
        <v>0.27751481753002083</v>
      </c>
    </row>
    <row r="868" spans="1:10" ht="11.25" customHeight="1" x14ac:dyDescent="0.2">
      <c r="A868" s="49">
        <v>44652</v>
      </c>
      <c r="B868" s="64">
        <v>3105</v>
      </c>
      <c r="C868" s="64">
        <v>3966.6835084307145</v>
      </c>
      <c r="D868" s="64">
        <v>0</v>
      </c>
      <c r="E868" s="64">
        <v>0</v>
      </c>
      <c r="F868" s="64">
        <v>0</v>
      </c>
      <c r="G868" s="64">
        <v>0</v>
      </c>
      <c r="H868" s="40">
        <v>0.27751481753002083</v>
      </c>
      <c r="I868" s="40">
        <v>0</v>
      </c>
      <c r="J868" s="40">
        <v>0.27751481753002083</v>
      </c>
    </row>
    <row r="869" spans="1:10" ht="11.25" customHeight="1" x14ac:dyDescent="0.2">
      <c r="A869" s="49">
        <v>44682</v>
      </c>
      <c r="B869" s="64">
        <v>3105</v>
      </c>
      <c r="C869" s="64">
        <v>3966.6835084307145</v>
      </c>
      <c r="D869" s="64">
        <v>0</v>
      </c>
      <c r="E869" s="64">
        <v>0</v>
      </c>
      <c r="F869" s="64">
        <v>0</v>
      </c>
      <c r="G869" s="64">
        <v>0</v>
      </c>
      <c r="H869" s="40">
        <v>0.27751481753002083</v>
      </c>
      <c r="I869" s="40">
        <v>0</v>
      </c>
      <c r="J869" s="40">
        <v>0.27751481753002083</v>
      </c>
    </row>
    <row r="870" spans="1:10" ht="11.25" customHeight="1" x14ac:dyDescent="0.2">
      <c r="A870" s="48" t="s">
        <v>25</v>
      </c>
      <c r="B870" s="64">
        <v>0</v>
      </c>
      <c r="C870" s="64">
        <v>0</v>
      </c>
      <c r="D870" s="64">
        <v>27272.260539999999</v>
      </c>
      <c r="E870" s="64">
        <v>43650.671972837416</v>
      </c>
      <c r="F870" s="64">
        <v>0</v>
      </c>
      <c r="G870" s="64">
        <v>0</v>
      </c>
      <c r="H870" s="40">
        <v>0.60055203010455749</v>
      </c>
      <c r="I870" s="40">
        <v>0</v>
      </c>
      <c r="J870" s="40">
        <v>0.60055203010455749</v>
      </c>
    </row>
    <row r="871" spans="1:10" ht="11.25" customHeight="1" x14ac:dyDescent="0.2">
      <c r="A871" s="49">
        <v>44621</v>
      </c>
      <c r="B871" s="64">
        <v>0</v>
      </c>
      <c r="C871" s="64">
        <v>0</v>
      </c>
      <c r="D871" s="64">
        <v>8022.08554</v>
      </c>
      <c r="E871" s="64">
        <v>12839.765296719415</v>
      </c>
      <c r="F871" s="64">
        <v>0</v>
      </c>
      <c r="G871" s="64">
        <v>0</v>
      </c>
      <c r="H871" s="40">
        <v>0.60055203010455749</v>
      </c>
      <c r="I871" s="40">
        <v>0</v>
      </c>
      <c r="J871" s="40">
        <v>0.60055203010455749</v>
      </c>
    </row>
    <row r="872" spans="1:10" ht="11.25" customHeight="1" x14ac:dyDescent="0.2">
      <c r="A872" s="49">
        <v>44652</v>
      </c>
      <c r="B872" s="64">
        <v>0</v>
      </c>
      <c r="C872" s="64">
        <v>0</v>
      </c>
      <c r="D872" s="64">
        <v>9627.9316699999999</v>
      </c>
      <c r="E872" s="64">
        <v>15410.005580126464</v>
      </c>
      <c r="F872" s="64">
        <v>0</v>
      </c>
      <c r="G872" s="64">
        <v>0</v>
      </c>
      <c r="H872" s="40">
        <v>0.60055203010455771</v>
      </c>
      <c r="I872" s="40">
        <v>0</v>
      </c>
      <c r="J872" s="40">
        <v>0.60055203010455771</v>
      </c>
    </row>
    <row r="873" spans="1:10" ht="11.25" customHeight="1" x14ac:dyDescent="0.2">
      <c r="A873" s="49">
        <v>44682</v>
      </c>
      <c r="B873" s="64">
        <v>0</v>
      </c>
      <c r="C873" s="64">
        <v>0</v>
      </c>
      <c r="D873" s="64">
        <v>9622.2433300000012</v>
      </c>
      <c r="E873" s="64">
        <v>15400.901095991539</v>
      </c>
      <c r="F873" s="64">
        <v>0</v>
      </c>
      <c r="G873" s="64">
        <v>0</v>
      </c>
      <c r="H873" s="40">
        <v>0.60055203010455749</v>
      </c>
      <c r="I873" s="40">
        <v>0</v>
      </c>
      <c r="J873" s="40">
        <v>0.60055203010455749</v>
      </c>
    </row>
    <row r="874" spans="1:10" ht="11.25" customHeight="1" x14ac:dyDescent="0.2">
      <c r="A874" s="48" t="s">
        <v>37</v>
      </c>
      <c r="B874" s="64">
        <v>18508.62</v>
      </c>
      <c r="C874" s="64">
        <v>23883.284323865264</v>
      </c>
      <c r="D874" s="64">
        <v>0</v>
      </c>
      <c r="E874" s="64">
        <v>0</v>
      </c>
      <c r="F874" s="64">
        <v>0</v>
      </c>
      <c r="G874" s="64">
        <v>0</v>
      </c>
      <c r="H874" s="40">
        <v>0.2903870911967108</v>
      </c>
      <c r="I874" s="40">
        <v>0</v>
      </c>
      <c r="J874" s="40">
        <v>0.2903870911967108</v>
      </c>
    </row>
    <row r="875" spans="1:10" ht="11.25" customHeight="1" x14ac:dyDescent="0.2">
      <c r="A875" s="49">
        <v>44621</v>
      </c>
      <c r="B875" s="64">
        <v>6169.54</v>
      </c>
      <c r="C875" s="64">
        <v>7961.0947746217544</v>
      </c>
      <c r="D875" s="64">
        <v>0</v>
      </c>
      <c r="E875" s="64">
        <v>0</v>
      </c>
      <c r="F875" s="64">
        <v>0</v>
      </c>
      <c r="G875" s="64">
        <v>0</v>
      </c>
      <c r="H875" s="40">
        <v>0.29038709119671058</v>
      </c>
      <c r="I875" s="40">
        <v>0</v>
      </c>
      <c r="J875" s="40">
        <v>0.29038709119671058</v>
      </c>
    </row>
    <row r="876" spans="1:10" ht="11.25" customHeight="1" x14ac:dyDescent="0.2">
      <c r="A876" s="49">
        <v>44652</v>
      </c>
      <c r="B876" s="64">
        <v>6169.54</v>
      </c>
      <c r="C876" s="64">
        <v>7961.0947746217544</v>
      </c>
      <c r="D876" s="64">
        <v>0</v>
      </c>
      <c r="E876" s="64">
        <v>0</v>
      </c>
      <c r="F876" s="64">
        <v>0</v>
      </c>
      <c r="G876" s="64">
        <v>0</v>
      </c>
      <c r="H876" s="40">
        <v>0.29038709119671058</v>
      </c>
      <c r="I876" s="40">
        <v>0</v>
      </c>
      <c r="J876" s="40">
        <v>0.29038709119671058</v>
      </c>
    </row>
    <row r="877" spans="1:10" ht="11.25" customHeight="1" x14ac:dyDescent="0.2">
      <c r="A877" s="49">
        <v>44682</v>
      </c>
      <c r="B877" s="64">
        <v>6169.54</v>
      </c>
      <c r="C877" s="64">
        <v>7961.0947746217544</v>
      </c>
      <c r="D877" s="64">
        <v>0</v>
      </c>
      <c r="E877" s="64">
        <v>0</v>
      </c>
      <c r="F877" s="64">
        <v>0</v>
      </c>
      <c r="G877" s="64">
        <v>0</v>
      </c>
      <c r="H877" s="40">
        <v>0.29038709119671058</v>
      </c>
      <c r="I877" s="40">
        <v>0</v>
      </c>
      <c r="J877" s="40">
        <v>0.29038709119671058</v>
      </c>
    </row>
    <row r="878" spans="1:10" ht="11.25" customHeight="1" x14ac:dyDescent="0.2">
      <c r="A878" s="46" t="s">
        <v>25</v>
      </c>
      <c r="B878" s="64">
        <v>4820226.459999999</v>
      </c>
      <c r="C878" s="64">
        <v>6201840.6402431857</v>
      </c>
      <c r="D878" s="64">
        <v>4648333.2364700008</v>
      </c>
      <c r="E878" s="64">
        <v>7439899.1982345469</v>
      </c>
      <c r="F878" s="64">
        <v>0</v>
      </c>
      <c r="G878" s="64">
        <v>0</v>
      </c>
      <c r="H878" s="40">
        <v>0.44074075422089254</v>
      </c>
      <c r="I878" s="40">
        <v>0</v>
      </c>
      <c r="J878" s="40">
        <v>0.44074075422089254</v>
      </c>
    </row>
    <row r="879" spans="1:10" ht="11.25" customHeight="1" x14ac:dyDescent="0.2">
      <c r="A879" s="47" t="s">
        <v>25</v>
      </c>
      <c r="B879" s="64">
        <v>4820226.459999999</v>
      </c>
      <c r="C879" s="64">
        <v>6201840.6402431857</v>
      </c>
      <c r="D879" s="64">
        <v>4648333.2364700008</v>
      </c>
      <c r="E879" s="64">
        <v>7439899.1982345469</v>
      </c>
      <c r="F879" s="64">
        <v>0</v>
      </c>
      <c r="G879" s="64">
        <v>0</v>
      </c>
      <c r="H879" s="40">
        <v>0.44074075422089254</v>
      </c>
      <c r="I879" s="40">
        <v>0</v>
      </c>
      <c r="J879" s="40">
        <v>0.44074075422089254</v>
      </c>
    </row>
    <row r="880" spans="1:10" ht="11.25" customHeight="1" x14ac:dyDescent="0.2">
      <c r="A880" s="48" t="s">
        <v>35</v>
      </c>
      <c r="B880" s="64">
        <v>1407471.66</v>
      </c>
      <c r="C880" s="64">
        <v>1798065.9009035756</v>
      </c>
      <c r="D880" s="64">
        <v>4234854.3226500005</v>
      </c>
      <c r="E880" s="64">
        <v>6778104.6833145199</v>
      </c>
      <c r="F880" s="64">
        <v>0</v>
      </c>
      <c r="G880" s="64">
        <v>0</v>
      </c>
      <c r="H880" s="40">
        <v>0.51997077279646509</v>
      </c>
      <c r="I880" s="40">
        <v>0</v>
      </c>
      <c r="J880" s="40">
        <v>0.51997077279646509</v>
      </c>
    </row>
    <row r="881" spans="1:10" ht="11.25" customHeight="1" x14ac:dyDescent="0.2">
      <c r="A881" s="49">
        <v>44348</v>
      </c>
      <c r="B881" s="64">
        <v>113531.22</v>
      </c>
      <c r="C881" s="64">
        <v>145037.81580226065</v>
      </c>
      <c r="D881" s="64">
        <v>354174.50082000002</v>
      </c>
      <c r="E881" s="64">
        <v>566874.7162987194</v>
      </c>
      <c r="F881" s="64">
        <v>0</v>
      </c>
      <c r="G881" s="64">
        <v>0</v>
      </c>
      <c r="H881" s="40">
        <v>0.52213774689953985</v>
      </c>
      <c r="I881" s="40">
        <v>0</v>
      </c>
      <c r="J881" s="40">
        <v>0.52213774689953985</v>
      </c>
    </row>
    <row r="882" spans="1:10" ht="11.25" customHeight="1" x14ac:dyDescent="0.2">
      <c r="A882" s="49">
        <v>44378</v>
      </c>
      <c r="B882" s="64">
        <v>112848.12</v>
      </c>
      <c r="C882" s="64">
        <v>144165.14543040589</v>
      </c>
      <c r="D882" s="64">
        <v>346242.38817000005</v>
      </c>
      <c r="E882" s="64">
        <v>554178.95729374373</v>
      </c>
      <c r="F882" s="64">
        <v>0</v>
      </c>
      <c r="G882" s="64">
        <v>0</v>
      </c>
      <c r="H882" s="40">
        <v>0.52114689869727071</v>
      </c>
      <c r="I882" s="40">
        <v>0</v>
      </c>
      <c r="J882" s="40">
        <v>0.52114689869727071</v>
      </c>
    </row>
    <row r="883" spans="1:10" ht="11.25" customHeight="1" x14ac:dyDescent="0.2">
      <c r="A883" s="49">
        <v>44409</v>
      </c>
      <c r="B883" s="64">
        <v>113208.3</v>
      </c>
      <c r="C883" s="64">
        <v>144625.28071738387</v>
      </c>
      <c r="D883" s="64">
        <v>351597.47469</v>
      </c>
      <c r="E883" s="64">
        <v>562750.05189471529</v>
      </c>
      <c r="F883" s="64">
        <v>0</v>
      </c>
      <c r="G883" s="64">
        <v>0</v>
      </c>
      <c r="H883" s="40">
        <v>0.52187294377717186</v>
      </c>
      <c r="I883" s="40">
        <v>0</v>
      </c>
      <c r="J883" s="40">
        <v>0.52187294377717186</v>
      </c>
    </row>
    <row r="884" spans="1:10" ht="11.25" customHeight="1" x14ac:dyDescent="0.2">
      <c r="A884" s="49">
        <v>44440</v>
      </c>
      <c r="B884" s="64">
        <v>119318.94</v>
      </c>
      <c r="C884" s="64">
        <v>152431.7138619755</v>
      </c>
      <c r="D884" s="64">
        <v>365585.65771</v>
      </c>
      <c r="E884" s="64">
        <v>585138.86662485043</v>
      </c>
      <c r="F884" s="64">
        <v>0</v>
      </c>
      <c r="G884" s="64">
        <v>0</v>
      </c>
      <c r="H884" s="40">
        <v>0.52106328537625912</v>
      </c>
      <c r="I884" s="40">
        <v>0</v>
      </c>
      <c r="J884" s="40">
        <v>0.52106328537625912</v>
      </c>
    </row>
    <row r="885" spans="1:10" ht="11.25" customHeight="1" x14ac:dyDescent="0.2">
      <c r="A885" s="49">
        <v>44470</v>
      </c>
      <c r="B885" s="64">
        <v>119107.8</v>
      </c>
      <c r="C885" s="64">
        <v>152161.97938340221</v>
      </c>
      <c r="D885" s="64">
        <v>361801.87105999998</v>
      </c>
      <c r="E885" s="64">
        <v>579082.71922071034</v>
      </c>
      <c r="F885" s="64">
        <v>0</v>
      </c>
      <c r="G885" s="64">
        <v>0</v>
      </c>
      <c r="H885" s="40">
        <v>0.52054479792917263</v>
      </c>
      <c r="I885" s="40">
        <v>0</v>
      </c>
      <c r="J885" s="40">
        <v>0.52054479792917263</v>
      </c>
    </row>
    <row r="886" spans="1:10" ht="11.25" customHeight="1" x14ac:dyDescent="0.2">
      <c r="A886" s="49">
        <v>44501</v>
      </c>
      <c r="B886" s="64">
        <v>119530.08</v>
      </c>
      <c r="C886" s="64">
        <v>152701.44834054878</v>
      </c>
      <c r="D886" s="64">
        <v>370195.36358</v>
      </c>
      <c r="E886" s="64">
        <v>592516.94071326382</v>
      </c>
      <c r="F886" s="64">
        <v>0</v>
      </c>
      <c r="G886" s="64">
        <v>0</v>
      </c>
      <c r="H886" s="40">
        <v>0.52170649661594726</v>
      </c>
      <c r="I886" s="40">
        <v>0</v>
      </c>
      <c r="J886" s="40">
        <v>0.52170649661594726</v>
      </c>
    </row>
    <row r="887" spans="1:10" ht="11.25" customHeight="1" x14ac:dyDescent="0.2">
      <c r="A887" s="49">
        <v>44531</v>
      </c>
      <c r="B887" s="64">
        <v>118461.96</v>
      </c>
      <c r="C887" s="64">
        <v>151336.90921364861</v>
      </c>
      <c r="D887" s="64">
        <v>354315.11381000007</v>
      </c>
      <c r="E887" s="64">
        <v>567099.77470532293</v>
      </c>
      <c r="F887" s="64">
        <v>0</v>
      </c>
      <c r="G887" s="64">
        <v>0</v>
      </c>
      <c r="H887" s="40">
        <v>0.51960981975978249</v>
      </c>
      <c r="I887" s="40">
        <v>0</v>
      </c>
      <c r="J887" s="40">
        <v>0.51960981975978249</v>
      </c>
    </row>
    <row r="888" spans="1:10" ht="11.25" customHeight="1" x14ac:dyDescent="0.2">
      <c r="A888" s="49">
        <v>44562</v>
      </c>
      <c r="B888" s="64">
        <v>117604.98</v>
      </c>
      <c r="C888" s="64">
        <v>150242.10456532176</v>
      </c>
      <c r="D888" s="64">
        <v>351439.86605000001</v>
      </c>
      <c r="E888" s="64">
        <v>562497.79106600129</v>
      </c>
      <c r="F888" s="64">
        <v>0</v>
      </c>
      <c r="G888" s="64">
        <v>0</v>
      </c>
      <c r="H888" s="40">
        <v>0.51955596918624991</v>
      </c>
      <c r="I888" s="40">
        <v>0</v>
      </c>
      <c r="J888" s="40">
        <v>0.51955596918624991</v>
      </c>
    </row>
    <row r="889" spans="1:10" ht="11.25" customHeight="1" x14ac:dyDescent="0.2">
      <c r="A889" s="49">
        <v>44593</v>
      </c>
      <c r="B889" s="64">
        <v>118039.67999999999</v>
      </c>
      <c r="C889" s="64">
        <v>150797.44025650204</v>
      </c>
      <c r="D889" s="64">
        <v>366658.74223999999</v>
      </c>
      <c r="E889" s="64">
        <v>586856.39424781571</v>
      </c>
      <c r="F889" s="64">
        <v>0</v>
      </c>
      <c r="G889" s="64">
        <v>0</v>
      </c>
      <c r="H889" s="40">
        <v>0.52188206244885627</v>
      </c>
      <c r="I889" s="40">
        <v>0</v>
      </c>
      <c r="J889" s="40">
        <v>0.52188206244885627</v>
      </c>
    </row>
    <row r="890" spans="1:10" ht="11.25" customHeight="1" x14ac:dyDescent="0.2">
      <c r="A890" s="49">
        <v>44621</v>
      </c>
      <c r="B890" s="64">
        <v>117604.98</v>
      </c>
      <c r="C890" s="64">
        <v>150242.10456532176</v>
      </c>
      <c r="D890" s="64">
        <v>322538.38169000007</v>
      </c>
      <c r="E890" s="64">
        <v>516239.4616005682</v>
      </c>
      <c r="F890" s="64">
        <v>0</v>
      </c>
      <c r="G890" s="64">
        <v>0</v>
      </c>
      <c r="H890" s="40">
        <v>0.51423746028300554</v>
      </c>
      <c r="I890" s="40">
        <v>0</v>
      </c>
      <c r="J890" s="40">
        <v>0.51423746028300554</v>
      </c>
    </row>
    <row r="891" spans="1:10" ht="11.25" customHeight="1" x14ac:dyDescent="0.2">
      <c r="A891" s="49">
        <v>44652</v>
      </c>
      <c r="B891" s="64">
        <v>121467.6</v>
      </c>
      <c r="C891" s="64">
        <v>155176.65884980955</v>
      </c>
      <c r="D891" s="64">
        <v>365107.97589000006</v>
      </c>
      <c r="E891" s="64">
        <v>584374.31201810541</v>
      </c>
      <c r="F891" s="64">
        <v>0</v>
      </c>
      <c r="G891" s="64">
        <v>0</v>
      </c>
      <c r="H891" s="40">
        <v>0.51990976841612957</v>
      </c>
      <c r="I891" s="40">
        <v>0</v>
      </c>
      <c r="J891" s="40">
        <v>0.51990976841612957</v>
      </c>
    </row>
    <row r="892" spans="1:10" ht="11.25" customHeight="1" x14ac:dyDescent="0.2">
      <c r="A892" s="49">
        <v>44682</v>
      </c>
      <c r="B892" s="64">
        <v>116748</v>
      </c>
      <c r="C892" s="64">
        <v>149147.29991699487</v>
      </c>
      <c r="D892" s="64">
        <v>325196.98694000003</v>
      </c>
      <c r="E892" s="64">
        <v>520494.69763070234</v>
      </c>
      <c r="F892" s="64">
        <v>0</v>
      </c>
      <c r="G892" s="64">
        <v>0</v>
      </c>
      <c r="H892" s="40">
        <v>0.5152157334881371</v>
      </c>
      <c r="I892" s="40">
        <v>0</v>
      </c>
      <c r="J892" s="40">
        <v>0.5152157334881371</v>
      </c>
    </row>
    <row r="893" spans="1:10" ht="11.25" customHeight="1" x14ac:dyDescent="0.2">
      <c r="A893" s="48" t="s">
        <v>37</v>
      </c>
      <c r="B893" s="64">
        <v>3412754.8</v>
      </c>
      <c r="C893" s="64">
        <v>4403774.7393396124</v>
      </c>
      <c r="D893" s="64">
        <v>413478.91382000007</v>
      </c>
      <c r="E893" s="64">
        <v>661794.51492002839</v>
      </c>
      <c r="F893" s="64">
        <v>0</v>
      </c>
      <c r="G893" s="64">
        <v>0</v>
      </c>
      <c r="H893" s="40">
        <v>0.32390481949998917</v>
      </c>
      <c r="I893" s="40">
        <v>0</v>
      </c>
      <c r="J893" s="40">
        <v>0.32390481949998917</v>
      </c>
    </row>
    <row r="894" spans="1:10" ht="11.25" customHeight="1" x14ac:dyDescent="0.2">
      <c r="A894" s="49">
        <v>44348</v>
      </c>
      <c r="B894" s="64">
        <v>272506.52</v>
      </c>
      <c r="C894" s="64">
        <v>351638.89567493828</v>
      </c>
      <c r="D894" s="64">
        <v>33089.490000000005</v>
      </c>
      <c r="E894" s="64">
        <v>52961.450394624459</v>
      </c>
      <c r="F894" s="64">
        <v>0</v>
      </c>
      <c r="G894" s="64">
        <v>0</v>
      </c>
      <c r="H894" s="40">
        <v>0.32397129815131653</v>
      </c>
      <c r="I894" s="40">
        <v>0</v>
      </c>
      <c r="J894" s="40">
        <v>0.32397129815131653</v>
      </c>
    </row>
    <row r="895" spans="1:10" ht="11.25" customHeight="1" x14ac:dyDescent="0.2">
      <c r="A895" s="49">
        <v>44378</v>
      </c>
      <c r="B895" s="64">
        <v>272601.68</v>
      </c>
      <c r="C895" s="64">
        <v>351761.68891053653</v>
      </c>
      <c r="D895" s="64">
        <v>35165.872840000004</v>
      </c>
      <c r="E895" s="64">
        <v>56284.809164460727</v>
      </c>
      <c r="F895" s="64">
        <v>0</v>
      </c>
      <c r="G895" s="64">
        <v>0</v>
      </c>
      <c r="H895" s="40">
        <v>0.32582689211272875</v>
      </c>
      <c r="I895" s="40">
        <v>0</v>
      </c>
      <c r="J895" s="40">
        <v>0.32582689211272875</v>
      </c>
    </row>
    <row r="896" spans="1:10" ht="11.25" customHeight="1" x14ac:dyDescent="0.2">
      <c r="A896" s="49">
        <v>44409</v>
      </c>
      <c r="B896" s="64">
        <v>274695.2</v>
      </c>
      <c r="C896" s="64">
        <v>354463.14009369869</v>
      </c>
      <c r="D896" s="64">
        <v>33927.06338</v>
      </c>
      <c r="E896" s="64">
        <v>54302.030168344994</v>
      </c>
      <c r="F896" s="64">
        <v>0</v>
      </c>
      <c r="G896" s="64">
        <v>0</v>
      </c>
      <c r="H896" s="40">
        <v>0.32448374198701235</v>
      </c>
      <c r="I896" s="40">
        <v>0</v>
      </c>
      <c r="J896" s="40">
        <v>0.32448374198701235</v>
      </c>
    </row>
    <row r="897" spans="1:10" ht="11.25" customHeight="1" x14ac:dyDescent="0.2">
      <c r="A897" s="49">
        <v>44440</v>
      </c>
      <c r="B897" s="64">
        <v>285480</v>
      </c>
      <c r="C897" s="64">
        <v>368379.70679483697</v>
      </c>
      <c r="D897" s="64">
        <v>35458.822350000002</v>
      </c>
      <c r="E897" s="64">
        <v>56753.690097409359</v>
      </c>
      <c r="F897" s="64">
        <v>0</v>
      </c>
      <c r="G897" s="64">
        <v>0</v>
      </c>
      <c r="H897" s="40">
        <v>0.32465556450698507</v>
      </c>
      <c r="I897" s="40">
        <v>0</v>
      </c>
      <c r="J897" s="40">
        <v>0.32465556450698507</v>
      </c>
    </row>
    <row r="898" spans="1:10" ht="11.25" customHeight="1" x14ac:dyDescent="0.2">
      <c r="A898" s="49">
        <v>44470</v>
      </c>
      <c r="B898" s="64">
        <v>286780.52</v>
      </c>
      <c r="C898" s="64">
        <v>370057.88101468014</v>
      </c>
      <c r="D898" s="64">
        <v>36340.723160000009</v>
      </c>
      <c r="E898" s="64">
        <v>58165.218229205719</v>
      </c>
      <c r="F898" s="64">
        <v>0</v>
      </c>
      <c r="G898" s="64">
        <v>0</v>
      </c>
      <c r="H898" s="40">
        <v>0.32527064781018589</v>
      </c>
      <c r="I898" s="40">
        <v>0</v>
      </c>
      <c r="J898" s="40">
        <v>0.32527064781018589</v>
      </c>
    </row>
    <row r="899" spans="1:10" ht="11.25" customHeight="1" x14ac:dyDescent="0.2">
      <c r="A899" s="49">
        <v>44501</v>
      </c>
      <c r="B899" s="64">
        <v>287319.76</v>
      </c>
      <c r="C899" s="64">
        <v>370753.70934973704</v>
      </c>
      <c r="D899" s="64">
        <v>34173.881840000002</v>
      </c>
      <c r="E899" s="64">
        <v>54697.075955565277</v>
      </c>
      <c r="F899" s="64">
        <v>0</v>
      </c>
      <c r="G899" s="64">
        <v>0</v>
      </c>
      <c r="H899" s="40">
        <v>0.3233567633572032</v>
      </c>
      <c r="I899" s="40">
        <v>0</v>
      </c>
      <c r="J899" s="40">
        <v>0.3233567633572032</v>
      </c>
    </row>
    <row r="900" spans="1:10" ht="11.25" customHeight="1" x14ac:dyDescent="0.2">
      <c r="A900" s="49">
        <v>44531</v>
      </c>
      <c r="B900" s="64">
        <v>285131.08</v>
      </c>
      <c r="C900" s="64">
        <v>367929.46493097662</v>
      </c>
      <c r="D900" s="64">
        <v>35633.149160000001</v>
      </c>
      <c r="E900" s="64">
        <v>57032.709227056512</v>
      </c>
      <c r="F900" s="64">
        <v>0</v>
      </c>
      <c r="G900" s="64">
        <v>0</v>
      </c>
      <c r="H900" s="40">
        <v>0.32484278334557781</v>
      </c>
      <c r="I900" s="40">
        <v>0</v>
      </c>
      <c r="J900" s="40">
        <v>0.32484278334557781</v>
      </c>
    </row>
    <row r="901" spans="1:10" ht="11.25" customHeight="1" x14ac:dyDescent="0.2">
      <c r="A901" s="49">
        <v>44562</v>
      </c>
      <c r="B901" s="64">
        <v>287859</v>
      </c>
      <c r="C901" s="64">
        <v>371449.53768479393</v>
      </c>
      <c r="D901" s="64">
        <v>35182.313529999999</v>
      </c>
      <c r="E901" s="64">
        <v>56311.123344216547</v>
      </c>
      <c r="F901" s="64">
        <v>0</v>
      </c>
      <c r="G901" s="64">
        <v>0</v>
      </c>
      <c r="H901" s="40">
        <v>0.32416704338742575</v>
      </c>
      <c r="I901" s="40">
        <v>0</v>
      </c>
      <c r="J901" s="40">
        <v>0.32416704338742575</v>
      </c>
    </row>
    <row r="902" spans="1:10" ht="11.25" customHeight="1" x14ac:dyDescent="0.2">
      <c r="A902" s="49">
        <v>44593</v>
      </c>
      <c r="B902" s="64">
        <v>289508.44</v>
      </c>
      <c r="C902" s="64">
        <v>373577.95376849745</v>
      </c>
      <c r="D902" s="64">
        <v>34601.825369999999</v>
      </c>
      <c r="E902" s="64">
        <v>55382.021841276888</v>
      </c>
      <c r="F902" s="64">
        <v>0</v>
      </c>
      <c r="G902" s="64">
        <v>0</v>
      </c>
      <c r="H902" s="40">
        <v>0.32350012154067187</v>
      </c>
      <c r="I902" s="40">
        <v>0</v>
      </c>
      <c r="J902" s="40">
        <v>0.32350012154067187</v>
      </c>
    </row>
    <row r="903" spans="1:10" ht="11.25" customHeight="1" x14ac:dyDescent="0.2">
      <c r="A903" s="49">
        <v>44621</v>
      </c>
      <c r="B903" s="64">
        <v>285480</v>
      </c>
      <c r="C903" s="64">
        <v>368379.70679483697</v>
      </c>
      <c r="D903" s="64">
        <v>30883.315890000002</v>
      </c>
      <c r="E903" s="64">
        <v>49430.353944099843</v>
      </c>
      <c r="F903" s="64">
        <v>0</v>
      </c>
      <c r="G903" s="64">
        <v>0</v>
      </c>
      <c r="H903" s="40">
        <v>0.3206653229169274</v>
      </c>
      <c r="I903" s="40">
        <v>0</v>
      </c>
      <c r="J903" s="40">
        <v>0.3206653229169274</v>
      </c>
    </row>
    <row r="904" spans="1:10" ht="11.25" customHeight="1" x14ac:dyDescent="0.2">
      <c r="A904" s="49">
        <v>44652</v>
      </c>
      <c r="B904" s="64">
        <v>299912.59999999998</v>
      </c>
      <c r="C904" s="64">
        <v>387003.34752724261</v>
      </c>
      <c r="D904" s="64">
        <v>37401.390460000002</v>
      </c>
      <c r="E904" s="64">
        <v>59862.871429486237</v>
      </c>
      <c r="F904" s="64">
        <v>0</v>
      </c>
      <c r="G904" s="64">
        <v>0</v>
      </c>
      <c r="H904" s="40">
        <v>0.32477819359739835</v>
      </c>
      <c r="I904" s="40">
        <v>0</v>
      </c>
      <c r="J904" s="40">
        <v>0.32477819359739835</v>
      </c>
    </row>
    <row r="905" spans="1:10" ht="11.25" customHeight="1" x14ac:dyDescent="0.2">
      <c r="A905" s="49">
        <v>44682</v>
      </c>
      <c r="B905" s="64">
        <v>285480</v>
      </c>
      <c r="C905" s="64">
        <v>368379.70679483697</v>
      </c>
      <c r="D905" s="64">
        <v>31621.065840000003</v>
      </c>
      <c r="E905" s="64">
        <v>50611.161124281876</v>
      </c>
      <c r="F905" s="64">
        <v>0</v>
      </c>
      <c r="G905" s="64">
        <v>0</v>
      </c>
      <c r="H905" s="40">
        <v>0.32131649198091772</v>
      </c>
      <c r="I905" s="40">
        <v>0</v>
      </c>
      <c r="J905" s="40">
        <v>0.32131649198091772</v>
      </c>
    </row>
    <row r="906" spans="1:10" ht="11.25" customHeight="1" x14ac:dyDescent="0.2">
      <c r="A906" s="43" t="s">
        <v>34</v>
      </c>
      <c r="B906" s="64">
        <v>1365665.94</v>
      </c>
      <c r="C906" s="64">
        <v>1744658.4741460641</v>
      </c>
      <c r="D906" s="64">
        <v>5187917.6956600016</v>
      </c>
      <c r="E906" s="64">
        <v>7679129.917889867</v>
      </c>
      <c r="F906" s="64">
        <v>0</v>
      </c>
      <c r="G906" s="64">
        <v>0</v>
      </c>
      <c r="H906" s="40">
        <v>0.43795958302237725</v>
      </c>
      <c r="I906" s="40">
        <v>0</v>
      </c>
      <c r="J906" s="40">
        <v>0.43795958302237725</v>
      </c>
    </row>
    <row r="907" spans="1:10" ht="11.25" customHeight="1" x14ac:dyDescent="0.2">
      <c r="A907" s="44" t="s">
        <v>40</v>
      </c>
      <c r="B907" s="64">
        <v>1365665.94</v>
      </c>
      <c r="C907" s="64">
        <v>1744658.4741460641</v>
      </c>
      <c r="D907" s="64">
        <v>5187917.6956600016</v>
      </c>
      <c r="E907" s="64">
        <v>7679129.917889867</v>
      </c>
      <c r="F907" s="64">
        <v>0</v>
      </c>
      <c r="G907" s="64">
        <v>0</v>
      </c>
      <c r="H907" s="40">
        <v>0.43795958302237725</v>
      </c>
      <c r="I907" s="40">
        <v>0</v>
      </c>
      <c r="J907" s="40">
        <v>0.43795958302237725</v>
      </c>
    </row>
    <row r="908" spans="1:10" ht="11.25" customHeight="1" x14ac:dyDescent="0.2">
      <c r="A908" s="45" t="s">
        <v>25</v>
      </c>
      <c r="B908" s="64">
        <v>1365665.94</v>
      </c>
      <c r="C908" s="64">
        <v>1744658.4741460641</v>
      </c>
      <c r="D908" s="64">
        <v>5187917.6956600016</v>
      </c>
      <c r="E908" s="64">
        <v>7679129.917889867</v>
      </c>
      <c r="F908" s="64">
        <v>0</v>
      </c>
      <c r="G908" s="64">
        <v>0</v>
      </c>
      <c r="H908" s="40">
        <v>0.43795958302237725</v>
      </c>
      <c r="I908" s="40">
        <v>0</v>
      </c>
      <c r="J908" s="40">
        <v>0.43795958302237725</v>
      </c>
    </row>
    <row r="909" spans="1:10" ht="11.25" customHeight="1" x14ac:dyDescent="0.2">
      <c r="A909" s="46" t="s">
        <v>54</v>
      </c>
      <c r="B909" s="64">
        <v>490118.04</v>
      </c>
      <c r="C909" s="64">
        <v>626133.05843877152</v>
      </c>
      <c r="D909" s="64">
        <v>3213080.6693300009</v>
      </c>
      <c r="E909" s="64">
        <v>4783151.9981337953</v>
      </c>
      <c r="F909" s="64">
        <v>0</v>
      </c>
      <c r="G909" s="64">
        <v>0</v>
      </c>
      <c r="H909" s="40">
        <v>0.46070613033650543</v>
      </c>
      <c r="I909" s="40">
        <v>0</v>
      </c>
      <c r="J909" s="40">
        <v>0.46070613033650543</v>
      </c>
    </row>
    <row r="910" spans="1:10" ht="11.25" customHeight="1" x14ac:dyDescent="0.2">
      <c r="A910" s="47" t="s">
        <v>25</v>
      </c>
      <c r="B910" s="64">
        <v>490118.04</v>
      </c>
      <c r="C910" s="64">
        <v>626133.05843877152</v>
      </c>
      <c r="D910" s="64">
        <v>3213080.6693300009</v>
      </c>
      <c r="E910" s="64">
        <v>4783151.9981337953</v>
      </c>
      <c r="F910" s="64">
        <v>0</v>
      </c>
      <c r="G910" s="64">
        <v>0</v>
      </c>
      <c r="H910" s="40">
        <v>0.46070613033650543</v>
      </c>
      <c r="I910" s="40">
        <v>0</v>
      </c>
      <c r="J910" s="40">
        <v>0.46070613033650543</v>
      </c>
    </row>
    <row r="911" spans="1:10" ht="11.25" customHeight="1" x14ac:dyDescent="0.2">
      <c r="A911" s="48" t="s">
        <v>35</v>
      </c>
      <c r="B911" s="64">
        <v>0</v>
      </c>
      <c r="C911" s="64">
        <v>0</v>
      </c>
      <c r="D911" s="64">
        <v>1945721.6702000001</v>
      </c>
      <c r="E911" s="64">
        <v>3114228.7692570402</v>
      </c>
      <c r="F911" s="64">
        <v>0</v>
      </c>
      <c r="G911" s="64">
        <v>0</v>
      </c>
      <c r="H911" s="40">
        <v>0.60055203010455749</v>
      </c>
      <c r="I911" s="40">
        <v>0</v>
      </c>
      <c r="J911" s="40">
        <v>0.60055203010455749</v>
      </c>
    </row>
    <row r="912" spans="1:10" ht="11.25" customHeight="1" x14ac:dyDescent="0.2">
      <c r="A912" s="49">
        <v>44348</v>
      </c>
      <c r="B912" s="64">
        <v>0</v>
      </c>
      <c r="C912" s="64">
        <v>0</v>
      </c>
      <c r="D912" s="64">
        <v>152178.70324999999</v>
      </c>
      <c r="E912" s="64">
        <v>243569.93242546654</v>
      </c>
      <c r="F912" s="64">
        <v>0</v>
      </c>
      <c r="G912" s="64">
        <v>0</v>
      </c>
      <c r="H912" s="40">
        <v>0.60055203010455771</v>
      </c>
      <c r="I912" s="40">
        <v>0</v>
      </c>
      <c r="J912" s="40">
        <v>0.60055203010455771</v>
      </c>
    </row>
    <row r="913" spans="1:10" ht="11.25" customHeight="1" x14ac:dyDescent="0.2">
      <c r="A913" s="49">
        <v>44378</v>
      </c>
      <c r="B913" s="64">
        <v>0</v>
      </c>
      <c r="C913" s="64">
        <v>0</v>
      </c>
      <c r="D913" s="64">
        <v>144208.85331999999</v>
      </c>
      <c r="E913" s="64">
        <v>230813.77294037637</v>
      </c>
      <c r="F913" s="64">
        <v>0</v>
      </c>
      <c r="G913" s="64">
        <v>0</v>
      </c>
      <c r="H913" s="40">
        <v>0.60055203010455771</v>
      </c>
      <c r="I913" s="40">
        <v>0</v>
      </c>
      <c r="J913" s="40">
        <v>0.60055203010455771</v>
      </c>
    </row>
    <row r="914" spans="1:10" ht="11.25" customHeight="1" x14ac:dyDescent="0.2">
      <c r="A914" s="49">
        <v>44409</v>
      </c>
      <c r="B914" s="64">
        <v>0</v>
      </c>
      <c r="C914" s="64">
        <v>0</v>
      </c>
      <c r="D914" s="64">
        <v>156954.55027000001</v>
      </c>
      <c r="E914" s="64">
        <v>251213.92406879633</v>
      </c>
      <c r="F914" s="64">
        <v>0</v>
      </c>
      <c r="G914" s="64">
        <v>0</v>
      </c>
      <c r="H914" s="40">
        <v>0.60055203010455749</v>
      </c>
      <c r="I914" s="40">
        <v>0</v>
      </c>
      <c r="J914" s="40">
        <v>0.60055203010455749</v>
      </c>
    </row>
    <row r="915" spans="1:10" ht="11.25" customHeight="1" x14ac:dyDescent="0.2">
      <c r="A915" s="49">
        <v>44440</v>
      </c>
      <c r="B915" s="64">
        <v>0</v>
      </c>
      <c r="C915" s="64">
        <v>0</v>
      </c>
      <c r="D915" s="64">
        <v>130253.62105</v>
      </c>
      <c r="E915" s="64">
        <v>208477.69760004725</v>
      </c>
      <c r="F915" s="64">
        <v>0</v>
      </c>
      <c r="G915" s="64">
        <v>0</v>
      </c>
      <c r="H915" s="40">
        <v>0.60055203010455771</v>
      </c>
      <c r="I915" s="40">
        <v>0</v>
      </c>
      <c r="J915" s="40">
        <v>0.60055203010455771</v>
      </c>
    </row>
    <row r="916" spans="1:10" ht="11.25" customHeight="1" x14ac:dyDescent="0.2">
      <c r="A916" s="49">
        <v>44470</v>
      </c>
      <c r="B916" s="64">
        <v>0</v>
      </c>
      <c r="C916" s="64">
        <v>0</v>
      </c>
      <c r="D916" s="64">
        <v>170123.19610999999</v>
      </c>
      <c r="E916" s="64">
        <v>272291.02690173627</v>
      </c>
      <c r="F916" s="64">
        <v>0</v>
      </c>
      <c r="G916" s="64">
        <v>0</v>
      </c>
      <c r="H916" s="40">
        <v>0.60055203010455771</v>
      </c>
      <c r="I916" s="40">
        <v>0</v>
      </c>
      <c r="J916" s="40">
        <v>0.60055203010455771</v>
      </c>
    </row>
    <row r="917" spans="1:10" ht="11.25" customHeight="1" x14ac:dyDescent="0.2">
      <c r="A917" s="49">
        <v>44501</v>
      </c>
      <c r="B917" s="64">
        <v>0</v>
      </c>
      <c r="C917" s="64">
        <v>0</v>
      </c>
      <c r="D917" s="64">
        <v>173950.89397000003</v>
      </c>
      <c r="E917" s="64">
        <v>278417.45648218616</v>
      </c>
      <c r="F917" s="64">
        <v>0</v>
      </c>
      <c r="G917" s="64">
        <v>0</v>
      </c>
      <c r="H917" s="40">
        <v>0.60055203010455727</v>
      </c>
      <c r="I917" s="40">
        <v>0</v>
      </c>
      <c r="J917" s="40">
        <v>0.60055203010455727</v>
      </c>
    </row>
    <row r="918" spans="1:10" ht="11.25" customHeight="1" x14ac:dyDescent="0.2">
      <c r="A918" s="49">
        <v>44531</v>
      </c>
      <c r="B918" s="64">
        <v>0</v>
      </c>
      <c r="C918" s="64">
        <v>0</v>
      </c>
      <c r="D918" s="64">
        <v>178208.06150000001</v>
      </c>
      <c r="E918" s="64">
        <v>285231.27461482282</v>
      </c>
      <c r="F918" s="64">
        <v>0</v>
      </c>
      <c r="G918" s="64">
        <v>0</v>
      </c>
      <c r="H918" s="40">
        <v>0.60055203010455727</v>
      </c>
      <c r="I918" s="40">
        <v>0</v>
      </c>
      <c r="J918" s="40">
        <v>0.60055203010455727</v>
      </c>
    </row>
    <row r="919" spans="1:10" ht="11.25" customHeight="1" x14ac:dyDescent="0.2">
      <c r="A919" s="49">
        <v>44562</v>
      </c>
      <c r="B919" s="64">
        <v>0</v>
      </c>
      <c r="C919" s="64">
        <v>0</v>
      </c>
      <c r="D919" s="64">
        <v>165971.05476</v>
      </c>
      <c r="E919" s="64">
        <v>265645.30863471271</v>
      </c>
      <c r="F919" s="64">
        <v>0</v>
      </c>
      <c r="G919" s="64">
        <v>0</v>
      </c>
      <c r="H919" s="40">
        <v>0.60055203010455771</v>
      </c>
      <c r="I919" s="40">
        <v>0</v>
      </c>
      <c r="J919" s="40">
        <v>0.60055203010455771</v>
      </c>
    </row>
    <row r="920" spans="1:10" ht="11.25" customHeight="1" x14ac:dyDescent="0.2">
      <c r="A920" s="49">
        <v>44593</v>
      </c>
      <c r="B920" s="64">
        <v>0</v>
      </c>
      <c r="C920" s="64">
        <v>0</v>
      </c>
      <c r="D920" s="64">
        <v>171830.04496</v>
      </c>
      <c r="E920" s="64">
        <v>275022.92729368538</v>
      </c>
      <c r="F920" s="64">
        <v>0</v>
      </c>
      <c r="G920" s="64">
        <v>0</v>
      </c>
      <c r="H920" s="40">
        <v>0.60055203010455749</v>
      </c>
      <c r="I920" s="40">
        <v>0</v>
      </c>
      <c r="J920" s="40">
        <v>0.60055203010455749</v>
      </c>
    </row>
    <row r="921" spans="1:10" ht="11.25" customHeight="1" x14ac:dyDescent="0.2">
      <c r="A921" s="49">
        <v>44621</v>
      </c>
      <c r="B921" s="64">
        <v>0</v>
      </c>
      <c r="C921" s="64">
        <v>0</v>
      </c>
      <c r="D921" s="64">
        <v>173142.45599000002</v>
      </c>
      <c r="E921" s="64">
        <v>277123.50943208352</v>
      </c>
      <c r="F921" s="64">
        <v>0</v>
      </c>
      <c r="G921" s="64">
        <v>0</v>
      </c>
      <c r="H921" s="40">
        <v>0.60055203010455749</v>
      </c>
      <c r="I921" s="40">
        <v>0</v>
      </c>
      <c r="J921" s="40">
        <v>0.60055203010455749</v>
      </c>
    </row>
    <row r="922" spans="1:10" ht="11.25" customHeight="1" x14ac:dyDescent="0.2">
      <c r="A922" s="49">
        <v>44652</v>
      </c>
      <c r="B922" s="64">
        <v>0</v>
      </c>
      <c r="C922" s="64">
        <v>0</v>
      </c>
      <c r="D922" s="64">
        <v>197084.05472000001</v>
      </c>
      <c r="E922" s="64">
        <v>315443.28388333373</v>
      </c>
      <c r="F922" s="64">
        <v>0</v>
      </c>
      <c r="G922" s="64">
        <v>0</v>
      </c>
      <c r="H922" s="40">
        <v>0.60055203010455749</v>
      </c>
      <c r="I922" s="40">
        <v>0</v>
      </c>
      <c r="J922" s="40">
        <v>0.60055203010455749</v>
      </c>
    </row>
    <row r="923" spans="1:10" ht="11.25" customHeight="1" x14ac:dyDescent="0.2">
      <c r="A923" s="49">
        <v>44682</v>
      </c>
      <c r="B923" s="64">
        <v>0</v>
      </c>
      <c r="C923" s="64">
        <v>0</v>
      </c>
      <c r="D923" s="64">
        <v>131816.18030000001</v>
      </c>
      <c r="E923" s="64">
        <v>210978.65497979341</v>
      </c>
      <c r="F923" s="64">
        <v>0</v>
      </c>
      <c r="G923" s="64">
        <v>0</v>
      </c>
      <c r="H923" s="40">
        <v>0.60055203010455771</v>
      </c>
      <c r="I923" s="40">
        <v>0</v>
      </c>
      <c r="J923" s="40">
        <v>0.60055203010455771</v>
      </c>
    </row>
    <row r="924" spans="1:10" ht="11.25" customHeight="1" x14ac:dyDescent="0.2">
      <c r="A924" s="48" t="s">
        <v>25</v>
      </c>
      <c r="B924" s="64">
        <v>490118.04</v>
      </c>
      <c r="C924" s="64">
        <v>626133.05843877152</v>
      </c>
      <c r="D924" s="64">
        <v>0</v>
      </c>
      <c r="E924" s="64">
        <v>0</v>
      </c>
      <c r="F924" s="64">
        <v>0</v>
      </c>
      <c r="G924" s="64">
        <v>0</v>
      </c>
      <c r="H924" s="40">
        <v>0.27751481753002105</v>
      </c>
      <c r="I924" s="40">
        <v>0</v>
      </c>
      <c r="J924" s="40">
        <v>0.27751481753002105</v>
      </c>
    </row>
    <row r="925" spans="1:10" ht="11.25" customHeight="1" x14ac:dyDescent="0.2">
      <c r="A925" s="49">
        <v>44348</v>
      </c>
      <c r="B925" s="64">
        <v>41874.03</v>
      </c>
      <c r="C925" s="64">
        <v>53494.693794696614</v>
      </c>
      <c r="D925" s="64">
        <v>0</v>
      </c>
      <c r="E925" s="64">
        <v>0</v>
      </c>
      <c r="F925" s="64">
        <v>0</v>
      </c>
      <c r="G925" s="64">
        <v>0</v>
      </c>
      <c r="H925" s="40">
        <v>0.27751481753002083</v>
      </c>
      <c r="I925" s="40">
        <v>0</v>
      </c>
      <c r="J925" s="40">
        <v>0.27751481753002083</v>
      </c>
    </row>
    <row r="926" spans="1:10" ht="11.25" customHeight="1" x14ac:dyDescent="0.2">
      <c r="A926" s="49">
        <v>44378</v>
      </c>
      <c r="B926" s="64">
        <v>42476.4</v>
      </c>
      <c r="C926" s="64">
        <v>54264.230395332175</v>
      </c>
      <c r="D926" s="64">
        <v>0</v>
      </c>
      <c r="E926" s="64">
        <v>0</v>
      </c>
      <c r="F926" s="64">
        <v>0</v>
      </c>
      <c r="G926" s="64">
        <v>0</v>
      </c>
      <c r="H926" s="40">
        <v>0.27751481753002083</v>
      </c>
      <c r="I926" s="40">
        <v>0</v>
      </c>
      <c r="J926" s="40">
        <v>0.27751481753002083</v>
      </c>
    </row>
    <row r="927" spans="1:10" ht="11.25" customHeight="1" x14ac:dyDescent="0.2">
      <c r="A927" s="49">
        <v>44409</v>
      </c>
      <c r="B927" s="64">
        <v>42569.55</v>
      </c>
      <c r="C927" s="64">
        <v>54383.230900585098</v>
      </c>
      <c r="D927" s="64">
        <v>0</v>
      </c>
      <c r="E927" s="64">
        <v>0</v>
      </c>
      <c r="F927" s="64">
        <v>0</v>
      </c>
      <c r="G927" s="64">
        <v>0</v>
      </c>
      <c r="H927" s="40">
        <v>0.27751481753002083</v>
      </c>
      <c r="I927" s="40">
        <v>0</v>
      </c>
      <c r="J927" s="40">
        <v>0.27751481753002083</v>
      </c>
    </row>
    <row r="928" spans="1:10" ht="11.25" customHeight="1" x14ac:dyDescent="0.2">
      <c r="A928" s="49">
        <v>44440</v>
      </c>
      <c r="B928" s="64">
        <v>32260.95</v>
      </c>
      <c r="C928" s="64">
        <v>41213.841652595125</v>
      </c>
      <c r="D928" s="64">
        <v>0</v>
      </c>
      <c r="E928" s="64">
        <v>0</v>
      </c>
      <c r="F928" s="64">
        <v>0</v>
      </c>
      <c r="G928" s="64">
        <v>0</v>
      </c>
      <c r="H928" s="40">
        <v>0.27751481753002083</v>
      </c>
      <c r="I928" s="40">
        <v>0</v>
      </c>
      <c r="J928" s="40">
        <v>0.27751481753002083</v>
      </c>
    </row>
    <row r="929" spans="1:10" ht="11.25" customHeight="1" x14ac:dyDescent="0.2">
      <c r="A929" s="49">
        <v>44470</v>
      </c>
      <c r="B929" s="64">
        <v>41271.659999999996</v>
      </c>
      <c r="C929" s="64">
        <v>52725.157194061059</v>
      </c>
      <c r="D929" s="64">
        <v>0</v>
      </c>
      <c r="E929" s="64">
        <v>0</v>
      </c>
      <c r="F929" s="64">
        <v>0</v>
      </c>
      <c r="G929" s="64">
        <v>0</v>
      </c>
      <c r="H929" s="40">
        <v>0.27751481753002105</v>
      </c>
      <c r="I929" s="40">
        <v>0</v>
      </c>
      <c r="J929" s="40">
        <v>0.27751481753002105</v>
      </c>
    </row>
    <row r="930" spans="1:10" ht="11.25" customHeight="1" x14ac:dyDescent="0.2">
      <c r="A930" s="49">
        <v>44501</v>
      </c>
      <c r="B930" s="64">
        <v>42246.63</v>
      </c>
      <c r="C930" s="64">
        <v>53970.695815708306</v>
      </c>
      <c r="D930" s="64">
        <v>0</v>
      </c>
      <c r="E930" s="64">
        <v>0</v>
      </c>
      <c r="F930" s="64">
        <v>0</v>
      </c>
      <c r="G930" s="64">
        <v>0</v>
      </c>
      <c r="H930" s="40">
        <v>0.27751481753002105</v>
      </c>
      <c r="I930" s="40">
        <v>0</v>
      </c>
      <c r="J930" s="40">
        <v>0.27751481753002105</v>
      </c>
    </row>
    <row r="931" spans="1:10" ht="11.25" customHeight="1" x14ac:dyDescent="0.2">
      <c r="A931" s="49">
        <v>44531</v>
      </c>
      <c r="B931" s="64">
        <v>42613.02</v>
      </c>
      <c r="C931" s="64">
        <v>54438.764469703128</v>
      </c>
      <c r="D931" s="64">
        <v>0</v>
      </c>
      <c r="E931" s="64">
        <v>0</v>
      </c>
      <c r="F931" s="64">
        <v>0</v>
      </c>
      <c r="G931" s="64">
        <v>0</v>
      </c>
      <c r="H931" s="40">
        <v>0.27751481753002083</v>
      </c>
      <c r="I931" s="40">
        <v>0</v>
      </c>
      <c r="J931" s="40">
        <v>0.27751481753002083</v>
      </c>
    </row>
    <row r="932" spans="1:10" ht="11.25" customHeight="1" x14ac:dyDescent="0.2">
      <c r="A932" s="49">
        <v>44562</v>
      </c>
      <c r="B932" s="64">
        <v>42333.57</v>
      </c>
      <c r="C932" s="64">
        <v>54081.762953944366</v>
      </c>
      <c r="D932" s="64">
        <v>0</v>
      </c>
      <c r="E932" s="64">
        <v>0</v>
      </c>
      <c r="F932" s="64">
        <v>0</v>
      </c>
      <c r="G932" s="64">
        <v>0</v>
      </c>
      <c r="H932" s="40">
        <v>0.27751481753002083</v>
      </c>
      <c r="I932" s="40">
        <v>0</v>
      </c>
      <c r="J932" s="40">
        <v>0.27751481753002083</v>
      </c>
    </row>
    <row r="933" spans="1:10" ht="11.25" customHeight="1" x14ac:dyDescent="0.2">
      <c r="A933" s="49">
        <v>44593</v>
      </c>
      <c r="B933" s="64">
        <v>43196.76</v>
      </c>
      <c r="C933" s="64">
        <v>55184.500969288099</v>
      </c>
      <c r="D933" s="64">
        <v>0</v>
      </c>
      <c r="E933" s="64">
        <v>0</v>
      </c>
      <c r="F933" s="64">
        <v>0</v>
      </c>
      <c r="G933" s="64">
        <v>0</v>
      </c>
      <c r="H933" s="40">
        <v>0.27751481753002061</v>
      </c>
      <c r="I933" s="40">
        <v>0</v>
      </c>
      <c r="J933" s="40">
        <v>0.27751481753002061</v>
      </c>
    </row>
    <row r="934" spans="1:10" ht="11.25" customHeight="1" x14ac:dyDescent="0.2">
      <c r="A934" s="49">
        <v>44621</v>
      </c>
      <c r="B934" s="64">
        <v>42389.46</v>
      </c>
      <c r="C934" s="64">
        <v>54153.163257096116</v>
      </c>
      <c r="D934" s="64">
        <v>0</v>
      </c>
      <c r="E934" s="64">
        <v>0</v>
      </c>
      <c r="F934" s="64">
        <v>0</v>
      </c>
      <c r="G934" s="64">
        <v>0</v>
      </c>
      <c r="H934" s="40">
        <v>0.27751481753002083</v>
      </c>
      <c r="I934" s="40">
        <v>0</v>
      </c>
      <c r="J934" s="40">
        <v>0.27751481753002083</v>
      </c>
    </row>
    <row r="935" spans="1:10" ht="11.25" customHeight="1" x14ac:dyDescent="0.2">
      <c r="A935" s="49">
        <v>44652</v>
      </c>
      <c r="B935" s="64">
        <v>43805.34</v>
      </c>
      <c r="C935" s="64">
        <v>55961.970936940525</v>
      </c>
      <c r="D935" s="64">
        <v>0</v>
      </c>
      <c r="E935" s="64">
        <v>0</v>
      </c>
      <c r="F935" s="64">
        <v>0</v>
      </c>
      <c r="G935" s="64">
        <v>0</v>
      </c>
      <c r="H935" s="40">
        <v>0.27751481753002105</v>
      </c>
      <c r="I935" s="40">
        <v>0</v>
      </c>
      <c r="J935" s="40">
        <v>0.27751481753002105</v>
      </c>
    </row>
    <row r="936" spans="1:10" ht="11.25" customHeight="1" x14ac:dyDescent="0.2">
      <c r="A936" s="49">
        <v>44682</v>
      </c>
      <c r="B936" s="64">
        <v>33080.67</v>
      </c>
      <c r="C936" s="64">
        <v>42261.046098820836</v>
      </c>
      <c r="D936" s="64">
        <v>0</v>
      </c>
      <c r="E936" s="64">
        <v>0</v>
      </c>
      <c r="F936" s="64">
        <v>0</v>
      </c>
      <c r="G936" s="64">
        <v>0</v>
      </c>
      <c r="H936" s="40">
        <v>0.27751481753002105</v>
      </c>
      <c r="I936" s="40">
        <v>0</v>
      </c>
      <c r="J936" s="40">
        <v>0.27751481753002105</v>
      </c>
    </row>
    <row r="937" spans="1:10" ht="11.25" customHeight="1" x14ac:dyDescent="0.2">
      <c r="A937" s="48" t="s">
        <v>37</v>
      </c>
      <c r="B937" s="64">
        <v>0</v>
      </c>
      <c r="C937" s="64">
        <v>0</v>
      </c>
      <c r="D937" s="64">
        <v>1267358.9991299999</v>
      </c>
      <c r="E937" s="64">
        <v>1668923.2288767553</v>
      </c>
      <c r="F937" s="64">
        <v>0</v>
      </c>
      <c r="G937" s="64">
        <v>0</v>
      </c>
      <c r="H937" s="40">
        <v>0.31685120792326082</v>
      </c>
      <c r="I937" s="40">
        <v>0</v>
      </c>
      <c r="J937" s="40">
        <v>0.31685120792326082</v>
      </c>
    </row>
    <row r="938" spans="1:10" ht="11.25" customHeight="1" x14ac:dyDescent="0.2">
      <c r="A938" s="49">
        <v>44348</v>
      </c>
      <c r="B938" s="64">
        <v>0</v>
      </c>
      <c r="C938" s="64">
        <v>0</v>
      </c>
      <c r="D938" s="64">
        <v>95478.365429999991</v>
      </c>
      <c r="E938" s="64">
        <v>125730.800847034</v>
      </c>
      <c r="F938" s="64">
        <v>0</v>
      </c>
      <c r="G938" s="64">
        <v>0</v>
      </c>
      <c r="H938" s="40">
        <v>0.31685120792326082</v>
      </c>
      <c r="I938" s="40">
        <v>0</v>
      </c>
      <c r="J938" s="40">
        <v>0.31685120792326082</v>
      </c>
    </row>
    <row r="939" spans="1:10" ht="11.25" customHeight="1" x14ac:dyDescent="0.2">
      <c r="A939" s="49">
        <v>44378</v>
      </c>
      <c r="B939" s="64">
        <v>0</v>
      </c>
      <c r="C939" s="64">
        <v>0</v>
      </c>
      <c r="D939" s="64">
        <v>93785.322329999995</v>
      </c>
      <c r="E939" s="64">
        <v>123501.31499573287</v>
      </c>
      <c r="F939" s="64">
        <v>0</v>
      </c>
      <c r="G939" s="64">
        <v>0</v>
      </c>
      <c r="H939" s="40">
        <v>0.31685120792326105</v>
      </c>
      <c r="I939" s="40">
        <v>0</v>
      </c>
      <c r="J939" s="40">
        <v>0.31685120792326105</v>
      </c>
    </row>
    <row r="940" spans="1:10" ht="11.25" customHeight="1" x14ac:dyDescent="0.2">
      <c r="A940" s="49">
        <v>44409</v>
      </c>
      <c r="B940" s="64">
        <v>0</v>
      </c>
      <c r="C940" s="64">
        <v>0</v>
      </c>
      <c r="D940" s="64">
        <v>97098.127559999994</v>
      </c>
      <c r="E940" s="64">
        <v>127863.78656447286</v>
      </c>
      <c r="F940" s="64">
        <v>0</v>
      </c>
      <c r="G940" s="64">
        <v>0</v>
      </c>
      <c r="H940" s="40">
        <v>0.31685120792326082</v>
      </c>
      <c r="I940" s="40">
        <v>0</v>
      </c>
      <c r="J940" s="40">
        <v>0.31685120792326082</v>
      </c>
    </row>
    <row r="941" spans="1:10" ht="11.25" customHeight="1" x14ac:dyDescent="0.2">
      <c r="A941" s="49">
        <v>44440</v>
      </c>
      <c r="B941" s="64">
        <v>0</v>
      </c>
      <c r="C941" s="64">
        <v>0</v>
      </c>
      <c r="D941" s="64">
        <v>84828.618944999995</v>
      </c>
      <c r="E941" s="64">
        <v>111706.66932418526</v>
      </c>
      <c r="F941" s="64">
        <v>0</v>
      </c>
      <c r="G941" s="64">
        <v>0</v>
      </c>
      <c r="H941" s="40">
        <v>0.31685120792326105</v>
      </c>
      <c r="I941" s="40">
        <v>0</v>
      </c>
      <c r="J941" s="40">
        <v>0.31685120792326105</v>
      </c>
    </row>
    <row r="942" spans="1:10" ht="11.25" customHeight="1" x14ac:dyDescent="0.2">
      <c r="A942" s="49">
        <v>44470</v>
      </c>
      <c r="B942" s="64">
        <v>0</v>
      </c>
      <c r="C942" s="64">
        <v>0</v>
      </c>
      <c r="D942" s="64">
        <v>112347.3078</v>
      </c>
      <c r="E942" s="64">
        <v>147944.68798335639</v>
      </c>
      <c r="F942" s="64">
        <v>0</v>
      </c>
      <c r="G942" s="64">
        <v>0</v>
      </c>
      <c r="H942" s="40">
        <v>0.31685120792326082</v>
      </c>
      <c r="I942" s="40">
        <v>0</v>
      </c>
      <c r="J942" s="40">
        <v>0.31685120792326082</v>
      </c>
    </row>
    <row r="943" spans="1:10" ht="11.25" customHeight="1" x14ac:dyDescent="0.2">
      <c r="A943" s="49">
        <v>44501</v>
      </c>
      <c r="B943" s="64">
        <v>0</v>
      </c>
      <c r="C943" s="64">
        <v>0</v>
      </c>
      <c r="D943" s="64">
        <v>108423.40666499999</v>
      </c>
      <c r="E943" s="64">
        <v>142777.49403396016</v>
      </c>
      <c r="F943" s="64">
        <v>0</v>
      </c>
      <c r="G943" s="64">
        <v>0</v>
      </c>
      <c r="H943" s="40">
        <v>0.31685120792326082</v>
      </c>
      <c r="I943" s="40">
        <v>0</v>
      </c>
      <c r="J943" s="40">
        <v>0.31685120792326082</v>
      </c>
    </row>
    <row r="944" spans="1:10" ht="11.25" customHeight="1" x14ac:dyDescent="0.2">
      <c r="A944" s="49">
        <v>44531</v>
      </c>
      <c r="B944" s="64">
        <v>0</v>
      </c>
      <c r="C944" s="64">
        <v>0</v>
      </c>
      <c r="D944" s="64">
        <v>116506.21342499999</v>
      </c>
      <c r="E944" s="64">
        <v>153421.34787927647</v>
      </c>
      <c r="F944" s="64">
        <v>0</v>
      </c>
      <c r="G944" s="64">
        <v>0</v>
      </c>
      <c r="H944" s="40">
        <v>0.31685120792326082</v>
      </c>
      <c r="I944" s="40">
        <v>0</v>
      </c>
      <c r="J944" s="40">
        <v>0.31685120792326082</v>
      </c>
    </row>
    <row r="945" spans="1:10" ht="11.25" customHeight="1" x14ac:dyDescent="0.2">
      <c r="A945" s="49">
        <v>44562</v>
      </c>
      <c r="B945" s="64">
        <v>0</v>
      </c>
      <c r="C945" s="64">
        <v>0</v>
      </c>
      <c r="D945" s="64">
        <v>110711.962935</v>
      </c>
      <c r="E945" s="64">
        <v>145791.18212251004</v>
      </c>
      <c r="F945" s="64">
        <v>0</v>
      </c>
      <c r="G945" s="64">
        <v>0</v>
      </c>
      <c r="H945" s="40">
        <v>0.31685120792326082</v>
      </c>
      <c r="I945" s="40">
        <v>0</v>
      </c>
      <c r="J945" s="40">
        <v>0.31685120792326082</v>
      </c>
    </row>
    <row r="946" spans="1:10" ht="11.25" customHeight="1" x14ac:dyDescent="0.2">
      <c r="A946" s="49">
        <v>44593</v>
      </c>
      <c r="B946" s="64">
        <v>0</v>
      </c>
      <c r="C946" s="64">
        <v>0</v>
      </c>
      <c r="D946" s="64">
        <v>110185.94033999999</v>
      </c>
      <c r="E946" s="64">
        <v>145098.48863288935</v>
      </c>
      <c r="F946" s="64">
        <v>0</v>
      </c>
      <c r="G946" s="64">
        <v>0</v>
      </c>
      <c r="H946" s="40">
        <v>0.31685120792326105</v>
      </c>
      <c r="I946" s="40">
        <v>0</v>
      </c>
      <c r="J946" s="40">
        <v>0.31685120792326105</v>
      </c>
    </row>
    <row r="947" spans="1:10" ht="11.25" customHeight="1" x14ac:dyDescent="0.2">
      <c r="A947" s="49">
        <v>44621</v>
      </c>
      <c r="B947" s="64">
        <v>0</v>
      </c>
      <c r="C947" s="64">
        <v>0</v>
      </c>
      <c r="D947" s="64">
        <v>116698.68125999998</v>
      </c>
      <c r="E947" s="64">
        <v>153674.79938028258</v>
      </c>
      <c r="F947" s="64">
        <v>0</v>
      </c>
      <c r="G947" s="64">
        <v>0</v>
      </c>
      <c r="H947" s="40">
        <v>0.31685120792326082</v>
      </c>
      <c r="I947" s="40">
        <v>0</v>
      </c>
      <c r="J947" s="40">
        <v>0.31685120792326082</v>
      </c>
    </row>
    <row r="948" spans="1:10" ht="11.25" customHeight="1" x14ac:dyDescent="0.2">
      <c r="A948" s="49">
        <v>44652</v>
      </c>
      <c r="B948" s="64">
        <v>0</v>
      </c>
      <c r="C948" s="64">
        <v>0</v>
      </c>
      <c r="D948" s="64">
        <v>134169.87528000001</v>
      </c>
      <c r="E948" s="64">
        <v>176681.76232938125</v>
      </c>
      <c r="F948" s="64">
        <v>0</v>
      </c>
      <c r="G948" s="64">
        <v>0</v>
      </c>
      <c r="H948" s="40">
        <v>0.31685120792326082</v>
      </c>
      <c r="I948" s="40">
        <v>0</v>
      </c>
      <c r="J948" s="40">
        <v>0.31685120792326082</v>
      </c>
    </row>
    <row r="949" spans="1:10" ht="11.25" customHeight="1" x14ac:dyDescent="0.2">
      <c r="A949" s="49">
        <v>44682</v>
      </c>
      <c r="B949" s="64">
        <v>0</v>
      </c>
      <c r="C949" s="64">
        <v>0</v>
      </c>
      <c r="D949" s="64">
        <v>87125.177160000007</v>
      </c>
      <c r="E949" s="64">
        <v>114730.8947836741</v>
      </c>
      <c r="F949" s="64">
        <v>0</v>
      </c>
      <c r="G949" s="64">
        <v>0</v>
      </c>
      <c r="H949" s="40">
        <v>0.31685120792326082</v>
      </c>
      <c r="I949" s="40">
        <v>0</v>
      </c>
      <c r="J949" s="40">
        <v>0.31685120792326082</v>
      </c>
    </row>
    <row r="950" spans="1:10" ht="11.25" customHeight="1" x14ac:dyDescent="0.2">
      <c r="A950" s="46" t="s">
        <v>25</v>
      </c>
      <c r="B950" s="64">
        <v>875547.9</v>
      </c>
      <c r="C950" s="64">
        <v>1118525.415707293</v>
      </c>
      <c r="D950" s="64">
        <v>1974837.0263299998</v>
      </c>
      <c r="E950" s="64">
        <v>2895977.9197560716</v>
      </c>
      <c r="F950" s="64">
        <v>0</v>
      </c>
      <c r="G950" s="64">
        <v>0</v>
      </c>
      <c r="H950" s="40">
        <v>0.40840743942335545</v>
      </c>
      <c r="I950" s="40">
        <v>0</v>
      </c>
      <c r="J950" s="40">
        <v>0.40840743942335545</v>
      </c>
    </row>
    <row r="951" spans="1:10" ht="11.25" customHeight="1" x14ac:dyDescent="0.2">
      <c r="A951" s="47" t="s">
        <v>25</v>
      </c>
      <c r="B951" s="64">
        <v>875547.9</v>
      </c>
      <c r="C951" s="64">
        <v>1118525.415707293</v>
      </c>
      <c r="D951" s="64">
        <v>1974837.0263299998</v>
      </c>
      <c r="E951" s="64">
        <v>2895977.9197560716</v>
      </c>
      <c r="F951" s="64">
        <v>0</v>
      </c>
      <c r="G951" s="64">
        <v>0</v>
      </c>
      <c r="H951" s="40">
        <v>0.40840743942335545</v>
      </c>
      <c r="I951" s="40">
        <v>0</v>
      </c>
      <c r="J951" s="40">
        <v>0.40840743942335545</v>
      </c>
    </row>
    <row r="952" spans="1:10" ht="11.25" customHeight="1" x14ac:dyDescent="0.2">
      <c r="A952" s="48" t="s">
        <v>35</v>
      </c>
      <c r="B952" s="64">
        <v>0</v>
      </c>
      <c r="C952" s="64">
        <v>0</v>
      </c>
      <c r="D952" s="64">
        <v>1041277.8994100001</v>
      </c>
      <c r="E952" s="64">
        <v>1666619.4558036849</v>
      </c>
      <c r="F952" s="64">
        <v>0</v>
      </c>
      <c r="G952" s="64">
        <v>0</v>
      </c>
      <c r="H952" s="40">
        <v>0.60055203010455749</v>
      </c>
      <c r="I952" s="40">
        <v>0</v>
      </c>
      <c r="J952" s="40">
        <v>0.60055203010455749</v>
      </c>
    </row>
    <row r="953" spans="1:10" ht="11.25" customHeight="1" x14ac:dyDescent="0.2">
      <c r="A953" s="49">
        <v>44348</v>
      </c>
      <c r="B953" s="64">
        <v>0</v>
      </c>
      <c r="C953" s="64">
        <v>0</v>
      </c>
      <c r="D953" s="64">
        <v>76491.385460000005</v>
      </c>
      <c r="E953" s="64">
        <v>122428.44228351323</v>
      </c>
      <c r="F953" s="64">
        <v>0</v>
      </c>
      <c r="G953" s="64">
        <v>0</v>
      </c>
      <c r="H953" s="40">
        <v>0.60055203010455727</v>
      </c>
      <c r="I953" s="40">
        <v>0</v>
      </c>
      <c r="J953" s="40">
        <v>0.60055203010455727</v>
      </c>
    </row>
    <row r="954" spans="1:10" ht="11.25" customHeight="1" x14ac:dyDescent="0.2">
      <c r="A954" s="49">
        <v>44378</v>
      </c>
      <c r="B954" s="64">
        <v>0</v>
      </c>
      <c r="C954" s="64">
        <v>0</v>
      </c>
      <c r="D954" s="64">
        <v>75406.299920000005</v>
      </c>
      <c r="E954" s="64">
        <v>120691.70641962915</v>
      </c>
      <c r="F954" s="64">
        <v>0</v>
      </c>
      <c r="G954" s="64">
        <v>0</v>
      </c>
      <c r="H954" s="40">
        <v>0.60055203010455749</v>
      </c>
      <c r="I954" s="40">
        <v>0</v>
      </c>
      <c r="J954" s="40">
        <v>0.60055203010455749</v>
      </c>
    </row>
    <row r="955" spans="1:10" ht="11.25" customHeight="1" x14ac:dyDescent="0.2">
      <c r="A955" s="49">
        <v>44409</v>
      </c>
      <c r="B955" s="64">
        <v>0</v>
      </c>
      <c r="C955" s="64">
        <v>0</v>
      </c>
      <c r="D955" s="64">
        <v>64361.000410000008</v>
      </c>
      <c r="E955" s="64">
        <v>103013.12986578577</v>
      </c>
      <c r="F955" s="64">
        <v>0</v>
      </c>
      <c r="G955" s="64">
        <v>0</v>
      </c>
      <c r="H955" s="40">
        <v>0.60055203010455749</v>
      </c>
      <c r="I955" s="40">
        <v>0</v>
      </c>
      <c r="J955" s="40">
        <v>0.60055203010455749</v>
      </c>
    </row>
    <row r="956" spans="1:10" ht="11.25" customHeight="1" x14ac:dyDescent="0.2">
      <c r="A956" s="49">
        <v>44440</v>
      </c>
      <c r="B956" s="64">
        <v>0</v>
      </c>
      <c r="C956" s="64">
        <v>0</v>
      </c>
      <c r="D956" s="64">
        <v>104097.80129</v>
      </c>
      <c r="E956" s="64">
        <v>166613.94718413035</v>
      </c>
      <c r="F956" s="64">
        <v>0</v>
      </c>
      <c r="G956" s="64">
        <v>0</v>
      </c>
      <c r="H956" s="40">
        <v>0.60055203010455771</v>
      </c>
      <c r="I956" s="40">
        <v>0</v>
      </c>
      <c r="J956" s="40">
        <v>0.60055203010455771</v>
      </c>
    </row>
    <row r="957" spans="1:10" ht="11.25" customHeight="1" x14ac:dyDescent="0.2">
      <c r="A957" s="49">
        <v>44470</v>
      </c>
      <c r="B957" s="64">
        <v>0</v>
      </c>
      <c r="C957" s="64">
        <v>0</v>
      </c>
      <c r="D957" s="64">
        <v>104419.81683000001</v>
      </c>
      <c r="E957" s="64">
        <v>167129.34981040255</v>
      </c>
      <c r="F957" s="64">
        <v>0</v>
      </c>
      <c r="G957" s="64">
        <v>0</v>
      </c>
      <c r="H957" s="40">
        <v>0.60055203010455749</v>
      </c>
      <c r="I957" s="40">
        <v>0</v>
      </c>
      <c r="J957" s="40">
        <v>0.60055203010455749</v>
      </c>
    </row>
    <row r="958" spans="1:10" ht="11.25" customHeight="1" x14ac:dyDescent="0.2">
      <c r="A958" s="49">
        <v>44501</v>
      </c>
      <c r="B958" s="64">
        <v>0</v>
      </c>
      <c r="C958" s="64">
        <v>0</v>
      </c>
      <c r="D958" s="64">
        <v>83952.267700000011</v>
      </c>
      <c r="E958" s="64">
        <v>134369.97249911629</v>
      </c>
      <c r="F958" s="64">
        <v>0</v>
      </c>
      <c r="G958" s="64">
        <v>0</v>
      </c>
      <c r="H958" s="40">
        <v>0.60055203010455749</v>
      </c>
      <c r="I958" s="40">
        <v>0</v>
      </c>
      <c r="J958" s="40">
        <v>0.60055203010455749</v>
      </c>
    </row>
    <row r="959" spans="1:10" ht="11.25" customHeight="1" x14ac:dyDescent="0.2">
      <c r="A959" s="49">
        <v>44531</v>
      </c>
      <c r="B959" s="64">
        <v>0</v>
      </c>
      <c r="C959" s="64">
        <v>0</v>
      </c>
      <c r="D959" s="64">
        <v>103110.52745000001</v>
      </c>
      <c r="E959" s="64">
        <v>165033.76403524922</v>
      </c>
      <c r="F959" s="64">
        <v>0</v>
      </c>
      <c r="G959" s="64">
        <v>0</v>
      </c>
      <c r="H959" s="40">
        <v>0.60055203010455749</v>
      </c>
      <c r="I959" s="40">
        <v>0</v>
      </c>
      <c r="J959" s="40">
        <v>0.60055203010455749</v>
      </c>
    </row>
    <row r="960" spans="1:10" ht="11.25" customHeight="1" x14ac:dyDescent="0.2">
      <c r="A960" s="49">
        <v>44562</v>
      </c>
      <c r="B960" s="64">
        <v>0</v>
      </c>
      <c r="C960" s="64">
        <v>0</v>
      </c>
      <c r="D960" s="64">
        <v>72513.362810000006</v>
      </c>
      <c r="E960" s="64">
        <v>116061.41005525384</v>
      </c>
      <c r="F960" s="64">
        <v>0</v>
      </c>
      <c r="G960" s="64">
        <v>0</v>
      </c>
      <c r="H960" s="40">
        <v>0.60055203010455771</v>
      </c>
      <c r="I960" s="40">
        <v>0</v>
      </c>
      <c r="J960" s="40">
        <v>0.60055203010455771</v>
      </c>
    </row>
    <row r="961" spans="1:10" ht="11.25" customHeight="1" x14ac:dyDescent="0.2">
      <c r="A961" s="49">
        <v>44593</v>
      </c>
      <c r="B961" s="64">
        <v>0</v>
      </c>
      <c r="C961" s="64">
        <v>0</v>
      </c>
      <c r="D961" s="64">
        <v>84438.828880000001</v>
      </c>
      <c r="E961" s="64">
        <v>135148.73898353535</v>
      </c>
      <c r="F961" s="64">
        <v>0</v>
      </c>
      <c r="G961" s="64">
        <v>0</v>
      </c>
      <c r="H961" s="40">
        <v>0.60055203010455771</v>
      </c>
      <c r="I961" s="40">
        <v>0</v>
      </c>
      <c r="J961" s="40">
        <v>0.60055203010455771</v>
      </c>
    </row>
    <row r="962" spans="1:10" ht="11.25" customHeight="1" x14ac:dyDescent="0.2">
      <c r="A962" s="49">
        <v>44621</v>
      </c>
      <c r="B962" s="64">
        <v>0</v>
      </c>
      <c r="C962" s="64">
        <v>0</v>
      </c>
      <c r="D962" s="64">
        <v>86588.882660000017</v>
      </c>
      <c r="E962" s="64">
        <v>138590.01192594835</v>
      </c>
      <c r="F962" s="64">
        <v>0</v>
      </c>
      <c r="G962" s="64">
        <v>0</v>
      </c>
      <c r="H962" s="40">
        <v>0.60055203010455749</v>
      </c>
      <c r="I962" s="40">
        <v>0</v>
      </c>
      <c r="J962" s="40">
        <v>0.60055203010455749</v>
      </c>
    </row>
    <row r="963" spans="1:10" ht="11.25" customHeight="1" x14ac:dyDescent="0.2">
      <c r="A963" s="49">
        <v>44652</v>
      </c>
      <c r="B963" s="64">
        <v>0</v>
      </c>
      <c r="C963" s="64">
        <v>0</v>
      </c>
      <c r="D963" s="64">
        <v>100899.01185000001</v>
      </c>
      <c r="E963" s="64">
        <v>161494.11825206134</v>
      </c>
      <c r="F963" s="64">
        <v>0</v>
      </c>
      <c r="G963" s="64">
        <v>0</v>
      </c>
      <c r="H963" s="40">
        <v>0.60055203010455771</v>
      </c>
      <c r="I963" s="40">
        <v>0</v>
      </c>
      <c r="J963" s="40">
        <v>0.60055203010455771</v>
      </c>
    </row>
    <row r="964" spans="1:10" ht="11.25" customHeight="1" x14ac:dyDescent="0.2">
      <c r="A964" s="49">
        <v>44682</v>
      </c>
      <c r="B964" s="64">
        <v>0</v>
      </c>
      <c r="C964" s="64">
        <v>0</v>
      </c>
      <c r="D964" s="64">
        <v>84998.714150000014</v>
      </c>
      <c r="E964" s="64">
        <v>136044.86448905949</v>
      </c>
      <c r="F964" s="64">
        <v>0</v>
      </c>
      <c r="G964" s="64">
        <v>0</v>
      </c>
      <c r="H964" s="40">
        <v>0.60055203010455727</v>
      </c>
      <c r="I964" s="40">
        <v>0</v>
      </c>
      <c r="J964" s="40">
        <v>0.60055203010455727</v>
      </c>
    </row>
    <row r="965" spans="1:10" ht="11.25" customHeight="1" x14ac:dyDescent="0.2">
      <c r="A965" s="48" t="s">
        <v>25</v>
      </c>
      <c r="B965" s="64">
        <v>875547.9</v>
      </c>
      <c r="C965" s="64">
        <v>1118525.415707293</v>
      </c>
      <c r="D965" s="64">
        <v>0</v>
      </c>
      <c r="E965" s="64">
        <v>0</v>
      </c>
      <c r="F965" s="64">
        <v>0</v>
      </c>
      <c r="G965" s="64">
        <v>0</v>
      </c>
      <c r="H965" s="40">
        <v>0.27751481753002083</v>
      </c>
      <c r="I965" s="40">
        <v>0</v>
      </c>
      <c r="J965" s="40">
        <v>0.27751481753002083</v>
      </c>
    </row>
    <row r="966" spans="1:10" ht="11.25" customHeight="1" x14ac:dyDescent="0.2">
      <c r="A966" s="49">
        <v>44348</v>
      </c>
      <c r="B966" s="64">
        <v>58995</v>
      </c>
      <c r="C966" s="64">
        <v>75366.986660183582</v>
      </c>
      <c r="D966" s="64">
        <v>0</v>
      </c>
      <c r="E966" s="64">
        <v>0</v>
      </c>
      <c r="F966" s="64">
        <v>0</v>
      </c>
      <c r="G966" s="64">
        <v>0</v>
      </c>
      <c r="H966" s="40">
        <v>0.27751481753002083</v>
      </c>
      <c r="I966" s="40">
        <v>0</v>
      </c>
      <c r="J966" s="40">
        <v>0.27751481753002083</v>
      </c>
    </row>
    <row r="967" spans="1:10" ht="11.25" customHeight="1" x14ac:dyDescent="0.2">
      <c r="A967" s="49">
        <v>44378</v>
      </c>
      <c r="B967" s="64">
        <v>58995</v>
      </c>
      <c r="C967" s="64">
        <v>75366.986660183582</v>
      </c>
      <c r="D967" s="64">
        <v>0</v>
      </c>
      <c r="E967" s="64">
        <v>0</v>
      </c>
      <c r="F967" s="64">
        <v>0</v>
      </c>
      <c r="G967" s="64">
        <v>0</v>
      </c>
      <c r="H967" s="40">
        <v>0.27751481753002083</v>
      </c>
      <c r="I967" s="40">
        <v>0</v>
      </c>
      <c r="J967" s="40">
        <v>0.27751481753002083</v>
      </c>
    </row>
    <row r="968" spans="1:10" ht="11.25" customHeight="1" x14ac:dyDescent="0.2">
      <c r="A968" s="49">
        <v>44409</v>
      </c>
      <c r="B968" s="64">
        <v>58995</v>
      </c>
      <c r="C968" s="64">
        <v>75366.986660183582</v>
      </c>
      <c r="D968" s="64">
        <v>0</v>
      </c>
      <c r="E968" s="64">
        <v>0</v>
      </c>
      <c r="F968" s="64">
        <v>0</v>
      </c>
      <c r="G968" s="64">
        <v>0</v>
      </c>
      <c r="H968" s="40">
        <v>0.27751481753002083</v>
      </c>
      <c r="I968" s="40">
        <v>0</v>
      </c>
      <c r="J968" s="40">
        <v>0.27751481753002083</v>
      </c>
    </row>
    <row r="969" spans="1:10" ht="11.25" customHeight="1" x14ac:dyDescent="0.2">
      <c r="A969" s="49">
        <v>44440</v>
      </c>
      <c r="B969" s="64">
        <v>78867</v>
      </c>
      <c r="C969" s="64">
        <v>100753.76111414016</v>
      </c>
      <c r="D969" s="64">
        <v>0</v>
      </c>
      <c r="E969" s="64">
        <v>0</v>
      </c>
      <c r="F969" s="64">
        <v>0</v>
      </c>
      <c r="G969" s="64">
        <v>0</v>
      </c>
      <c r="H969" s="40">
        <v>0.27751481753002083</v>
      </c>
      <c r="I969" s="40">
        <v>0</v>
      </c>
      <c r="J969" s="40">
        <v>0.27751481753002083</v>
      </c>
    </row>
    <row r="970" spans="1:10" ht="11.25" customHeight="1" x14ac:dyDescent="0.2">
      <c r="A970" s="49">
        <v>44470</v>
      </c>
      <c r="B970" s="64">
        <v>78867</v>
      </c>
      <c r="C970" s="64">
        <v>100753.76111414016</v>
      </c>
      <c r="D970" s="64">
        <v>0</v>
      </c>
      <c r="E970" s="64">
        <v>0</v>
      </c>
      <c r="F970" s="64">
        <v>0</v>
      </c>
      <c r="G970" s="64">
        <v>0</v>
      </c>
      <c r="H970" s="40">
        <v>0.27751481753002083</v>
      </c>
      <c r="I970" s="40">
        <v>0</v>
      </c>
      <c r="J970" s="40">
        <v>0.27751481753002083</v>
      </c>
    </row>
    <row r="971" spans="1:10" ht="11.25" customHeight="1" x14ac:dyDescent="0.2">
      <c r="A971" s="49">
        <v>44501</v>
      </c>
      <c r="B971" s="64">
        <v>78867</v>
      </c>
      <c r="C971" s="64">
        <v>100753.76111414016</v>
      </c>
      <c r="D971" s="64">
        <v>0</v>
      </c>
      <c r="E971" s="64">
        <v>0</v>
      </c>
      <c r="F971" s="64">
        <v>0</v>
      </c>
      <c r="G971" s="64">
        <v>0</v>
      </c>
      <c r="H971" s="40">
        <v>0.27751481753002083</v>
      </c>
      <c r="I971" s="40">
        <v>0</v>
      </c>
      <c r="J971" s="40">
        <v>0.27751481753002083</v>
      </c>
    </row>
    <row r="972" spans="1:10" ht="11.25" customHeight="1" x14ac:dyDescent="0.2">
      <c r="A972" s="49">
        <v>44531</v>
      </c>
      <c r="B972" s="64">
        <v>78867</v>
      </c>
      <c r="C972" s="64">
        <v>100753.76111414016</v>
      </c>
      <c r="D972" s="64">
        <v>0</v>
      </c>
      <c r="E972" s="64">
        <v>0</v>
      </c>
      <c r="F972" s="64">
        <v>0</v>
      </c>
      <c r="G972" s="64">
        <v>0</v>
      </c>
      <c r="H972" s="40">
        <v>0.27751481753002083</v>
      </c>
      <c r="I972" s="40">
        <v>0</v>
      </c>
      <c r="J972" s="40">
        <v>0.27751481753002083</v>
      </c>
    </row>
    <row r="973" spans="1:10" ht="11.25" customHeight="1" x14ac:dyDescent="0.2">
      <c r="A973" s="49">
        <v>44562</v>
      </c>
      <c r="B973" s="64">
        <v>78867</v>
      </c>
      <c r="C973" s="64">
        <v>100753.76111414016</v>
      </c>
      <c r="D973" s="64">
        <v>0</v>
      </c>
      <c r="E973" s="64">
        <v>0</v>
      </c>
      <c r="F973" s="64">
        <v>0</v>
      </c>
      <c r="G973" s="64">
        <v>0</v>
      </c>
      <c r="H973" s="40">
        <v>0.27751481753002083</v>
      </c>
      <c r="I973" s="40">
        <v>0</v>
      </c>
      <c r="J973" s="40">
        <v>0.27751481753002083</v>
      </c>
    </row>
    <row r="974" spans="1:10" ht="11.25" customHeight="1" x14ac:dyDescent="0.2">
      <c r="A974" s="49">
        <v>44593</v>
      </c>
      <c r="B974" s="64">
        <v>78867</v>
      </c>
      <c r="C974" s="64">
        <v>100753.76111414016</v>
      </c>
      <c r="D974" s="64">
        <v>0</v>
      </c>
      <c r="E974" s="64">
        <v>0</v>
      </c>
      <c r="F974" s="64">
        <v>0</v>
      </c>
      <c r="G974" s="64">
        <v>0</v>
      </c>
      <c r="H974" s="40">
        <v>0.27751481753002083</v>
      </c>
      <c r="I974" s="40">
        <v>0</v>
      </c>
      <c r="J974" s="40">
        <v>0.27751481753002083</v>
      </c>
    </row>
    <row r="975" spans="1:10" ht="11.25" customHeight="1" x14ac:dyDescent="0.2">
      <c r="A975" s="49">
        <v>44621</v>
      </c>
      <c r="B975" s="64">
        <v>74520</v>
      </c>
      <c r="C975" s="64">
        <v>95200.404202337144</v>
      </c>
      <c r="D975" s="64">
        <v>0</v>
      </c>
      <c r="E975" s="64">
        <v>0</v>
      </c>
      <c r="F975" s="64">
        <v>0</v>
      </c>
      <c r="G975" s="64">
        <v>0</v>
      </c>
      <c r="H975" s="40">
        <v>0.27751481753002061</v>
      </c>
      <c r="I975" s="40">
        <v>0</v>
      </c>
      <c r="J975" s="40">
        <v>0.27751481753002061</v>
      </c>
    </row>
    <row r="976" spans="1:10" ht="11.25" customHeight="1" x14ac:dyDescent="0.2">
      <c r="A976" s="49">
        <v>44652</v>
      </c>
      <c r="B976" s="64">
        <v>76320.899999999994</v>
      </c>
      <c r="C976" s="64">
        <v>97501.080637226958</v>
      </c>
      <c r="D976" s="64">
        <v>0</v>
      </c>
      <c r="E976" s="64">
        <v>0</v>
      </c>
      <c r="F976" s="64">
        <v>0</v>
      </c>
      <c r="G976" s="64">
        <v>0</v>
      </c>
      <c r="H976" s="40">
        <v>0.27751481753002083</v>
      </c>
      <c r="I976" s="40">
        <v>0</v>
      </c>
      <c r="J976" s="40">
        <v>0.27751481753002083</v>
      </c>
    </row>
    <row r="977" spans="1:10" ht="11.25" customHeight="1" x14ac:dyDescent="0.2">
      <c r="A977" s="49">
        <v>44682</v>
      </c>
      <c r="B977" s="64">
        <v>74520</v>
      </c>
      <c r="C977" s="64">
        <v>95200.404202337144</v>
      </c>
      <c r="D977" s="64">
        <v>0</v>
      </c>
      <c r="E977" s="64">
        <v>0</v>
      </c>
      <c r="F977" s="64">
        <v>0</v>
      </c>
      <c r="G977" s="64">
        <v>0</v>
      </c>
      <c r="H977" s="40">
        <v>0.27751481753002061</v>
      </c>
      <c r="I977" s="40">
        <v>0</v>
      </c>
      <c r="J977" s="40">
        <v>0.27751481753002061</v>
      </c>
    </row>
    <row r="978" spans="1:10" ht="11.25" customHeight="1" x14ac:dyDescent="0.2">
      <c r="A978" s="48" t="s">
        <v>37</v>
      </c>
      <c r="B978" s="64">
        <v>0</v>
      </c>
      <c r="C978" s="64">
        <v>0</v>
      </c>
      <c r="D978" s="64">
        <v>933559.12691999984</v>
      </c>
      <c r="E978" s="64">
        <v>1229358.463952387</v>
      </c>
      <c r="F978" s="64">
        <v>0</v>
      </c>
      <c r="G978" s="64">
        <v>0</v>
      </c>
      <c r="H978" s="40">
        <v>0.31685120792326127</v>
      </c>
      <c r="I978" s="40">
        <v>0</v>
      </c>
      <c r="J978" s="40">
        <v>0.31685120792326127</v>
      </c>
    </row>
    <row r="979" spans="1:10" ht="11.25" customHeight="1" x14ac:dyDescent="0.2">
      <c r="A979" s="49">
        <v>44348</v>
      </c>
      <c r="B979" s="64">
        <v>0</v>
      </c>
      <c r="C979" s="64">
        <v>0</v>
      </c>
      <c r="D979" s="64">
        <v>56187.97316999999</v>
      </c>
      <c r="E979" s="64">
        <v>73991.200339674266</v>
      </c>
      <c r="F979" s="64">
        <v>0</v>
      </c>
      <c r="G979" s="64">
        <v>0</v>
      </c>
      <c r="H979" s="40">
        <v>0.31685120792326105</v>
      </c>
      <c r="I979" s="40">
        <v>0</v>
      </c>
      <c r="J979" s="40">
        <v>0.31685120792326105</v>
      </c>
    </row>
    <row r="980" spans="1:10" ht="11.25" customHeight="1" x14ac:dyDescent="0.2">
      <c r="A980" s="49">
        <v>44378</v>
      </c>
      <c r="B980" s="64">
        <v>0</v>
      </c>
      <c r="C980" s="64">
        <v>0</v>
      </c>
      <c r="D980" s="64">
        <v>52529.820839999993</v>
      </c>
      <c r="E980" s="64">
        <v>69173.958025146479</v>
      </c>
      <c r="F980" s="64">
        <v>0</v>
      </c>
      <c r="G980" s="64">
        <v>0</v>
      </c>
      <c r="H980" s="40">
        <v>0.31685120792326105</v>
      </c>
      <c r="I980" s="40">
        <v>0</v>
      </c>
      <c r="J980" s="40">
        <v>0.31685120792326105</v>
      </c>
    </row>
    <row r="981" spans="1:10" ht="11.25" customHeight="1" x14ac:dyDescent="0.2">
      <c r="A981" s="49">
        <v>44409</v>
      </c>
      <c r="B981" s="64">
        <v>0</v>
      </c>
      <c r="C981" s="64">
        <v>0</v>
      </c>
      <c r="D981" s="64">
        <v>45572.340239999998</v>
      </c>
      <c r="E981" s="64">
        <v>60011.991292933824</v>
      </c>
      <c r="F981" s="64">
        <v>0</v>
      </c>
      <c r="G981" s="64">
        <v>0</v>
      </c>
      <c r="H981" s="40">
        <v>0.31685120792326082</v>
      </c>
      <c r="I981" s="40">
        <v>0</v>
      </c>
      <c r="J981" s="40">
        <v>0.31685120792326082</v>
      </c>
    </row>
    <row r="982" spans="1:10" ht="11.25" customHeight="1" x14ac:dyDescent="0.2">
      <c r="A982" s="49">
        <v>44440</v>
      </c>
      <c r="B982" s="64">
        <v>0</v>
      </c>
      <c r="C982" s="64">
        <v>0</v>
      </c>
      <c r="D982" s="64">
        <v>108967.96007999999</v>
      </c>
      <c r="E982" s="64">
        <v>143494.58985628164</v>
      </c>
      <c r="F982" s="64">
        <v>0</v>
      </c>
      <c r="G982" s="64">
        <v>0</v>
      </c>
      <c r="H982" s="40">
        <v>0.31685120792326082</v>
      </c>
      <c r="I982" s="40">
        <v>0</v>
      </c>
      <c r="J982" s="40">
        <v>0.31685120792326082</v>
      </c>
    </row>
    <row r="983" spans="1:10" ht="11.25" customHeight="1" x14ac:dyDescent="0.2">
      <c r="A983" s="49">
        <v>44470</v>
      </c>
      <c r="B983" s="64">
        <v>0</v>
      </c>
      <c r="C983" s="64">
        <v>0</v>
      </c>
      <c r="D983" s="64">
        <v>101393.90856</v>
      </c>
      <c r="E983" s="64">
        <v>133520.69096329666</v>
      </c>
      <c r="F983" s="64">
        <v>0</v>
      </c>
      <c r="G983" s="64">
        <v>0</v>
      </c>
      <c r="H983" s="40">
        <v>0.31685120792326082</v>
      </c>
      <c r="I983" s="40">
        <v>0</v>
      </c>
      <c r="J983" s="40">
        <v>0.31685120792326082</v>
      </c>
    </row>
    <row r="984" spans="1:10" ht="11.25" customHeight="1" x14ac:dyDescent="0.2">
      <c r="A984" s="49">
        <v>44501</v>
      </c>
      <c r="B984" s="64">
        <v>0</v>
      </c>
      <c r="C984" s="64">
        <v>0</v>
      </c>
      <c r="D984" s="64">
        <v>84701.008979999999</v>
      </c>
      <c r="E984" s="64">
        <v>111538.62598763197</v>
      </c>
      <c r="F984" s="64">
        <v>0</v>
      </c>
      <c r="G984" s="64">
        <v>0</v>
      </c>
      <c r="H984" s="40">
        <v>0.31685120792326082</v>
      </c>
      <c r="I984" s="40">
        <v>0</v>
      </c>
      <c r="J984" s="40">
        <v>0.31685120792326082</v>
      </c>
    </row>
    <row r="985" spans="1:10" ht="11.25" customHeight="1" x14ac:dyDescent="0.2">
      <c r="A985" s="49">
        <v>44531</v>
      </c>
      <c r="B985" s="64">
        <v>0</v>
      </c>
      <c r="C985" s="64">
        <v>0</v>
      </c>
      <c r="D985" s="64">
        <v>114485.09058</v>
      </c>
      <c r="E985" s="64">
        <v>150759.82981947693</v>
      </c>
      <c r="F985" s="64">
        <v>0</v>
      </c>
      <c r="G985" s="64">
        <v>0</v>
      </c>
      <c r="H985" s="40">
        <v>0.31685120792326082</v>
      </c>
      <c r="I985" s="40">
        <v>0</v>
      </c>
      <c r="J985" s="40">
        <v>0.31685120792326082</v>
      </c>
    </row>
    <row r="986" spans="1:10" ht="11.25" customHeight="1" x14ac:dyDescent="0.2">
      <c r="A986" s="49">
        <v>44562</v>
      </c>
      <c r="B986" s="64">
        <v>0</v>
      </c>
      <c r="C986" s="64">
        <v>0</v>
      </c>
      <c r="D986" s="64">
        <v>76056.381450000001</v>
      </c>
      <c r="E986" s="64">
        <v>100154.93778270479</v>
      </c>
      <c r="F986" s="64">
        <v>0</v>
      </c>
      <c r="G986" s="64">
        <v>0</v>
      </c>
      <c r="H986" s="40">
        <v>0.31685120792326082</v>
      </c>
      <c r="I986" s="40">
        <v>0</v>
      </c>
      <c r="J986" s="40">
        <v>0.31685120792326082</v>
      </c>
    </row>
    <row r="987" spans="1:10" ht="11.25" customHeight="1" x14ac:dyDescent="0.2">
      <c r="A987" s="49">
        <v>44593</v>
      </c>
      <c r="B987" s="64">
        <v>0</v>
      </c>
      <c r="C987" s="64">
        <v>0</v>
      </c>
      <c r="D987" s="64">
        <v>67415.123160000003</v>
      </c>
      <c r="E987" s="64">
        <v>88775.686365541391</v>
      </c>
      <c r="F987" s="64">
        <v>0</v>
      </c>
      <c r="G987" s="64">
        <v>0</v>
      </c>
      <c r="H987" s="40">
        <v>0.3168512079232606</v>
      </c>
      <c r="I987" s="40">
        <v>0</v>
      </c>
      <c r="J987" s="40">
        <v>0.3168512079232606</v>
      </c>
    </row>
    <row r="988" spans="1:10" ht="11.25" customHeight="1" x14ac:dyDescent="0.2">
      <c r="A988" s="49">
        <v>44621</v>
      </c>
      <c r="B988" s="64">
        <v>0</v>
      </c>
      <c r="C988" s="64">
        <v>0</v>
      </c>
      <c r="D988" s="64">
        <v>69467.83262999999</v>
      </c>
      <c r="E988" s="64">
        <v>91478.799310626404</v>
      </c>
      <c r="F988" s="64">
        <v>0</v>
      </c>
      <c r="G988" s="64">
        <v>0</v>
      </c>
      <c r="H988" s="40">
        <v>0.31685120792326082</v>
      </c>
      <c r="I988" s="40">
        <v>0</v>
      </c>
      <c r="J988" s="40">
        <v>0.31685120792326082</v>
      </c>
    </row>
    <row r="989" spans="1:10" ht="11.25" customHeight="1" x14ac:dyDescent="0.2">
      <c r="A989" s="49">
        <v>44652</v>
      </c>
      <c r="B989" s="64">
        <v>0</v>
      </c>
      <c r="C989" s="64">
        <v>0</v>
      </c>
      <c r="D989" s="64">
        <v>82993.646609999996</v>
      </c>
      <c r="E989" s="64">
        <v>109290.28378833474</v>
      </c>
      <c r="F989" s="64">
        <v>0</v>
      </c>
      <c r="G989" s="64">
        <v>0</v>
      </c>
      <c r="H989" s="40">
        <v>0.31685120792326082</v>
      </c>
      <c r="I989" s="40">
        <v>0</v>
      </c>
      <c r="J989" s="40">
        <v>0.31685120792326082</v>
      </c>
    </row>
    <row r="990" spans="1:10" ht="11.25" customHeight="1" x14ac:dyDescent="0.2">
      <c r="A990" s="49">
        <v>44682</v>
      </c>
      <c r="B990" s="64">
        <v>0</v>
      </c>
      <c r="C990" s="64">
        <v>0</v>
      </c>
      <c r="D990" s="64">
        <v>73788.04062</v>
      </c>
      <c r="E990" s="64">
        <v>97167.870420737643</v>
      </c>
      <c r="F990" s="64">
        <v>0</v>
      </c>
      <c r="G990" s="64">
        <v>0</v>
      </c>
      <c r="H990" s="40">
        <v>0.31685120792326082</v>
      </c>
      <c r="I990" s="40">
        <v>0</v>
      </c>
      <c r="J990" s="40">
        <v>0.31685120792326082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75B56-0557-4659-B8EA-6877A2FD7285}">
  <dimension ref="A1:G344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39" bestFit="1" customWidth="1"/>
    <col min="3" max="3" width="21.85546875" style="39" bestFit="1" customWidth="1"/>
    <col min="4" max="4" width="20.28515625" style="39" bestFit="1" customWidth="1"/>
    <col min="5" max="5" width="21.7109375" style="39" bestFit="1" customWidth="1"/>
    <col min="6" max="6" width="14.85546875" style="39" bestFit="1" customWidth="1"/>
    <col min="7" max="7" width="14.7109375" style="39" bestFit="1" customWidth="1"/>
    <col min="8" max="16384" width="9.140625" style="14"/>
  </cols>
  <sheetData>
    <row r="1" spans="1:7" ht="11.25" customHeight="1" x14ac:dyDescent="0.2">
      <c r="A1" s="38" t="s">
        <v>762</v>
      </c>
      <c r="B1" s="64" t="s">
        <v>788</v>
      </c>
      <c r="C1" s="64" t="s">
        <v>789</v>
      </c>
      <c r="D1" s="64" t="s">
        <v>790</v>
      </c>
      <c r="E1" s="64" t="s">
        <v>791</v>
      </c>
      <c r="F1" s="64" t="s">
        <v>792</v>
      </c>
      <c r="G1" s="64" t="s">
        <v>793</v>
      </c>
    </row>
    <row r="2" spans="1:7" ht="11.25" customHeight="1" x14ac:dyDescent="0.2">
      <c r="A2" s="41" t="s">
        <v>778</v>
      </c>
      <c r="B2" s="64">
        <v>19874.926800000001</v>
      </c>
      <c r="C2" s="64">
        <v>182764.64733839998</v>
      </c>
      <c r="D2" s="64">
        <v>12728.770705541923</v>
      </c>
      <c r="E2" s="64">
        <v>101362.66840626123</v>
      </c>
      <c r="F2" s="64">
        <v>202639.57413839997</v>
      </c>
      <c r="G2" s="64">
        <v>114091.43911180316</v>
      </c>
    </row>
    <row r="3" spans="1:7" ht="11.25" customHeight="1" x14ac:dyDescent="0.2">
      <c r="A3" s="42" t="s">
        <v>33</v>
      </c>
      <c r="B3" s="64">
        <v>19874.926800000001</v>
      </c>
      <c r="C3" s="64">
        <v>158764.67762040001</v>
      </c>
      <c r="D3" s="64">
        <v>12728.770705541923</v>
      </c>
      <c r="E3" s="64">
        <v>88621.560944272496</v>
      </c>
      <c r="F3" s="64">
        <v>178639.60442039999</v>
      </c>
      <c r="G3" s="64">
        <v>101350.33164981441</v>
      </c>
    </row>
    <row r="4" spans="1:7" ht="11.25" customHeight="1" x14ac:dyDescent="0.2">
      <c r="A4" s="43" t="s">
        <v>41</v>
      </c>
      <c r="B4" s="64">
        <v>7246.0223999999962</v>
      </c>
      <c r="C4" s="64">
        <v>11148.495897600005</v>
      </c>
      <c r="D4" s="64">
        <v>4661.9644554568858</v>
      </c>
      <c r="E4" s="64">
        <v>6040.9282215062194</v>
      </c>
      <c r="F4" s="64">
        <v>18394.5182976</v>
      </c>
      <c r="G4" s="64">
        <v>10702.892676963105</v>
      </c>
    </row>
    <row r="5" spans="1:7" ht="11.25" customHeight="1" x14ac:dyDescent="0.2">
      <c r="A5" s="44" t="s">
        <v>50</v>
      </c>
      <c r="B5" s="64">
        <v>7246.0223999999962</v>
      </c>
      <c r="C5" s="64">
        <v>11148.495897600005</v>
      </c>
      <c r="D5" s="64">
        <v>4661.9644554568858</v>
      </c>
      <c r="E5" s="64">
        <v>6040.9282215062194</v>
      </c>
      <c r="F5" s="64">
        <v>18394.5182976</v>
      </c>
      <c r="G5" s="64">
        <v>10702.892676963105</v>
      </c>
    </row>
    <row r="6" spans="1:7" ht="11.25" customHeight="1" x14ac:dyDescent="0.2">
      <c r="A6" s="45" t="s">
        <v>51</v>
      </c>
      <c r="B6" s="64">
        <v>7246.0223999999962</v>
      </c>
      <c r="C6" s="64">
        <v>11148.495897600005</v>
      </c>
      <c r="D6" s="64">
        <v>4661.9644554568858</v>
      </c>
      <c r="E6" s="64">
        <v>6040.9282215062194</v>
      </c>
      <c r="F6" s="64">
        <v>18394.5182976</v>
      </c>
      <c r="G6" s="64">
        <v>10702.892676963105</v>
      </c>
    </row>
    <row r="7" spans="1:7" ht="11.25" customHeight="1" x14ac:dyDescent="0.2">
      <c r="A7" s="46" t="s">
        <v>25</v>
      </c>
      <c r="B7" s="64">
        <v>7246.0223999999962</v>
      </c>
      <c r="C7" s="64">
        <v>11148.495897600005</v>
      </c>
      <c r="D7" s="64">
        <v>4661.9644554568858</v>
      </c>
      <c r="E7" s="64">
        <v>6040.9282215062194</v>
      </c>
      <c r="F7" s="64">
        <v>18394.5182976</v>
      </c>
      <c r="G7" s="64">
        <v>10702.892676963105</v>
      </c>
    </row>
    <row r="8" spans="1:7" ht="11.25" customHeight="1" x14ac:dyDescent="0.2">
      <c r="A8" s="47" t="s">
        <v>25</v>
      </c>
      <c r="B8" s="64">
        <v>7246.0223999999962</v>
      </c>
      <c r="C8" s="64">
        <v>11148.495897600005</v>
      </c>
      <c r="D8" s="64">
        <v>4661.9644554568858</v>
      </c>
      <c r="E8" s="64">
        <v>6040.9282215062194</v>
      </c>
      <c r="F8" s="64">
        <v>18394.5182976</v>
      </c>
      <c r="G8" s="64">
        <v>10702.892676963105</v>
      </c>
    </row>
    <row r="9" spans="1:7" ht="11.25" customHeight="1" x14ac:dyDescent="0.2">
      <c r="A9" s="48" t="s">
        <v>35</v>
      </c>
      <c r="B9" s="64">
        <v>2038.8672000000004</v>
      </c>
      <c r="C9" s="64">
        <v>9790.8148494000034</v>
      </c>
      <c r="D9" s="64">
        <v>1302.3415294879724</v>
      </c>
      <c r="E9" s="64">
        <v>5339.6655351077388</v>
      </c>
      <c r="F9" s="64">
        <v>11829.682049400004</v>
      </c>
      <c r="G9" s="64">
        <v>6642.0070645957112</v>
      </c>
    </row>
    <row r="10" spans="1:7" ht="11.25" customHeight="1" x14ac:dyDescent="0.2">
      <c r="A10" s="49">
        <v>44348</v>
      </c>
      <c r="B10" s="64">
        <v>169.90559999999999</v>
      </c>
      <c r="C10" s="64">
        <v>681.60233700000003</v>
      </c>
      <c r="D10" s="64">
        <v>108.52846079066435</v>
      </c>
      <c r="E10" s="64">
        <v>371.72886664799177</v>
      </c>
      <c r="F10" s="64">
        <v>851.50793700000008</v>
      </c>
      <c r="G10" s="64">
        <v>480.25732743865615</v>
      </c>
    </row>
    <row r="11" spans="1:7" ht="11.25" customHeight="1" x14ac:dyDescent="0.2">
      <c r="A11" s="49">
        <v>44378</v>
      </c>
      <c r="B11" s="64">
        <v>169.90559999999999</v>
      </c>
      <c r="C11" s="64">
        <v>1021.8835224000002</v>
      </c>
      <c r="D11" s="64">
        <v>108.52846079066435</v>
      </c>
      <c r="E11" s="64">
        <v>557.30971419484706</v>
      </c>
      <c r="F11" s="64">
        <v>1191.7891224000002</v>
      </c>
      <c r="G11" s="64">
        <v>665.83817498551139</v>
      </c>
    </row>
    <row r="12" spans="1:7" ht="11.25" customHeight="1" x14ac:dyDescent="0.2">
      <c r="A12" s="49">
        <v>44409</v>
      </c>
      <c r="B12" s="64">
        <v>169.90559999999999</v>
      </c>
      <c r="C12" s="64">
        <v>1016.726139</v>
      </c>
      <c r="D12" s="64">
        <v>108.52846079066435</v>
      </c>
      <c r="E12" s="64">
        <v>554.49700628279766</v>
      </c>
      <c r="F12" s="64">
        <v>1186.6317389999999</v>
      </c>
      <c r="G12" s="64">
        <v>663.02546707346198</v>
      </c>
    </row>
    <row r="13" spans="1:7" ht="11.25" customHeight="1" x14ac:dyDescent="0.2">
      <c r="A13" s="49">
        <v>44440</v>
      </c>
      <c r="B13" s="64">
        <v>169.90559999999999</v>
      </c>
      <c r="C13" s="64">
        <v>702.14697540000009</v>
      </c>
      <c r="D13" s="64">
        <v>108.52846079066435</v>
      </c>
      <c r="E13" s="64">
        <v>382.93339857747202</v>
      </c>
      <c r="F13" s="64">
        <v>872.05257540000002</v>
      </c>
      <c r="G13" s="64">
        <v>491.4618593681364</v>
      </c>
    </row>
    <row r="14" spans="1:7" ht="11.25" customHeight="1" x14ac:dyDescent="0.2">
      <c r="A14" s="49">
        <v>44470</v>
      </c>
      <c r="B14" s="64">
        <v>169.90559999999999</v>
      </c>
      <c r="C14" s="64">
        <v>1305.3698190000002</v>
      </c>
      <c r="D14" s="64">
        <v>108.52846079066435</v>
      </c>
      <c r="E14" s="64">
        <v>711.91604992012253</v>
      </c>
      <c r="F14" s="64">
        <v>1475.2754190000003</v>
      </c>
      <c r="G14" s="64">
        <v>820.44451071078686</v>
      </c>
    </row>
    <row r="15" spans="1:7" ht="11.25" customHeight="1" x14ac:dyDescent="0.2">
      <c r="A15" s="49">
        <v>44501</v>
      </c>
      <c r="B15" s="64">
        <v>169.90559999999999</v>
      </c>
      <c r="C15" s="64">
        <v>823.65323039999998</v>
      </c>
      <c r="D15" s="64">
        <v>108.52846079066435</v>
      </c>
      <c r="E15" s="64">
        <v>449.19987099097824</v>
      </c>
      <c r="F15" s="64">
        <v>993.55883040000003</v>
      </c>
      <c r="G15" s="64">
        <v>557.72833178164262</v>
      </c>
    </row>
    <row r="16" spans="1:7" ht="11.25" customHeight="1" x14ac:dyDescent="0.2">
      <c r="A16" s="49">
        <v>44531</v>
      </c>
      <c r="B16" s="64">
        <v>169.90559999999999</v>
      </c>
      <c r="C16" s="64">
        <v>667.10648159999994</v>
      </c>
      <c r="D16" s="64">
        <v>108.52846079066435</v>
      </c>
      <c r="E16" s="64">
        <v>363.8231896770879</v>
      </c>
      <c r="F16" s="64">
        <v>837.01208159999987</v>
      </c>
      <c r="G16" s="64">
        <v>472.35165046775228</v>
      </c>
    </row>
    <row r="17" spans="1:7" ht="11.25" customHeight="1" x14ac:dyDescent="0.2">
      <c r="A17" s="49">
        <v>44562</v>
      </c>
      <c r="B17" s="64">
        <v>169.90559999999999</v>
      </c>
      <c r="C17" s="64">
        <v>789.22822680000013</v>
      </c>
      <c r="D17" s="64">
        <v>108.52846079066435</v>
      </c>
      <c r="E17" s="64">
        <v>430.42533505129137</v>
      </c>
      <c r="F17" s="64">
        <v>959.13382680000018</v>
      </c>
      <c r="G17" s="64">
        <v>538.95379584195575</v>
      </c>
    </row>
    <row r="18" spans="1:7" ht="11.25" customHeight="1" x14ac:dyDescent="0.2">
      <c r="A18" s="49">
        <v>44593</v>
      </c>
      <c r="B18" s="64">
        <v>169.90559999999999</v>
      </c>
      <c r="C18" s="64">
        <v>1195.2607446000002</v>
      </c>
      <c r="D18" s="64">
        <v>108.52846079066435</v>
      </c>
      <c r="E18" s="64">
        <v>651.86531474435469</v>
      </c>
      <c r="F18" s="64">
        <v>1365.1663446000002</v>
      </c>
      <c r="G18" s="64">
        <v>760.39377553501902</v>
      </c>
    </row>
    <row r="19" spans="1:7" ht="11.25" customHeight="1" x14ac:dyDescent="0.2">
      <c r="A19" s="49">
        <v>44621</v>
      </c>
      <c r="B19" s="64">
        <v>169.90559999999999</v>
      </c>
      <c r="C19" s="64">
        <v>440.52119279999999</v>
      </c>
      <c r="D19" s="64">
        <v>108.52846079066435</v>
      </c>
      <c r="E19" s="64">
        <v>240.24924042178793</v>
      </c>
      <c r="F19" s="64">
        <v>610.42679279999993</v>
      </c>
      <c r="G19" s="64">
        <v>348.77770121245226</v>
      </c>
    </row>
    <row r="20" spans="1:7" ht="11.25" customHeight="1" x14ac:dyDescent="0.2">
      <c r="A20" s="49">
        <v>44652</v>
      </c>
      <c r="B20" s="64">
        <v>169.90559999999999</v>
      </c>
      <c r="C20" s="64">
        <v>516.26893500000006</v>
      </c>
      <c r="D20" s="64">
        <v>108.52846079066435</v>
      </c>
      <c r="E20" s="64">
        <v>281.56016444690641</v>
      </c>
      <c r="F20" s="64">
        <v>686.17453500000011</v>
      </c>
      <c r="G20" s="64">
        <v>390.0886252375708</v>
      </c>
    </row>
    <row r="21" spans="1:7" ht="11.25" customHeight="1" x14ac:dyDescent="0.2">
      <c r="A21" s="49">
        <v>44682</v>
      </c>
      <c r="B21" s="64">
        <v>169.90559999999999</v>
      </c>
      <c r="C21" s="64">
        <v>631.04724540000018</v>
      </c>
      <c r="D21" s="64">
        <v>108.52846079066435</v>
      </c>
      <c r="E21" s="64">
        <v>344.1573841521016</v>
      </c>
      <c r="F21" s="64">
        <v>800.95284540000011</v>
      </c>
      <c r="G21" s="64">
        <v>452.68584494276593</v>
      </c>
    </row>
    <row r="22" spans="1:7" ht="11.25" customHeight="1" x14ac:dyDescent="0.2">
      <c r="A22" s="48" t="s">
        <v>37</v>
      </c>
      <c r="B22" s="64">
        <v>5207.1551999999992</v>
      </c>
      <c r="C22" s="64">
        <v>1357.6810481999999</v>
      </c>
      <c r="D22" s="64">
        <v>3359.622925968913</v>
      </c>
      <c r="E22" s="64">
        <v>701.2626863984824</v>
      </c>
      <c r="F22" s="64">
        <v>6564.8362481999993</v>
      </c>
      <c r="G22" s="64">
        <v>4060.8856123673954</v>
      </c>
    </row>
    <row r="23" spans="1:7" ht="11.25" customHeight="1" x14ac:dyDescent="0.2">
      <c r="A23" s="49">
        <v>44348</v>
      </c>
      <c r="B23" s="64">
        <v>433.92959999999994</v>
      </c>
      <c r="C23" s="64">
        <v>131.99021519999997</v>
      </c>
      <c r="D23" s="64">
        <v>279.96857716407607</v>
      </c>
      <c r="E23" s="64">
        <v>68.174931816409057</v>
      </c>
      <c r="F23" s="64">
        <v>565.9198151999999</v>
      </c>
      <c r="G23" s="64">
        <v>348.14350898048514</v>
      </c>
    </row>
    <row r="24" spans="1:7" ht="11.25" customHeight="1" x14ac:dyDescent="0.2">
      <c r="A24" s="49">
        <v>44378</v>
      </c>
      <c r="B24" s="64">
        <v>433.92959999999994</v>
      </c>
      <c r="C24" s="64">
        <v>200.21871299999998</v>
      </c>
      <c r="D24" s="64">
        <v>279.96857716407607</v>
      </c>
      <c r="E24" s="64">
        <v>103.41597736211719</v>
      </c>
      <c r="F24" s="64">
        <v>634.14831299999992</v>
      </c>
      <c r="G24" s="64">
        <v>383.38455452619326</v>
      </c>
    </row>
    <row r="25" spans="1:7" ht="11.25" customHeight="1" x14ac:dyDescent="0.2">
      <c r="A25" s="49">
        <v>44409</v>
      </c>
      <c r="B25" s="64">
        <v>433.92959999999994</v>
      </c>
      <c r="C25" s="64">
        <v>201.47696100000002</v>
      </c>
      <c r="D25" s="64">
        <v>279.96857716407607</v>
      </c>
      <c r="E25" s="64">
        <v>104.06588138324598</v>
      </c>
      <c r="F25" s="64">
        <v>635.40656100000001</v>
      </c>
      <c r="G25" s="64">
        <v>384.03445854732206</v>
      </c>
    </row>
    <row r="26" spans="1:7" ht="11.25" customHeight="1" x14ac:dyDescent="0.2">
      <c r="A26" s="49">
        <v>44440</v>
      </c>
      <c r="B26" s="64">
        <v>433.92959999999994</v>
      </c>
      <c r="C26" s="64">
        <v>119.15608559999998</v>
      </c>
      <c r="D26" s="64">
        <v>279.96857716407607</v>
      </c>
      <c r="E26" s="64">
        <v>61.545910800895513</v>
      </c>
      <c r="F26" s="64">
        <v>553.08568559999992</v>
      </c>
      <c r="G26" s="64">
        <v>341.51448796497158</v>
      </c>
    </row>
    <row r="27" spans="1:7" ht="11.25" customHeight="1" x14ac:dyDescent="0.2">
      <c r="A27" s="49">
        <v>44470</v>
      </c>
      <c r="B27" s="64">
        <v>433.92959999999994</v>
      </c>
      <c r="C27" s="64">
        <v>252.02707439999998</v>
      </c>
      <c r="D27" s="64">
        <v>279.96857716407607</v>
      </c>
      <c r="E27" s="64">
        <v>130.17577543209472</v>
      </c>
      <c r="F27" s="64">
        <v>685.95667439999988</v>
      </c>
      <c r="G27" s="64">
        <v>410.14435259617079</v>
      </c>
    </row>
    <row r="28" spans="1:7" ht="11.25" customHeight="1" x14ac:dyDescent="0.2">
      <c r="A28" s="49">
        <v>44501</v>
      </c>
      <c r="B28" s="64">
        <v>433.92959999999994</v>
      </c>
      <c r="C28" s="64">
        <v>153.25460639999997</v>
      </c>
      <c r="D28" s="64">
        <v>279.96857716407607</v>
      </c>
      <c r="E28" s="64">
        <v>79.15830977348547</v>
      </c>
      <c r="F28" s="64">
        <v>587.18420639999988</v>
      </c>
      <c r="G28" s="64">
        <v>359.12688693756155</v>
      </c>
    </row>
    <row r="29" spans="1:7" ht="11.25" customHeight="1" x14ac:dyDescent="0.2">
      <c r="A29" s="49">
        <v>44531</v>
      </c>
      <c r="B29" s="64">
        <v>433.92959999999994</v>
      </c>
      <c r="C29" s="64">
        <v>62.88094379999999</v>
      </c>
      <c r="D29" s="64">
        <v>279.96857716407607</v>
      </c>
      <c r="E29" s="64">
        <v>32.478953455910812</v>
      </c>
      <c r="F29" s="64">
        <v>496.81054379999995</v>
      </c>
      <c r="G29" s="64">
        <v>312.44753061998688</v>
      </c>
    </row>
    <row r="30" spans="1:7" ht="11.25" customHeight="1" x14ac:dyDescent="0.2">
      <c r="A30" s="49">
        <v>44562</v>
      </c>
      <c r="B30" s="64">
        <v>433.92959999999994</v>
      </c>
      <c r="C30" s="64">
        <v>128.18401499999999</v>
      </c>
      <c r="D30" s="64">
        <v>279.96857716407607</v>
      </c>
      <c r="E30" s="64">
        <v>66.208972152494511</v>
      </c>
      <c r="F30" s="64">
        <v>562.11361499999998</v>
      </c>
      <c r="G30" s="64">
        <v>346.17754931657055</v>
      </c>
    </row>
    <row r="31" spans="1:7" ht="11.25" customHeight="1" x14ac:dyDescent="0.2">
      <c r="A31" s="49">
        <v>44593</v>
      </c>
      <c r="B31" s="64">
        <v>433.92959999999994</v>
      </c>
      <c r="C31" s="64">
        <v>54.387769799999994</v>
      </c>
      <c r="D31" s="64">
        <v>279.96857716407607</v>
      </c>
      <c r="E31" s="64">
        <v>28.092101313291536</v>
      </c>
      <c r="F31" s="64">
        <v>488.31736979999994</v>
      </c>
      <c r="G31" s="64">
        <v>308.06067847736762</v>
      </c>
    </row>
    <row r="32" spans="1:7" ht="11.25" customHeight="1" x14ac:dyDescent="0.2">
      <c r="A32" s="49">
        <v>44621</v>
      </c>
      <c r="B32" s="64">
        <v>433.92959999999994</v>
      </c>
      <c r="C32" s="64">
        <v>16.797610800000001</v>
      </c>
      <c r="D32" s="64">
        <v>279.96857716407607</v>
      </c>
      <c r="E32" s="64">
        <v>8.6762186820692211</v>
      </c>
      <c r="F32" s="64">
        <v>450.72721079999997</v>
      </c>
      <c r="G32" s="64">
        <v>288.64479584614531</v>
      </c>
    </row>
    <row r="33" spans="1:7" ht="11.25" customHeight="1" x14ac:dyDescent="0.2">
      <c r="A33" s="49">
        <v>44652</v>
      </c>
      <c r="B33" s="64">
        <v>433.92959999999994</v>
      </c>
      <c r="C33" s="64">
        <v>17.3638224</v>
      </c>
      <c r="D33" s="64">
        <v>279.96857716407607</v>
      </c>
      <c r="E33" s="64">
        <v>8.9686754915771729</v>
      </c>
      <c r="F33" s="64">
        <v>451.29342239999994</v>
      </c>
      <c r="G33" s="64">
        <v>288.93725265565325</v>
      </c>
    </row>
    <row r="34" spans="1:7" ht="11.25" customHeight="1" x14ac:dyDescent="0.2">
      <c r="A34" s="49">
        <v>44682</v>
      </c>
      <c r="B34" s="64">
        <v>433.92959999999994</v>
      </c>
      <c r="C34" s="64">
        <v>19.943230799999995</v>
      </c>
      <c r="D34" s="64">
        <v>279.96857716407607</v>
      </c>
      <c r="E34" s="64">
        <v>10.300978734891171</v>
      </c>
      <c r="F34" s="64">
        <v>453.87283079999992</v>
      </c>
      <c r="G34" s="64">
        <v>290.26955589896721</v>
      </c>
    </row>
    <row r="35" spans="1:7" ht="11.25" customHeight="1" x14ac:dyDescent="0.2">
      <c r="A35" s="43" t="s">
        <v>34</v>
      </c>
      <c r="B35" s="64">
        <v>12628.904399999996</v>
      </c>
      <c r="C35" s="64">
        <v>147616.18172279996</v>
      </c>
      <c r="D35" s="64">
        <v>8066.8062500850374</v>
      </c>
      <c r="E35" s="64">
        <v>82580.632722766284</v>
      </c>
      <c r="F35" s="64">
        <v>160245.08612279996</v>
      </c>
      <c r="G35" s="64">
        <v>90647.43897285132</v>
      </c>
    </row>
    <row r="36" spans="1:7" ht="11.25" customHeight="1" x14ac:dyDescent="0.2">
      <c r="A36" s="44" t="s">
        <v>50</v>
      </c>
      <c r="B36" s="64">
        <v>12628.904399999996</v>
      </c>
      <c r="C36" s="64">
        <v>147616.18172279996</v>
      </c>
      <c r="D36" s="64">
        <v>8066.8062500850374</v>
      </c>
      <c r="E36" s="64">
        <v>82580.632722766284</v>
      </c>
      <c r="F36" s="64">
        <v>160245.08612279996</v>
      </c>
      <c r="G36" s="64">
        <v>90647.43897285132</v>
      </c>
    </row>
    <row r="37" spans="1:7" ht="11.25" customHeight="1" x14ac:dyDescent="0.2">
      <c r="A37" s="45" t="s">
        <v>51</v>
      </c>
      <c r="B37" s="64">
        <v>12628.904399999996</v>
      </c>
      <c r="C37" s="64">
        <v>147616.18172279996</v>
      </c>
      <c r="D37" s="64">
        <v>8066.8062500850374</v>
      </c>
      <c r="E37" s="64">
        <v>82580.632722766284</v>
      </c>
      <c r="F37" s="64">
        <v>160245.08612279996</v>
      </c>
      <c r="G37" s="64">
        <v>90647.43897285132</v>
      </c>
    </row>
    <row r="38" spans="1:7" ht="11.25" customHeight="1" x14ac:dyDescent="0.2">
      <c r="A38" s="46" t="s">
        <v>25</v>
      </c>
      <c r="B38" s="64">
        <v>12628.904399999996</v>
      </c>
      <c r="C38" s="64">
        <v>147616.18172279996</v>
      </c>
      <c r="D38" s="64">
        <v>8066.8062500850374</v>
      </c>
      <c r="E38" s="64">
        <v>82580.632722766284</v>
      </c>
      <c r="F38" s="64">
        <v>160245.08612279996</v>
      </c>
      <c r="G38" s="64">
        <v>90647.43897285132</v>
      </c>
    </row>
    <row r="39" spans="1:7" ht="11.25" customHeight="1" x14ac:dyDescent="0.2">
      <c r="A39" s="47" t="s">
        <v>25</v>
      </c>
      <c r="B39" s="64">
        <v>12628.904399999996</v>
      </c>
      <c r="C39" s="64">
        <v>147616.18172279996</v>
      </c>
      <c r="D39" s="64">
        <v>8066.8062500850374</v>
      </c>
      <c r="E39" s="64">
        <v>82580.632722766284</v>
      </c>
      <c r="F39" s="64">
        <v>160245.08612279996</v>
      </c>
      <c r="G39" s="64">
        <v>90647.43897285132</v>
      </c>
    </row>
    <row r="40" spans="1:7" ht="11.25" customHeight="1" x14ac:dyDescent="0.2">
      <c r="A40" s="48" t="s">
        <v>35</v>
      </c>
      <c r="B40" s="64">
        <v>0</v>
      </c>
      <c r="C40" s="64">
        <v>104498.47797479999</v>
      </c>
      <c r="D40" s="64">
        <v>0</v>
      </c>
      <c r="E40" s="64">
        <v>56990.85621534854</v>
      </c>
      <c r="F40" s="64">
        <v>104498.47797479999</v>
      </c>
      <c r="G40" s="64">
        <v>56990.85621534854</v>
      </c>
    </row>
    <row r="41" spans="1:7" ht="11.25" customHeight="1" x14ac:dyDescent="0.2">
      <c r="A41" s="49">
        <v>44348</v>
      </c>
      <c r="B41" s="64">
        <v>0</v>
      </c>
      <c r="C41" s="64">
        <v>8326.6697826</v>
      </c>
      <c r="D41" s="64">
        <v>0</v>
      </c>
      <c r="E41" s="64">
        <v>4541.1574362574092</v>
      </c>
      <c r="F41" s="64">
        <v>8326.6697826</v>
      </c>
      <c r="G41" s="64">
        <v>4541.1574362574092</v>
      </c>
    </row>
    <row r="42" spans="1:7" ht="11.25" customHeight="1" x14ac:dyDescent="0.2">
      <c r="A42" s="49">
        <v>44378</v>
      </c>
      <c r="B42" s="64">
        <v>0</v>
      </c>
      <c r="C42" s="64">
        <v>8220.4022160000004</v>
      </c>
      <c r="D42" s="64">
        <v>0</v>
      </c>
      <c r="E42" s="64">
        <v>4483.2017633535788</v>
      </c>
      <c r="F42" s="64">
        <v>8220.4022160000004</v>
      </c>
      <c r="G42" s="64">
        <v>4483.2017633535788</v>
      </c>
    </row>
    <row r="43" spans="1:7" ht="11.25" customHeight="1" x14ac:dyDescent="0.2">
      <c r="A43" s="49">
        <v>44409</v>
      </c>
      <c r="B43" s="64">
        <v>0</v>
      </c>
      <c r="C43" s="64">
        <v>8343.6275987999998</v>
      </c>
      <c r="D43" s="64">
        <v>0</v>
      </c>
      <c r="E43" s="64">
        <v>4550.4058050711019</v>
      </c>
      <c r="F43" s="64">
        <v>8343.6275987999998</v>
      </c>
      <c r="G43" s="64">
        <v>4550.4058050711019</v>
      </c>
    </row>
    <row r="44" spans="1:7" ht="11.25" customHeight="1" x14ac:dyDescent="0.2">
      <c r="A44" s="49">
        <v>44440</v>
      </c>
      <c r="B44" s="64">
        <v>0</v>
      </c>
      <c r="C44" s="64">
        <v>8251.3677402000012</v>
      </c>
      <c r="D44" s="64">
        <v>0</v>
      </c>
      <c r="E44" s="64">
        <v>4500.0895857555543</v>
      </c>
      <c r="F44" s="64">
        <v>8251.3677402000012</v>
      </c>
      <c r="G44" s="64">
        <v>4500.0895857555543</v>
      </c>
    </row>
    <row r="45" spans="1:7" ht="11.25" customHeight="1" x14ac:dyDescent="0.2">
      <c r="A45" s="49">
        <v>44470</v>
      </c>
      <c r="B45" s="64">
        <v>0</v>
      </c>
      <c r="C45" s="64">
        <v>8271.6364692000006</v>
      </c>
      <c r="D45" s="64">
        <v>0</v>
      </c>
      <c r="E45" s="64">
        <v>4511.1436435992046</v>
      </c>
      <c r="F45" s="64">
        <v>8271.6364692000006</v>
      </c>
      <c r="G45" s="64">
        <v>4511.1436435992046</v>
      </c>
    </row>
    <row r="46" spans="1:7" ht="11.25" customHeight="1" x14ac:dyDescent="0.2">
      <c r="A46" s="49">
        <v>44501</v>
      </c>
      <c r="B46" s="64">
        <v>0</v>
      </c>
      <c r="C46" s="64">
        <v>8446.9875048000013</v>
      </c>
      <c r="D46" s="64">
        <v>0</v>
      </c>
      <c r="E46" s="64">
        <v>4606.7757126088782</v>
      </c>
      <c r="F46" s="64">
        <v>8446.9875048000013</v>
      </c>
      <c r="G46" s="64">
        <v>4606.7757126088782</v>
      </c>
    </row>
    <row r="47" spans="1:7" ht="11.25" customHeight="1" x14ac:dyDescent="0.2">
      <c r="A47" s="49">
        <v>44531</v>
      </c>
      <c r="B47" s="64">
        <v>0</v>
      </c>
      <c r="C47" s="64">
        <v>9096.4357848000018</v>
      </c>
      <c r="D47" s="64">
        <v>0</v>
      </c>
      <c r="E47" s="64">
        <v>4960.9685607928604</v>
      </c>
      <c r="F47" s="64">
        <v>9096.4357848000018</v>
      </c>
      <c r="G47" s="64">
        <v>4960.9685607928604</v>
      </c>
    </row>
    <row r="48" spans="1:7" ht="11.25" customHeight="1" x14ac:dyDescent="0.2">
      <c r="A48" s="49">
        <v>44562</v>
      </c>
      <c r="B48" s="64">
        <v>0</v>
      </c>
      <c r="C48" s="64">
        <v>9503.5931639999999</v>
      </c>
      <c r="D48" s="64">
        <v>0</v>
      </c>
      <c r="E48" s="64">
        <v>5183.0220117589215</v>
      </c>
      <c r="F48" s="64">
        <v>9503.5931639999999</v>
      </c>
      <c r="G48" s="64">
        <v>5183.0220117589215</v>
      </c>
    </row>
    <row r="49" spans="1:7" ht="11.25" customHeight="1" x14ac:dyDescent="0.2">
      <c r="A49" s="49">
        <v>44593</v>
      </c>
      <c r="B49" s="64">
        <v>0</v>
      </c>
      <c r="C49" s="64">
        <v>8856.2035926000008</v>
      </c>
      <c r="D49" s="64">
        <v>0</v>
      </c>
      <c r="E49" s="64">
        <v>4829.9519317538243</v>
      </c>
      <c r="F49" s="64">
        <v>8856.2035926000008</v>
      </c>
      <c r="G49" s="64">
        <v>4829.9519317538243</v>
      </c>
    </row>
    <row r="50" spans="1:7" ht="11.25" customHeight="1" x14ac:dyDescent="0.2">
      <c r="A50" s="49">
        <v>44621</v>
      </c>
      <c r="B50" s="64">
        <v>0</v>
      </c>
      <c r="C50" s="64">
        <v>8186.5927025999999</v>
      </c>
      <c r="D50" s="64">
        <v>0</v>
      </c>
      <c r="E50" s="64">
        <v>4464.7629003745888</v>
      </c>
      <c r="F50" s="64">
        <v>8186.5927025999999</v>
      </c>
      <c r="G50" s="64">
        <v>4464.7629003745888</v>
      </c>
    </row>
    <row r="51" spans="1:7" ht="11.25" customHeight="1" x14ac:dyDescent="0.2">
      <c r="A51" s="49">
        <v>44652</v>
      </c>
      <c r="B51" s="64">
        <v>0</v>
      </c>
      <c r="C51" s="64">
        <v>9567.6465924000004</v>
      </c>
      <c r="D51" s="64">
        <v>0</v>
      </c>
      <c r="E51" s="64">
        <v>5217.9551495307933</v>
      </c>
      <c r="F51" s="64">
        <v>9567.6465924000004</v>
      </c>
      <c r="G51" s="64">
        <v>5217.9551495307933</v>
      </c>
    </row>
    <row r="52" spans="1:7" ht="11.25" customHeight="1" x14ac:dyDescent="0.2">
      <c r="A52" s="49">
        <v>44682</v>
      </c>
      <c r="B52" s="64">
        <v>0</v>
      </c>
      <c r="C52" s="64">
        <v>9427.3148268000004</v>
      </c>
      <c r="D52" s="64">
        <v>0</v>
      </c>
      <c r="E52" s="64">
        <v>5141.4217144918221</v>
      </c>
      <c r="F52" s="64">
        <v>9427.3148268000004</v>
      </c>
      <c r="G52" s="64">
        <v>5141.4217144918221</v>
      </c>
    </row>
    <row r="53" spans="1:7" ht="11.25" customHeight="1" x14ac:dyDescent="0.2">
      <c r="A53" s="48" t="s">
        <v>25</v>
      </c>
      <c r="B53" s="64">
        <v>12628.904399999996</v>
      </c>
      <c r="C53" s="64">
        <v>0</v>
      </c>
      <c r="D53" s="64">
        <v>8066.8062500850374</v>
      </c>
      <c r="E53" s="64">
        <v>0</v>
      </c>
      <c r="F53" s="64">
        <v>12628.904399999996</v>
      </c>
      <c r="G53" s="64">
        <v>8066.8062500850374</v>
      </c>
    </row>
    <row r="54" spans="1:7" ht="11.25" customHeight="1" x14ac:dyDescent="0.2">
      <c r="A54" s="49">
        <v>44348</v>
      </c>
      <c r="B54" s="64">
        <v>1064.1456000000001</v>
      </c>
      <c r="C54" s="64">
        <v>0</v>
      </c>
      <c r="D54" s="64">
        <v>679.73088600468725</v>
      </c>
      <c r="E54" s="64">
        <v>0</v>
      </c>
      <c r="F54" s="64">
        <v>1064.1456000000001</v>
      </c>
      <c r="G54" s="64">
        <v>679.73088600468725</v>
      </c>
    </row>
    <row r="55" spans="1:7" ht="11.25" customHeight="1" x14ac:dyDescent="0.2">
      <c r="A55" s="49">
        <v>44378</v>
      </c>
      <c r="B55" s="64">
        <v>1055.2031999999999</v>
      </c>
      <c r="C55" s="64">
        <v>0</v>
      </c>
      <c r="D55" s="64">
        <v>674.01886175254708</v>
      </c>
      <c r="E55" s="64">
        <v>0</v>
      </c>
      <c r="F55" s="64">
        <v>1055.2031999999999</v>
      </c>
      <c r="G55" s="64">
        <v>674.01886175254708</v>
      </c>
    </row>
    <row r="56" spans="1:7" ht="11.25" customHeight="1" x14ac:dyDescent="0.2">
      <c r="A56" s="49">
        <v>44409</v>
      </c>
      <c r="B56" s="64">
        <v>1063.4004</v>
      </c>
      <c r="C56" s="64">
        <v>0</v>
      </c>
      <c r="D56" s="64">
        <v>679.25488398367565</v>
      </c>
      <c r="E56" s="64">
        <v>0</v>
      </c>
      <c r="F56" s="64">
        <v>1063.4004</v>
      </c>
      <c r="G56" s="64">
        <v>679.25488398367565</v>
      </c>
    </row>
    <row r="57" spans="1:7" ht="11.25" customHeight="1" x14ac:dyDescent="0.2">
      <c r="A57" s="49">
        <v>44440</v>
      </c>
      <c r="B57" s="64">
        <v>1022.4143999999999</v>
      </c>
      <c r="C57" s="64">
        <v>0</v>
      </c>
      <c r="D57" s="64">
        <v>653.07477282803279</v>
      </c>
      <c r="E57" s="64">
        <v>0</v>
      </c>
      <c r="F57" s="64">
        <v>1022.4143999999999</v>
      </c>
      <c r="G57" s="64">
        <v>653.07477282803279</v>
      </c>
    </row>
    <row r="58" spans="1:7" ht="11.25" customHeight="1" x14ac:dyDescent="0.2">
      <c r="A58" s="49">
        <v>44470</v>
      </c>
      <c r="B58" s="64">
        <v>1064.1456000000001</v>
      </c>
      <c r="C58" s="64">
        <v>0</v>
      </c>
      <c r="D58" s="64">
        <v>679.73088600468725</v>
      </c>
      <c r="E58" s="64">
        <v>0</v>
      </c>
      <c r="F58" s="64">
        <v>1064.1456000000001</v>
      </c>
      <c r="G58" s="64">
        <v>679.73088600468725</v>
      </c>
    </row>
    <row r="59" spans="1:7" ht="11.25" customHeight="1" x14ac:dyDescent="0.2">
      <c r="A59" s="49">
        <v>44501</v>
      </c>
      <c r="B59" s="64">
        <v>1038.8088</v>
      </c>
      <c r="C59" s="64">
        <v>0</v>
      </c>
      <c r="D59" s="64">
        <v>663.54681729028994</v>
      </c>
      <c r="E59" s="64">
        <v>0</v>
      </c>
      <c r="F59" s="64">
        <v>1038.8088</v>
      </c>
      <c r="G59" s="64">
        <v>663.54681729028994</v>
      </c>
    </row>
    <row r="60" spans="1:7" ht="11.25" customHeight="1" x14ac:dyDescent="0.2">
      <c r="A60" s="49">
        <v>44531</v>
      </c>
      <c r="B60" s="64">
        <v>1059.6743999999999</v>
      </c>
      <c r="C60" s="64">
        <v>0</v>
      </c>
      <c r="D60" s="64">
        <v>676.87487387861711</v>
      </c>
      <c r="E60" s="64">
        <v>0</v>
      </c>
      <c r="F60" s="64">
        <v>1059.6743999999999</v>
      </c>
      <c r="G60" s="64">
        <v>676.87487387861711</v>
      </c>
    </row>
    <row r="61" spans="1:7" ht="11.25" customHeight="1" x14ac:dyDescent="0.2">
      <c r="A61" s="49">
        <v>44562</v>
      </c>
      <c r="B61" s="64">
        <v>1057.4387999999999</v>
      </c>
      <c r="C61" s="64">
        <v>0</v>
      </c>
      <c r="D61" s="64">
        <v>675.4468678155821</v>
      </c>
      <c r="E61" s="64">
        <v>0</v>
      </c>
      <c r="F61" s="64">
        <v>1057.4387999999999</v>
      </c>
      <c r="G61" s="64">
        <v>675.4468678155821</v>
      </c>
    </row>
    <row r="62" spans="1:7" ht="11.25" customHeight="1" x14ac:dyDescent="0.2">
      <c r="A62" s="49">
        <v>44593</v>
      </c>
      <c r="B62" s="64">
        <v>1049.2415999999998</v>
      </c>
      <c r="C62" s="64">
        <v>0</v>
      </c>
      <c r="D62" s="64">
        <v>670.21084558445341</v>
      </c>
      <c r="E62" s="64">
        <v>0</v>
      </c>
      <c r="F62" s="64">
        <v>1049.2415999999998</v>
      </c>
      <c r="G62" s="64">
        <v>670.21084558445341</v>
      </c>
    </row>
    <row r="63" spans="1:7" ht="11.25" customHeight="1" x14ac:dyDescent="0.2">
      <c r="A63" s="49">
        <v>44621</v>
      </c>
      <c r="B63" s="64">
        <v>1031.3568</v>
      </c>
      <c r="C63" s="64">
        <v>0</v>
      </c>
      <c r="D63" s="64">
        <v>658.78679708017307</v>
      </c>
      <c r="E63" s="64">
        <v>0</v>
      </c>
      <c r="F63" s="64">
        <v>1031.3568</v>
      </c>
      <c r="G63" s="64">
        <v>658.78679708017307</v>
      </c>
    </row>
    <row r="64" spans="1:7" ht="11.25" customHeight="1" x14ac:dyDescent="0.2">
      <c r="A64" s="49">
        <v>44652</v>
      </c>
      <c r="B64" s="64">
        <v>1060.4195999999999</v>
      </c>
      <c r="C64" s="64">
        <v>0</v>
      </c>
      <c r="D64" s="64">
        <v>677.3508758996287</v>
      </c>
      <c r="E64" s="64">
        <v>0</v>
      </c>
      <c r="F64" s="64">
        <v>1060.4195999999999</v>
      </c>
      <c r="G64" s="64">
        <v>677.3508758996287</v>
      </c>
    </row>
    <row r="65" spans="1:7" ht="11.25" customHeight="1" x14ac:dyDescent="0.2">
      <c r="A65" s="49">
        <v>44682</v>
      </c>
      <c r="B65" s="64">
        <v>1062.6552000000001</v>
      </c>
      <c r="C65" s="64">
        <v>0</v>
      </c>
      <c r="D65" s="64">
        <v>678.77888196266395</v>
      </c>
      <c r="E65" s="64">
        <v>0</v>
      </c>
      <c r="F65" s="64">
        <v>1062.6552000000001</v>
      </c>
      <c r="G65" s="64">
        <v>678.77888196266395</v>
      </c>
    </row>
    <row r="66" spans="1:7" ht="11.25" customHeight="1" x14ac:dyDescent="0.2">
      <c r="A66" s="48" t="s">
        <v>37</v>
      </c>
      <c r="B66" s="64">
        <v>0</v>
      </c>
      <c r="C66" s="64">
        <v>43117.703747999993</v>
      </c>
      <c r="D66" s="64">
        <v>0</v>
      </c>
      <c r="E66" s="64">
        <v>25589.776507417733</v>
      </c>
      <c r="F66" s="64">
        <v>43117.703747999993</v>
      </c>
      <c r="G66" s="64">
        <v>25589.776507417733</v>
      </c>
    </row>
    <row r="67" spans="1:7" ht="11.25" customHeight="1" x14ac:dyDescent="0.2">
      <c r="A67" s="49">
        <v>44348</v>
      </c>
      <c r="B67" s="64">
        <v>0</v>
      </c>
      <c r="C67" s="64">
        <v>3452.031475199999</v>
      </c>
      <c r="D67" s="64">
        <v>0</v>
      </c>
      <c r="E67" s="64">
        <v>2048.7341919509572</v>
      </c>
      <c r="F67" s="64">
        <v>3452.031475199999</v>
      </c>
      <c r="G67" s="64">
        <v>2048.7341919509572</v>
      </c>
    </row>
    <row r="68" spans="1:7" ht="11.25" customHeight="1" x14ac:dyDescent="0.2">
      <c r="A68" s="49">
        <v>44378</v>
      </c>
      <c r="B68" s="64">
        <v>0</v>
      </c>
      <c r="C68" s="64">
        <v>3267.4903805999998</v>
      </c>
      <c r="D68" s="64">
        <v>0</v>
      </c>
      <c r="E68" s="64">
        <v>1939.2115375246469</v>
      </c>
      <c r="F68" s="64">
        <v>3267.4903805999998</v>
      </c>
      <c r="G68" s="64">
        <v>1939.2115375246469</v>
      </c>
    </row>
    <row r="69" spans="1:7" ht="11.25" customHeight="1" x14ac:dyDescent="0.2">
      <c r="A69" s="49">
        <v>44409</v>
      </c>
      <c r="B69" s="64">
        <v>0</v>
      </c>
      <c r="C69" s="64">
        <v>3514.7645507999991</v>
      </c>
      <c r="D69" s="64">
        <v>0</v>
      </c>
      <c r="E69" s="64">
        <v>2085.9654274919135</v>
      </c>
      <c r="F69" s="64">
        <v>3514.7645507999991</v>
      </c>
      <c r="G69" s="64">
        <v>2085.9654274919135</v>
      </c>
    </row>
    <row r="70" spans="1:7" ht="11.25" customHeight="1" x14ac:dyDescent="0.2">
      <c r="A70" s="49">
        <v>44440</v>
      </c>
      <c r="B70" s="64">
        <v>0</v>
      </c>
      <c r="C70" s="64">
        <v>3276.0519665999991</v>
      </c>
      <c r="D70" s="64">
        <v>0</v>
      </c>
      <c r="E70" s="64">
        <v>1944.2927235165887</v>
      </c>
      <c r="F70" s="64">
        <v>3276.0519665999991</v>
      </c>
      <c r="G70" s="64">
        <v>1944.2927235165887</v>
      </c>
    </row>
    <row r="71" spans="1:7" ht="11.25" customHeight="1" x14ac:dyDescent="0.2">
      <c r="A71" s="49">
        <v>44470</v>
      </c>
      <c r="B71" s="64">
        <v>0</v>
      </c>
      <c r="C71" s="64">
        <v>3373.7318795999995</v>
      </c>
      <c r="D71" s="64">
        <v>0</v>
      </c>
      <c r="E71" s="64">
        <v>2002.2644364246526</v>
      </c>
      <c r="F71" s="64">
        <v>3373.7318795999995</v>
      </c>
      <c r="G71" s="64">
        <v>2002.2644364246526</v>
      </c>
    </row>
    <row r="72" spans="1:7" ht="11.25" customHeight="1" x14ac:dyDescent="0.2">
      <c r="A72" s="49">
        <v>44501</v>
      </c>
      <c r="B72" s="64">
        <v>0</v>
      </c>
      <c r="C72" s="64">
        <v>3486.5891495999995</v>
      </c>
      <c r="D72" s="64">
        <v>0</v>
      </c>
      <c r="E72" s="64">
        <v>2069.2437063184316</v>
      </c>
      <c r="F72" s="64">
        <v>3486.5891495999995</v>
      </c>
      <c r="G72" s="64">
        <v>2069.2437063184316</v>
      </c>
    </row>
    <row r="73" spans="1:7" ht="11.25" customHeight="1" x14ac:dyDescent="0.2">
      <c r="A73" s="49">
        <v>44531</v>
      </c>
      <c r="B73" s="64">
        <v>0</v>
      </c>
      <c r="C73" s="64">
        <v>4099.9878701999996</v>
      </c>
      <c r="D73" s="64">
        <v>0</v>
      </c>
      <c r="E73" s="64">
        <v>2433.2875863411027</v>
      </c>
      <c r="F73" s="64">
        <v>4099.9878701999996</v>
      </c>
      <c r="G73" s="64">
        <v>2433.2875863411027</v>
      </c>
    </row>
    <row r="74" spans="1:7" ht="11.25" customHeight="1" x14ac:dyDescent="0.2">
      <c r="A74" s="49">
        <v>44562</v>
      </c>
      <c r="B74" s="64">
        <v>0</v>
      </c>
      <c r="C74" s="64">
        <v>3876.9974711999994</v>
      </c>
      <c r="D74" s="64">
        <v>0</v>
      </c>
      <c r="E74" s="64">
        <v>2300.9457875509802</v>
      </c>
      <c r="F74" s="64">
        <v>3876.9974711999994</v>
      </c>
      <c r="G74" s="64">
        <v>2300.9457875509802</v>
      </c>
    </row>
    <row r="75" spans="1:7" ht="11.25" customHeight="1" x14ac:dyDescent="0.2">
      <c r="A75" s="49">
        <v>44593</v>
      </c>
      <c r="B75" s="64">
        <v>0</v>
      </c>
      <c r="C75" s="64">
        <v>3668.8730987999993</v>
      </c>
      <c r="D75" s="64">
        <v>0</v>
      </c>
      <c r="E75" s="64">
        <v>2177.4267753468666</v>
      </c>
      <c r="F75" s="64">
        <v>3668.8730987999993</v>
      </c>
      <c r="G75" s="64">
        <v>2177.4267753468666</v>
      </c>
    </row>
    <row r="76" spans="1:7" ht="11.25" customHeight="1" x14ac:dyDescent="0.2">
      <c r="A76" s="49">
        <v>44621</v>
      </c>
      <c r="B76" s="64">
        <v>0</v>
      </c>
      <c r="C76" s="64">
        <v>3443.0807262000003</v>
      </c>
      <c r="D76" s="64">
        <v>0</v>
      </c>
      <c r="E76" s="64">
        <v>2043.422042959382</v>
      </c>
      <c r="F76" s="64">
        <v>3443.0807262000003</v>
      </c>
      <c r="G76" s="64">
        <v>2043.422042959382</v>
      </c>
    </row>
    <row r="77" spans="1:7" ht="11.25" customHeight="1" x14ac:dyDescent="0.2">
      <c r="A77" s="49">
        <v>44652</v>
      </c>
      <c r="B77" s="64">
        <v>0</v>
      </c>
      <c r="C77" s="64">
        <v>3574.6956527999992</v>
      </c>
      <c r="D77" s="64">
        <v>0</v>
      </c>
      <c r="E77" s="64">
        <v>2121.5337294355058</v>
      </c>
      <c r="F77" s="64">
        <v>3574.6956527999992</v>
      </c>
      <c r="G77" s="64">
        <v>2121.5337294355058</v>
      </c>
    </row>
    <row r="78" spans="1:7" ht="11.25" customHeight="1" x14ac:dyDescent="0.2">
      <c r="A78" s="49">
        <v>44682</v>
      </c>
      <c r="B78" s="64">
        <v>0</v>
      </c>
      <c r="C78" s="64">
        <v>4083.4095263999989</v>
      </c>
      <c r="D78" s="64">
        <v>0</v>
      </c>
      <c r="E78" s="64">
        <v>2423.4485625567063</v>
      </c>
      <c r="F78" s="64">
        <v>4083.4095263999989</v>
      </c>
      <c r="G78" s="64">
        <v>2423.4485625567063</v>
      </c>
    </row>
    <row r="79" spans="1:7" ht="11.25" customHeight="1" x14ac:dyDescent="0.2">
      <c r="A79" s="42" t="s">
        <v>39</v>
      </c>
      <c r="B79" s="64">
        <v>0</v>
      </c>
      <c r="C79" s="64">
        <v>23999.969718</v>
      </c>
      <c r="D79" s="64">
        <v>0</v>
      </c>
      <c r="E79" s="64">
        <v>12741.107461988722</v>
      </c>
      <c r="F79" s="64">
        <v>23999.969718</v>
      </c>
      <c r="G79" s="64">
        <v>12741.107461988722</v>
      </c>
    </row>
    <row r="80" spans="1:7" ht="11.25" customHeight="1" x14ac:dyDescent="0.2">
      <c r="A80" s="43" t="s">
        <v>23</v>
      </c>
      <c r="B80" s="64">
        <v>0</v>
      </c>
      <c r="C80" s="64">
        <v>23999.969718</v>
      </c>
      <c r="D80" s="64">
        <v>0</v>
      </c>
      <c r="E80" s="64">
        <v>12741.107461988722</v>
      </c>
      <c r="F80" s="64">
        <v>23999.969718</v>
      </c>
      <c r="G80" s="64">
        <v>12741.107461988722</v>
      </c>
    </row>
    <row r="81" spans="1:7" ht="11.25" customHeight="1" x14ac:dyDescent="0.2">
      <c r="A81" s="44" t="s">
        <v>50</v>
      </c>
      <c r="B81" s="64">
        <v>0</v>
      </c>
      <c r="C81" s="64">
        <v>23999.969718</v>
      </c>
      <c r="D81" s="64">
        <v>0</v>
      </c>
      <c r="E81" s="64">
        <v>12741.107461988722</v>
      </c>
      <c r="F81" s="64">
        <v>23999.969718</v>
      </c>
      <c r="G81" s="64">
        <v>12741.107461988722</v>
      </c>
    </row>
    <row r="82" spans="1:7" ht="11.25" customHeight="1" x14ac:dyDescent="0.2">
      <c r="A82" s="45" t="s">
        <v>51</v>
      </c>
      <c r="B82" s="64">
        <v>0</v>
      </c>
      <c r="C82" s="64">
        <v>23999.969718</v>
      </c>
      <c r="D82" s="64">
        <v>0</v>
      </c>
      <c r="E82" s="64">
        <v>12741.107461988722</v>
      </c>
      <c r="F82" s="64">
        <v>23999.969718</v>
      </c>
      <c r="G82" s="64">
        <v>12741.107461988722</v>
      </c>
    </row>
    <row r="83" spans="1:7" ht="11.25" customHeight="1" x14ac:dyDescent="0.2">
      <c r="A83" s="46" t="s">
        <v>25</v>
      </c>
      <c r="B83" s="64">
        <v>0</v>
      </c>
      <c r="C83" s="64">
        <v>23999.969718</v>
      </c>
      <c r="D83" s="64">
        <v>0</v>
      </c>
      <c r="E83" s="64">
        <v>12741.107461988722</v>
      </c>
      <c r="F83" s="64">
        <v>23999.969718</v>
      </c>
      <c r="G83" s="64">
        <v>12741.107461988722</v>
      </c>
    </row>
    <row r="84" spans="1:7" ht="11.25" customHeight="1" x14ac:dyDescent="0.2">
      <c r="A84" s="47" t="s">
        <v>25</v>
      </c>
      <c r="B84" s="64">
        <v>0</v>
      </c>
      <c r="C84" s="64">
        <v>23999.969718</v>
      </c>
      <c r="D84" s="64">
        <v>0</v>
      </c>
      <c r="E84" s="64">
        <v>12741.107461988722</v>
      </c>
      <c r="F84" s="64">
        <v>23999.969718</v>
      </c>
      <c r="G84" s="64">
        <v>12741.107461988722</v>
      </c>
    </row>
    <row r="85" spans="1:7" ht="11.25" customHeight="1" x14ac:dyDescent="0.2">
      <c r="A85" s="48" t="s">
        <v>25</v>
      </c>
      <c r="B85" s="64">
        <v>0</v>
      </c>
      <c r="C85" s="64">
        <v>23999.969718</v>
      </c>
      <c r="D85" s="64">
        <v>0</v>
      </c>
      <c r="E85" s="64">
        <v>12741.107461988722</v>
      </c>
      <c r="F85" s="64">
        <v>23999.969718</v>
      </c>
      <c r="G85" s="64">
        <v>12741.107461988722</v>
      </c>
    </row>
    <row r="86" spans="1:7" ht="11.25" customHeight="1" x14ac:dyDescent="0.2">
      <c r="A86" s="49">
        <v>44348</v>
      </c>
      <c r="B86" s="64">
        <v>0</v>
      </c>
      <c r="C86" s="64">
        <v>1555.2654389999998</v>
      </c>
      <c r="D86" s="64">
        <v>0</v>
      </c>
      <c r="E86" s="64">
        <v>825.6595455349343</v>
      </c>
      <c r="F86" s="64">
        <v>1555.2654389999998</v>
      </c>
      <c r="G86" s="64">
        <v>825.6595455349343</v>
      </c>
    </row>
    <row r="87" spans="1:7" ht="11.25" customHeight="1" x14ac:dyDescent="0.2">
      <c r="A87" s="49">
        <v>44378</v>
      </c>
      <c r="B87" s="64">
        <v>0</v>
      </c>
      <c r="C87" s="64">
        <v>1824.3457829999998</v>
      </c>
      <c r="D87" s="64">
        <v>0</v>
      </c>
      <c r="E87" s="64">
        <v>968.50895822571806</v>
      </c>
      <c r="F87" s="64">
        <v>1824.3457829999998</v>
      </c>
      <c r="G87" s="64">
        <v>968.50895822571806</v>
      </c>
    </row>
    <row r="88" spans="1:7" ht="11.25" customHeight="1" x14ac:dyDescent="0.2">
      <c r="A88" s="49">
        <v>44409</v>
      </c>
      <c r="B88" s="64">
        <v>0</v>
      </c>
      <c r="C88" s="64">
        <v>1809.8787059999997</v>
      </c>
      <c r="D88" s="64">
        <v>0</v>
      </c>
      <c r="E88" s="64">
        <v>960.8286742552084</v>
      </c>
      <c r="F88" s="64">
        <v>1809.8787059999997</v>
      </c>
      <c r="G88" s="64">
        <v>960.8286742552084</v>
      </c>
    </row>
    <row r="89" spans="1:7" ht="11.25" customHeight="1" x14ac:dyDescent="0.2">
      <c r="A89" s="49">
        <v>44440</v>
      </c>
      <c r="B89" s="64">
        <v>0</v>
      </c>
      <c r="C89" s="64">
        <v>1708.0625519999996</v>
      </c>
      <c r="D89" s="64">
        <v>0</v>
      </c>
      <c r="E89" s="64">
        <v>906.77649940986066</v>
      </c>
      <c r="F89" s="64">
        <v>1708.0625519999996</v>
      </c>
      <c r="G89" s="64">
        <v>906.77649940986066</v>
      </c>
    </row>
    <row r="90" spans="1:7" ht="11.25" customHeight="1" x14ac:dyDescent="0.2">
      <c r="A90" s="49">
        <v>44470</v>
      </c>
      <c r="B90" s="64">
        <v>0</v>
      </c>
      <c r="C90" s="64">
        <v>1614.2269769999998</v>
      </c>
      <c r="D90" s="64">
        <v>0</v>
      </c>
      <c r="E90" s="64">
        <v>856.96105552053666</v>
      </c>
      <c r="F90" s="64">
        <v>1614.2269769999998</v>
      </c>
      <c r="G90" s="64">
        <v>856.96105552053666</v>
      </c>
    </row>
    <row r="91" spans="1:7" ht="11.25" customHeight="1" x14ac:dyDescent="0.2">
      <c r="A91" s="49">
        <v>44501</v>
      </c>
      <c r="B91" s="64">
        <v>0</v>
      </c>
      <c r="C91" s="64">
        <v>1623.045699</v>
      </c>
      <c r="D91" s="64">
        <v>0</v>
      </c>
      <c r="E91" s="64">
        <v>861.64273995596056</v>
      </c>
      <c r="F91" s="64">
        <v>1623.045699</v>
      </c>
      <c r="G91" s="64">
        <v>861.64273995596056</v>
      </c>
    </row>
    <row r="92" spans="1:7" ht="11.25" customHeight="1" x14ac:dyDescent="0.2">
      <c r="A92" s="49">
        <v>44531</v>
      </c>
      <c r="B92" s="64">
        <v>0</v>
      </c>
      <c r="C92" s="64">
        <v>2098.2363389999996</v>
      </c>
      <c r="D92" s="64">
        <v>0</v>
      </c>
      <c r="E92" s="64">
        <v>1113.9120169721873</v>
      </c>
      <c r="F92" s="64">
        <v>2098.2363389999996</v>
      </c>
      <c r="G92" s="64">
        <v>1113.9120169721873</v>
      </c>
    </row>
    <row r="93" spans="1:7" ht="11.25" customHeight="1" x14ac:dyDescent="0.2">
      <c r="A93" s="49">
        <v>44562</v>
      </c>
      <c r="B93" s="64">
        <v>0</v>
      </c>
      <c r="C93" s="64">
        <v>2238.7163939999996</v>
      </c>
      <c r="D93" s="64">
        <v>0</v>
      </c>
      <c r="E93" s="64">
        <v>1188.4900892802818</v>
      </c>
      <c r="F93" s="64">
        <v>2238.7163939999996</v>
      </c>
      <c r="G93" s="64">
        <v>1188.4900892802818</v>
      </c>
    </row>
    <row r="94" spans="1:7" ht="11.25" customHeight="1" x14ac:dyDescent="0.2">
      <c r="A94" s="49">
        <v>44593</v>
      </c>
      <c r="B94" s="64">
        <v>0</v>
      </c>
      <c r="C94" s="64">
        <v>2428.4282399999997</v>
      </c>
      <c r="D94" s="64">
        <v>0</v>
      </c>
      <c r="E94" s="64">
        <v>1289.2043420522509</v>
      </c>
      <c r="F94" s="64">
        <v>2428.4282399999997</v>
      </c>
      <c r="G94" s="64">
        <v>1289.2043420522509</v>
      </c>
    </row>
    <row r="95" spans="1:7" ht="11.25" customHeight="1" x14ac:dyDescent="0.2">
      <c r="A95" s="49">
        <v>44621</v>
      </c>
      <c r="B95" s="64">
        <v>0</v>
      </c>
      <c r="C95" s="64">
        <v>2381.6015549999997</v>
      </c>
      <c r="D95" s="64">
        <v>0</v>
      </c>
      <c r="E95" s="64">
        <v>1264.3449846162196</v>
      </c>
      <c r="F95" s="64">
        <v>2381.6015549999997</v>
      </c>
      <c r="G95" s="64">
        <v>1264.3449846162196</v>
      </c>
    </row>
    <row r="96" spans="1:7" ht="11.25" customHeight="1" x14ac:dyDescent="0.2">
      <c r="A96" s="49">
        <v>44652</v>
      </c>
      <c r="B96" s="64">
        <v>0</v>
      </c>
      <c r="C96" s="64">
        <v>2331.9689129999997</v>
      </c>
      <c r="D96" s="64">
        <v>0</v>
      </c>
      <c r="E96" s="64">
        <v>1237.9960003143713</v>
      </c>
      <c r="F96" s="64">
        <v>2331.9689129999997</v>
      </c>
      <c r="G96" s="64">
        <v>1237.9960003143713</v>
      </c>
    </row>
    <row r="97" spans="1:7" ht="11.25" customHeight="1" x14ac:dyDescent="0.2">
      <c r="A97" s="49">
        <v>44682</v>
      </c>
      <c r="B97" s="64">
        <v>0</v>
      </c>
      <c r="C97" s="64">
        <v>2386.1931209999998</v>
      </c>
      <c r="D97" s="64">
        <v>0</v>
      </c>
      <c r="E97" s="64">
        <v>1266.7825558511922</v>
      </c>
      <c r="F97" s="64">
        <v>2386.1931209999998</v>
      </c>
      <c r="G97" s="64">
        <v>1266.7825558511922</v>
      </c>
    </row>
    <row r="98" spans="1:7" ht="11.25" customHeight="1" x14ac:dyDescent="0.2">
      <c r="A98" s="41" t="s">
        <v>780</v>
      </c>
      <c r="B98" s="64">
        <v>0</v>
      </c>
      <c r="C98" s="64">
        <v>1429763.7067799994</v>
      </c>
      <c r="D98" s="64">
        <v>0</v>
      </c>
      <c r="E98" s="64">
        <v>1394989.503132707</v>
      </c>
      <c r="F98" s="64">
        <v>1429763.7067800004</v>
      </c>
      <c r="G98" s="64">
        <v>1394989.5031327065</v>
      </c>
    </row>
    <row r="99" spans="1:7" ht="11.25" customHeight="1" x14ac:dyDescent="0.2">
      <c r="A99" s="42" t="s">
        <v>22</v>
      </c>
      <c r="B99" s="64">
        <v>0</v>
      </c>
      <c r="C99" s="64">
        <v>1429763.7067799994</v>
      </c>
      <c r="D99" s="64">
        <v>0</v>
      </c>
      <c r="E99" s="64">
        <v>1394989.503132707</v>
      </c>
      <c r="F99" s="64">
        <v>1429763.7067800004</v>
      </c>
      <c r="G99" s="64">
        <v>1394989.5031327065</v>
      </c>
    </row>
    <row r="100" spans="1:7" ht="11.25" customHeight="1" x14ac:dyDescent="0.2">
      <c r="A100" s="43" t="s">
        <v>23</v>
      </c>
      <c r="B100" s="64">
        <v>0</v>
      </c>
      <c r="C100" s="64">
        <v>1429763.7067799994</v>
      </c>
      <c r="D100" s="64">
        <v>0</v>
      </c>
      <c r="E100" s="64">
        <v>1394989.503132707</v>
      </c>
      <c r="F100" s="64">
        <v>1429763.7067800004</v>
      </c>
      <c r="G100" s="64">
        <v>1394989.5031327065</v>
      </c>
    </row>
    <row r="101" spans="1:7" ht="11.25" customHeight="1" x14ac:dyDescent="0.2">
      <c r="A101" s="44" t="s">
        <v>24</v>
      </c>
      <c r="B101" s="64">
        <v>0</v>
      </c>
      <c r="C101" s="64">
        <v>1429763.7067799994</v>
      </c>
      <c r="D101" s="64">
        <v>0</v>
      </c>
      <c r="E101" s="64">
        <v>1394989.503132707</v>
      </c>
      <c r="F101" s="64">
        <v>1429763.7067800004</v>
      </c>
      <c r="G101" s="64">
        <v>1394989.5031327065</v>
      </c>
    </row>
    <row r="102" spans="1:7" ht="11.25" customHeight="1" x14ac:dyDescent="0.2">
      <c r="A102" s="45" t="s">
        <v>29</v>
      </c>
      <c r="B102" s="64">
        <v>0</v>
      </c>
      <c r="C102" s="64">
        <v>606487.47149999999</v>
      </c>
      <c r="D102" s="64">
        <v>0</v>
      </c>
      <c r="E102" s="64">
        <v>591737.63767385192</v>
      </c>
      <c r="F102" s="64">
        <v>606487.47149999987</v>
      </c>
      <c r="G102" s="64">
        <v>591737.63767385192</v>
      </c>
    </row>
    <row r="103" spans="1:7" ht="11.25" customHeight="1" x14ac:dyDescent="0.2">
      <c r="A103" s="46" t="s">
        <v>25</v>
      </c>
      <c r="B103" s="64">
        <v>0</v>
      </c>
      <c r="C103" s="64">
        <v>606487.47149999999</v>
      </c>
      <c r="D103" s="64">
        <v>0</v>
      </c>
      <c r="E103" s="64">
        <v>591737.63767385192</v>
      </c>
      <c r="F103" s="64">
        <v>606487.47149999987</v>
      </c>
      <c r="G103" s="64">
        <v>591737.63767385192</v>
      </c>
    </row>
    <row r="104" spans="1:7" ht="11.25" customHeight="1" x14ac:dyDescent="0.2">
      <c r="A104" s="47" t="s">
        <v>25</v>
      </c>
      <c r="B104" s="64">
        <v>0</v>
      </c>
      <c r="C104" s="64">
        <v>606487.47149999999</v>
      </c>
      <c r="D104" s="64">
        <v>0</v>
      </c>
      <c r="E104" s="64">
        <v>591737.63767385192</v>
      </c>
      <c r="F104" s="64">
        <v>606487.47149999987</v>
      </c>
      <c r="G104" s="64">
        <v>591737.63767385192</v>
      </c>
    </row>
    <row r="105" spans="1:7" ht="11.25" customHeight="1" x14ac:dyDescent="0.2">
      <c r="A105" s="48" t="s">
        <v>25</v>
      </c>
      <c r="B105" s="64">
        <v>0</v>
      </c>
      <c r="C105" s="64">
        <v>606487.47149999999</v>
      </c>
      <c r="D105" s="64">
        <v>0</v>
      </c>
      <c r="E105" s="64">
        <v>591737.63767385192</v>
      </c>
      <c r="F105" s="64">
        <v>606487.47149999987</v>
      </c>
      <c r="G105" s="64">
        <v>591737.63767385192</v>
      </c>
    </row>
    <row r="106" spans="1:7" ht="11.25" customHeight="1" x14ac:dyDescent="0.2">
      <c r="A106" s="49">
        <v>44348</v>
      </c>
      <c r="B106" s="64">
        <v>0</v>
      </c>
      <c r="C106" s="64">
        <v>48842.275969999988</v>
      </c>
      <c r="D106" s="64">
        <v>0</v>
      </c>
      <c r="E106" s="64">
        <v>47654.427105675401</v>
      </c>
      <c r="F106" s="64">
        <v>48842.275969999988</v>
      </c>
      <c r="G106" s="64">
        <v>47654.427105675401</v>
      </c>
    </row>
    <row r="107" spans="1:7" ht="11.25" customHeight="1" x14ac:dyDescent="0.2">
      <c r="A107" s="49">
        <v>44378</v>
      </c>
      <c r="B107" s="64">
        <v>0</v>
      </c>
      <c r="C107" s="64">
        <v>49438.855399999993</v>
      </c>
      <c r="D107" s="64">
        <v>0</v>
      </c>
      <c r="E107" s="64">
        <v>48236.497666374562</v>
      </c>
      <c r="F107" s="64">
        <v>49438.855399999993</v>
      </c>
      <c r="G107" s="64">
        <v>48236.497666374562</v>
      </c>
    </row>
    <row r="108" spans="1:7" ht="11.25" customHeight="1" x14ac:dyDescent="0.2">
      <c r="A108" s="49">
        <v>44409</v>
      </c>
      <c r="B108" s="64">
        <v>0</v>
      </c>
      <c r="C108" s="64">
        <v>50042.774119999987</v>
      </c>
      <c r="D108" s="64">
        <v>0</v>
      </c>
      <c r="E108" s="64">
        <v>48825.729024832741</v>
      </c>
      <c r="F108" s="64">
        <v>50042.774119999987</v>
      </c>
      <c r="G108" s="64">
        <v>48825.729024832741</v>
      </c>
    </row>
    <row r="109" spans="1:7" ht="11.25" customHeight="1" x14ac:dyDescent="0.2">
      <c r="A109" s="49">
        <v>44440</v>
      </c>
      <c r="B109" s="64">
        <v>0</v>
      </c>
      <c r="C109" s="64">
        <v>50460.065179999998</v>
      </c>
      <c r="D109" s="64">
        <v>0</v>
      </c>
      <c r="E109" s="64">
        <v>49232.87152598962</v>
      </c>
      <c r="F109" s="64">
        <v>50460.065179999998</v>
      </c>
      <c r="G109" s="64">
        <v>49232.87152598962</v>
      </c>
    </row>
    <row r="110" spans="1:7" ht="11.25" customHeight="1" x14ac:dyDescent="0.2">
      <c r="A110" s="49">
        <v>44470</v>
      </c>
      <c r="B110" s="64">
        <v>0</v>
      </c>
      <c r="C110" s="64">
        <v>50210.878809999995</v>
      </c>
      <c r="D110" s="64">
        <v>0</v>
      </c>
      <c r="E110" s="64">
        <v>48989.745392551726</v>
      </c>
      <c r="F110" s="64">
        <v>50210.878809999995</v>
      </c>
      <c r="G110" s="64">
        <v>48989.745392551726</v>
      </c>
    </row>
    <row r="111" spans="1:7" ht="11.25" customHeight="1" x14ac:dyDescent="0.2">
      <c r="A111" s="49">
        <v>44501</v>
      </c>
      <c r="B111" s="64">
        <v>0</v>
      </c>
      <c r="C111" s="64">
        <v>49047.426599999992</v>
      </c>
      <c r="D111" s="64">
        <v>0</v>
      </c>
      <c r="E111" s="64">
        <v>47854.588452559066</v>
      </c>
      <c r="F111" s="64">
        <v>49047.426599999992</v>
      </c>
      <c r="G111" s="64">
        <v>47854.588452559066</v>
      </c>
    </row>
    <row r="112" spans="1:7" ht="11.25" customHeight="1" x14ac:dyDescent="0.2">
      <c r="A112" s="49">
        <v>44531</v>
      </c>
      <c r="B112" s="64">
        <v>0</v>
      </c>
      <c r="C112" s="64">
        <v>47774.933509999995</v>
      </c>
      <c r="D112" s="64">
        <v>0</v>
      </c>
      <c r="E112" s="64">
        <v>46613.042517289243</v>
      </c>
      <c r="F112" s="64">
        <v>47774.933509999995</v>
      </c>
      <c r="G112" s="64">
        <v>46613.042517289243</v>
      </c>
    </row>
    <row r="113" spans="1:7" ht="11.25" customHeight="1" x14ac:dyDescent="0.2">
      <c r="A113" s="49">
        <v>44562</v>
      </c>
      <c r="B113" s="64">
        <v>0</v>
      </c>
      <c r="C113" s="64">
        <v>48196.06895999999</v>
      </c>
      <c r="D113" s="64">
        <v>0</v>
      </c>
      <c r="E113" s="64">
        <v>47023.935912510366</v>
      </c>
      <c r="F113" s="64">
        <v>48196.06895999999</v>
      </c>
      <c r="G113" s="64">
        <v>47023.935912510366</v>
      </c>
    </row>
    <row r="114" spans="1:7" ht="11.25" customHeight="1" x14ac:dyDescent="0.2">
      <c r="A114" s="49">
        <v>44593</v>
      </c>
      <c r="B114" s="64">
        <v>0</v>
      </c>
      <c r="C114" s="64">
        <v>49961.692439999992</v>
      </c>
      <c r="D114" s="64">
        <v>0</v>
      </c>
      <c r="E114" s="64">
        <v>48746.619259113817</v>
      </c>
      <c r="F114" s="64">
        <v>49961.692439999992</v>
      </c>
      <c r="G114" s="64">
        <v>48746.619259113817</v>
      </c>
    </row>
    <row r="115" spans="1:7" ht="11.25" customHeight="1" x14ac:dyDescent="0.2">
      <c r="A115" s="49">
        <v>44621</v>
      </c>
      <c r="B115" s="64">
        <v>0</v>
      </c>
      <c r="C115" s="64">
        <v>53765.192109999989</v>
      </c>
      <c r="D115" s="64">
        <v>0</v>
      </c>
      <c r="E115" s="64">
        <v>52457.617450144178</v>
      </c>
      <c r="F115" s="64">
        <v>53765.192109999989</v>
      </c>
      <c r="G115" s="64">
        <v>52457.617450144178</v>
      </c>
    </row>
    <row r="116" spans="1:7" ht="11.25" customHeight="1" x14ac:dyDescent="0.2">
      <c r="A116" s="49">
        <v>44652</v>
      </c>
      <c r="B116" s="64">
        <v>0</v>
      </c>
      <c r="C116" s="64">
        <v>54112.585169999991</v>
      </c>
      <c r="D116" s="64">
        <v>0</v>
      </c>
      <c r="E116" s="64">
        <v>52796.561877405424</v>
      </c>
      <c r="F116" s="64">
        <v>54112.585169999991</v>
      </c>
      <c r="G116" s="64">
        <v>52796.561877405424</v>
      </c>
    </row>
    <row r="117" spans="1:7" ht="11.25" customHeight="1" x14ac:dyDescent="0.2">
      <c r="A117" s="49">
        <v>44682</v>
      </c>
      <c r="B117" s="64">
        <v>0</v>
      </c>
      <c r="C117" s="64">
        <v>54634.723229999996</v>
      </c>
      <c r="D117" s="64">
        <v>0</v>
      </c>
      <c r="E117" s="64">
        <v>53306.001489405731</v>
      </c>
      <c r="F117" s="64">
        <v>54634.723229999996</v>
      </c>
      <c r="G117" s="64">
        <v>53306.001489405731</v>
      </c>
    </row>
    <row r="118" spans="1:7" ht="11.25" customHeight="1" x14ac:dyDescent="0.2">
      <c r="A118" s="45" t="s">
        <v>30</v>
      </c>
      <c r="B118" s="64">
        <v>0</v>
      </c>
      <c r="C118" s="64">
        <v>711175.6251899997</v>
      </c>
      <c r="D118" s="64">
        <v>0</v>
      </c>
      <c r="E118" s="64">
        <v>693882.24713204533</v>
      </c>
      <c r="F118" s="64">
        <v>711175.6251899997</v>
      </c>
      <c r="G118" s="64">
        <v>693882.24713204533</v>
      </c>
    </row>
    <row r="119" spans="1:7" ht="11.25" customHeight="1" x14ac:dyDescent="0.2">
      <c r="A119" s="46" t="s">
        <v>25</v>
      </c>
      <c r="B119" s="64">
        <v>0</v>
      </c>
      <c r="C119" s="64">
        <v>711175.6251899997</v>
      </c>
      <c r="D119" s="64">
        <v>0</v>
      </c>
      <c r="E119" s="64">
        <v>693882.24713204533</v>
      </c>
      <c r="F119" s="64">
        <v>711175.6251899997</v>
      </c>
      <c r="G119" s="64">
        <v>693882.24713204533</v>
      </c>
    </row>
    <row r="120" spans="1:7" ht="11.25" customHeight="1" x14ac:dyDescent="0.2">
      <c r="A120" s="47" t="s">
        <v>25</v>
      </c>
      <c r="B120" s="64">
        <v>0</v>
      </c>
      <c r="C120" s="64">
        <v>711175.6251899997</v>
      </c>
      <c r="D120" s="64">
        <v>0</v>
      </c>
      <c r="E120" s="64">
        <v>693882.24713204533</v>
      </c>
      <c r="F120" s="64">
        <v>711175.6251899997</v>
      </c>
      <c r="G120" s="64">
        <v>693882.24713204533</v>
      </c>
    </row>
    <row r="121" spans="1:7" ht="11.25" customHeight="1" x14ac:dyDescent="0.2">
      <c r="A121" s="48" t="s">
        <v>25</v>
      </c>
      <c r="B121" s="64">
        <v>0</v>
      </c>
      <c r="C121" s="64">
        <v>711175.6251899997</v>
      </c>
      <c r="D121" s="64">
        <v>0</v>
      </c>
      <c r="E121" s="64">
        <v>693882.24713204533</v>
      </c>
      <c r="F121" s="64">
        <v>711175.6251899997</v>
      </c>
      <c r="G121" s="64">
        <v>693882.24713204533</v>
      </c>
    </row>
    <row r="122" spans="1:7" ht="11.25" customHeight="1" x14ac:dyDescent="0.2">
      <c r="A122" s="49">
        <v>44348</v>
      </c>
      <c r="B122" s="64">
        <v>0</v>
      </c>
      <c r="C122" s="64">
        <v>56291.776589999972</v>
      </c>
      <c r="D122" s="64">
        <v>0</v>
      </c>
      <c r="E122" s="64">
        <v>54922.95159144255</v>
      </c>
      <c r="F122" s="64">
        <v>56291.776589999972</v>
      </c>
      <c r="G122" s="64">
        <v>54922.95159144255</v>
      </c>
    </row>
    <row r="123" spans="1:7" ht="11.25" customHeight="1" x14ac:dyDescent="0.2">
      <c r="A123" s="49">
        <v>44378</v>
      </c>
      <c r="B123" s="64">
        <v>0</v>
      </c>
      <c r="C123" s="64">
        <v>56264.892839999971</v>
      </c>
      <c r="D123" s="64">
        <v>0</v>
      </c>
      <c r="E123" s="64">
        <v>54896.721563021158</v>
      </c>
      <c r="F123" s="64">
        <v>56264.892839999971</v>
      </c>
      <c r="G123" s="64">
        <v>54896.721563021158</v>
      </c>
    </row>
    <row r="124" spans="1:7" ht="11.25" customHeight="1" x14ac:dyDescent="0.2">
      <c r="A124" s="49">
        <v>44409</v>
      </c>
      <c r="B124" s="64">
        <v>0</v>
      </c>
      <c r="C124" s="64">
        <v>57126.463259999968</v>
      </c>
      <c r="D124" s="64">
        <v>0</v>
      </c>
      <c r="E124" s="64">
        <v>55737.341513869986</v>
      </c>
      <c r="F124" s="64">
        <v>57126.463259999968</v>
      </c>
      <c r="G124" s="64">
        <v>55737.341513869986</v>
      </c>
    </row>
    <row r="125" spans="1:7" ht="11.25" customHeight="1" x14ac:dyDescent="0.2">
      <c r="A125" s="49">
        <v>44440</v>
      </c>
      <c r="B125" s="64">
        <v>0</v>
      </c>
      <c r="C125" s="64">
        <v>58764.006239999981</v>
      </c>
      <c r="D125" s="64">
        <v>0</v>
      </c>
      <c r="E125" s="64">
        <v>57335.065005073928</v>
      </c>
      <c r="F125" s="64">
        <v>58764.006239999981</v>
      </c>
      <c r="G125" s="64">
        <v>57335.065005073928</v>
      </c>
    </row>
    <row r="126" spans="1:7" ht="11.25" customHeight="1" x14ac:dyDescent="0.2">
      <c r="A126" s="49">
        <v>44470</v>
      </c>
      <c r="B126" s="64">
        <v>0</v>
      </c>
      <c r="C126" s="64">
        <v>58874.337149999978</v>
      </c>
      <c r="D126" s="64">
        <v>0</v>
      </c>
      <c r="E126" s="64">
        <v>57442.713041715317</v>
      </c>
      <c r="F126" s="64">
        <v>58874.337149999978</v>
      </c>
      <c r="G126" s="64">
        <v>57442.713041715317</v>
      </c>
    </row>
    <row r="127" spans="1:7" ht="11.25" customHeight="1" x14ac:dyDescent="0.2">
      <c r="A127" s="49">
        <v>44501</v>
      </c>
      <c r="B127" s="64">
        <v>0</v>
      </c>
      <c r="C127" s="64">
        <v>57116.570039999984</v>
      </c>
      <c r="D127" s="64">
        <v>0</v>
      </c>
      <c r="E127" s="64">
        <v>55727.68886341092</v>
      </c>
      <c r="F127" s="64">
        <v>57116.570039999984</v>
      </c>
      <c r="G127" s="64">
        <v>55727.68886341092</v>
      </c>
    </row>
    <row r="128" spans="1:7" ht="11.25" customHeight="1" x14ac:dyDescent="0.2">
      <c r="A128" s="49">
        <v>44531</v>
      </c>
      <c r="B128" s="64">
        <v>0</v>
      </c>
      <c r="C128" s="64">
        <v>56704.710989999985</v>
      </c>
      <c r="D128" s="64">
        <v>0</v>
      </c>
      <c r="E128" s="64">
        <v>55325.844827995163</v>
      </c>
      <c r="F128" s="64">
        <v>56704.710989999985</v>
      </c>
      <c r="G128" s="64">
        <v>55325.844827995163</v>
      </c>
    </row>
    <row r="129" spans="1:7" ht="11.25" customHeight="1" x14ac:dyDescent="0.2">
      <c r="A129" s="49">
        <v>44562</v>
      </c>
      <c r="B129" s="64">
        <v>0</v>
      </c>
      <c r="C129" s="64">
        <v>57566.49647999998</v>
      </c>
      <c r="D129" s="64">
        <v>0</v>
      </c>
      <c r="E129" s="64">
        <v>56166.67461907136</v>
      </c>
      <c r="F129" s="64">
        <v>57566.49647999998</v>
      </c>
      <c r="G129" s="64">
        <v>56166.67461907136</v>
      </c>
    </row>
    <row r="130" spans="1:7" ht="11.25" customHeight="1" x14ac:dyDescent="0.2">
      <c r="A130" s="49">
        <v>44593</v>
      </c>
      <c r="B130" s="64">
        <v>0</v>
      </c>
      <c r="C130" s="64">
        <v>60885.241649999982</v>
      </c>
      <c r="D130" s="64">
        <v>0</v>
      </c>
      <c r="E130" s="64">
        <v>59404.719167635572</v>
      </c>
      <c r="F130" s="64">
        <v>60885.241649999982</v>
      </c>
      <c r="G130" s="64">
        <v>59404.719167635572</v>
      </c>
    </row>
    <row r="131" spans="1:7" ht="11.25" customHeight="1" x14ac:dyDescent="0.2">
      <c r="A131" s="49">
        <v>44621</v>
      </c>
      <c r="B131" s="64">
        <v>0</v>
      </c>
      <c r="C131" s="64">
        <v>64324.426019999977</v>
      </c>
      <c r="D131" s="64">
        <v>0</v>
      </c>
      <c r="E131" s="64">
        <v>62760.274243527623</v>
      </c>
      <c r="F131" s="64">
        <v>64324.426019999977</v>
      </c>
      <c r="G131" s="64">
        <v>62760.274243527623</v>
      </c>
    </row>
    <row r="132" spans="1:7" ht="11.25" customHeight="1" x14ac:dyDescent="0.2">
      <c r="A132" s="49">
        <v>44652</v>
      </c>
      <c r="B132" s="64">
        <v>0</v>
      </c>
      <c r="C132" s="64">
        <v>63450.596609999979</v>
      </c>
      <c r="D132" s="64">
        <v>0</v>
      </c>
      <c r="E132" s="64">
        <v>61907.693399718642</v>
      </c>
      <c r="F132" s="64">
        <v>63450.596609999979</v>
      </c>
      <c r="G132" s="64">
        <v>61907.693399718642</v>
      </c>
    </row>
    <row r="133" spans="1:7" ht="11.25" customHeight="1" x14ac:dyDescent="0.2">
      <c r="A133" s="49">
        <v>44682</v>
      </c>
      <c r="B133" s="64">
        <v>0</v>
      </c>
      <c r="C133" s="64">
        <v>63806.107319999974</v>
      </c>
      <c r="D133" s="64">
        <v>0</v>
      </c>
      <c r="E133" s="64">
        <v>62254.559295563144</v>
      </c>
      <c r="F133" s="64">
        <v>63806.107319999974</v>
      </c>
      <c r="G133" s="64">
        <v>62254.559295563144</v>
      </c>
    </row>
    <row r="134" spans="1:7" ht="11.25" customHeight="1" x14ac:dyDescent="0.2">
      <c r="A134" s="45" t="s">
        <v>31</v>
      </c>
      <c r="B134" s="64">
        <v>0</v>
      </c>
      <c r="C134" s="64">
        <v>112100.61008999984</v>
      </c>
      <c r="D134" s="64">
        <v>0</v>
      </c>
      <c r="E134" s="64">
        <v>109369.6183268094</v>
      </c>
      <c r="F134" s="64">
        <v>112100.61008999984</v>
      </c>
      <c r="G134" s="64">
        <v>109369.61832680945</v>
      </c>
    </row>
    <row r="135" spans="1:7" ht="11.25" customHeight="1" x14ac:dyDescent="0.2">
      <c r="A135" s="46" t="s">
        <v>25</v>
      </c>
      <c r="B135" s="64">
        <v>0</v>
      </c>
      <c r="C135" s="64">
        <v>112100.61008999984</v>
      </c>
      <c r="D135" s="64">
        <v>0</v>
      </c>
      <c r="E135" s="64">
        <v>109369.6183268094</v>
      </c>
      <c r="F135" s="64">
        <v>112100.61008999984</v>
      </c>
      <c r="G135" s="64">
        <v>109369.61832680945</v>
      </c>
    </row>
    <row r="136" spans="1:7" ht="11.25" customHeight="1" x14ac:dyDescent="0.2">
      <c r="A136" s="47" t="s">
        <v>25</v>
      </c>
      <c r="B136" s="64">
        <v>0</v>
      </c>
      <c r="C136" s="64">
        <v>112100.61008999984</v>
      </c>
      <c r="D136" s="64">
        <v>0</v>
      </c>
      <c r="E136" s="64">
        <v>109369.6183268094</v>
      </c>
      <c r="F136" s="64">
        <v>112100.61008999984</v>
      </c>
      <c r="G136" s="64">
        <v>109369.61832680945</v>
      </c>
    </row>
    <row r="137" spans="1:7" ht="11.25" customHeight="1" x14ac:dyDescent="0.2">
      <c r="A137" s="48" t="s">
        <v>25</v>
      </c>
      <c r="B137" s="64">
        <v>0</v>
      </c>
      <c r="C137" s="64">
        <v>112100.61008999984</v>
      </c>
      <c r="D137" s="64">
        <v>0</v>
      </c>
      <c r="E137" s="64">
        <v>109369.6183268094</v>
      </c>
      <c r="F137" s="64">
        <v>112100.61008999984</v>
      </c>
      <c r="G137" s="64">
        <v>109369.61832680945</v>
      </c>
    </row>
    <row r="138" spans="1:7" ht="11.25" customHeight="1" x14ac:dyDescent="0.2">
      <c r="A138" s="49">
        <v>44348</v>
      </c>
      <c r="B138" s="64">
        <v>0</v>
      </c>
      <c r="C138" s="64">
        <v>8873.232939999989</v>
      </c>
      <c r="D138" s="64">
        <v>0</v>
      </c>
      <c r="E138" s="64">
        <v>8657.063500310458</v>
      </c>
      <c r="F138" s="64">
        <v>8873.232939999989</v>
      </c>
      <c r="G138" s="64">
        <v>8657.063500310458</v>
      </c>
    </row>
    <row r="139" spans="1:7" ht="11.25" customHeight="1" x14ac:dyDescent="0.2">
      <c r="A139" s="49">
        <v>44378</v>
      </c>
      <c r="B139" s="64">
        <v>0</v>
      </c>
      <c r="C139" s="64">
        <v>8831.2923399999891</v>
      </c>
      <c r="D139" s="64">
        <v>0</v>
      </c>
      <c r="E139" s="64">
        <v>8616.144655973083</v>
      </c>
      <c r="F139" s="64">
        <v>8831.2923399999891</v>
      </c>
      <c r="G139" s="64">
        <v>8616.144655973083</v>
      </c>
    </row>
    <row r="140" spans="1:7" ht="11.25" customHeight="1" x14ac:dyDescent="0.2">
      <c r="A140" s="49">
        <v>44409</v>
      </c>
      <c r="B140" s="64">
        <v>0</v>
      </c>
      <c r="C140" s="64">
        <v>9241.8262899999863</v>
      </c>
      <c r="D140" s="64">
        <v>0</v>
      </c>
      <c r="E140" s="64">
        <v>9016.6771899677624</v>
      </c>
      <c r="F140" s="64">
        <v>9241.8262899999863</v>
      </c>
      <c r="G140" s="64">
        <v>9016.6771899677624</v>
      </c>
    </row>
    <row r="141" spans="1:7" ht="11.25" customHeight="1" x14ac:dyDescent="0.2">
      <c r="A141" s="49">
        <v>44440</v>
      </c>
      <c r="B141" s="64">
        <v>0</v>
      </c>
      <c r="C141" s="64">
        <v>9250.5907999999854</v>
      </c>
      <c r="D141" s="64">
        <v>0</v>
      </c>
      <c r="E141" s="64">
        <v>9025.2281792331396</v>
      </c>
      <c r="F141" s="64">
        <v>9250.5907999999854</v>
      </c>
      <c r="G141" s="64">
        <v>9025.2281792331396</v>
      </c>
    </row>
    <row r="142" spans="1:7" ht="11.25" customHeight="1" x14ac:dyDescent="0.2">
      <c r="A142" s="49">
        <v>44470</v>
      </c>
      <c r="B142" s="64">
        <v>0</v>
      </c>
      <c r="C142" s="64">
        <v>9299.3064199999862</v>
      </c>
      <c r="D142" s="64">
        <v>0</v>
      </c>
      <c r="E142" s="64">
        <v>9072.7569907327033</v>
      </c>
      <c r="F142" s="64">
        <v>9299.3064199999862</v>
      </c>
      <c r="G142" s="64">
        <v>9072.7569907327033</v>
      </c>
    </row>
    <row r="143" spans="1:7" ht="11.25" customHeight="1" x14ac:dyDescent="0.2">
      <c r="A143" s="49">
        <v>44501</v>
      </c>
      <c r="B143" s="64">
        <v>0</v>
      </c>
      <c r="C143" s="64">
        <v>8808.2250099999856</v>
      </c>
      <c r="D143" s="64">
        <v>0</v>
      </c>
      <c r="E143" s="64">
        <v>8593.6392915875276</v>
      </c>
      <c r="F143" s="64">
        <v>8808.2250099999856</v>
      </c>
      <c r="G143" s="64">
        <v>8593.6392915875276</v>
      </c>
    </row>
    <row r="144" spans="1:7" ht="11.25" customHeight="1" x14ac:dyDescent="0.2">
      <c r="A144" s="49">
        <v>44531</v>
      </c>
      <c r="B144" s="64">
        <v>0</v>
      </c>
      <c r="C144" s="64">
        <v>8450.0092699999896</v>
      </c>
      <c r="D144" s="64">
        <v>0</v>
      </c>
      <c r="E144" s="64">
        <v>8244.1503929008777</v>
      </c>
      <c r="F144" s="64">
        <v>8450.0092699999896</v>
      </c>
      <c r="G144" s="64">
        <v>8244.1503929008777</v>
      </c>
    </row>
    <row r="145" spans="1:7" ht="11.25" customHeight="1" x14ac:dyDescent="0.2">
      <c r="A145" s="49">
        <v>44562</v>
      </c>
      <c r="B145" s="64">
        <v>0</v>
      </c>
      <c r="C145" s="64">
        <v>8833.3355999999876</v>
      </c>
      <c r="D145" s="64">
        <v>0</v>
      </c>
      <c r="E145" s="64">
        <v>8618.1381381331084</v>
      </c>
      <c r="F145" s="64">
        <v>8833.3355999999876</v>
      </c>
      <c r="G145" s="64">
        <v>8618.1381381331084</v>
      </c>
    </row>
    <row r="146" spans="1:7" ht="11.25" customHeight="1" x14ac:dyDescent="0.2">
      <c r="A146" s="49">
        <v>44593</v>
      </c>
      <c r="B146" s="64">
        <v>0</v>
      </c>
      <c r="C146" s="64">
        <v>10311.526669999985</v>
      </c>
      <c r="D146" s="64">
        <v>0</v>
      </c>
      <c r="E146" s="64">
        <v>10060.317560798176</v>
      </c>
      <c r="F146" s="64">
        <v>10311.526669999985</v>
      </c>
      <c r="G146" s="64">
        <v>10060.317560798176</v>
      </c>
    </row>
    <row r="147" spans="1:7" ht="11.25" customHeight="1" x14ac:dyDescent="0.2">
      <c r="A147" s="49">
        <v>44621</v>
      </c>
      <c r="B147" s="64">
        <v>0</v>
      </c>
      <c r="C147" s="64">
        <v>10391.643969999985</v>
      </c>
      <c r="D147" s="64">
        <v>0</v>
      </c>
      <c r="E147" s="64">
        <v>10138.483045493929</v>
      </c>
      <c r="F147" s="64">
        <v>10391.643969999985</v>
      </c>
      <c r="G147" s="64">
        <v>10138.483045493929</v>
      </c>
    </row>
    <row r="148" spans="1:7" ht="11.25" customHeight="1" x14ac:dyDescent="0.2">
      <c r="A148" s="49">
        <v>44652</v>
      </c>
      <c r="B148" s="64">
        <v>0</v>
      </c>
      <c r="C148" s="64">
        <v>9840.0175399999862</v>
      </c>
      <c r="D148" s="64">
        <v>0</v>
      </c>
      <c r="E148" s="64">
        <v>9600.2953223437744</v>
      </c>
      <c r="F148" s="64">
        <v>9840.0175399999862</v>
      </c>
      <c r="G148" s="64">
        <v>9600.2953223437744</v>
      </c>
    </row>
    <row r="149" spans="1:7" ht="11.25" customHeight="1" x14ac:dyDescent="0.2">
      <c r="A149" s="49">
        <v>44682</v>
      </c>
      <c r="B149" s="64">
        <v>0</v>
      </c>
      <c r="C149" s="64">
        <v>9969.6032399999858</v>
      </c>
      <c r="D149" s="64">
        <v>0</v>
      </c>
      <c r="E149" s="64">
        <v>9726.7240593348906</v>
      </c>
      <c r="F149" s="64">
        <v>9969.6032399999858</v>
      </c>
      <c r="G149" s="64">
        <v>9726.7240593348906</v>
      </c>
    </row>
    <row r="150" spans="1:7" ht="11.25" customHeight="1" x14ac:dyDescent="0.2">
      <c r="A150" s="45" t="s">
        <v>32</v>
      </c>
      <c r="B150" s="64">
        <v>0</v>
      </c>
      <c r="C150" s="64">
        <v>-2.3431653062289118E-11</v>
      </c>
      <c r="D150" s="64">
        <v>0</v>
      </c>
      <c r="E150" s="64">
        <v>2.3431653062289118E-11</v>
      </c>
      <c r="F150" s="64">
        <v>-2.3431653062289121E-11</v>
      </c>
      <c r="G150" s="64">
        <v>2.3431653062289121E-11</v>
      </c>
    </row>
    <row r="151" spans="1:7" ht="11.25" customHeight="1" x14ac:dyDescent="0.2">
      <c r="A151" s="46" t="s">
        <v>25</v>
      </c>
      <c r="B151" s="64">
        <v>0</v>
      </c>
      <c r="C151" s="64">
        <v>-2.3431653062289118E-11</v>
      </c>
      <c r="D151" s="64">
        <v>0</v>
      </c>
      <c r="E151" s="64">
        <v>2.3431653062289118E-11</v>
      </c>
      <c r="F151" s="64">
        <v>-2.3431653062289121E-11</v>
      </c>
      <c r="G151" s="64">
        <v>2.3431653062289121E-11</v>
      </c>
    </row>
    <row r="152" spans="1:7" ht="11.25" customHeight="1" x14ac:dyDescent="0.2">
      <c r="A152" s="47" t="s">
        <v>25</v>
      </c>
      <c r="B152" s="64">
        <v>0</v>
      </c>
      <c r="C152" s="64">
        <v>-2.3431653062289118E-11</v>
      </c>
      <c r="D152" s="64">
        <v>0</v>
      </c>
      <c r="E152" s="64">
        <v>2.3431653062289118E-11</v>
      </c>
      <c r="F152" s="64">
        <v>-2.3431653062289121E-11</v>
      </c>
      <c r="G152" s="64">
        <v>2.3431653062289121E-11</v>
      </c>
    </row>
    <row r="153" spans="1:7" ht="11.25" customHeight="1" x14ac:dyDescent="0.2">
      <c r="A153" s="48" t="s">
        <v>25</v>
      </c>
      <c r="B153" s="64">
        <v>0</v>
      </c>
      <c r="C153" s="64">
        <v>-2.3431653062289118E-11</v>
      </c>
      <c r="D153" s="64">
        <v>0</v>
      </c>
      <c r="E153" s="64">
        <v>2.3431653062289118E-11</v>
      </c>
      <c r="F153" s="64">
        <v>-2.3431653062289121E-11</v>
      </c>
      <c r="G153" s="64">
        <v>2.3431653062289121E-11</v>
      </c>
    </row>
    <row r="154" spans="1:7" ht="11.25" customHeight="1" x14ac:dyDescent="0.2">
      <c r="A154" s="49">
        <v>44348</v>
      </c>
      <c r="B154" s="64">
        <v>0</v>
      </c>
      <c r="C154" s="64">
        <v>-1.8386572264716963E-12</v>
      </c>
      <c r="D154" s="64">
        <v>0</v>
      </c>
      <c r="E154" s="64">
        <v>1.8386572264716963E-12</v>
      </c>
      <c r="F154" s="64">
        <v>-1.8386572264716963E-12</v>
      </c>
      <c r="G154" s="64">
        <v>1.8386572264716963E-12</v>
      </c>
    </row>
    <row r="155" spans="1:7" ht="11.25" customHeight="1" x14ac:dyDescent="0.2">
      <c r="A155" s="49">
        <v>44378</v>
      </c>
      <c r="B155" s="64">
        <v>0</v>
      </c>
      <c r="C155" s="64">
        <v>-2.0971242520317901E-12</v>
      </c>
      <c r="D155" s="64">
        <v>0</v>
      </c>
      <c r="E155" s="64">
        <v>2.0971242520317901E-12</v>
      </c>
      <c r="F155" s="64">
        <v>-2.0971242520317901E-12</v>
      </c>
      <c r="G155" s="64">
        <v>2.0971242520317901E-12</v>
      </c>
    </row>
    <row r="156" spans="1:7" ht="11.25" customHeight="1" x14ac:dyDescent="0.2">
      <c r="A156" s="49">
        <v>44409</v>
      </c>
      <c r="B156" s="64">
        <v>0</v>
      </c>
      <c r="C156" s="64">
        <v>-2.1303776520653629E-12</v>
      </c>
      <c r="D156" s="64">
        <v>0</v>
      </c>
      <c r="E156" s="64">
        <v>2.1303776520653629E-12</v>
      </c>
      <c r="F156" s="64">
        <v>-2.1303776520653629E-12</v>
      </c>
      <c r="G156" s="64">
        <v>2.1303776520653629E-12</v>
      </c>
    </row>
    <row r="157" spans="1:7" ht="11.25" customHeight="1" x14ac:dyDescent="0.2">
      <c r="A157" s="49">
        <v>44440</v>
      </c>
      <c r="B157" s="64">
        <v>0</v>
      </c>
      <c r="C157" s="64">
        <v>-1.7396359908161686E-12</v>
      </c>
      <c r="D157" s="64">
        <v>0</v>
      </c>
      <c r="E157" s="64">
        <v>1.7396359908161686E-12</v>
      </c>
      <c r="F157" s="64">
        <v>-1.7396359908161686E-12</v>
      </c>
      <c r="G157" s="64">
        <v>1.7396359908161686E-12</v>
      </c>
    </row>
    <row r="158" spans="1:7" ht="11.25" customHeight="1" x14ac:dyDescent="0.2">
      <c r="A158" s="49">
        <v>44470</v>
      </c>
      <c r="B158" s="64">
        <v>0</v>
      </c>
      <c r="C158" s="64">
        <v>-1.7718093658913859E-12</v>
      </c>
      <c r="D158" s="64">
        <v>0</v>
      </c>
      <c r="E158" s="64">
        <v>1.7718093658913859E-12</v>
      </c>
      <c r="F158" s="64">
        <v>-1.7718093658913859E-12</v>
      </c>
      <c r="G158" s="64">
        <v>1.7718093658913859E-12</v>
      </c>
    </row>
    <row r="159" spans="1:7" ht="11.25" customHeight="1" x14ac:dyDescent="0.2">
      <c r="A159" s="49">
        <v>44501</v>
      </c>
      <c r="B159" s="64">
        <v>0</v>
      </c>
      <c r="C159" s="64">
        <v>-1.7129764273704494E-12</v>
      </c>
      <c r="D159" s="64">
        <v>0</v>
      </c>
      <c r="E159" s="64">
        <v>1.7129764273704494E-12</v>
      </c>
      <c r="F159" s="64">
        <v>-1.7129764273704494E-12</v>
      </c>
      <c r="G159" s="64">
        <v>1.7129764273704494E-12</v>
      </c>
    </row>
    <row r="160" spans="1:7" ht="11.25" customHeight="1" x14ac:dyDescent="0.2">
      <c r="A160" s="49">
        <v>44531</v>
      </c>
      <c r="B160" s="64">
        <v>0</v>
      </c>
      <c r="C160" s="64">
        <v>-1.4770193956792354E-12</v>
      </c>
      <c r="D160" s="64">
        <v>0</v>
      </c>
      <c r="E160" s="64">
        <v>1.4770193956792354E-12</v>
      </c>
      <c r="F160" s="64">
        <v>-1.4770193956792354E-12</v>
      </c>
      <c r="G160" s="64">
        <v>1.4770193956792354E-12</v>
      </c>
    </row>
    <row r="161" spans="1:7" ht="11.25" customHeight="1" x14ac:dyDescent="0.2">
      <c r="A161" s="49">
        <v>44562</v>
      </c>
      <c r="B161" s="64">
        <v>0</v>
      </c>
      <c r="C161" s="64">
        <v>-1.7022898646246176E-12</v>
      </c>
      <c r="D161" s="64">
        <v>0</v>
      </c>
      <c r="E161" s="64">
        <v>1.7022898646246176E-12</v>
      </c>
      <c r="F161" s="64">
        <v>-1.7022898646246176E-12</v>
      </c>
      <c r="G161" s="64">
        <v>1.7022898646246176E-12</v>
      </c>
    </row>
    <row r="162" spans="1:7" ht="11.25" customHeight="1" x14ac:dyDescent="0.2">
      <c r="A162" s="49">
        <v>44593</v>
      </c>
      <c r="B162" s="64">
        <v>0</v>
      </c>
      <c r="C162" s="64">
        <v>-2.3737243282084819E-12</v>
      </c>
      <c r="D162" s="64">
        <v>0</v>
      </c>
      <c r="E162" s="64">
        <v>2.3737243282084819E-12</v>
      </c>
      <c r="F162" s="64">
        <v>-2.3737243282084819E-12</v>
      </c>
      <c r="G162" s="64">
        <v>2.3737243282084819E-12</v>
      </c>
    </row>
    <row r="163" spans="1:7" ht="11.25" customHeight="1" x14ac:dyDescent="0.2">
      <c r="A163" s="49">
        <v>44621</v>
      </c>
      <c r="B163" s="64">
        <v>0</v>
      </c>
      <c r="C163" s="64">
        <v>-2.4860469238774385E-12</v>
      </c>
      <c r="D163" s="64">
        <v>0</v>
      </c>
      <c r="E163" s="64">
        <v>2.4860469238774385E-12</v>
      </c>
      <c r="F163" s="64">
        <v>-2.4860469238774385E-12</v>
      </c>
      <c r="G163" s="64">
        <v>2.4860469238774385E-12</v>
      </c>
    </row>
    <row r="164" spans="1:7" ht="11.25" customHeight="1" x14ac:dyDescent="0.2">
      <c r="A164" s="49">
        <v>44652</v>
      </c>
      <c r="B164" s="64">
        <v>0</v>
      </c>
      <c r="C164" s="64">
        <v>-1.9785488802881447E-12</v>
      </c>
      <c r="D164" s="64">
        <v>0</v>
      </c>
      <c r="E164" s="64">
        <v>1.9785488802881447E-12</v>
      </c>
      <c r="F164" s="64">
        <v>-1.9785488802881447E-12</v>
      </c>
      <c r="G164" s="64">
        <v>1.9785488802881447E-12</v>
      </c>
    </row>
    <row r="165" spans="1:7" ht="11.25" customHeight="1" x14ac:dyDescent="0.2">
      <c r="A165" s="49">
        <v>44682</v>
      </c>
      <c r="B165" s="64">
        <v>0</v>
      </c>
      <c r="C165" s="64">
        <v>-2.1234427549643443E-12</v>
      </c>
      <c r="D165" s="64">
        <v>0</v>
      </c>
      <c r="E165" s="64">
        <v>2.1234427549643443E-12</v>
      </c>
      <c r="F165" s="64">
        <v>-2.1234427549643443E-12</v>
      </c>
      <c r="G165" s="64">
        <v>2.1234427549643443E-12</v>
      </c>
    </row>
    <row r="166" spans="1:7" ht="11.25" customHeight="1" x14ac:dyDescent="0.2">
      <c r="A166" s="41" t="s">
        <v>777</v>
      </c>
      <c r="B166" s="64">
        <v>710526.18</v>
      </c>
      <c r="C166" s="64">
        <v>1453769.3617649998</v>
      </c>
      <c r="D166" s="64">
        <v>907945.9712148353</v>
      </c>
      <c r="E166" s="64">
        <v>1914397.9400820683</v>
      </c>
      <c r="F166" s="64">
        <v>2164295.5417649997</v>
      </c>
      <c r="G166" s="64">
        <v>2822343.9112969036</v>
      </c>
    </row>
    <row r="167" spans="1:7" ht="11.25" customHeight="1" x14ac:dyDescent="0.2">
      <c r="A167" s="42" t="s">
        <v>42</v>
      </c>
      <c r="B167" s="64">
        <v>192584.52000000002</v>
      </c>
      <c r="C167" s="64">
        <v>186410.36263499997</v>
      </c>
      <c r="D167" s="64">
        <v>246029.57792690661</v>
      </c>
      <c r="E167" s="64">
        <v>245474.71120531281</v>
      </c>
      <c r="F167" s="64">
        <v>378994.88263499999</v>
      </c>
      <c r="G167" s="64">
        <v>491504.28913221939</v>
      </c>
    </row>
    <row r="168" spans="1:7" ht="11.25" customHeight="1" x14ac:dyDescent="0.2">
      <c r="A168" s="43" t="s">
        <v>34</v>
      </c>
      <c r="B168" s="64">
        <v>192584.52000000002</v>
      </c>
      <c r="C168" s="64">
        <v>186410.36263499997</v>
      </c>
      <c r="D168" s="64">
        <v>246029.57792690661</v>
      </c>
      <c r="E168" s="64">
        <v>245474.71120531281</v>
      </c>
      <c r="F168" s="64">
        <v>378994.88263499999</v>
      </c>
      <c r="G168" s="64">
        <v>491504.28913221939</v>
      </c>
    </row>
    <row r="169" spans="1:7" ht="11.25" customHeight="1" x14ac:dyDescent="0.2">
      <c r="A169" s="44" t="s">
        <v>40</v>
      </c>
      <c r="B169" s="64">
        <v>192584.52000000002</v>
      </c>
      <c r="C169" s="64">
        <v>186410.36263499997</v>
      </c>
      <c r="D169" s="64">
        <v>246029.57792690661</v>
      </c>
      <c r="E169" s="64">
        <v>245474.71120531281</v>
      </c>
      <c r="F169" s="64">
        <v>378994.88263499999</v>
      </c>
      <c r="G169" s="64">
        <v>491504.28913221939</v>
      </c>
    </row>
    <row r="170" spans="1:7" ht="11.25" customHeight="1" x14ac:dyDescent="0.2">
      <c r="A170" s="45" t="s">
        <v>25</v>
      </c>
      <c r="B170" s="64">
        <v>192584.52000000002</v>
      </c>
      <c r="C170" s="64">
        <v>186410.36263499997</v>
      </c>
      <c r="D170" s="64">
        <v>246029.57792690661</v>
      </c>
      <c r="E170" s="64">
        <v>245474.71120531281</v>
      </c>
      <c r="F170" s="64">
        <v>378994.88263499999</v>
      </c>
      <c r="G170" s="64">
        <v>491504.28913221939</v>
      </c>
    </row>
    <row r="171" spans="1:7" ht="11.25" customHeight="1" x14ac:dyDescent="0.2">
      <c r="A171" s="46" t="s">
        <v>54</v>
      </c>
      <c r="B171" s="64">
        <v>192584.52000000002</v>
      </c>
      <c r="C171" s="64">
        <v>186410.36263499997</v>
      </c>
      <c r="D171" s="64">
        <v>246029.57792690661</v>
      </c>
      <c r="E171" s="64">
        <v>245474.71120531281</v>
      </c>
      <c r="F171" s="64">
        <v>378994.88263499999</v>
      </c>
      <c r="G171" s="64">
        <v>491504.28913221939</v>
      </c>
    </row>
    <row r="172" spans="1:7" ht="11.25" customHeight="1" x14ac:dyDescent="0.2">
      <c r="A172" s="47" t="s">
        <v>25</v>
      </c>
      <c r="B172" s="64">
        <v>192584.52000000002</v>
      </c>
      <c r="C172" s="64">
        <v>186410.36263499997</v>
      </c>
      <c r="D172" s="64">
        <v>246029.57792690661</v>
      </c>
      <c r="E172" s="64">
        <v>245474.71120531281</v>
      </c>
      <c r="F172" s="64">
        <v>378994.88263499999</v>
      </c>
      <c r="G172" s="64">
        <v>491504.28913221939</v>
      </c>
    </row>
    <row r="173" spans="1:7" ht="11.25" customHeight="1" x14ac:dyDescent="0.2">
      <c r="A173" s="48" t="s">
        <v>35</v>
      </c>
      <c r="B173" s="64">
        <v>0</v>
      </c>
      <c r="C173" s="64">
        <v>0</v>
      </c>
      <c r="D173" s="64">
        <v>0</v>
      </c>
      <c r="E173" s="64">
        <v>0</v>
      </c>
      <c r="F173" s="64">
        <v>0</v>
      </c>
      <c r="G173" s="64">
        <v>0</v>
      </c>
    </row>
    <row r="174" spans="1:7" ht="11.25" customHeight="1" x14ac:dyDescent="0.2">
      <c r="A174" s="49">
        <v>44348</v>
      </c>
      <c r="B174" s="64">
        <v>0</v>
      </c>
      <c r="C174" s="64">
        <v>0</v>
      </c>
      <c r="D174" s="64">
        <v>0</v>
      </c>
      <c r="E174" s="64">
        <v>0</v>
      </c>
      <c r="F174" s="64">
        <v>0</v>
      </c>
      <c r="G174" s="64">
        <v>0</v>
      </c>
    </row>
    <row r="175" spans="1:7" ht="11.25" customHeight="1" x14ac:dyDescent="0.2">
      <c r="A175" s="49">
        <v>44378</v>
      </c>
      <c r="B175" s="64">
        <v>0</v>
      </c>
      <c r="C175" s="64">
        <v>0</v>
      </c>
      <c r="D175" s="64">
        <v>0</v>
      </c>
      <c r="E175" s="64">
        <v>0</v>
      </c>
      <c r="F175" s="64">
        <v>0</v>
      </c>
      <c r="G175" s="64">
        <v>0</v>
      </c>
    </row>
    <row r="176" spans="1:7" ht="11.25" customHeight="1" x14ac:dyDescent="0.2">
      <c r="A176" s="49">
        <v>44409</v>
      </c>
      <c r="B176" s="64">
        <v>0</v>
      </c>
      <c r="C176" s="64">
        <v>0</v>
      </c>
      <c r="D176" s="64">
        <v>0</v>
      </c>
      <c r="E176" s="64">
        <v>0</v>
      </c>
      <c r="F176" s="64">
        <v>0</v>
      </c>
      <c r="G176" s="64">
        <v>0</v>
      </c>
    </row>
    <row r="177" spans="1:7" ht="11.25" customHeight="1" x14ac:dyDescent="0.2">
      <c r="A177" s="49">
        <v>44440</v>
      </c>
      <c r="B177" s="64">
        <v>0</v>
      </c>
      <c r="C177" s="64">
        <v>0</v>
      </c>
      <c r="D177" s="64">
        <v>0</v>
      </c>
      <c r="E177" s="64">
        <v>0</v>
      </c>
      <c r="F177" s="64">
        <v>0</v>
      </c>
      <c r="G177" s="64">
        <v>0</v>
      </c>
    </row>
    <row r="178" spans="1:7" ht="11.25" customHeight="1" x14ac:dyDescent="0.2">
      <c r="A178" s="49">
        <v>44470</v>
      </c>
      <c r="B178" s="64">
        <v>0</v>
      </c>
      <c r="C178" s="64">
        <v>0</v>
      </c>
      <c r="D178" s="64">
        <v>0</v>
      </c>
      <c r="E178" s="64">
        <v>0</v>
      </c>
      <c r="F178" s="64">
        <v>0</v>
      </c>
      <c r="G178" s="64">
        <v>0</v>
      </c>
    </row>
    <row r="179" spans="1:7" ht="11.25" customHeight="1" x14ac:dyDescent="0.2">
      <c r="A179" s="49">
        <v>44501</v>
      </c>
      <c r="B179" s="64">
        <v>0</v>
      </c>
      <c r="C179" s="64">
        <v>0</v>
      </c>
      <c r="D179" s="64">
        <v>0</v>
      </c>
      <c r="E179" s="64">
        <v>0</v>
      </c>
      <c r="F179" s="64">
        <v>0</v>
      </c>
      <c r="G179" s="64">
        <v>0</v>
      </c>
    </row>
    <row r="180" spans="1:7" ht="11.25" customHeight="1" x14ac:dyDescent="0.2">
      <c r="A180" s="49">
        <v>44531</v>
      </c>
      <c r="B180" s="64">
        <v>0</v>
      </c>
      <c r="C180" s="64">
        <v>0</v>
      </c>
      <c r="D180" s="64">
        <v>0</v>
      </c>
      <c r="E180" s="64">
        <v>0</v>
      </c>
      <c r="F180" s="64">
        <v>0</v>
      </c>
      <c r="G180" s="64">
        <v>0</v>
      </c>
    </row>
    <row r="181" spans="1:7" ht="11.25" customHeight="1" x14ac:dyDescent="0.2">
      <c r="A181" s="49">
        <v>44562</v>
      </c>
      <c r="B181" s="64">
        <v>0</v>
      </c>
      <c r="C181" s="64">
        <v>0</v>
      </c>
      <c r="D181" s="64">
        <v>0</v>
      </c>
      <c r="E181" s="64">
        <v>0</v>
      </c>
      <c r="F181" s="64">
        <v>0</v>
      </c>
      <c r="G181" s="64">
        <v>0</v>
      </c>
    </row>
    <row r="182" spans="1:7" ht="11.25" customHeight="1" x14ac:dyDescent="0.2">
      <c r="A182" s="49">
        <v>44593</v>
      </c>
      <c r="B182" s="64">
        <v>0</v>
      </c>
      <c r="C182" s="64">
        <v>0</v>
      </c>
      <c r="D182" s="64">
        <v>0</v>
      </c>
      <c r="E182" s="64">
        <v>0</v>
      </c>
      <c r="F182" s="64">
        <v>0</v>
      </c>
      <c r="G182" s="64">
        <v>0</v>
      </c>
    </row>
    <row r="183" spans="1:7" ht="11.25" customHeight="1" x14ac:dyDescent="0.2">
      <c r="A183" s="49">
        <v>44621</v>
      </c>
      <c r="B183" s="64">
        <v>0</v>
      </c>
      <c r="C183" s="64">
        <v>0</v>
      </c>
      <c r="D183" s="64">
        <v>0</v>
      </c>
      <c r="E183" s="64">
        <v>0</v>
      </c>
      <c r="F183" s="64">
        <v>0</v>
      </c>
      <c r="G183" s="64">
        <v>0</v>
      </c>
    </row>
    <row r="184" spans="1:7" ht="11.25" customHeight="1" x14ac:dyDescent="0.2">
      <c r="A184" s="49">
        <v>44652</v>
      </c>
      <c r="B184" s="64">
        <v>0</v>
      </c>
      <c r="C184" s="64">
        <v>0</v>
      </c>
      <c r="D184" s="64">
        <v>0</v>
      </c>
      <c r="E184" s="64">
        <v>0</v>
      </c>
      <c r="F184" s="64">
        <v>0</v>
      </c>
      <c r="G184" s="64">
        <v>0</v>
      </c>
    </row>
    <row r="185" spans="1:7" ht="11.25" customHeight="1" x14ac:dyDescent="0.2">
      <c r="A185" s="49">
        <v>44682</v>
      </c>
      <c r="B185" s="64">
        <v>0</v>
      </c>
      <c r="C185" s="64">
        <v>0</v>
      </c>
      <c r="D185" s="64">
        <v>0</v>
      </c>
      <c r="E185" s="64">
        <v>0</v>
      </c>
      <c r="F185" s="64">
        <v>0</v>
      </c>
      <c r="G185" s="64">
        <v>0</v>
      </c>
    </row>
    <row r="186" spans="1:7" ht="11.25" customHeight="1" x14ac:dyDescent="0.2">
      <c r="A186" s="48" t="s">
        <v>25</v>
      </c>
      <c r="B186" s="64">
        <v>192584.52000000002</v>
      </c>
      <c r="C186" s="64">
        <v>0</v>
      </c>
      <c r="D186" s="64">
        <v>246029.57792690661</v>
      </c>
      <c r="E186" s="64">
        <v>0</v>
      </c>
      <c r="F186" s="64">
        <v>192584.52000000002</v>
      </c>
      <c r="G186" s="64">
        <v>246029.57792690661</v>
      </c>
    </row>
    <row r="187" spans="1:7" ht="11.25" customHeight="1" x14ac:dyDescent="0.2">
      <c r="A187" s="49">
        <v>44348</v>
      </c>
      <c r="B187" s="64">
        <v>15214.5</v>
      </c>
      <c r="C187" s="64">
        <v>0</v>
      </c>
      <c r="D187" s="64">
        <v>19436.7491913105</v>
      </c>
      <c r="E187" s="64">
        <v>0</v>
      </c>
      <c r="F187" s="64">
        <v>15214.5</v>
      </c>
      <c r="G187" s="64">
        <v>19436.7491913105</v>
      </c>
    </row>
    <row r="188" spans="1:7" ht="11.25" customHeight="1" x14ac:dyDescent="0.2">
      <c r="A188" s="49">
        <v>44378</v>
      </c>
      <c r="B188" s="64">
        <v>15214.5</v>
      </c>
      <c r="C188" s="64">
        <v>0</v>
      </c>
      <c r="D188" s="64">
        <v>19436.7491913105</v>
      </c>
      <c r="E188" s="64">
        <v>0</v>
      </c>
      <c r="F188" s="64">
        <v>15214.5</v>
      </c>
      <c r="G188" s="64">
        <v>19436.7491913105</v>
      </c>
    </row>
    <row r="189" spans="1:7" ht="11.25" customHeight="1" x14ac:dyDescent="0.2">
      <c r="A189" s="49">
        <v>44409</v>
      </c>
      <c r="B189" s="64">
        <v>15214.5</v>
      </c>
      <c r="C189" s="64">
        <v>0</v>
      </c>
      <c r="D189" s="64">
        <v>19436.7491913105</v>
      </c>
      <c r="E189" s="64">
        <v>0</v>
      </c>
      <c r="F189" s="64">
        <v>15214.5</v>
      </c>
      <c r="G189" s="64">
        <v>19436.7491913105</v>
      </c>
    </row>
    <row r="190" spans="1:7" ht="11.25" customHeight="1" x14ac:dyDescent="0.2">
      <c r="A190" s="49">
        <v>44440</v>
      </c>
      <c r="B190" s="64">
        <v>15289.02</v>
      </c>
      <c r="C190" s="64">
        <v>0</v>
      </c>
      <c r="D190" s="64">
        <v>19531.94959551284</v>
      </c>
      <c r="E190" s="64">
        <v>0</v>
      </c>
      <c r="F190" s="64">
        <v>15289.02</v>
      </c>
      <c r="G190" s="64">
        <v>19531.94959551284</v>
      </c>
    </row>
    <row r="191" spans="1:7" ht="11.25" customHeight="1" x14ac:dyDescent="0.2">
      <c r="A191" s="49">
        <v>44470</v>
      </c>
      <c r="B191" s="64">
        <v>15214.5</v>
      </c>
      <c r="C191" s="64">
        <v>0</v>
      </c>
      <c r="D191" s="64">
        <v>19436.7491913105</v>
      </c>
      <c r="E191" s="64">
        <v>0</v>
      </c>
      <c r="F191" s="64">
        <v>15214.5</v>
      </c>
      <c r="G191" s="64">
        <v>19436.7491913105</v>
      </c>
    </row>
    <row r="192" spans="1:7" ht="11.25" customHeight="1" x14ac:dyDescent="0.2">
      <c r="A192" s="49">
        <v>44501</v>
      </c>
      <c r="B192" s="64">
        <v>15214.5</v>
      </c>
      <c r="C192" s="64">
        <v>0</v>
      </c>
      <c r="D192" s="64">
        <v>19436.7491913105</v>
      </c>
      <c r="E192" s="64">
        <v>0</v>
      </c>
      <c r="F192" s="64">
        <v>15214.5</v>
      </c>
      <c r="G192" s="64">
        <v>19436.7491913105</v>
      </c>
    </row>
    <row r="193" spans="1:7" ht="11.25" customHeight="1" x14ac:dyDescent="0.2">
      <c r="A193" s="49">
        <v>44531</v>
      </c>
      <c r="B193" s="64">
        <v>15214.5</v>
      </c>
      <c r="C193" s="64">
        <v>0</v>
      </c>
      <c r="D193" s="64">
        <v>19436.7491913105</v>
      </c>
      <c r="E193" s="64">
        <v>0</v>
      </c>
      <c r="F193" s="64">
        <v>15214.5</v>
      </c>
      <c r="G193" s="64">
        <v>19436.7491913105</v>
      </c>
    </row>
    <row r="194" spans="1:7" ht="11.25" customHeight="1" x14ac:dyDescent="0.2">
      <c r="A194" s="49">
        <v>44562</v>
      </c>
      <c r="B194" s="64">
        <v>15214.5</v>
      </c>
      <c r="C194" s="64">
        <v>0</v>
      </c>
      <c r="D194" s="64">
        <v>19436.7491913105</v>
      </c>
      <c r="E194" s="64">
        <v>0</v>
      </c>
      <c r="F194" s="64">
        <v>15214.5</v>
      </c>
      <c r="G194" s="64">
        <v>19436.7491913105</v>
      </c>
    </row>
    <row r="195" spans="1:7" ht="11.25" customHeight="1" x14ac:dyDescent="0.2">
      <c r="A195" s="49">
        <v>44593</v>
      </c>
      <c r="B195" s="64">
        <v>15214.5</v>
      </c>
      <c r="C195" s="64">
        <v>0</v>
      </c>
      <c r="D195" s="64">
        <v>19436.7491913105</v>
      </c>
      <c r="E195" s="64">
        <v>0</v>
      </c>
      <c r="F195" s="64">
        <v>15214.5</v>
      </c>
      <c r="G195" s="64">
        <v>19436.7491913105</v>
      </c>
    </row>
    <row r="196" spans="1:7" ht="11.25" customHeight="1" x14ac:dyDescent="0.2">
      <c r="A196" s="49">
        <v>44621</v>
      </c>
      <c r="B196" s="64">
        <v>15214.5</v>
      </c>
      <c r="C196" s="64">
        <v>0</v>
      </c>
      <c r="D196" s="64">
        <v>19436.7491913105</v>
      </c>
      <c r="E196" s="64">
        <v>0</v>
      </c>
      <c r="F196" s="64">
        <v>15214.5</v>
      </c>
      <c r="G196" s="64">
        <v>19436.7491913105</v>
      </c>
    </row>
    <row r="197" spans="1:7" ht="11.25" customHeight="1" x14ac:dyDescent="0.2">
      <c r="A197" s="49">
        <v>44652</v>
      </c>
      <c r="B197" s="64">
        <v>15438.06</v>
      </c>
      <c r="C197" s="64">
        <v>0</v>
      </c>
      <c r="D197" s="64">
        <v>19722.350403917513</v>
      </c>
      <c r="E197" s="64">
        <v>0</v>
      </c>
      <c r="F197" s="64">
        <v>15438.06</v>
      </c>
      <c r="G197" s="64">
        <v>19722.350403917513</v>
      </c>
    </row>
    <row r="198" spans="1:7" ht="11.25" customHeight="1" x14ac:dyDescent="0.2">
      <c r="A198" s="49">
        <v>44682</v>
      </c>
      <c r="B198" s="64">
        <v>24926.94</v>
      </c>
      <c r="C198" s="64">
        <v>0</v>
      </c>
      <c r="D198" s="64">
        <v>31844.535205681776</v>
      </c>
      <c r="E198" s="64">
        <v>0</v>
      </c>
      <c r="F198" s="64">
        <v>24926.94</v>
      </c>
      <c r="G198" s="64">
        <v>31844.535205681776</v>
      </c>
    </row>
    <row r="199" spans="1:7" ht="11.25" customHeight="1" x14ac:dyDescent="0.2">
      <c r="A199" s="48" t="s">
        <v>37</v>
      </c>
      <c r="B199" s="64">
        <v>0</v>
      </c>
      <c r="C199" s="64">
        <v>186410.36263499997</v>
      </c>
      <c r="D199" s="64">
        <v>0</v>
      </c>
      <c r="E199" s="64">
        <v>245474.71120531281</v>
      </c>
      <c r="F199" s="64">
        <v>186410.36263499997</v>
      </c>
      <c r="G199" s="64">
        <v>245474.71120531281</v>
      </c>
    </row>
    <row r="200" spans="1:7" ht="11.25" customHeight="1" x14ac:dyDescent="0.2">
      <c r="A200" s="49">
        <v>44348</v>
      </c>
      <c r="B200" s="64">
        <v>0</v>
      </c>
      <c r="C200" s="64">
        <v>17957.206889999998</v>
      </c>
      <c r="D200" s="64">
        <v>0</v>
      </c>
      <c r="E200" s="64">
        <v>23646.969584024399</v>
      </c>
      <c r="F200" s="64">
        <v>17957.206889999998</v>
      </c>
      <c r="G200" s="64">
        <v>23646.969584024399</v>
      </c>
    </row>
    <row r="201" spans="1:7" ht="11.25" customHeight="1" x14ac:dyDescent="0.2">
      <c r="A201" s="49">
        <v>44378</v>
      </c>
      <c r="B201" s="64">
        <v>0</v>
      </c>
      <c r="C201" s="64">
        <v>15970.1976</v>
      </c>
      <c r="D201" s="64">
        <v>0</v>
      </c>
      <c r="E201" s="64">
        <v>21030.374000333162</v>
      </c>
      <c r="F201" s="64">
        <v>15970.1976</v>
      </c>
      <c r="G201" s="64">
        <v>21030.374000333162</v>
      </c>
    </row>
    <row r="202" spans="1:7" ht="11.25" customHeight="1" x14ac:dyDescent="0.2">
      <c r="A202" s="49">
        <v>44409</v>
      </c>
      <c r="B202" s="64">
        <v>0</v>
      </c>
      <c r="C202" s="64">
        <v>3952.5396749999995</v>
      </c>
      <c r="D202" s="64">
        <v>0</v>
      </c>
      <c r="E202" s="64">
        <v>5204.9066453883624</v>
      </c>
      <c r="F202" s="64">
        <v>3952.5396749999995</v>
      </c>
      <c r="G202" s="64">
        <v>5204.9066453883624</v>
      </c>
    </row>
    <row r="203" spans="1:7" ht="11.25" customHeight="1" x14ac:dyDescent="0.2">
      <c r="A203" s="49">
        <v>44440</v>
      </c>
      <c r="B203" s="64">
        <v>0</v>
      </c>
      <c r="C203" s="64">
        <v>3679.2100799999998</v>
      </c>
      <c r="D203" s="64">
        <v>0</v>
      </c>
      <c r="E203" s="64">
        <v>4844.9722380514377</v>
      </c>
      <c r="F203" s="64">
        <v>3679.2100799999998</v>
      </c>
      <c r="G203" s="64">
        <v>4844.9722380514377</v>
      </c>
    </row>
    <row r="204" spans="1:7" ht="11.25" customHeight="1" x14ac:dyDescent="0.2">
      <c r="A204" s="49">
        <v>44470</v>
      </c>
      <c r="B204" s="64">
        <v>0</v>
      </c>
      <c r="C204" s="64">
        <v>16328.600504999999</v>
      </c>
      <c r="D204" s="64">
        <v>0</v>
      </c>
      <c r="E204" s="64">
        <v>21502.337298705617</v>
      </c>
      <c r="F204" s="64">
        <v>16328.600504999999</v>
      </c>
      <c r="G204" s="64">
        <v>21502.337298705617</v>
      </c>
    </row>
    <row r="205" spans="1:7" ht="11.25" customHeight="1" x14ac:dyDescent="0.2">
      <c r="A205" s="49">
        <v>44501</v>
      </c>
      <c r="B205" s="64">
        <v>0</v>
      </c>
      <c r="C205" s="64">
        <v>14750.111565000001</v>
      </c>
      <c r="D205" s="64">
        <v>0</v>
      </c>
      <c r="E205" s="64">
        <v>19423.70223137311</v>
      </c>
      <c r="F205" s="64">
        <v>14750.111565000001</v>
      </c>
      <c r="G205" s="64">
        <v>19423.70223137311</v>
      </c>
    </row>
    <row r="206" spans="1:7" ht="11.25" customHeight="1" x14ac:dyDescent="0.2">
      <c r="A206" s="49">
        <v>44531</v>
      </c>
      <c r="B206" s="64">
        <v>0</v>
      </c>
      <c r="C206" s="64">
        <v>13964.236334999998</v>
      </c>
      <c r="D206" s="64">
        <v>0</v>
      </c>
      <c r="E206" s="64">
        <v>18388.821485470635</v>
      </c>
      <c r="F206" s="64">
        <v>13964.236334999998</v>
      </c>
      <c r="G206" s="64">
        <v>18388.821485470635</v>
      </c>
    </row>
    <row r="207" spans="1:7" ht="11.25" customHeight="1" x14ac:dyDescent="0.2">
      <c r="A207" s="49">
        <v>44562</v>
      </c>
      <c r="B207" s="64">
        <v>0</v>
      </c>
      <c r="C207" s="64">
        <v>14527.32057</v>
      </c>
      <c r="D207" s="64">
        <v>0</v>
      </c>
      <c r="E207" s="64">
        <v>19130.319640492933</v>
      </c>
      <c r="F207" s="64">
        <v>14527.32057</v>
      </c>
      <c r="G207" s="64">
        <v>19130.319640492933</v>
      </c>
    </row>
    <row r="208" spans="1:7" ht="11.25" customHeight="1" x14ac:dyDescent="0.2">
      <c r="A208" s="49">
        <v>44593</v>
      </c>
      <c r="B208" s="64">
        <v>0</v>
      </c>
      <c r="C208" s="64">
        <v>12925.246949999999</v>
      </c>
      <c r="D208" s="64">
        <v>0</v>
      </c>
      <c r="E208" s="64">
        <v>17020.627058813941</v>
      </c>
      <c r="F208" s="64">
        <v>12925.246949999999</v>
      </c>
      <c r="G208" s="64">
        <v>17020.627058813941</v>
      </c>
    </row>
    <row r="209" spans="1:7" ht="11.25" customHeight="1" x14ac:dyDescent="0.2">
      <c r="A209" s="49">
        <v>44621</v>
      </c>
      <c r="B209" s="64">
        <v>0</v>
      </c>
      <c r="C209" s="64">
        <v>15860.276144999998</v>
      </c>
      <c r="D209" s="64">
        <v>0</v>
      </c>
      <c r="E209" s="64">
        <v>20885.623799539728</v>
      </c>
      <c r="F209" s="64">
        <v>15860.276144999998</v>
      </c>
      <c r="G209" s="64">
        <v>20885.623799539728</v>
      </c>
    </row>
    <row r="210" spans="1:7" ht="11.25" customHeight="1" x14ac:dyDescent="0.2">
      <c r="A210" s="49">
        <v>44652</v>
      </c>
      <c r="B210" s="64">
        <v>0</v>
      </c>
      <c r="C210" s="64">
        <v>18754.453304999999</v>
      </c>
      <c r="D210" s="64">
        <v>0</v>
      </c>
      <c r="E210" s="64">
        <v>24696.824488629638</v>
      </c>
      <c r="F210" s="64">
        <v>18754.453304999999</v>
      </c>
      <c r="G210" s="64">
        <v>24696.824488629638</v>
      </c>
    </row>
    <row r="211" spans="1:7" ht="11.25" customHeight="1" x14ac:dyDescent="0.2">
      <c r="A211" s="49">
        <v>44682</v>
      </c>
      <c r="B211" s="64">
        <v>0</v>
      </c>
      <c r="C211" s="64">
        <v>37740.963014999994</v>
      </c>
      <c r="D211" s="64">
        <v>0</v>
      </c>
      <c r="E211" s="64">
        <v>49699.232734489859</v>
      </c>
      <c r="F211" s="64">
        <v>37740.963014999994</v>
      </c>
      <c r="G211" s="64">
        <v>49699.232734489859</v>
      </c>
    </row>
    <row r="212" spans="1:7" ht="11.25" customHeight="1" x14ac:dyDescent="0.2">
      <c r="A212" s="42" t="s">
        <v>33</v>
      </c>
      <c r="B212" s="64">
        <v>517941.66</v>
      </c>
      <c r="C212" s="64">
        <v>1267358.9991299999</v>
      </c>
      <c r="D212" s="64">
        <v>661916.39328792889</v>
      </c>
      <c r="E212" s="64">
        <v>1668923.2288767553</v>
      </c>
      <c r="F212" s="64">
        <v>1785300.6591299998</v>
      </c>
      <c r="G212" s="64">
        <v>2330839.6221646843</v>
      </c>
    </row>
    <row r="213" spans="1:7" ht="11.25" customHeight="1" x14ac:dyDescent="0.2">
      <c r="A213" s="43" t="s">
        <v>41</v>
      </c>
      <c r="B213" s="64">
        <v>27823.620000000003</v>
      </c>
      <c r="C213" s="64">
        <v>0</v>
      </c>
      <c r="D213" s="64">
        <v>35783.334849157407</v>
      </c>
      <c r="E213" s="64">
        <v>0</v>
      </c>
      <c r="F213" s="64">
        <v>27823.620000000003</v>
      </c>
      <c r="G213" s="64">
        <v>35783.334849157407</v>
      </c>
    </row>
    <row r="214" spans="1:7" ht="11.25" customHeight="1" x14ac:dyDescent="0.2">
      <c r="A214" s="44" t="s">
        <v>40</v>
      </c>
      <c r="B214" s="64">
        <v>27823.620000000003</v>
      </c>
      <c r="C214" s="64">
        <v>0</v>
      </c>
      <c r="D214" s="64">
        <v>35783.334849157407</v>
      </c>
      <c r="E214" s="64">
        <v>0</v>
      </c>
      <c r="F214" s="64">
        <v>27823.620000000003</v>
      </c>
      <c r="G214" s="64">
        <v>35783.334849157407</v>
      </c>
    </row>
    <row r="215" spans="1:7" ht="11.25" customHeight="1" x14ac:dyDescent="0.2">
      <c r="A215" s="45" t="s">
        <v>25</v>
      </c>
      <c r="B215" s="64">
        <v>27823.620000000003</v>
      </c>
      <c r="C215" s="64">
        <v>0</v>
      </c>
      <c r="D215" s="64">
        <v>35783.334849157407</v>
      </c>
      <c r="E215" s="64">
        <v>0</v>
      </c>
      <c r="F215" s="64">
        <v>27823.620000000003</v>
      </c>
      <c r="G215" s="64">
        <v>35783.334849157407</v>
      </c>
    </row>
    <row r="216" spans="1:7" ht="11.25" customHeight="1" x14ac:dyDescent="0.2">
      <c r="A216" s="46" t="s">
        <v>54</v>
      </c>
      <c r="B216" s="64">
        <v>27823.620000000003</v>
      </c>
      <c r="C216" s="64">
        <v>0</v>
      </c>
      <c r="D216" s="64">
        <v>35783.334849157407</v>
      </c>
      <c r="E216" s="64">
        <v>0</v>
      </c>
      <c r="F216" s="64">
        <v>27823.620000000003</v>
      </c>
      <c r="G216" s="64">
        <v>35783.334849157407</v>
      </c>
    </row>
    <row r="217" spans="1:7" ht="11.25" customHeight="1" x14ac:dyDescent="0.2">
      <c r="A217" s="47" t="s">
        <v>25</v>
      </c>
      <c r="B217" s="64">
        <v>27823.620000000003</v>
      </c>
      <c r="C217" s="64">
        <v>0</v>
      </c>
      <c r="D217" s="64">
        <v>35783.334849157407</v>
      </c>
      <c r="E217" s="64">
        <v>0</v>
      </c>
      <c r="F217" s="64">
        <v>27823.620000000003</v>
      </c>
      <c r="G217" s="64">
        <v>35783.334849157407</v>
      </c>
    </row>
    <row r="218" spans="1:7" ht="11.25" customHeight="1" x14ac:dyDescent="0.2">
      <c r="A218" s="48" t="s">
        <v>35</v>
      </c>
      <c r="B218" s="64">
        <v>9315</v>
      </c>
      <c r="C218" s="64">
        <v>0</v>
      </c>
      <c r="D218" s="64">
        <v>11900.050525292143</v>
      </c>
      <c r="E218" s="64">
        <v>0</v>
      </c>
      <c r="F218" s="64">
        <v>9315</v>
      </c>
      <c r="G218" s="64">
        <v>11900.050525292143</v>
      </c>
    </row>
    <row r="219" spans="1:7" ht="11.25" customHeight="1" x14ac:dyDescent="0.2">
      <c r="A219" s="49">
        <v>44621</v>
      </c>
      <c r="B219" s="64">
        <v>3105</v>
      </c>
      <c r="C219" s="64">
        <v>0</v>
      </c>
      <c r="D219" s="64">
        <v>3966.6835084307145</v>
      </c>
      <c r="E219" s="64">
        <v>0</v>
      </c>
      <c r="F219" s="64">
        <v>3105</v>
      </c>
      <c r="G219" s="64">
        <v>3966.6835084307145</v>
      </c>
    </row>
    <row r="220" spans="1:7" ht="11.25" customHeight="1" x14ac:dyDescent="0.2">
      <c r="A220" s="49">
        <v>44652</v>
      </c>
      <c r="B220" s="64">
        <v>3105</v>
      </c>
      <c r="C220" s="64">
        <v>0</v>
      </c>
      <c r="D220" s="64">
        <v>3966.6835084307145</v>
      </c>
      <c r="E220" s="64">
        <v>0</v>
      </c>
      <c r="F220" s="64">
        <v>3105</v>
      </c>
      <c r="G220" s="64">
        <v>3966.6835084307145</v>
      </c>
    </row>
    <row r="221" spans="1:7" ht="11.25" customHeight="1" x14ac:dyDescent="0.2">
      <c r="A221" s="49">
        <v>44682</v>
      </c>
      <c r="B221" s="64">
        <v>3105</v>
      </c>
      <c r="C221" s="64">
        <v>0</v>
      </c>
      <c r="D221" s="64">
        <v>3966.6835084307145</v>
      </c>
      <c r="E221" s="64">
        <v>0</v>
      </c>
      <c r="F221" s="64">
        <v>3105</v>
      </c>
      <c r="G221" s="64">
        <v>3966.6835084307145</v>
      </c>
    </row>
    <row r="222" spans="1:7" ht="11.25" customHeight="1" x14ac:dyDescent="0.2">
      <c r="A222" s="48" t="s">
        <v>25</v>
      </c>
      <c r="B222" s="64">
        <v>0</v>
      </c>
      <c r="C222" s="64">
        <v>0</v>
      </c>
      <c r="D222" s="64">
        <v>0</v>
      </c>
      <c r="E222" s="64">
        <v>0</v>
      </c>
      <c r="F222" s="64">
        <v>0</v>
      </c>
      <c r="G222" s="64">
        <v>0</v>
      </c>
    </row>
    <row r="223" spans="1:7" ht="11.25" customHeight="1" x14ac:dyDescent="0.2">
      <c r="A223" s="49">
        <v>44621</v>
      </c>
      <c r="B223" s="64">
        <v>0</v>
      </c>
      <c r="C223" s="64">
        <v>0</v>
      </c>
      <c r="D223" s="64">
        <v>0</v>
      </c>
      <c r="E223" s="64">
        <v>0</v>
      </c>
      <c r="F223" s="64">
        <v>0</v>
      </c>
      <c r="G223" s="64">
        <v>0</v>
      </c>
    </row>
    <row r="224" spans="1:7" ht="11.25" customHeight="1" x14ac:dyDescent="0.2">
      <c r="A224" s="49">
        <v>44652</v>
      </c>
      <c r="B224" s="64">
        <v>0</v>
      </c>
      <c r="C224" s="64">
        <v>0</v>
      </c>
      <c r="D224" s="64">
        <v>0</v>
      </c>
      <c r="E224" s="64">
        <v>0</v>
      </c>
      <c r="F224" s="64">
        <v>0</v>
      </c>
      <c r="G224" s="64">
        <v>0</v>
      </c>
    </row>
    <row r="225" spans="1:7" ht="11.25" customHeight="1" x14ac:dyDescent="0.2">
      <c r="A225" s="49">
        <v>44682</v>
      </c>
      <c r="B225" s="64">
        <v>0</v>
      </c>
      <c r="C225" s="64">
        <v>0</v>
      </c>
      <c r="D225" s="64">
        <v>0</v>
      </c>
      <c r="E225" s="64">
        <v>0</v>
      </c>
      <c r="F225" s="64">
        <v>0</v>
      </c>
      <c r="G225" s="64">
        <v>0</v>
      </c>
    </row>
    <row r="226" spans="1:7" ht="11.25" customHeight="1" x14ac:dyDescent="0.2">
      <c r="A226" s="48" t="s">
        <v>37</v>
      </c>
      <c r="B226" s="64">
        <v>18508.62</v>
      </c>
      <c r="C226" s="64">
        <v>0</v>
      </c>
      <c r="D226" s="64">
        <v>23883.284323865264</v>
      </c>
      <c r="E226" s="64">
        <v>0</v>
      </c>
      <c r="F226" s="64">
        <v>18508.62</v>
      </c>
      <c r="G226" s="64">
        <v>23883.284323865264</v>
      </c>
    </row>
    <row r="227" spans="1:7" ht="11.25" customHeight="1" x14ac:dyDescent="0.2">
      <c r="A227" s="49">
        <v>44621</v>
      </c>
      <c r="B227" s="64">
        <v>6169.54</v>
      </c>
      <c r="C227" s="64">
        <v>0</v>
      </c>
      <c r="D227" s="64">
        <v>7961.0947746217544</v>
      </c>
      <c r="E227" s="64">
        <v>0</v>
      </c>
      <c r="F227" s="64">
        <v>6169.54</v>
      </c>
      <c r="G227" s="64">
        <v>7961.0947746217544</v>
      </c>
    </row>
    <row r="228" spans="1:7" ht="11.25" customHeight="1" x14ac:dyDescent="0.2">
      <c r="A228" s="49">
        <v>44652</v>
      </c>
      <c r="B228" s="64">
        <v>6169.54</v>
      </c>
      <c r="C228" s="64">
        <v>0</v>
      </c>
      <c r="D228" s="64">
        <v>7961.0947746217544</v>
      </c>
      <c r="E228" s="64">
        <v>0</v>
      </c>
      <c r="F228" s="64">
        <v>6169.54</v>
      </c>
      <c r="G228" s="64">
        <v>7961.0947746217544</v>
      </c>
    </row>
    <row r="229" spans="1:7" ht="11.25" customHeight="1" x14ac:dyDescent="0.2">
      <c r="A229" s="49">
        <v>44682</v>
      </c>
      <c r="B229" s="64">
        <v>6169.54</v>
      </c>
      <c r="C229" s="64">
        <v>0</v>
      </c>
      <c r="D229" s="64">
        <v>7961.0947746217544</v>
      </c>
      <c r="E229" s="64">
        <v>0</v>
      </c>
      <c r="F229" s="64">
        <v>6169.54</v>
      </c>
      <c r="G229" s="64">
        <v>7961.0947746217544</v>
      </c>
    </row>
    <row r="230" spans="1:7" ht="11.25" customHeight="1" x14ac:dyDescent="0.2">
      <c r="A230" s="43" t="s">
        <v>34</v>
      </c>
      <c r="B230" s="64">
        <v>490118.04</v>
      </c>
      <c r="C230" s="64">
        <v>1267358.9991299999</v>
      </c>
      <c r="D230" s="64">
        <v>626133.05843877152</v>
      </c>
      <c r="E230" s="64">
        <v>1668923.2288767553</v>
      </c>
      <c r="F230" s="64">
        <v>1757477.0391299999</v>
      </c>
      <c r="G230" s="64">
        <v>2295056.287315527</v>
      </c>
    </row>
    <row r="231" spans="1:7" ht="11.25" customHeight="1" x14ac:dyDescent="0.2">
      <c r="A231" s="44" t="s">
        <v>40</v>
      </c>
      <c r="B231" s="64">
        <v>490118.04</v>
      </c>
      <c r="C231" s="64">
        <v>1267358.9991299999</v>
      </c>
      <c r="D231" s="64">
        <v>626133.05843877152</v>
      </c>
      <c r="E231" s="64">
        <v>1668923.2288767553</v>
      </c>
      <c r="F231" s="64">
        <v>1757477.0391299999</v>
      </c>
      <c r="G231" s="64">
        <v>2295056.287315527</v>
      </c>
    </row>
    <row r="232" spans="1:7" ht="11.25" customHeight="1" x14ac:dyDescent="0.2">
      <c r="A232" s="45" t="s">
        <v>25</v>
      </c>
      <c r="B232" s="64">
        <v>490118.04</v>
      </c>
      <c r="C232" s="64">
        <v>1267358.9991299999</v>
      </c>
      <c r="D232" s="64">
        <v>626133.05843877152</v>
      </c>
      <c r="E232" s="64">
        <v>1668923.2288767553</v>
      </c>
      <c r="F232" s="64">
        <v>1757477.0391299999</v>
      </c>
      <c r="G232" s="64">
        <v>2295056.287315527</v>
      </c>
    </row>
    <row r="233" spans="1:7" ht="11.25" customHeight="1" x14ac:dyDescent="0.2">
      <c r="A233" s="46" t="s">
        <v>54</v>
      </c>
      <c r="B233" s="64">
        <v>490118.04</v>
      </c>
      <c r="C233" s="64">
        <v>1267358.9991299999</v>
      </c>
      <c r="D233" s="64">
        <v>626133.05843877152</v>
      </c>
      <c r="E233" s="64">
        <v>1668923.2288767553</v>
      </c>
      <c r="F233" s="64">
        <v>1757477.0391299999</v>
      </c>
      <c r="G233" s="64">
        <v>2295056.287315527</v>
      </c>
    </row>
    <row r="234" spans="1:7" ht="11.25" customHeight="1" x14ac:dyDescent="0.2">
      <c r="A234" s="47" t="s">
        <v>25</v>
      </c>
      <c r="B234" s="64">
        <v>490118.04</v>
      </c>
      <c r="C234" s="64">
        <v>1267358.9991299999</v>
      </c>
      <c r="D234" s="64">
        <v>626133.05843877152</v>
      </c>
      <c r="E234" s="64">
        <v>1668923.2288767553</v>
      </c>
      <c r="F234" s="64">
        <v>1757477.0391299999</v>
      </c>
      <c r="G234" s="64">
        <v>2295056.287315527</v>
      </c>
    </row>
    <row r="235" spans="1:7" ht="11.25" customHeight="1" x14ac:dyDescent="0.2">
      <c r="A235" s="48" t="s">
        <v>35</v>
      </c>
      <c r="B235" s="64">
        <v>0</v>
      </c>
      <c r="C235" s="64">
        <v>0</v>
      </c>
      <c r="D235" s="64">
        <v>0</v>
      </c>
      <c r="E235" s="64">
        <v>0</v>
      </c>
      <c r="F235" s="64">
        <v>0</v>
      </c>
      <c r="G235" s="64">
        <v>0</v>
      </c>
    </row>
    <row r="236" spans="1:7" ht="11.25" customHeight="1" x14ac:dyDescent="0.2">
      <c r="A236" s="49">
        <v>44348</v>
      </c>
      <c r="B236" s="64">
        <v>0</v>
      </c>
      <c r="C236" s="64">
        <v>0</v>
      </c>
      <c r="D236" s="64">
        <v>0</v>
      </c>
      <c r="E236" s="64">
        <v>0</v>
      </c>
      <c r="F236" s="64">
        <v>0</v>
      </c>
      <c r="G236" s="64">
        <v>0</v>
      </c>
    </row>
    <row r="237" spans="1:7" ht="11.25" customHeight="1" x14ac:dyDescent="0.2">
      <c r="A237" s="49">
        <v>44378</v>
      </c>
      <c r="B237" s="64">
        <v>0</v>
      </c>
      <c r="C237" s="64">
        <v>0</v>
      </c>
      <c r="D237" s="64">
        <v>0</v>
      </c>
      <c r="E237" s="64">
        <v>0</v>
      </c>
      <c r="F237" s="64">
        <v>0</v>
      </c>
      <c r="G237" s="64">
        <v>0</v>
      </c>
    </row>
    <row r="238" spans="1:7" ht="11.25" customHeight="1" x14ac:dyDescent="0.2">
      <c r="A238" s="49">
        <v>44409</v>
      </c>
      <c r="B238" s="64">
        <v>0</v>
      </c>
      <c r="C238" s="64">
        <v>0</v>
      </c>
      <c r="D238" s="64">
        <v>0</v>
      </c>
      <c r="E238" s="64">
        <v>0</v>
      </c>
      <c r="F238" s="64">
        <v>0</v>
      </c>
      <c r="G238" s="64">
        <v>0</v>
      </c>
    </row>
    <row r="239" spans="1:7" ht="11.25" customHeight="1" x14ac:dyDescent="0.2">
      <c r="A239" s="49">
        <v>44440</v>
      </c>
      <c r="B239" s="64">
        <v>0</v>
      </c>
      <c r="C239" s="64">
        <v>0</v>
      </c>
      <c r="D239" s="64">
        <v>0</v>
      </c>
      <c r="E239" s="64">
        <v>0</v>
      </c>
      <c r="F239" s="64">
        <v>0</v>
      </c>
      <c r="G239" s="64">
        <v>0</v>
      </c>
    </row>
    <row r="240" spans="1:7" ht="11.25" customHeight="1" x14ac:dyDescent="0.2">
      <c r="A240" s="49">
        <v>44470</v>
      </c>
      <c r="B240" s="64">
        <v>0</v>
      </c>
      <c r="C240" s="64">
        <v>0</v>
      </c>
      <c r="D240" s="64">
        <v>0</v>
      </c>
      <c r="E240" s="64">
        <v>0</v>
      </c>
      <c r="F240" s="64">
        <v>0</v>
      </c>
      <c r="G240" s="64">
        <v>0</v>
      </c>
    </row>
    <row r="241" spans="1:7" ht="11.25" customHeight="1" x14ac:dyDescent="0.2">
      <c r="A241" s="49">
        <v>44501</v>
      </c>
      <c r="B241" s="64">
        <v>0</v>
      </c>
      <c r="C241" s="64">
        <v>0</v>
      </c>
      <c r="D241" s="64">
        <v>0</v>
      </c>
      <c r="E241" s="64">
        <v>0</v>
      </c>
      <c r="F241" s="64">
        <v>0</v>
      </c>
      <c r="G241" s="64">
        <v>0</v>
      </c>
    </row>
    <row r="242" spans="1:7" ht="11.25" customHeight="1" x14ac:dyDescent="0.2">
      <c r="A242" s="49">
        <v>44531</v>
      </c>
      <c r="B242" s="64">
        <v>0</v>
      </c>
      <c r="C242" s="64">
        <v>0</v>
      </c>
      <c r="D242" s="64">
        <v>0</v>
      </c>
      <c r="E242" s="64">
        <v>0</v>
      </c>
      <c r="F242" s="64">
        <v>0</v>
      </c>
      <c r="G242" s="64">
        <v>0</v>
      </c>
    </row>
    <row r="243" spans="1:7" ht="11.25" customHeight="1" x14ac:dyDescent="0.2">
      <c r="A243" s="49">
        <v>44562</v>
      </c>
      <c r="B243" s="64">
        <v>0</v>
      </c>
      <c r="C243" s="64">
        <v>0</v>
      </c>
      <c r="D243" s="64">
        <v>0</v>
      </c>
      <c r="E243" s="64">
        <v>0</v>
      </c>
      <c r="F243" s="64">
        <v>0</v>
      </c>
      <c r="G243" s="64">
        <v>0</v>
      </c>
    </row>
    <row r="244" spans="1:7" ht="11.25" customHeight="1" x14ac:dyDescent="0.2">
      <c r="A244" s="49">
        <v>44593</v>
      </c>
      <c r="B244" s="64">
        <v>0</v>
      </c>
      <c r="C244" s="64">
        <v>0</v>
      </c>
      <c r="D244" s="64">
        <v>0</v>
      </c>
      <c r="E244" s="64">
        <v>0</v>
      </c>
      <c r="F244" s="64">
        <v>0</v>
      </c>
      <c r="G244" s="64">
        <v>0</v>
      </c>
    </row>
    <row r="245" spans="1:7" ht="11.25" customHeight="1" x14ac:dyDescent="0.2">
      <c r="A245" s="49">
        <v>44621</v>
      </c>
      <c r="B245" s="64">
        <v>0</v>
      </c>
      <c r="C245" s="64">
        <v>0</v>
      </c>
      <c r="D245" s="64">
        <v>0</v>
      </c>
      <c r="E245" s="64">
        <v>0</v>
      </c>
      <c r="F245" s="64">
        <v>0</v>
      </c>
      <c r="G245" s="64">
        <v>0</v>
      </c>
    </row>
    <row r="246" spans="1:7" ht="11.25" customHeight="1" x14ac:dyDescent="0.2">
      <c r="A246" s="49">
        <v>44652</v>
      </c>
      <c r="B246" s="64">
        <v>0</v>
      </c>
      <c r="C246" s="64">
        <v>0</v>
      </c>
      <c r="D246" s="64">
        <v>0</v>
      </c>
      <c r="E246" s="64">
        <v>0</v>
      </c>
      <c r="F246" s="64">
        <v>0</v>
      </c>
      <c r="G246" s="64">
        <v>0</v>
      </c>
    </row>
    <row r="247" spans="1:7" ht="11.25" customHeight="1" x14ac:dyDescent="0.2">
      <c r="A247" s="49">
        <v>44682</v>
      </c>
      <c r="B247" s="64">
        <v>0</v>
      </c>
      <c r="C247" s="64">
        <v>0</v>
      </c>
      <c r="D247" s="64">
        <v>0</v>
      </c>
      <c r="E247" s="64">
        <v>0</v>
      </c>
      <c r="F247" s="64">
        <v>0</v>
      </c>
      <c r="G247" s="64">
        <v>0</v>
      </c>
    </row>
    <row r="248" spans="1:7" ht="11.25" customHeight="1" x14ac:dyDescent="0.2">
      <c r="A248" s="48" t="s">
        <v>25</v>
      </c>
      <c r="B248" s="64">
        <v>490118.04</v>
      </c>
      <c r="C248" s="64">
        <v>0</v>
      </c>
      <c r="D248" s="64">
        <v>626133.05843877152</v>
      </c>
      <c r="E248" s="64">
        <v>0</v>
      </c>
      <c r="F248" s="64">
        <v>490118.04</v>
      </c>
      <c r="G248" s="64">
        <v>626133.05843877152</v>
      </c>
    </row>
    <row r="249" spans="1:7" ht="11.25" customHeight="1" x14ac:dyDescent="0.2">
      <c r="A249" s="49">
        <v>44348</v>
      </c>
      <c r="B249" s="64">
        <v>41874.03</v>
      </c>
      <c r="C249" s="64">
        <v>0</v>
      </c>
      <c r="D249" s="64">
        <v>53494.693794696614</v>
      </c>
      <c r="E249" s="64">
        <v>0</v>
      </c>
      <c r="F249" s="64">
        <v>41874.03</v>
      </c>
      <c r="G249" s="64">
        <v>53494.693794696614</v>
      </c>
    </row>
    <row r="250" spans="1:7" ht="11.25" customHeight="1" x14ac:dyDescent="0.2">
      <c r="A250" s="49">
        <v>44378</v>
      </c>
      <c r="B250" s="64">
        <v>42476.4</v>
      </c>
      <c r="C250" s="64">
        <v>0</v>
      </c>
      <c r="D250" s="64">
        <v>54264.230395332175</v>
      </c>
      <c r="E250" s="64">
        <v>0</v>
      </c>
      <c r="F250" s="64">
        <v>42476.4</v>
      </c>
      <c r="G250" s="64">
        <v>54264.230395332175</v>
      </c>
    </row>
    <row r="251" spans="1:7" ht="11.25" customHeight="1" x14ac:dyDescent="0.2">
      <c r="A251" s="49">
        <v>44409</v>
      </c>
      <c r="B251" s="64">
        <v>42569.55</v>
      </c>
      <c r="C251" s="64">
        <v>0</v>
      </c>
      <c r="D251" s="64">
        <v>54383.230900585098</v>
      </c>
      <c r="E251" s="64">
        <v>0</v>
      </c>
      <c r="F251" s="64">
        <v>42569.55</v>
      </c>
      <c r="G251" s="64">
        <v>54383.230900585098</v>
      </c>
    </row>
    <row r="252" spans="1:7" ht="11.25" customHeight="1" x14ac:dyDescent="0.2">
      <c r="A252" s="49">
        <v>44440</v>
      </c>
      <c r="B252" s="64">
        <v>32260.95</v>
      </c>
      <c r="C252" s="64">
        <v>0</v>
      </c>
      <c r="D252" s="64">
        <v>41213.841652595125</v>
      </c>
      <c r="E252" s="64">
        <v>0</v>
      </c>
      <c r="F252" s="64">
        <v>32260.95</v>
      </c>
      <c r="G252" s="64">
        <v>41213.841652595125</v>
      </c>
    </row>
    <row r="253" spans="1:7" ht="11.25" customHeight="1" x14ac:dyDescent="0.2">
      <c r="A253" s="49">
        <v>44470</v>
      </c>
      <c r="B253" s="64">
        <v>41271.659999999996</v>
      </c>
      <c r="C253" s="64">
        <v>0</v>
      </c>
      <c r="D253" s="64">
        <v>52725.157194061059</v>
      </c>
      <c r="E253" s="64">
        <v>0</v>
      </c>
      <c r="F253" s="64">
        <v>41271.659999999996</v>
      </c>
      <c r="G253" s="64">
        <v>52725.157194061059</v>
      </c>
    </row>
    <row r="254" spans="1:7" ht="11.25" customHeight="1" x14ac:dyDescent="0.2">
      <c r="A254" s="49">
        <v>44501</v>
      </c>
      <c r="B254" s="64">
        <v>42246.63</v>
      </c>
      <c r="C254" s="64">
        <v>0</v>
      </c>
      <c r="D254" s="64">
        <v>53970.695815708306</v>
      </c>
      <c r="E254" s="64">
        <v>0</v>
      </c>
      <c r="F254" s="64">
        <v>42246.63</v>
      </c>
      <c r="G254" s="64">
        <v>53970.695815708306</v>
      </c>
    </row>
    <row r="255" spans="1:7" ht="11.25" customHeight="1" x14ac:dyDescent="0.2">
      <c r="A255" s="49">
        <v>44531</v>
      </c>
      <c r="B255" s="64">
        <v>42613.02</v>
      </c>
      <c r="C255" s="64">
        <v>0</v>
      </c>
      <c r="D255" s="64">
        <v>54438.764469703128</v>
      </c>
      <c r="E255" s="64">
        <v>0</v>
      </c>
      <c r="F255" s="64">
        <v>42613.02</v>
      </c>
      <c r="G255" s="64">
        <v>54438.764469703128</v>
      </c>
    </row>
    <row r="256" spans="1:7" ht="11.25" customHeight="1" x14ac:dyDescent="0.2">
      <c r="A256" s="49">
        <v>44562</v>
      </c>
      <c r="B256" s="64">
        <v>42333.57</v>
      </c>
      <c r="C256" s="64">
        <v>0</v>
      </c>
      <c r="D256" s="64">
        <v>54081.762953944366</v>
      </c>
      <c r="E256" s="64">
        <v>0</v>
      </c>
      <c r="F256" s="64">
        <v>42333.57</v>
      </c>
      <c r="G256" s="64">
        <v>54081.762953944366</v>
      </c>
    </row>
    <row r="257" spans="1:7" ht="11.25" customHeight="1" x14ac:dyDescent="0.2">
      <c r="A257" s="49">
        <v>44593</v>
      </c>
      <c r="B257" s="64">
        <v>43196.76</v>
      </c>
      <c r="C257" s="64">
        <v>0</v>
      </c>
      <c r="D257" s="64">
        <v>55184.500969288099</v>
      </c>
      <c r="E257" s="64">
        <v>0</v>
      </c>
      <c r="F257" s="64">
        <v>43196.76</v>
      </c>
      <c r="G257" s="64">
        <v>55184.500969288099</v>
      </c>
    </row>
    <row r="258" spans="1:7" ht="11.25" customHeight="1" x14ac:dyDescent="0.2">
      <c r="A258" s="49">
        <v>44621</v>
      </c>
      <c r="B258" s="64">
        <v>42389.46</v>
      </c>
      <c r="C258" s="64">
        <v>0</v>
      </c>
      <c r="D258" s="64">
        <v>54153.163257096116</v>
      </c>
      <c r="E258" s="64">
        <v>0</v>
      </c>
      <c r="F258" s="64">
        <v>42389.46</v>
      </c>
      <c r="G258" s="64">
        <v>54153.163257096116</v>
      </c>
    </row>
    <row r="259" spans="1:7" ht="11.25" customHeight="1" x14ac:dyDescent="0.2">
      <c r="A259" s="49">
        <v>44652</v>
      </c>
      <c r="B259" s="64">
        <v>43805.34</v>
      </c>
      <c r="C259" s="64">
        <v>0</v>
      </c>
      <c r="D259" s="64">
        <v>55961.970936940525</v>
      </c>
      <c r="E259" s="64">
        <v>0</v>
      </c>
      <c r="F259" s="64">
        <v>43805.34</v>
      </c>
      <c r="G259" s="64">
        <v>55961.970936940525</v>
      </c>
    </row>
    <row r="260" spans="1:7" ht="11.25" customHeight="1" x14ac:dyDescent="0.2">
      <c r="A260" s="49">
        <v>44682</v>
      </c>
      <c r="B260" s="64">
        <v>33080.67</v>
      </c>
      <c r="C260" s="64">
        <v>0</v>
      </c>
      <c r="D260" s="64">
        <v>42261.046098820836</v>
      </c>
      <c r="E260" s="64">
        <v>0</v>
      </c>
      <c r="F260" s="64">
        <v>33080.67</v>
      </c>
      <c r="G260" s="64">
        <v>42261.046098820836</v>
      </c>
    </row>
    <row r="261" spans="1:7" ht="11.25" customHeight="1" x14ac:dyDescent="0.2">
      <c r="A261" s="48" t="s">
        <v>37</v>
      </c>
      <c r="B261" s="64">
        <v>0</v>
      </c>
      <c r="C261" s="64">
        <v>1267358.9991299999</v>
      </c>
      <c r="D261" s="64">
        <v>0</v>
      </c>
      <c r="E261" s="64">
        <v>1668923.2288767553</v>
      </c>
      <c r="F261" s="64">
        <v>1267358.9991299999</v>
      </c>
      <c r="G261" s="64">
        <v>1668923.2288767553</v>
      </c>
    </row>
    <row r="262" spans="1:7" ht="11.25" customHeight="1" x14ac:dyDescent="0.2">
      <c r="A262" s="49">
        <v>44348</v>
      </c>
      <c r="B262" s="64">
        <v>0</v>
      </c>
      <c r="C262" s="64">
        <v>95478.365429999991</v>
      </c>
      <c r="D262" s="64">
        <v>0</v>
      </c>
      <c r="E262" s="64">
        <v>125730.800847034</v>
      </c>
      <c r="F262" s="64">
        <v>95478.365429999991</v>
      </c>
      <c r="G262" s="64">
        <v>125730.800847034</v>
      </c>
    </row>
    <row r="263" spans="1:7" ht="11.25" customHeight="1" x14ac:dyDescent="0.2">
      <c r="A263" s="49">
        <v>44378</v>
      </c>
      <c r="B263" s="64">
        <v>0</v>
      </c>
      <c r="C263" s="64">
        <v>93785.322329999995</v>
      </c>
      <c r="D263" s="64">
        <v>0</v>
      </c>
      <c r="E263" s="64">
        <v>123501.31499573287</v>
      </c>
      <c r="F263" s="64">
        <v>93785.322329999995</v>
      </c>
      <c r="G263" s="64">
        <v>123501.31499573287</v>
      </c>
    </row>
    <row r="264" spans="1:7" ht="11.25" customHeight="1" x14ac:dyDescent="0.2">
      <c r="A264" s="49">
        <v>44409</v>
      </c>
      <c r="B264" s="64">
        <v>0</v>
      </c>
      <c r="C264" s="64">
        <v>97098.127559999994</v>
      </c>
      <c r="D264" s="64">
        <v>0</v>
      </c>
      <c r="E264" s="64">
        <v>127863.78656447286</v>
      </c>
      <c r="F264" s="64">
        <v>97098.127559999994</v>
      </c>
      <c r="G264" s="64">
        <v>127863.78656447286</v>
      </c>
    </row>
    <row r="265" spans="1:7" ht="11.25" customHeight="1" x14ac:dyDescent="0.2">
      <c r="A265" s="49">
        <v>44440</v>
      </c>
      <c r="B265" s="64">
        <v>0</v>
      </c>
      <c r="C265" s="64">
        <v>84828.618944999995</v>
      </c>
      <c r="D265" s="64">
        <v>0</v>
      </c>
      <c r="E265" s="64">
        <v>111706.66932418526</v>
      </c>
      <c r="F265" s="64">
        <v>84828.618944999995</v>
      </c>
      <c r="G265" s="64">
        <v>111706.66932418526</v>
      </c>
    </row>
    <row r="266" spans="1:7" ht="11.25" customHeight="1" x14ac:dyDescent="0.2">
      <c r="A266" s="49">
        <v>44470</v>
      </c>
      <c r="B266" s="64">
        <v>0</v>
      </c>
      <c r="C266" s="64">
        <v>112347.3078</v>
      </c>
      <c r="D266" s="64">
        <v>0</v>
      </c>
      <c r="E266" s="64">
        <v>147944.68798335639</v>
      </c>
      <c r="F266" s="64">
        <v>112347.3078</v>
      </c>
      <c r="G266" s="64">
        <v>147944.68798335639</v>
      </c>
    </row>
    <row r="267" spans="1:7" ht="11.25" customHeight="1" x14ac:dyDescent="0.2">
      <c r="A267" s="49">
        <v>44501</v>
      </c>
      <c r="B267" s="64">
        <v>0</v>
      </c>
      <c r="C267" s="64">
        <v>108423.40666499999</v>
      </c>
      <c r="D267" s="64">
        <v>0</v>
      </c>
      <c r="E267" s="64">
        <v>142777.49403396016</v>
      </c>
      <c r="F267" s="64">
        <v>108423.40666499999</v>
      </c>
      <c r="G267" s="64">
        <v>142777.49403396016</v>
      </c>
    </row>
    <row r="268" spans="1:7" ht="11.25" customHeight="1" x14ac:dyDescent="0.2">
      <c r="A268" s="49">
        <v>44531</v>
      </c>
      <c r="B268" s="64">
        <v>0</v>
      </c>
      <c r="C268" s="64">
        <v>116506.21342499999</v>
      </c>
      <c r="D268" s="64">
        <v>0</v>
      </c>
      <c r="E268" s="64">
        <v>153421.34787927647</v>
      </c>
      <c r="F268" s="64">
        <v>116506.21342499999</v>
      </c>
      <c r="G268" s="64">
        <v>153421.34787927647</v>
      </c>
    </row>
    <row r="269" spans="1:7" ht="11.25" customHeight="1" x14ac:dyDescent="0.2">
      <c r="A269" s="49">
        <v>44562</v>
      </c>
      <c r="B269" s="64">
        <v>0</v>
      </c>
      <c r="C269" s="64">
        <v>110711.962935</v>
      </c>
      <c r="D269" s="64">
        <v>0</v>
      </c>
      <c r="E269" s="64">
        <v>145791.18212251004</v>
      </c>
      <c r="F269" s="64">
        <v>110711.962935</v>
      </c>
      <c r="G269" s="64">
        <v>145791.18212251004</v>
      </c>
    </row>
    <row r="270" spans="1:7" ht="11.25" customHeight="1" x14ac:dyDescent="0.2">
      <c r="A270" s="49">
        <v>44593</v>
      </c>
      <c r="B270" s="64">
        <v>0</v>
      </c>
      <c r="C270" s="64">
        <v>110185.94033999999</v>
      </c>
      <c r="D270" s="64">
        <v>0</v>
      </c>
      <c r="E270" s="64">
        <v>145098.48863288935</v>
      </c>
      <c r="F270" s="64">
        <v>110185.94033999999</v>
      </c>
      <c r="G270" s="64">
        <v>145098.48863288935</v>
      </c>
    </row>
    <row r="271" spans="1:7" ht="11.25" customHeight="1" x14ac:dyDescent="0.2">
      <c r="A271" s="49">
        <v>44621</v>
      </c>
      <c r="B271" s="64">
        <v>0</v>
      </c>
      <c r="C271" s="64">
        <v>116698.68125999998</v>
      </c>
      <c r="D271" s="64">
        <v>0</v>
      </c>
      <c r="E271" s="64">
        <v>153674.79938028258</v>
      </c>
      <c r="F271" s="64">
        <v>116698.68125999998</v>
      </c>
      <c r="G271" s="64">
        <v>153674.79938028258</v>
      </c>
    </row>
    <row r="272" spans="1:7" ht="11.25" customHeight="1" x14ac:dyDescent="0.2">
      <c r="A272" s="49">
        <v>44652</v>
      </c>
      <c r="B272" s="64">
        <v>0</v>
      </c>
      <c r="C272" s="64">
        <v>134169.87528000001</v>
      </c>
      <c r="D272" s="64">
        <v>0</v>
      </c>
      <c r="E272" s="64">
        <v>176681.76232938125</v>
      </c>
      <c r="F272" s="64">
        <v>134169.87528000001</v>
      </c>
      <c r="G272" s="64">
        <v>176681.76232938125</v>
      </c>
    </row>
    <row r="273" spans="1:7" ht="11.25" customHeight="1" x14ac:dyDescent="0.2">
      <c r="A273" s="49">
        <v>44682</v>
      </c>
      <c r="B273" s="64">
        <v>0</v>
      </c>
      <c r="C273" s="64">
        <v>87125.177160000007</v>
      </c>
      <c r="D273" s="64">
        <v>0</v>
      </c>
      <c r="E273" s="64">
        <v>114730.8947836741</v>
      </c>
      <c r="F273" s="64">
        <v>87125.177160000007</v>
      </c>
      <c r="G273" s="64">
        <v>114730.8947836741</v>
      </c>
    </row>
    <row r="274" spans="1:7" ht="11.25" customHeight="1" x14ac:dyDescent="0.2">
      <c r="A274" s="41" t="s">
        <v>779</v>
      </c>
      <c r="B274" s="64">
        <v>218.59199999999996</v>
      </c>
      <c r="C274" s="64">
        <v>463043.51334359928</v>
      </c>
      <c r="D274" s="64">
        <v>139.62725949676116</v>
      </c>
      <c r="E274" s="64">
        <v>245846.72170526965</v>
      </c>
      <c r="F274" s="64">
        <v>463262.10534359928</v>
      </c>
      <c r="G274" s="64">
        <v>245986.34896476637</v>
      </c>
    </row>
    <row r="275" spans="1:7" ht="11.25" customHeight="1" x14ac:dyDescent="0.2">
      <c r="A275" s="42" t="s">
        <v>33</v>
      </c>
      <c r="B275" s="64">
        <v>218.59199999999996</v>
      </c>
      <c r="C275" s="64">
        <v>665.46334359999992</v>
      </c>
      <c r="D275" s="64">
        <v>139.62725949676116</v>
      </c>
      <c r="E275" s="64">
        <v>372.65815161527485</v>
      </c>
      <c r="F275" s="64">
        <v>884.0553435999999</v>
      </c>
      <c r="G275" s="64">
        <v>512.28541111203594</v>
      </c>
    </row>
    <row r="276" spans="1:7" ht="11.25" customHeight="1" x14ac:dyDescent="0.2">
      <c r="A276" s="43" t="s">
        <v>34</v>
      </c>
      <c r="B276" s="64">
        <v>218.59199999999996</v>
      </c>
      <c r="C276" s="64">
        <v>665.46334359999992</v>
      </c>
      <c r="D276" s="64">
        <v>139.62725949676116</v>
      </c>
      <c r="E276" s="64">
        <v>372.65815161527485</v>
      </c>
      <c r="F276" s="64">
        <v>884.0553435999999</v>
      </c>
      <c r="G276" s="64">
        <v>512.28541111203594</v>
      </c>
    </row>
    <row r="277" spans="1:7" ht="11.25" customHeight="1" x14ac:dyDescent="0.2">
      <c r="A277" s="44" t="s">
        <v>45</v>
      </c>
      <c r="B277" s="64">
        <v>218.59199999999996</v>
      </c>
      <c r="C277" s="64">
        <v>665.46334359999992</v>
      </c>
      <c r="D277" s="64">
        <v>139.62725949676116</v>
      </c>
      <c r="E277" s="64">
        <v>372.65815161527485</v>
      </c>
      <c r="F277" s="64">
        <v>884.0553435999999</v>
      </c>
      <c r="G277" s="64">
        <v>512.28541111203594</v>
      </c>
    </row>
    <row r="278" spans="1:7" ht="11.25" customHeight="1" x14ac:dyDescent="0.2">
      <c r="A278" s="45" t="s">
        <v>25</v>
      </c>
      <c r="B278" s="64">
        <v>218.59199999999996</v>
      </c>
      <c r="C278" s="64">
        <v>665.46334359999992</v>
      </c>
      <c r="D278" s="64">
        <v>139.62725949676116</v>
      </c>
      <c r="E278" s="64">
        <v>372.65815161527485</v>
      </c>
      <c r="F278" s="64">
        <v>884.0553435999999</v>
      </c>
      <c r="G278" s="64">
        <v>512.28541111203594</v>
      </c>
    </row>
    <row r="279" spans="1:7" ht="11.25" customHeight="1" x14ac:dyDescent="0.2">
      <c r="A279" s="46" t="s">
        <v>25</v>
      </c>
      <c r="B279" s="64">
        <v>218.59199999999996</v>
      </c>
      <c r="C279" s="64">
        <v>665.46334359999992</v>
      </c>
      <c r="D279" s="64">
        <v>139.62725949676116</v>
      </c>
      <c r="E279" s="64">
        <v>372.65815161527485</v>
      </c>
      <c r="F279" s="64">
        <v>884.0553435999999</v>
      </c>
      <c r="G279" s="64">
        <v>512.28541111203594</v>
      </c>
    </row>
    <row r="280" spans="1:7" ht="11.25" customHeight="1" x14ac:dyDescent="0.2">
      <c r="A280" s="47" t="s">
        <v>25</v>
      </c>
      <c r="B280" s="64">
        <v>218.59199999999996</v>
      </c>
      <c r="C280" s="64">
        <v>665.46334359999992</v>
      </c>
      <c r="D280" s="64">
        <v>139.62725949676116</v>
      </c>
      <c r="E280" s="64">
        <v>372.65815161527485</v>
      </c>
      <c r="F280" s="64">
        <v>884.0553435999999</v>
      </c>
      <c r="G280" s="64">
        <v>512.28541111203594</v>
      </c>
    </row>
    <row r="281" spans="1:7" ht="11.25" customHeight="1" x14ac:dyDescent="0.2">
      <c r="A281" s="48" t="s">
        <v>35</v>
      </c>
      <c r="B281" s="64">
        <v>0</v>
      </c>
      <c r="C281" s="64">
        <v>463.20236039999998</v>
      </c>
      <c r="D281" s="64">
        <v>0</v>
      </c>
      <c r="E281" s="64">
        <v>252.61898193897571</v>
      </c>
      <c r="F281" s="64">
        <v>463.20236039999998</v>
      </c>
      <c r="G281" s="64">
        <v>252.61898193897571</v>
      </c>
    </row>
    <row r="282" spans="1:7" ht="11.25" customHeight="1" x14ac:dyDescent="0.2">
      <c r="A282" s="49">
        <v>44348</v>
      </c>
      <c r="B282" s="64">
        <v>0</v>
      </c>
      <c r="C282" s="64">
        <v>71.524206000000007</v>
      </c>
      <c r="D282" s="64">
        <v>0</v>
      </c>
      <c r="E282" s="64">
        <v>39.007513018954768</v>
      </c>
      <c r="F282" s="64">
        <v>71.524206000000007</v>
      </c>
      <c r="G282" s="64">
        <v>39.007513018954768</v>
      </c>
    </row>
    <row r="283" spans="1:7" ht="11.25" customHeight="1" x14ac:dyDescent="0.2">
      <c r="A283" s="49">
        <v>44378</v>
      </c>
      <c r="B283" s="64">
        <v>0</v>
      </c>
      <c r="C283" s="64">
        <v>42.744733199999992</v>
      </c>
      <c r="D283" s="64">
        <v>0</v>
      </c>
      <c r="E283" s="64">
        <v>23.311908373939136</v>
      </c>
      <c r="F283" s="64">
        <v>42.744733199999992</v>
      </c>
      <c r="G283" s="64">
        <v>23.311908373939136</v>
      </c>
    </row>
    <row r="284" spans="1:7" ht="11.25" customHeight="1" x14ac:dyDescent="0.2">
      <c r="A284" s="49">
        <v>44409</v>
      </c>
      <c r="B284" s="64">
        <v>0</v>
      </c>
      <c r="C284" s="64">
        <v>34.368406799999995</v>
      </c>
      <c r="D284" s="64">
        <v>0</v>
      </c>
      <c r="E284" s="64">
        <v>18.743669460542257</v>
      </c>
      <c r="F284" s="64">
        <v>34.368406799999995</v>
      </c>
      <c r="G284" s="64">
        <v>18.743669460542257</v>
      </c>
    </row>
    <row r="285" spans="1:7" ht="11.25" customHeight="1" x14ac:dyDescent="0.2">
      <c r="A285" s="49">
        <v>44440</v>
      </c>
      <c r="B285" s="64">
        <v>0</v>
      </c>
      <c r="C285" s="64">
        <v>38.499973200000007</v>
      </c>
      <c r="D285" s="64">
        <v>0</v>
      </c>
      <c r="E285" s="64">
        <v>20.996922438096124</v>
      </c>
      <c r="F285" s="64">
        <v>38.499973200000007</v>
      </c>
      <c r="G285" s="64">
        <v>20.996922438096124</v>
      </c>
    </row>
    <row r="286" spans="1:7" ht="11.25" customHeight="1" x14ac:dyDescent="0.2">
      <c r="A286" s="49">
        <v>44470</v>
      </c>
      <c r="B286" s="64">
        <v>0</v>
      </c>
      <c r="C286" s="64">
        <v>39.1083888</v>
      </c>
      <c r="D286" s="64">
        <v>0</v>
      </c>
      <c r="E286" s="64">
        <v>21.32873708890029</v>
      </c>
      <c r="F286" s="64">
        <v>39.1083888</v>
      </c>
      <c r="G286" s="64">
        <v>21.32873708890029</v>
      </c>
    </row>
    <row r="287" spans="1:7" ht="11.25" customHeight="1" x14ac:dyDescent="0.2">
      <c r="A287" s="49">
        <v>44501</v>
      </c>
      <c r="B287" s="64">
        <v>0</v>
      </c>
      <c r="C287" s="64">
        <v>39.886594800000005</v>
      </c>
      <c r="D287" s="64">
        <v>0</v>
      </c>
      <c r="E287" s="64">
        <v>21.753151177138179</v>
      </c>
      <c r="F287" s="64">
        <v>39.886594800000005</v>
      </c>
      <c r="G287" s="64">
        <v>21.753151177138179</v>
      </c>
    </row>
    <row r="288" spans="1:7" ht="11.25" customHeight="1" x14ac:dyDescent="0.2">
      <c r="A288" s="49">
        <v>44531</v>
      </c>
      <c r="B288" s="64">
        <v>0</v>
      </c>
      <c r="C288" s="64">
        <v>32.458264800000002</v>
      </c>
      <c r="D288" s="64">
        <v>0</v>
      </c>
      <c r="E288" s="64">
        <v>17.701925789412904</v>
      </c>
      <c r="F288" s="64">
        <v>32.458264800000002</v>
      </c>
      <c r="G288" s="64">
        <v>17.701925789412904</v>
      </c>
    </row>
    <row r="289" spans="1:7" ht="11.25" customHeight="1" x14ac:dyDescent="0.2">
      <c r="A289" s="49">
        <v>44593</v>
      </c>
      <c r="B289" s="64">
        <v>0</v>
      </c>
      <c r="C289" s="64">
        <v>53.781109199999996</v>
      </c>
      <c r="D289" s="64">
        <v>0</v>
      </c>
      <c r="E289" s="64">
        <v>29.330871807130979</v>
      </c>
      <c r="F289" s="64">
        <v>53.781109199999996</v>
      </c>
      <c r="G289" s="64">
        <v>29.330871807130979</v>
      </c>
    </row>
    <row r="290" spans="1:7" ht="11.25" customHeight="1" x14ac:dyDescent="0.2">
      <c r="A290" s="49">
        <v>44621</v>
      </c>
      <c r="B290" s="64">
        <v>0</v>
      </c>
      <c r="C290" s="64">
        <v>43.834221599999999</v>
      </c>
      <c r="D290" s="64">
        <v>0</v>
      </c>
      <c r="E290" s="64">
        <v>23.906088097472178</v>
      </c>
      <c r="F290" s="64">
        <v>43.834221599999999</v>
      </c>
      <c r="G290" s="64">
        <v>23.906088097472178</v>
      </c>
    </row>
    <row r="291" spans="1:7" ht="11.25" customHeight="1" x14ac:dyDescent="0.2">
      <c r="A291" s="49">
        <v>44652</v>
      </c>
      <c r="B291" s="64">
        <v>0</v>
      </c>
      <c r="C291" s="64">
        <v>31.736655599999999</v>
      </c>
      <c r="D291" s="64">
        <v>0</v>
      </c>
      <c r="E291" s="64">
        <v>17.308378180319593</v>
      </c>
      <c r="F291" s="64">
        <v>31.736655599999999</v>
      </c>
      <c r="G291" s="64">
        <v>17.308378180319593</v>
      </c>
    </row>
    <row r="292" spans="1:7" ht="11.25" customHeight="1" x14ac:dyDescent="0.2">
      <c r="A292" s="49">
        <v>44682</v>
      </c>
      <c r="B292" s="64">
        <v>0</v>
      </c>
      <c r="C292" s="64">
        <v>35.259806400000002</v>
      </c>
      <c r="D292" s="64">
        <v>0</v>
      </c>
      <c r="E292" s="64">
        <v>19.229816507069295</v>
      </c>
      <c r="F292" s="64">
        <v>35.259806400000002</v>
      </c>
      <c r="G292" s="64">
        <v>19.229816507069295</v>
      </c>
    </row>
    <row r="293" spans="1:7" ht="11.25" customHeight="1" x14ac:dyDescent="0.2">
      <c r="A293" s="48" t="s">
        <v>25</v>
      </c>
      <c r="B293" s="64">
        <v>218.59199999999996</v>
      </c>
      <c r="C293" s="64">
        <v>0</v>
      </c>
      <c r="D293" s="64">
        <v>139.62725949676116</v>
      </c>
      <c r="E293" s="64">
        <v>0</v>
      </c>
      <c r="F293" s="64">
        <v>218.59199999999996</v>
      </c>
      <c r="G293" s="64">
        <v>139.62725949676116</v>
      </c>
    </row>
    <row r="294" spans="1:7" ht="11.25" customHeight="1" x14ac:dyDescent="0.2">
      <c r="A294" s="49">
        <v>44348</v>
      </c>
      <c r="B294" s="64">
        <v>48.686400000000006</v>
      </c>
      <c r="C294" s="64">
        <v>0</v>
      </c>
      <c r="D294" s="64">
        <v>31.098798706096805</v>
      </c>
      <c r="E294" s="64">
        <v>0</v>
      </c>
      <c r="F294" s="64">
        <v>48.686400000000006</v>
      </c>
      <c r="G294" s="64">
        <v>31.098798706096805</v>
      </c>
    </row>
    <row r="295" spans="1:7" ht="11.25" customHeight="1" x14ac:dyDescent="0.2">
      <c r="A295" s="49">
        <v>44378</v>
      </c>
      <c r="B295" s="64">
        <v>18.381599999999999</v>
      </c>
      <c r="C295" s="64">
        <v>0</v>
      </c>
      <c r="D295" s="64">
        <v>11.741383184954914</v>
      </c>
      <c r="E295" s="64">
        <v>0</v>
      </c>
      <c r="F295" s="64">
        <v>18.381599999999999</v>
      </c>
      <c r="G295" s="64">
        <v>11.741383184954914</v>
      </c>
    </row>
    <row r="296" spans="1:7" ht="11.25" customHeight="1" x14ac:dyDescent="0.2">
      <c r="A296" s="49">
        <v>44409</v>
      </c>
      <c r="B296" s="64">
        <v>18.381599999999999</v>
      </c>
      <c r="C296" s="64">
        <v>0</v>
      </c>
      <c r="D296" s="64">
        <v>11.741383184954914</v>
      </c>
      <c r="E296" s="64">
        <v>0</v>
      </c>
      <c r="F296" s="64">
        <v>18.381599999999999</v>
      </c>
      <c r="G296" s="64">
        <v>11.741383184954914</v>
      </c>
    </row>
    <row r="297" spans="1:7" ht="11.25" customHeight="1" x14ac:dyDescent="0.2">
      <c r="A297" s="49">
        <v>44440</v>
      </c>
      <c r="B297" s="64">
        <v>18.381599999999999</v>
      </c>
      <c r="C297" s="64">
        <v>0</v>
      </c>
      <c r="D297" s="64">
        <v>11.741383184954914</v>
      </c>
      <c r="E297" s="64">
        <v>0</v>
      </c>
      <c r="F297" s="64">
        <v>18.381599999999999</v>
      </c>
      <c r="G297" s="64">
        <v>11.741383184954914</v>
      </c>
    </row>
    <row r="298" spans="1:7" ht="11.25" customHeight="1" x14ac:dyDescent="0.2">
      <c r="A298" s="49">
        <v>44470</v>
      </c>
      <c r="B298" s="64">
        <v>18.381599999999999</v>
      </c>
      <c r="C298" s="64">
        <v>0</v>
      </c>
      <c r="D298" s="64">
        <v>11.741383184954914</v>
      </c>
      <c r="E298" s="64">
        <v>0</v>
      </c>
      <c r="F298" s="64">
        <v>18.381599999999999</v>
      </c>
      <c r="G298" s="64">
        <v>11.741383184954914</v>
      </c>
    </row>
    <row r="299" spans="1:7" ht="11.25" customHeight="1" x14ac:dyDescent="0.2">
      <c r="A299" s="49">
        <v>44501</v>
      </c>
      <c r="B299" s="64">
        <v>18.381599999999999</v>
      </c>
      <c r="C299" s="64">
        <v>0</v>
      </c>
      <c r="D299" s="64">
        <v>11.741383184954914</v>
      </c>
      <c r="E299" s="64">
        <v>0</v>
      </c>
      <c r="F299" s="64">
        <v>18.381599999999999</v>
      </c>
      <c r="G299" s="64">
        <v>11.741383184954914</v>
      </c>
    </row>
    <row r="300" spans="1:7" ht="11.25" customHeight="1" x14ac:dyDescent="0.2">
      <c r="A300" s="49">
        <v>44531</v>
      </c>
      <c r="B300" s="64">
        <v>18.381599999999999</v>
      </c>
      <c r="C300" s="64">
        <v>0</v>
      </c>
      <c r="D300" s="64">
        <v>11.741383184954914</v>
      </c>
      <c r="E300" s="64">
        <v>0</v>
      </c>
      <c r="F300" s="64">
        <v>18.381599999999999</v>
      </c>
      <c r="G300" s="64">
        <v>11.741383184954914</v>
      </c>
    </row>
    <row r="301" spans="1:7" ht="11.25" customHeight="1" x14ac:dyDescent="0.2">
      <c r="A301" s="49">
        <v>44593</v>
      </c>
      <c r="B301" s="64">
        <v>14.904</v>
      </c>
      <c r="C301" s="64">
        <v>0</v>
      </c>
      <c r="D301" s="64">
        <v>9.5200404202337161</v>
      </c>
      <c r="E301" s="64">
        <v>0</v>
      </c>
      <c r="F301" s="64">
        <v>14.904</v>
      </c>
      <c r="G301" s="64">
        <v>9.5200404202337161</v>
      </c>
    </row>
    <row r="302" spans="1:7" ht="11.25" customHeight="1" x14ac:dyDescent="0.2">
      <c r="A302" s="49">
        <v>44621</v>
      </c>
      <c r="B302" s="64">
        <v>14.904</v>
      </c>
      <c r="C302" s="64">
        <v>0</v>
      </c>
      <c r="D302" s="64">
        <v>9.5200404202337161</v>
      </c>
      <c r="E302" s="64">
        <v>0</v>
      </c>
      <c r="F302" s="64">
        <v>14.904</v>
      </c>
      <c r="G302" s="64">
        <v>9.5200404202337161</v>
      </c>
    </row>
    <row r="303" spans="1:7" ht="11.25" customHeight="1" x14ac:dyDescent="0.2">
      <c r="A303" s="49">
        <v>44652</v>
      </c>
      <c r="B303" s="64">
        <v>14.904</v>
      </c>
      <c r="C303" s="64">
        <v>0</v>
      </c>
      <c r="D303" s="64">
        <v>9.5200404202337161</v>
      </c>
      <c r="E303" s="64">
        <v>0</v>
      </c>
      <c r="F303" s="64">
        <v>14.904</v>
      </c>
      <c r="G303" s="64">
        <v>9.5200404202337161</v>
      </c>
    </row>
    <row r="304" spans="1:7" ht="11.25" customHeight="1" x14ac:dyDescent="0.2">
      <c r="A304" s="49">
        <v>44682</v>
      </c>
      <c r="B304" s="64">
        <v>14.904</v>
      </c>
      <c r="C304" s="64">
        <v>0</v>
      </c>
      <c r="D304" s="64">
        <v>9.5200404202337161</v>
      </c>
      <c r="E304" s="64">
        <v>0</v>
      </c>
      <c r="F304" s="64">
        <v>14.904</v>
      </c>
      <c r="G304" s="64">
        <v>9.5200404202337161</v>
      </c>
    </row>
    <row r="305" spans="1:7" ht="11.25" customHeight="1" x14ac:dyDescent="0.2">
      <c r="A305" s="48" t="s">
        <v>37</v>
      </c>
      <c r="B305" s="64">
        <v>0</v>
      </c>
      <c r="C305" s="64">
        <v>202.26098319999997</v>
      </c>
      <c r="D305" s="64">
        <v>0</v>
      </c>
      <c r="E305" s="64">
        <v>120.03916967629921</v>
      </c>
      <c r="F305" s="64">
        <v>202.26098319999997</v>
      </c>
      <c r="G305" s="64">
        <v>120.03916967629921</v>
      </c>
    </row>
    <row r="306" spans="1:7" ht="11.25" customHeight="1" x14ac:dyDescent="0.2">
      <c r="A306" s="49">
        <v>44348</v>
      </c>
      <c r="B306" s="64">
        <v>0</v>
      </c>
      <c r="C306" s="64">
        <v>17.278837199999998</v>
      </c>
      <c r="D306" s="64">
        <v>0</v>
      </c>
      <c r="E306" s="64">
        <v>10.254757183737208</v>
      </c>
      <c r="F306" s="64">
        <v>17.278837199999998</v>
      </c>
      <c r="G306" s="64">
        <v>10.254757183737208</v>
      </c>
    </row>
    <row r="307" spans="1:7" ht="11.25" customHeight="1" x14ac:dyDescent="0.2">
      <c r="A307" s="49">
        <v>44378</v>
      </c>
      <c r="B307" s="64">
        <v>0</v>
      </c>
      <c r="C307" s="64">
        <v>20.651583200000001</v>
      </c>
      <c r="D307" s="64">
        <v>0</v>
      </c>
      <c r="E307" s="64">
        <v>12.256436513896123</v>
      </c>
      <c r="F307" s="64">
        <v>20.651583200000001</v>
      </c>
      <c r="G307" s="64">
        <v>12.256436513896123</v>
      </c>
    </row>
    <row r="308" spans="1:7" ht="11.25" customHeight="1" x14ac:dyDescent="0.2">
      <c r="A308" s="49">
        <v>44409</v>
      </c>
      <c r="B308" s="64">
        <v>0</v>
      </c>
      <c r="C308" s="64">
        <v>18.576047199999998</v>
      </c>
      <c r="D308" s="64">
        <v>0</v>
      </c>
      <c r="E308" s="64">
        <v>11.024633849182942</v>
      </c>
      <c r="F308" s="64">
        <v>18.576047199999998</v>
      </c>
      <c r="G308" s="64">
        <v>11.024633849182942</v>
      </c>
    </row>
    <row r="309" spans="1:7" ht="11.25" customHeight="1" x14ac:dyDescent="0.2">
      <c r="A309" s="49">
        <v>44440</v>
      </c>
      <c r="B309" s="64">
        <v>0</v>
      </c>
      <c r="C309" s="64">
        <v>19.250596400000003</v>
      </c>
      <c r="D309" s="64">
        <v>0</v>
      </c>
      <c r="E309" s="64">
        <v>11.424969715214726</v>
      </c>
      <c r="F309" s="64">
        <v>19.250596400000003</v>
      </c>
      <c r="G309" s="64">
        <v>11.424969715214726</v>
      </c>
    </row>
    <row r="310" spans="1:7" ht="11.25" customHeight="1" x14ac:dyDescent="0.2">
      <c r="A310" s="49">
        <v>44470</v>
      </c>
      <c r="B310" s="64">
        <v>0</v>
      </c>
      <c r="C310" s="64">
        <v>17.901497999999997</v>
      </c>
      <c r="D310" s="64">
        <v>0</v>
      </c>
      <c r="E310" s="64">
        <v>10.624297983151159</v>
      </c>
      <c r="F310" s="64">
        <v>17.901497999999997</v>
      </c>
      <c r="G310" s="64">
        <v>10.624297983151159</v>
      </c>
    </row>
    <row r="311" spans="1:7" ht="11.25" customHeight="1" x14ac:dyDescent="0.2">
      <c r="A311" s="49">
        <v>44501</v>
      </c>
      <c r="B311" s="64">
        <v>0</v>
      </c>
      <c r="C311" s="64">
        <v>17.849609599999997</v>
      </c>
      <c r="D311" s="64">
        <v>0</v>
      </c>
      <c r="E311" s="64">
        <v>10.593502916533327</v>
      </c>
      <c r="F311" s="64">
        <v>17.849609599999997</v>
      </c>
      <c r="G311" s="64">
        <v>10.593502916533327</v>
      </c>
    </row>
    <row r="312" spans="1:7" ht="11.25" customHeight="1" x14ac:dyDescent="0.2">
      <c r="A312" s="49">
        <v>44531</v>
      </c>
      <c r="B312" s="64">
        <v>0</v>
      </c>
      <c r="C312" s="64">
        <v>16.085403999999997</v>
      </c>
      <c r="D312" s="64">
        <v>0</v>
      </c>
      <c r="E312" s="64">
        <v>9.5464706515271285</v>
      </c>
      <c r="F312" s="64">
        <v>16.085403999999997</v>
      </c>
      <c r="G312" s="64">
        <v>9.5464706515271285</v>
      </c>
    </row>
    <row r="313" spans="1:7" ht="11.25" customHeight="1" x14ac:dyDescent="0.2">
      <c r="A313" s="49">
        <v>44593</v>
      </c>
      <c r="B313" s="64">
        <v>0</v>
      </c>
      <c r="C313" s="64">
        <v>25.580981199999997</v>
      </c>
      <c r="D313" s="64">
        <v>0</v>
      </c>
      <c r="E313" s="64">
        <v>15.18196784258992</v>
      </c>
      <c r="F313" s="64">
        <v>25.580981199999997</v>
      </c>
      <c r="G313" s="64">
        <v>15.18196784258992</v>
      </c>
    </row>
    <row r="314" spans="1:7" ht="11.25" customHeight="1" x14ac:dyDescent="0.2">
      <c r="A314" s="49">
        <v>44621</v>
      </c>
      <c r="B314" s="64">
        <v>0</v>
      </c>
      <c r="C314" s="64">
        <v>17.745832799999999</v>
      </c>
      <c r="D314" s="64">
        <v>0</v>
      </c>
      <c r="E314" s="64">
        <v>10.53191278329767</v>
      </c>
      <c r="F314" s="64">
        <v>17.745832799999999</v>
      </c>
      <c r="G314" s="64">
        <v>10.53191278329767</v>
      </c>
    </row>
    <row r="315" spans="1:7" ht="11.25" customHeight="1" x14ac:dyDescent="0.2">
      <c r="A315" s="49">
        <v>44652</v>
      </c>
      <c r="B315" s="64">
        <v>0</v>
      </c>
      <c r="C315" s="64">
        <v>14.061756400000002</v>
      </c>
      <c r="D315" s="64">
        <v>0</v>
      </c>
      <c r="E315" s="64">
        <v>8.3454630534317804</v>
      </c>
      <c r="F315" s="64">
        <v>14.061756400000002</v>
      </c>
      <c r="G315" s="64">
        <v>8.3454630534317804</v>
      </c>
    </row>
    <row r="316" spans="1:7" ht="11.25" customHeight="1" x14ac:dyDescent="0.2">
      <c r="A316" s="49">
        <v>44682</v>
      </c>
      <c r="B316" s="64">
        <v>0</v>
      </c>
      <c r="C316" s="64">
        <v>17.278837199999998</v>
      </c>
      <c r="D316" s="64">
        <v>0</v>
      </c>
      <c r="E316" s="64">
        <v>10.254757183737208</v>
      </c>
      <c r="F316" s="64">
        <v>17.278837199999998</v>
      </c>
      <c r="G316" s="64">
        <v>10.254757183737208</v>
      </c>
    </row>
    <row r="317" spans="1:7" ht="11.25" customHeight="1" x14ac:dyDescent="0.2">
      <c r="A317" s="42" t="s">
        <v>44</v>
      </c>
      <c r="B317" s="64">
        <v>0</v>
      </c>
      <c r="C317" s="64">
        <v>462378.04999999929</v>
      </c>
      <c r="D317" s="64">
        <v>0</v>
      </c>
      <c r="E317" s="64">
        <v>245474.06355365436</v>
      </c>
      <c r="F317" s="64">
        <v>462378.04999999935</v>
      </c>
      <c r="G317" s="64">
        <v>245474.0635536543</v>
      </c>
    </row>
    <row r="318" spans="1:7" ht="11.25" customHeight="1" x14ac:dyDescent="0.2">
      <c r="A318" s="43" t="s">
        <v>23</v>
      </c>
      <c r="B318" s="64">
        <v>0</v>
      </c>
      <c r="C318" s="64">
        <v>462378.04999999929</v>
      </c>
      <c r="D318" s="64">
        <v>0</v>
      </c>
      <c r="E318" s="64">
        <v>245474.06355365436</v>
      </c>
      <c r="F318" s="64">
        <v>462378.04999999935</v>
      </c>
      <c r="G318" s="64">
        <v>245474.0635536543</v>
      </c>
    </row>
    <row r="319" spans="1:7" ht="11.25" customHeight="1" x14ac:dyDescent="0.2">
      <c r="A319" s="44" t="s">
        <v>45</v>
      </c>
      <c r="B319" s="64">
        <v>0</v>
      </c>
      <c r="C319" s="64">
        <v>462378.04999999929</v>
      </c>
      <c r="D319" s="64">
        <v>0</v>
      </c>
      <c r="E319" s="64">
        <v>245474.06355365436</v>
      </c>
      <c r="F319" s="64">
        <v>462378.04999999935</v>
      </c>
      <c r="G319" s="64">
        <v>245474.0635536543</v>
      </c>
    </row>
    <row r="320" spans="1:7" ht="11.25" customHeight="1" x14ac:dyDescent="0.2">
      <c r="A320" s="45" t="s">
        <v>25</v>
      </c>
      <c r="B320" s="64">
        <v>0</v>
      </c>
      <c r="C320" s="64">
        <v>462378.04999999929</v>
      </c>
      <c r="D320" s="64">
        <v>0</v>
      </c>
      <c r="E320" s="64">
        <v>245474.06355365436</v>
      </c>
      <c r="F320" s="64">
        <v>462378.04999999935</v>
      </c>
      <c r="G320" s="64">
        <v>245474.0635536543</v>
      </c>
    </row>
    <row r="321" spans="1:7" ht="11.25" customHeight="1" x14ac:dyDescent="0.2">
      <c r="A321" s="46" t="s">
        <v>25</v>
      </c>
      <c r="B321" s="64">
        <v>0</v>
      </c>
      <c r="C321" s="64">
        <v>462378.04999999929</v>
      </c>
      <c r="D321" s="64">
        <v>0</v>
      </c>
      <c r="E321" s="64">
        <v>245474.06355365436</v>
      </c>
      <c r="F321" s="64">
        <v>462378.04999999935</v>
      </c>
      <c r="G321" s="64">
        <v>245474.0635536543</v>
      </c>
    </row>
    <row r="322" spans="1:7" ht="11.25" customHeight="1" x14ac:dyDescent="0.2">
      <c r="A322" s="47" t="s">
        <v>25</v>
      </c>
      <c r="B322" s="64">
        <v>0</v>
      </c>
      <c r="C322" s="64">
        <v>462378.04999999929</v>
      </c>
      <c r="D322" s="64">
        <v>0</v>
      </c>
      <c r="E322" s="64">
        <v>245474.06355365436</v>
      </c>
      <c r="F322" s="64">
        <v>462378.04999999935</v>
      </c>
      <c r="G322" s="64">
        <v>245474.0635536543</v>
      </c>
    </row>
    <row r="323" spans="1:7" ht="11.25" customHeight="1" x14ac:dyDescent="0.2">
      <c r="A323" s="48" t="s">
        <v>25</v>
      </c>
      <c r="B323" s="64">
        <v>0</v>
      </c>
      <c r="C323" s="64">
        <v>462378.04999999929</v>
      </c>
      <c r="D323" s="64">
        <v>0</v>
      </c>
      <c r="E323" s="64">
        <v>245474.06355365436</v>
      </c>
      <c r="F323" s="64">
        <v>462378.04999999935</v>
      </c>
      <c r="G323" s="64">
        <v>245474.0635536543</v>
      </c>
    </row>
    <row r="324" spans="1:7" ht="11.25" customHeight="1" x14ac:dyDescent="0.2">
      <c r="A324" s="49">
        <v>44348</v>
      </c>
      <c r="B324" s="64">
        <v>0</v>
      </c>
      <c r="C324" s="64">
        <v>39409.422719999937</v>
      </c>
      <c r="D324" s="64">
        <v>0</v>
      </c>
      <c r="E324" s="64">
        <v>20922.254283874656</v>
      </c>
      <c r="F324" s="64">
        <v>39409.422719999937</v>
      </c>
      <c r="G324" s="64">
        <v>20922.254283874656</v>
      </c>
    </row>
    <row r="325" spans="1:7" ht="11.25" customHeight="1" x14ac:dyDescent="0.2">
      <c r="A325" s="49">
        <v>44378</v>
      </c>
      <c r="B325" s="64">
        <v>0</v>
      </c>
      <c r="C325" s="64">
        <v>41082.018719999935</v>
      </c>
      <c r="D325" s="64">
        <v>0</v>
      </c>
      <c r="E325" s="64">
        <v>21810.226662329009</v>
      </c>
      <c r="F325" s="64">
        <v>41082.018719999935</v>
      </c>
      <c r="G325" s="64">
        <v>21810.226662329009</v>
      </c>
    </row>
    <row r="326" spans="1:7" ht="11.25" customHeight="1" x14ac:dyDescent="0.2">
      <c r="A326" s="49">
        <v>44409</v>
      </c>
      <c r="B326" s="64">
        <v>0</v>
      </c>
      <c r="C326" s="64">
        <v>39433.691759999943</v>
      </c>
      <c r="D326" s="64">
        <v>0</v>
      </c>
      <c r="E326" s="64">
        <v>20935.138588973794</v>
      </c>
      <c r="F326" s="64">
        <v>39433.691759999943</v>
      </c>
      <c r="G326" s="64">
        <v>20935.138588973794</v>
      </c>
    </row>
    <row r="327" spans="1:7" ht="11.25" customHeight="1" x14ac:dyDescent="0.2">
      <c r="A327" s="49">
        <v>44440</v>
      </c>
      <c r="B327" s="64">
        <v>0</v>
      </c>
      <c r="C327" s="64">
        <v>38477.724799999931</v>
      </c>
      <c r="D327" s="64">
        <v>0</v>
      </c>
      <c r="E327" s="64">
        <v>20427.620781209709</v>
      </c>
      <c r="F327" s="64">
        <v>38477.724799999931</v>
      </c>
      <c r="G327" s="64">
        <v>20427.620781209709</v>
      </c>
    </row>
    <row r="328" spans="1:7" ht="11.25" customHeight="1" x14ac:dyDescent="0.2">
      <c r="A328" s="49">
        <v>44470</v>
      </c>
      <c r="B328" s="64">
        <v>0</v>
      </c>
      <c r="C328" s="64">
        <v>39523.625679999939</v>
      </c>
      <c r="D328" s="64">
        <v>0</v>
      </c>
      <c r="E328" s="64">
        <v>20982.88403189374</v>
      </c>
      <c r="F328" s="64">
        <v>39523.625679999939</v>
      </c>
      <c r="G328" s="64">
        <v>20982.88403189374</v>
      </c>
    </row>
    <row r="329" spans="1:7" ht="11.25" customHeight="1" x14ac:dyDescent="0.2">
      <c r="A329" s="49">
        <v>44501</v>
      </c>
      <c r="B329" s="64">
        <v>0</v>
      </c>
      <c r="C329" s="64">
        <v>37482.767039999948</v>
      </c>
      <c r="D329" s="64">
        <v>0</v>
      </c>
      <c r="E329" s="64">
        <v>19899.402963751807</v>
      </c>
      <c r="F329" s="64">
        <v>37482.767039999948</v>
      </c>
      <c r="G329" s="64">
        <v>19899.402963751807</v>
      </c>
    </row>
    <row r="330" spans="1:7" ht="11.25" customHeight="1" x14ac:dyDescent="0.2">
      <c r="A330" s="49">
        <v>44531</v>
      </c>
      <c r="B330" s="64">
        <v>0</v>
      </c>
      <c r="C330" s="64">
        <v>39793.063039999943</v>
      </c>
      <c r="D330" s="64">
        <v>0</v>
      </c>
      <c r="E330" s="64">
        <v>21125.926902619045</v>
      </c>
      <c r="F330" s="64">
        <v>39793.063039999943</v>
      </c>
      <c r="G330" s="64">
        <v>21125.926902619045</v>
      </c>
    </row>
    <row r="331" spans="1:7" ht="11.25" customHeight="1" x14ac:dyDescent="0.2">
      <c r="A331" s="49">
        <v>44562</v>
      </c>
      <c r="B331" s="64">
        <v>0</v>
      </c>
      <c r="C331" s="64">
        <v>38342.969679999936</v>
      </c>
      <c r="D331" s="64">
        <v>0</v>
      </c>
      <c r="E331" s="64">
        <v>20356.080000043603</v>
      </c>
      <c r="F331" s="64">
        <v>38342.969679999936</v>
      </c>
      <c r="G331" s="64">
        <v>20356.080000043603</v>
      </c>
    </row>
    <row r="332" spans="1:7" ht="11.25" customHeight="1" x14ac:dyDescent="0.2">
      <c r="A332" s="49">
        <v>44593</v>
      </c>
      <c r="B332" s="64">
        <v>0</v>
      </c>
      <c r="C332" s="64">
        <v>37975.217199999941</v>
      </c>
      <c r="D332" s="64">
        <v>0</v>
      </c>
      <c r="E332" s="64">
        <v>20160.84215160436</v>
      </c>
      <c r="F332" s="64">
        <v>37975.217199999941</v>
      </c>
      <c r="G332" s="64">
        <v>20160.84215160436</v>
      </c>
    </row>
    <row r="333" spans="1:7" ht="11.25" customHeight="1" x14ac:dyDescent="0.2">
      <c r="A333" s="49">
        <v>44621</v>
      </c>
      <c r="B333" s="64">
        <v>0</v>
      </c>
      <c r="C333" s="64">
        <v>37512.939359999938</v>
      </c>
      <c r="D333" s="64">
        <v>0</v>
      </c>
      <c r="E333" s="64">
        <v>19915.421289010195</v>
      </c>
      <c r="F333" s="64">
        <v>37512.939359999938</v>
      </c>
      <c r="G333" s="64">
        <v>19915.421289010195</v>
      </c>
    </row>
    <row r="334" spans="1:7" ht="11.25" customHeight="1" x14ac:dyDescent="0.2">
      <c r="A334" s="49">
        <v>44652</v>
      </c>
      <c r="B334" s="64">
        <v>0</v>
      </c>
      <c r="C334" s="64">
        <v>35887.569599999944</v>
      </c>
      <c r="D334" s="64">
        <v>0</v>
      </c>
      <c r="E334" s="64">
        <v>19052.52107182984</v>
      </c>
      <c r="F334" s="64">
        <v>35887.569599999944</v>
      </c>
      <c r="G334" s="64">
        <v>19052.52107182984</v>
      </c>
    </row>
    <row r="335" spans="1:7" ht="11.25" customHeight="1" x14ac:dyDescent="0.2">
      <c r="A335" s="49">
        <v>44682</v>
      </c>
      <c r="B335" s="64">
        <v>0</v>
      </c>
      <c r="C335" s="64">
        <v>37457.04039999994</v>
      </c>
      <c r="D335" s="64">
        <v>0</v>
      </c>
      <c r="E335" s="64">
        <v>19885.744826514579</v>
      </c>
      <c r="F335" s="64">
        <v>37457.04039999994</v>
      </c>
      <c r="G335" s="64">
        <v>19885.744826514579</v>
      </c>
    </row>
    <row r="336" spans="1:7" ht="11.25" customHeight="1" x14ac:dyDescent="0.2">
      <c r="A336" s="41" t="s">
        <v>787</v>
      </c>
      <c r="B336" s="64">
        <v>0</v>
      </c>
      <c r="C336" s="64">
        <v>0</v>
      </c>
      <c r="D336" s="64">
        <v>0</v>
      </c>
      <c r="E336" s="64">
        <v>0</v>
      </c>
      <c r="F336" s="64">
        <v>0</v>
      </c>
      <c r="G336" s="64">
        <v>0</v>
      </c>
    </row>
    <row r="337" spans="1:7" ht="11.25" customHeight="1" x14ac:dyDescent="0.2">
      <c r="A337" s="42" t="s">
        <v>22</v>
      </c>
      <c r="B337" s="64">
        <v>0</v>
      </c>
      <c r="C337" s="64">
        <v>0</v>
      </c>
      <c r="D337" s="64">
        <v>0</v>
      </c>
      <c r="E337" s="64">
        <v>0</v>
      </c>
      <c r="F337" s="64">
        <v>0</v>
      </c>
      <c r="G337" s="64">
        <v>0</v>
      </c>
    </row>
    <row r="338" spans="1:7" ht="11.25" customHeight="1" x14ac:dyDescent="0.2">
      <c r="A338" s="43" t="s">
        <v>23</v>
      </c>
      <c r="B338" s="64">
        <v>0</v>
      </c>
      <c r="C338" s="64">
        <v>0</v>
      </c>
      <c r="D338" s="64">
        <v>0</v>
      </c>
      <c r="E338" s="64">
        <v>0</v>
      </c>
      <c r="F338" s="64">
        <v>0</v>
      </c>
      <c r="G338" s="64">
        <v>0</v>
      </c>
    </row>
    <row r="339" spans="1:7" ht="11.25" customHeight="1" x14ac:dyDescent="0.2">
      <c r="A339" s="44" t="s">
        <v>24</v>
      </c>
      <c r="B339" s="64">
        <v>0</v>
      </c>
      <c r="C339" s="64">
        <v>0</v>
      </c>
      <c r="D339" s="64">
        <v>0</v>
      </c>
      <c r="E339" s="64">
        <v>0</v>
      </c>
      <c r="F339" s="64">
        <v>0</v>
      </c>
      <c r="G339" s="64">
        <v>0</v>
      </c>
    </row>
    <row r="340" spans="1:7" ht="11.25" customHeight="1" x14ac:dyDescent="0.2">
      <c r="A340" s="45" t="s">
        <v>24</v>
      </c>
      <c r="B340" s="64">
        <v>0</v>
      </c>
      <c r="C340" s="64">
        <v>0</v>
      </c>
      <c r="D340" s="64">
        <v>0</v>
      </c>
      <c r="E340" s="64">
        <v>0</v>
      </c>
      <c r="F340" s="64">
        <v>0</v>
      </c>
      <c r="G340" s="64">
        <v>0</v>
      </c>
    </row>
    <row r="341" spans="1:7" ht="11.25" customHeight="1" x14ac:dyDescent="0.2">
      <c r="A341" s="46" t="s">
        <v>25</v>
      </c>
      <c r="B341" s="64">
        <v>0</v>
      </c>
      <c r="C341" s="64">
        <v>0</v>
      </c>
      <c r="D341" s="64">
        <v>0</v>
      </c>
      <c r="E341" s="64">
        <v>0</v>
      </c>
      <c r="F341" s="64">
        <v>0</v>
      </c>
      <c r="G341" s="64">
        <v>0</v>
      </c>
    </row>
    <row r="342" spans="1:7" ht="11.25" customHeight="1" x14ac:dyDescent="0.2">
      <c r="A342" s="47" t="s">
        <v>25</v>
      </c>
      <c r="B342" s="64">
        <v>0</v>
      </c>
      <c r="C342" s="64">
        <v>0</v>
      </c>
      <c r="D342" s="64">
        <v>0</v>
      </c>
      <c r="E342" s="64">
        <v>0</v>
      </c>
      <c r="F342" s="64">
        <v>0</v>
      </c>
      <c r="G342" s="64">
        <v>0</v>
      </c>
    </row>
    <row r="343" spans="1:7" ht="11.25" customHeight="1" x14ac:dyDescent="0.2">
      <c r="A343" s="48" t="s">
        <v>25</v>
      </c>
      <c r="B343" s="64">
        <v>0</v>
      </c>
      <c r="C343" s="64">
        <v>0</v>
      </c>
      <c r="D343" s="64">
        <v>0</v>
      </c>
      <c r="E343" s="64">
        <v>0</v>
      </c>
      <c r="F343" s="64">
        <v>0</v>
      </c>
      <c r="G343" s="64">
        <v>0</v>
      </c>
    </row>
    <row r="344" spans="1:7" ht="11.25" customHeight="1" x14ac:dyDescent="0.2">
      <c r="A344" s="49">
        <v>44348</v>
      </c>
      <c r="B344" s="64">
        <v>0</v>
      </c>
      <c r="C344" s="64">
        <v>0</v>
      </c>
      <c r="D344" s="64">
        <v>0</v>
      </c>
      <c r="E344" s="64">
        <v>0</v>
      </c>
      <c r="F344" s="64">
        <v>0</v>
      </c>
      <c r="G344" s="64">
        <v>0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85CE-E352-4768-9D05-C8BB43E4BDFF}">
  <dimension ref="A1:V35"/>
  <sheetViews>
    <sheetView showGridLines="0" topLeftCell="E1" workbookViewId="0">
      <selection activeCell="R8" sqref="R8:S8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40" t="s">
        <v>857</v>
      </c>
      <c r="B1" s="158"/>
      <c r="C1" s="158"/>
      <c r="D1" s="158"/>
      <c r="E1" s="158"/>
      <c r="F1" s="158"/>
      <c r="G1" s="158"/>
      <c r="H1" s="158"/>
      <c r="I1" s="158"/>
      <c r="J1" s="158"/>
      <c r="L1" s="140" t="s">
        <v>867</v>
      </c>
      <c r="M1" s="141"/>
      <c r="N1" s="141"/>
      <c r="O1" s="141"/>
      <c r="P1" s="141"/>
      <c r="Q1" s="141"/>
      <c r="R1" s="141"/>
      <c r="S1" s="141"/>
      <c r="T1" s="141"/>
      <c r="U1" s="141"/>
      <c r="V1" s="141"/>
    </row>
    <row r="2" spans="1:22" ht="11.25" customHeight="1" x14ac:dyDescent="0.25">
      <c r="A2" s="155" t="s">
        <v>61</v>
      </c>
      <c r="B2" s="155" t="s">
        <v>62</v>
      </c>
      <c r="C2" s="155" t="s">
        <v>858</v>
      </c>
      <c r="D2" s="155" t="s">
        <v>67</v>
      </c>
      <c r="E2" s="155" t="s">
        <v>859</v>
      </c>
      <c r="F2" s="157"/>
      <c r="G2" s="157"/>
      <c r="H2" s="155" t="s">
        <v>623</v>
      </c>
      <c r="I2" s="157"/>
      <c r="J2" s="157"/>
      <c r="L2" s="155" t="s">
        <v>61</v>
      </c>
      <c r="M2" s="155" t="s">
        <v>62</v>
      </c>
      <c r="N2" s="155" t="s">
        <v>63</v>
      </c>
      <c r="O2" s="155" t="s">
        <v>64</v>
      </c>
      <c r="P2" s="155" t="s">
        <v>67</v>
      </c>
      <c r="Q2" s="155" t="s">
        <v>859</v>
      </c>
      <c r="R2" s="156"/>
      <c r="S2" s="156"/>
      <c r="T2" s="155" t="s">
        <v>623</v>
      </c>
      <c r="U2" s="156"/>
      <c r="V2" s="156"/>
    </row>
    <row r="3" spans="1:22" ht="11.25" customHeight="1" x14ac:dyDescent="0.25">
      <c r="A3" s="157"/>
      <c r="B3" s="157"/>
      <c r="C3" s="157"/>
      <c r="D3" s="157"/>
      <c r="E3" s="155" t="s">
        <v>581</v>
      </c>
      <c r="F3" s="157"/>
      <c r="G3" s="30" t="s">
        <v>609</v>
      </c>
      <c r="H3" s="155" t="s">
        <v>581</v>
      </c>
      <c r="I3" s="157"/>
      <c r="J3" s="30" t="s">
        <v>609</v>
      </c>
      <c r="L3" s="156"/>
      <c r="M3" s="156"/>
      <c r="N3" s="156"/>
      <c r="O3" s="156"/>
      <c r="P3" s="156"/>
      <c r="Q3" s="155" t="s">
        <v>581</v>
      </c>
      <c r="R3" s="156"/>
      <c r="S3" s="30" t="s">
        <v>609</v>
      </c>
      <c r="T3" s="155" t="s">
        <v>581</v>
      </c>
      <c r="U3" s="156"/>
      <c r="V3" s="30" t="s">
        <v>609</v>
      </c>
    </row>
    <row r="4" spans="1:22" ht="11.25" customHeight="1" x14ac:dyDescent="0.25">
      <c r="A4" s="157"/>
      <c r="B4" s="157"/>
      <c r="C4" s="157"/>
      <c r="D4" s="157"/>
      <c r="E4" s="30" t="s">
        <v>860</v>
      </c>
      <c r="F4" s="30" t="s">
        <v>861</v>
      </c>
      <c r="G4" s="30" t="s">
        <v>861</v>
      </c>
      <c r="H4" s="30" t="s">
        <v>860</v>
      </c>
      <c r="I4" s="30" t="s">
        <v>861</v>
      </c>
      <c r="J4" s="30" t="s">
        <v>861</v>
      </c>
      <c r="L4" s="156"/>
      <c r="M4" s="156"/>
      <c r="N4" s="156"/>
      <c r="O4" s="156"/>
      <c r="P4" s="156"/>
      <c r="Q4" s="30" t="s">
        <v>860</v>
      </c>
      <c r="R4" s="30" t="s">
        <v>861</v>
      </c>
      <c r="S4" s="30" t="s">
        <v>861</v>
      </c>
      <c r="T4" s="30" t="s">
        <v>860</v>
      </c>
      <c r="U4" s="30" t="s">
        <v>861</v>
      </c>
      <c r="V4" s="30" t="s">
        <v>861</v>
      </c>
    </row>
    <row r="5" spans="1:22" ht="11.25" customHeight="1" x14ac:dyDescent="0.25">
      <c r="A5" s="159" t="s">
        <v>42</v>
      </c>
      <c r="B5" s="159" t="s">
        <v>41</v>
      </c>
      <c r="C5" s="159" t="s">
        <v>25</v>
      </c>
      <c r="D5" s="31" t="s">
        <v>862</v>
      </c>
      <c r="E5" s="29">
        <f ca="1">ROUND('TUSD BE'!$AM$5+'TUSD BF'!$AM$5+'TUSD CVA'!$AM$5,2)</f>
        <v>42.42</v>
      </c>
      <c r="F5" s="29">
        <f ca="1">ROUND('TUSD BE'!$AM$7+'TUSD BF'!$AM$7+'TUSD CVA'!$AM$7,2)</f>
        <v>111.24</v>
      </c>
      <c r="G5" s="29">
        <f>ROUND('TE BE'!$AB$5+'TE BF'!$AB$5+'TE CVA'!$AB$5,2)</f>
        <v>415.05</v>
      </c>
      <c r="H5" s="29">
        <f ca="1">ROUND('TUSD BE'!$AM$5,2)</f>
        <v>40.97</v>
      </c>
      <c r="I5" s="29">
        <f ca="1">ROUND('TUSD BE'!$AM$7,2)</f>
        <v>99.21</v>
      </c>
      <c r="J5" s="29">
        <f>ROUND('TE BE'!$AB$5,2)</f>
        <v>375</v>
      </c>
      <c r="L5" s="160" t="s">
        <v>22</v>
      </c>
      <c r="M5" s="160" t="s">
        <v>868</v>
      </c>
      <c r="N5" s="160" t="s">
        <v>869</v>
      </c>
      <c r="O5" s="160" t="s">
        <v>869</v>
      </c>
      <c r="P5" s="31" t="s">
        <v>862</v>
      </c>
      <c r="Q5" s="29">
        <v>0</v>
      </c>
      <c r="R5" s="29">
        <f ca="1">ROUND('TUSD BE'!$AM$27+'TUSD BF'!$AM$27+'TUSD CVA'!$AM$27,2)</f>
        <v>1332.11</v>
      </c>
      <c r="S5" s="29">
        <f>ROUND('TE BE'!$AB$11+'TE BF'!$AB$11+'TE CVA'!$AB$11,2)</f>
        <v>415.05</v>
      </c>
      <c r="T5" s="29">
        <v>0</v>
      </c>
      <c r="U5" s="29">
        <f ca="1">ROUND('TUSD BE'!$AM$27,2)</f>
        <v>1291.92</v>
      </c>
      <c r="V5" s="29">
        <f>ROUND('TE BE'!$AB$11,2)</f>
        <v>375</v>
      </c>
    </row>
    <row r="6" spans="1:22" ht="11.25" customHeight="1" x14ac:dyDescent="0.25">
      <c r="A6" s="157"/>
      <c r="B6" s="157"/>
      <c r="C6" s="157"/>
      <c r="D6" s="31" t="s">
        <v>863</v>
      </c>
      <c r="E6" s="29">
        <f ca="1">ROUND('TUSD BE'!$AM$6+'TUSD BF'!$AM$6+'TUSD CVA'!$AM$6,2)</f>
        <v>16.52</v>
      </c>
      <c r="F6" s="29">
        <f ca="1">ROUND('TUSD BE'!$AM$7+'TUSD BF'!$AM$7+'TUSD CVA'!$AM$7,2)</f>
        <v>111.24</v>
      </c>
      <c r="G6" s="29">
        <f>ROUND('TE BE'!$AB$6+'TE BF'!$AB$6+'TE CVA'!$AB$6,2)</f>
        <v>259.04000000000002</v>
      </c>
      <c r="H6" s="29">
        <f ca="1">ROUND('TUSD BE'!$AM$6,2)</f>
        <v>15.89</v>
      </c>
      <c r="I6" s="29">
        <f ca="1">ROUND('TUSD BE'!$AM$7,2)</f>
        <v>99.21</v>
      </c>
      <c r="J6" s="29">
        <f>ROUND('TE BE'!$AB$6,2)</f>
        <v>228.5</v>
      </c>
      <c r="L6" s="161"/>
      <c r="M6" s="161"/>
      <c r="N6" s="161"/>
      <c r="O6" s="161"/>
      <c r="P6" s="31" t="s">
        <v>870</v>
      </c>
      <c r="Q6" s="29">
        <v>0</v>
      </c>
      <c r="R6" s="29">
        <f ca="1">ROUND('TUSD BE'!$AM$28+'TUSD BF'!$AM$28+'TUSD CVA'!$AM$28,2)</f>
        <v>439.62</v>
      </c>
      <c r="S6" s="29">
        <f>ROUND('TE BE'!$AB$12+'TE BF'!$AB$12+'TE CVA'!$AB$12,2)</f>
        <v>259.04000000000002</v>
      </c>
      <c r="T6" s="29">
        <v>0</v>
      </c>
      <c r="U6" s="29">
        <f ca="1">ROUND('TUSD BE'!$AM$28,2)</f>
        <v>418.69</v>
      </c>
      <c r="V6" s="29">
        <f>ROUND('TE BE'!$AB$12,2)</f>
        <v>228.5</v>
      </c>
    </row>
    <row r="7" spans="1:22" ht="11.25" customHeight="1" x14ac:dyDescent="0.25">
      <c r="A7" s="157"/>
      <c r="B7" s="159" t="s">
        <v>864</v>
      </c>
      <c r="C7" s="159" t="s">
        <v>25</v>
      </c>
      <c r="D7" s="31" t="s">
        <v>862</v>
      </c>
      <c r="E7" s="29">
        <f ca="1">ROUND('TUSD BE'!$AM$5+'TUSD BF'!$AM$5+'TUSD CVA'!$AM$5,2)</f>
        <v>42.42</v>
      </c>
      <c r="F7" s="29">
        <f ca="1">ROUND('TUSD BE'!$AM$8+'TUSD BF'!$AM$8+'TUSD CVA'!$AM$8,2)</f>
        <v>7.28</v>
      </c>
      <c r="G7" s="29">
        <v>0</v>
      </c>
      <c r="H7" s="29">
        <f ca="1">ROUND('TUSD BE'!$AM$5,2)</f>
        <v>40.97</v>
      </c>
      <c r="I7" s="29">
        <f ca="1">ROUND('TUSD BE'!$AM$8,2)</f>
        <v>6.87</v>
      </c>
      <c r="J7" s="29">
        <v>0</v>
      </c>
      <c r="L7" s="161"/>
      <c r="M7" s="162"/>
      <c r="N7" s="162"/>
      <c r="O7" s="162"/>
      <c r="P7" s="31" t="s">
        <v>863</v>
      </c>
      <c r="Q7" s="29">
        <v>0</v>
      </c>
      <c r="R7" s="29">
        <f ca="1">ROUND('TUSD BE'!$AM$29+'TUSD BF'!$AM$29+'TUSD CVA'!$AM$29,2)</f>
        <v>201.62</v>
      </c>
      <c r="S7" s="29">
        <f>ROUND('TE BE'!$AB$13+'TE BF'!$AB$13+'TE CVA'!$AB$13,2)</f>
        <v>259.04000000000002</v>
      </c>
      <c r="T7" s="29">
        <v>0</v>
      </c>
      <c r="U7" s="29">
        <f ca="1">ROUND('TUSD BE'!$AM$29,2)</f>
        <v>185.83</v>
      </c>
      <c r="V7" s="29">
        <f>ROUND('TE BE'!$AB$13,2)</f>
        <v>228.5</v>
      </c>
    </row>
    <row r="8" spans="1:22" ht="11.25" customHeight="1" x14ac:dyDescent="0.25">
      <c r="A8" s="157"/>
      <c r="B8" s="157"/>
      <c r="C8" s="157"/>
      <c r="D8" s="31" t="s">
        <v>863</v>
      </c>
      <c r="E8" s="29">
        <f ca="1">ROUND('TUSD BE'!$AM$6+'TUSD BF'!$AM$6+'TUSD CVA'!$AM$6,2)</f>
        <v>16.52</v>
      </c>
      <c r="F8" s="29">
        <f ca="1">ROUND('TUSD BE'!$AM$8+'TUSD BF'!$AM$8+'TUSD CVA'!$AM$8,2)</f>
        <v>7.28</v>
      </c>
      <c r="G8" s="29">
        <v>0</v>
      </c>
      <c r="H8" s="29">
        <f ca="1">ROUND('TUSD BE'!$AM$6,2)</f>
        <v>15.89</v>
      </c>
      <c r="I8" s="29">
        <f ca="1">ROUND('TUSD BE'!$AM$8,2)</f>
        <v>6.87</v>
      </c>
      <c r="J8" s="29">
        <v>0</v>
      </c>
      <c r="L8" s="161"/>
      <c r="M8" s="31" t="s">
        <v>871</v>
      </c>
      <c r="N8" s="31" t="s">
        <v>869</v>
      </c>
      <c r="O8" s="31" t="s">
        <v>869</v>
      </c>
      <c r="P8" s="31" t="s">
        <v>865</v>
      </c>
      <c r="Q8" s="29">
        <v>0</v>
      </c>
      <c r="R8" s="29">
        <f ca="1">ROUND('TUSD BE'!$AM$35+'TUSD BF'!$AM$35+'TUSD CVA'!$AM$35,2)</f>
        <v>362.49</v>
      </c>
      <c r="S8" s="29">
        <f>ROUND('TE BE'!$AB$19+'TE BF'!$AB$19+'TE CVA'!$AB$19,2)</f>
        <v>272.04000000000002</v>
      </c>
      <c r="T8" s="29">
        <v>0</v>
      </c>
      <c r="U8" s="29">
        <f ca="1">ROUND('TUSD BE'!$AM$35,2)</f>
        <v>343.23</v>
      </c>
      <c r="V8" s="29">
        <f>ROUND('TE BE'!$AB$19,2)</f>
        <v>240.71</v>
      </c>
    </row>
    <row r="9" spans="1:22" ht="11.25" customHeight="1" x14ac:dyDescent="0.25">
      <c r="A9" s="157"/>
      <c r="B9" s="159" t="s">
        <v>34</v>
      </c>
      <c r="C9" s="159" t="s">
        <v>25</v>
      </c>
      <c r="D9" s="31" t="s">
        <v>865</v>
      </c>
      <c r="E9" s="29">
        <f ca="1">ROUND('TUSD BE'!$AM$10+'TUSD BF'!$AM$10+'TUSD CVA'!$AM$10,2)</f>
        <v>16.52</v>
      </c>
      <c r="F9" s="29">
        <v>0</v>
      </c>
      <c r="G9" s="29">
        <v>0</v>
      </c>
      <c r="H9" s="29">
        <f ca="1">ROUND('TUSD BE'!$AM$10,2)</f>
        <v>15.89</v>
      </c>
      <c r="I9" s="29">
        <v>0</v>
      </c>
      <c r="J9" s="29">
        <v>0</v>
      </c>
      <c r="L9" s="161"/>
      <c r="M9" s="31" t="s">
        <v>873</v>
      </c>
      <c r="N9" s="31" t="s">
        <v>869</v>
      </c>
      <c r="O9" s="31" t="s">
        <v>869</v>
      </c>
      <c r="P9" s="31" t="s">
        <v>865</v>
      </c>
      <c r="Q9" s="29">
        <v>0</v>
      </c>
      <c r="R9" s="29">
        <f ca="1">ROUND('TUSD BE'!$AM$30+'TUSD BF'!$AM$30+'TUSD CVA'!$AM$30,2)</f>
        <v>362.49</v>
      </c>
      <c r="S9" s="29">
        <f>ROUND('TE BE'!$AB$14+'TE BF'!$AB$14+'TE CVA'!$AB$14,2)</f>
        <v>272.04000000000002</v>
      </c>
      <c r="T9" s="29">
        <v>0</v>
      </c>
      <c r="U9" s="29">
        <f ca="1">ROUND('TUSD BE'!$AM$30,2)</f>
        <v>343.23</v>
      </c>
      <c r="V9" s="29">
        <f>ROUND('TE BE'!$AB$14,2)</f>
        <v>240.71</v>
      </c>
    </row>
    <row r="10" spans="1:22" ht="11.25" customHeight="1" x14ac:dyDescent="0.25">
      <c r="A10" s="157"/>
      <c r="B10" s="157"/>
      <c r="C10" s="157"/>
      <c r="D10" s="31" t="s">
        <v>862</v>
      </c>
      <c r="E10" s="29">
        <v>0</v>
      </c>
      <c r="F10" s="29">
        <f ca="1">ROUND('TUSD BE'!$AM$11+'TUSD BF'!$AM$11+'TUSD CVA'!$AM$11,2)</f>
        <v>1146.3800000000001</v>
      </c>
      <c r="G10" s="29">
        <f>ROUND('TE BE'!$AB$5+'TE BF'!$AB$5+'TE CVA'!$AB$5,2)</f>
        <v>415.05</v>
      </c>
      <c r="H10" s="29">
        <v>0</v>
      </c>
      <c r="I10" s="29">
        <f ca="1">ROUND('TUSD BE'!$AM$11,2)</f>
        <v>1099.45</v>
      </c>
      <c r="J10" s="29">
        <f>ROUND('TE BE'!$AB$5,2)</f>
        <v>375</v>
      </c>
      <c r="L10" s="161"/>
      <c r="M10" s="31" t="s">
        <v>871</v>
      </c>
      <c r="N10" s="31" t="s">
        <v>869</v>
      </c>
      <c r="O10" s="31" t="s">
        <v>872</v>
      </c>
      <c r="P10" s="31" t="s">
        <v>865</v>
      </c>
      <c r="Q10" s="29">
        <v>0</v>
      </c>
      <c r="R10" s="29">
        <f ca="1">ROUND('TUSD BE'!$AM$36+'TUSD BF'!$AM$36+'TUSD CVA'!$AM$36,2)</f>
        <v>242.02</v>
      </c>
      <c r="S10" s="29">
        <f>ROUND('TE BE'!$AB$20+'TE BF'!$AB$20+'TE CVA'!$AB$20,2)</f>
        <v>272.04000000000002</v>
      </c>
      <c r="T10" s="29">
        <v>0</v>
      </c>
      <c r="U10" s="29">
        <f ca="1">ROUND('TUSD BE'!$AM$36,2)</f>
        <v>236.03</v>
      </c>
      <c r="V10" s="29">
        <f>ROUND('TE BE'!$AB$20,2)</f>
        <v>240.71</v>
      </c>
    </row>
    <row r="11" spans="1:22" ht="11.25" customHeight="1" x14ac:dyDescent="0.25">
      <c r="A11" s="157"/>
      <c r="B11" s="157"/>
      <c r="C11" s="157"/>
      <c r="D11" s="31" t="s">
        <v>863</v>
      </c>
      <c r="E11" s="29">
        <v>0</v>
      </c>
      <c r="F11" s="29">
        <f ca="1">ROUND('TUSD BE'!$AM$12+'TUSD BF'!$AM$12+'TUSD CVA'!$AM$12,2)</f>
        <v>111.24</v>
      </c>
      <c r="G11" s="29">
        <f>ROUND('TE BE'!$AB$6+'TE BF'!$AB$6+'TE CVA'!$AB$6,2)</f>
        <v>259.04000000000002</v>
      </c>
      <c r="H11" s="29">
        <v>0</v>
      </c>
      <c r="I11" s="29">
        <f ca="1">ROUND('TUSD BE'!$AM$12,2)</f>
        <v>99.21</v>
      </c>
      <c r="J11" s="29">
        <f>ROUND('TE BE'!$AB$6,2)</f>
        <v>228.5</v>
      </c>
      <c r="L11" s="162"/>
      <c r="M11" s="31" t="s">
        <v>873</v>
      </c>
      <c r="N11" s="31" t="s">
        <v>869</v>
      </c>
      <c r="O11" s="31" t="s">
        <v>872</v>
      </c>
      <c r="P11" s="31" t="s">
        <v>865</v>
      </c>
      <c r="Q11" s="29">
        <v>0</v>
      </c>
      <c r="R11" s="29">
        <f ca="1">ROUND('TUSD BE'!$AM$31+'TUSD BF'!$AM$31+'TUSD CVA'!$AM$31,2)</f>
        <v>242.02</v>
      </c>
      <c r="S11" s="29">
        <f>ROUND('TE BE'!$AB$15+'TE BF'!$AB$15+'TE CVA'!$AB$15,2)</f>
        <v>272.04000000000002</v>
      </c>
      <c r="T11" s="29">
        <v>0</v>
      </c>
      <c r="U11" s="29">
        <f ca="1">ROUND('TUSD BE'!$AM$31,2)</f>
        <v>236.03</v>
      </c>
      <c r="V11" s="29">
        <f>ROUND('TE BE'!$AB$15,2)</f>
        <v>240.71</v>
      </c>
    </row>
    <row r="12" spans="1:22" ht="11.25" customHeight="1" x14ac:dyDescent="0.25">
      <c r="A12" s="157"/>
      <c r="B12" s="159" t="s">
        <v>866</v>
      </c>
      <c r="C12" s="159" t="s">
        <v>25</v>
      </c>
      <c r="D12" s="31" t="s">
        <v>865</v>
      </c>
      <c r="E12" s="29">
        <f ca="1">ROUND('TUSD BE'!$AM$10+'TUSD BF'!$AM$10+'TUSD CVA'!$AM$10,2)</f>
        <v>16.52</v>
      </c>
      <c r="F12" s="29">
        <v>0</v>
      </c>
      <c r="G12" s="29">
        <v>0</v>
      </c>
      <c r="H12" s="29">
        <f ca="1">ROUND('TUSD BE'!$AM$10,2)</f>
        <v>15.89</v>
      </c>
      <c r="I12" s="29">
        <v>0</v>
      </c>
      <c r="J12" s="29">
        <v>0</v>
      </c>
      <c r="L12" s="160" t="s">
        <v>44</v>
      </c>
      <c r="M12" s="160" t="s">
        <v>868</v>
      </c>
      <c r="N12" s="160" t="s">
        <v>874</v>
      </c>
      <c r="O12" s="160" t="s">
        <v>875</v>
      </c>
      <c r="P12" s="31" t="s">
        <v>862</v>
      </c>
      <c r="Q12" s="29">
        <v>0</v>
      </c>
      <c r="R12" s="29">
        <f ca="1">ROUND(('TUSD BE'!$AM$40+'TUSD BF'!$AM$40+'TUSD CVA'!$AM$40)*(1-CUSTOS!$M$38),2)</f>
        <v>1252.18</v>
      </c>
      <c r="S12" s="29">
        <f>ROUND(('TE BE'!$AB$24+'TE BF'!$AB$24+'TE CVA'!$AB$24)*(1-CUSTOS!$M$38),2)</f>
        <v>390.15</v>
      </c>
      <c r="T12" s="29">
        <v>0</v>
      </c>
      <c r="U12" s="29">
        <f ca="1">ROUND('TUSD BE'!$AM$40*(1-CUSTOS!$M$38),2)</f>
        <v>1214.4000000000001</v>
      </c>
      <c r="V12" s="29">
        <f>ROUND('TE BE'!$AB$24*(1-CUSTOS!$M$38),2)</f>
        <v>352.5</v>
      </c>
    </row>
    <row r="13" spans="1:22" ht="11.25" customHeight="1" x14ac:dyDescent="0.25">
      <c r="A13" s="157"/>
      <c r="B13" s="157"/>
      <c r="C13" s="157"/>
      <c r="D13" s="31" t="s">
        <v>862</v>
      </c>
      <c r="E13" s="29">
        <v>0</v>
      </c>
      <c r="F13" s="29">
        <f ca="1">ROUND('TUSD BE'!$AM$13+'TUSD BF'!$AM$13+'TUSD CVA'!$AM$13,2)</f>
        <v>1042.42</v>
      </c>
      <c r="G13" s="29">
        <v>0</v>
      </c>
      <c r="H13" s="29">
        <v>0</v>
      </c>
      <c r="I13" s="29">
        <f ca="1">ROUND('TUSD BE'!$AM$13,2)</f>
        <v>1007.1</v>
      </c>
      <c r="J13" s="29">
        <v>0</v>
      </c>
      <c r="L13" s="161"/>
      <c r="M13" s="161"/>
      <c r="N13" s="161"/>
      <c r="O13" s="161"/>
      <c r="P13" s="31" t="s">
        <v>870</v>
      </c>
      <c r="Q13" s="29">
        <v>0</v>
      </c>
      <c r="R13" s="29">
        <f ca="1">ROUND(('TUSD BE'!$AM$41+'TUSD BF'!$AM$41+'TUSD CVA'!$AM$41)*(1-CUSTOS!$M$38),2)</f>
        <v>469.17</v>
      </c>
      <c r="S13" s="29">
        <f>ROUND(('TE BE'!$AB$25+'TE BF'!$AB$25+'TE CVA'!$AB$25)*(1-CUSTOS!$M$38),2)</f>
        <v>243.49</v>
      </c>
      <c r="T13" s="29">
        <v>0</v>
      </c>
      <c r="U13" s="29">
        <f ca="1">ROUND('TUSD BE'!$AM$41*(1-CUSTOS!$M$38),2)</f>
        <v>448.29</v>
      </c>
      <c r="V13" s="29">
        <f>ROUND('TE BE'!$AB$25*(1-CUSTOS!$M$38),2)</f>
        <v>214.79</v>
      </c>
    </row>
    <row r="14" spans="1:22" ht="11.25" customHeight="1" x14ac:dyDescent="0.25">
      <c r="A14" s="157"/>
      <c r="B14" s="157"/>
      <c r="C14" s="157"/>
      <c r="D14" s="31" t="s">
        <v>863</v>
      </c>
      <c r="E14" s="29">
        <v>0</v>
      </c>
      <c r="F14" s="29">
        <f ca="1">ROUND('TUSD BE'!$AM$14+'TUSD BF'!$AM$14+'TUSD CVA'!$AM$14,2)</f>
        <v>7.28</v>
      </c>
      <c r="G14" s="29">
        <v>0</v>
      </c>
      <c r="H14" s="29">
        <v>0</v>
      </c>
      <c r="I14" s="29">
        <f ca="1">ROUND('TUSD BE'!$AM$14,2)</f>
        <v>6.87</v>
      </c>
      <c r="J14" s="29">
        <v>0</v>
      </c>
      <c r="L14" s="161"/>
      <c r="M14" s="162"/>
      <c r="N14" s="162"/>
      <c r="O14" s="162"/>
      <c r="P14" s="31" t="s">
        <v>863</v>
      </c>
      <c r="Q14" s="29">
        <v>0</v>
      </c>
      <c r="R14" s="29">
        <f ca="1">ROUND(('TUSD BE'!$AM$42+'TUSD BF'!$AM$42+'TUSD CVA'!$AM$42)*(1-CUSTOS!$M$38),2)</f>
        <v>245.45</v>
      </c>
      <c r="S14" s="29">
        <f>ROUND(('TE BE'!$AB$26+'TE BF'!$AB$26+'TE CVA'!$AB$26)*(1-CUSTOS!$M$38),2)</f>
        <v>243.49</v>
      </c>
      <c r="T14" s="29">
        <v>0</v>
      </c>
      <c r="U14" s="29">
        <f ca="1">ROUND('TUSD BE'!$AM$42*(1-CUSTOS!$M$38),2)</f>
        <v>229.4</v>
      </c>
      <c r="V14" s="29">
        <f>ROUND('TE BE'!$AB$26*(1-CUSTOS!$M$38),2)</f>
        <v>214.79</v>
      </c>
    </row>
    <row r="15" spans="1:22" ht="11.25" customHeight="1" x14ac:dyDescent="0.25">
      <c r="A15" s="157"/>
      <c r="B15" s="31" t="s">
        <v>80</v>
      </c>
      <c r="C15" s="31" t="s">
        <v>25</v>
      </c>
      <c r="D15" s="31" t="s">
        <v>865</v>
      </c>
      <c r="E15" s="29">
        <f ca="1">ROUND('TUSD BE'!$AM$9+'TUSD BF'!$AM$9+'TUSD CVA'!$AM$9,2)</f>
        <v>5.78</v>
      </c>
      <c r="F15" s="29">
        <v>0</v>
      </c>
      <c r="G15" s="29">
        <v>0</v>
      </c>
      <c r="H15" s="29">
        <f ca="1">ROUND('TUSD BE'!$AM$9,2)</f>
        <v>5.78</v>
      </c>
      <c r="I15" s="29">
        <v>0</v>
      </c>
      <c r="J15" s="29">
        <v>0</v>
      </c>
      <c r="L15" s="161"/>
      <c r="M15" s="31" t="s">
        <v>871</v>
      </c>
      <c r="N15" s="31" t="s">
        <v>874</v>
      </c>
      <c r="O15" s="31" t="s">
        <v>875</v>
      </c>
      <c r="P15" s="31" t="s">
        <v>865</v>
      </c>
      <c r="Q15" s="29">
        <v>0</v>
      </c>
      <c r="R15" s="29">
        <f ca="1">ROUND(('TUSD BE'!$AM$52+'TUSD BF'!$AM$52+'TUSD CVA'!$AM$52)*(1-CUSTOS!$M$38),2)</f>
        <v>340.74</v>
      </c>
      <c r="S15" s="29">
        <f>ROUND(('TE BE'!$AB$36+'TE BF'!$AB$36+'TE CVA'!$AB$36)*(1-CUSTOS!$M$38),2)</f>
        <v>255.72</v>
      </c>
      <c r="T15" s="29">
        <v>0</v>
      </c>
      <c r="U15" s="29">
        <f ca="1">ROUND(('TUSD BE'!$AM$52)*(1-CUSTOS!$M$38),2)</f>
        <v>322.63</v>
      </c>
      <c r="V15" s="29">
        <f>ROUND(('TE BE'!$AB$36)*(1-CUSTOS!$M$38),2)</f>
        <v>226.27</v>
      </c>
    </row>
    <row r="16" spans="1:22" ht="11.25" customHeight="1" x14ac:dyDescent="0.25">
      <c r="A16" s="159" t="s">
        <v>33</v>
      </c>
      <c r="B16" s="159" t="s">
        <v>41</v>
      </c>
      <c r="C16" s="159" t="s">
        <v>25</v>
      </c>
      <c r="D16" s="31" t="s">
        <v>862</v>
      </c>
      <c r="E16" s="29">
        <f ca="1">ROUND('TUSD BE'!$AM$15+'TUSD BF'!$AM$15+'TUSD CVA'!$AM$15,2)</f>
        <v>42.42</v>
      </c>
      <c r="F16" s="29">
        <f ca="1">ROUND('TUSD BE'!$AM$17+'TUSD BF'!$AM$17+'TUSD CVA'!$AM$17,2)</f>
        <v>111.24</v>
      </c>
      <c r="G16" s="29">
        <f>ROUND('TE BE'!$AB$8+'TE BF'!$AB$8+'TE CVA'!$AB$8,2)</f>
        <v>415.05</v>
      </c>
      <c r="H16" s="29">
        <f ca="1">ROUND('TUSD BE'!$AM$15,2)</f>
        <v>40.97</v>
      </c>
      <c r="I16" s="29">
        <f ca="1">ROUND('TUSD BE'!$AM$17,2)</f>
        <v>99.21</v>
      </c>
      <c r="J16" s="29">
        <f>ROUND('TE BE'!$AB$8,2)</f>
        <v>375</v>
      </c>
      <c r="L16" s="161"/>
      <c r="M16" s="31" t="s">
        <v>873</v>
      </c>
      <c r="N16" s="31" t="s">
        <v>874</v>
      </c>
      <c r="O16" s="31" t="s">
        <v>875</v>
      </c>
      <c r="P16" s="31" t="s">
        <v>865</v>
      </c>
      <c r="Q16" s="29">
        <v>0</v>
      </c>
      <c r="R16" s="29">
        <f ca="1">ROUND(('TUSD BE'!$AM$43+'TUSD BF'!$AM$43+'TUSD CVA'!$AM$43)*(1-CUSTOS!$M$38),2)</f>
        <v>340.74</v>
      </c>
      <c r="S16" s="29">
        <f>ROUND(('TE BE'!$AB$27+'TE BF'!$AB$27+'TE CVA'!$AB$27)*(1-CUSTOS!$M$38),2)</f>
        <v>255.72</v>
      </c>
      <c r="T16" s="29">
        <v>0</v>
      </c>
      <c r="U16" s="29">
        <f ca="1">ROUND(('TUSD BE'!$AM$43)*(1-CUSTOS!$M$38),2)</f>
        <v>322.63</v>
      </c>
      <c r="V16" s="29">
        <f>ROUND(('TE BE'!$AB$27)*(1-CUSTOS!$M$38),2)</f>
        <v>226.27</v>
      </c>
    </row>
    <row r="17" spans="1:22" ht="11.25" customHeight="1" x14ac:dyDescent="0.25">
      <c r="A17" s="157"/>
      <c r="B17" s="157"/>
      <c r="C17" s="157"/>
      <c r="D17" s="31" t="s">
        <v>863</v>
      </c>
      <c r="E17" s="29">
        <f ca="1">ROUND('TUSD BE'!$AM$16+'TUSD BF'!$AM$16+'TUSD CVA'!$AM$16,2)</f>
        <v>16.52</v>
      </c>
      <c r="F17" s="29">
        <f ca="1">ROUND('TUSD BE'!$AM$17+'TUSD BF'!$AM$17+'TUSD CVA'!$AM$17,2)</f>
        <v>111.24</v>
      </c>
      <c r="G17" s="29">
        <f>ROUND('TE BE'!$AB$9+'TE BF'!$AB$9+'TE CVA'!$AB$9,2)</f>
        <v>259.04000000000002</v>
      </c>
      <c r="H17" s="29">
        <f ca="1">ROUND('TUSD BE'!$AM$16,2)</f>
        <v>15.89</v>
      </c>
      <c r="I17" s="29">
        <f ca="1">ROUND('TUSD BE'!$AM$17,2)</f>
        <v>99.21</v>
      </c>
      <c r="J17" s="29">
        <f>ROUND('TE BE'!$AB$9,2)</f>
        <v>228.5</v>
      </c>
      <c r="L17" s="161"/>
      <c r="M17" s="160" t="s">
        <v>868</v>
      </c>
      <c r="N17" s="160" t="s">
        <v>874</v>
      </c>
      <c r="O17" s="160" t="s">
        <v>876</v>
      </c>
      <c r="P17" s="31" t="s">
        <v>862</v>
      </c>
      <c r="Q17" s="29">
        <v>0</v>
      </c>
      <c r="R17" s="29">
        <f ca="1">ROUND(('TUSD BE'!$AM$44+'TUSD BF'!$AM$44+'TUSD CVA'!$AM$44)*(1-CUSTOS!$M$39),2)</f>
        <v>1252.18</v>
      </c>
      <c r="S17" s="29">
        <f>ROUND(('TE BE'!$AB$28+'TE BF'!$AB$28+'TE CVA'!$AB$28)*(1-CUSTOS!$M$39),2)</f>
        <v>390.15</v>
      </c>
      <c r="T17" s="29">
        <v>0</v>
      </c>
      <c r="U17" s="29">
        <f ca="1">ROUND('TUSD BE'!$AM$44*(1-CUSTOS!$M$39),2)</f>
        <v>1214.4000000000001</v>
      </c>
      <c r="V17" s="29">
        <f>ROUND('TE BE'!$AB$28*(1-CUSTOS!$M$39),2)</f>
        <v>352.5</v>
      </c>
    </row>
    <row r="18" spans="1:22" ht="11.25" customHeight="1" x14ac:dyDescent="0.25">
      <c r="A18" s="157"/>
      <c r="B18" s="159" t="s">
        <v>864</v>
      </c>
      <c r="C18" s="159" t="s">
        <v>25</v>
      </c>
      <c r="D18" s="31" t="s">
        <v>862</v>
      </c>
      <c r="E18" s="29">
        <f ca="1">ROUND('TUSD BE'!$AM$15+'TUSD BF'!$AM$15+'TUSD CVA'!$AM$15,2)</f>
        <v>42.42</v>
      </c>
      <c r="F18" s="29">
        <f ca="1">ROUND('TUSD BE'!$AM$18+'TUSD BF'!$AM$18+'TUSD CVA'!$AM$18,2)</f>
        <v>7.28</v>
      </c>
      <c r="G18" s="29">
        <v>0</v>
      </c>
      <c r="H18" s="29">
        <f ca="1">ROUND('TUSD BE'!$AM$15,2)</f>
        <v>40.97</v>
      </c>
      <c r="I18" s="29">
        <f ca="1">ROUND('TUSD BE'!$AM$18,2)</f>
        <v>6.87</v>
      </c>
      <c r="J18" s="29">
        <v>0</v>
      </c>
      <c r="L18" s="161"/>
      <c r="M18" s="161"/>
      <c r="N18" s="161"/>
      <c r="O18" s="161"/>
      <c r="P18" s="31" t="s">
        <v>870</v>
      </c>
      <c r="Q18" s="29">
        <v>0</v>
      </c>
      <c r="R18" s="29">
        <f ca="1">ROUND(('TUSD BE'!$AM$45+'TUSD BF'!$AM$45+'TUSD CVA'!$AM$45)*(1-CUSTOS!$M$39),2)</f>
        <v>469.17</v>
      </c>
      <c r="S18" s="29">
        <f>ROUND(('TE BE'!$AB$29+'TE BF'!$AB$29+'TE CVA'!$AB$29)*(1-CUSTOS!$M$39),2)</f>
        <v>243.49</v>
      </c>
      <c r="T18" s="29">
        <v>0</v>
      </c>
      <c r="U18" s="29">
        <f ca="1">ROUND('TUSD BE'!$AM$45*(1-CUSTOS!$M$39),2)</f>
        <v>448.29</v>
      </c>
      <c r="V18" s="29">
        <f>ROUND('TE BE'!$AB$29*(1-CUSTOS!$M$39),2)</f>
        <v>214.79</v>
      </c>
    </row>
    <row r="19" spans="1:22" ht="11.25" customHeight="1" x14ac:dyDescent="0.25">
      <c r="A19" s="157"/>
      <c r="B19" s="157"/>
      <c r="C19" s="157"/>
      <c r="D19" s="31" t="s">
        <v>863</v>
      </c>
      <c r="E19" s="29">
        <f ca="1">ROUND('TUSD BE'!$AM$16+'TUSD BF'!$AM$16+'TUSD CVA'!$AM$16,2)</f>
        <v>16.52</v>
      </c>
      <c r="F19" s="29">
        <f ca="1">ROUND('TUSD BE'!$AM$18+'TUSD BF'!$AM$18+'TUSD CVA'!$AM$18,2)</f>
        <v>7.28</v>
      </c>
      <c r="G19" s="29">
        <v>0</v>
      </c>
      <c r="H19" s="29">
        <f ca="1">ROUND('TUSD BE'!$AM$16,2)</f>
        <v>15.89</v>
      </c>
      <c r="I19" s="29">
        <f ca="1">ROUND('TUSD BE'!$AM$18,2)</f>
        <v>6.87</v>
      </c>
      <c r="J19" s="29">
        <v>0</v>
      </c>
      <c r="L19" s="161"/>
      <c r="M19" s="162"/>
      <c r="N19" s="162"/>
      <c r="O19" s="162"/>
      <c r="P19" s="31" t="s">
        <v>863</v>
      </c>
      <c r="Q19" s="29">
        <v>0</v>
      </c>
      <c r="R19" s="29">
        <f ca="1">ROUND(('TUSD BE'!$AM$46+'TUSD BF'!$AM$46+'TUSD CVA'!$AM$46)*(1-CUSTOS!$M$39),2)</f>
        <v>245.45</v>
      </c>
      <c r="S19" s="29">
        <f>ROUND(('TE BE'!$AB$30+'TE BF'!$AB$30+'TE CVA'!$AB$30)*(1-CUSTOS!$M$39),2)</f>
        <v>243.49</v>
      </c>
      <c r="T19" s="29">
        <v>0</v>
      </c>
      <c r="U19" s="29">
        <f ca="1">ROUND('TUSD BE'!$AM$46*(1-CUSTOS!$M$39),2)</f>
        <v>229.4</v>
      </c>
      <c r="V19" s="29">
        <f>ROUND('TE BE'!$AB$30*(1-CUSTOS!$M$39),2)</f>
        <v>214.79</v>
      </c>
    </row>
    <row r="20" spans="1:22" ht="11.25" customHeight="1" x14ac:dyDescent="0.25">
      <c r="A20" s="157"/>
      <c r="B20" s="159" t="s">
        <v>34</v>
      </c>
      <c r="C20" s="159" t="s">
        <v>25</v>
      </c>
      <c r="D20" s="31" t="s">
        <v>865</v>
      </c>
      <c r="E20" s="29">
        <f ca="1">ROUND('TUSD BE'!$AM$20+'TUSD BF'!$AM$20+'TUSD CVA'!$AM$20,2)</f>
        <v>16.52</v>
      </c>
      <c r="F20" s="29">
        <v>0</v>
      </c>
      <c r="G20" s="29">
        <v>0</v>
      </c>
      <c r="H20" s="29">
        <f ca="1">ROUND('TUSD BE'!$AM$20,2)</f>
        <v>15.89</v>
      </c>
      <c r="I20" s="29">
        <v>0</v>
      </c>
      <c r="J20" s="29">
        <v>0</v>
      </c>
      <c r="L20" s="161"/>
      <c r="M20" s="31" t="s">
        <v>871</v>
      </c>
      <c r="N20" s="31" t="s">
        <v>874</v>
      </c>
      <c r="O20" s="31" t="s">
        <v>876</v>
      </c>
      <c r="P20" s="31" t="s">
        <v>865</v>
      </c>
      <c r="Q20" s="29">
        <v>0</v>
      </c>
      <c r="R20" s="29">
        <f ca="1">ROUND(('TUSD BE'!$AM$52+'TUSD BF'!$AM$52+'TUSD CVA'!$AM$52)*(1-CUSTOS!$M$39),2)</f>
        <v>340.74</v>
      </c>
      <c r="S20" s="29">
        <f>ROUND(('TE BE'!$AB$36+'TE BF'!$AB$36+'TE CVA'!$AB$36)*(1-CUSTOS!$M$39),2)</f>
        <v>255.72</v>
      </c>
      <c r="T20" s="29">
        <v>0</v>
      </c>
      <c r="U20" s="29">
        <f ca="1">ROUND(('TUSD BE'!$AM$52)*(1-CUSTOS!$M$39),2)</f>
        <v>322.63</v>
      </c>
      <c r="V20" s="29">
        <f>ROUND(('TE BE'!$AB$36)*(1-CUSTOS!$M$39),2)</f>
        <v>226.27</v>
      </c>
    </row>
    <row r="21" spans="1:22" ht="11.25" customHeight="1" x14ac:dyDescent="0.25">
      <c r="A21" s="157"/>
      <c r="B21" s="157"/>
      <c r="C21" s="157"/>
      <c r="D21" s="31" t="s">
        <v>862</v>
      </c>
      <c r="E21" s="29">
        <v>0</v>
      </c>
      <c r="F21" s="29">
        <f ca="1">ROUND('TUSD BE'!$AM$21+'TUSD BF'!$AM$21+'TUSD CVA'!$AM$21,2)</f>
        <v>1146.3800000000001</v>
      </c>
      <c r="G21" s="29">
        <f>ROUND('TE BE'!$AB$8+'TE BF'!$AB$8+'TE CVA'!$AB$8,2)</f>
        <v>415.05</v>
      </c>
      <c r="H21" s="29">
        <v>0</v>
      </c>
      <c r="I21" s="29">
        <f ca="1">ROUND('TUSD BE'!$AM$21,2)</f>
        <v>1099.45</v>
      </c>
      <c r="J21" s="29">
        <f>ROUND('TE BE'!$AB$8,2)</f>
        <v>375</v>
      </c>
      <c r="L21" s="161"/>
      <c r="M21" s="31" t="s">
        <v>873</v>
      </c>
      <c r="N21" s="31" t="s">
        <v>874</v>
      </c>
      <c r="O21" s="31" t="s">
        <v>876</v>
      </c>
      <c r="P21" s="31" t="s">
        <v>865</v>
      </c>
      <c r="Q21" s="29">
        <v>0</v>
      </c>
      <c r="R21" s="29">
        <f ca="1">ROUND(('TUSD BE'!$AM$43+'TUSD BF'!$AM$43+'TUSD CVA'!$AM$43)*(1-CUSTOS!$M$39),2)</f>
        <v>340.74</v>
      </c>
      <c r="S21" s="29">
        <f>ROUND(('TE BE'!$AB$27+'TE BF'!$AB$27+'TE CVA'!$AB$27)*(1-CUSTOS!$M$39),2)</f>
        <v>255.72</v>
      </c>
      <c r="T21" s="29">
        <v>0</v>
      </c>
      <c r="U21" s="29">
        <f ca="1">ROUND(('TUSD BE'!$AM$43)*(1-CUSTOS!$M$39),2)</f>
        <v>322.63</v>
      </c>
      <c r="V21" s="29">
        <f>ROUND(('TE BE'!$AB$27)*(1-CUSTOS!$M$39),2)</f>
        <v>226.27</v>
      </c>
    </row>
    <row r="22" spans="1:22" ht="11.25" customHeight="1" x14ac:dyDescent="0.25">
      <c r="A22" s="157"/>
      <c r="B22" s="157"/>
      <c r="C22" s="157"/>
      <c r="D22" s="31" t="s">
        <v>863</v>
      </c>
      <c r="E22" s="29">
        <v>0</v>
      </c>
      <c r="F22" s="29">
        <f ca="1">ROUND('TUSD BE'!$AM$22+'TUSD BF'!$AM$22+'TUSD CVA'!$AM$22,2)</f>
        <v>111.24</v>
      </c>
      <c r="G22" s="29">
        <f>ROUND('TE BE'!$AB$9+'TE BF'!$AB$9+'TE CVA'!$AB$9,2)</f>
        <v>259.04000000000002</v>
      </c>
      <c r="H22" s="29">
        <v>0</v>
      </c>
      <c r="I22" s="29">
        <f ca="1">ROUND('TUSD BE'!$AM$22,2)</f>
        <v>99.21</v>
      </c>
      <c r="J22" s="29">
        <f>ROUND('TE BE'!$AB$9,2)</f>
        <v>228.5</v>
      </c>
      <c r="L22" s="161"/>
      <c r="M22" s="160" t="s">
        <v>868</v>
      </c>
      <c r="N22" s="160" t="s">
        <v>874</v>
      </c>
      <c r="O22" s="160" t="s">
        <v>877</v>
      </c>
      <c r="P22" s="31" t="s">
        <v>862</v>
      </c>
      <c r="Q22" s="29">
        <v>0</v>
      </c>
      <c r="R22" s="29">
        <f ca="1">ROUND(('TUSD BE'!$AM$48+'TUSD BF'!$AM$48+'TUSD CVA'!$AM$48)*(1-CUSTOS!$M$40),2)</f>
        <v>1225.54</v>
      </c>
      <c r="S22" s="29">
        <f>ROUND(('TE BE'!$AB$32+'TE BF'!$AB$32+'TE CVA'!$AB$32)*(1-CUSTOS!$M$40),2)</f>
        <v>381.85</v>
      </c>
      <c r="T22" s="29">
        <v>0</v>
      </c>
      <c r="U22" s="29">
        <f ca="1">ROUND('TUSD BE'!$AM$48*(1-CUSTOS!$M$40),2)</f>
        <v>1188.56</v>
      </c>
      <c r="V22" s="29">
        <f>ROUND('TE BE'!$AB$32*(1-CUSTOS!$M$40),2)</f>
        <v>345</v>
      </c>
    </row>
    <row r="23" spans="1:22" ht="11.25" customHeight="1" x14ac:dyDescent="0.25">
      <c r="A23" s="157"/>
      <c r="B23" s="159" t="s">
        <v>866</v>
      </c>
      <c r="C23" s="159" t="s">
        <v>25</v>
      </c>
      <c r="D23" s="31" t="s">
        <v>865</v>
      </c>
      <c r="E23" s="29">
        <f ca="1">ROUND('TUSD BE'!$AM$20+'TUSD BF'!$AM$20+'TUSD CVA'!$AM$20,2)</f>
        <v>16.52</v>
      </c>
      <c r="F23" s="29">
        <v>0</v>
      </c>
      <c r="G23" s="29">
        <v>0</v>
      </c>
      <c r="H23" s="29">
        <f ca="1">ROUND('TUSD BE'!$AM$20,2)</f>
        <v>15.89</v>
      </c>
      <c r="I23" s="29">
        <v>0</v>
      </c>
      <c r="J23" s="29">
        <v>0</v>
      </c>
      <c r="L23" s="161"/>
      <c r="M23" s="161"/>
      <c r="N23" s="161"/>
      <c r="O23" s="161"/>
      <c r="P23" s="31" t="s">
        <v>870</v>
      </c>
      <c r="Q23" s="29">
        <v>0</v>
      </c>
      <c r="R23" s="29">
        <f ca="1">ROUND(('TUSD BE'!$AM$49+'TUSD BF'!$AM$49+'TUSD CVA'!$AM$49)*(1-CUSTOS!$M$40),2)</f>
        <v>459.19</v>
      </c>
      <c r="S23" s="29">
        <f>ROUND(('TE BE'!$AB$33+'TE BF'!$AB$33+'TE CVA'!$AB$33)*(1-CUSTOS!$M$40),2)</f>
        <v>238.31</v>
      </c>
      <c r="T23" s="29">
        <v>0</v>
      </c>
      <c r="U23" s="29">
        <f ca="1">ROUND('TUSD BE'!$AM$49*(1-CUSTOS!$M$40),2)</f>
        <v>438.75</v>
      </c>
      <c r="V23" s="29">
        <f>ROUND('TE BE'!$AB$33*(1-CUSTOS!$M$40),2)</f>
        <v>210.22</v>
      </c>
    </row>
    <row r="24" spans="1:22" ht="11.25" customHeight="1" x14ac:dyDescent="0.25">
      <c r="A24" s="157"/>
      <c r="B24" s="157"/>
      <c r="C24" s="157"/>
      <c r="D24" s="31" t="s">
        <v>862</v>
      </c>
      <c r="E24" s="29">
        <v>0</v>
      </c>
      <c r="F24" s="29">
        <f ca="1">ROUND('TUSD BE'!$AM$23+'TUSD BF'!$AM$23+'TUSD CVA'!$AM$23,2)</f>
        <v>1042.42</v>
      </c>
      <c r="G24" s="29">
        <v>0</v>
      </c>
      <c r="H24" s="29">
        <v>0</v>
      </c>
      <c r="I24" s="29">
        <f ca="1">ROUND('TUSD BE'!$AM$23,2)</f>
        <v>1007.1</v>
      </c>
      <c r="J24" s="29">
        <v>0</v>
      </c>
      <c r="L24" s="161"/>
      <c r="M24" s="162"/>
      <c r="N24" s="162"/>
      <c r="O24" s="162"/>
      <c r="P24" s="31" t="s">
        <v>863</v>
      </c>
      <c r="Q24" s="29">
        <v>0</v>
      </c>
      <c r="R24" s="29">
        <f ca="1">ROUND(('TUSD BE'!$AM$50+'TUSD BF'!$AM$50+'TUSD CVA'!$AM$50)*(1-CUSTOS!$M$40),2)</f>
        <v>240.23</v>
      </c>
      <c r="S24" s="29">
        <f>ROUND(('TE BE'!$AB$34+'TE BF'!$AB$34+'TE CVA'!$AB$34)*(1-CUSTOS!$M$40),2)</f>
        <v>238.31</v>
      </c>
      <c r="T24" s="29">
        <v>0</v>
      </c>
      <c r="U24" s="29">
        <f ca="1">ROUND('TUSD BE'!$AM$50*(1-CUSTOS!$M$40),2)</f>
        <v>224.52</v>
      </c>
      <c r="V24" s="29">
        <f>ROUND('TE BE'!$AB$34*(1-CUSTOS!$M$40),2)</f>
        <v>210.22</v>
      </c>
    </row>
    <row r="25" spans="1:22" ht="11.25" customHeight="1" x14ac:dyDescent="0.25">
      <c r="A25" s="157"/>
      <c r="B25" s="157"/>
      <c r="C25" s="157"/>
      <c r="D25" s="31" t="s">
        <v>863</v>
      </c>
      <c r="E25" s="29">
        <v>0</v>
      </c>
      <c r="F25" s="29">
        <f ca="1">ROUND('TUSD BE'!$AM$24+'TUSD BF'!$AM$24+'TUSD CVA'!$AM$24,2)</f>
        <v>7.28</v>
      </c>
      <c r="G25" s="29">
        <v>0</v>
      </c>
      <c r="H25" s="29">
        <v>0</v>
      </c>
      <c r="I25" s="29">
        <f ca="1">ROUND('TUSD BE'!$AM$24,2)</f>
        <v>6.87</v>
      </c>
      <c r="J25" s="29">
        <v>0</v>
      </c>
      <c r="L25" s="161"/>
      <c r="M25" s="31" t="s">
        <v>871</v>
      </c>
      <c r="N25" s="31" t="s">
        <v>874</v>
      </c>
      <c r="O25" s="31" t="s">
        <v>877</v>
      </c>
      <c r="P25" s="31" t="s">
        <v>865</v>
      </c>
      <c r="Q25" s="29">
        <v>0</v>
      </c>
      <c r="R25" s="29">
        <f ca="1">ROUND(('TUSD BE'!$AM$52+'TUSD BF'!$AM$52+'TUSD CVA'!$AM$52)*(1-CUSTOS!$M$40),2)</f>
        <v>333.49</v>
      </c>
      <c r="S25" s="29">
        <f>ROUND(('TE BE'!$AB$36+'TE BF'!$AB$36+'TE CVA'!$AB$36)*(1-CUSTOS!$M$40),2)</f>
        <v>250.28</v>
      </c>
      <c r="T25" s="29">
        <v>0</v>
      </c>
      <c r="U25" s="29">
        <f ca="1">ROUND(('TUSD BE'!$AM$52)*(1-CUSTOS!$M$40),2)</f>
        <v>315.77</v>
      </c>
      <c r="V25" s="29">
        <f>ROUND(('TE BE'!$AB$36)*(1-CUSTOS!$M$40),2)</f>
        <v>221.45</v>
      </c>
    </row>
    <row r="26" spans="1:22" ht="11.25" customHeight="1" x14ac:dyDescent="0.25">
      <c r="A26" s="157"/>
      <c r="B26" s="31" t="s">
        <v>80</v>
      </c>
      <c r="C26" s="31" t="s">
        <v>25</v>
      </c>
      <c r="D26" s="31" t="s">
        <v>865</v>
      </c>
      <c r="E26" s="29">
        <f ca="1">ROUND('TUSD BE'!$AM$19+'TUSD BF'!$AM$19+'TUSD CVA'!$AM$19,2)</f>
        <v>5.78</v>
      </c>
      <c r="F26" s="29">
        <v>0</v>
      </c>
      <c r="G26" s="29">
        <v>0</v>
      </c>
      <c r="H26" s="29">
        <f ca="1">ROUND('TUSD BE'!$AM$19,2)</f>
        <v>5.78</v>
      </c>
      <c r="I26" s="29">
        <v>0</v>
      </c>
      <c r="J26" s="29">
        <v>0</v>
      </c>
      <c r="L26" s="162"/>
      <c r="M26" s="31" t="s">
        <v>873</v>
      </c>
      <c r="N26" s="31" t="s">
        <v>874</v>
      </c>
      <c r="O26" s="31" t="s">
        <v>877</v>
      </c>
      <c r="P26" s="31" t="s">
        <v>865</v>
      </c>
      <c r="Q26" s="29">
        <v>0</v>
      </c>
      <c r="R26" s="29">
        <f ca="1">ROUND(('TUSD BE'!$AM$43+'TUSD BF'!$AM$43+'TUSD CVA'!$AM$43)*(1-CUSTOS!$M$40),2)</f>
        <v>333.49</v>
      </c>
      <c r="S26" s="29">
        <f>ROUND(('TE BE'!$AB$27+'TE BF'!$AB$27+'TE CVA'!$AB$27)*(1-CUSTOS!$M$40),2)</f>
        <v>250.28</v>
      </c>
      <c r="T26" s="29">
        <v>0</v>
      </c>
      <c r="U26" s="29">
        <f ca="1">ROUND(('TUSD BE'!$AM$43)*(1-CUSTOS!$M$40),2)</f>
        <v>315.77</v>
      </c>
      <c r="V26" s="29">
        <f>ROUND(('TE BE'!$AB$27)*(1-CUSTOS!$M$40),2)</f>
        <v>221.45</v>
      </c>
    </row>
    <row r="27" spans="1:22" ht="11.25" customHeight="1" x14ac:dyDescent="0.25">
      <c r="L27" s="160" t="s">
        <v>39</v>
      </c>
      <c r="M27" s="160" t="s">
        <v>868</v>
      </c>
      <c r="N27" s="160" t="s">
        <v>865</v>
      </c>
      <c r="O27" s="160" t="s">
        <v>865</v>
      </c>
      <c r="P27" s="31" t="s">
        <v>862</v>
      </c>
      <c r="Q27" s="29">
        <v>0</v>
      </c>
      <c r="R27" s="29">
        <f ca="1">ROUND(('TUSD BE'!$AM$55+'TUSD BF'!$AM$55+'TUSD CVA'!$AM$55)*(1-CUSTOS!$M$31),2)</f>
        <v>913.41</v>
      </c>
      <c r="S27" s="29">
        <f>ROUND(('TE BE'!$AB$39+'TE BF'!$AB$39+'TE CVA'!$AB$39)*(1-CUSTOS!$M$31),2)</f>
        <v>415.05</v>
      </c>
      <c r="T27" s="29">
        <v>0</v>
      </c>
      <c r="U27" s="29">
        <f ca="1">ROUND('TUSD BE'!$AM$55*(1-CUSTOS!$M$31),2)</f>
        <v>882.26</v>
      </c>
      <c r="V27" s="29">
        <f>ROUND('TE BE'!$AB$39*(1-CUSTOS!$M$31),2)</f>
        <v>375</v>
      </c>
    </row>
    <row r="28" spans="1:22" ht="11.25" customHeight="1" x14ac:dyDescent="0.25">
      <c r="L28" s="161"/>
      <c r="M28" s="161"/>
      <c r="N28" s="161"/>
      <c r="O28" s="161"/>
      <c r="P28" s="31" t="s">
        <v>870</v>
      </c>
      <c r="Q28" s="29">
        <v>0</v>
      </c>
      <c r="R28" s="29">
        <f ca="1">ROUND(('TUSD BE'!$AM$56+'TUSD BF'!$AM$56+'TUSD CVA'!$AM$56)*(1-CUSTOS!$M$31),2)</f>
        <v>296.38</v>
      </c>
      <c r="S28" s="29">
        <f>ROUND(('TE BE'!$AB$40+'TE BF'!$AB$40+'TE CVA'!$AB$40)*(1-CUSTOS!$M$31),2)</f>
        <v>259.04000000000002</v>
      </c>
      <c r="T28" s="29">
        <v>0</v>
      </c>
      <c r="U28" s="29">
        <f ca="1">ROUND('TUSD BE'!$AM$56*(1-CUSTOS!$M$31),2)</f>
        <v>278.55</v>
      </c>
      <c r="V28" s="29">
        <f>ROUND('TE BE'!$AB$40*(1-CUSTOS!$M$31),2)</f>
        <v>228.5</v>
      </c>
    </row>
    <row r="29" spans="1:22" ht="11.25" customHeight="1" x14ac:dyDescent="0.25">
      <c r="L29" s="161"/>
      <c r="M29" s="162"/>
      <c r="N29" s="162"/>
      <c r="O29" s="162"/>
      <c r="P29" s="31" t="s">
        <v>863</v>
      </c>
      <c r="Q29" s="29">
        <v>0</v>
      </c>
      <c r="R29" s="29">
        <f ca="1">ROUND(('TUSD BE'!$AM$57+'TUSD BF'!$AM$57+'TUSD CVA'!$AM$57)*(1-CUSTOS!$M$31),2)</f>
        <v>296.38</v>
      </c>
      <c r="S29" s="29">
        <f>ROUND(('TE BE'!$AB$41+'TE BF'!$AB$41+'TE CVA'!$AB$41)*(1-CUSTOS!$M$31),2)</f>
        <v>259.04000000000002</v>
      </c>
      <c r="T29" s="29">
        <v>0</v>
      </c>
      <c r="U29" s="29">
        <f ca="1">ROUND('TUSD BE'!$AM$57*(1-CUSTOS!$M$31),2)</f>
        <v>278.55</v>
      </c>
      <c r="V29" s="29">
        <f>ROUND('TE BE'!$AB$41*(1-CUSTOS!$M$31),2)</f>
        <v>228.5</v>
      </c>
    </row>
    <row r="30" spans="1:22" ht="11.25" customHeight="1" x14ac:dyDescent="0.25">
      <c r="L30" s="161"/>
      <c r="M30" s="31" t="s">
        <v>871</v>
      </c>
      <c r="N30" s="31" t="s">
        <v>865</v>
      </c>
      <c r="O30" s="31" t="s">
        <v>865</v>
      </c>
      <c r="P30" s="31" t="s">
        <v>865</v>
      </c>
      <c r="Q30" s="29">
        <v>0</v>
      </c>
      <c r="R30" s="29">
        <f ca="1">ROUND(('TUSD BE'!$AM$59+'TUSD BF'!$AM$59+'TUSD CVA'!$AM$59)*(1-CUSTOS!$M$31),2)</f>
        <v>362.49</v>
      </c>
      <c r="S30" s="29">
        <f>ROUND(('TE BE'!$AB$43+'TE BF'!$AB$43+'TE CVA'!$AB$43)*(1-CUSTOS!$M$31),2)</f>
        <v>272.04000000000002</v>
      </c>
      <c r="T30" s="29">
        <v>0</v>
      </c>
      <c r="U30" s="29">
        <f ca="1">ROUND(('TUSD BE'!$AM$59)*(1-CUSTOS!$M$31),2)</f>
        <v>343.23</v>
      </c>
      <c r="V30" s="29">
        <f>ROUND(('TE BE'!$AB$43)*(1-CUSTOS!$M$31),2)</f>
        <v>240.71</v>
      </c>
    </row>
    <row r="31" spans="1:22" ht="11.25" customHeight="1" x14ac:dyDescent="0.25">
      <c r="L31" s="162"/>
      <c r="M31" s="31" t="s">
        <v>873</v>
      </c>
      <c r="N31" s="31" t="s">
        <v>865</v>
      </c>
      <c r="O31" s="31" t="s">
        <v>865</v>
      </c>
      <c r="P31" s="31" t="s">
        <v>865</v>
      </c>
      <c r="Q31" s="29">
        <v>0</v>
      </c>
      <c r="R31" s="29">
        <f ca="1">ROUND(('TUSD BE'!$AM$58+'TUSD BF'!$AM$58+'TUSD CVA'!$AM$58)*(1-CUSTOS!$M$31),2)</f>
        <v>362.49</v>
      </c>
      <c r="S31" s="29">
        <f>ROUND(('TE BE'!$AB$42+'TE BF'!$AB$42+'TE CVA'!$AB$42)*(1-CUSTOS!$M$31),2)</f>
        <v>272.04000000000002</v>
      </c>
      <c r="T31" s="29">
        <v>0</v>
      </c>
      <c r="U31" s="29">
        <f ca="1">ROUND(('TUSD BE'!$AM$58)*(1-CUSTOS!$M$31),2)</f>
        <v>343.23</v>
      </c>
      <c r="V31" s="29">
        <f>ROUND(('TE BE'!$AB$42)*(1-CUSTOS!$M$31),2)</f>
        <v>240.71</v>
      </c>
    </row>
    <row r="32" spans="1:22" ht="11.25" customHeight="1" x14ac:dyDescent="0.25">
      <c r="L32" s="160" t="s">
        <v>47</v>
      </c>
      <c r="M32" s="160" t="s">
        <v>873</v>
      </c>
      <c r="N32" s="160" t="s">
        <v>878</v>
      </c>
      <c r="O32" s="31" t="s">
        <v>879</v>
      </c>
      <c r="P32" s="31" t="s">
        <v>865</v>
      </c>
      <c r="Q32" s="29">
        <v>0</v>
      </c>
      <c r="R32" s="29">
        <f ca="1">ROUND(('TUSD BE'!$AM$60+'TUSD BF'!$AM$60+'TUSD CVA'!$AM$60),2)</f>
        <v>199.37</v>
      </c>
      <c r="S32" s="29">
        <f>ROUND(('TE BE'!$AB$44+'TE BF'!$AB$44+'TE CVA'!$AB$44),2)</f>
        <v>149.62</v>
      </c>
      <c r="T32" s="29">
        <v>0</v>
      </c>
      <c r="U32" s="29">
        <f ca="1">ROUND(('TUSD BE'!$AM$60),2)</f>
        <v>188.78</v>
      </c>
      <c r="V32" s="29">
        <f>ROUND(('TE BE'!$AB$44),2)</f>
        <v>132.38999999999999</v>
      </c>
    </row>
    <row r="33" spans="12:22" ht="11.25" customHeight="1" x14ac:dyDescent="0.25">
      <c r="L33" s="162"/>
      <c r="M33" s="162"/>
      <c r="N33" s="162"/>
      <c r="O33" s="31" t="s">
        <v>880</v>
      </c>
      <c r="P33" s="31" t="s">
        <v>865</v>
      </c>
      <c r="Q33" s="29">
        <v>0</v>
      </c>
      <c r="R33" s="29">
        <f ca="1">ROUND(('TUSD BE'!$AM$61+'TUSD BF'!$AM$61+'TUSD CVA'!$AM$61),2)</f>
        <v>217.49</v>
      </c>
      <c r="S33" s="29">
        <f>ROUND(('TE BE'!$AB$45+'TE BF'!$AB$45+'TE CVA'!$AB$45),2)</f>
        <v>163.22</v>
      </c>
      <c r="T33" s="29">
        <v>0</v>
      </c>
      <c r="U33" s="29">
        <f ca="1">ROUND(('TUSD BE'!$AM$61),2)</f>
        <v>205.94</v>
      </c>
      <c r="V33" s="29">
        <f>ROUND(('TE BE'!$AB$45),2)</f>
        <v>144.43</v>
      </c>
    </row>
    <row r="34" spans="12:22" ht="11.25" customHeight="1" x14ac:dyDescent="0.25">
      <c r="L34" s="160" t="s">
        <v>81</v>
      </c>
      <c r="M34" s="160" t="s">
        <v>881</v>
      </c>
      <c r="N34" s="31" t="s">
        <v>82</v>
      </c>
      <c r="O34" s="31" t="s">
        <v>865</v>
      </c>
      <c r="P34" s="31" t="s">
        <v>865</v>
      </c>
      <c r="Q34" s="29">
        <f ca="1">ROUND(('TUSD BE'!$AM$25+'TUSD BF'!$AM$25+'TUSD CVA'!$AM$25),2)</f>
        <v>3.21</v>
      </c>
      <c r="R34" s="29">
        <v>0</v>
      </c>
      <c r="S34" s="29">
        <v>0</v>
      </c>
      <c r="T34" s="29">
        <f ca="1">ROUND(('TUSD BE'!$AM$25),2)</f>
        <v>3.21</v>
      </c>
      <c r="U34" s="29">
        <v>0</v>
      </c>
      <c r="V34" s="29">
        <v>0</v>
      </c>
    </row>
    <row r="35" spans="12:22" ht="11.25" customHeight="1" x14ac:dyDescent="0.25">
      <c r="L35" s="162"/>
      <c r="M35" s="162"/>
      <c r="N35" s="31" t="s">
        <v>83</v>
      </c>
      <c r="O35" s="31" t="s">
        <v>865</v>
      </c>
      <c r="P35" s="31" t="s">
        <v>865</v>
      </c>
      <c r="Q35" s="29">
        <f ca="1">ROUND(('TUSD BE'!$AM$26+'TUSD BF'!$AM$26+'TUSD CVA'!$AM$26),2)</f>
        <v>10.48</v>
      </c>
      <c r="R35" s="29">
        <v>0</v>
      </c>
      <c r="S35" s="29">
        <v>0</v>
      </c>
      <c r="T35" s="29">
        <f ca="1">ROUND(('TUSD BE'!$AM$26),2)</f>
        <v>10.48</v>
      </c>
      <c r="U35" s="29">
        <v>0</v>
      </c>
      <c r="V35" s="29">
        <v>0</v>
      </c>
    </row>
  </sheetData>
  <mergeCells count="60">
    <mergeCell ref="N32:N33"/>
    <mergeCell ref="O5:O7"/>
    <mergeCell ref="O12:O14"/>
    <mergeCell ref="O17:O19"/>
    <mergeCell ref="O22:O24"/>
    <mergeCell ref="O27:O29"/>
    <mergeCell ref="L34:L35"/>
    <mergeCell ref="M5:M7"/>
    <mergeCell ref="M12:M14"/>
    <mergeCell ref="M17:M19"/>
    <mergeCell ref="M22:M24"/>
    <mergeCell ref="M27:M29"/>
    <mergeCell ref="M32:M33"/>
    <mergeCell ref="M34:M35"/>
    <mergeCell ref="L32:L33"/>
    <mergeCell ref="T2:V2"/>
    <mergeCell ref="T3:U3"/>
    <mergeCell ref="L5:L11"/>
    <mergeCell ref="L12:L26"/>
    <mergeCell ref="L27:L31"/>
    <mergeCell ref="N5:N7"/>
    <mergeCell ref="N12:N14"/>
    <mergeCell ref="N17:N19"/>
    <mergeCell ref="N22:N24"/>
    <mergeCell ref="N27:N29"/>
    <mergeCell ref="C20:C22"/>
    <mergeCell ref="C23:C25"/>
    <mergeCell ref="L1:V1"/>
    <mergeCell ref="L2:L4"/>
    <mergeCell ref="M2:M4"/>
    <mergeCell ref="N2:N4"/>
    <mergeCell ref="O2:O4"/>
    <mergeCell ref="P2:P4"/>
    <mergeCell ref="Q2:S2"/>
    <mergeCell ref="Q3:R3"/>
    <mergeCell ref="C5:C6"/>
    <mergeCell ref="C7:C8"/>
    <mergeCell ref="C9:C11"/>
    <mergeCell ref="C12:C14"/>
    <mergeCell ref="C16:C17"/>
    <mergeCell ref="C18:C19"/>
    <mergeCell ref="A5:A15"/>
    <mergeCell ref="A16:A26"/>
    <mergeCell ref="B5:B6"/>
    <mergeCell ref="B7:B8"/>
    <mergeCell ref="B9:B11"/>
    <mergeCell ref="B12:B14"/>
    <mergeCell ref="B16:B17"/>
    <mergeCell ref="B18:B19"/>
    <mergeCell ref="B20:B22"/>
    <mergeCell ref="B23:B25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3BE7-58AB-4728-83B1-97AC00199792}">
  <dimension ref="A1:AN987"/>
  <sheetViews>
    <sheetView showGridLines="0" topLeftCell="AB1" workbookViewId="0">
      <selection activeCell="AN25" sqref="AN25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54" t="s">
        <v>8</v>
      </c>
      <c r="J1" s="30" t="s">
        <v>828</v>
      </c>
      <c r="K1" s="30" t="s">
        <v>829</v>
      </c>
      <c r="L1" s="30" t="s">
        <v>830</v>
      </c>
      <c r="M1" s="30" t="s">
        <v>831</v>
      </c>
      <c r="N1" s="30" t="s">
        <v>832</v>
      </c>
      <c r="O1" s="30" t="s">
        <v>833</v>
      </c>
      <c r="P1" s="7"/>
      <c r="Q1" s="155" t="s">
        <v>834</v>
      </c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L1" s="34" t="s">
        <v>855</v>
      </c>
      <c r="AM1" s="34" t="s">
        <v>58</v>
      </c>
      <c r="AN1" s="34" t="s">
        <v>856</v>
      </c>
    </row>
    <row r="2" spans="1:40" ht="11.25" customHeight="1" x14ac:dyDescent="0.2">
      <c r="A2" s="35" t="s">
        <v>28</v>
      </c>
      <c r="B2" s="35" t="s">
        <v>42</v>
      </c>
      <c r="C2" s="35" t="s">
        <v>34</v>
      </c>
      <c r="D2" s="35" t="s">
        <v>43</v>
      </c>
      <c r="E2" s="35" t="s">
        <v>25</v>
      </c>
      <c r="F2" s="35" t="s">
        <v>25</v>
      </c>
      <c r="G2" s="35" t="s">
        <v>25</v>
      </c>
      <c r="H2" s="35" t="s">
        <v>35</v>
      </c>
      <c r="I2" s="55">
        <v>44562</v>
      </c>
      <c r="J2" s="56">
        <f>EFEITO!$J$2*EFEITO!$Y$2</f>
        <v>0</v>
      </c>
      <c r="K2" s="56">
        <f ca="1">EFEITO!$L$2*EFEITO!$Z$2</f>
        <v>0.22247300142712201</v>
      </c>
      <c r="L2" s="56">
        <f>EFEITO!$N$2*EFEITO!$AA$2</f>
        <v>0.5180735504496351</v>
      </c>
      <c r="M2" s="56">
        <f>$J$2-EFEITO!$K$2*EFEITO!$Y$2</f>
        <v>0</v>
      </c>
      <c r="N2" s="56">
        <f ca="1">$K$2-EFEITO!$M$2*EFEITO!$Z$2</f>
        <v>0</v>
      </c>
      <c r="O2" s="56">
        <f>$L$2-EFEITO!$O$2*EFEITO!$AA$2</f>
        <v>0</v>
      </c>
      <c r="P2" s="39"/>
      <c r="Q2" s="28" t="s">
        <v>61</v>
      </c>
      <c r="R2" s="28" t="s">
        <v>836</v>
      </c>
      <c r="S2" s="28" t="s">
        <v>837</v>
      </c>
      <c r="T2" s="28" t="s">
        <v>838</v>
      </c>
      <c r="U2" s="28" t="s">
        <v>839</v>
      </c>
      <c r="V2" s="28" t="s">
        <v>840</v>
      </c>
      <c r="W2" s="28" t="s">
        <v>841</v>
      </c>
      <c r="X2" s="57" t="s">
        <v>842</v>
      </c>
      <c r="Y2" s="57" t="s">
        <v>843</v>
      </c>
      <c r="Z2" s="57" t="s">
        <v>844</v>
      </c>
      <c r="AA2" s="57" t="s">
        <v>845</v>
      </c>
      <c r="AB2" s="57" t="s">
        <v>846</v>
      </c>
      <c r="AC2" s="57" t="s">
        <v>847</v>
      </c>
      <c r="AD2" s="57" t="s">
        <v>848</v>
      </c>
      <c r="AE2" s="57" t="s">
        <v>849</v>
      </c>
      <c r="AF2" s="57" t="s">
        <v>850</v>
      </c>
      <c r="AG2" s="57" t="s">
        <v>851</v>
      </c>
      <c r="AH2" s="57" t="s">
        <v>852</v>
      </c>
      <c r="AI2" s="57" t="s">
        <v>853</v>
      </c>
      <c r="AJ2" s="57" t="s">
        <v>854</v>
      </c>
      <c r="AL2" s="35"/>
      <c r="AM2" s="35"/>
      <c r="AN2" s="35"/>
    </row>
    <row r="3" spans="1:40" ht="11.25" customHeight="1" x14ac:dyDescent="0.2">
      <c r="A3" s="35" t="s">
        <v>28</v>
      </c>
      <c r="B3" s="35" t="s">
        <v>42</v>
      </c>
      <c r="C3" s="35" t="s">
        <v>34</v>
      </c>
      <c r="D3" s="35" t="s">
        <v>43</v>
      </c>
      <c r="E3" s="35" t="s">
        <v>25</v>
      </c>
      <c r="F3" s="35" t="s">
        <v>25</v>
      </c>
      <c r="G3" s="35" t="s">
        <v>25</v>
      </c>
      <c r="H3" s="35" t="s">
        <v>35</v>
      </c>
      <c r="I3" s="55">
        <v>44621</v>
      </c>
      <c r="J3" s="56">
        <f>EFEITO!$J$3*EFEITO!$Y$3</f>
        <v>0</v>
      </c>
      <c r="K3" s="56">
        <f ca="1">EFEITO!$L$3*EFEITO!$Z$3</f>
        <v>0.111236500713561</v>
      </c>
      <c r="L3" s="56">
        <f>EFEITO!$N$3*EFEITO!$AA$3</f>
        <v>0.25903677522481755</v>
      </c>
      <c r="M3" s="56">
        <f>$J$3-EFEITO!$K$3*EFEITO!$Y$3</f>
        <v>0</v>
      </c>
      <c r="N3" s="56">
        <f ca="1">$K$3-EFEITO!$M$3*EFEITO!$Z$3</f>
        <v>0</v>
      </c>
      <c r="O3" s="56">
        <f>$L$3-EFEITO!$O$3*EFEITO!$AA$3</f>
        <v>0</v>
      </c>
      <c r="P3" s="39"/>
      <c r="Q3" s="56" t="s">
        <v>835</v>
      </c>
      <c r="R3" s="56">
        <f>SUMIF($B$2:$B$987,$Q$3,$J$2:$J$987)</f>
        <v>0</v>
      </c>
      <c r="S3" s="56">
        <f>SUMIF($B$2:$B$987,$Q$3,$K$2:$K$987)</f>
        <v>0</v>
      </c>
      <c r="T3" s="56">
        <f>SUMIF($B$2:$B$987,$Q$3,$L$2:$L$987)</f>
        <v>0</v>
      </c>
      <c r="U3" s="56">
        <f>SUMIF($B$2:$B$987,$Q$3,$M$2:$M$987)</f>
        <v>0</v>
      </c>
      <c r="V3" s="56">
        <f>SUMIF($B$2:$B$987,$Q$3,$N$2:$N$987)</f>
        <v>0</v>
      </c>
      <c r="W3" s="56">
        <f>SUMIF($B$2:$B$987,$Q$3,$O$2:$O$987)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SUMIF(EFEITO!$B$2:$B$987,$Q$3,EFEITO!$AE$2:$AE$987)</f>
        <v>0</v>
      </c>
      <c r="AB3" s="36">
        <f>SUMIF(EFEITO!$B$2:$B$987,$Q$3,EFEITO!$AF$2:$AF$987)</f>
        <v>0</v>
      </c>
      <c r="AC3" s="36">
        <f>SUMIF(EFEITO!$B$2:$B$987,$Q$3,EFEITO!$AG$2:$AH$987)</f>
        <v>0</v>
      </c>
      <c r="AD3" s="36">
        <f>SUMIF(SUBSIDIO!$B$2:$B$987,$Q$3,SUBSIDIO!$AD$2:$AD$987)</f>
        <v>0</v>
      </c>
      <c r="AE3" s="36">
        <f>SUMIF(SUBSIDIO!$B$2:$B$987,$Q$3,SUBSIDIO!$AE$2:$AE$987)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28</v>
      </c>
      <c r="B4" s="35" t="s">
        <v>42</v>
      </c>
      <c r="C4" s="35" t="s">
        <v>34</v>
      </c>
      <c r="D4" s="35" t="s">
        <v>43</v>
      </c>
      <c r="E4" s="35" t="s">
        <v>25</v>
      </c>
      <c r="F4" s="35" t="s">
        <v>25</v>
      </c>
      <c r="G4" s="35" t="s">
        <v>25</v>
      </c>
      <c r="H4" s="35" t="s">
        <v>35</v>
      </c>
      <c r="I4" s="55">
        <v>44652</v>
      </c>
      <c r="J4" s="56">
        <f>EFEITO!$J$4*EFEITO!$Y$4</f>
        <v>0</v>
      </c>
      <c r="K4" s="56">
        <f ca="1">EFEITO!$L$4*EFEITO!$Z$4</f>
        <v>0.22247300142712201</v>
      </c>
      <c r="L4" s="56">
        <f>EFEITO!$N$4*EFEITO!$AA$4</f>
        <v>0.5180735504496351</v>
      </c>
      <c r="M4" s="56">
        <f>$J$4-EFEITO!$K$4*EFEITO!$Y$4</f>
        <v>0</v>
      </c>
      <c r="N4" s="56">
        <f ca="1">$K$4-EFEITO!$M$4*EFEITO!$Z$4</f>
        <v>0</v>
      </c>
      <c r="O4" s="56">
        <f>$L$4-EFEITO!$O$4*EFEITO!$AA$4</f>
        <v>0</v>
      </c>
      <c r="P4" s="39"/>
      <c r="Q4" s="56" t="s">
        <v>714</v>
      </c>
      <c r="R4" s="56">
        <f>SUMIF($B$2:$B$987,$Q$4,$J$2:$J$987)</f>
        <v>0</v>
      </c>
      <c r="S4" s="56">
        <f>SUMIF($B$2:$B$987,$Q$4,$K$2:$K$987)</f>
        <v>0</v>
      </c>
      <c r="T4" s="56">
        <f>SUMIF($B$2:$B$987,$Q$4,$L$2:$L$987)</f>
        <v>0</v>
      </c>
      <c r="U4" s="56">
        <f>SUMIF($B$2:$B$987,$Q$4,$M$2:$M$987)</f>
        <v>0</v>
      </c>
      <c r="V4" s="56">
        <f>SUMIF($B$2:$B$987,$Q$4,$N$2:$N$987)</f>
        <v>0</v>
      </c>
      <c r="W4" s="56">
        <f>SUMIF($B$2:$B$987,$Q$4,$O$2:$O$987)</f>
        <v>0</v>
      </c>
      <c r="X4" s="36">
        <f>$R$4-$U$4</f>
        <v>0</v>
      </c>
      <c r="Y4" s="36">
        <f>$S$4-$V$4</f>
        <v>0</v>
      </c>
      <c r="Z4" s="36">
        <f>$T$4-$W$4</f>
        <v>0</v>
      </c>
      <c r="AA4" s="36">
        <f>SUMIF(EFEITO!$B$2:$B$987,$Q$4,EFEITO!$AE$2:$AE$987)</f>
        <v>0</v>
      </c>
      <c r="AB4" s="36">
        <f>SUMIF(EFEITO!$B$2:$B$987,$Q$4,EFEITO!$AF$2:$AF$987)</f>
        <v>0</v>
      </c>
      <c r="AC4" s="36">
        <f>SUMIF(EFEITO!$B$2:$B$987,$Q$4,EFEITO!$AG$2:$AH$987)</f>
        <v>0</v>
      </c>
      <c r="AD4" s="36">
        <f>SUMIF(SUBSIDIO!$B$2:$B$987,$Q$4,SUBSIDIO!$AD$2:$AD$987)</f>
        <v>0</v>
      </c>
      <c r="AE4" s="36">
        <f>SUMIF(SUBSIDIO!$B$2:$B$987,$Q$4,SUBSIDIO!$AE$2:$AE$987)</f>
        <v>0</v>
      </c>
      <c r="AF4" s="36" t="str">
        <f>IF(ABS($X$4-$AA$4)&lt;0.01,"OK","ERRO")</f>
        <v>OK</v>
      </c>
      <c r="AG4" s="36" t="str">
        <f>IF(ABS($Y$4-$AB$4)&lt;0.01,"OK","ERRO")</f>
        <v>OK</v>
      </c>
      <c r="AH4" s="36" t="str">
        <f>IF(ABS($Z$4-$AC$4)&lt;0.01,"OK","ERRO")</f>
        <v>OK</v>
      </c>
      <c r="AI4" s="36" t="str">
        <f>IF(ABS($U$4-$AD$4)&lt;0.01,"OK","ERRO")</f>
        <v>OK</v>
      </c>
      <c r="AJ4" s="36" t="str">
        <f>IF(ABS(($V$4+$W$4)-$AE$4)&lt;0.01,"OK","ERRO")</f>
        <v>OK</v>
      </c>
    </row>
    <row r="5" spans="1:40" ht="11.25" customHeight="1" x14ac:dyDescent="0.2">
      <c r="A5" s="35" t="s">
        <v>28</v>
      </c>
      <c r="B5" s="35" t="s">
        <v>42</v>
      </c>
      <c r="C5" s="35" t="s">
        <v>34</v>
      </c>
      <c r="D5" s="35" t="s">
        <v>43</v>
      </c>
      <c r="E5" s="35" t="s">
        <v>25</v>
      </c>
      <c r="F5" s="35" t="s">
        <v>25</v>
      </c>
      <c r="G5" s="35" t="s">
        <v>25</v>
      </c>
      <c r="H5" s="35" t="s">
        <v>25</v>
      </c>
      <c r="I5" s="55">
        <v>44531</v>
      </c>
      <c r="J5" s="56">
        <f ca="1">EFEITO!$J$5*EFEITO!$Y$5</f>
        <v>10505.641787640174</v>
      </c>
      <c r="K5" s="56">
        <f>EFEITO!$L$5*EFEITO!$Z$5</f>
        <v>0</v>
      </c>
      <c r="L5" s="56">
        <f>EFEITO!$N$5*EFEITO!$AA$5</f>
        <v>0</v>
      </c>
      <c r="M5" s="56">
        <f ca="1">$J$5-EFEITO!$K$5*EFEITO!$Y$5</f>
        <v>0</v>
      </c>
      <c r="N5" s="56">
        <f>$K$5-EFEITO!$M$5*EFEITO!$Z$5</f>
        <v>0</v>
      </c>
      <c r="O5" s="56">
        <f>$L$5-EFEITO!$O$5*EFEITO!$AA$5</f>
        <v>0</v>
      </c>
      <c r="P5" s="39"/>
      <c r="Q5" s="56" t="s">
        <v>715</v>
      </c>
      <c r="R5" s="56">
        <f>SUMIF($B$2:$B$987,$Q$5,$J$2:$J$987)</f>
        <v>0</v>
      </c>
      <c r="S5" s="56">
        <f>SUMIF($B$2:$B$987,$Q$5,$K$2:$K$987)</f>
        <v>0</v>
      </c>
      <c r="T5" s="56">
        <f>SUMIF($B$2:$B$987,$Q$5,$L$2:$L$987)</f>
        <v>0</v>
      </c>
      <c r="U5" s="56">
        <f>SUMIF($B$2:$B$987,$Q$5,$M$2:$M$987)</f>
        <v>0</v>
      </c>
      <c r="V5" s="56">
        <f>SUMIF($B$2:$B$987,$Q$5,$N$2:$N$987)</f>
        <v>0</v>
      </c>
      <c r="W5" s="56">
        <f>SUMIF($B$2:$B$987,$Q$5,$O$2:$O$987)</f>
        <v>0</v>
      </c>
      <c r="X5" s="36">
        <f>$R$5-$U$5</f>
        <v>0</v>
      </c>
      <c r="Y5" s="36">
        <f>$S$5-$V$5</f>
        <v>0</v>
      </c>
      <c r="Z5" s="36">
        <f>$T$5-$W$5</f>
        <v>0</v>
      </c>
      <c r="AA5" s="36">
        <f>SUMIF(EFEITO!$B$2:$B$987,$Q$5,EFEITO!$AE$2:$AE$987)</f>
        <v>0</v>
      </c>
      <c r="AB5" s="36">
        <f>SUMIF(EFEITO!$B$2:$B$987,$Q$5,EFEITO!$AF$2:$AF$987)</f>
        <v>0</v>
      </c>
      <c r="AC5" s="36">
        <f>SUMIF(EFEITO!$B$2:$B$987,$Q$5,EFEITO!$AG$2:$AH$987)</f>
        <v>0</v>
      </c>
      <c r="AD5" s="36">
        <f>SUMIF(SUBSIDIO!$B$2:$B$987,$Q$5,SUBSIDIO!$AD$2:$AD$987)</f>
        <v>0</v>
      </c>
      <c r="AE5" s="36">
        <f>SUMIF(SUBSIDIO!$B$2:$B$987,$Q$5,SUBSIDIO!$AE$2:$AE$987)</f>
        <v>0</v>
      </c>
      <c r="AF5" s="36" t="str">
        <f>IF(ABS($X$5-$AA$5)&lt;0.01,"OK","ERRO")</f>
        <v>OK</v>
      </c>
      <c r="AG5" s="36" t="str">
        <f>IF(ABS($Y$5-$AB$5)&lt;0.01,"OK","ERRO")</f>
        <v>OK</v>
      </c>
      <c r="AH5" s="36" t="str">
        <f>IF(ABS($Z$5-$AC$5)&lt;0.01,"OK","ERRO")</f>
        <v>OK</v>
      </c>
      <c r="AI5" s="36" t="str">
        <f>IF(ABS($U$5-$AD$5)&lt;0.01,"OK","ERRO")</f>
        <v>OK</v>
      </c>
      <c r="AJ5" s="36" t="str">
        <f>IF(ABS(($V$5+$W$5)-$AE$5)&lt;0.01,"OK","ERRO")</f>
        <v>OK</v>
      </c>
    </row>
    <row r="6" spans="1:40" ht="11.25" customHeight="1" x14ac:dyDescent="0.2">
      <c r="A6" s="35" t="s">
        <v>28</v>
      </c>
      <c r="B6" s="35" t="s">
        <v>42</v>
      </c>
      <c r="C6" s="35" t="s">
        <v>34</v>
      </c>
      <c r="D6" s="35" t="s">
        <v>43</v>
      </c>
      <c r="E6" s="35" t="s">
        <v>25</v>
      </c>
      <c r="F6" s="35" t="s">
        <v>25</v>
      </c>
      <c r="G6" s="35" t="s">
        <v>25</v>
      </c>
      <c r="H6" s="35" t="s">
        <v>25</v>
      </c>
      <c r="I6" s="55">
        <v>44562</v>
      </c>
      <c r="J6" s="56">
        <f ca="1">EFEITO!$J$6*EFEITO!$Y$6</f>
        <v>10555.196701732815</v>
      </c>
      <c r="K6" s="56">
        <f>EFEITO!$L$6*EFEITO!$Z$6</f>
        <v>0</v>
      </c>
      <c r="L6" s="56">
        <f>EFEITO!$N$6*EFEITO!$AA$6</f>
        <v>0</v>
      </c>
      <c r="M6" s="56">
        <f ca="1">$J$6-EFEITO!$K$6*EFEITO!$Y$6</f>
        <v>0</v>
      </c>
      <c r="N6" s="56">
        <f>$K$6-EFEITO!$M$6*EFEITO!$Z$6</f>
        <v>0</v>
      </c>
      <c r="O6" s="56">
        <f>$L$6-EFEITO!$O$6*EFEITO!$AA$6</f>
        <v>0</v>
      </c>
      <c r="P6" s="39"/>
      <c r="Q6" s="56" t="s">
        <v>42</v>
      </c>
      <c r="R6" s="56">
        <f ca="1">SUMIF($B$2:$B$987,$Q$6,$J$2:$J$987)</f>
        <v>838799.51254145883</v>
      </c>
      <c r="S6" s="56">
        <f ca="1">SUMIF($B$2:$B$987,$Q$6,$K$2:$K$987)</f>
        <v>1725732.8138176831</v>
      </c>
      <c r="T6" s="56">
        <f>SUMIF($B$2:$B$987,$Q$6,$L$2:$L$987)</f>
        <v>1103662.4410425031</v>
      </c>
      <c r="U6" s="56">
        <f ca="1">SUMIF($B$2:$B$987,$Q$6,$M$2:$M$987)</f>
        <v>256132.83264017064</v>
      </c>
      <c r="V6" s="56">
        <f ca="1">SUMIF($B$2:$B$987,$Q$6,$N$2:$N$987)</f>
        <v>253703.66845990825</v>
      </c>
      <c r="W6" s="56">
        <f>SUMIF($B$2:$B$987,$Q$6,$O$2:$O$987)</f>
        <v>0</v>
      </c>
      <c r="X6" s="36">
        <f ca="1">$R$6-$U$6</f>
        <v>582666.67990128812</v>
      </c>
      <c r="Y6" s="36">
        <f ca="1">$S$6-$V$6</f>
        <v>1472029.1453577748</v>
      </c>
      <c r="Z6" s="36">
        <f>$T$6-$W$6</f>
        <v>1103662.4410425031</v>
      </c>
      <c r="AA6" s="36">
        <f ca="1">SUMIF(EFEITO!$B$2:$B$987,$Q$6,EFEITO!$AE$2:$AE$987)</f>
        <v>582666.67990128847</v>
      </c>
      <c r="AB6" s="36">
        <f ca="1">SUMIF(EFEITO!$B$2:$B$987,$Q$6,EFEITO!$AF$2:$AF$987)</f>
        <v>1472029.145357775</v>
      </c>
      <c r="AC6" s="36">
        <f>SUMIF(EFEITO!$B$2:$B$987,$Q$6,EFEITO!$AG$2:$AH$987)</f>
        <v>1103662.4410425031</v>
      </c>
      <c r="AD6" s="36">
        <f ca="1">SUMIF(SUBSIDIO!$B$2:$B$987,$Q$6,SUBSIDIO!$AD$2:$AD$987)</f>
        <v>256132.83264017064</v>
      </c>
      <c r="AE6" s="36">
        <f ca="1">SUMIF(SUBSIDIO!$B$2:$B$987,$Q$6,SUBSIDIO!$AE$2:$AE$987)</f>
        <v>253703.66845990825</v>
      </c>
      <c r="AF6" s="36" t="str">
        <f ca="1">IF(ABS($X$6-$AA$6)&lt;0.01,"OK","ERRO")</f>
        <v>OK</v>
      </c>
      <c r="AG6" s="36" t="str">
        <f ca="1">IF(ABS($Y$6-$AB$6)&lt;0.01,"OK","ERRO")</f>
        <v>OK</v>
      </c>
      <c r="AH6" s="36" t="str">
        <f>IF(ABS($Z$6-$AC$6)&lt;0.01,"OK","ERRO")</f>
        <v>OK</v>
      </c>
      <c r="AI6" s="36" t="str">
        <f ca="1">IF(ABS($U$6-$AD$6)&lt;0.01,"OK","ERRO")</f>
        <v>OK</v>
      </c>
      <c r="AJ6" s="36" t="str">
        <f ca="1">IF(ABS(($V$6+$W$6)-$AE$6)&lt;0.01,"OK","ERRO")</f>
        <v>OK</v>
      </c>
    </row>
    <row r="7" spans="1:40" ht="11.25" customHeight="1" x14ac:dyDescent="0.2">
      <c r="A7" s="35" t="s">
        <v>28</v>
      </c>
      <c r="B7" s="35" t="s">
        <v>42</v>
      </c>
      <c r="C7" s="35" t="s">
        <v>34</v>
      </c>
      <c r="D7" s="35" t="s">
        <v>43</v>
      </c>
      <c r="E7" s="35" t="s">
        <v>25</v>
      </c>
      <c r="F7" s="35" t="s">
        <v>25</v>
      </c>
      <c r="G7" s="35" t="s">
        <v>25</v>
      </c>
      <c r="H7" s="35" t="s">
        <v>25</v>
      </c>
      <c r="I7" s="55">
        <v>44593</v>
      </c>
      <c r="J7" s="56">
        <f ca="1">EFEITO!$J$7*EFEITO!$Y$7</f>
        <v>10439.568568849983</v>
      </c>
      <c r="K7" s="56">
        <f>EFEITO!$L$7*EFEITO!$Z$7</f>
        <v>0</v>
      </c>
      <c r="L7" s="56">
        <f>EFEITO!$N$7*EFEITO!$AA$7</f>
        <v>0</v>
      </c>
      <c r="M7" s="56">
        <f ca="1">$J$7-EFEITO!$K$7*EFEITO!$Y$7</f>
        <v>0</v>
      </c>
      <c r="N7" s="56">
        <f>$K$7-EFEITO!$M$7*EFEITO!$Z$7</f>
        <v>0</v>
      </c>
      <c r="O7" s="56">
        <f>$L$7-EFEITO!$O$7*EFEITO!$AA$7</f>
        <v>0</v>
      </c>
      <c r="P7" s="39"/>
      <c r="Q7" s="56" t="s">
        <v>33</v>
      </c>
      <c r="R7" s="56">
        <f ca="1">SUMIF($B$2:$B$987,$Q$7,$J$2:$J$987)</f>
        <v>17344562.59026086</v>
      </c>
      <c r="S7" s="56">
        <f ca="1">SUMIF($B$2:$B$987,$Q$7,$K$2:$K$987)</f>
        <v>29952505.486302987</v>
      </c>
      <c r="T7" s="56">
        <f>SUMIF($B$2:$B$987,$Q$7,$L$2:$L$987)</f>
        <v>14723179.783420922</v>
      </c>
      <c r="U7" s="56">
        <f ca="1">SUMIF($B$2:$B$987,$Q$7,$M$2:$M$987)</f>
        <v>702370.3467392379</v>
      </c>
      <c r="V7" s="56">
        <f ca="1">SUMIF($B$2:$B$987,$Q$7,$N$2:$N$987)</f>
        <v>1762198.4253175128</v>
      </c>
      <c r="W7" s="56">
        <f>SUMIF($B$2:$B$987,$Q$7,$O$2:$O$987)</f>
        <v>49484.413414073118</v>
      </c>
      <c r="X7" s="36">
        <f ca="1">$R$7-$U$7</f>
        <v>16642192.243521621</v>
      </c>
      <c r="Y7" s="36">
        <f ca="1">$S$7-$V$7</f>
        <v>28190307.060985476</v>
      </c>
      <c r="Z7" s="36">
        <f>$T$7-$W$7</f>
        <v>14673695.37000685</v>
      </c>
      <c r="AA7" s="36">
        <f ca="1">SUMIF(EFEITO!$B$2:$B$987,$Q$7,EFEITO!$AE$2:$AE$987)</f>
        <v>16642192.24352162</v>
      </c>
      <c r="AB7" s="36">
        <f ca="1">SUMIF(EFEITO!$B$2:$B$987,$Q$7,EFEITO!$AF$2:$AF$987)</f>
        <v>28190307.060985483</v>
      </c>
      <c r="AC7" s="36">
        <f>SUMIF(EFEITO!$B$2:$B$987,$Q$7,EFEITO!$AG$2:$AH$987)</f>
        <v>14673695.370006854</v>
      </c>
      <c r="AD7" s="36">
        <f ca="1">SUMIF(SUBSIDIO!$B$2:$B$987,$Q$7,SUBSIDIO!$AD$2:$AD$987)</f>
        <v>702370.3467392379</v>
      </c>
      <c r="AE7" s="36">
        <f ca="1">SUMIF(SUBSIDIO!$B$2:$B$987,$Q$7,SUBSIDIO!$AE$2:$AE$987)</f>
        <v>1811682.8387315858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28</v>
      </c>
      <c r="B8" s="35" t="s">
        <v>42</v>
      </c>
      <c r="C8" s="35" t="s">
        <v>34</v>
      </c>
      <c r="D8" s="35" t="s">
        <v>43</v>
      </c>
      <c r="E8" s="35" t="s">
        <v>25</v>
      </c>
      <c r="F8" s="35" t="s">
        <v>25</v>
      </c>
      <c r="G8" s="35" t="s">
        <v>25</v>
      </c>
      <c r="H8" s="35" t="s">
        <v>25</v>
      </c>
      <c r="I8" s="55">
        <v>44621</v>
      </c>
      <c r="J8" s="56">
        <f ca="1">EFEITO!$J$8*EFEITO!$Y$8</f>
        <v>10456.086873547531</v>
      </c>
      <c r="K8" s="56">
        <f>EFEITO!$L$8*EFEITO!$Z$8</f>
        <v>0</v>
      </c>
      <c r="L8" s="56">
        <f>EFEITO!$N$8*EFEITO!$AA$8</f>
        <v>0</v>
      </c>
      <c r="M8" s="56">
        <f ca="1">$J$8-EFEITO!$K$8*EFEITO!$Y$8</f>
        <v>0</v>
      </c>
      <c r="N8" s="56">
        <f>$K$8-EFEITO!$M$8*EFEITO!$Z$8</f>
        <v>0</v>
      </c>
      <c r="O8" s="56">
        <f>$L$8-EFEITO!$O$8*EFEITO!$AA$8</f>
        <v>0</v>
      </c>
      <c r="P8" s="39"/>
      <c r="Q8" s="56" t="s">
        <v>716</v>
      </c>
      <c r="R8" s="56">
        <f>SUMIF($B$2:$B$987,$Q$8,$J$2:$J$987)</f>
        <v>0</v>
      </c>
      <c r="S8" s="56">
        <f>SUMIF($B$2:$B$987,$Q$8,$K$2:$K$987)</f>
        <v>0</v>
      </c>
      <c r="T8" s="56">
        <f>SUMIF($B$2:$B$987,$Q$8,$L$2:$L$987)</f>
        <v>0</v>
      </c>
      <c r="U8" s="56">
        <f>SUMIF($B$2:$B$987,$Q$8,$M$2:$M$987)</f>
        <v>0</v>
      </c>
      <c r="V8" s="56">
        <f>SUMIF($B$2:$B$987,$Q$8,$N$2:$N$987)</f>
        <v>0</v>
      </c>
      <c r="W8" s="56">
        <f>SUMIF($B$2:$B$987,$Q$8,$O$2:$O$987)</f>
        <v>0</v>
      </c>
      <c r="X8" s="36">
        <f>$R$8-$U$8</f>
        <v>0</v>
      </c>
      <c r="Y8" s="36">
        <f>$S$8-$V$8</f>
        <v>0</v>
      </c>
      <c r="Z8" s="36">
        <f>$T$8-$W$8</f>
        <v>0</v>
      </c>
      <c r="AA8" s="36">
        <f>SUMIF(EFEITO!$B$2:$B$987,$Q$8,EFEITO!$AE$2:$AE$987)</f>
        <v>0</v>
      </c>
      <c r="AB8" s="36">
        <f>SUMIF(EFEITO!$B$2:$B$987,$Q$8,EFEITO!$AF$2:$AF$987)</f>
        <v>0</v>
      </c>
      <c r="AC8" s="36">
        <f>SUMIF(EFEITO!$B$2:$B$987,$Q$8,EFEITO!$AG$2:$AH$987)</f>
        <v>0</v>
      </c>
      <c r="AD8" s="36">
        <f>SUMIF(SUBSIDIO!$B$2:$B$987,$Q$8,SUBSIDIO!$AD$2:$AD$987)</f>
        <v>0</v>
      </c>
      <c r="AE8" s="36">
        <f>SUMIF(SUBSIDIO!$B$2:$B$987,$Q$8,SUBSIDIO!$AE$2:$AE$987)</f>
        <v>0</v>
      </c>
      <c r="AF8" s="36" t="str">
        <f>IF(ABS($X$8-$AA$8)&lt;0.01,"OK","ERRO")</f>
        <v>OK</v>
      </c>
      <c r="AG8" s="36" t="str">
        <f>IF(ABS($Y$8-$AB$8)&lt;0.01,"OK","ERRO")</f>
        <v>OK</v>
      </c>
      <c r="AH8" s="36" t="str">
        <f>IF(ABS($Z$8-$AC$8)&lt;0.01,"OK","ERRO")</f>
        <v>OK</v>
      </c>
      <c r="AI8" s="36" t="str">
        <f>IF(ABS($U$8-$AD$8)&lt;0.01,"OK","ERRO")</f>
        <v>OK</v>
      </c>
      <c r="AJ8" s="36" t="str">
        <f>IF(ABS(($V$8+$W$8)-$AE$8)&lt;0.01,"OK","ERRO")</f>
        <v>OK</v>
      </c>
    </row>
    <row r="9" spans="1:40" ht="11.25" customHeight="1" x14ac:dyDescent="0.2">
      <c r="A9" s="35" t="s">
        <v>28</v>
      </c>
      <c r="B9" s="35" t="s">
        <v>42</v>
      </c>
      <c r="C9" s="35" t="s">
        <v>34</v>
      </c>
      <c r="D9" s="35" t="s">
        <v>43</v>
      </c>
      <c r="E9" s="35" t="s">
        <v>25</v>
      </c>
      <c r="F9" s="35" t="s">
        <v>25</v>
      </c>
      <c r="G9" s="35" t="s">
        <v>25</v>
      </c>
      <c r="H9" s="35" t="s">
        <v>25</v>
      </c>
      <c r="I9" s="55">
        <v>44652</v>
      </c>
      <c r="J9" s="56">
        <f ca="1">EFEITO!$J$9*EFEITO!$Y$9</f>
        <v>10423.050264152436</v>
      </c>
      <c r="K9" s="56">
        <f>EFEITO!$L$9*EFEITO!$Z$9</f>
        <v>0</v>
      </c>
      <c r="L9" s="56">
        <f>EFEITO!$N$9*EFEITO!$AA$9</f>
        <v>0</v>
      </c>
      <c r="M9" s="56">
        <f ca="1">$J$9-EFEITO!$K$9*EFEITO!$Y$9</f>
        <v>0</v>
      </c>
      <c r="N9" s="56">
        <f>$K$9-EFEITO!$M$9*EFEITO!$Z$9</f>
        <v>0</v>
      </c>
      <c r="O9" s="56">
        <f>$L$9-EFEITO!$O$9*EFEITO!$AA$9</f>
        <v>0</v>
      </c>
      <c r="P9" s="39"/>
      <c r="Q9" s="56" t="s">
        <v>22</v>
      </c>
      <c r="R9" s="56">
        <f>SUMIF($B$2:$B$987,$Q$9,$J$2:$J$987)</f>
        <v>0</v>
      </c>
      <c r="S9" s="56">
        <f ca="1">SUMIF($B$2:$B$987,$Q$9,$K$2:$K$987)</f>
        <v>32381272.732616842</v>
      </c>
      <c r="T9" s="56">
        <f>SUMIF($B$2:$B$987,$Q$9,$L$2:$L$987)</f>
        <v>24984050.07741496</v>
      </c>
      <c r="U9" s="56">
        <f>SUMIF($B$2:$B$987,$Q$9,$M$2:$M$987)</f>
        <v>0</v>
      </c>
      <c r="V9" s="56">
        <f ca="1">SUMIF($B$2:$B$987,$Q$9,$N$2:$N$987)</f>
        <v>643567.32202841435</v>
      </c>
      <c r="W9" s="56">
        <f>SUMIF($B$2:$B$987,$Q$9,$O$2:$O$987)</f>
        <v>723389.42831843498</v>
      </c>
      <c r="X9" s="36">
        <f>$R$9-$U$9</f>
        <v>0</v>
      </c>
      <c r="Y9" s="36">
        <f ca="1">$S$9-$V$9</f>
        <v>31737705.410588428</v>
      </c>
      <c r="Z9" s="36">
        <f>$T$9-$W$9</f>
        <v>24260660.649096526</v>
      </c>
      <c r="AA9" s="36">
        <f>SUMIF(EFEITO!$B$2:$B$987,$Q$9,EFEITO!$AE$2:$AE$987)</f>
        <v>0</v>
      </c>
      <c r="AB9" s="36">
        <f ca="1">SUMIF(EFEITO!$B$2:$B$987,$Q$9,EFEITO!$AF$2:$AF$987)</f>
        <v>31737705.410588428</v>
      </c>
      <c r="AC9" s="36">
        <f>SUMIF(EFEITO!$B$2:$B$987,$Q$9,EFEITO!$AG$2:$AH$987)</f>
        <v>24260660.649096552</v>
      </c>
      <c r="AD9" s="36">
        <f>SUMIF(SUBSIDIO!$B$2:$B$987,$Q$9,SUBSIDIO!$AD$2:$AD$987)</f>
        <v>0</v>
      </c>
      <c r="AE9" s="36">
        <f ca="1">SUMIF(SUBSIDIO!$B$2:$B$987,$Q$9,SUBSIDIO!$AE$2:$AE$987)</f>
        <v>1366956.7503468485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28</v>
      </c>
      <c r="B10" s="35" t="s">
        <v>42</v>
      </c>
      <c r="C10" s="35" t="s">
        <v>34</v>
      </c>
      <c r="D10" s="35" t="s">
        <v>43</v>
      </c>
      <c r="E10" s="35" t="s">
        <v>25</v>
      </c>
      <c r="F10" s="35" t="s">
        <v>25</v>
      </c>
      <c r="G10" s="35" t="s">
        <v>25</v>
      </c>
      <c r="H10" s="35" t="s">
        <v>25</v>
      </c>
      <c r="I10" s="55">
        <v>44682</v>
      </c>
      <c r="J10" s="56">
        <f ca="1">EFEITO!$J$10*EFEITO!$Y$10</f>
        <v>10703.861444010743</v>
      </c>
      <c r="K10" s="56">
        <f>EFEITO!$L$10*EFEITO!$Z$10</f>
        <v>0</v>
      </c>
      <c r="L10" s="56">
        <f>EFEITO!$N$10*EFEITO!$AA$10</f>
        <v>0</v>
      </c>
      <c r="M10" s="56">
        <f ca="1">$J$10-EFEITO!$K$10*EFEITO!$Y$10</f>
        <v>0</v>
      </c>
      <c r="N10" s="56">
        <f>$K$10-EFEITO!$M$10*EFEITO!$Z$10</f>
        <v>0</v>
      </c>
      <c r="O10" s="56">
        <f>$L$10-EFEITO!$O$10*EFEITO!$AA$10</f>
        <v>0</v>
      </c>
      <c r="P10" s="39"/>
      <c r="Q10" s="56" t="s">
        <v>44</v>
      </c>
      <c r="R10" s="56">
        <f>SUMIF($B$2:$B$987,$Q$10,$J$2:$J$987)</f>
        <v>0</v>
      </c>
      <c r="S10" s="56">
        <f ca="1">SUMIF($B$2:$B$987,$Q$10,$K$2:$K$987)</f>
        <v>2299758.2894262974</v>
      </c>
      <c r="T10" s="56">
        <f>SUMIF($B$2:$B$987,$Q$10,$L$2:$L$987)</f>
        <v>1725912.6818488981</v>
      </c>
      <c r="U10" s="56">
        <f>SUMIF($B$2:$B$987,$Q$10,$M$2:$M$987)</f>
        <v>0</v>
      </c>
      <c r="V10" s="56">
        <f ca="1">SUMIF($B$2:$B$987,$Q$10,$N$2:$N$987)</f>
        <v>137985.49736557787</v>
      </c>
      <c r="W10" s="56">
        <f>SUMIF($B$2:$B$987,$Q$10,$O$2:$O$987)</f>
        <v>103554.760910934</v>
      </c>
      <c r="X10" s="36">
        <f>$R$10-$U$10</f>
        <v>0</v>
      </c>
      <c r="Y10" s="36">
        <f ca="1">$S$10-$V$10</f>
        <v>2161772.7920607193</v>
      </c>
      <c r="Z10" s="36">
        <f>$T$10-$W$10</f>
        <v>1622357.920937964</v>
      </c>
      <c r="AA10" s="36">
        <f>SUMIF(EFEITO!$B$2:$B$987,$Q$10,EFEITO!$AE$2:$AE$987)</f>
        <v>0</v>
      </c>
      <c r="AB10" s="36">
        <f ca="1">SUMIF(EFEITO!$B$2:$B$987,$Q$10,EFEITO!$AF$2:$AF$987)</f>
        <v>2161772.7920607193</v>
      </c>
      <c r="AC10" s="36">
        <f>SUMIF(EFEITO!$B$2:$B$987,$Q$10,EFEITO!$AG$2:$AH$987)</f>
        <v>1622357.9209379642</v>
      </c>
      <c r="AD10" s="36">
        <f>SUMIF(SUBSIDIO!$B$2:$B$987,$Q$10,SUBSIDIO!$AD$2:$AD$987)</f>
        <v>0</v>
      </c>
      <c r="AE10" s="36">
        <f ca="1">SUMIF(SUBSIDIO!$B$2:$B$987,$Q$10,SUBSIDIO!$AE$2:$AE$987)</f>
        <v>241540.25827651139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28</v>
      </c>
      <c r="B11" s="35" t="s">
        <v>42</v>
      </c>
      <c r="C11" s="35" t="s">
        <v>34</v>
      </c>
      <c r="D11" s="35" t="s">
        <v>43</v>
      </c>
      <c r="E11" s="35" t="s">
        <v>25</v>
      </c>
      <c r="F11" s="35" t="s">
        <v>25</v>
      </c>
      <c r="G11" s="35" t="s">
        <v>25</v>
      </c>
      <c r="H11" s="35" t="s">
        <v>37</v>
      </c>
      <c r="I11" s="55">
        <v>44562</v>
      </c>
      <c r="J11" s="56">
        <f>EFEITO!$J$11*EFEITO!$Y$11</f>
        <v>0</v>
      </c>
      <c r="K11" s="56">
        <f ca="1">EFEITO!$L$11*EFEITO!$Z$11</f>
        <v>3.4391404097887102</v>
      </c>
      <c r="L11" s="56">
        <f>EFEITO!$N$11*EFEITO!$AA$11</f>
        <v>1.245163471516251</v>
      </c>
      <c r="M11" s="56">
        <f>$J$11-EFEITO!$K$11*EFEITO!$Y$11</f>
        <v>0</v>
      </c>
      <c r="N11" s="56">
        <f ca="1">$K$11-EFEITO!$M$11*EFEITO!$Z$11</f>
        <v>0</v>
      </c>
      <c r="O11" s="56">
        <f>$L$11-EFEITO!$O$11*EFEITO!$AA$11</f>
        <v>0</v>
      </c>
      <c r="P11" s="39"/>
      <c r="Q11" s="56" t="s">
        <v>39</v>
      </c>
      <c r="R11" s="56">
        <f>SUMIF($B$2:$B$987,$Q$11,$J$2:$J$987)</f>
        <v>0</v>
      </c>
      <c r="S11" s="56">
        <f ca="1">SUMIF($B$2:$B$987,$Q$11,$K$2:$K$987)</f>
        <v>10552795.907263692</v>
      </c>
      <c r="T11" s="56">
        <f>SUMIF($B$2:$B$987,$Q$11,$L$2:$L$987)</f>
        <v>7925151.3885710258</v>
      </c>
      <c r="U11" s="56">
        <f>SUMIF($B$2:$B$987,$Q$11,$M$2:$M$987)</f>
        <v>0</v>
      </c>
      <c r="V11" s="56">
        <f ca="1">SUMIF($B$2:$B$987,$Q$11,$N$2:$N$987)</f>
        <v>7162.0114348517218</v>
      </c>
      <c r="W11" s="56">
        <f>SUMIF($B$2:$B$987,$Q$11,$O$2:$O$987)</f>
        <v>5374.9154508063493</v>
      </c>
      <c r="X11" s="36">
        <f>$R$11-$U$11</f>
        <v>0</v>
      </c>
      <c r="Y11" s="36">
        <f ca="1">$S$11-$V$11</f>
        <v>10545633.895828841</v>
      </c>
      <c r="Z11" s="36">
        <f>$T$11-$W$11</f>
        <v>7919776.4731202191</v>
      </c>
      <c r="AA11" s="36">
        <f>SUMIF(EFEITO!$B$2:$B$987,$Q$11,EFEITO!$AE$2:$AE$987)</f>
        <v>0</v>
      </c>
      <c r="AB11" s="36">
        <f ca="1">SUMIF(EFEITO!$B$2:$B$987,$Q$11,EFEITO!$AF$2:$AF$987)</f>
        <v>10545633.895828836</v>
      </c>
      <c r="AC11" s="36">
        <f>SUMIF(EFEITO!$B$2:$B$987,$Q$11,EFEITO!$AG$2:$AH$987)</f>
        <v>7919776.47312022</v>
      </c>
      <c r="AD11" s="36">
        <f>SUMIF(SUBSIDIO!$B$2:$B$987,$Q$11,SUBSIDIO!$AD$2:$AD$987)</f>
        <v>0</v>
      </c>
      <c r="AE11" s="36">
        <f ca="1">SUMIF(SUBSIDIO!$B$2:$B$987,$Q$11,SUBSIDIO!$AE$2:$AE$987)</f>
        <v>12536.926885658087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28</v>
      </c>
      <c r="B12" s="35" t="s">
        <v>42</v>
      </c>
      <c r="C12" s="35" t="s">
        <v>34</v>
      </c>
      <c r="D12" s="35" t="s">
        <v>43</v>
      </c>
      <c r="E12" s="35" t="s">
        <v>25</v>
      </c>
      <c r="F12" s="35" t="s">
        <v>25</v>
      </c>
      <c r="G12" s="35" t="s">
        <v>25</v>
      </c>
      <c r="H12" s="35" t="s">
        <v>37</v>
      </c>
      <c r="I12" s="55">
        <v>44593</v>
      </c>
      <c r="J12" s="56">
        <f>EFEITO!$J$12*EFEITO!$Y$12</f>
        <v>0</v>
      </c>
      <c r="K12" s="56">
        <f ca="1">EFEITO!$L$12*EFEITO!$Z$12</f>
        <v>2.2927602731924734</v>
      </c>
      <c r="L12" s="56">
        <f>EFEITO!$N$12*EFEITO!$AA$12</f>
        <v>0.83010898101083397</v>
      </c>
      <c r="M12" s="56">
        <f>$J$12-EFEITO!$K$12*EFEITO!$Y$12</f>
        <v>0</v>
      </c>
      <c r="N12" s="56">
        <f ca="1">$K$12-EFEITO!$M$12*EFEITO!$Z$12</f>
        <v>0</v>
      </c>
      <c r="O12" s="56">
        <f>$L$12-EFEITO!$O$12*EFEITO!$AA$12</f>
        <v>0</v>
      </c>
      <c r="P12" s="39"/>
      <c r="Q12" s="56" t="s">
        <v>47</v>
      </c>
      <c r="R12" s="56">
        <f>SUMIF($B$2:$B$987,$Q$12,$J$2:$J$987)</f>
        <v>0</v>
      </c>
      <c r="S12" s="56">
        <f ca="1">SUMIF($B$2:$B$987,$Q$12,$K$2:$K$987)</f>
        <v>2432393.7574280207</v>
      </c>
      <c r="T12" s="56">
        <f>SUMIF($B$2:$B$987,$Q$12,$L$2:$L$987)</f>
        <v>1825452.375798319</v>
      </c>
      <c r="U12" s="56">
        <f>SUMIF($B$2:$B$987,$Q$12,$M$2:$M$987)</f>
        <v>0</v>
      </c>
      <c r="V12" s="56">
        <f ca="1">SUMIF($B$2:$B$987,$Q$12,$N$2:$N$987)</f>
        <v>0</v>
      </c>
      <c r="W12" s="56">
        <f>SUMIF($B$2:$B$987,$Q$12,$O$2:$O$987)</f>
        <v>0</v>
      </c>
      <c r="X12" s="36">
        <f>$R$12-$U$12</f>
        <v>0</v>
      </c>
      <c r="Y12" s="36">
        <f ca="1">$S$12-$V$12</f>
        <v>2432393.7574280207</v>
      </c>
      <c r="Z12" s="36">
        <f>$T$12-$W$12</f>
        <v>1825452.375798319</v>
      </c>
      <c r="AA12" s="36">
        <f>SUMIF(EFEITO!$B$2:$B$987,$Q$12,EFEITO!$AE$2:$AE$987)</f>
        <v>0</v>
      </c>
      <c r="AB12" s="36">
        <f ca="1">SUMIF(EFEITO!$B$2:$B$987,$Q$12,EFEITO!$AF$2:$AF$987)</f>
        <v>2432393.7574280207</v>
      </c>
      <c r="AC12" s="36">
        <f>SUMIF(EFEITO!$B$2:$B$987,$Q$12,EFEITO!$AG$2:$AH$987)</f>
        <v>1825452.375798319</v>
      </c>
      <c r="AD12" s="36">
        <f>SUMIF(SUBSIDIO!$B$2:$B$987,$Q$12,SUBSIDIO!$AD$2:$AD$987)</f>
        <v>0</v>
      </c>
      <c r="AE12" s="36">
        <f>SUMIF(SUBSIDIO!$B$2:$B$987,$Q$12,SUBSIDIO!$AE$2:$AE$987)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28</v>
      </c>
      <c r="B13" s="35" t="s">
        <v>42</v>
      </c>
      <c r="C13" s="35" t="s">
        <v>34</v>
      </c>
      <c r="D13" s="35" t="s">
        <v>43</v>
      </c>
      <c r="E13" s="35" t="s">
        <v>25</v>
      </c>
      <c r="F13" s="35" t="s">
        <v>25</v>
      </c>
      <c r="G13" s="35" t="s">
        <v>25</v>
      </c>
      <c r="H13" s="35" t="s">
        <v>37</v>
      </c>
      <c r="I13" s="55">
        <v>44621</v>
      </c>
      <c r="J13" s="56">
        <f>EFEITO!$J$13*EFEITO!$Y$13</f>
        <v>0</v>
      </c>
      <c r="K13" s="56">
        <f ca="1">EFEITO!$L$13*EFEITO!$Z$13</f>
        <v>1.1463801365962367</v>
      </c>
      <c r="L13" s="56">
        <f>EFEITO!$N$13*EFEITO!$AA$13</f>
        <v>0.41505449050541698</v>
      </c>
      <c r="M13" s="56">
        <f>$J$13-EFEITO!$K$13*EFEITO!$Y$13</f>
        <v>0</v>
      </c>
      <c r="N13" s="56">
        <f ca="1">$K$13-EFEITO!$M$13*EFEITO!$Z$13</f>
        <v>0</v>
      </c>
      <c r="O13" s="56">
        <f>$L$13-EFEITO!$O$13*EFEITO!$AA$13</f>
        <v>0</v>
      </c>
      <c r="P13" s="39"/>
      <c r="Q13" s="56" t="s">
        <v>81</v>
      </c>
      <c r="R13" s="56">
        <f>SUMIF($B$2:$B$987,$Q$13,$J$2:$J$987)</f>
        <v>0</v>
      </c>
      <c r="S13" s="56">
        <f>SUMIF($B$2:$B$987,$Q$13,$K$2:$K$987)</f>
        <v>0</v>
      </c>
      <c r="T13" s="56">
        <f>SUMIF($B$2:$B$987,$Q$13,$L$2:$L$987)</f>
        <v>0</v>
      </c>
      <c r="U13" s="56">
        <f>SUMIF($B$2:$B$987,$Q$13,$M$2:$M$987)</f>
        <v>0</v>
      </c>
      <c r="V13" s="56">
        <f>SUMIF($B$2:$B$987,$Q$13,$N$2:$N$987)</f>
        <v>0</v>
      </c>
      <c r="W13" s="56">
        <f>SUMIF($B$2:$B$987,$Q$13,$O$2:$O$987)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SUMIF(EFEITO!$B$2:$B$987,$Q$13,EFEITO!$AE$2:$AE$987)</f>
        <v>0</v>
      </c>
      <c r="AB13" s="36">
        <f>SUMIF(EFEITO!$B$2:$B$987,$Q$13,EFEITO!$AF$2:$AF$987)</f>
        <v>0</v>
      </c>
      <c r="AC13" s="36">
        <f>SUMIF(EFEITO!$B$2:$B$987,$Q$13,EFEITO!$AG$2:$AH$987)</f>
        <v>0</v>
      </c>
      <c r="AD13" s="36">
        <f>SUMIF(SUBSIDIO!$B$2:$B$987,$Q$13,SUBSIDIO!$AD$2:$AD$987)</f>
        <v>0</v>
      </c>
      <c r="AE13" s="36">
        <f>SUMIF(SUBSIDIO!$B$2:$B$987,$Q$13,SUBSIDIO!$AE$2:$AE$987)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28</v>
      </c>
      <c r="B14" s="35" t="s">
        <v>42</v>
      </c>
      <c r="C14" s="35" t="s">
        <v>34</v>
      </c>
      <c r="D14" s="35" t="s">
        <v>43</v>
      </c>
      <c r="E14" s="35" t="s">
        <v>25</v>
      </c>
      <c r="F14" s="35" t="s">
        <v>25</v>
      </c>
      <c r="G14" s="35" t="s">
        <v>25</v>
      </c>
      <c r="H14" s="35" t="s">
        <v>37</v>
      </c>
      <c r="I14" s="55">
        <v>44652</v>
      </c>
      <c r="J14" s="56">
        <f>EFEITO!$J$14*EFEITO!$Y$14</f>
        <v>0</v>
      </c>
      <c r="K14" s="56">
        <f ca="1">EFEITO!$L$14*EFEITO!$Z$14</f>
        <v>1.1463801365962367</v>
      </c>
      <c r="L14" s="56">
        <f>EFEITO!$N$14*EFEITO!$AA$14</f>
        <v>0.41505449050541698</v>
      </c>
      <c r="M14" s="56">
        <f>$J$14-EFEITO!$K$14*EFEITO!$Y$14</f>
        <v>0</v>
      </c>
      <c r="N14" s="56">
        <f ca="1">$K$14-EFEITO!$M$14*EFEITO!$Z$14</f>
        <v>0</v>
      </c>
      <c r="O14" s="56">
        <f>$L$14-EFEITO!$O$14*EFEITO!$AA$14</f>
        <v>0</v>
      </c>
      <c r="P14" s="39"/>
      <c r="Q14" s="39"/>
      <c r="R14" s="39"/>
      <c r="S14" s="39"/>
      <c r="T14" s="39"/>
      <c r="U14" s="39"/>
      <c r="V14" s="39"/>
      <c r="W14" s="3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21</v>
      </c>
      <c r="B15" s="35" t="s">
        <v>42</v>
      </c>
      <c r="C15" s="35" t="s">
        <v>34</v>
      </c>
      <c r="D15" s="35" t="s">
        <v>40</v>
      </c>
      <c r="E15" s="35" t="s">
        <v>25</v>
      </c>
      <c r="F15" s="35" t="s">
        <v>54</v>
      </c>
      <c r="G15" s="35" t="s">
        <v>25</v>
      </c>
      <c r="H15" s="35" t="s">
        <v>35</v>
      </c>
      <c r="I15" s="55">
        <v>44348</v>
      </c>
      <c r="J15" s="56">
        <f>EFEITO!$J$15*EFEITO!$Y$15</f>
        <v>0</v>
      </c>
      <c r="K15" s="56">
        <f ca="1">EFEITO!$L$15*EFEITO!$Z$15</f>
        <v>41879.875099651435</v>
      </c>
      <c r="L15" s="56">
        <f>EFEITO!$N$15*EFEITO!$AA$15</f>
        <v>0</v>
      </c>
      <c r="M15" s="56">
        <f>$J$15-EFEITO!$K$15*EFEITO!$Y$15</f>
        <v>0</v>
      </c>
      <c r="N15" s="56">
        <f ca="1">$K$15-EFEITO!$M$15*EFEITO!$Z$15</f>
        <v>0</v>
      </c>
      <c r="O15" s="56">
        <f>$L$15-EFEITO!$O$15*EFEITO!$AA$15</f>
        <v>0</v>
      </c>
      <c r="P15" s="39"/>
      <c r="Q15" s="39"/>
      <c r="R15" s="39"/>
      <c r="S15" s="39"/>
      <c r="T15" s="39"/>
      <c r="U15" s="39"/>
      <c r="V15" s="39"/>
      <c r="W15" s="3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42</v>
      </c>
      <c r="C16" s="35" t="s">
        <v>34</v>
      </c>
      <c r="D16" s="35" t="s">
        <v>40</v>
      </c>
      <c r="E16" s="35" t="s">
        <v>25</v>
      </c>
      <c r="F16" s="35" t="s">
        <v>54</v>
      </c>
      <c r="G16" s="35" t="s">
        <v>25</v>
      </c>
      <c r="H16" s="35" t="s">
        <v>35</v>
      </c>
      <c r="I16" s="55">
        <v>44378</v>
      </c>
      <c r="J16" s="56">
        <f>EFEITO!$J$16*EFEITO!$Y$16</f>
        <v>0</v>
      </c>
      <c r="K16" s="56">
        <f ca="1">EFEITO!$L$16*EFEITO!$Z$16</f>
        <v>42459.528504869799</v>
      </c>
      <c r="L16" s="56">
        <f>EFEITO!$N$16*EFEITO!$AA$16</f>
        <v>0</v>
      </c>
      <c r="M16" s="56">
        <f>$J$16-EFEITO!$K$16*EFEITO!$Y$16</f>
        <v>0</v>
      </c>
      <c r="N16" s="56">
        <f ca="1">$K$16-EFEITO!$M$16*EFEITO!$Z$16</f>
        <v>0</v>
      </c>
      <c r="O16" s="56">
        <f>$L$16-EFEITO!$O$16*EFEITO!$AA$16</f>
        <v>0</v>
      </c>
      <c r="P16" s="39"/>
      <c r="Q16" s="39"/>
      <c r="R16" s="39"/>
      <c r="S16" s="39"/>
      <c r="T16" s="39"/>
      <c r="U16" s="39"/>
      <c r="V16" s="39"/>
      <c r="W16" s="3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21</v>
      </c>
      <c r="B17" s="35" t="s">
        <v>42</v>
      </c>
      <c r="C17" s="35" t="s">
        <v>34</v>
      </c>
      <c r="D17" s="35" t="s">
        <v>40</v>
      </c>
      <c r="E17" s="35" t="s">
        <v>25</v>
      </c>
      <c r="F17" s="35" t="s">
        <v>54</v>
      </c>
      <c r="G17" s="35" t="s">
        <v>25</v>
      </c>
      <c r="H17" s="35" t="s">
        <v>35</v>
      </c>
      <c r="I17" s="55">
        <v>44409</v>
      </c>
      <c r="J17" s="56">
        <f>EFEITO!$J$17*EFEITO!$Y$17</f>
        <v>0</v>
      </c>
      <c r="K17" s="56">
        <f ca="1">EFEITO!$L$17*EFEITO!$Z$17</f>
        <v>37442.094903683916</v>
      </c>
      <c r="L17" s="56">
        <f>EFEITO!$N$17*EFEITO!$AA$17</f>
        <v>0</v>
      </c>
      <c r="M17" s="56">
        <f>$J$17-EFEITO!$K$17*EFEITO!$Y$17</f>
        <v>0</v>
      </c>
      <c r="N17" s="56">
        <f ca="1">$K$17-EFEITO!$M$17*EFEITO!$Z$17</f>
        <v>0</v>
      </c>
      <c r="O17" s="56">
        <f>$L$17-EFEITO!$O$17*EFEITO!$AA$17</f>
        <v>0</v>
      </c>
      <c r="P17" s="39"/>
      <c r="Q17" s="39"/>
      <c r="R17" s="39"/>
      <c r="S17" s="39"/>
      <c r="T17" s="39"/>
      <c r="U17" s="39"/>
      <c r="V17" s="39"/>
      <c r="W17" s="3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21</v>
      </c>
      <c r="B18" s="35" t="s">
        <v>42</v>
      </c>
      <c r="C18" s="35" t="s">
        <v>34</v>
      </c>
      <c r="D18" s="35" t="s">
        <v>40</v>
      </c>
      <c r="E18" s="35" t="s">
        <v>25</v>
      </c>
      <c r="F18" s="35" t="s">
        <v>54</v>
      </c>
      <c r="G18" s="35" t="s">
        <v>25</v>
      </c>
      <c r="H18" s="35" t="s">
        <v>35</v>
      </c>
      <c r="I18" s="55">
        <v>44440</v>
      </c>
      <c r="J18" s="56">
        <f>EFEITO!$J$18*EFEITO!$Y$18</f>
        <v>0</v>
      </c>
      <c r="K18" s="56">
        <f ca="1">EFEITO!$L$18*EFEITO!$Z$18</f>
        <v>38519.86535909761</v>
      </c>
      <c r="L18" s="56">
        <f>EFEITO!$N$18*EFEITO!$AA$18</f>
        <v>0</v>
      </c>
      <c r="M18" s="56">
        <f>$J$18-EFEITO!$K$18*EFEITO!$Y$18</f>
        <v>0</v>
      </c>
      <c r="N18" s="56">
        <f ca="1">$K$18-EFEITO!$M$18*EFEITO!$Z$18</f>
        <v>0</v>
      </c>
      <c r="O18" s="56">
        <f>$L$18-EFEITO!$O$18*EFEITO!$AA$18</f>
        <v>0</v>
      </c>
      <c r="P18" s="39"/>
      <c r="Q18" s="39"/>
      <c r="R18" s="39"/>
      <c r="S18" s="39"/>
      <c r="T18" s="39"/>
      <c r="U18" s="39"/>
      <c r="V18" s="39"/>
      <c r="W18" s="3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42</v>
      </c>
      <c r="C19" s="35" t="s">
        <v>34</v>
      </c>
      <c r="D19" s="35" t="s">
        <v>40</v>
      </c>
      <c r="E19" s="35" t="s">
        <v>25</v>
      </c>
      <c r="F19" s="35" t="s">
        <v>54</v>
      </c>
      <c r="G19" s="35" t="s">
        <v>25</v>
      </c>
      <c r="H19" s="35" t="s">
        <v>35</v>
      </c>
      <c r="I19" s="55">
        <v>44470</v>
      </c>
      <c r="J19" s="56">
        <f>EFEITO!$J$19*EFEITO!$Y$19</f>
        <v>0</v>
      </c>
      <c r="K19" s="56">
        <f ca="1">EFEITO!$L$19*EFEITO!$Z$19</f>
        <v>41500.892341720333</v>
      </c>
      <c r="L19" s="56">
        <f>EFEITO!$N$19*EFEITO!$AA$19</f>
        <v>0</v>
      </c>
      <c r="M19" s="56">
        <f>$J$19-EFEITO!$K$19*EFEITO!$Y$19</f>
        <v>0</v>
      </c>
      <c r="N19" s="56">
        <f ca="1">$K$19-EFEITO!$M$19*EFEITO!$Z$19</f>
        <v>0</v>
      </c>
      <c r="O19" s="56">
        <f>$L$19-EFEITO!$O$19*EFEITO!$AA$19</f>
        <v>0</v>
      </c>
      <c r="P19" s="39"/>
      <c r="Q19" s="39"/>
      <c r="R19" s="39"/>
      <c r="S19" s="39"/>
      <c r="T19" s="39"/>
      <c r="U19" s="39"/>
      <c r="V19" s="39"/>
      <c r="W19" s="3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21</v>
      </c>
      <c r="B20" s="35" t="s">
        <v>42</v>
      </c>
      <c r="C20" s="35" t="s">
        <v>34</v>
      </c>
      <c r="D20" s="35" t="s">
        <v>40</v>
      </c>
      <c r="E20" s="35" t="s">
        <v>25</v>
      </c>
      <c r="F20" s="35" t="s">
        <v>54</v>
      </c>
      <c r="G20" s="35" t="s">
        <v>25</v>
      </c>
      <c r="H20" s="35" t="s">
        <v>35</v>
      </c>
      <c r="I20" s="55">
        <v>44501</v>
      </c>
      <c r="J20" s="56">
        <f>EFEITO!$J$20*EFEITO!$Y$20</f>
        <v>0</v>
      </c>
      <c r="K20" s="56">
        <f ca="1">EFEITO!$L$20*EFEITO!$Z$20</f>
        <v>34947.28266568017</v>
      </c>
      <c r="L20" s="56">
        <f>EFEITO!$N$20*EFEITO!$AA$20</f>
        <v>0</v>
      </c>
      <c r="M20" s="56">
        <f>$J$20-EFEITO!$K$20*EFEITO!$Y$20</f>
        <v>0</v>
      </c>
      <c r="N20" s="56">
        <f ca="1">$K$20-EFEITO!$M$20*EFEITO!$Z$20</f>
        <v>0</v>
      </c>
      <c r="O20" s="56">
        <f>$L$20-EFEITO!$O$20*EFEITO!$AA$20</f>
        <v>0</v>
      </c>
      <c r="P20" s="39"/>
      <c r="Q20" s="39"/>
      <c r="R20" s="39"/>
      <c r="S20" s="39"/>
      <c r="T20" s="39"/>
      <c r="U20" s="39"/>
      <c r="V20" s="39"/>
      <c r="W20" s="3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42</v>
      </c>
      <c r="C21" s="35" t="s">
        <v>34</v>
      </c>
      <c r="D21" s="35" t="s">
        <v>40</v>
      </c>
      <c r="E21" s="35" t="s">
        <v>25</v>
      </c>
      <c r="F21" s="35" t="s">
        <v>54</v>
      </c>
      <c r="G21" s="35" t="s">
        <v>25</v>
      </c>
      <c r="H21" s="35" t="s">
        <v>35</v>
      </c>
      <c r="I21" s="55">
        <v>44531</v>
      </c>
      <c r="J21" s="56">
        <f>EFEITO!$J$21*EFEITO!$Y$21</f>
        <v>0</v>
      </c>
      <c r="K21" s="56">
        <f ca="1">EFEITO!$L$21*EFEITO!$Z$21</f>
        <v>33005.872018726397</v>
      </c>
      <c r="L21" s="56">
        <f>EFEITO!$N$21*EFEITO!$AA$21</f>
        <v>0</v>
      </c>
      <c r="M21" s="56">
        <f>$J$21-EFEITO!$K$21*EFEITO!$Y$21</f>
        <v>0</v>
      </c>
      <c r="N21" s="56">
        <f ca="1">$K$21-EFEITO!$M$21*EFEITO!$Z$21</f>
        <v>0</v>
      </c>
      <c r="O21" s="56">
        <f>$L$21-EFEITO!$O$21*EFEITO!$AA$21</f>
        <v>0</v>
      </c>
      <c r="P21" s="39"/>
      <c r="Q21" s="39"/>
      <c r="R21" s="39"/>
      <c r="S21" s="39"/>
      <c r="T21" s="39"/>
      <c r="U21" s="39"/>
      <c r="V21" s="39"/>
      <c r="W21" s="3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21</v>
      </c>
      <c r="B22" s="35" t="s">
        <v>42</v>
      </c>
      <c r="C22" s="35" t="s">
        <v>34</v>
      </c>
      <c r="D22" s="35" t="s">
        <v>40</v>
      </c>
      <c r="E22" s="35" t="s">
        <v>25</v>
      </c>
      <c r="F22" s="35" t="s">
        <v>54</v>
      </c>
      <c r="G22" s="35" t="s">
        <v>25</v>
      </c>
      <c r="H22" s="35" t="s">
        <v>35</v>
      </c>
      <c r="I22" s="55">
        <v>44562</v>
      </c>
      <c r="J22" s="56">
        <f>EFEITO!$J$22*EFEITO!$Y$22</f>
        <v>0</v>
      </c>
      <c r="K22" s="56">
        <f ca="1">EFEITO!$L$22*EFEITO!$Z$22</f>
        <v>33638.362761783697</v>
      </c>
      <c r="L22" s="56">
        <f>EFEITO!$N$22*EFEITO!$AA$22</f>
        <v>0</v>
      </c>
      <c r="M22" s="56">
        <f>$J$22-EFEITO!$K$22*EFEITO!$Y$22</f>
        <v>0</v>
      </c>
      <c r="N22" s="56">
        <f ca="1">$K$22-EFEITO!$M$22*EFEITO!$Z$22</f>
        <v>0</v>
      </c>
      <c r="O22" s="56">
        <f>$L$22-EFEITO!$O$22*EFEITO!$AA$22</f>
        <v>0</v>
      </c>
      <c r="P22" s="39"/>
      <c r="Q22" s="39"/>
      <c r="R22" s="39"/>
      <c r="S22" s="39"/>
      <c r="T22" s="39"/>
      <c r="U22" s="39"/>
      <c r="V22" s="39"/>
      <c r="W22" s="3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42</v>
      </c>
      <c r="C23" s="35" t="s">
        <v>34</v>
      </c>
      <c r="D23" s="35" t="s">
        <v>40</v>
      </c>
      <c r="E23" s="35" t="s">
        <v>25</v>
      </c>
      <c r="F23" s="35" t="s">
        <v>54</v>
      </c>
      <c r="G23" s="35" t="s">
        <v>25</v>
      </c>
      <c r="H23" s="35" t="s">
        <v>35</v>
      </c>
      <c r="I23" s="55">
        <v>44593</v>
      </c>
      <c r="J23" s="56">
        <f>EFEITO!$J$23*EFEITO!$Y$23</f>
        <v>0</v>
      </c>
      <c r="K23" s="56">
        <f ca="1">EFEITO!$L$23*EFEITO!$Z$23</f>
        <v>34446.940885470576</v>
      </c>
      <c r="L23" s="56">
        <f>EFEITO!$N$23*EFEITO!$AA$23</f>
        <v>0</v>
      </c>
      <c r="M23" s="56">
        <f>$J$23-EFEITO!$K$23*EFEITO!$Y$23</f>
        <v>0</v>
      </c>
      <c r="N23" s="56">
        <f ca="1">$K$23-EFEITO!$M$23*EFEITO!$Z$23</f>
        <v>0</v>
      </c>
      <c r="O23" s="56">
        <f>$L$23-EFEITO!$O$23*EFEITO!$AA$23</f>
        <v>0</v>
      </c>
      <c r="P23" s="39"/>
      <c r="Q23" s="39"/>
      <c r="R23" s="39"/>
      <c r="S23" s="39"/>
      <c r="T23" s="39"/>
      <c r="U23" s="39"/>
      <c r="V23" s="39"/>
      <c r="W23" s="3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21</v>
      </c>
      <c r="B24" s="35" t="s">
        <v>42</v>
      </c>
      <c r="C24" s="35" t="s">
        <v>34</v>
      </c>
      <c r="D24" s="35" t="s">
        <v>40</v>
      </c>
      <c r="E24" s="35" t="s">
        <v>25</v>
      </c>
      <c r="F24" s="35" t="s">
        <v>54</v>
      </c>
      <c r="G24" s="35" t="s">
        <v>25</v>
      </c>
      <c r="H24" s="35" t="s">
        <v>35</v>
      </c>
      <c r="I24" s="55">
        <v>44621</v>
      </c>
      <c r="J24" s="56">
        <f>EFEITO!$J$24*EFEITO!$Y$24</f>
        <v>0</v>
      </c>
      <c r="K24" s="56">
        <f ca="1">EFEITO!$L$24*EFEITO!$Z$24</f>
        <v>35123.481282810455</v>
      </c>
      <c r="L24" s="56">
        <f>EFEITO!$N$24*EFEITO!$AA$24</f>
        <v>0</v>
      </c>
      <c r="M24" s="56">
        <f>$J$24-EFEITO!$K$24*EFEITO!$Y$24</f>
        <v>0</v>
      </c>
      <c r="N24" s="56">
        <f ca="1">$K$24-EFEITO!$M$24*EFEITO!$Z$24</f>
        <v>0</v>
      </c>
      <c r="O24" s="56">
        <f>$L$24-EFEITO!$O$24*EFEITO!$AA$24</f>
        <v>0</v>
      </c>
      <c r="P24" s="39"/>
      <c r="Q24" s="39"/>
      <c r="R24" s="39"/>
      <c r="S24" s="39"/>
      <c r="T24" s="39"/>
      <c r="U24" s="39"/>
      <c r="V24" s="39"/>
      <c r="W24" s="3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21</v>
      </c>
      <c r="B25" s="35" t="s">
        <v>42</v>
      </c>
      <c r="C25" s="35" t="s">
        <v>34</v>
      </c>
      <c r="D25" s="35" t="s">
        <v>40</v>
      </c>
      <c r="E25" s="35" t="s">
        <v>25</v>
      </c>
      <c r="F25" s="35" t="s">
        <v>54</v>
      </c>
      <c r="G25" s="35" t="s">
        <v>25</v>
      </c>
      <c r="H25" s="35" t="s">
        <v>35</v>
      </c>
      <c r="I25" s="55">
        <v>44652</v>
      </c>
      <c r="J25" s="56">
        <f>EFEITO!$J$25*EFEITO!$Y$25</f>
        <v>0</v>
      </c>
      <c r="K25" s="56">
        <f ca="1">EFEITO!$L$25*EFEITO!$Z$25</f>
        <v>40875.409498207977</v>
      </c>
      <c r="L25" s="56">
        <f>EFEITO!$N$25*EFEITO!$AA$25</f>
        <v>0</v>
      </c>
      <c r="M25" s="56">
        <f>$J$25-EFEITO!$K$25*EFEITO!$Y$25</f>
        <v>0</v>
      </c>
      <c r="N25" s="56">
        <f ca="1">$K$25-EFEITO!$M$25*EFEITO!$Z$25</f>
        <v>0</v>
      </c>
      <c r="O25" s="56">
        <f>$L$25-EFEITO!$O$25*EFEITO!$AA$25</f>
        <v>0</v>
      </c>
      <c r="P25" s="39"/>
      <c r="Q25" s="39"/>
      <c r="R25" s="39"/>
      <c r="S25" s="39"/>
      <c r="T25" s="39"/>
      <c r="U25" s="39"/>
      <c r="V25" s="39"/>
      <c r="W25" s="3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21</v>
      </c>
      <c r="B26" s="35" t="s">
        <v>42</v>
      </c>
      <c r="C26" s="35" t="s">
        <v>34</v>
      </c>
      <c r="D26" s="35" t="s">
        <v>40</v>
      </c>
      <c r="E26" s="35" t="s">
        <v>25</v>
      </c>
      <c r="F26" s="35" t="s">
        <v>54</v>
      </c>
      <c r="G26" s="35" t="s">
        <v>25</v>
      </c>
      <c r="H26" s="35" t="s">
        <v>35</v>
      </c>
      <c r="I26" s="55">
        <v>44682</v>
      </c>
      <c r="J26" s="56">
        <f>EFEITO!$J$26*EFEITO!$Y$26</f>
        <v>0</v>
      </c>
      <c r="K26" s="56">
        <f ca="1">EFEITO!$L$26*EFEITO!$Z$26</f>
        <v>102189.63611052708</v>
      </c>
      <c r="L26" s="56">
        <f>EFEITO!$N$26*EFEITO!$AA$26</f>
        <v>0</v>
      </c>
      <c r="M26" s="56">
        <f>$J$26-EFEITO!$K$26*EFEITO!$Y$26</f>
        <v>0</v>
      </c>
      <c r="N26" s="56">
        <f ca="1">$K$26-EFEITO!$M$26*EFEITO!$Z$26</f>
        <v>0</v>
      </c>
      <c r="O26" s="56">
        <f>$L$26-EFEITO!$O$26*EFEITO!$AA$26</f>
        <v>0</v>
      </c>
      <c r="P26" s="39"/>
      <c r="Q26" s="39"/>
      <c r="R26" s="39"/>
      <c r="S26" s="39"/>
      <c r="T26" s="39"/>
      <c r="U26" s="39"/>
      <c r="V26" s="39"/>
      <c r="W26" s="3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42</v>
      </c>
      <c r="C27" s="35" t="s">
        <v>34</v>
      </c>
      <c r="D27" s="35" t="s">
        <v>40</v>
      </c>
      <c r="E27" s="35" t="s">
        <v>25</v>
      </c>
      <c r="F27" s="35" t="s">
        <v>54</v>
      </c>
      <c r="G27" s="35" t="s">
        <v>25</v>
      </c>
      <c r="H27" s="35" t="s">
        <v>25</v>
      </c>
      <c r="I27" s="55">
        <v>44348</v>
      </c>
      <c r="J27" s="56">
        <f ca="1">EFEITO!$J$27*EFEITO!$Y$27</f>
        <v>40469.846508991235</v>
      </c>
      <c r="K27" s="56">
        <f>EFEITO!$L$27*EFEITO!$Z$27</f>
        <v>0</v>
      </c>
      <c r="L27" s="56">
        <f>EFEITO!$N$27*EFEITO!$AA$27</f>
        <v>0</v>
      </c>
      <c r="M27" s="56">
        <f ca="1">$J$27-EFEITO!$K$27*EFEITO!$Y$27</f>
        <v>20234.923254495618</v>
      </c>
      <c r="N27" s="56">
        <f>$K$27-EFEITO!$M$27*EFEITO!$Z$27</f>
        <v>0</v>
      </c>
      <c r="O27" s="56">
        <f>$L$27-EFEITO!$O$27*EFEITO!$AA$27</f>
        <v>0</v>
      </c>
      <c r="P27" s="39"/>
      <c r="Q27" s="39"/>
      <c r="R27" s="39"/>
      <c r="S27" s="39"/>
      <c r="T27" s="39"/>
      <c r="U27" s="39"/>
      <c r="V27" s="39"/>
      <c r="W27" s="3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21</v>
      </c>
      <c r="B28" s="35" t="s">
        <v>42</v>
      </c>
      <c r="C28" s="35" t="s">
        <v>34</v>
      </c>
      <c r="D28" s="35" t="s">
        <v>40</v>
      </c>
      <c r="E28" s="35" t="s">
        <v>25</v>
      </c>
      <c r="F28" s="35" t="s">
        <v>54</v>
      </c>
      <c r="G28" s="35" t="s">
        <v>25</v>
      </c>
      <c r="H28" s="35" t="s">
        <v>25</v>
      </c>
      <c r="I28" s="55">
        <v>44378</v>
      </c>
      <c r="J28" s="56">
        <f ca="1">EFEITO!$J$28*EFEITO!$Y$28</f>
        <v>40469.846508991235</v>
      </c>
      <c r="K28" s="56">
        <f>EFEITO!$L$28*EFEITO!$Z$28</f>
        <v>0</v>
      </c>
      <c r="L28" s="56">
        <f>EFEITO!$N$28*EFEITO!$AA$28</f>
        <v>0</v>
      </c>
      <c r="M28" s="56">
        <f ca="1">$J$28-EFEITO!$K$28*EFEITO!$Y$28</f>
        <v>20234.923254495618</v>
      </c>
      <c r="N28" s="56">
        <f>$K$28-EFEITO!$M$28*EFEITO!$Z$28</f>
        <v>0</v>
      </c>
      <c r="O28" s="56">
        <f>$L$28-EFEITO!$O$28*EFEITO!$AA$28</f>
        <v>0</v>
      </c>
      <c r="P28" s="39"/>
      <c r="Q28" s="39"/>
      <c r="R28" s="39"/>
      <c r="S28" s="39"/>
      <c r="T28" s="39"/>
      <c r="U28" s="39"/>
      <c r="V28" s="39"/>
      <c r="W28" s="3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42</v>
      </c>
      <c r="C29" s="35" t="s">
        <v>34</v>
      </c>
      <c r="D29" s="35" t="s">
        <v>40</v>
      </c>
      <c r="E29" s="35" t="s">
        <v>25</v>
      </c>
      <c r="F29" s="35" t="s">
        <v>54</v>
      </c>
      <c r="G29" s="35" t="s">
        <v>25</v>
      </c>
      <c r="H29" s="35" t="s">
        <v>25</v>
      </c>
      <c r="I29" s="55">
        <v>44409</v>
      </c>
      <c r="J29" s="56">
        <f ca="1">EFEITO!$J$29*EFEITO!$Y$29</f>
        <v>40469.846508991235</v>
      </c>
      <c r="K29" s="56">
        <f>EFEITO!$L$29*EFEITO!$Z$29</f>
        <v>0</v>
      </c>
      <c r="L29" s="56">
        <f>EFEITO!$N$29*EFEITO!$AA$29</f>
        <v>0</v>
      </c>
      <c r="M29" s="56">
        <f ca="1">$J$29-EFEITO!$K$29*EFEITO!$Y$29</f>
        <v>20234.923254495618</v>
      </c>
      <c r="N29" s="56">
        <f>$K$29-EFEITO!$M$29*EFEITO!$Z$29</f>
        <v>0</v>
      </c>
      <c r="O29" s="56">
        <f>$L$29-EFEITO!$O$29*EFEITO!$AA$29</f>
        <v>0</v>
      </c>
      <c r="P29" s="39"/>
      <c r="Q29" s="39"/>
      <c r="R29" s="39"/>
      <c r="S29" s="39"/>
      <c r="T29" s="39"/>
      <c r="U29" s="39"/>
      <c r="V29" s="39"/>
      <c r="W29" s="3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21</v>
      </c>
      <c r="B30" s="35" t="s">
        <v>42</v>
      </c>
      <c r="C30" s="35" t="s">
        <v>34</v>
      </c>
      <c r="D30" s="35" t="s">
        <v>40</v>
      </c>
      <c r="E30" s="35" t="s">
        <v>25</v>
      </c>
      <c r="F30" s="35" t="s">
        <v>54</v>
      </c>
      <c r="G30" s="35" t="s">
        <v>25</v>
      </c>
      <c r="H30" s="35" t="s">
        <v>25</v>
      </c>
      <c r="I30" s="55">
        <v>44440</v>
      </c>
      <c r="J30" s="56">
        <f ca="1">EFEITO!$J$30*EFEITO!$Y$30</f>
        <v>40668.066165361801</v>
      </c>
      <c r="K30" s="56">
        <f>EFEITO!$L$30*EFEITO!$Z$30</f>
        <v>0</v>
      </c>
      <c r="L30" s="56">
        <f>EFEITO!$N$30*EFEITO!$AA$30</f>
        <v>0</v>
      </c>
      <c r="M30" s="56">
        <f ca="1">$J$30-EFEITO!$K$30*EFEITO!$Y$30</f>
        <v>20334.0330826809</v>
      </c>
      <c r="N30" s="56">
        <f>$K$30-EFEITO!$M$30*EFEITO!$Z$30</f>
        <v>0</v>
      </c>
      <c r="O30" s="56">
        <f>$L$30-EFEITO!$O$30*EFEITO!$AA$30</f>
        <v>0</v>
      </c>
      <c r="P30" s="39"/>
      <c r="Q30" s="39"/>
      <c r="R30" s="39"/>
      <c r="S30" s="39"/>
      <c r="T30" s="39"/>
      <c r="U30" s="39"/>
      <c r="V30" s="39"/>
      <c r="W30" s="3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42</v>
      </c>
      <c r="C31" s="35" t="s">
        <v>34</v>
      </c>
      <c r="D31" s="35" t="s">
        <v>40</v>
      </c>
      <c r="E31" s="35" t="s">
        <v>25</v>
      </c>
      <c r="F31" s="35" t="s">
        <v>54</v>
      </c>
      <c r="G31" s="35" t="s">
        <v>25</v>
      </c>
      <c r="H31" s="35" t="s">
        <v>25</v>
      </c>
      <c r="I31" s="55">
        <v>44470</v>
      </c>
      <c r="J31" s="56">
        <f ca="1">EFEITO!$J$31*EFEITO!$Y$31</f>
        <v>40469.846508991235</v>
      </c>
      <c r="K31" s="56">
        <f>EFEITO!$L$31*EFEITO!$Z$31</f>
        <v>0</v>
      </c>
      <c r="L31" s="56">
        <f>EFEITO!$N$31*EFEITO!$AA$31</f>
        <v>0</v>
      </c>
      <c r="M31" s="56">
        <f ca="1">$J$31-EFEITO!$K$31*EFEITO!$Y$31</f>
        <v>20234.923254495618</v>
      </c>
      <c r="N31" s="56">
        <f>$K$31-EFEITO!$M$31*EFEITO!$Z$31</f>
        <v>0</v>
      </c>
      <c r="O31" s="56">
        <f>$L$31-EFEITO!$O$31*EFEITO!$AA$31</f>
        <v>0</v>
      </c>
      <c r="P31" s="39"/>
      <c r="Q31" s="39"/>
      <c r="R31" s="39"/>
      <c r="S31" s="39"/>
      <c r="T31" s="39"/>
      <c r="U31" s="39"/>
      <c r="V31" s="39"/>
      <c r="W31" s="3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21</v>
      </c>
      <c r="B32" s="35" t="s">
        <v>42</v>
      </c>
      <c r="C32" s="35" t="s">
        <v>34</v>
      </c>
      <c r="D32" s="35" t="s">
        <v>40</v>
      </c>
      <c r="E32" s="35" t="s">
        <v>25</v>
      </c>
      <c r="F32" s="35" t="s">
        <v>54</v>
      </c>
      <c r="G32" s="35" t="s">
        <v>25</v>
      </c>
      <c r="H32" s="35" t="s">
        <v>25</v>
      </c>
      <c r="I32" s="55">
        <v>44501</v>
      </c>
      <c r="J32" s="56">
        <f ca="1">EFEITO!$J$32*EFEITO!$Y$32</f>
        <v>40469.846508991235</v>
      </c>
      <c r="K32" s="56">
        <f>EFEITO!$L$32*EFEITO!$Z$32</f>
        <v>0</v>
      </c>
      <c r="L32" s="56">
        <f>EFEITO!$N$32*EFEITO!$AA$32</f>
        <v>0</v>
      </c>
      <c r="M32" s="56">
        <f ca="1">$J$32-EFEITO!$K$32*EFEITO!$Y$32</f>
        <v>20234.923254495618</v>
      </c>
      <c r="N32" s="56">
        <f>$K$32-EFEITO!$M$32*EFEITO!$Z$32</f>
        <v>0</v>
      </c>
      <c r="O32" s="56">
        <f>$L$32-EFEITO!$O$32*EFEITO!$AA$32</f>
        <v>0</v>
      </c>
      <c r="P32" s="39"/>
      <c r="Q32" s="39"/>
      <c r="R32" s="39"/>
      <c r="S32" s="39"/>
      <c r="T32" s="39"/>
      <c r="U32" s="39"/>
      <c r="V32" s="39"/>
      <c r="W32" s="3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42</v>
      </c>
      <c r="C33" s="35" t="s">
        <v>34</v>
      </c>
      <c r="D33" s="35" t="s">
        <v>40</v>
      </c>
      <c r="E33" s="35" t="s">
        <v>25</v>
      </c>
      <c r="F33" s="35" t="s">
        <v>54</v>
      </c>
      <c r="G33" s="35" t="s">
        <v>25</v>
      </c>
      <c r="H33" s="35" t="s">
        <v>25</v>
      </c>
      <c r="I33" s="55">
        <v>44531</v>
      </c>
      <c r="J33" s="56">
        <f ca="1">EFEITO!$J$33*EFEITO!$Y$33</f>
        <v>40469.846508991235</v>
      </c>
      <c r="K33" s="56">
        <f>EFEITO!$L$33*EFEITO!$Z$33</f>
        <v>0</v>
      </c>
      <c r="L33" s="56">
        <f>EFEITO!$N$33*EFEITO!$AA$33</f>
        <v>0</v>
      </c>
      <c r="M33" s="56">
        <f ca="1">$J$33-EFEITO!$K$33*EFEITO!$Y$33</f>
        <v>20234.923254495618</v>
      </c>
      <c r="N33" s="56">
        <f>$K$33-EFEITO!$M$33*EFEITO!$Z$33</f>
        <v>0</v>
      </c>
      <c r="O33" s="56">
        <f>$L$33-EFEITO!$O$33*EFEITO!$AA$33</f>
        <v>0</v>
      </c>
      <c r="P33" s="39"/>
      <c r="Q33" s="39"/>
      <c r="R33" s="39"/>
      <c r="S33" s="39"/>
      <c r="T33" s="39"/>
      <c r="U33" s="39"/>
      <c r="V33" s="39"/>
      <c r="W33" s="3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21</v>
      </c>
      <c r="B34" s="35" t="s">
        <v>42</v>
      </c>
      <c r="C34" s="35" t="s">
        <v>34</v>
      </c>
      <c r="D34" s="35" t="s">
        <v>40</v>
      </c>
      <c r="E34" s="35" t="s">
        <v>25</v>
      </c>
      <c r="F34" s="35" t="s">
        <v>54</v>
      </c>
      <c r="G34" s="35" t="s">
        <v>25</v>
      </c>
      <c r="H34" s="35" t="s">
        <v>25</v>
      </c>
      <c r="I34" s="55">
        <v>44562</v>
      </c>
      <c r="J34" s="56">
        <f ca="1">EFEITO!$J$34*EFEITO!$Y$34</f>
        <v>40469.846508991235</v>
      </c>
      <c r="K34" s="56">
        <f>EFEITO!$L$34*EFEITO!$Z$34</f>
        <v>0</v>
      </c>
      <c r="L34" s="56">
        <f>EFEITO!$N$34*EFEITO!$AA$34</f>
        <v>0</v>
      </c>
      <c r="M34" s="56">
        <f ca="1">$J$34-EFEITO!$K$34*EFEITO!$Y$34</f>
        <v>20234.923254495618</v>
      </c>
      <c r="N34" s="56">
        <f>$K$34-EFEITO!$M$34*EFEITO!$Z$34</f>
        <v>0</v>
      </c>
      <c r="O34" s="56">
        <f>$L$34-EFEITO!$O$34*EFEITO!$AA$34</f>
        <v>0</v>
      </c>
      <c r="P34" s="39"/>
      <c r="Q34" s="39"/>
      <c r="R34" s="39"/>
      <c r="S34" s="39"/>
      <c r="T34" s="39"/>
      <c r="U34" s="39"/>
      <c r="V34" s="39"/>
      <c r="W34" s="3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42</v>
      </c>
      <c r="C35" s="35" t="s">
        <v>34</v>
      </c>
      <c r="D35" s="35" t="s">
        <v>40</v>
      </c>
      <c r="E35" s="35" t="s">
        <v>25</v>
      </c>
      <c r="F35" s="35" t="s">
        <v>54</v>
      </c>
      <c r="G35" s="35" t="s">
        <v>25</v>
      </c>
      <c r="H35" s="35" t="s">
        <v>25</v>
      </c>
      <c r="I35" s="55">
        <v>44593</v>
      </c>
      <c r="J35" s="56">
        <f ca="1">EFEITO!$J$35*EFEITO!$Y$35</f>
        <v>40469.846508991235</v>
      </c>
      <c r="K35" s="56">
        <f>EFEITO!$L$35*EFEITO!$Z$35</f>
        <v>0</v>
      </c>
      <c r="L35" s="56">
        <f>EFEITO!$N$35*EFEITO!$AA$35</f>
        <v>0</v>
      </c>
      <c r="M35" s="56">
        <f ca="1">$J$35-EFEITO!$K$35*EFEITO!$Y$35</f>
        <v>20234.923254495618</v>
      </c>
      <c r="N35" s="56">
        <f>$K$35-EFEITO!$M$35*EFEITO!$Z$35</f>
        <v>0</v>
      </c>
      <c r="O35" s="56">
        <f>$L$35-EFEITO!$O$35*EFEITO!$AA$35</f>
        <v>0</v>
      </c>
      <c r="P35" s="39"/>
      <c r="Q35" s="39"/>
      <c r="R35" s="39"/>
      <c r="S35" s="39"/>
      <c r="T35" s="39"/>
      <c r="U35" s="39"/>
      <c r="V35" s="39"/>
      <c r="W35" s="3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21</v>
      </c>
      <c r="B36" s="35" t="s">
        <v>42</v>
      </c>
      <c r="C36" s="35" t="s">
        <v>34</v>
      </c>
      <c r="D36" s="35" t="s">
        <v>40</v>
      </c>
      <c r="E36" s="35" t="s">
        <v>25</v>
      </c>
      <c r="F36" s="35" t="s">
        <v>54</v>
      </c>
      <c r="G36" s="35" t="s">
        <v>25</v>
      </c>
      <c r="H36" s="35" t="s">
        <v>25</v>
      </c>
      <c r="I36" s="55">
        <v>44621</v>
      </c>
      <c r="J36" s="56">
        <f ca="1">EFEITO!$J$36*EFEITO!$Y$36</f>
        <v>40469.846508991235</v>
      </c>
      <c r="K36" s="56">
        <f>EFEITO!$L$36*EFEITO!$Z$36</f>
        <v>0</v>
      </c>
      <c r="L36" s="56">
        <f>EFEITO!$N$36*EFEITO!$AA$36</f>
        <v>0</v>
      </c>
      <c r="M36" s="56">
        <f ca="1">$J$36-EFEITO!$K$36*EFEITO!$Y$36</f>
        <v>20234.923254495618</v>
      </c>
      <c r="N36" s="56">
        <f>$K$36-EFEITO!$M$36*EFEITO!$Z$36</f>
        <v>0</v>
      </c>
      <c r="O36" s="56">
        <f>$L$36-EFEITO!$O$36*EFEITO!$AA$36</f>
        <v>0</v>
      </c>
      <c r="P36" s="39"/>
      <c r="Q36" s="39"/>
      <c r="R36" s="39"/>
      <c r="S36" s="39"/>
      <c r="T36" s="39"/>
      <c r="U36" s="39"/>
      <c r="V36" s="39"/>
      <c r="W36" s="3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21</v>
      </c>
      <c r="B37" s="35" t="s">
        <v>42</v>
      </c>
      <c r="C37" s="35" t="s">
        <v>34</v>
      </c>
      <c r="D37" s="35" t="s">
        <v>40</v>
      </c>
      <c r="E37" s="35" t="s">
        <v>25</v>
      </c>
      <c r="F37" s="35" t="s">
        <v>54</v>
      </c>
      <c r="G37" s="35" t="s">
        <v>25</v>
      </c>
      <c r="H37" s="35" t="s">
        <v>25</v>
      </c>
      <c r="I37" s="55">
        <v>44652</v>
      </c>
      <c r="J37" s="56">
        <f ca="1">EFEITO!$J$37*EFEITO!$Y$37</f>
        <v>41064.505478102939</v>
      </c>
      <c r="K37" s="56">
        <f>EFEITO!$L$37*EFEITO!$Z$37</f>
        <v>0</v>
      </c>
      <c r="L37" s="56">
        <f>EFEITO!$N$37*EFEITO!$AA$37</f>
        <v>0</v>
      </c>
      <c r="M37" s="56">
        <f ca="1">$J$37-EFEITO!$K$37*EFEITO!$Y$37</f>
        <v>20532.25273905147</v>
      </c>
      <c r="N37" s="56">
        <f>$K$37-EFEITO!$M$37*EFEITO!$Z$37</f>
        <v>0</v>
      </c>
      <c r="O37" s="56">
        <f>$L$37-EFEITO!$O$37*EFEITO!$AA$37</f>
        <v>0</v>
      </c>
      <c r="P37" s="39"/>
      <c r="Q37" s="39"/>
      <c r="R37" s="39"/>
      <c r="S37" s="39"/>
      <c r="T37" s="39"/>
      <c r="U37" s="39"/>
      <c r="V37" s="39"/>
      <c r="W37" s="3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21</v>
      </c>
      <c r="B38" s="35" t="s">
        <v>42</v>
      </c>
      <c r="C38" s="35" t="s">
        <v>34</v>
      </c>
      <c r="D38" s="35" t="s">
        <v>40</v>
      </c>
      <c r="E38" s="35" t="s">
        <v>25</v>
      </c>
      <c r="F38" s="35" t="s">
        <v>54</v>
      </c>
      <c r="G38" s="35" t="s">
        <v>25</v>
      </c>
      <c r="H38" s="35" t="s">
        <v>25</v>
      </c>
      <c r="I38" s="55">
        <v>44682</v>
      </c>
      <c r="J38" s="56">
        <f ca="1">EFEITO!$J$38*EFEITO!$Y$38</f>
        <v>66304.475055955438</v>
      </c>
      <c r="K38" s="56">
        <f>EFEITO!$L$38*EFEITO!$Z$38</f>
        <v>0</v>
      </c>
      <c r="L38" s="56">
        <f>EFEITO!$N$38*EFEITO!$AA$38</f>
        <v>0</v>
      </c>
      <c r="M38" s="56">
        <f ca="1">$J$38-EFEITO!$K$38*EFEITO!$Y$38</f>
        <v>33152.237527977719</v>
      </c>
      <c r="N38" s="56">
        <f>$K$38-EFEITO!$M$38*EFEITO!$Z$38</f>
        <v>0</v>
      </c>
      <c r="O38" s="56">
        <f>$L$38-EFEITO!$O$38*EFEITO!$AA$38</f>
        <v>0</v>
      </c>
      <c r="P38" s="39"/>
      <c r="Q38" s="39"/>
      <c r="R38" s="39"/>
      <c r="S38" s="39"/>
      <c r="T38" s="39"/>
      <c r="U38" s="39"/>
      <c r="V38" s="39"/>
      <c r="W38" s="3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42</v>
      </c>
      <c r="C39" s="35" t="s">
        <v>34</v>
      </c>
      <c r="D39" s="35" t="s">
        <v>40</v>
      </c>
      <c r="E39" s="35" t="s">
        <v>25</v>
      </c>
      <c r="F39" s="35" t="s">
        <v>54</v>
      </c>
      <c r="G39" s="35" t="s">
        <v>25</v>
      </c>
      <c r="H39" s="35" t="s">
        <v>37</v>
      </c>
      <c r="I39" s="55">
        <v>44348</v>
      </c>
      <c r="J39" s="56">
        <f>EFEITO!$J$39*EFEITO!$Y$39</f>
        <v>0</v>
      </c>
      <c r="K39" s="56">
        <f ca="1">EFEITO!$L$39*EFEITO!$Z$39</f>
        <v>48879.356264190341</v>
      </c>
      <c r="L39" s="56">
        <f>EFEITO!$N$39*EFEITO!$AA$39</f>
        <v>0</v>
      </c>
      <c r="M39" s="56">
        <f>$J$39-EFEITO!$K$39*EFEITO!$Y$39</f>
        <v>0</v>
      </c>
      <c r="N39" s="56">
        <f ca="1">$K$39-EFEITO!$M$39*EFEITO!$Z$39</f>
        <v>24439.67813209517</v>
      </c>
      <c r="O39" s="56">
        <f>$L$39-EFEITO!$O$39*EFEITO!$AA$39</f>
        <v>0</v>
      </c>
      <c r="P39" s="39"/>
      <c r="Q39" s="39"/>
      <c r="R39" s="39"/>
      <c r="S39" s="39"/>
      <c r="T39" s="39"/>
      <c r="U39" s="39"/>
      <c r="V39" s="39"/>
      <c r="W39" s="3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21</v>
      </c>
      <c r="B40" s="35" t="s">
        <v>42</v>
      </c>
      <c r="C40" s="35" t="s">
        <v>34</v>
      </c>
      <c r="D40" s="35" t="s">
        <v>40</v>
      </c>
      <c r="E40" s="35" t="s">
        <v>25</v>
      </c>
      <c r="F40" s="35" t="s">
        <v>54</v>
      </c>
      <c r="G40" s="35" t="s">
        <v>25</v>
      </c>
      <c r="H40" s="35" t="s">
        <v>37</v>
      </c>
      <c r="I40" s="55">
        <v>44378</v>
      </c>
      <c r="J40" s="56">
        <f>EFEITO!$J$40*EFEITO!$Y$40</f>
        <v>0</v>
      </c>
      <c r="K40" s="56">
        <f ca="1">EFEITO!$L$40*EFEITO!$Z$40</f>
        <v>43470.734779729297</v>
      </c>
      <c r="L40" s="56">
        <f>EFEITO!$N$40*EFEITO!$AA$40</f>
        <v>0</v>
      </c>
      <c r="M40" s="56">
        <f>$J$40-EFEITO!$K$40*EFEITO!$Y$40</f>
        <v>0</v>
      </c>
      <c r="N40" s="56">
        <f ca="1">$K$40-EFEITO!$M$40*EFEITO!$Z$40</f>
        <v>21735.367389864648</v>
      </c>
      <c r="O40" s="56">
        <f>$L$40-EFEITO!$O$40*EFEITO!$AA$40</f>
        <v>0</v>
      </c>
      <c r="P40" s="39"/>
      <c r="Q40" s="39"/>
      <c r="R40" s="39"/>
      <c r="S40" s="39"/>
      <c r="T40" s="39"/>
      <c r="U40" s="39"/>
      <c r="V40" s="39"/>
      <c r="W40" s="3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21</v>
      </c>
      <c r="B41" s="35" t="s">
        <v>42</v>
      </c>
      <c r="C41" s="35" t="s">
        <v>34</v>
      </c>
      <c r="D41" s="35" t="s">
        <v>40</v>
      </c>
      <c r="E41" s="35" t="s">
        <v>25</v>
      </c>
      <c r="F41" s="35" t="s">
        <v>54</v>
      </c>
      <c r="G41" s="35" t="s">
        <v>25</v>
      </c>
      <c r="H41" s="35" t="s">
        <v>37</v>
      </c>
      <c r="I41" s="55">
        <v>44409</v>
      </c>
      <c r="J41" s="56">
        <f>EFEITO!$J$41*EFEITO!$Y$41</f>
        <v>0</v>
      </c>
      <c r="K41" s="56">
        <f ca="1">EFEITO!$L$41*EFEITO!$Z$41</f>
        <v>10758.777581955681</v>
      </c>
      <c r="L41" s="56">
        <f>EFEITO!$N$41*EFEITO!$AA$41</f>
        <v>0</v>
      </c>
      <c r="M41" s="56">
        <f>$J$41-EFEITO!$K$41*EFEITO!$Y$41</f>
        <v>0</v>
      </c>
      <c r="N41" s="56">
        <f ca="1">$K$41-EFEITO!$M$41*EFEITO!$Z$41</f>
        <v>5379.3887909778405</v>
      </c>
      <c r="O41" s="56">
        <f>$L$41-EFEITO!$O$41*EFEITO!$AA$41</f>
        <v>0</v>
      </c>
      <c r="P41" s="39"/>
      <c r="Q41" s="39"/>
      <c r="R41" s="39"/>
      <c r="S41" s="39"/>
      <c r="T41" s="39"/>
      <c r="U41" s="39"/>
      <c r="V41" s="39"/>
      <c r="W41" s="3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21</v>
      </c>
      <c r="B42" s="35" t="s">
        <v>42</v>
      </c>
      <c r="C42" s="35" t="s">
        <v>34</v>
      </c>
      <c r="D42" s="35" t="s">
        <v>40</v>
      </c>
      <c r="E42" s="35" t="s">
        <v>25</v>
      </c>
      <c r="F42" s="35" t="s">
        <v>54</v>
      </c>
      <c r="G42" s="35" t="s">
        <v>25</v>
      </c>
      <c r="H42" s="35" t="s">
        <v>37</v>
      </c>
      <c r="I42" s="55">
        <v>44440</v>
      </c>
      <c r="J42" s="56">
        <f>EFEITO!$J$42*EFEITO!$Y$42</f>
        <v>0</v>
      </c>
      <c r="K42" s="56">
        <f ca="1">EFEITO!$L$42*EFEITO!$Z$42</f>
        <v>10014.776873304725</v>
      </c>
      <c r="L42" s="56">
        <f>EFEITO!$N$42*EFEITO!$AA$42</f>
        <v>0</v>
      </c>
      <c r="M42" s="56">
        <f>$J$42-EFEITO!$K$42*EFEITO!$Y$42</f>
        <v>0</v>
      </c>
      <c r="N42" s="56">
        <f ca="1">$K$42-EFEITO!$M$42*EFEITO!$Z$42</f>
        <v>5007.3884366523625</v>
      </c>
      <c r="O42" s="56">
        <f>$L$42-EFEITO!$O$42*EFEITO!$AA$42</f>
        <v>0</v>
      </c>
      <c r="P42" s="39"/>
      <c r="Q42" s="39"/>
      <c r="R42" s="39"/>
      <c r="S42" s="39"/>
      <c r="T42" s="39"/>
      <c r="U42" s="39"/>
      <c r="V42" s="39"/>
      <c r="W42" s="3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42</v>
      </c>
      <c r="C43" s="35" t="s">
        <v>34</v>
      </c>
      <c r="D43" s="35" t="s">
        <v>40</v>
      </c>
      <c r="E43" s="35" t="s">
        <v>25</v>
      </c>
      <c r="F43" s="35" t="s">
        <v>54</v>
      </c>
      <c r="G43" s="35" t="s">
        <v>25</v>
      </c>
      <c r="H43" s="35" t="s">
        <v>37</v>
      </c>
      <c r="I43" s="55">
        <v>44470</v>
      </c>
      <c r="J43" s="56">
        <f>EFEITO!$J$43*EFEITO!$Y$43</f>
        <v>0</v>
      </c>
      <c r="K43" s="56">
        <f ca="1">EFEITO!$L$43*EFEITO!$Z$43</f>
        <v>44446.304275972696</v>
      </c>
      <c r="L43" s="56">
        <f>EFEITO!$N$43*EFEITO!$AA$43</f>
        <v>0</v>
      </c>
      <c r="M43" s="56">
        <f>$J$43-EFEITO!$K$43*EFEITO!$Y$43</f>
        <v>0</v>
      </c>
      <c r="N43" s="56">
        <f ca="1">$K$43-EFEITO!$M$43*EFEITO!$Z$43</f>
        <v>22223.152137986348</v>
      </c>
      <c r="O43" s="56">
        <f>$L$43-EFEITO!$O$43*EFEITO!$AA$43</f>
        <v>0</v>
      </c>
      <c r="P43" s="39"/>
      <c r="Q43" s="39"/>
      <c r="R43" s="39"/>
      <c r="S43" s="39"/>
      <c r="T43" s="39"/>
      <c r="U43" s="39"/>
      <c r="V43" s="39"/>
      <c r="W43" s="3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21</v>
      </c>
      <c r="B44" s="35" t="s">
        <v>42</v>
      </c>
      <c r="C44" s="35" t="s">
        <v>34</v>
      </c>
      <c r="D44" s="35" t="s">
        <v>40</v>
      </c>
      <c r="E44" s="35" t="s">
        <v>25</v>
      </c>
      <c r="F44" s="35" t="s">
        <v>54</v>
      </c>
      <c r="G44" s="35" t="s">
        <v>25</v>
      </c>
      <c r="H44" s="35" t="s">
        <v>37</v>
      </c>
      <c r="I44" s="55">
        <v>44501</v>
      </c>
      <c r="J44" s="56">
        <f>EFEITO!$J$44*EFEITO!$Y$44</f>
        <v>0</v>
      </c>
      <c r="K44" s="56">
        <f ca="1">EFEITO!$L$44*EFEITO!$Z$44</f>
        <v>40149.671524010002</v>
      </c>
      <c r="L44" s="56">
        <f>EFEITO!$N$44*EFEITO!$AA$44</f>
        <v>0</v>
      </c>
      <c r="M44" s="56">
        <f>$J$44-EFEITO!$K$44*EFEITO!$Y$44</f>
        <v>0</v>
      </c>
      <c r="N44" s="56">
        <f ca="1">$K$44-EFEITO!$M$44*EFEITO!$Z$44</f>
        <v>20074.835762005001</v>
      </c>
      <c r="O44" s="56">
        <f>$L$44-EFEITO!$O$44*EFEITO!$AA$44</f>
        <v>0</v>
      </c>
      <c r="P44" s="39"/>
      <c r="Q44" s="39"/>
      <c r="R44" s="39"/>
      <c r="S44" s="39"/>
      <c r="T44" s="39"/>
      <c r="U44" s="39"/>
      <c r="V44" s="39"/>
      <c r="W44" s="3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21</v>
      </c>
      <c r="B45" s="35" t="s">
        <v>42</v>
      </c>
      <c r="C45" s="35" t="s">
        <v>34</v>
      </c>
      <c r="D45" s="35" t="s">
        <v>40</v>
      </c>
      <c r="E45" s="35" t="s">
        <v>25</v>
      </c>
      <c r="F45" s="35" t="s">
        <v>54</v>
      </c>
      <c r="G45" s="35" t="s">
        <v>25</v>
      </c>
      <c r="H45" s="35" t="s">
        <v>37</v>
      </c>
      <c r="I45" s="55">
        <v>44531</v>
      </c>
      <c r="J45" s="56">
        <f>EFEITO!$J$45*EFEITO!$Y$45</f>
        <v>0</v>
      </c>
      <c r="K45" s="56">
        <f ca="1">EFEITO!$L$45*EFEITO!$Z$45</f>
        <v>38010.526189121418</v>
      </c>
      <c r="L45" s="56">
        <f>EFEITO!$N$45*EFEITO!$AA$45</f>
        <v>0</v>
      </c>
      <c r="M45" s="56">
        <f>$J$45-EFEITO!$K$45*EFEITO!$Y$45</f>
        <v>0</v>
      </c>
      <c r="N45" s="56">
        <f ca="1">$K$45-EFEITO!$M$45*EFEITO!$Z$45</f>
        <v>19005.263094560709</v>
      </c>
      <c r="O45" s="56">
        <f>$L$45-EFEITO!$O$45*EFEITO!$AA$45</f>
        <v>0</v>
      </c>
      <c r="P45" s="39"/>
      <c r="Q45" s="39"/>
      <c r="R45" s="39"/>
      <c r="S45" s="39"/>
      <c r="T45" s="39"/>
      <c r="U45" s="39"/>
      <c r="V45" s="39"/>
      <c r="W45" s="3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21</v>
      </c>
      <c r="B46" s="35" t="s">
        <v>42</v>
      </c>
      <c r="C46" s="35" t="s">
        <v>34</v>
      </c>
      <c r="D46" s="35" t="s">
        <v>40</v>
      </c>
      <c r="E46" s="35" t="s">
        <v>25</v>
      </c>
      <c r="F46" s="35" t="s">
        <v>54</v>
      </c>
      <c r="G46" s="35" t="s">
        <v>25</v>
      </c>
      <c r="H46" s="35" t="s">
        <v>37</v>
      </c>
      <c r="I46" s="55">
        <v>44562</v>
      </c>
      <c r="J46" s="56">
        <f>EFEITO!$J$46*EFEITO!$Y$46</f>
        <v>0</v>
      </c>
      <c r="K46" s="56">
        <f ca="1">EFEITO!$L$46*EFEITO!$Z$46</f>
        <v>39543.236431750593</v>
      </c>
      <c r="L46" s="56">
        <f>EFEITO!$N$46*EFEITO!$AA$46</f>
        <v>0</v>
      </c>
      <c r="M46" s="56">
        <f>$J$46-EFEITO!$K$46*EFEITO!$Y$46</f>
        <v>0</v>
      </c>
      <c r="N46" s="56">
        <f ca="1">$K$46-EFEITO!$M$46*EFEITO!$Z$46</f>
        <v>19771.618215875296</v>
      </c>
      <c r="O46" s="56">
        <f>$L$46-EFEITO!$O$46*EFEITO!$AA$46</f>
        <v>0</v>
      </c>
      <c r="P46" s="39"/>
      <c r="Q46" s="39"/>
      <c r="R46" s="39"/>
      <c r="S46" s="39"/>
      <c r="T46" s="39"/>
      <c r="U46" s="39"/>
      <c r="V46" s="39"/>
      <c r="W46" s="3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42</v>
      </c>
      <c r="C47" s="35" t="s">
        <v>34</v>
      </c>
      <c r="D47" s="35" t="s">
        <v>40</v>
      </c>
      <c r="E47" s="35" t="s">
        <v>25</v>
      </c>
      <c r="F47" s="35" t="s">
        <v>54</v>
      </c>
      <c r="G47" s="35" t="s">
        <v>25</v>
      </c>
      <c r="H47" s="35" t="s">
        <v>37</v>
      </c>
      <c r="I47" s="55">
        <v>44593</v>
      </c>
      <c r="J47" s="56">
        <f>EFEITO!$J$47*EFEITO!$Y$47</f>
        <v>0</v>
      </c>
      <c r="K47" s="56">
        <f ca="1">EFEITO!$L$47*EFEITO!$Z$47</f>
        <v>35182.40639213851</v>
      </c>
      <c r="L47" s="56">
        <f>EFEITO!$N$47*EFEITO!$AA$47</f>
        <v>0</v>
      </c>
      <c r="M47" s="56">
        <f>$J$47-EFEITO!$K$47*EFEITO!$Y$47</f>
        <v>0</v>
      </c>
      <c r="N47" s="56">
        <f ca="1">$K$47-EFEITO!$M$47*EFEITO!$Z$47</f>
        <v>17591.203196069255</v>
      </c>
      <c r="O47" s="56">
        <f>$L$47-EFEITO!$O$47*EFEITO!$AA$47</f>
        <v>0</v>
      </c>
      <c r="P47" s="39"/>
      <c r="Q47" s="39"/>
      <c r="R47" s="39"/>
      <c r="S47" s="39"/>
      <c r="T47" s="39"/>
      <c r="U47" s="39"/>
      <c r="V47" s="39"/>
      <c r="W47" s="3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21</v>
      </c>
      <c r="B48" s="35" t="s">
        <v>42</v>
      </c>
      <c r="C48" s="35" t="s">
        <v>34</v>
      </c>
      <c r="D48" s="35" t="s">
        <v>40</v>
      </c>
      <c r="E48" s="35" t="s">
        <v>25</v>
      </c>
      <c r="F48" s="35" t="s">
        <v>54</v>
      </c>
      <c r="G48" s="35" t="s">
        <v>25</v>
      </c>
      <c r="H48" s="35" t="s">
        <v>37</v>
      </c>
      <c r="I48" s="55">
        <v>44621</v>
      </c>
      <c r="J48" s="56">
        <f>EFEITO!$J$48*EFEITO!$Y$48</f>
        <v>0</v>
      </c>
      <c r="K48" s="56">
        <f ca="1">EFEITO!$L$48*EFEITO!$Z$48</f>
        <v>43171.529564077682</v>
      </c>
      <c r="L48" s="56">
        <f>EFEITO!$N$48*EFEITO!$AA$48</f>
        <v>0</v>
      </c>
      <c r="M48" s="56">
        <f>$J$48-EFEITO!$K$48*EFEITO!$Y$48</f>
        <v>0</v>
      </c>
      <c r="N48" s="56">
        <f ca="1">$K$48-EFEITO!$M$48*EFEITO!$Z$48</f>
        <v>21585.764782038841</v>
      </c>
      <c r="O48" s="56">
        <f>$L$48-EFEITO!$O$48*EFEITO!$AA$48</f>
        <v>0</v>
      </c>
      <c r="P48" s="39"/>
      <c r="Q48" s="39"/>
      <c r="R48" s="39"/>
      <c r="S48" s="39"/>
      <c r="T48" s="39"/>
      <c r="U48" s="39"/>
      <c r="V48" s="39"/>
      <c r="W48" s="3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21</v>
      </c>
      <c r="B49" s="35" t="s">
        <v>42</v>
      </c>
      <c r="C49" s="35" t="s">
        <v>34</v>
      </c>
      <c r="D49" s="35" t="s">
        <v>40</v>
      </c>
      <c r="E49" s="35" t="s">
        <v>25</v>
      </c>
      <c r="F49" s="35" t="s">
        <v>54</v>
      </c>
      <c r="G49" s="35" t="s">
        <v>25</v>
      </c>
      <c r="H49" s="35" t="s">
        <v>37</v>
      </c>
      <c r="I49" s="55">
        <v>44652</v>
      </c>
      <c r="J49" s="56">
        <f>EFEITO!$J$49*EFEITO!$Y$49</f>
        <v>0</v>
      </c>
      <c r="K49" s="56">
        <f ca="1">EFEITO!$L$49*EFEITO!$Z$49</f>
        <v>51049.453862767019</v>
      </c>
      <c r="L49" s="56">
        <f>EFEITO!$N$49*EFEITO!$AA$49</f>
        <v>0</v>
      </c>
      <c r="M49" s="56">
        <f>$J$49-EFEITO!$K$49*EFEITO!$Y$49</f>
        <v>0</v>
      </c>
      <c r="N49" s="56">
        <f ca="1">$K$49-EFEITO!$M$49*EFEITO!$Z$49</f>
        <v>25524.72693138351</v>
      </c>
      <c r="O49" s="56">
        <f>$L$49-EFEITO!$O$49*EFEITO!$AA$49</f>
        <v>0</v>
      </c>
      <c r="P49" s="39"/>
      <c r="Q49" s="39"/>
      <c r="R49" s="39"/>
      <c r="S49" s="39"/>
      <c r="T49" s="39"/>
      <c r="U49" s="39"/>
      <c r="V49" s="39"/>
      <c r="W49" s="3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21</v>
      </c>
      <c r="B50" s="35" t="s">
        <v>42</v>
      </c>
      <c r="C50" s="35" t="s">
        <v>34</v>
      </c>
      <c r="D50" s="35" t="s">
        <v>40</v>
      </c>
      <c r="E50" s="35" t="s">
        <v>25</v>
      </c>
      <c r="F50" s="35" t="s">
        <v>54</v>
      </c>
      <c r="G50" s="35" t="s">
        <v>25</v>
      </c>
      <c r="H50" s="35" t="s">
        <v>37</v>
      </c>
      <c r="I50" s="55">
        <v>44682</v>
      </c>
      <c r="J50" s="56">
        <f>EFEITO!$J$50*EFEITO!$Y$50</f>
        <v>0</v>
      </c>
      <c r="K50" s="56">
        <f ca="1">EFEITO!$L$50*EFEITO!$Z$50</f>
        <v>102730.56318079856</v>
      </c>
      <c r="L50" s="56">
        <f>EFEITO!$N$50*EFEITO!$AA$50</f>
        <v>0</v>
      </c>
      <c r="M50" s="56">
        <f>$J$50-EFEITO!$K$50*EFEITO!$Y$50</f>
        <v>0</v>
      </c>
      <c r="N50" s="56">
        <f ca="1">$K$50-EFEITO!$M$50*EFEITO!$Z$50</f>
        <v>51365.281590399281</v>
      </c>
      <c r="O50" s="56">
        <f>$L$50-EFEITO!$O$50*EFEITO!$AA$50</f>
        <v>0</v>
      </c>
      <c r="P50" s="39"/>
      <c r="Q50" s="39"/>
      <c r="R50" s="39"/>
      <c r="S50" s="39"/>
      <c r="T50" s="39"/>
      <c r="U50" s="39"/>
      <c r="V50" s="39"/>
      <c r="W50" s="3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21</v>
      </c>
      <c r="B51" s="35" t="s">
        <v>42</v>
      </c>
      <c r="C51" s="35" t="s">
        <v>34</v>
      </c>
      <c r="D51" s="35" t="s">
        <v>40</v>
      </c>
      <c r="E51" s="35" t="s">
        <v>25</v>
      </c>
      <c r="F51" s="35" t="s">
        <v>25</v>
      </c>
      <c r="G51" s="35" t="s">
        <v>25</v>
      </c>
      <c r="H51" s="35" t="s">
        <v>35</v>
      </c>
      <c r="I51" s="55">
        <v>44348</v>
      </c>
      <c r="J51" s="56">
        <f>EFEITO!$J$51*EFEITO!$Y$51</f>
        <v>0</v>
      </c>
      <c r="K51" s="56">
        <f ca="1">EFEITO!$L$51*EFEITO!$Z$51</f>
        <v>35564.75648114115</v>
      </c>
      <c r="L51" s="56">
        <f>EFEITO!$N$51*EFEITO!$AA$51</f>
        <v>82819.755848429108</v>
      </c>
      <c r="M51" s="56">
        <f>$J$51-EFEITO!$K$51*EFEITO!$Y$51</f>
        <v>0</v>
      </c>
      <c r="N51" s="56">
        <f ca="1">$K$51-EFEITO!$M$51*EFEITO!$Z$51</f>
        <v>0</v>
      </c>
      <c r="O51" s="56">
        <f>$L$51-EFEITO!$O$51*EFEITO!$AA$51</f>
        <v>0</v>
      </c>
      <c r="P51" s="39"/>
      <c r="Q51" s="39"/>
      <c r="R51" s="39"/>
      <c r="S51" s="39"/>
      <c r="T51" s="39"/>
      <c r="U51" s="39"/>
      <c r="V51" s="39"/>
      <c r="W51" s="3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42</v>
      </c>
      <c r="C52" s="35" t="s">
        <v>34</v>
      </c>
      <c r="D52" s="35" t="s">
        <v>40</v>
      </c>
      <c r="E52" s="35" t="s">
        <v>25</v>
      </c>
      <c r="F52" s="35" t="s">
        <v>25</v>
      </c>
      <c r="G52" s="35" t="s">
        <v>25</v>
      </c>
      <c r="H52" s="35" t="s">
        <v>35</v>
      </c>
      <c r="I52" s="55">
        <v>44378</v>
      </c>
      <c r="J52" s="56">
        <f>EFEITO!$J$52*EFEITO!$Y$52</f>
        <v>0</v>
      </c>
      <c r="K52" s="56">
        <f ca="1">EFEITO!$L$52*EFEITO!$Z$52</f>
        <v>39768.940025610187</v>
      </c>
      <c r="L52" s="56">
        <f>EFEITO!$N$52*EFEITO!$AA$52</f>
        <v>92610.050768051078</v>
      </c>
      <c r="M52" s="56">
        <f>$J$52-EFEITO!$K$52*EFEITO!$Y$52</f>
        <v>0</v>
      </c>
      <c r="N52" s="56">
        <f ca="1">$K$52-EFEITO!$M$52*EFEITO!$Z$52</f>
        <v>0</v>
      </c>
      <c r="O52" s="56">
        <f>$L$52-EFEITO!$O$52*EFEITO!$AA$52</f>
        <v>0</v>
      </c>
      <c r="P52" s="39"/>
      <c r="Q52" s="39"/>
      <c r="R52" s="39"/>
      <c r="S52" s="39"/>
      <c r="T52" s="39"/>
      <c r="U52" s="39"/>
      <c r="V52" s="39"/>
      <c r="W52" s="3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21</v>
      </c>
      <c r="B53" s="35" t="s">
        <v>42</v>
      </c>
      <c r="C53" s="35" t="s">
        <v>34</v>
      </c>
      <c r="D53" s="35" t="s">
        <v>40</v>
      </c>
      <c r="E53" s="35" t="s">
        <v>25</v>
      </c>
      <c r="F53" s="35" t="s">
        <v>25</v>
      </c>
      <c r="G53" s="35" t="s">
        <v>25</v>
      </c>
      <c r="H53" s="35" t="s">
        <v>35</v>
      </c>
      <c r="I53" s="55">
        <v>44409</v>
      </c>
      <c r="J53" s="56">
        <f>EFEITO!$J$53*EFEITO!$Y$53</f>
        <v>0</v>
      </c>
      <c r="K53" s="56">
        <f ca="1">EFEITO!$L$53*EFEITO!$Z$53</f>
        <v>37928.977067307176</v>
      </c>
      <c r="L53" s="56">
        <f>EFEITO!$N$53*EFEITO!$AA$53</f>
        <v>88325.323469057374</v>
      </c>
      <c r="M53" s="56">
        <f>$J$53-EFEITO!$K$53*EFEITO!$Y$53</f>
        <v>0</v>
      </c>
      <c r="N53" s="56">
        <f ca="1">$K$53-EFEITO!$M$53*EFEITO!$Z$53</f>
        <v>0</v>
      </c>
      <c r="O53" s="56">
        <f>$L$53-EFEITO!$O$53*EFEITO!$AA$53</f>
        <v>0</v>
      </c>
      <c r="P53" s="39"/>
      <c r="Q53" s="39"/>
      <c r="R53" s="39"/>
      <c r="S53" s="39"/>
      <c r="T53" s="39"/>
      <c r="U53" s="39"/>
      <c r="V53" s="39"/>
      <c r="W53" s="3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42</v>
      </c>
      <c r="C54" s="35" t="s">
        <v>34</v>
      </c>
      <c r="D54" s="35" t="s">
        <v>40</v>
      </c>
      <c r="E54" s="35" t="s">
        <v>25</v>
      </c>
      <c r="F54" s="35" t="s">
        <v>25</v>
      </c>
      <c r="G54" s="35" t="s">
        <v>25</v>
      </c>
      <c r="H54" s="35" t="s">
        <v>35</v>
      </c>
      <c r="I54" s="55">
        <v>44440</v>
      </c>
      <c r="J54" s="56">
        <f>EFEITO!$J$54*EFEITO!$Y$54</f>
        <v>0</v>
      </c>
      <c r="K54" s="56">
        <f ca="1">EFEITO!$L$54*EFEITO!$Z$54</f>
        <v>36506.929642185016</v>
      </c>
      <c r="L54" s="56">
        <f>EFEITO!$N$54*EFEITO!$AA$54</f>
        <v>85013.797334583316</v>
      </c>
      <c r="M54" s="56">
        <f>$J$54-EFEITO!$K$54*EFEITO!$Y$54</f>
        <v>0</v>
      </c>
      <c r="N54" s="56">
        <f ca="1">$K$54-EFEITO!$M$54*EFEITO!$Z$54</f>
        <v>0</v>
      </c>
      <c r="O54" s="56">
        <f>$L$54-EFEITO!$O$54*EFEITO!$AA$54</f>
        <v>0</v>
      </c>
      <c r="P54" s="39"/>
      <c r="Q54" s="39"/>
      <c r="R54" s="39"/>
      <c r="S54" s="39"/>
      <c r="T54" s="39"/>
      <c r="U54" s="39"/>
      <c r="V54" s="39"/>
      <c r="W54" s="3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42</v>
      </c>
      <c r="C55" s="35" t="s">
        <v>34</v>
      </c>
      <c r="D55" s="35" t="s">
        <v>40</v>
      </c>
      <c r="E55" s="35" t="s">
        <v>25</v>
      </c>
      <c r="F55" s="35" t="s">
        <v>25</v>
      </c>
      <c r="G55" s="35" t="s">
        <v>25</v>
      </c>
      <c r="H55" s="35" t="s">
        <v>35</v>
      </c>
      <c r="I55" s="55">
        <v>44470</v>
      </c>
      <c r="J55" s="56">
        <f>EFEITO!$J$55*EFEITO!$Y$55</f>
        <v>0</v>
      </c>
      <c r="K55" s="56">
        <f ca="1">EFEITO!$L$55*EFEITO!$Z$55</f>
        <v>36591.803092229457</v>
      </c>
      <c r="L55" s="56">
        <f>EFEITO!$N$55*EFEITO!$AA$55</f>
        <v>85211.442394079844</v>
      </c>
      <c r="M55" s="56">
        <f>$J$55-EFEITO!$K$55*EFEITO!$Y$55</f>
        <v>0</v>
      </c>
      <c r="N55" s="56">
        <f ca="1">$K$55-EFEITO!$M$55*EFEITO!$Z$55</f>
        <v>0</v>
      </c>
      <c r="O55" s="56">
        <f>$L$55-EFEITO!$O$55*EFEITO!$AA$55</f>
        <v>0</v>
      </c>
      <c r="P55" s="39"/>
      <c r="Q55" s="39"/>
      <c r="R55" s="39"/>
      <c r="S55" s="39"/>
      <c r="T55" s="39"/>
      <c r="U55" s="39"/>
      <c r="V55" s="39"/>
      <c r="W55" s="3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21</v>
      </c>
      <c r="B56" s="35" t="s">
        <v>42</v>
      </c>
      <c r="C56" s="35" t="s">
        <v>34</v>
      </c>
      <c r="D56" s="35" t="s">
        <v>40</v>
      </c>
      <c r="E56" s="35" t="s">
        <v>25</v>
      </c>
      <c r="F56" s="35" t="s">
        <v>25</v>
      </c>
      <c r="G56" s="35" t="s">
        <v>25</v>
      </c>
      <c r="H56" s="35" t="s">
        <v>35</v>
      </c>
      <c r="I56" s="55">
        <v>44501</v>
      </c>
      <c r="J56" s="56">
        <f>EFEITO!$J$56*EFEITO!$Y$56</f>
        <v>0</v>
      </c>
      <c r="K56" s="56">
        <f ca="1">EFEITO!$L$56*EFEITO!$Z$56</f>
        <v>35622.710698012917</v>
      </c>
      <c r="L56" s="56">
        <f>EFEITO!$N$56*EFEITO!$AA$56</f>
        <v>82954.714008321229</v>
      </c>
      <c r="M56" s="56">
        <f>$J$56-EFEITO!$K$56*EFEITO!$Y$56</f>
        <v>0</v>
      </c>
      <c r="N56" s="56">
        <f ca="1">$K$56-EFEITO!$M$56*EFEITO!$Z$56</f>
        <v>0</v>
      </c>
      <c r="O56" s="56">
        <f>$L$56-EFEITO!$O$56*EFEITO!$AA$56</f>
        <v>0</v>
      </c>
      <c r="P56" s="39"/>
      <c r="Q56" s="39"/>
      <c r="R56" s="39"/>
      <c r="S56" s="39"/>
      <c r="T56" s="39"/>
      <c r="U56" s="39"/>
      <c r="V56" s="39"/>
      <c r="W56" s="3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21</v>
      </c>
      <c r="B57" s="35" t="s">
        <v>42</v>
      </c>
      <c r="C57" s="35" t="s">
        <v>34</v>
      </c>
      <c r="D57" s="35" t="s">
        <v>40</v>
      </c>
      <c r="E57" s="35" t="s">
        <v>25</v>
      </c>
      <c r="F57" s="35" t="s">
        <v>25</v>
      </c>
      <c r="G57" s="35" t="s">
        <v>25</v>
      </c>
      <c r="H57" s="35" t="s">
        <v>35</v>
      </c>
      <c r="I57" s="55">
        <v>44531</v>
      </c>
      <c r="J57" s="56">
        <f>EFEITO!$J$57*EFEITO!$Y$57</f>
        <v>0</v>
      </c>
      <c r="K57" s="56">
        <f ca="1">EFEITO!$L$57*EFEITO!$Z$57</f>
        <v>32958.596505923131</v>
      </c>
      <c r="L57" s="56">
        <f>EFEITO!$N$57*EFEITO!$AA$57</f>
        <v>76750.783241686862</v>
      </c>
      <c r="M57" s="56">
        <f>$J$57-EFEITO!$K$57*EFEITO!$Y$57</f>
        <v>0</v>
      </c>
      <c r="N57" s="56">
        <f ca="1">$K$57-EFEITO!$M$57*EFEITO!$Z$57</f>
        <v>0</v>
      </c>
      <c r="O57" s="56">
        <f>$L$57-EFEITO!$O$57*EFEITO!$AA$57</f>
        <v>0</v>
      </c>
      <c r="P57" s="39"/>
      <c r="Q57" s="39"/>
      <c r="R57" s="39"/>
      <c r="S57" s="39"/>
      <c r="T57" s="39"/>
      <c r="U57" s="39"/>
      <c r="V57" s="39"/>
      <c r="W57" s="3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21</v>
      </c>
      <c r="B58" s="35" t="s">
        <v>42</v>
      </c>
      <c r="C58" s="35" t="s">
        <v>34</v>
      </c>
      <c r="D58" s="35" t="s">
        <v>40</v>
      </c>
      <c r="E58" s="35" t="s">
        <v>25</v>
      </c>
      <c r="F58" s="35" t="s">
        <v>25</v>
      </c>
      <c r="G58" s="35" t="s">
        <v>25</v>
      </c>
      <c r="H58" s="35" t="s">
        <v>35</v>
      </c>
      <c r="I58" s="55">
        <v>44562</v>
      </c>
      <c r="J58" s="56">
        <f>EFEITO!$J$58*EFEITO!$Y$58</f>
        <v>0</v>
      </c>
      <c r="K58" s="56">
        <f ca="1">EFEITO!$L$58*EFEITO!$Z$58</f>
        <v>34518.24348242797</v>
      </c>
      <c r="L58" s="56">
        <f>EFEITO!$N$58*EFEITO!$AA$58</f>
        <v>80382.737867114032</v>
      </c>
      <c r="M58" s="56">
        <f>$J$58-EFEITO!$K$58*EFEITO!$Y$58</f>
        <v>0</v>
      </c>
      <c r="N58" s="56">
        <f ca="1">$K$58-EFEITO!$M$58*EFEITO!$Z$58</f>
        <v>0</v>
      </c>
      <c r="O58" s="56">
        <f>$L$58-EFEITO!$O$58*EFEITO!$AA$58</f>
        <v>0</v>
      </c>
      <c r="P58" s="39"/>
      <c r="Q58" s="39"/>
      <c r="R58" s="39"/>
      <c r="S58" s="39"/>
      <c r="T58" s="39"/>
      <c r="U58" s="39"/>
      <c r="V58" s="39"/>
      <c r="W58" s="3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21</v>
      </c>
      <c r="B59" s="35" t="s">
        <v>42</v>
      </c>
      <c r="C59" s="35" t="s">
        <v>34</v>
      </c>
      <c r="D59" s="35" t="s">
        <v>40</v>
      </c>
      <c r="E59" s="35" t="s">
        <v>25</v>
      </c>
      <c r="F59" s="35" t="s">
        <v>25</v>
      </c>
      <c r="G59" s="35" t="s">
        <v>25</v>
      </c>
      <c r="H59" s="35" t="s">
        <v>35</v>
      </c>
      <c r="I59" s="55">
        <v>44593</v>
      </c>
      <c r="J59" s="56">
        <f>EFEITO!$J$59*EFEITO!$Y$59</f>
        <v>0</v>
      </c>
      <c r="K59" s="56">
        <f ca="1">EFEITO!$L$59*EFEITO!$Z$59</f>
        <v>33028.786737873386</v>
      </c>
      <c r="L59" s="56">
        <f>EFEITO!$N$59*EFEITO!$AA$59</f>
        <v>76914.235446853709</v>
      </c>
      <c r="M59" s="56">
        <f>$J$59-EFEITO!$K$59*EFEITO!$Y$59</f>
        <v>0</v>
      </c>
      <c r="N59" s="56">
        <f ca="1">$K$59-EFEITO!$M$59*EFEITO!$Z$59</f>
        <v>0</v>
      </c>
      <c r="O59" s="56">
        <f>$L$59-EFEITO!$O$59*EFEITO!$AA$59</f>
        <v>0</v>
      </c>
      <c r="P59" s="39"/>
      <c r="Q59" s="39"/>
      <c r="R59" s="39"/>
      <c r="S59" s="39"/>
      <c r="T59" s="39"/>
      <c r="U59" s="39"/>
      <c r="V59" s="39"/>
      <c r="W59" s="3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21</v>
      </c>
      <c r="B60" s="35" t="s">
        <v>42</v>
      </c>
      <c r="C60" s="35" t="s">
        <v>34</v>
      </c>
      <c r="D60" s="35" t="s">
        <v>40</v>
      </c>
      <c r="E60" s="35" t="s">
        <v>25</v>
      </c>
      <c r="F60" s="35" t="s">
        <v>25</v>
      </c>
      <c r="G60" s="35" t="s">
        <v>25</v>
      </c>
      <c r="H60" s="35" t="s">
        <v>35</v>
      </c>
      <c r="I60" s="55">
        <v>44621</v>
      </c>
      <c r="J60" s="56">
        <f>EFEITO!$J$60*EFEITO!$Y$60</f>
        <v>0</v>
      </c>
      <c r="K60" s="56">
        <f ca="1">EFEITO!$L$60*EFEITO!$Z$60</f>
        <v>37855.560976836219</v>
      </c>
      <c r="L60" s="56">
        <f>EFEITO!$N$60*EFEITO!$AA$60</f>
        <v>88154.359197408994</v>
      </c>
      <c r="M60" s="56">
        <f>$J$60-EFEITO!$K$60*EFEITO!$Y$60</f>
        <v>0</v>
      </c>
      <c r="N60" s="56">
        <f ca="1">$K$60-EFEITO!$M$60*EFEITO!$Z$60</f>
        <v>0</v>
      </c>
      <c r="O60" s="56">
        <f>$L$60-EFEITO!$O$60*EFEITO!$AA$60</f>
        <v>0</v>
      </c>
      <c r="P60" s="39"/>
      <c r="Q60" s="39"/>
      <c r="R60" s="39"/>
      <c r="S60" s="39"/>
      <c r="T60" s="39"/>
      <c r="U60" s="39"/>
      <c r="V60" s="39"/>
      <c r="W60" s="3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21</v>
      </c>
      <c r="B61" s="35" t="s">
        <v>42</v>
      </c>
      <c r="C61" s="35" t="s">
        <v>34</v>
      </c>
      <c r="D61" s="35" t="s">
        <v>40</v>
      </c>
      <c r="E61" s="35" t="s">
        <v>25</v>
      </c>
      <c r="F61" s="35" t="s">
        <v>25</v>
      </c>
      <c r="G61" s="35" t="s">
        <v>25</v>
      </c>
      <c r="H61" s="35" t="s">
        <v>35</v>
      </c>
      <c r="I61" s="55">
        <v>44652</v>
      </c>
      <c r="J61" s="56">
        <f>EFEITO!$J$61*EFEITO!$Y$61</f>
        <v>0</v>
      </c>
      <c r="K61" s="56">
        <f ca="1">EFEITO!$L$61*EFEITO!$Z$61</f>
        <v>34508.343433864466</v>
      </c>
      <c r="L61" s="56">
        <f>EFEITO!$N$61*EFEITO!$AA$61</f>
        <v>80359.683594119022</v>
      </c>
      <c r="M61" s="56">
        <f>$J$61-EFEITO!$K$61*EFEITO!$Y$61</f>
        <v>0</v>
      </c>
      <c r="N61" s="56">
        <f ca="1">$K$61-EFEITO!$M$61*EFEITO!$Z$61</f>
        <v>0</v>
      </c>
      <c r="O61" s="56">
        <f>$L$61-EFEITO!$O$61*EFEITO!$AA$61</f>
        <v>0</v>
      </c>
      <c r="P61" s="39"/>
      <c r="Q61" s="39"/>
      <c r="R61" s="39"/>
      <c r="S61" s="39"/>
      <c r="T61" s="39"/>
      <c r="U61" s="39"/>
      <c r="V61" s="39"/>
      <c r="W61" s="3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21</v>
      </c>
      <c r="B62" s="35" t="s">
        <v>42</v>
      </c>
      <c r="C62" s="35" t="s">
        <v>34</v>
      </c>
      <c r="D62" s="35" t="s">
        <v>40</v>
      </c>
      <c r="E62" s="35" t="s">
        <v>25</v>
      </c>
      <c r="F62" s="35" t="s">
        <v>25</v>
      </c>
      <c r="G62" s="35" t="s">
        <v>25</v>
      </c>
      <c r="H62" s="35" t="s">
        <v>35</v>
      </c>
      <c r="I62" s="55">
        <v>44682</v>
      </c>
      <c r="J62" s="56">
        <f>EFEITO!$J$62*EFEITO!$Y$62</f>
        <v>0</v>
      </c>
      <c r="K62" s="56">
        <f ca="1">EFEITO!$L$62*EFEITO!$Z$62</f>
        <v>37044.201940631508</v>
      </c>
      <c r="L62" s="56">
        <f>EFEITO!$N$62*EFEITO!$AA$62</f>
        <v>86264.944958919179</v>
      </c>
      <c r="M62" s="56">
        <f>$J$62-EFEITO!$K$62*EFEITO!$Y$62</f>
        <v>0</v>
      </c>
      <c r="N62" s="56">
        <f ca="1">$K$62-EFEITO!$M$62*EFEITO!$Z$62</f>
        <v>0</v>
      </c>
      <c r="O62" s="56">
        <f>$L$62-EFEITO!$O$62*EFEITO!$AA$62</f>
        <v>0</v>
      </c>
      <c r="P62" s="39"/>
      <c r="Q62" s="39"/>
      <c r="R62" s="39"/>
      <c r="S62" s="39"/>
      <c r="T62" s="39"/>
      <c r="U62" s="39"/>
      <c r="V62" s="39"/>
      <c r="W62" s="3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42</v>
      </c>
      <c r="C63" s="35" t="s">
        <v>34</v>
      </c>
      <c r="D63" s="35" t="s">
        <v>40</v>
      </c>
      <c r="E63" s="35" t="s">
        <v>25</v>
      </c>
      <c r="F63" s="35" t="s">
        <v>25</v>
      </c>
      <c r="G63" s="35" t="s">
        <v>25</v>
      </c>
      <c r="H63" s="35" t="s">
        <v>25</v>
      </c>
      <c r="I63" s="55">
        <v>44348</v>
      </c>
      <c r="J63" s="56">
        <f ca="1">EFEITO!$J$63*EFEITO!$Y$63</f>
        <v>22547.48591215226</v>
      </c>
      <c r="K63" s="56">
        <f>EFEITO!$L$63*EFEITO!$Z$63</f>
        <v>0</v>
      </c>
      <c r="L63" s="56">
        <f>EFEITO!$N$63*EFEITO!$AA$63</f>
        <v>0</v>
      </c>
      <c r="M63" s="56">
        <f ca="1">$J$63-EFEITO!$K$63*EFEITO!$Y$63</f>
        <v>0</v>
      </c>
      <c r="N63" s="56">
        <f>$K$63-EFEITO!$M$63*EFEITO!$Z$63</f>
        <v>0</v>
      </c>
      <c r="O63" s="56">
        <f>$L$63-EFEITO!$O$63*EFEITO!$AA$63</f>
        <v>0</v>
      </c>
      <c r="P63" s="39"/>
      <c r="Q63" s="39"/>
      <c r="R63" s="39"/>
      <c r="S63" s="39"/>
      <c r="T63" s="39"/>
      <c r="U63" s="39"/>
      <c r="V63" s="39"/>
      <c r="W63" s="3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21</v>
      </c>
      <c r="B64" s="35" t="s">
        <v>42</v>
      </c>
      <c r="C64" s="35" t="s">
        <v>34</v>
      </c>
      <c r="D64" s="35" t="s">
        <v>40</v>
      </c>
      <c r="E64" s="35" t="s">
        <v>25</v>
      </c>
      <c r="F64" s="35" t="s">
        <v>25</v>
      </c>
      <c r="G64" s="35" t="s">
        <v>25</v>
      </c>
      <c r="H64" s="35" t="s">
        <v>25</v>
      </c>
      <c r="I64" s="55">
        <v>44378</v>
      </c>
      <c r="J64" s="56">
        <f ca="1">EFEITO!$J$64*EFEITO!$Y$64</f>
        <v>23571.620803400201</v>
      </c>
      <c r="K64" s="56">
        <f>EFEITO!$L$64*EFEITO!$Z$64</f>
        <v>0</v>
      </c>
      <c r="L64" s="56">
        <f>EFEITO!$N$64*EFEITO!$AA$64</f>
        <v>0</v>
      </c>
      <c r="M64" s="56">
        <f ca="1">$J$64-EFEITO!$K$64*EFEITO!$Y$64</f>
        <v>0</v>
      </c>
      <c r="N64" s="56">
        <f>$K$64-EFEITO!$M$64*EFEITO!$Z$64</f>
        <v>0</v>
      </c>
      <c r="O64" s="56">
        <f>$L$64-EFEITO!$O$64*EFEITO!$AA$64</f>
        <v>0</v>
      </c>
      <c r="P64" s="39"/>
      <c r="Q64" s="39"/>
      <c r="R64" s="39"/>
      <c r="S64" s="39"/>
      <c r="T64" s="39"/>
      <c r="U64" s="39"/>
      <c r="V64" s="39"/>
      <c r="W64" s="3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42</v>
      </c>
      <c r="C65" s="35" t="s">
        <v>34</v>
      </c>
      <c r="D65" s="35" t="s">
        <v>40</v>
      </c>
      <c r="E65" s="35" t="s">
        <v>25</v>
      </c>
      <c r="F65" s="35" t="s">
        <v>25</v>
      </c>
      <c r="G65" s="35" t="s">
        <v>25</v>
      </c>
      <c r="H65" s="35" t="s">
        <v>25</v>
      </c>
      <c r="I65" s="55">
        <v>44409</v>
      </c>
      <c r="J65" s="56">
        <f ca="1">EFEITO!$J$65*EFEITO!$Y$65</f>
        <v>22778.742177917924</v>
      </c>
      <c r="K65" s="56">
        <f>EFEITO!$L$65*EFEITO!$Z$65</f>
        <v>0</v>
      </c>
      <c r="L65" s="56">
        <f>EFEITO!$N$65*EFEITO!$AA$65</f>
        <v>0</v>
      </c>
      <c r="M65" s="56">
        <f ca="1">$J$65-EFEITO!$K$65*EFEITO!$Y$65</f>
        <v>0</v>
      </c>
      <c r="N65" s="56">
        <f>$K$65-EFEITO!$M$65*EFEITO!$Z$65</f>
        <v>0</v>
      </c>
      <c r="O65" s="56">
        <f>$L$65-EFEITO!$O$65*EFEITO!$AA$65</f>
        <v>0</v>
      </c>
      <c r="P65" s="39"/>
      <c r="Q65" s="39"/>
      <c r="R65" s="39"/>
      <c r="S65" s="39"/>
      <c r="T65" s="39"/>
      <c r="U65" s="39"/>
      <c r="V65" s="39"/>
      <c r="W65" s="3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21</v>
      </c>
      <c r="B66" s="35" t="s">
        <v>42</v>
      </c>
      <c r="C66" s="35" t="s">
        <v>34</v>
      </c>
      <c r="D66" s="35" t="s">
        <v>40</v>
      </c>
      <c r="E66" s="35" t="s">
        <v>25</v>
      </c>
      <c r="F66" s="35" t="s">
        <v>25</v>
      </c>
      <c r="G66" s="35" t="s">
        <v>25</v>
      </c>
      <c r="H66" s="35" t="s">
        <v>25</v>
      </c>
      <c r="I66" s="55">
        <v>44440</v>
      </c>
      <c r="J66" s="56">
        <f ca="1">EFEITO!$J$66*EFEITO!$Y$66</f>
        <v>21011.283575280348</v>
      </c>
      <c r="K66" s="56">
        <f>EFEITO!$L$66*EFEITO!$Z$66</f>
        <v>0</v>
      </c>
      <c r="L66" s="56">
        <f>EFEITO!$N$66*EFEITO!$AA$66</f>
        <v>0</v>
      </c>
      <c r="M66" s="56">
        <f ca="1">$J$66-EFEITO!$K$66*EFEITO!$Y$66</f>
        <v>0</v>
      </c>
      <c r="N66" s="56">
        <f>$K$66-EFEITO!$M$66*EFEITO!$Z$66</f>
        <v>0</v>
      </c>
      <c r="O66" s="56">
        <f>$L$66-EFEITO!$O$66*EFEITO!$AA$66</f>
        <v>0</v>
      </c>
      <c r="P66" s="39"/>
      <c r="Q66" s="39"/>
      <c r="R66" s="39"/>
      <c r="S66" s="39"/>
      <c r="T66" s="39"/>
      <c r="U66" s="39"/>
      <c r="V66" s="39"/>
      <c r="W66" s="3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21</v>
      </c>
      <c r="B67" s="35" t="s">
        <v>42</v>
      </c>
      <c r="C67" s="35" t="s">
        <v>34</v>
      </c>
      <c r="D67" s="35" t="s">
        <v>40</v>
      </c>
      <c r="E67" s="35" t="s">
        <v>25</v>
      </c>
      <c r="F67" s="35" t="s">
        <v>25</v>
      </c>
      <c r="G67" s="35" t="s">
        <v>25</v>
      </c>
      <c r="H67" s="35" t="s">
        <v>25</v>
      </c>
      <c r="I67" s="55">
        <v>44470</v>
      </c>
      <c r="J67" s="56">
        <f ca="1">EFEITO!$J$67*EFEITO!$Y$67</f>
        <v>19227.306667945224</v>
      </c>
      <c r="K67" s="56">
        <f>EFEITO!$L$67*EFEITO!$Z$67</f>
        <v>0</v>
      </c>
      <c r="L67" s="56">
        <f>EFEITO!$N$67*EFEITO!$AA$67</f>
        <v>0</v>
      </c>
      <c r="M67" s="56">
        <f ca="1">$J$67-EFEITO!$K$67*EFEITO!$Y$67</f>
        <v>0</v>
      </c>
      <c r="N67" s="56">
        <f>$K$67-EFEITO!$M$67*EFEITO!$Z$67</f>
        <v>0</v>
      </c>
      <c r="O67" s="56">
        <f>$L$67-EFEITO!$O$67*EFEITO!$AA$67</f>
        <v>0</v>
      </c>
      <c r="P67" s="39"/>
      <c r="Q67" s="39"/>
      <c r="R67" s="39"/>
      <c r="S67" s="39"/>
      <c r="T67" s="39"/>
      <c r="U67" s="39"/>
      <c r="V67" s="39"/>
      <c r="W67" s="3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21</v>
      </c>
      <c r="B68" s="35" t="s">
        <v>42</v>
      </c>
      <c r="C68" s="35" t="s">
        <v>34</v>
      </c>
      <c r="D68" s="35" t="s">
        <v>40</v>
      </c>
      <c r="E68" s="35" t="s">
        <v>25</v>
      </c>
      <c r="F68" s="35" t="s">
        <v>25</v>
      </c>
      <c r="G68" s="35" t="s">
        <v>25</v>
      </c>
      <c r="H68" s="35" t="s">
        <v>25</v>
      </c>
      <c r="I68" s="55">
        <v>44501</v>
      </c>
      <c r="J68" s="56">
        <f ca="1">EFEITO!$J$68*EFEITO!$Y$68</f>
        <v>18764.794136413893</v>
      </c>
      <c r="K68" s="56">
        <f>EFEITO!$L$68*EFEITO!$Z$68</f>
        <v>0</v>
      </c>
      <c r="L68" s="56">
        <f>EFEITO!$N$68*EFEITO!$AA$68</f>
        <v>0</v>
      </c>
      <c r="M68" s="56">
        <f ca="1">$J$68-EFEITO!$K$68*EFEITO!$Y$68</f>
        <v>0</v>
      </c>
      <c r="N68" s="56">
        <f>$K$68-EFEITO!$M$68*EFEITO!$Z$68</f>
        <v>0</v>
      </c>
      <c r="O68" s="56">
        <f>$L$68-EFEITO!$O$68*EFEITO!$AA$68</f>
        <v>0</v>
      </c>
      <c r="P68" s="39"/>
      <c r="Q68" s="39"/>
      <c r="R68" s="39"/>
      <c r="S68" s="39"/>
      <c r="T68" s="39"/>
      <c r="U68" s="39"/>
      <c r="V68" s="39"/>
      <c r="W68" s="3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42</v>
      </c>
      <c r="C69" s="35" t="s">
        <v>34</v>
      </c>
      <c r="D69" s="35" t="s">
        <v>40</v>
      </c>
      <c r="E69" s="35" t="s">
        <v>25</v>
      </c>
      <c r="F69" s="35" t="s">
        <v>25</v>
      </c>
      <c r="G69" s="35" t="s">
        <v>25</v>
      </c>
      <c r="H69" s="35" t="s">
        <v>25</v>
      </c>
      <c r="I69" s="55">
        <v>44531</v>
      </c>
      <c r="J69" s="56">
        <f ca="1">EFEITO!$J$69*EFEITO!$Y$69</f>
        <v>18401.391433067853</v>
      </c>
      <c r="K69" s="56">
        <f>EFEITO!$L$69*EFEITO!$Z$69</f>
        <v>0</v>
      </c>
      <c r="L69" s="56">
        <f>EFEITO!$N$69*EFEITO!$AA$69</f>
        <v>0</v>
      </c>
      <c r="M69" s="56">
        <f ca="1">$J$69-EFEITO!$K$69*EFEITO!$Y$69</f>
        <v>0</v>
      </c>
      <c r="N69" s="56">
        <f>$K$69-EFEITO!$M$69*EFEITO!$Z$69</f>
        <v>0</v>
      </c>
      <c r="O69" s="56">
        <f>$L$69-EFEITO!$O$69*EFEITO!$AA$69</f>
        <v>0</v>
      </c>
      <c r="P69" s="39"/>
      <c r="Q69" s="39"/>
      <c r="R69" s="39"/>
      <c r="S69" s="39"/>
      <c r="T69" s="39"/>
      <c r="U69" s="39"/>
      <c r="V69" s="39"/>
      <c r="W69" s="3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28</v>
      </c>
      <c r="B70" s="35" t="s">
        <v>42</v>
      </c>
      <c r="C70" s="35" t="s">
        <v>34</v>
      </c>
      <c r="D70" s="35" t="s">
        <v>40</v>
      </c>
      <c r="E70" s="35" t="s">
        <v>25</v>
      </c>
      <c r="F70" s="35" t="s">
        <v>25</v>
      </c>
      <c r="G70" s="35" t="s">
        <v>25</v>
      </c>
      <c r="H70" s="35" t="s">
        <v>25</v>
      </c>
      <c r="I70" s="55">
        <v>44531</v>
      </c>
      <c r="J70" s="56">
        <f ca="1">EFEITO!$J$70*EFEITO!$Y$70</f>
        <v>3567.9538146702475</v>
      </c>
      <c r="K70" s="56">
        <f>EFEITO!$L$70*EFEITO!$Z$70</f>
        <v>0</v>
      </c>
      <c r="L70" s="56">
        <f>EFEITO!$N$70*EFEITO!$AA$70</f>
        <v>0</v>
      </c>
      <c r="M70" s="56">
        <f ca="1">$J$70-EFEITO!$K$70*EFEITO!$Y$70</f>
        <v>0</v>
      </c>
      <c r="N70" s="56">
        <f>$K$70-EFEITO!$M$70*EFEITO!$Z$70</f>
        <v>0</v>
      </c>
      <c r="O70" s="56">
        <f>$L$70-EFEITO!$O$70*EFEITO!$AA$70</f>
        <v>0</v>
      </c>
      <c r="P70" s="39"/>
      <c r="Q70" s="39"/>
      <c r="R70" s="39"/>
      <c r="S70" s="39"/>
      <c r="T70" s="39"/>
      <c r="U70" s="39"/>
      <c r="V70" s="39"/>
      <c r="W70" s="3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21</v>
      </c>
      <c r="B71" s="35" t="s">
        <v>42</v>
      </c>
      <c r="C71" s="35" t="s">
        <v>34</v>
      </c>
      <c r="D71" s="35" t="s">
        <v>40</v>
      </c>
      <c r="E71" s="35" t="s">
        <v>25</v>
      </c>
      <c r="F71" s="35" t="s">
        <v>25</v>
      </c>
      <c r="G71" s="35" t="s">
        <v>25</v>
      </c>
      <c r="H71" s="35" t="s">
        <v>25</v>
      </c>
      <c r="I71" s="55">
        <v>44562</v>
      </c>
      <c r="J71" s="56">
        <f ca="1">EFEITO!$J$71*EFEITO!$Y$71</f>
        <v>18252.726690789925</v>
      </c>
      <c r="K71" s="56">
        <f>EFEITO!$L$71*EFEITO!$Z$71</f>
        <v>0</v>
      </c>
      <c r="L71" s="56">
        <f>EFEITO!$N$71*EFEITO!$AA$71</f>
        <v>0</v>
      </c>
      <c r="M71" s="56">
        <f ca="1">$J$71-EFEITO!$K$71*EFEITO!$Y$71</f>
        <v>0</v>
      </c>
      <c r="N71" s="56">
        <f>$K$71-EFEITO!$M$71*EFEITO!$Z$71</f>
        <v>0</v>
      </c>
      <c r="O71" s="56">
        <f>$L$71-EFEITO!$O$71*EFEITO!$AA$71</f>
        <v>0</v>
      </c>
      <c r="P71" s="39"/>
      <c r="Q71" s="39"/>
      <c r="R71" s="39"/>
      <c r="S71" s="39"/>
      <c r="T71" s="39"/>
      <c r="U71" s="39"/>
      <c r="V71" s="39"/>
      <c r="W71" s="3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28</v>
      </c>
      <c r="B72" s="35" t="s">
        <v>42</v>
      </c>
      <c r="C72" s="35" t="s">
        <v>34</v>
      </c>
      <c r="D72" s="35" t="s">
        <v>40</v>
      </c>
      <c r="E72" s="35" t="s">
        <v>25</v>
      </c>
      <c r="F72" s="35" t="s">
        <v>25</v>
      </c>
      <c r="G72" s="35" t="s">
        <v>25</v>
      </c>
      <c r="H72" s="35" t="s">
        <v>25</v>
      </c>
      <c r="I72" s="55">
        <v>44562</v>
      </c>
      <c r="J72" s="56">
        <f ca="1">EFEITO!$J$72*EFEITO!$Y$72</f>
        <v>3617.5087287628899</v>
      </c>
      <c r="K72" s="56">
        <f>EFEITO!$L$72*EFEITO!$Z$72</f>
        <v>0</v>
      </c>
      <c r="L72" s="56">
        <f>EFEITO!$N$72*EFEITO!$AA$72</f>
        <v>0</v>
      </c>
      <c r="M72" s="56">
        <f ca="1">$J$72-EFEITO!$K$72*EFEITO!$Y$72</f>
        <v>0</v>
      </c>
      <c r="N72" s="56">
        <f>$K$72-EFEITO!$M$72*EFEITO!$Z$72</f>
        <v>0</v>
      </c>
      <c r="O72" s="56">
        <f>$L$72-EFEITO!$O$72*EFEITO!$AA$72</f>
        <v>0</v>
      </c>
      <c r="P72" s="39"/>
      <c r="Q72" s="39"/>
      <c r="R72" s="39"/>
      <c r="S72" s="39"/>
      <c r="T72" s="39"/>
      <c r="U72" s="39"/>
      <c r="V72" s="39"/>
      <c r="W72" s="3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21</v>
      </c>
      <c r="B73" s="35" t="s">
        <v>42</v>
      </c>
      <c r="C73" s="35" t="s">
        <v>34</v>
      </c>
      <c r="D73" s="35" t="s">
        <v>40</v>
      </c>
      <c r="E73" s="35" t="s">
        <v>25</v>
      </c>
      <c r="F73" s="35" t="s">
        <v>25</v>
      </c>
      <c r="G73" s="35" t="s">
        <v>25</v>
      </c>
      <c r="H73" s="35" t="s">
        <v>25</v>
      </c>
      <c r="I73" s="55">
        <v>44593</v>
      </c>
      <c r="J73" s="56">
        <f ca="1">EFEITO!$J$73*EFEITO!$Y$73</f>
        <v>19095.160230364843</v>
      </c>
      <c r="K73" s="56">
        <f>EFEITO!$L$73*EFEITO!$Z$73</f>
        <v>0</v>
      </c>
      <c r="L73" s="56">
        <f>EFEITO!$N$73*EFEITO!$AA$73</f>
        <v>0</v>
      </c>
      <c r="M73" s="56">
        <f ca="1">$J$73-EFEITO!$K$73*EFEITO!$Y$73</f>
        <v>0</v>
      </c>
      <c r="N73" s="56">
        <f>$K$73-EFEITO!$M$73*EFEITO!$Z$73</f>
        <v>0</v>
      </c>
      <c r="O73" s="56">
        <f>$L$73-EFEITO!$O$73*EFEITO!$AA$73</f>
        <v>0</v>
      </c>
      <c r="P73" s="39"/>
      <c r="Q73" s="39"/>
      <c r="R73" s="39"/>
      <c r="S73" s="39"/>
      <c r="T73" s="39"/>
      <c r="U73" s="39"/>
      <c r="V73" s="39"/>
      <c r="W73" s="3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28</v>
      </c>
      <c r="B74" s="35" t="s">
        <v>42</v>
      </c>
      <c r="C74" s="35" t="s">
        <v>34</v>
      </c>
      <c r="D74" s="35" t="s">
        <v>40</v>
      </c>
      <c r="E74" s="35" t="s">
        <v>25</v>
      </c>
      <c r="F74" s="35" t="s">
        <v>25</v>
      </c>
      <c r="G74" s="35" t="s">
        <v>25</v>
      </c>
      <c r="H74" s="35" t="s">
        <v>25</v>
      </c>
      <c r="I74" s="55">
        <v>44593</v>
      </c>
      <c r="J74" s="56">
        <f ca="1">EFEITO!$J$74*EFEITO!$Y$74</f>
        <v>3567.9538146702475</v>
      </c>
      <c r="K74" s="56">
        <f>EFEITO!$L$74*EFEITO!$Z$74</f>
        <v>0</v>
      </c>
      <c r="L74" s="56">
        <f>EFEITO!$N$74*EFEITO!$AA$74</f>
        <v>0</v>
      </c>
      <c r="M74" s="56">
        <f ca="1">$J$74-EFEITO!$K$74*EFEITO!$Y$74</f>
        <v>0</v>
      </c>
      <c r="N74" s="56">
        <f>$K$74-EFEITO!$M$74*EFEITO!$Z$74</f>
        <v>0</v>
      </c>
      <c r="O74" s="56">
        <f>$L$74-EFEITO!$O$74*EFEITO!$AA$74</f>
        <v>0</v>
      </c>
      <c r="P74" s="39"/>
      <c r="Q74" s="39"/>
      <c r="R74" s="39"/>
      <c r="S74" s="39"/>
      <c r="T74" s="39"/>
      <c r="U74" s="39"/>
      <c r="V74" s="39"/>
      <c r="W74" s="3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21</v>
      </c>
      <c r="B75" s="35" t="s">
        <v>42</v>
      </c>
      <c r="C75" s="35" t="s">
        <v>34</v>
      </c>
      <c r="D75" s="35" t="s">
        <v>40</v>
      </c>
      <c r="E75" s="35" t="s">
        <v>25</v>
      </c>
      <c r="F75" s="35" t="s">
        <v>25</v>
      </c>
      <c r="G75" s="35" t="s">
        <v>25</v>
      </c>
      <c r="H75" s="35" t="s">
        <v>25</v>
      </c>
      <c r="I75" s="55">
        <v>44621</v>
      </c>
      <c r="J75" s="56">
        <f ca="1">EFEITO!$J$75*EFEITO!$Y$75</f>
        <v>19442.04462901334</v>
      </c>
      <c r="K75" s="56">
        <f>EFEITO!$L$75*EFEITO!$Z$75</f>
        <v>0</v>
      </c>
      <c r="L75" s="56">
        <f>EFEITO!$N$75*EFEITO!$AA$75</f>
        <v>0</v>
      </c>
      <c r="M75" s="56">
        <f ca="1">$J$75-EFEITO!$K$75*EFEITO!$Y$75</f>
        <v>0</v>
      </c>
      <c r="N75" s="56">
        <f>$K$75-EFEITO!$M$75*EFEITO!$Z$75</f>
        <v>0</v>
      </c>
      <c r="O75" s="56">
        <f>$L$75-EFEITO!$O$75*EFEITO!$AA$75</f>
        <v>0</v>
      </c>
      <c r="P75" s="39"/>
      <c r="Q75" s="39"/>
      <c r="R75" s="39"/>
      <c r="S75" s="39"/>
      <c r="T75" s="39"/>
      <c r="U75" s="39"/>
      <c r="V75" s="39"/>
      <c r="W75" s="3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28</v>
      </c>
      <c r="B76" s="35" t="s">
        <v>42</v>
      </c>
      <c r="C76" s="35" t="s">
        <v>34</v>
      </c>
      <c r="D76" s="35" t="s">
        <v>40</v>
      </c>
      <c r="E76" s="35" t="s">
        <v>25</v>
      </c>
      <c r="F76" s="35" t="s">
        <v>25</v>
      </c>
      <c r="G76" s="35" t="s">
        <v>25</v>
      </c>
      <c r="H76" s="35" t="s">
        <v>25</v>
      </c>
      <c r="I76" s="55">
        <v>44621</v>
      </c>
      <c r="J76" s="56">
        <f ca="1">EFEITO!$J$76*EFEITO!$Y$76</f>
        <v>3551.4355099726999</v>
      </c>
      <c r="K76" s="56">
        <f>EFEITO!$L$76*EFEITO!$Z$76</f>
        <v>0</v>
      </c>
      <c r="L76" s="56">
        <f>EFEITO!$N$76*EFEITO!$AA$76</f>
        <v>0</v>
      </c>
      <c r="M76" s="56">
        <f ca="1">$J$76-EFEITO!$K$76*EFEITO!$Y$76</f>
        <v>0</v>
      </c>
      <c r="N76" s="56">
        <f>$K$76-EFEITO!$M$76*EFEITO!$Z$76</f>
        <v>0</v>
      </c>
      <c r="O76" s="56">
        <f>$L$76-EFEITO!$O$76*EFEITO!$AA$76</f>
        <v>0</v>
      </c>
      <c r="P76" s="39"/>
      <c r="Q76" s="39"/>
      <c r="R76" s="39"/>
      <c r="S76" s="39"/>
      <c r="T76" s="39"/>
      <c r="U76" s="39"/>
      <c r="V76" s="39"/>
      <c r="W76" s="3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21</v>
      </c>
      <c r="B77" s="35" t="s">
        <v>42</v>
      </c>
      <c r="C77" s="35" t="s">
        <v>34</v>
      </c>
      <c r="D77" s="35" t="s">
        <v>40</v>
      </c>
      <c r="E77" s="35" t="s">
        <v>25</v>
      </c>
      <c r="F77" s="35" t="s">
        <v>25</v>
      </c>
      <c r="G77" s="35" t="s">
        <v>25</v>
      </c>
      <c r="H77" s="35" t="s">
        <v>25</v>
      </c>
      <c r="I77" s="55">
        <v>44652</v>
      </c>
      <c r="J77" s="56">
        <f ca="1">EFEITO!$J$77*EFEITO!$Y$77</f>
        <v>19508.117847803529</v>
      </c>
      <c r="K77" s="56">
        <f>EFEITO!$L$77*EFEITO!$Z$77</f>
        <v>0</v>
      </c>
      <c r="L77" s="56">
        <f>EFEITO!$N$77*EFEITO!$AA$77</f>
        <v>0</v>
      </c>
      <c r="M77" s="56">
        <f ca="1">$J$77-EFEITO!$K$77*EFEITO!$Y$77</f>
        <v>0</v>
      </c>
      <c r="N77" s="56">
        <f>$K$77-EFEITO!$M$77*EFEITO!$Z$77</f>
        <v>0</v>
      </c>
      <c r="O77" s="56">
        <f>$L$77-EFEITO!$O$77*EFEITO!$AA$77</f>
        <v>0</v>
      </c>
      <c r="P77" s="39"/>
      <c r="Q77" s="39"/>
      <c r="R77" s="39"/>
      <c r="S77" s="39"/>
      <c r="T77" s="39"/>
      <c r="U77" s="39"/>
      <c r="V77" s="39"/>
      <c r="W77" s="3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28</v>
      </c>
      <c r="B78" s="35" t="s">
        <v>42</v>
      </c>
      <c r="C78" s="35" t="s">
        <v>34</v>
      </c>
      <c r="D78" s="35" t="s">
        <v>40</v>
      </c>
      <c r="E78" s="35" t="s">
        <v>25</v>
      </c>
      <c r="F78" s="35" t="s">
        <v>25</v>
      </c>
      <c r="G78" s="35" t="s">
        <v>25</v>
      </c>
      <c r="H78" s="35" t="s">
        <v>25</v>
      </c>
      <c r="I78" s="55">
        <v>44652</v>
      </c>
      <c r="J78" s="56">
        <f ca="1">EFEITO!$J$78*EFEITO!$Y$78</f>
        <v>3452.3256817874153</v>
      </c>
      <c r="K78" s="56">
        <f>EFEITO!$L$78*EFEITO!$Z$78</f>
        <v>0</v>
      </c>
      <c r="L78" s="56">
        <f>EFEITO!$N$78*EFEITO!$AA$78</f>
        <v>0</v>
      </c>
      <c r="M78" s="56">
        <f ca="1">$J$78-EFEITO!$K$78*EFEITO!$Y$78</f>
        <v>0</v>
      </c>
      <c r="N78" s="56">
        <f>$K$78-EFEITO!$M$78*EFEITO!$Z$78</f>
        <v>0</v>
      </c>
      <c r="O78" s="56">
        <f>$L$78-EFEITO!$O$78*EFEITO!$AA$78</f>
        <v>0</v>
      </c>
      <c r="P78" s="39"/>
      <c r="Q78" s="39"/>
      <c r="R78" s="39"/>
      <c r="S78" s="39"/>
      <c r="T78" s="39"/>
      <c r="U78" s="39"/>
      <c r="V78" s="39"/>
      <c r="W78" s="3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21</v>
      </c>
      <c r="B79" s="35" t="s">
        <v>42</v>
      </c>
      <c r="C79" s="35" t="s">
        <v>34</v>
      </c>
      <c r="D79" s="35" t="s">
        <v>40</v>
      </c>
      <c r="E79" s="35" t="s">
        <v>25</v>
      </c>
      <c r="F79" s="35" t="s">
        <v>25</v>
      </c>
      <c r="G79" s="35" t="s">
        <v>25</v>
      </c>
      <c r="H79" s="35" t="s">
        <v>25</v>
      </c>
      <c r="I79" s="55">
        <v>44682</v>
      </c>
      <c r="J79" s="56">
        <f ca="1">EFEITO!$J$79*EFEITO!$Y$79</f>
        <v>19491.599543105982</v>
      </c>
      <c r="K79" s="56">
        <f>EFEITO!$L$79*EFEITO!$Z$79</f>
        <v>0</v>
      </c>
      <c r="L79" s="56">
        <f>EFEITO!$N$79*EFEITO!$AA$79</f>
        <v>0</v>
      </c>
      <c r="M79" s="56">
        <f ca="1">$J$79-EFEITO!$K$79*EFEITO!$Y$79</f>
        <v>0</v>
      </c>
      <c r="N79" s="56">
        <f>$K$79-EFEITO!$M$79*EFEITO!$Z$79</f>
        <v>0</v>
      </c>
      <c r="O79" s="56">
        <f>$L$79-EFEITO!$O$79*EFEITO!$AA$79</f>
        <v>0</v>
      </c>
      <c r="P79" s="39"/>
      <c r="Q79" s="39"/>
      <c r="R79" s="39"/>
      <c r="S79" s="39"/>
      <c r="T79" s="39"/>
      <c r="U79" s="39"/>
      <c r="V79" s="39"/>
      <c r="W79" s="3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28</v>
      </c>
      <c r="B80" s="35" t="s">
        <v>42</v>
      </c>
      <c r="C80" s="35" t="s">
        <v>34</v>
      </c>
      <c r="D80" s="35" t="s">
        <v>40</v>
      </c>
      <c r="E80" s="35" t="s">
        <v>25</v>
      </c>
      <c r="F80" s="35" t="s">
        <v>25</v>
      </c>
      <c r="G80" s="35" t="s">
        <v>25</v>
      </c>
      <c r="H80" s="35" t="s">
        <v>25</v>
      </c>
      <c r="I80" s="55">
        <v>44682</v>
      </c>
      <c r="J80" s="56">
        <f ca="1">EFEITO!$J$80*EFEITO!$Y$80</f>
        <v>3600.9904240653423</v>
      </c>
      <c r="K80" s="56">
        <f>EFEITO!$L$80*EFEITO!$Z$80</f>
        <v>0</v>
      </c>
      <c r="L80" s="56">
        <f>EFEITO!$N$80*EFEITO!$AA$80</f>
        <v>0</v>
      </c>
      <c r="M80" s="56">
        <f ca="1">$J$80-EFEITO!$K$80*EFEITO!$Y$80</f>
        <v>0</v>
      </c>
      <c r="N80" s="56">
        <f>$K$80-EFEITO!$M$80*EFEITO!$Z$80</f>
        <v>0</v>
      </c>
      <c r="O80" s="56">
        <f>$L$80-EFEITO!$O$80*EFEITO!$AA$80</f>
        <v>0</v>
      </c>
      <c r="P80" s="39"/>
      <c r="Q80" s="39"/>
      <c r="R80" s="39"/>
      <c r="S80" s="39"/>
      <c r="T80" s="39"/>
      <c r="U80" s="39"/>
      <c r="V80" s="39"/>
      <c r="W80" s="3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21</v>
      </c>
      <c r="B81" s="35" t="s">
        <v>42</v>
      </c>
      <c r="C81" s="35" t="s">
        <v>34</v>
      </c>
      <c r="D81" s="35" t="s">
        <v>40</v>
      </c>
      <c r="E81" s="35" t="s">
        <v>25</v>
      </c>
      <c r="F81" s="35" t="s">
        <v>25</v>
      </c>
      <c r="G81" s="35" t="s">
        <v>25</v>
      </c>
      <c r="H81" s="35" t="s">
        <v>37</v>
      </c>
      <c r="I81" s="55">
        <v>44348</v>
      </c>
      <c r="J81" s="56">
        <f>EFEITO!$J$81*EFEITO!$Y$81</f>
        <v>0</v>
      </c>
      <c r="K81" s="56">
        <f ca="1">EFEITO!$L$81*EFEITO!$Z$81</f>
        <v>24192.060022590387</v>
      </c>
      <c r="L81" s="56">
        <f>EFEITO!$N$81*EFEITO!$AA$81</f>
        <v>8758.8949131358149</v>
      </c>
      <c r="M81" s="56">
        <f>$J$81-EFEITO!$K$81*EFEITO!$Y$81</f>
        <v>0</v>
      </c>
      <c r="N81" s="56">
        <f ca="1">$K$81-EFEITO!$M$81*EFEITO!$Z$81</f>
        <v>0</v>
      </c>
      <c r="O81" s="56">
        <f>$L$81-EFEITO!$O$81*EFEITO!$AA$81</f>
        <v>0</v>
      </c>
      <c r="P81" s="39"/>
      <c r="Q81" s="39"/>
      <c r="R81" s="39"/>
      <c r="S81" s="39"/>
      <c r="T81" s="39"/>
      <c r="U81" s="39"/>
      <c r="V81" s="39"/>
      <c r="W81" s="3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21</v>
      </c>
      <c r="B82" s="35" t="s">
        <v>42</v>
      </c>
      <c r="C82" s="35" t="s">
        <v>34</v>
      </c>
      <c r="D82" s="35" t="s">
        <v>40</v>
      </c>
      <c r="E82" s="35" t="s">
        <v>25</v>
      </c>
      <c r="F82" s="35" t="s">
        <v>25</v>
      </c>
      <c r="G82" s="35" t="s">
        <v>25</v>
      </c>
      <c r="H82" s="35" t="s">
        <v>37</v>
      </c>
      <c r="I82" s="55">
        <v>44378</v>
      </c>
      <c r="J82" s="56">
        <f>EFEITO!$J$82*EFEITO!$Y$82</f>
        <v>0</v>
      </c>
      <c r="K82" s="56">
        <f ca="1">EFEITO!$L$82*EFEITO!$Z$82</f>
        <v>27655.274415247615</v>
      </c>
      <c r="L82" s="56">
        <f>EFEITO!$N$82*EFEITO!$AA$82</f>
        <v>10012.774528952679</v>
      </c>
      <c r="M82" s="56">
        <f>$J$82-EFEITO!$K$82*EFEITO!$Y$82</f>
        <v>0</v>
      </c>
      <c r="N82" s="56">
        <f ca="1">$K$82-EFEITO!$M$82*EFEITO!$Z$82</f>
        <v>0</v>
      </c>
      <c r="O82" s="56">
        <f>$L$82-EFEITO!$O$82*EFEITO!$AA$82</f>
        <v>0</v>
      </c>
      <c r="P82" s="39"/>
      <c r="Q82" s="39"/>
      <c r="R82" s="39"/>
      <c r="S82" s="39"/>
      <c r="T82" s="39"/>
      <c r="U82" s="39"/>
      <c r="V82" s="39"/>
      <c r="W82" s="3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21</v>
      </c>
      <c r="B83" s="35" t="s">
        <v>42</v>
      </c>
      <c r="C83" s="35" t="s">
        <v>34</v>
      </c>
      <c r="D83" s="35" t="s">
        <v>40</v>
      </c>
      <c r="E83" s="35" t="s">
        <v>25</v>
      </c>
      <c r="F83" s="35" t="s">
        <v>25</v>
      </c>
      <c r="G83" s="35" t="s">
        <v>25</v>
      </c>
      <c r="H83" s="35" t="s">
        <v>37</v>
      </c>
      <c r="I83" s="55">
        <v>44409</v>
      </c>
      <c r="J83" s="56">
        <f>EFEITO!$J$83*EFEITO!$Y$83</f>
        <v>0</v>
      </c>
      <c r="K83" s="56">
        <f ca="1">EFEITO!$L$83*EFEITO!$Z$83</f>
        <v>25181.386080472937</v>
      </c>
      <c r="L83" s="56">
        <f>EFEITO!$N$83*EFEITO!$AA$83</f>
        <v>9117.0869384419893</v>
      </c>
      <c r="M83" s="56">
        <f>$J$83-EFEITO!$K$83*EFEITO!$Y$83</f>
        <v>0</v>
      </c>
      <c r="N83" s="56">
        <f ca="1">$K$83-EFEITO!$M$83*EFEITO!$Z$83</f>
        <v>0</v>
      </c>
      <c r="O83" s="56">
        <f>$L$83-EFEITO!$O$83*EFEITO!$AA$83</f>
        <v>0</v>
      </c>
      <c r="P83" s="39"/>
      <c r="Q83" s="39"/>
      <c r="R83" s="39"/>
      <c r="S83" s="39"/>
      <c r="T83" s="39"/>
      <c r="U83" s="39"/>
      <c r="V83" s="39"/>
      <c r="W83" s="3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21</v>
      </c>
      <c r="B84" s="35" t="s">
        <v>42</v>
      </c>
      <c r="C84" s="35" t="s">
        <v>34</v>
      </c>
      <c r="D84" s="35" t="s">
        <v>40</v>
      </c>
      <c r="E84" s="35" t="s">
        <v>25</v>
      </c>
      <c r="F84" s="35" t="s">
        <v>25</v>
      </c>
      <c r="G84" s="35" t="s">
        <v>25</v>
      </c>
      <c r="H84" s="35" t="s">
        <v>37</v>
      </c>
      <c r="I84" s="55">
        <v>44440</v>
      </c>
      <c r="J84" s="56">
        <f>EFEITO!$J$84*EFEITO!$Y$84</f>
        <v>0</v>
      </c>
      <c r="K84" s="56">
        <f ca="1">EFEITO!$L$84*EFEITO!$Z$84</f>
        <v>23599.381491970129</v>
      </c>
      <c r="L84" s="56">
        <f>EFEITO!$N$84*EFEITO!$AA$84</f>
        <v>8544.311741544514</v>
      </c>
      <c r="M84" s="56">
        <f>$J$84-EFEITO!$K$84*EFEITO!$Y$84</f>
        <v>0</v>
      </c>
      <c r="N84" s="56">
        <f ca="1">$K$84-EFEITO!$M$84*EFEITO!$Z$84</f>
        <v>0</v>
      </c>
      <c r="O84" s="56">
        <f>$L$84-EFEITO!$O$84*EFEITO!$AA$84</f>
        <v>0</v>
      </c>
      <c r="P84" s="39"/>
      <c r="Q84" s="39"/>
      <c r="R84" s="39"/>
      <c r="S84" s="39"/>
      <c r="T84" s="39"/>
      <c r="U84" s="39"/>
      <c r="V84" s="39"/>
      <c r="W84" s="3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21</v>
      </c>
      <c r="B85" s="35" t="s">
        <v>42</v>
      </c>
      <c r="C85" s="35" t="s">
        <v>34</v>
      </c>
      <c r="D85" s="35" t="s">
        <v>40</v>
      </c>
      <c r="E85" s="35" t="s">
        <v>25</v>
      </c>
      <c r="F85" s="35" t="s">
        <v>25</v>
      </c>
      <c r="G85" s="35" t="s">
        <v>25</v>
      </c>
      <c r="H85" s="35" t="s">
        <v>37</v>
      </c>
      <c r="I85" s="55">
        <v>44470</v>
      </c>
      <c r="J85" s="56">
        <f>EFEITO!$J$85*EFEITO!$Y$85</f>
        <v>0</v>
      </c>
      <c r="K85" s="56">
        <f ca="1">EFEITO!$L$85*EFEITO!$Z$85</f>
        <v>22775.134173757437</v>
      </c>
      <c r="L85" s="56">
        <f>EFEITO!$N$85*EFEITO!$AA$85</f>
        <v>8245.8875628711194</v>
      </c>
      <c r="M85" s="56">
        <f>$J$85-EFEITO!$K$85*EFEITO!$Y$85</f>
        <v>0</v>
      </c>
      <c r="N85" s="56">
        <f ca="1">$K$85-EFEITO!$M$85*EFEITO!$Z$85</f>
        <v>0</v>
      </c>
      <c r="O85" s="56">
        <f>$L$85-EFEITO!$O$85*EFEITO!$AA$85</f>
        <v>0</v>
      </c>
      <c r="P85" s="39"/>
      <c r="Q85" s="39"/>
      <c r="R85" s="39"/>
      <c r="S85" s="39"/>
      <c r="T85" s="39"/>
      <c r="U85" s="39"/>
      <c r="V85" s="39"/>
      <c r="W85" s="3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21</v>
      </c>
      <c r="B86" s="35" t="s">
        <v>42</v>
      </c>
      <c r="C86" s="35" t="s">
        <v>34</v>
      </c>
      <c r="D86" s="35" t="s">
        <v>40</v>
      </c>
      <c r="E86" s="35" t="s">
        <v>25</v>
      </c>
      <c r="F86" s="35" t="s">
        <v>25</v>
      </c>
      <c r="G86" s="35" t="s">
        <v>25</v>
      </c>
      <c r="H86" s="35" t="s">
        <v>37</v>
      </c>
      <c r="I86" s="55">
        <v>44501</v>
      </c>
      <c r="J86" s="56">
        <f>EFEITO!$J$86*EFEITO!$Y$86</f>
        <v>0</v>
      </c>
      <c r="K86" s="56">
        <f ca="1">EFEITO!$L$86*EFEITO!$Z$86</f>
        <v>20657.770061464187</v>
      </c>
      <c r="L86" s="56">
        <f>EFEITO!$N$86*EFEITO!$AA$86</f>
        <v>7479.2819189076145</v>
      </c>
      <c r="M86" s="56">
        <f>$J$86-EFEITO!$K$86*EFEITO!$Y$86</f>
        <v>0</v>
      </c>
      <c r="N86" s="56">
        <f ca="1">$K$86-EFEITO!$M$86*EFEITO!$Z$86</f>
        <v>0</v>
      </c>
      <c r="O86" s="56">
        <f>$L$86-EFEITO!$O$86*EFEITO!$AA$86</f>
        <v>0</v>
      </c>
      <c r="P86" s="39"/>
      <c r="Q86" s="39"/>
      <c r="R86" s="39"/>
      <c r="S86" s="39"/>
      <c r="T86" s="39"/>
      <c r="U86" s="39"/>
      <c r="V86" s="39"/>
      <c r="W86" s="3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42</v>
      </c>
      <c r="C87" s="35" t="s">
        <v>34</v>
      </c>
      <c r="D87" s="35" t="s">
        <v>40</v>
      </c>
      <c r="E87" s="35" t="s">
        <v>25</v>
      </c>
      <c r="F87" s="35" t="s">
        <v>25</v>
      </c>
      <c r="G87" s="35" t="s">
        <v>25</v>
      </c>
      <c r="H87" s="35" t="s">
        <v>37</v>
      </c>
      <c r="I87" s="55">
        <v>44531</v>
      </c>
      <c r="J87" s="56">
        <f>EFEITO!$J$87*EFEITO!$Y$87</f>
        <v>0</v>
      </c>
      <c r="K87" s="56">
        <f ca="1">EFEITO!$L$87*EFEITO!$Z$87</f>
        <v>20697.893366245054</v>
      </c>
      <c r="L87" s="56">
        <f>EFEITO!$N$87*EFEITO!$AA$87</f>
        <v>7493.8088260753038</v>
      </c>
      <c r="M87" s="56">
        <f>$J$87-EFEITO!$K$87*EFEITO!$Y$87</f>
        <v>0</v>
      </c>
      <c r="N87" s="56">
        <f ca="1">$K$87-EFEITO!$M$87*EFEITO!$Z$87</f>
        <v>0</v>
      </c>
      <c r="O87" s="56">
        <f>$L$87-EFEITO!$O$87*EFEITO!$AA$87</f>
        <v>0</v>
      </c>
      <c r="P87" s="39"/>
      <c r="Q87" s="39"/>
      <c r="R87" s="39"/>
      <c r="S87" s="39"/>
      <c r="T87" s="39"/>
      <c r="U87" s="39"/>
      <c r="V87" s="39"/>
      <c r="W87" s="3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21</v>
      </c>
      <c r="B88" s="35" t="s">
        <v>42</v>
      </c>
      <c r="C88" s="35" t="s">
        <v>34</v>
      </c>
      <c r="D88" s="35" t="s">
        <v>40</v>
      </c>
      <c r="E88" s="35" t="s">
        <v>25</v>
      </c>
      <c r="F88" s="35" t="s">
        <v>25</v>
      </c>
      <c r="G88" s="35" t="s">
        <v>25</v>
      </c>
      <c r="H88" s="35" t="s">
        <v>37</v>
      </c>
      <c r="I88" s="55">
        <v>44562</v>
      </c>
      <c r="J88" s="56">
        <f>EFEITO!$J$88*EFEITO!$Y$88</f>
        <v>0</v>
      </c>
      <c r="K88" s="56">
        <f ca="1">EFEITO!$L$88*EFEITO!$Z$88</f>
        <v>19194.989007167387</v>
      </c>
      <c r="L88" s="56">
        <f>EFEITO!$N$88*EFEITO!$AA$88</f>
        <v>6949.6723890227022</v>
      </c>
      <c r="M88" s="56">
        <f>$J$88-EFEITO!$K$88*EFEITO!$Y$88</f>
        <v>0</v>
      </c>
      <c r="N88" s="56">
        <f ca="1">$K$88-EFEITO!$M$88*EFEITO!$Z$88</f>
        <v>0</v>
      </c>
      <c r="O88" s="56">
        <f>$L$88-EFEITO!$O$88*EFEITO!$AA$88</f>
        <v>0</v>
      </c>
      <c r="P88" s="39"/>
      <c r="Q88" s="39"/>
      <c r="R88" s="39"/>
      <c r="S88" s="39"/>
      <c r="T88" s="39"/>
      <c r="U88" s="39"/>
      <c r="V88" s="39"/>
      <c r="W88" s="3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42</v>
      </c>
      <c r="C89" s="35" t="s">
        <v>34</v>
      </c>
      <c r="D89" s="35" t="s">
        <v>40</v>
      </c>
      <c r="E89" s="35" t="s">
        <v>25</v>
      </c>
      <c r="F89" s="35" t="s">
        <v>25</v>
      </c>
      <c r="G89" s="35" t="s">
        <v>25</v>
      </c>
      <c r="H89" s="35" t="s">
        <v>37</v>
      </c>
      <c r="I89" s="55">
        <v>44593</v>
      </c>
      <c r="J89" s="56">
        <f>EFEITO!$J$89*EFEITO!$Y$89</f>
        <v>0</v>
      </c>
      <c r="K89" s="56">
        <f ca="1">EFEITO!$L$89*EFEITO!$Z$89</f>
        <v>20991.366681213691</v>
      </c>
      <c r="L89" s="56">
        <f>EFEITO!$N$89*EFEITO!$AA$89</f>
        <v>7600.0627756446902</v>
      </c>
      <c r="M89" s="56">
        <f>$J$89-EFEITO!$K$89*EFEITO!$Y$89</f>
        <v>0</v>
      </c>
      <c r="N89" s="56">
        <f ca="1">$K$89-EFEITO!$M$89*EFEITO!$Z$89</f>
        <v>0</v>
      </c>
      <c r="O89" s="56">
        <f>$L$89-EFEITO!$O$89*EFEITO!$AA$89</f>
        <v>0</v>
      </c>
      <c r="P89" s="39"/>
      <c r="Q89" s="39"/>
      <c r="R89" s="39"/>
      <c r="S89" s="39"/>
      <c r="T89" s="39"/>
      <c r="U89" s="39"/>
      <c r="V89" s="39"/>
      <c r="W89" s="3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21</v>
      </c>
      <c r="B90" s="35" t="s">
        <v>42</v>
      </c>
      <c r="C90" s="35" t="s">
        <v>34</v>
      </c>
      <c r="D90" s="35" t="s">
        <v>40</v>
      </c>
      <c r="E90" s="35" t="s">
        <v>25</v>
      </c>
      <c r="F90" s="35" t="s">
        <v>25</v>
      </c>
      <c r="G90" s="35" t="s">
        <v>25</v>
      </c>
      <c r="H90" s="35" t="s">
        <v>37</v>
      </c>
      <c r="I90" s="55">
        <v>44621</v>
      </c>
      <c r="J90" s="56">
        <f>EFEITO!$J$90*EFEITO!$Y$90</f>
        <v>0</v>
      </c>
      <c r="K90" s="56">
        <f ca="1">EFEITO!$L$90*EFEITO!$Z$90</f>
        <v>22513.759502613491</v>
      </c>
      <c r="L90" s="56">
        <f>EFEITO!$N$90*EFEITO!$AA$90</f>
        <v>8151.255139035884</v>
      </c>
      <c r="M90" s="56">
        <f>$J$90-EFEITO!$K$90*EFEITO!$Y$90</f>
        <v>0</v>
      </c>
      <c r="N90" s="56">
        <f ca="1">$K$90-EFEITO!$M$90*EFEITO!$Z$90</f>
        <v>0</v>
      </c>
      <c r="O90" s="56">
        <f>$L$90-EFEITO!$O$90*EFEITO!$AA$90</f>
        <v>0</v>
      </c>
      <c r="P90" s="39"/>
      <c r="Q90" s="39"/>
      <c r="R90" s="39"/>
      <c r="S90" s="39"/>
      <c r="T90" s="39"/>
      <c r="U90" s="39"/>
      <c r="V90" s="39"/>
      <c r="W90" s="3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42</v>
      </c>
      <c r="C91" s="35" t="s">
        <v>34</v>
      </c>
      <c r="D91" s="35" t="s">
        <v>40</v>
      </c>
      <c r="E91" s="35" t="s">
        <v>25</v>
      </c>
      <c r="F91" s="35" t="s">
        <v>25</v>
      </c>
      <c r="G91" s="35" t="s">
        <v>25</v>
      </c>
      <c r="H91" s="35" t="s">
        <v>37</v>
      </c>
      <c r="I91" s="55">
        <v>44652</v>
      </c>
      <c r="J91" s="56">
        <f>EFEITO!$J$91*EFEITO!$Y$91</f>
        <v>0</v>
      </c>
      <c r="K91" s="56">
        <f ca="1">EFEITO!$L$91*EFEITO!$Z$91</f>
        <v>20199.218006825693</v>
      </c>
      <c r="L91" s="56">
        <f>EFEITO!$N$91*EFEITO!$AA$91</f>
        <v>7313.2601227054474</v>
      </c>
      <c r="M91" s="56">
        <f>$J$91-EFEITO!$K$91*EFEITO!$Y$91</f>
        <v>0</v>
      </c>
      <c r="N91" s="56">
        <f ca="1">$K$91-EFEITO!$M$91*EFEITO!$Z$91</f>
        <v>0</v>
      </c>
      <c r="O91" s="56">
        <f>$L$91-EFEITO!$O$91*EFEITO!$AA$91</f>
        <v>0</v>
      </c>
      <c r="P91" s="39"/>
      <c r="Q91" s="39"/>
      <c r="R91" s="39"/>
      <c r="S91" s="39"/>
      <c r="T91" s="39"/>
      <c r="U91" s="39"/>
      <c r="V91" s="39"/>
      <c r="W91" s="3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21</v>
      </c>
      <c r="B92" s="35" t="s">
        <v>42</v>
      </c>
      <c r="C92" s="35" t="s">
        <v>34</v>
      </c>
      <c r="D92" s="35" t="s">
        <v>40</v>
      </c>
      <c r="E92" s="35" t="s">
        <v>25</v>
      </c>
      <c r="F92" s="35" t="s">
        <v>25</v>
      </c>
      <c r="G92" s="35" t="s">
        <v>25</v>
      </c>
      <c r="H92" s="35" t="s">
        <v>37</v>
      </c>
      <c r="I92" s="55">
        <v>44682</v>
      </c>
      <c r="J92" s="56">
        <f>EFEITO!$J$92*EFEITO!$Y$92</f>
        <v>0</v>
      </c>
      <c r="K92" s="56">
        <f ca="1">EFEITO!$L$92*EFEITO!$Z$92</f>
        <v>22731.571728566778</v>
      </c>
      <c r="L92" s="56">
        <f>EFEITO!$N$92*EFEITO!$AA$92</f>
        <v>8230.1154922319147</v>
      </c>
      <c r="M92" s="56">
        <f>$J$92-EFEITO!$K$92*EFEITO!$Y$92</f>
        <v>0</v>
      </c>
      <c r="N92" s="56">
        <f ca="1">$K$92-EFEITO!$M$92*EFEITO!$Z$92</f>
        <v>0</v>
      </c>
      <c r="O92" s="56">
        <f>$L$92-EFEITO!$O$92*EFEITO!$AA$92</f>
        <v>0</v>
      </c>
      <c r="P92" s="39"/>
      <c r="Q92" s="39"/>
      <c r="R92" s="39"/>
      <c r="S92" s="39"/>
      <c r="T92" s="39"/>
      <c r="U92" s="39"/>
      <c r="V92" s="39"/>
      <c r="W92" s="3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33</v>
      </c>
      <c r="C93" s="35" t="s">
        <v>41</v>
      </c>
      <c r="D93" s="35" t="s">
        <v>43</v>
      </c>
      <c r="E93" s="35" t="s">
        <v>25</v>
      </c>
      <c r="F93" s="35" t="s">
        <v>25</v>
      </c>
      <c r="G93" s="35" t="s">
        <v>25</v>
      </c>
      <c r="H93" s="35" t="s">
        <v>35</v>
      </c>
      <c r="I93" s="55">
        <v>44348</v>
      </c>
      <c r="J93" s="56">
        <f ca="1">EFEITO!$J$93*EFEITO!$Y$93</f>
        <v>3634.0270334604375</v>
      </c>
      <c r="K93" s="56">
        <f ca="1">EFEITO!$L$93*EFEITO!$Z$93</f>
        <v>4910.0903779972959</v>
      </c>
      <c r="L93" s="56">
        <f>EFEITO!$N$93*EFEITO!$AA$93</f>
        <v>11434.14229519867</v>
      </c>
      <c r="M93" s="56">
        <f ca="1">$J$93-EFEITO!$K$93*EFEITO!$Y$93</f>
        <v>0</v>
      </c>
      <c r="N93" s="56">
        <f ca="1">$K$93-EFEITO!$M$93*EFEITO!$Z$93</f>
        <v>0</v>
      </c>
      <c r="O93" s="56">
        <f>$L$93-EFEITO!$O$93*EFEITO!$AA$93</f>
        <v>0</v>
      </c>
      <c r="P93" s="39"/>
      <c r="Q93" s="39"/>
      <c r="R93" s="39"/>
      <c r="S93" s="39"/>
      <c r="T93" s="39"/>
      <c r="U93" s="39"/>
      <c r="V93" s="39"/>
      <c r="W93" s="3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21</v>
      </c>
      <c r="B94" s="35" t="s">
        <v>33</v>
      </c>
      <c r="C94" s="35" t="s">
        <v>41</v>
      </c>
      <c r="D94" s="35" t="s">
        <v>43</v>
      </c>
      <c r="E94" s="35" t="s">
        <v>25</v>
      </c>
      <c r="F94" s="35" t="s">
        <v>25</v>
      </c>
      <c r="G94" s="35" t="s">
        <v>25</v>
      </c>
      <c r="H94" s="35" t="s">
        <v>35</v>
      </c>
      <c r="I94" s="55">
        <v>44348</v>
      </c>
      <c r="J94" s="56">
        <f ca="1">EFEITO!$J$94*EFEITO!$Y$94</f>
        <v>81765.608252859834</v>
      </c>
      <c r="K94" s="56">
        <f ca="1">EFEITO!$L$94*EFEITO!$Z$94</f>
        <v>270978.78992827743</v>
      </c>
      <c r="L94" s="56">
        <f>EFEITO!$N$94*EFEITO!$AA$94</f>
        <v>0</v>
      </c>
      <c r="M94" s="56">
        <f ca="1">$J$94-EFEITO!$K$94*EFEITO!$Y$94</f>
        <v>0</v>
      </c>
      <c r="N94" s="56">
        <f ca="1">$K$94-EFEITO!$M$94*EFEITO!$Z$94</f>
        <v>0</v>
      </c>
      <c r="O94" s="56">
        <f>$L$94-EFEITO!$O$94*EFEITO!$AA$94</f>
        <v>0</v>
      </c>
      <c r="P94" s="39"/>
      <c r="Q94" s="39"/>
      <c r="R94" s="39"/>
      <c r="S94" s="39"/>
      <c r="T94" s="39"/>
      <c r="U94" s="39"/>
      <c r="V94" s="39"/>
      <c r="W94" s="3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21</v>
      </c>
      <c r="B95" s="35" t="s">
        <v>33</v>
      </c>
      <c r="C95" s="35" t="s">
        <v>41</v>
      </c>
      <c r="D95" s="35" t="s">
        <v>43</v>
      </c>
      <c r="E95" s="35" t="s">
        <v>25</v>
      </c>
      <c r="F95" s="35" t="s">
        <v>25</v>
      </c>
      <c r="G95" s="35" t="s">
        <v>25</v>
      </c>
      <c r="H95" s="35" t="s">
        <v>35</v>
      </c>
      <c r="I95" s="55">
        <v>44378</v>
      </c>
      <c r="J95" s="56">
        <f ca="1">EFEITO!$J$95*EFEITO!$Y$95</f>
        <v>3634.0270334604375</v>
      </c>
      <c r="K95" s="56">
        <f ca="1">EFEITO!$L$95*EFEITO!$Z$95</f>
        <v>5099.8598482146317</v>
      </c>
      <c r="L95" s="56">
        <f>EFEITO!$N$95*EFEITO!$AA$95</f>
        <v>11876.059033732208</v>
      </c>
      <c r="M95" s="56">
        <f ca="1">$J$95-EFEITO!$K$95*EFEITO!$Y$95</f>
        <v>0</v>
      </c>
      <c r="N95" s="56">
        <f ca="1">$K$95-EFEITO!$M$95*EFEITO!$Z$95</f>
        <v>0</v>
      </c>
      <c r="O95" s="56">
        <f>$L$95-EFEITO!$O$95*EFEITO!$AA$95</f>
        <v>0</v>
      </c>
      <c r="P95" s="39"/>
      <c r="Q95" s="39"/>
      <c r="R95" s="39"/>
      <c r="S95" s="39"/>
      <c r="T95" s="39"/>
      <c r="U95" s="39"/>
      <c r="V95" s="39"/>
      <c r="W95" s="3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21</v>
      </c>
      <c r="B96" s="35" t="s">
        <v>33</v>
      </c>
      <c r="C96" s="35" t="s">
        <v>41</v>
      </c>
      <c r="D96" s="35" t="s">
        <v>43</v>
      </c>
      <c r="E96" s="35" t="s">
        <v>25</v>
      </c>
      <c r="F96" s="35" t="s">
        <v>25</v>
      </c>
      <c r="G96" s="35" t="s">
        <v>25</v>
      </c>
      <c r="H96" s="35" t="s">
        <v>35</v>
      </c>
      <c r="I96" s="55">
        <v>44378</v>
      </c>
      <c r="J96" s="56">
        <f ca="1">EFEITO!$J$96*EFEITO!$Y$96</f>
        <v>81765.608252859834</v>
      </c>
      <c r="K96" s="56">
        <f ca="1">EFEITO!$L$96*EFEITO!$Z$96</f>
        <v>235600.68829533362</v>
      </c>
      <c r="L96" s="56">
        <f>EFEITO!$N$96*EFEITO!$AA$96</f>
        <v>0</v>
      </c>
      <c r="M96" s="56">
        <f ca="1">$J$96-EFEITO!$K$96*EFEITO!$Y$96</f>
        <v>0</v>
      </c>
      <c r="N96" s="56">
        <f ca="1">$K$96-EFEITO!$M$96*EFEITO!$Z$96</f>
        <v>0</v>
      </c>
      <c r="O96" s="56">
        <f>$L$96-EFEITO!$O$96*EFEITO!$AA$96</f>
        <v>0</v>
      </c>
      <c r="P96" s="39"/>
      <c r="Q96" s="39"/>
      <c r="R96" s="39"/>
      <c r="S96" s="39"/>
      <c r="T96" s="39"/>
      <c r="U96" s="39"/>
      <c r="V96" s="39"/>
      <c r="W96" s="3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21</v>
      </c>
      <c r="B97" s="35" t="s">
        <v>33</v>
      </c>
      <c r="C97" s="35" t="s">
        <v>41</v>
      </c>
      <c r="D97" s="35" t="s">
        <v>43</v>
      </c>
      <c r="E97" s="35" t="s">
        <v>25</v>
      </c>
      <c r="F97" s="35" t="s">
        <v>25</v>
      </c>
      <c r="G97" s="35" t="s">
        <v>25</v>
      </c>
      <c r="H97" s="35" t="s">
        <v>35</v>
      </c>
      <c r="I97" s="55">
        <v>44409</v>
      </c>
      <c r="J97" s="56">
        <f ca="1">EFEITO!$J$97*EFEITO!$Y$97</f>
        <v>3634.0270334604375</v>
      </c>
      <c r="K97" s="56">
        <f ca="1">EFEITO!$L$97*EFEITO!$Z$97</f>
        <v>5160.5949776042353</v>
      </c>
      <c r="L97" s="56">
        <f>EFEITO!$N$97*EFEITO!$AA$97</f>
        <v>12017.493113004959</v>
      </c>
      <c r="M97" s="56">
        <f ca="1">$J$97-EFEITO!$K$97*EFEITO!$Y$97</f>
        <v>0</v>
      </c>
      <c r="N97" s="56">
        <f ca="1">$K$97-EFEITO!$M$97*EFEITO!$Z$97</f>
        <v>0</v>
      </c>
      <c r="O97" s="56">
        <f>$L$97-EFEITO!$O$97*EFEITO!$AA$97</f>
        <v>0</v>
      </c>
      <c r="P97" s="39"/>
      <c r="Q97" s="39"/>
      <c r="R97" s="39"/>
      <c r="S97" s="39"/>
      <c r="T97" s="39"/>
      <c r="U97" s="39"/>
      <c r="V97" s="39"/>
      <c r="W97" s="3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21</v>
      </c>
      <c r="B98" s="35" t="s">
        <v>33</v>
      </c>
      <c r="C98" s="35" t="s">
        <v>41</v>
      </c>
      <c r="D98" s="35" t="s">
        <v>43</v>
      </c>
      <c r="E98" s="35" t="s">
        <v>25</v>
      </c>
      <c r="F98" s="35" t="s">
        <v>25</v>
      </c>
      <c r="G98" s="35" t="s">
        <v>25</v>
      </c>
      <c r="H98" s="35" t="s">
        <v>35</v>
      </c>
      <c r="I98" s="55">
        <v>44409</v>
      </c>
      <c r="J98" s="56">
        <f ca="1">EFEITO!$J$98*EFEITO!$Y$98</f>
        <v>81765.608252859834</v>
      </c>
      <c r="K98" s="56">
        <f ca="1">EFEITO!$L$98*EFEITO!$Z$98</f>
        <v>238498.17666592044</v>
      </c>
      <c r="L98" s="56">
        <f>EFEITO!$N$98*EFEITO!$AA$98</f>
        <v>0</v>
      </c>
      <c r="M98" s="56">
        <f ca="1">$J$98-EFEITO!$K$98*EFEITO!$Y$98</f>
        <v>0</v>
      </c>
      <c r="N98" s="56">
        <f ca="1">$K$98-EFEITO!$M$98*EFEITO!$Z$98</f>
        <v>0</v>
      </c>
      <c r="O98" s="56">
        <f>$L$98-EFEITO!$O$98*EFEITO!$AA$98</f>
        <v>0</v>
      </c>
      <c r="P98" s="39"/>
      <c r="Q98" s="39"/>
      <c r="R98" s="39"/>
      <c r="S98" s="39"/>
      <c r="T98" s="39"/>
      <c r="U98" s="39"/>
      <c r="V98" s="39"/>
      <c r="W98" s="3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21</v>
      </c>
      <c r="B99" s="35" t="s">
        <v>33</v>
      </c>
      <c r="C99" s="35" t="s">
        <v>41</v>
      </c>
      <c r="D99" s="35" t="s">
        <v>43</v>
      </c>
      <c r="E99" s="35" t="s">
        <v>25</v>
      </c>
      <c r="F99" s="35" t="s">
        <v>25</v>
      </c>
      <c r="G99" s="35" t="s">
        <v>25</v>
      </c>
      <c r="H99" s="35" t="s">
        <v>35</v>
      </c>
      <c r="I99" s="55">
        <v>44440</v>
      </c>
      <c r="J99" s="56">
        <f ca="1">EFEITO!$J$99*EFEITO!$Y$99</f>
        <v>3634.0270334604375</v>
      </c>
      <c r="K99" s="56">
        <f ca="1">EFEITO!$L$99*EFEITO!$Z$99</f>
        <v>5073.2743245440897</v>
      </c>
      <c r="L99" s="56">
        <f>EFEITO!$N$99*EFEITO!$AA$99</f>
        <v>11814.149244453476</v>
      </c>
      <c r="M99" s="56">
        <f ca="1">$J$99-EFEITO!$K$99*EFEITO!$Y$99</f>
        <v>0</v>
      </c>
      <c r="N99" s="56">
        <f ca="1">$K$99-EFEITO!$M$99*EFEITO!$Z$99</f>
        <v>0</v>
      </c>
      <c r="O99" s="56">
        <f>$L$99-EFEITO!$O$99*EFEITO!$AA$99</f>
        <v>0</v>
      </c>
      <c r="P99" s="39"/>
      <c r="Q99" s="39"/>
      <c r="R99" s="39"/>
      <c r="S99" s="39"/>
      <c r="T99" s="39"/>
      <c r="U99" s="39"/>
      <c r="V99" s="39"/>
      <c r="W99" s="3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21</v>
      </c>
      <c r="B100" s="35" t="s">
        <v>33</v>
      </c>
      <c r="C100" s="35" t="s">
        <v>41</v>
      </c>
      <c r="D100" s="35" t="s">
        <v>43</v>
      </c>
      <c r="E100" s="35" t="s">
        <v>25</v>
      </c>
      <c r="F100" s="35" t="s">
        <v>25</v>
      </c>
      <c r="G100" s="35" t="s">
        <v>25</v>
      </c>
      <c r="H100" s="35" t="s">
        <v>35</v>
      </c>
      <c r="I100" s="55">
        <v>44440</v>
      </c>
      <c r="J100" s="56">
        <f ca="1">EFEITO!$J$100*EFEITO!$Y$100</f>
        <v>81765.608252859834</v>
      </c>
      <c r="K100" s="56">
        <f ca="1">EFEITO!$L$100*EFEITO!$Z$100</f>
        <v>280381.38886059332</v>
      </c>
      <c r="L100" s="56">
        <f>EFEITO!$N$100*EFEITO!$AA$100</f>
        <v>0</v>
      </c>
      <c r="M100" s="56">
        <f ca="1">$J$100-EFEITO!$K$100*EFEITO!$Y$100</f>
        <v>0</v>
      </c>
      <c r="N100" s="56">
        <f ca="1">$K$100-EFEITO!$M$100*EFEITO!$Z$100</f>
        <v>0</v>
      </c>
      <c r="O100" s="56">
        <f>$L$100-EFEITO!$O$100*EFEITO!$AA$100</f>
        <v>0</v>
      </c>
      <c r="P100" s="39"/>
      <c r="Q100" s="39"/>
      <c r="R100" s="39"/>
      <c r="S100" s="39"/>
      <c r="T100" s="39"/>
      <c r="U100" s="39"/>
      <c r="V100" s="39"/>
      <c r="W100" s="3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21</v>
      </c>
      <c r="B101" s="35" t="s">
        <v>33</v>
      </c>
      <c r="C101" s="35" t="s">
        <v>41</v>
      </c>
      <c r="D101" s="35" t="s">
        <v>43</v>
      </c>
      <c r="E101" s="35" t="s">
        <v>25</v>
      </c>
      <c r="F101" s="35" t="s">
        <v>25</v>
      </c>
      <c r="G101" s="35" t="s">
        <v>25</v>
      </c>
      <c r="H101" s="35" t="s">
        <v>35</v>
      </c>
      <c r="I101" s="55">
        <v>44470</v>
      </c>
      <c r="J101" s="56">
        <f ca="1">EFEITO!$J$101*EFEITO!$Y$101</f>
        <v>3634.0270334604375</v>
      </c>
      <c r="K101" s="56">
        <f ca="1">EFEITO!$L$101*EFEITO!$Z$101</f>
        <v>5204.9783413889463</v>
      </c>
      <c r="L101" s="56">
        <f>EFEITO!$N$101*EFEITO!$AA$101</f>
        <v>12120.848786319662</v>
      </c>
      <c r="M101" s="56">
        <f ca="1">$J$101-EFEITO!$K$101*EFEITO!$Y$101</f>
        <v>0</v>
      </c>
      <c r="N101" s="56">
        <f ca="1">$K$101-EFEITO!$M$101*EFEITO!$Z$101</f>
        <v>0</v>
      </c>
      <c r="O101" s="56">
        <f>$L$101-EFEITO!$O$101*EFEITO!$AA$101</f>
        <v>0</v>
      </c>
      <c r="P101" s="39"/>
      <c r="Q101" s="39"/>
      <c r="R101" s="39"/>
      <c r="S101" s="39"/>
      <c r="T101" s="39"/>
      <c r="U101" s="39"/>
      <c r="V101" s="39"/>
      <c r="W101" s="3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21</v>
      </c>
      <c r="B102" s="35" t="s">
        <v>33</v>
      </c>
      <c r="C102" s="35" t="s">
        <v>41</v>
      </c>
      <c r="D102" s="35" t="s">
        <v>43</v>
      </c>
      <c r="E102" s="35" t="s">
        <v>25</v>
      </c>
      <c r="F102" s="35" t="s">
        <v>25</v>
      </c>
      <c r="G102" s="35" t="s">
        <v>25</v>
      </c>
      <c r="H102" s="35" t="s">
        <v>35</v>
      </c>
      <c r="I102" s="55">
        <v>44470</v>
      </c>
      <c r="J102" s="56">
        <f ca="1">EFEITO!$J$102*EFEITO!$Y$102</f>
        <v>83780.841425960622</v>
      </c>
      <c r="K102" s="56">
        <f ca="1">EFEITO!$L$102*EFEITO!$Z$102</f>
        <v>277577.00544110371</v>
      </c>
      <c r="L102" s="56">
        <f>EFEITO!$N$102*EFEITO!$AA$102</f>
        <v>0</v>
      </c>
      <c r="M102" s="56">
        <f ca="1">$J$102-EFEITO!$K$102*EFEITO!$Y$102</f>
        <v>0</v>
      </c>
      <c r="N102" s="56">
        <f ca="1">$K$102-EFEITO!$M$102*EFEITO!$Z$102</f>
        <v>0</v>
      </c>
      <c r="O102" s="56">
        <f>$L$102-EFEITO!$O$102*EFEITO!$AA$102</f>
        <v>0</v>
      </c>
      <c r="P102" s="39"/>
      <c r="Q102" s="39"/>
      <c r="R102" s="39"/>
      <c r="S102" s="39"/>
      <c r="T102" s="39"/>
      <c r="U102" s="39"/>
      <c r="V102" s="39"/>
      <c r="W102" s="3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21</v>
      </c>
      <c r="B103" s="35" t="s">
        <v>33</v>
      </c>
      <c r="C103" s="35" t="s">
        <v>41</v>
      </c>
      <c r="D103" s="35" t="s">
        <v>43</v>
      </c>
      <c r="E103" s="35" t="s">
        <v>25</v>
      </c>
      <c r="F103" s="35" t="s">
        <v>25</v>
      </c>
      <c r="G103" s="35" t="s">
        <v>25</v>
      </c>
      <c r="H103" s="35" t="s">
        <v>35</v>
      </c>
      <c r="I103" s="55">
        <v>44501</v>
      </c>
      <c r="J103" s="56">
        <f ca="1">EFEITO!$J$103*EFEITO!$Y$103</f>
        <v>3815.7283851334591</v>
      </c>
      <c r="K103" s="56">
        <f ca="1">EFEITO!$L$103*EFEITO!$Z$103</f>
        <v>5387.0724930570459</v>
      </c>
      <c r="L103" s="56">
        <f>EFEITO!$N$103*EFEITO!$AA$103</f>
        <v>12544.891987362687</v>
      </c>
      <c r="M103" s="56">
        <f ca="1">$J$103-EFEITO!$K$103*EFEITO!$Y$103</f>
        <v>0</v>
      </c>
      <c r="N103" s="56">
        <f ca="1">$K$103-EFEITO!$M$103*EFEITO!$Z$103</f>
        <v>0</v>
      </c>
      <c r="O103" s="56">
        <f>$L$103-EFEITO!$O$103*EFEITO!$AA$103</f>
        <v>0</v>
      </c>
      <c r="P103" s="39"/>
      <c r="Q103" s="39"/>
      <c r="R103" s="39"/>
      <c r="S103" s="39"/>
      <c r="T103" s="39"/>
      <c r="U103" s="39"/>
      <c r="V103" s="39"/>
      <c r="W103" s="3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21</v>
      </c>
      <c r="B104" s="35" t="s">
        <v>33</v>
      </c>
      <c r="C104" s="35" t="s">
        <v>41</v>
      </c>
      <c r="D104" s="35" t="s">
        <v>43</v>
      </c>
      <c r="E104" s="35" t="s">
        <v>25</v>
      </c>
      <c r="F104" s="35" t="s">
        <v>25</v>
      </c>
      <c r="G104" s="35" t="s">
        <v>25</v>
      </c>
      <c r="H104" s="35" t="s">
        <v>35</v>
      </c>
      <c r="I104" s="55">
        <v>44501</v>
      </c>
      <c r="J104" s="56">
        <f ca="1">EFEITO!$J$104*EFEITO!$Y$104</f>
        <v>81914.27299513777</v>
      </c>
      <c r="K104" s="56">
        <f ca="1">EFEITO!$L$104*EFEITO!$Z$104</f>
        <v>303058.39560556196</v>
      </c>
      <c r="L104" s="56">
        <f>EFEITO!$N$104*EFEITO!$AA$104</f>
        <v>0</v>
      </c>
      <c r="M104" s="56">
        <f ca="1">$J$104-EFEITO!$K$104*EFEITO!$Y$104</f>
        <v>0</v>
      </c>
      <c r="N104" s="56">
        <f ca="1">$K$104-EFEITO!$M$104*EFEITO!$Z$104</f>
        <v>0</v>
      </c>
      <c r="O104" s="56">
        <f>$L$104-EFEITO!$O$104*EFEITO!$AA$104</f>
        <v>0</v>
      </c>
      <c r="P104" s="39"/>
      <c r="Q104" s="39"/>
      <c r="R104" s="39"/>
      <c r="S104" s="39"/>
      <c r="T104" s="39"/>
      <c r="U104" s="39"/>
      <c r="V104" s="39"/>
      <c r="W104" s="3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21</v>
      </c>
      <c r="B105" s="35" t="s">
        <v>33</v>
      </c>
      <c r="C105" s="35" t="s">
        <v>41</v>
      </c>
      <c r="D105" s="35" t="s">
        <v>43</v>
      </c>
      <c r="E105" s="35" t="s">
        <v>25</v>
      </c>
      <c r="F105" s="35" t="s">
        <v>25</v>
      </c>
      <c r="G105" s="35" t="s">
        <v>25</v>
      </c>
      <c r="H105" s="35" t="s">
        <v>35</v>
      </c>
      <c r="I105" s="55">
        <v>44531</v>
      </c>
      <c r="J105" s="56">
        <f ca="1">EFEITO!$J$105*EFEITO!$Y$105</f>
        <v>4146.0944790844078</v>
      </c>
      <c r="K105" s="56">
        <f ca="1">EFEITO!$L$105*EFEITO!$Z$105</f>
        <v>5665.2749813416613</v>
      </c>
      <c r="L105" s="56">
        <f>EFEITO!$N$105*EFEITO!$AA$105</f>
        <v>13192.742962199956</v>
      </c>
      <c r="M105" s="56">
        <f ca="1">$J$105-EFEITO!$K$105*EFEITO!$Y$105</f>
        <v>0</v>
      </c>
      <c r="N105" s="56">
        <f ca="1">$K$105-EFEITO!$M$105*EFEITO!$Z$105</f>
        <v>0</v>
      </c>
      <c r="O105" s="56">
        <f>$L$105-EFEITO!$O$105*EFEITO!$AA$105</f>
        <v>0</v>
      </c>
      <c r="P105" s="39"/>
      <c r="Q105" s="39"/>
      <c r="R105" s="39"/>
      <c r="S105" s="39"/>
      <c r="T105" s="39"/>
      <c r="U105" s="39"/>
      <c r="V105" s="39"/>
      <c r="W105" s="3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33</v>
      </c>
      <c r="C106" s="35" t="s">
        <v>41</v>
      </c>
      <c r="D106" s="35" t="s">
        <v>43</v>
      </c>
      <c r="E106" s="35" t="s">
        <v>25</v>
      </c>
      <c r="F106" s="35" t="s">
        <v>25</v>
      </c>
      <c r="G106" s="35" t="s">
        <v>25</v>
      </c>
      <c r="H106" s="35" t="s">
        <v>35</v>
      </c>
      <c r="I106" s="55">
        <v>44531</v>
      </c>
      <c r="J106" s="56">
        <f ca="1">EFEITO!$J$106*EFEITO!$Y$106</f>
        <v>85350.080372227632</v>
      </c>
      <c r="K106" s="56">
        <f ca="1">EFEITO!$L$106*EFEITO!$Z$106</f>
        <v>280507.53105240251</v>
      </c>
      <c r="L106" s="56">
        <f>EFEITO!$N$106*EFEITO!$AA$106</f>
        <v>0</v>
      </c>
      <c r="M106" s="56">
        <f ca="1">$J$106-EFEITO!$K$106*EFEITO!$Y$106</f>
        <v>0</v>
      </c>
      <c r="N106" s="56">
        <f ca="1">$K$106-EFEITO!$M$106*EFEITO!$Z$106</f>
        <v>0</v>
      </c>
      <c r="O106" s="56">
        <f>$L$106-EFEITO!$O$106*EFEITO!$AA$106</f>
        <v>0</v>
      </c>
      <c r="P106" s="39"/>
      <c r="Q106" s="39"/>
      <c r="R106" s="39"/>
      <c r="S106" s="39"/>
      <c r="T106" s="39"/>
      <c r="U106" s="39"/>
      <c r="V106" s="39"/>
      <c r="W106" s="3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21</v>
      </c>
      <c r="B107" s="35" t="s">
        <v>33</v>
      </c>
      <c r="C107" s="35" t="s">
        <v>41</v>
      </c>
      <c r="D107" s="35" t="s">
        <v>43</v>
      </c>
      <c r="E107" s="35" t="s">
        <v>25</v>
      </c>
      <c r="F107" s="35" t="s">
        <v>25</v>
      </c>
      <c r="G107" s="35" t="s">
        <v>25</v>
      </c>
      <c r="H107" s="35" t="s">
        <v>35</v>
      </c>
      <c r="I107" s="55">
        <v>44562</v>
      </c>
      <c r="J107" s="56">
        <f ca="1">EFEITO!$J$107*EFEITO!$Y$107</f>
        <v>4542.5337918255464</v>
      </c>
      <c r="K107" s="56">
        <f ca="1">EFEITO!$L$107*EFEITO!$Z$107</f>
        <v>6750.4982823031633</v>
      </c>
      <c r="L107" s="56">
        <f>EFEITO!$N$107*EFEITO!$AA$107</f>
        <v>15719.905741293276</v>
      </c>
      <c r="M107" s="56">
        <f ca="1">$J$107-EFEITO!$K$107*EFEITO!$Y$107</f>
        <v>0</v>
      </c>
      <c r="N107" s="56">
        <f ca="1">$K$107-EFEITO!$M$107*EFEITO!$Z$107</f>
        <v>0</v>
      </c>
      <c r="O107" s="56">
        <f>$L$107-EFEITO!$O$107*EFEITO!$AA$107</f>
        <v>0</v>
      </c>
      <c r="P107" s="39"/>
      <c r="Q107" s="39"/>
      <c r="R107" s="39"/>
      <c r="S107" s="39"/>
      <c r="T107" s="39"/>
      <c r="U107" s="39"/>
      <c r="V107" s="39"/>
      <c r="W107" s="3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33</v>
      </c>
      <c r="C108" s="35" t="s">
        <v>41</v>
      </c>
      <c r="D108" s="35" t="s">
        <v>43</v>
      </c>
      <c r="E108" s="35" t="s">
        <v>25</v>
      </c>
      <c r="F108" s="35" t="s">
        <v>25</v>
      </c>
      <c r="G108" s="35" t="s">
        <v>25</v>
      </c>
      <c r="H108" s="35" t="s">
        <v>35</v>
      </c>
      <c r="I108" s="55">
        <v>44562</v>
      </c>
      <c r="J108" s="56">
        <f ca="1">EFEITO!$J$108*EFEITO!$Y$108</f>
        <v>81782.126557557393</v>
      </c>
      <c r="K108" s="56">
        <f ca="1">EFEITO!$L$108*EFEITO!$Z$108</f>
        <v>265684.48867681547</v>
      </c>
      <c r="L108" s="56">
        <f>EFEITO!$N$108*EFEITO!$AA$108</f>
        <v>0</v>
      </c>
      <c r="M108" s="56">
        <f ca="1">$J$108-EFEITO!$K$108*EFEITO!$Y$108</f>
        <v>0</v>
      </c>
      <c r="N108" s="56">
        <f ca="1">$K$108-EFEITO!$M$108*EFEITO!$Z$108</f>
        <v>0</v>
      </c>
      <c r="O108" s="56">
        <f>$L$108-EFEITO!$O$108*EFEITO!$AA$108</f>
        <v>0</v>
      </c>
      <c r="P108" s="39"/>
      <c r="Q108" s="39"/>
      <c r="R108" s="39"/>
      <c r="S108" s="39"/>
      <c r="T108" s="39"/>
      <c r="U108" s="39"/>
      <c r="V108" s="39"/>
      <c r="W108" s="3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21</v>
      </c>
      <c r="B109" s="35" t="s">
        <v>33</v>
      </c>
      <c r="C109" s="35" t="s">
        <v>41</v>
      </c>
      <c r="D109" s="35" t="s">
        <v>43</v>
      </c>
      <c r="E109" s="35" t="s">
        <v>25</v>
      </c>
      <c r="F109" s="35" t="s">
        <v>25</v>
      </c>
      <c r="G109" s="35" t="s">
        <v>25</v>
      </c>
      <c r="H109" s="35" t="s">
        <v>35</v>
      </c>
      <c r="I109" s="55">
        <v>44593</v>
      </c>
      <c r="J109" s="56">
        <f ca="1">EFEITO!$J$109*EFEITO!$Y$109</f>
        <v>3964.3931274113861</v>
      </c>
      <c r="K109" s="56">
        <f ca="1">EFEITO!$L$109*EFEITO!$Z$109</f>
        <v>5469.8324495879351</v>
      </c>
      <c r="L109" s="56">
        <f>EFEITO!$N$109*EFEITO!$AA$109</f>
        <v>12737.615348129952</v>
      </c>
      <c r="M109" s="56">
        <f ca="1">$J$109-EFEITO!$K$109*EFEITO!$Y$109</f>
        <v>0</v>
      </c>
      <c r="N109" s="56">
        <f ca="1">$K$109-EFEITO!$M$109*EFEITO!$Z$109</f>
        <v>0</v>
      </c>
      <c r="O109" s="56">
        <f>$L$109-EFEITO!$O$109*EFEITO!$AA$109</f>
        <v>0</v>
      </c>
      <c r="P109" s="39"/>
      <c r="Q109" s="39"/>
      <c r="R109" s="39"/>
      <c r="S109" s="39"/>
      <c r="T109" s="39"/>
      <c r="U109" s="39"/>
      <c r="V109" s="39"/>
      <c r="W109" s="3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33</v>
      </c>
      <c r="C110" s="35" t="s">
        <v>41</v>
      </c>
      <c r="D110" s="35" t="s">
        <v>43</v>
      </c>
      <c r="E110" s="35" t="s">
        <v>25</v>
      </c>
      <c r="F110" s="35" t="s">
        <v>25</v>
      </c>
      <c r="G110" s="35" t="s">
        <v>25</v>
      </c>
      <c r="H110" s="35" t="s">
        <v>35</v>
      </c>
      <c r="I110" s="55">
        <v>44593</v>
      </c>
      <c r="J110" s="56">
        <f ca="1">EFEITO!$J$110*EFEITO!$Y$110</f>
        <v>81765.608252859834</v>
      </c>
      <c r="K110" s="56">
        <f ca="1">EFEITO!$L$110*EFEITO!$Z$110</f>
        <v>268965.63173836336</v>
      </c>
      <c r="L110" s="56">
        <f>EFEITO!$N$110*EFEITO!$AA$110</f>
        <v>0</v>
      </c>
      <c r="M110" s="56">
        <f ca="1">$J$110-EFEITO!$K$110*EFEITO!$Y$110</f>
        <v>0</v>
      </c>
      <c r="N110" s="56">
        <f ca="1">$K$110-EFEITO!$M$110*EFEITO!$Z$110</f>
        <v>0</v>
      </c>
      <c r="O110" s="56">
        <f>$L$110-EFEITO!$O$110*EFEITO!$AA$110</f>
        <v>0</v>
      </c>
      <c r="P110" s="39"/>
      <c r="Q110" s="39"/>
      <c r="R110" s="39"/>
      <c r="S110" s="39"/>
      <c r="T110" s="39"/>
      <c r="U110" s="39"/>
      <c r="V110" s="39"/>
      <c r="W110" s="3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21</v>
      </c>
      <c r="B111" s="35" t="s">
        <v>33</v>
      </c>
      <c r="C111" s="35" t="s">
        <v>41</v>
      </c>
      <c r="D111" s="35" t="s">
        <v>43</v>
      </c>
      <c r="E111" s="35" t="s">
        <v>25</v>
      </c>
      <c r="F111" s="35" t="s">
        <v>25</v>
      </c>
      <c r="G111" s="35" t="s">
        <v>25</v>
      </c>
      <c r="H111" s="35" t="s">
        <v>35</v>
      </c>
      <c r="I111" s="55">
        <v>44621</v>
      </c>
      <c r="J111" s="56">
        <f ca="1">EFEITO!$J$111*EFEITO!$Y$111</f>
        <v>4228.6860025721453</v>
      </c>
      <c r="K111" s="56">
        <f ca="1">EFEITO!$L$111*EFEITO!$Z$111</f>
        <v>6206.9967398167037</v>
      </c>
      <c r="L111" s="56">
        <f>EFEITO!$N$111*EFEITO!$AA$111</f>
        <v>14454.252057544816</v>
      </c>
      <c r="M111" s="56">
        <f ca="1">$J$111-EFEITO!$K$111*EFEITO!$Y$111</f>
        <v>0</v>
      </c>
      <c r="N111" s="56">
        <f ca="1">$K$111-EFEITO!$M$111*EFEITO!$Z$111</f>
        <v>0</v>
      </c>
      <c r="O111" s="56">
        <f>$L$111-EFEITO!$O$111*EFEITO!$AA$111</f>
        <v>0</v>
      </c>
      <c r="P111" s="39"/>
      <c r="Q111" s="39"/>
      <c r="R111" s="39"/>
      <c r="S111" s="39"/>
      <c r="T111" s="39"/>
      <c r="U111" s="39"/>
      <c r="V111" s="39"/>
      <c r="W111" s="3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33</v>
      </c>
      <c r="C112" s="35" t="s">
        <v>41</v>
      </c>
      <c r="D112" s="35" t="s">
        <v>43</v>
      </c>
      <c r="E112" s="35" t="s">
        <v>25</v>
      </c>
      <c r="F112" s="35" t="s">
        <v>25</v>
      </c>
      <c r="G112" s="35" t="s">
        <v>25</v>
      </c>
      <c r="H112" s="35" t="s">
        <v>35</v>
      </c>
      <c r="I112" s="55">
        <v>44621</v>
      </c>
      <c r="J112" s="56">
        <f ca="1">EFEITO!$J$112*EFEITO!$Y$112</f>
        <v>82492.413659551923</v>
      </c>
      <c r="K112" s="56">
        <f ca="1">EFEITO!$L$112*EFEITO!$Z$112</f>
        <v>262352.17682493932</v>
      </c>
      <c r="L112" s="56">
        <f>EFEITO!$N$112*EFEITO!$AA$112</f>
        <v>0</v>
      </c>
      <c r="M112" s="56">
        <f ca="1">$J$112-EFEITO!$K$112*EFEITO!$Y$112</f>
        <v>0</v>
      </c>
      <c r="N112" s="56">
        <f ca="1">$K$112-EFEITO!$M$112*EFEITO!$Z$112</f>
        <v>0</v>
      </c>
      <c r="O112" s="56">
        <f>$L$112-EFEITO!$O$112*EFEITO!$AA$112</f>
        <v>0</v>
      </c>
      <c r="P112" s="39"/>
      <c r="Q112" s="39"/>
      <c r="R112" s="39"/>
      <c r="S112" s="39"/>
      <c r="T112" s="39"/>
      <c r="U112" s="39"/>
      <c r="V112" s="39"/>
      <c r="W112" s="3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21</v>
      </c>
      <c r="B113" s="35" t="s">
        <v>33</v>
      </c>
      <c r="C113" s="35" t="s">
        <v>41</v>
      </c>
      <c r="D113" s="35" t="s">
        <v>43</v>
      </c>
      <c r="E113" s="35" t="s">
        <v>25</v>
      </c>
      <c r="F113" s="35" t="s">
        <v>25</v>
      </c>
      <c r="G113" s="35" t="s">
        <v>25</v>
      </c>
      <c r="H113" s="35" t="s">
        <v>35</v>
      </c>
      <c r="I113" s="55">
        <v>44652</v>
      </c>
      <c r="J113" s="56">
        <f ca="1">EFEITO!$J$113*EFEITO!$Y$113</f>
        <v>3634.0270334604375</v>
      </c>
      <c r="K113" s="56">
        <f ca="1">EFEITO!$L$113*EFEITO!$Z$113</f>
        <v>5445.249182930238</v>
      </c>
      <c r="L113" s="56">
        <f>EFEITO!$N$113*EFEITO!$AA$113</f>
        <v>12680.368220805267</v>
      </c>
      <c r="M113" s="56">
        <f ca="1">$J$113-EFEITO!$K$113*EFEITO!$Y$113</f>
        <v>0</v>
      </c>
      <c r="N113" s="56">
        <f ca="1">$K$113-EFEITO!$M$113*EFEITO!$Z$113</f>
        <v>0</v>
      </c>
      <c r="O113" s="56">
        <f>$L$113-EFEITO!$O$113*EFEITO!$AA$113</f>
        <v>0</v>
      </c>
      <c r="P113" s="39"/>
      <c r="Q113" s="39"/>
      <c r="R113" s="39"/>
      <c r="S113" s="39"/>
      <c r="T113" s="39"/>
      <c r="U113" s="39"/>
      <c r="V113" s="39"/>
      <c r="W113" s="3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33</v>
      </c>
      <c r="C114" s="35" t="s">
        <v>41</v>
      </c>
      <c r="D114" s="35" t="s">
        <v>43</v>
      </c>
      <c r="E114" s="35" t="s">
        <v>25</v>
      </c>
      <c r="F114" s="35" t="s">
        <v>25</v>
      </c>
      <c r="G114" s="35" t="s">
        <v>25</v>
      </c>
      <c r="H114" s="35" t="s">
        <v>35</v>
      </c>
      <c r="I114" s="55">
        <v>44652</v>
      </c>
      <c r="J114" s="56">
        <f ca="1">EFEITO!$J$114*EFEITO!$Y$114</f>
        <v>81765.608252859834</v>
      </c>
      <c r="K114" s="56">
        <f ca="1">EFEITO!$L$114*EFEITO!$Z$114</f>
        <v>267223.22319118615</v>
      </c>
      <c r="L114" s="56">
        <f>EFEITO!$N$114*EFEITO!$AA$114</f>
        <v>0</v>
      </c>
      <c r="M114" s="56">
        <f ca="1">$J$114-EFEITO!$K$114*EFEITO!$Y$114</f>
        <v>0</v>
      </c>
      <c r="N114" s="56">
        <f ca="1">$K$114-EFEITO!$M$114*EFEITO!$Z$114</f>
        <v>0</v>
      </c>
      <c r="O114" s="56">
        <f>$L$114-EFEITO!$O$114*EFEITO!$AA$114</f>
        <v>0</v>
      </c>
      <c r="P114" s="39"/>
      <c r="Q114" s="39"/>
      <c r="R114" s="39"/>
      <c r="S114" s="39"/>
      <c r="T114" s="39"/>
      <c r="U114" s="39"/>
      <c r="V114" s="39"/>
      <c r="W114" s="3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21</v>
      </c>
      <c r="B115" s="35" t="s">
        <v>33</v>
      </c>
      <c r="C115" s="35" t="s">
        <v>41</v>
      </c>
      <c r="D115" s="35" t="s">
        <v>43</v>
      </c>
      <c r="E115" s="35" t="s">
        <v>25</v>
      </c>
      <c r="F115" s="35" t="s">
        <v>25</v>
      </c>
      <c r="G115" s="35" t="s">
        <v>25</v>
      </c>
      <c r="H115" s="35" t="s">
        <v>35</v>
      </c>
      <c r="I115" s="55">
        <v>44682</v>
      </c>
      <c r="J115" s="56">
        <f ca="1">EFEITO!$J$115*EFEITO!$Y$115</f>
        <v>3634.0270334604375</v>
      </c>
      <c r="K115" s="56">
        <f ca="1">EFEITO!$L$115*EFEITO!$Z$115</f>
        <v>5372.0555654607142</v>
      </c>
      <c r="L115" s="56">
        <f>EFEITO!$N$115*EFEITO!$AA$115</f>
        <v>12509.922022707337</v>
      </c>
      <c r="M115" s="56">
        <f ca="1">$J$115-EFEITO!$K$115*EFEITO!$Y$115</f>
        <v>0</v>
      </c>
      <c r="N115" s="56">
        <f ca="1">$K$115-EFEITO!$M$115*EFEITO!$Z$115</f>
        <v>0</v>
      </c>
      <c r="O115" s="56">
        <f>$L$115-EFEITO!$O$115*EFEITO!$AA$115</f>
        <v>0</v>
      </c>
      <c r="P115" s="39"/>
      <c r="Q115" s="39"/>
      <c r="R115" s="39"/>
      <c r="S115" s="39"/>
      <c r="T115" s="39"/>
      <c r="U115" s="39"/>
      <c r="V115" s="39"/>
      <c r="W115" s="3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33</v>
      </c>
      <c r="C116" s="35" t="s">
        <v>41</v>
      </c>
      <c r="D116" s="35" t="s">
        <v>43</v>
      </c>
      <c r="E116" s="35" t="s">
        <v>25</v>
      </c>
      <c r="F116" s="35" t="s">
        <v>25</v>
      </c>
      <c r="G116" s="35" t="s">
        <v>25</v>
      </c>
      <c r="H116" s="35" t="s">
        <v>35</v>
      </c>
      <c r="I116" s="55">
        <v>44682</v>
      </c>
      <c r="J116" s="56">
        <f ca="1">EFEITO!$J$116*EFEITO!$Y$116</f>
        <v>81765.608252859834</v>
      </c>
      <c r="K116" s="56">
        <f ca="1">EFEITO!$L$116*EFEITO!$Z$116</f>
        <v>258441.76887885478</v>
      </c>
      <c r="L116" s="56">
        <f>EFEITO!$N$116*EFEITO!$AA$116</f>
        <v>0</v>
      </c>
      <c r="M116" s="56">
        <f ca="1">$J$116-EFEITO!$K$116*EFEITO!$Y$116</f>
        <v>0</v>
      </c>
      <c r="N116" s="56">
        <f ca="1">$K$116-EFEITO!$M$116*EFEITO!$Z$116</f>
        <v>0</v>
      </c>
      <c r="O116" s="56">
        <f>$L$116-EFEITO!$O$116*EFEITO!$AA$116</f>
        <v>0</v>
      </c>
      <c r="P116" s="39"/>
      <c r="Q116" s="39"/>
      <c r="R116" s="39"/>
      <c r="S116" s="39"/>
      <c r="T116" s="39"/>
      <c r="U116" s="39"/>
      <c r="V116" s="39"/>
      <c r="W116" s="3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21</v>
      </c>
      <c r="B117" s="35" t="s">
        <v>33</v>
      </c>
      <c r="C117" s="35" t="s">
        <v>41</v>
      </c>
      <c r="D117" s="35" t="s">
        <v>43</v>
      </c>
      <c r="E117" s="35" t="s">
        <v>25</v>
      </c>
      <c r="F117" s="35" t="s">
        <v>25</v>
      </c>
      <c r="G117" s="35" t="s">
        <v>25</v>
      </c>
      <c r="H117" s="35" t="s">
        <v>37</v>
      </c>
      <c r="I117" s="55">
        <v>44348</v>
      </c>
      <c r="J117" s="56">
        <f ca="1">EFEITO!$J$117*EFEITO!$Y$117</f>
        <v>9333.4312212485165</v>
      </c>
      <c r="K117" s="56">
        <f ca="1">EFEITO!$L$117*EFEITO!$Z$117</f>
        <v>647.17396115149791</v>
      </c>
      <c r="L117" s="56">
        <f>EFEITO!$N$117*EFEITO!$AA$117</f>
        <v>2414.7870257605159</v>
      </c>
      <c r="M117" s="56">
        <f ca="1">$J$117-EFEITO!$K$117*EFEITO!$Y$117</f>
        <v>0</v>
      </c>
      <c r="N117" s="56">
        <f ca="1">$K$117-EFEITO!$M$117*EFEITO!$Z$117</f>
        <v>0</v>
      </c>
      <c r="O117" s="56">
        <f>$L$117-EFEITO!$O$117*EFEITO!$AA$117</f>
        <v>0</v>
      </c>
      <c r="P117" s="39"/>
      <c r="Q117" s="39"/>
      <c r="R117" s="39"/>
      <c r="S117" s="39"/>
      <c r="T117" s="39"/>
      <c r="U117" s="39"/>
      <c r="V117" s="39"/>
      <c r="W117" s="3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33</v>
      </c>
      <c r="C118" s="35" t="s">
        <v>41</v>
      </c>
      <c r="D118" s="35" t="s">
        <v>43</v>
      </c>
      <c r="E118" s="35" t="s">
        <v>25</v>
      </c>
      <c r="F118" s="35" t="s">
        <v>25</v>
      </c>
      <c r="G118" s="35" t="s">
        <v>25</v>
      </c>
      <c r="H118" s="35" t="s">
        <v>37</v>
      </c>
      <c r="I118" s="55">
        <v>44348</v>
      </c>
      <c r="J118" s="56">
        <f ca="1">EFEITO!$J$118*EFEITO!$Y$118</f>
        <v>191717.16222191838</v>
      </c>
      <c r="K118" s="56">
        <f ca="1">EFEITO!$L$118*EFEITO!$Z$118</f>
        <v>23723.853453184009</v>
      </c>
      <c r="L118" s="56">
        <f>EFEITO!$N$118*EFEITO!$AA$118</f>
        <v>0</v>
      </c>
      <c r="M118" s="56">
        <f ca="1">$J$118-EFEITO!$K$118*EFEITO!$Y$118</f>
        <v>0</v>
      </c>
      <c r="N118" s="56">
        <f ca="1">$K$118-EFEITO!$M$118*EFEITO!$Z$118</f>
        <v>0</v>
      </c>
      <c r="O118" s="56">
        <f>$L$118-EFEITO!$O$118*EFEITO!$AA$118</f>
        <v>0</v>
      </c>
      <c r="P118" s="39"/>
      <c r="Q118" s="39"/>
      <c r="R118" s="39"/>
      <c r="S118" s="39"/>
      <c r="T118" s="39"/>
      <c r="U118" s="39"/>
      <c r="V118" s="39"/>
      <c r="W118" s="3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21</v>
      </c>
      <c r="B119" s="35" t="s">
        <v>33</v>
      </c>
      <c r="C119" s="35" t="s">
        <v>41</v>
      </c>
      <c r="D119" s="35" t="s">
        <v>43</v>
      </c>
      <c r="E119" s="35" t="s">
        <v>25</v>
      </c>
      <c r="F119" s="35" t="s">
        <v>25</v>
      </c>
      <c r="G119" s="35" t="s">
        <v>25</v>
      </c>
      <c r="H119" s="35" t="s">
        <v>37</v>
      </c>
      <c r="I119" s="55">
        <v>44378</v>
      </c>
      <c r="J119" s="56">
        <f ca="1">EFEITO!$J$119*EFEITO!$Y$119</f>
        <v>9333.4312212485165</v>
      </c>
      <c r="K119" s="56">
        <f ca="1">EFEITO!$L$119*EFEITO!$Z$119</f>
        <v>729.71144468096008</v>
      </c>
      <c r="L119" s="56">
        <f>EFEITO!$N$119*EFEITO!$AA$119</f>
        <v>2722.7574577155351</v>
      </c>
      <c r="M119" s="56">
        <f ca="1">$J$119-EFEITO!$K$119*EFEITO!$Y$119</f>
        <v>0</v>
      </c>
      <c r="N119" s="56">
        <f ca="1">$K$119-EFEITO!$M$119*EFEITO!$Z$119</f>
        <v>0</v>
      </c>
      <c r="O119" s="56">
        <f>$L$119-EFEITO!$O$119*EFEITO!$AA$119</f>
        <v>0</v>
      </c>
      <c r="P119" s="39"/>
      <c r="Q119" s="39"/>
      <c r="R119" s="39"/>
      <c r="S119" s="39"/>
      <c r="T119" s="39"/>
      <c r="U119" s="39"/>
      <c r="V119" s="39"/>
      <c r="W119" s="3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33</v>
      </c>
      <c r="C120" s="35" t="s">
        <v>41</v>
      </c>
      <c r="D120" s="35" t="s">
        <v>43</v>
      </c>
      <c r="E120" s="35" t="s">
        <v>25</v>
      </c>
      <c r="F120" s="35" t="s">
        <v>25</v>
      </c>
      <c r="G120" s="35" t="s">
        <v>25</v>
      </c>
      <c r="H120" s="35" t="s">
        <v>37</v>
      </c>
      <c r="I120" s="55">
        <v>44378</v>
      </c>
      <c r="J120" s="56">
        <f ca="1">EFEITO!$J$120*EFEITO!$Y$120</f>
        <v>199056.63313680925</v>
      </c>
      <c r="K120" s="56">
        <f ca="1">EFEITO!$L$120*EFEITO!$Z$120</f>
        <v>24978.267471730836</v>
      </c>
      <c r="L120" s="56">
        <f>EFEITO!$N$120*EFEITO!$AA$120</f>
        <v>0</v>
      </c>
      <c r="M120" s="56">
        <f ca="1">$J$120-EFEITO!$K$120*EFEITO!$Y$120</f>
        <v>0</v>
      </c>
      <c r="N120" s="56">
        <f ca="1">$K$120-EFEITO!$M$120*EFEITO!$Z$120</f>
        <v>0</v>
      </c>
      <c r="O120" s="56">
        <f>$L$120-EFEITO!$O$120*EFEITO!$AA$120</f>
        <v>0</v>
      </c>
      <c r="P120" s="39"/>
      <c r="Q120" s="39"/>
      <c r="R120" s="39"/>
      <c r="S120" s="39"/>
      <c r="T120" s="39"/>
      <c r="U120" s="39"/>
      <c r="V120" s="39"/>
      <c r="W120" s="3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21</v>
      </c>
      <c r="B121" s="35" t="s">
        <v>33</v>
      </c>
      <c r="C121" s="35" t="s">
        <v>41</v>
      </c>
      <c r="D121" s="35" t="s">
        <v>43</v>
      </c>
      <c r="E121" s="35" t="s">
        <v>25</v>
      </c>
      <c r="F121" s="35" t="s">
        <v>25</v>
      </c>
      <c r="G121" s="35" t="s">
        <v>25</v>
      </c>
      <c r="H121" s="35" t="s">
        <v>37</v>
      </c>
      <c r="I121" s="55">
        <v>44409</v>
      </c>
      <c r="J121" s="56">
        <f ca="1">EFEITO!$J$121*EFEITO!$Y$121</f>
        <v>9333.4312212485165</v>
      </c>
      <c r="K121" s="56">
        <f ca="1">EFEITO!$L$121*EFEITO!$Z$121</f>
        <v>689.11012192051044</v>
      </c>
      <c r="L121" s="56">
        <f>EFEITO!$N$121*EFEITO!$AA$121</f>
        <v>2571.2625686810584</v>
      </c>
      <c r="M121" s="56">
        <f ca="1">$J$121-EFEITO!$K$121*EFEITO!$Y$121</f>
        <v>0</v>
      </c>
      <c r="N121" s="56">
        <f ca="1">$K$121-EFEITO!$M$121*EFEITO!$Z$121</f>
        <v>0</v>
      </c>
      <c r="O121" s="56">
        <f>$L$121-EFEITO!$O$121*EFEITO!$AA$121</f>
        <v>0</v>
      </c>
      <c r="P121" s="39"/>
      <c r="Q121" s="39"/>
      <c r="R121" s="39"/>
      <c r="S121" s="39"/>
      <c r="T121" s="39"/>
      <c r="U121" s="39"/>
      <c r="V121" s="39"/>
      <c r="W121" s="3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21</v>
      </c>
      <c r="B122" s="35" t="s">
        <v>33</v>
      </c>
      <c r="C122" s="35" t="s">
        <v>41</v>
      </c>
      <c r="D122" s="35" t="s">
        <v>43</v>
      </c>
      <c r="E122" s="35" t="s">
        <v>25</v>
      </c>
      <c r="F122" s="35" t="s">
        <v>25</v>
      </c>
      <c r="G122" s="35" t="s">
        <v>25</v>
      </c>
      <c r="H122" s="35" t="s">
        <v>37</v>
      </c>
      <c r="I122" s="55">
        <v>44409</v>
      </c>
      <c r="J122" s="56">
        <f ca="1">EFEITO!$J$122*EFEITO!$Y$122</f>
        <v>190911.09316190146</v>
      </c>
      <c r="K122" s="56">
        <f ca="1">EFEITO!$L$122*EFEITO!$Z$122</f>
        <v>21518.923536039802</v>
      </c>
      <c r="L122" s="56">
        <f>EFEITO!$N$122*EFEITO!$AA$122</f>
        <v>0</v>
      </c>
      <c r="M122" s="56">
        <f ca="1">$J$122-EFEITO!$K$122*EFEITO!$Y$122</f>
        <v>0</v>
      </c>
      <c r="N122" s="56">
        <f ca="1">$K$122-EFEITO!$M$122*EFEITO!$Z$122</f>
        <v>0</v>
      </c>
      <c r="O122" s="56">
        <f>$L$122-EFEITO!$O$122*EFEITO!$AA$122</f>
        <v>0</v>
      </c>
      <c r="P122" s="39"/>
      <c r="Q122" s="39"/>
      <c r="R122" s="39"/>
      <c r="S122" s="39"/>
      <c r="T122" s="39"/>
      <c r="U122" s="39"/>
      <c r="V122" s="39"/>
      <c r="W122" s="3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21</v>
      </c>
      <c r="B123" s="35" t="s">
        <v>33</v>
      </c>
      <c r="C123" s="35" t="s">
        <v>41</v>
      </c>
      <c r="D123" s="35" t="s">
        <v>43</v>
      </c>
      <c r="E123" s="35" t="s">
        <v>25</v>
      </c>
      <c r="F123" s="35" t="s">
        <v>25</v>
      </c>
      <c r="G123" s="35" t="s">
        <v>25</v>
      </c>
      <c r="H123" s="35" t="s">
        <v>37</v>
      </c>
      <c r="I123" s="55">
        <v>44440</v>
      </c>
      <c r="J123" s="56">
        <f ca="1">EFEITO!$J$123*EFEITO!$Y$123</f>
        <v>9333.4312212485165</v>
      </c>
      <c r="K123" s="56">
        <f ca="1">EFEITO!$L$123*EFEITO!$Z$123</f>
        <v>651.51218467932677</v>
      </c>
      <c r="L123" s="56">
        <f>EFEITO!$N$123*EFEITO!$AA$123</f>
        <v>2430.9741508902275</v>
      </c>
      <c r="M123" s="56">
        <f ca="1">$J$123-EFEITO!$K$123*EFEITO!$Y$123</f>
        <v>0</v>
      </c>
      <c r="N123" s="56">
        <f ca="1">$K$123-EFEITO!$M$123*EFEITO!$Z$123</f>
        <v>0</v>
      </c>
      <c r="O123" s="56">
        <f>$L$123-EFEITO!$O$123*EFEITO!$AA$123</f>
        <v>0</v>
      </c>
      <c r="P123" s="39"/>
      <c r="Q123" s="39"/>
      <c r="R123" s="39"/>
      <c r="S123" s="39"/>
      <c r="T123" s="39"/>
      <c r="U123" s="39"/>
      <c r="V123" s="39"/>
      <c r="W123" s="3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33</v>
      </c>
      <c r="C124" s="35" t="s">
        <v>41</v>
      </c>
      <c r="D124" s="35" t="s">
        <v>43</v>
      </c>
      <c r="E124" s="35" t="s">
        <v>25</v>
      </c>
      <c r="F124" s="35" t="s">
        <v>25</v>
      </c>
      <c r="G124" s="35" t="s">
        <v>25</v>
      </c>
      <c r="H124" s="35" t="s">
        <v>37</v>
      </c>
      <c r="I124" s="55">
        <v>44440</v>
      </c>
      <c r="J124" s="56">
        <f ca="1">EFEITO!$J$124*EFEITO!$Y$124</f>
        <v>197571.76907888334</v>
      </c>
      <c r="K124" s="56">
        <f ca="1">EFEITO!$L$124*EFEITO!$Z$124</f>
        <v>26600.874307639551</v>
      </c>
      <c r="L124" s="56">
        <f>EFEITO!$N$124*EFEITO!$AA$124</f>
        <v>0</v>
      </c>
      <c r="M124" s="56">
        <f ca="1">$J$124-EFEITO!$K$124*EFEITO!$Y$124</f>
        <v>0</v>
      </c>
      <c r="N124" s="56">
        <f ca="1">$K$124-EFEITO!$M$124*EFEITO!$Z$124</f>
        <v>0</v>
      </c>
      <c r="O124" s="56">
        <f>$L$124-EFEITO!$O$124*EFEITO!$AA$124</f>
        <v>0</v>
      </c>
      <c r="P124" s="39"/>
      <c r="Q124" s="39"/>
      <c r="R124" s="39"/>
      <c r="S124" s="39"/>
      <c r="T124" s="39"/>
      <c r="U124" s="39"/>
      <c r="V124" s="39"/>
      <c r="W124" s="3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33</v>
      </c>
      <c r="C125" s="35" t="s">
        <v>41</v>
      </c>
      <c r="D125" s="35" t="s">
        <v>43</v>
      </c>
      <c r="E125" s="35" t="s">
        <v>25</v>
      </c>
      <c r="F125" s="35" t="s">
        <v>25</v>
      </c>
      <c r="G125" s="35" t="s">
        <v>25</v>
      </c>
      <c r="H125" s="35" t="s">
        <v>37</v>
      </c>
      <c r="I125" s="55">
        <v>44470</v>
      </c>
      <c r="J125" s="56">
        <f ca="1">EFEITO!$J$125*EFEITO!$Y$125</f>
        <v>9333.4312212485165</v>
      </c>
      <c r="K125" s="56">
        <f ca="1">EFEITO!$L$125*EFEITO!$Z$125</f>
        <v>621.58956598737893</v>
      </c>
      <c r="L125" s="56">
        <f>EFEITO!$N$125*EFEITO!$AA$125</f>
        <v>2319.3244929442703</v>
      </c>
      <c r="M125" s="56">
        <f ca="1">$J$125-EFEITO!$K$125*EFEITO!$Y$125</f>
        <v>0</v>
      </c>
      <c r="N125" s="56">
        <f ca="1">$K$125-EFEITO!$M$125*EFEITO!$Z$125</f>
        <v>0</v>
      </c>
      <c r="O125" s="56">
        <f>$L$125-EFEITO!$O$125*EFEITO!$AA$125</f>
        <v>0</v>
      </c>
      <c r="P125" s="39"/>
      <c r="Q125" s="39"/>
      <c r="R125" s="39"/>
      <c r="S125" s="39"/>
      <c r="T125" s="39"/>
      <c r="U125" s="39"/>
      <c r="V125" s="39"/>
      <c r="W125" s="3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33</v>
      </c>
      <c r="C126" s="35" t="s">
        <v>41</v>
      </c>
      <c r="D126" s="35" t="s">
        <v>43</v>
      </c>
      <c r="E126" s="35" t="s">
        <v>25</v>
      </c>
      <c r="F126" s="35" t="s">
        <v>25</v>
      </c>
      <c r="G126" s="35" t="s">
        <v>25</v>
      </c>
      <c r="H126" s="35" t="s">
        <v>37</v>
      </c>
      <c r="I126" s="55">
        <v>44470</v>
      </c>
      <c r="J126" s="56">
        <f ca="1">EFEITO!$J$126*EFEITO!$Y$126</f>
        <v>200117.25032104205</v>
      </c>
      <c r="K126" s="56">
        <f ca="1">EFEITO!$L$126*EFEITO!$Z$126</f>
        <v>28254.182417745207</v>
      </c>
      <c r="L126" s="56">
        <f>EFEITO!$N$126*EFEITO!$AA$126</f>
        <v>0</v>
      </c>
      <c r="M126" s="56">
        <f ca="1">$J$126-EFEITO!$K$126*EFEITO!$Y$126</f>
        <v>0</v>
      </c>
      <c r="N126" s="56">
        <f ca="1">$K$126-EFEITO!$M$126*EFEITO!$Z$126</f>
        <v>0</v>
      </c>
      <c r="O126" s="56">
        <f>$L$126-EFEITO!$O$126*EFEITO!$AA$126</f>
        <v>0</v>
      </c>
      <c r="P126" s="39"/>
      <c r="Q126" s="39"/>
      <c r="R126" s="39"/>
      <c r="S126" s="39"/>
      <c r="T126" s="39"/>
      <c r="U126" s="39"/>
      <c r="V126" s="39"/>
      <c r="W126" s="3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21</v>
      </c>
      <c r="B127" s="35" t="s">
        <v>33</v>
      </c>
      <c r="C127" s="35" t="s">
        <v>41</v>
      </c>
      <c r="D127" s="35" t="s">
        <v>43</v>
      </c>
      <c r="E127" s="35" t="s">
        <v>25</v>
      </c>
      <c r="F127" s="35" t="s">
        <v>25</v>
      </c>
      <c r="G127" s="35" t="s">
        <v>25</v>
      </c>
      <c r="H127" s="35" t="s">
        <v>37</v>
      </c>
      <c r="I127" s="55">
        <v>44501</v>
      </c>
      <c r="J127" s="56">
        <f ca="1">EFEITO!$J$127*EFEITO!$Y$127</f>
        <v>9333.4312212485165</v>
      </c>
      <c r="K127" s="56">
        <f ca="1">EFEITO!$L$127*EFEITO!$Z$127</f>
        <v>633.93681756658407</v>
      </c>
      <c r="L127" s="56">
        <f>EFEITO!$N$127*EFEITO!$AA$127</f>
        <v>2365.3955413903714</v>
      </c>
      <c r="M127" s="56">
        <f ca="1">$J$127-EFEITO!$K$127*EFEITO!$Y$127</f>
        <v>0</v>
      </c>
      <c r="N127" s="56">
        <f ca="1">$K$127-EFEITO!$M$127*EFEITO!$Z$127</f>
        <v>0</v>
      </c>
      <c r="O127" s="56">
        <f>$L$127-EFEITO!$O$127*EFEITO!$AA$127</f>
        <v>0</v>
      </c>
      <c r="P127" s="39"/>
      <c r="Q127" s="39"/>
      <c r="R127" s="39"/>
      <c r="S127" s="39"/>
      <c r="T127" s="39"/>
      <c r="U127" s="39"/>
      <c r="V127" s="39"/>
      <c r="W127" s="3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33</v>
      </c>
      <c r="C128" s="35" t="s">
        <v>41</v>
      </c>
      <c r="D128" s="35" t="s">
        <v>43</v>
      </c>
      <c r="E128" s="35" t="s">
        <v>25</v>
      </c>
      <c r="F128" s="35" t="s">
        <v>25</v>
      </c>
      <c r="G128" s="35" t="s">
        <v>25</v>
      </c>
      <c r="H128" s="35" t="s">
        <v>37</v>
      </c>
      <c r="I128" s="55">
        <v>44501</v>
      </c>
      <c r="J128" s="56">
        <f ca="1">EFEITO!$J$128*EFEITO!$Y$128</f>
        <v>203086.97843689384</v>
      </c>
      <c r="K128" s="56">
        <f ca="1">EFEITO!$L$128*EFEITO!$Z$128</f>
        <v>26528.014399672167</v>
      </c>
      <c r="L128" s="56">
        <f>EFEITO!$N$128*EFEITO!$AA$128</f>
        <v>0</v>
      </c>
      <c r="M128" s="56">
        <f ca="1">$J$128-EFEITO!$K$128*EFEITO!$Y$128</f>
        <v>0</v>
      </c>
      <c r="N128" s="56">
        <f ca="1">$K$128-EFEITO!$M$128*EFEITO!$Z$128</f>
        <v>0</v>
      </c>
      <c r="O128" s="56">
        <f>$L$128-EFEITO!$O$128*EFEITO!$AA$128</f>
        <v>0</v>
      </c>
      <c r="P128" s="39"/>
      <c r="Q128" s="39"/>
      <c r="R128" s="39"/>
      <c r="S128" s="39"/>
      <c r="T128" s="39"/>
      <c r="U128" s="39"/>
      <c r="V128" s="39"/>
      <c r="W128" s="3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33</v>
      </c>
      <c r="C129" s="35" t="s">
        <v>41</v>
      </c>
      <c r="D129" s="35" t="s">
        <v>43</v>
      </c>
      <c r="E129" s="35" t="s">
        <v>25</v>
      </c>
      <c r="F129" s="35" t="s">
        <v>25</v>
      </c>
      <c r="G129" s="35" t="s">
        <v>25</v>
      </c>
      <c r="H129" s="35" t="s">
        <v>37</v>
      </c>
      <c r="I129" s="55">
        <v>44531</v>
      </c>
      <c r="J129" s="56">
        <f ca="1">EFEITO!$J$129*EFEITO!$Y$129</f>
        <v>9333.4312212485165</v>
      </c>
      <c r="K129" s="56">
        <f ca="1">EFEITO!$L$129*EFEITO!$Z$129</f>
        <v>702.0135560032835</v>
      </c>
      <c r="L129" s="56">
        <f>EFEITO!$N$129*EFEITO!$AA$129</f>
        <v>2619.4088895796867</v>
      </c>
      <c r="M129" s="56">
        <f ca="1">$J$129-EFEITO!$K$129*EFEITO!$Y$129</f>
        <v>0</v>
      </c>
      <c r="N129" s="56">
        <f ca="1">$K$129-EFEITO!$M$129*EFEITO!$Z$129</f>
        <v>0</v>
      </c>
      <c r="O129" s="56">
        <f>$L$129-EFEITO!$O$129*EFEITO!$AA$129</f>
        <v>0</v>
      </c>
      <c r="P129" s="39"/>
      <c r="Q129" s="39"/>
      <c r="R129" s="39"/>
      <c r="S129" s="39"/>
      <c r="T129" s="39"/>
      <c r="U129" s="39"/>
      <c r="V129" s="39"/>
      <c r="W129" s="3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33</v>
      </c>
      <c r="C130" s="35" t="s">
        <v>41</v>
      </c>
      <c r="D130" s="35" t="s">
        <v>43</v>
      </c>
      <c r="E130" s="35" t="s">
        <v>25</v>
      </c>
      <c r="F130" s="35" t="s">
        <v>25</v>
      </c>
      <c r="G130" s="35" t="s">
        <v>25</v>
      </c>
      <c r="H130" s="35" t="s">
        <v>37</v>
      </c>
      <c r="I130" s="55">
        <v>44531</v>
      </c>
      <c r="J130" s="56">
        <f ca="1">EFEITO!$J$130*EFEITO!$Y$130</f>
        <v>204911.23999377424</v>
      </c>
      <c r="K130" s="56">
        <f ca="1">EFEITO!$L$130*EFEITO!$Z$130</f>
        <v>26503.542369515184</v>
      </c>
      <c r="L130" s="56">
        <f>EFEITO!$N$130*EFEITO!$AA$130</f>
        <v>0</v>
      </c>
      <c r="M130" s="56">
        <f ca="1">$J$130-EFEITO!$K$130*EFEITO!$Y$130</f>
        <v>0</v>
      </c>
      <c r="N130" s="56">
        <f ca="1">$K$130-EFEITO!$M$130*EFEITO!$Z$130</f>
        <v>0</v>
      </c>
      <c r="O130" s="56">
        <f>$L$130-EFEITO!$O$130*EFEITO!$AA$130</f>
        <v>0</v>
      </c>
      <c r="P130" s="39"/>
      <c r="Q130" s="39"/>
      <c r="R130" s="39"/>
      <c r="S130" s="39"/>
      <c r="T130" s="39"/>
      <c r="U130" s="39"/>
      <c r="V130" s="39"/>
      <c r="W130" s="3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21</v>
      </c>
      <c r="B131" s="35" t="s">
        <v>33</v>
      </c>
      <c r="C131" s="35" t="s">
        <v>41</v>
      </c>
      <c r="D131" s="35" t="s">
        <v>43</v>
      </c>
      <c r="E131" s="35" t="s">
        <v>25</v>
      </c>
      <c r="F131" s="35" t="s">
        <v>25</v>
      </c>
      <c r="G131" s="35" t="s">
        <v>25</v>
      </c>
      <c r="H131" s="35" t="s">
        <v>37</v>
      </c>
      <c r="I131" s="55">
        <v>44562</v>
      </c>
      <c r="J131" s="56">
        <f ca="1">EFEITO!$J$131*EFEITO!$Y$131</f>
        <v>11115.268090759597</v>
      </c>
      <c r="K131" s="56">
        <f ca="1">EFEITO!$L$131*EFEITO!$Z$131</f>
        <v>804.12866365833247</v>
      </c>
      <c r="L131" s="56">
        <f>EFEITO!$N$131*EFEITO!$AA$131</f>
        <v>3000.4289118636593</v>
      </c>
      <c r="M131" s="56">
        <f ca="1">$J$131-EFEITO!$K$131*EFEITO!$Y$131</f>
        <v>0</v>
      </c>
      <c r="N131" s="56">
        <f ca="1">$K$131-EFEITO!$M$131*EFEITO!$Z$131</f>
        <v>0</v>
      </c>
      <c r="O131" s="56">
        <f>$L$131-EFEITO!$O$131*EFEITO!$AA$131</f>
        <v>0</v>
      </c>
      <c r="P131" s="39"/>
      <c r="Q131" s="39"/>
      <c r="R131" s="39"/>
      <c r="S131" s="39"/>
      <c r="T131" s="39"/>
      <c r="U131" s="39"/>
      <c r="V131" s="39"/>
      <c r="W131" s="3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21</v>
      </c>
      <c r="B132" s="35" t="s">
        <v>33</v>
      </c>
      <c r="C132" s="35" t="s">
        <v>41</v>
      </c>
      <c r="D132" s="35" t="s">
        <v>43</v>
      </c>
      <c r="E132" s="35" t="s">
        <v>25</v>
      </c>
      <c r="F132" s="35" t="s">
        <v>25</v>
      </c>
      <c r="G132" s="35" t="s">
        <v>25</v>
      </c>
      <c r="H132" s="35" t="s">
        <v>37</v>
      </c>
      <c r="I132" s="55">
        <v>44562</v>
      </c>
      <c r="J132" s="56">
        <f ca="1">EFEITO!$J$132*EFEITO!$Y$132</f>
        <v>197189.94689255956</v>
      </c>
      <c r="K132" s="56">
        <f ca="1">EFEITO!$L$132*EFEITO!$Z$132</f>
        <v>24885.051284132871</v>
      </c>
      <c r="L132" s="56">
        <f>EFEITO!$N$132*EFEITO!$AA$132</f>
        <v>0</v>
      </c>
      <c r="M132" s="56">
        <f ca="1">$J$132-EFEITO!$K$132*EFEITO!$Y$132</f>
        <v>0</v>
      </c>
      <c r="N132" s="56">
        <f ca="1">$K$132-EFEITO!$M$132*EFEITO!$Z$132</f>
        <v>0</v>
      </c>
      <c r="O132" s="56">
        <f>$L$132-EFEITO!$O$132*EFEITO!$AA$132</f>
        <v>0</v>
      </c>
      <c r="P132" s="39"/>
      <c r="Q132" s="39"/>
      <c r="R132" s="39"/>
      <c r="S132" s="39"/>
      <c r="T132" s="39"/>
      <c r="U132" s="39"/>
      <c r="V132" s="39"/>
      <c r="W132" s="3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21</v>
      </c>
      <c r="B133" s="35" t="s">
        <v>33</v>
      </c>
      <c r="C133" s="35" t="s">
        <v>41</v>
      </c>
      <c r="D133" s="35" t="s">
        <v>43</v>
      </c>
      <c r="E133" s="35" t="s">
        <v>25</v>
      </c>
      <c r="F133" s="35" t="s">
        <v>25</v>
      </c>
      <c r="G133" s="35" t="s">
        <v>25</v>
      </c>
      <c r="H133" s="35" t="s">
        <v>37</v>
      </c>
      <c r="I133" s="55">
        <v>44593</v>
      </c>
      <c r="J133" s="56">
        <f ca="1">EFEITO!$J$133*EFEITO!$Y$133</f>
        <v>9333.4312212485165</v>
      </c>
      <c r="K133" s="56">
        <f ca="1">EFEITO!$L$133*EFEITO!$Z$133</f>
        <v>663.41449025567783</v>
      </c>
      <c r="L133" s="56">
        <f>EFEITO!$N$133*EFEITO!$AA$133</f>
        <v>2475.3849813743072</v>
      </c>
      <c r="M133" s="56">
        <f ca="1">$J$133-EFEITO!$K$133*EFEITO!$Y$133</f>
        <v>0</v>
      </c>
      <c r="N133" s="56">
        <f ca="1">$K$133-EFEITO!$M$133*EFEITO!$Z$133</f>
        <v>0</v>
      </c>
      <c r="O133" s="56">
        <f>$L$133-EFEITO!$O$133*EFEITO!$AA$133</f>
        <v>0</v>
      </c>
      <c r="P133" s="39"/>
      <c r="Q133" s="39"/>
      <c r="R133" s="39"/>
      <c r="S133" s="39"/>
      <c r="T133" s="39"/>
      <c r="U133" s="39"/>
      <c r="V133" s="39"/>
      <c r="W133" s="3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33</v>
      </c>
      <c r="C134" s="35" t="s">
        <v>41</v>
      </c>
      <c r="D134" s="35" t="s">
        <v>43</v>
      </c>
      <c r="E134" s="35" t="s">
        <v>25</v>
      </c>
      <c r="F134" s="35" t="s">
        <v>25</v>
      </c>
      <c r="G134" s="35" t="s">
        <v>25</v>
      </c>
      <c r="H134" s="35" t="s">
        <v>37</v>
      </c>
      <c r="I134" s="55">
        <v>44593</v>
      </c>
      <c r="J134" s="56">
        <f ca="1">EFEITO!$J$134*EFEITO!$Y$134</f>
        <v>199777.85282208756</v>
      </c>
      <c r="K134" s="56">
        <f ca="1">EFEITO!$L$134*EFEITO!$Z$134</f>
        <v>23573.906650222129</v>
      </c>
      <c r="L134" s="56">
        <f>EFEITO!$N$134*EFEITO!$AA$134</f>
        <v>0</v>
      </c>
      <c r="M134" s="56">
        <f ca="1">$J$134-EFEITO!$K$134*EFEITO!$Y$134</f>
        <v>0</v>
      </c>
      <c r="N134" s="56">
        <f ca="1">$K$134-EFEITO!$M$134*EFEITO!$Z$134</f>
        <v>0</v>
      </c>
      <c r="O134" s="56">
        <f>$L$134-EFEITO!$O$134*EFEITO!$AA$134</f>
        <v>0</v>
      </c>
      <c r="P134" s="39"/>
      <c r="Q134" s="39"/>
      <c r="R134" s="39"/>
      <c r="S134" s="39"/>
      <c r="T134" s="39"/>
      <c r="U134" s="39"/>
      <c r="V134" s="39"/>
      <c r="W134" s="3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21</v>
      </c>
      <c r="B135" s="35" t="s">
        <v>33</v>
      </c>
      <c r="C135" s="35" t="s">
        <v>41</v>
      </c>
      <c r="D135" s="35" t="s">
        <v>43</v>
      </c>
      <c r="E135" s="35" t="s">
        <v>25</v>
      </c>
      <c r="F135" s="35" t="s">
        <v>25</v>
      </c>
      <c r="G135" s="35" t="s">
        <v>25</v>
      </c>
      <c r="H135" s="35" t="s">
        <v>37</v>
      </c>
      <c r="I135" s="55">
        <v>44621</v>
      </c>
      <c r="J135" s="56">
        <f ca="1">EFEITO!$J$135*EFEITO!$Y$135</f>
        <v>9333.4312212485165</v>
      </c>
      <c r="K135" s="56">
        <f ca="1">EFEITO!$L$135*EFEITO!$Z$135</f>
        <v>749.06659580511973</v>
      </c>
      <c r="L135" s="56">
        <f>EFEITO!$N$135*EFEITO!$AA$135</f>
        <v>2794.9769390634779</v>
      </c>
      <c r="M135" s="56">
        <f ca="1">$J$135-EFEITO!$K$135*EFEITO!$Y$135</f>
        <v>0</v>
      </c>
      <c r="N135" s="56">
        <f ca="1">$K$135-EFEITO!$M$135*EFEITO!$Z$135</f>
        <v>0</v>
      </c>
      <c r="O135" s="56">
        <f>$L$135-EFEITO!$O$135*EFEITO!$AA$135</f>
        <v>0</v>
      </c>
      <c r="P135" s="39"/>
      <c r="Q135" s="39"/>
      <c r="R135" s="39"/>
      <c r="S135" s="39"/>
      <c r="T135" s="39"/>
      <c r="U135" s="39"/>
      <c r="V135" s="39"/>
      <c r="W135" s="3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21</v>
      </c>
      <c r="B136" s="35" t="s">
        <v>33</v>
      </c>
      <c r="C136" s="35" t="s">
        <v>41</v>
      </c>
      <c r="D136" s="35" t="s">
        <v>43</v>
      </c>
      <c r="E136" s="35" t="s">
        <v>25</v>
      </c>
      <c r="F136" s="35" t="s">
        <v>25</v>
      </c>
      <c r="G136" s="35" t="s">
        <v>25</v>
      </c>
      <c r="H136" s="35" t="s">
        <v>37</v>
      </c>
      <c r="I136" s="55">
        <v>44621</v>
      </c>
      <c r="J136" s="56">
        <f ca="1">EFEITO!$J$136*EFEITO!$Y$136</f>
        <v>208220.36560858053</v>
      </c>
      <c r="K136" s="56">
        <f ca="1">EFEITO!$L$136*EFEITO!$Z$136</f>
        <v>24945.452704020336</v>
      </c>
      <c r="L136" s="56">
        <f>EFEITO!$N$136*EFEITO!$AA$136</f>
        <v>0</v>
      </c>
      <c r="M136" s="56">
        <f ca="1">$J$136-EFEITO!$K$136*EFEITO!$Y$136</f>
        <v>0</v>
      </c>
      <c r="N136" s="56">
        <f ca="1">$K$136-EFEITO!$M$136*EFEITO!$Z$136</f>
        <v>0</v>
      </c>
      <c r="O136" s="56">
        <f>$L$136-EFEITO!$O$136*EFEITO!$AA$136</f>
        <v>0</v>
      </c>
      <c r="P136" s="39"/>
      <c r="Q136" s="39"/>
      <c r="R136" s="39"/>
      <c r="S136" s="39"/>
      <c r="T136" s="39"/>
      <c r="U136" s="39"/>
      <c r="V136" s="39"/>
      <c r="W136" s="3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21</v>
      </c>
      <c r="B137" s="35" t="s">
        <v>33</v>
      </c>
      <c r="C137" s="35" t="s">
        <v>41</v>
      </c>
      <c r="D137" s="35" t="s">
        <v>43</v>
      </c>
      <c r="E137" s="35" t="s">
        <v>25</v>
      </c>
      <c r="F137" s="35" t="s">
        <v>25</v>
      </c>
      <c r="G137" s="35" t="s">
        <v>25</v>
      </c>
      <c r="H137" s="35" t="s">
        <v>37</v>
      </c>
      <c r="I137" s="55">
        <v>44652</v>
      </c>
      <c r="J137" s="56">
        <f ca="1">EFEITO!$J$137*EFEITO!$Y$137</f>
        <v>9333.4312212485165</v>
      </c>
      <c r="K137" s="56">
        <f ca="1">EFEITO!$L$137*EFEITO!$Z$137</f>
        <v>613.13559193314813</v>
      </c>
      <c r="L137" s="56">
        <f>EFEITO!$N$137*EFEITO!$AA$137</f>
        <v>2287.7803516658582</v>
      </c>
      <c r="M137" s="56">
        <f ca="1">$J$137-EFEITO!$K$137*EFEITO!$Y$137</f>
        <v>0</v>
      </c>
      <c r="N137" s="56">
        <f ca="1">$K$137-EFEITO!$M$137*EFEITO!$Z$137</f>
        <v>0</v>
      </c>
      <c r="O137" s="56">
        <f>$L$137-EFEITO!$O$137*EFEITO!$AA$137</f>
        <v>0</v>
      </c>
      <c r="P137" s="39"/>
      <c r="Q137" s="39"/>
      <c r="R137" s="39"/>
      <c r="S137" s="39"/>
      <c r="T137" s="39"/>
      <c r="U137" s="39"/>
      <c r="V137" s="39"/>
      <c r="W137" s="3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33</v>
      </c>
      <c r="C138" s="35" t="s">
        <v>41</v>
      </c>
      <c r="D138" s="35" t="s">
        <v>43</v>
      </c>
      <c r="E138" s="35" t="s">
        <v>25</v>
      </c>
      <c r="F138" s="35" t="s">
        <v>25</v>
      </c>
      <c r="G138" s="35" t="s">
        <v>25</v>
      </c>
      <c r="H138" s="35" t="s">
        <v>37</v>
      </c>
      <c r="I138" s="55">
        <v>44652</v>
      </c>
      <c r="J138" s="56">
        <f ca="1">EFEITO!$J$138*EFEITO!$Y$138</f>
        <v>199056.63313680925</v>
      </c>
      <c r="K138" s="56">
        <f ca="1">EFEITO!$L$138*EFEITO!$Z$138</f>
        <v>26461.050026242603</v>
      </c>
      <c r="L138" s="56">
        <f>EFEITO!$N$138*EFEITO!$AA$138</f>
        <v>0</v>
      </c>
      <c r="M138" s="56">
        <f ca="1">$J$138-EFEITO!$K$138*EFEITO!$Y$138</f>
        <v>0</v>
      </c>
      <c r="N138" s="56">
        <f ca="1">$K$138-EFEITO!$M$138*EFEITO!$Z$138</f>
        <v>0</v>
      </c>
      <c r="O138" s="56">
        <f>$L$138-EFEITO!$O$138*EFEITO!$AA$138</f>
        <v>0</v>
      </c>
      <c r="P138" s="39"/>
      <c r="Q138" s="39"/>
      <c r="R138" s="39"/>
      <c r="S138" s="39"/>
      <c r="T138" s="39"/>
      <c r="U138" s="39"/>
      <c r="V138" s="39"/>
      <c r="W138" s="3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21</v>
      </c>
      <c r="B139" s="35" t="s">
        <v>33</v>
      </c>
      <c r="C139" s="35" t="s">
        <v>41</v>
      </c>
      <c r="D139" s="35" t="s">
        <v>43</v>
      </c>
      <c r="E139" s="35" t="s">
        <v>25</v>
      </c>
      <c r="F139" s="35" t="s">
        <v>25</v>
      </c>
      <c r="G139" s="35" t="s">
        <v>25</v>
      </c>
      <c r="H139" s="35" t="s">
        <v>37</v>
      </c>
      <c r="I139" s="55">
        <v>44682</v>
      </c>
      <c r="J139" s="56">
        <f ca="1">EFEITO!$J$139*EFEITO!$Y$139</f>
        <v>9333.4312212485165</v>
      </c>
      <c r="K139" s="56">
        <f ca="1">EFEITO!$L$139*EFEITO!$Z$139</f>
        <v>708.13156354252931</v>
      </c>
      <c r="L139" s="56">
        <f>EFEITO!$N$139*EFEITO!$AA$139</f>
        <v>2642.2368865574845</v>
      </c>
      <c r="M139" s="56">
        <f ca="1">$J$139-EFEITO!$K$139*EFEITO!$Y$139</f>
        <v>0</v>
      </c>
      <c r="N139" s="56">
        <f ca="1">$K$139-EFEITO!$M$139*EFEITO!$Z$139</f>
        <v>0</v>
      </c>
      <c r="O139" s="56">
        <f>$L$139-EFEITO!$O$139*EFEITO!$AA$139</f>
        <v>0</v>
      </c>
      <c r="P139" s="39"/>
      <c r="Q139" s="39"/>
      <c r="R139" s="39"/>
      <c r="S139" s="39"/>
      <c r="T139" s="39"/>
      <c r="U139" s="39"/>
      <c r="V139" s="39"/>
      <c r="W139" s="3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33</v>
      </c>
      <c r="C140" s="35" t="s">
        <v>41</v>
      </c>
      <c r="D140" s="35" t="s">
        <v>43</v>
      </c>
      <c r="E140" s="35" t="s">
        <v>25</v>
      </c>
      <c r="F140" s="35" t="s">
        <v>25</v>
      </c>
      <c r="G140" s="35" t="s">
        <v>25</v>
      </c>
      <c r="H140" s="35" t="s">
        <v>37</v>
      </c>
      <c r="I140" s="55">
        <v>44682</v>
      </c>
      <c r="J140" s="56">
        <f ca="1">EFEITO!$J$140*EFEITO!$Y$140</f>
        <v>197953.59126520716</v>
      </c>
      <c r="K140" s="56">
        <f ca="1">EFEITO!$L$140*EFEITO!$Z$140</f>
        <v>23105.156036215179</v>
      </c>
      <c r="L140" s="56">
        <f>EFEITO!$N$140*EFEITO!$AA$140</f>
        <v>0</v>
      </c>
      <c r="M140" s="56">
        <f ca="1">$J$140-EFEITO!$K$140*EFEITO!$Y$140</f>
        <v>0</v>
      </c>
      <c r="N140" s="56">
        <f ca="1">$K$140-EFEITO!$M$140*EFEITO!$Z$140</f>
        <v>0</v>
      </c>
      <c r="O140" s="56">
        <f>$L$140-EFEITO!$O$140*EFEITO!$AA$140</f>
        <v>0</v>
      </c>
      <c r="P140" s="39"/>
      <c r="Q140" s="39"/>
      <c r="R140" s="39"/>
      <c r="S140" s="39"/>
      <c r="T140" s="39"/>
      <c r="U140" s="39"/>
      <c r="V140" s="39"/>
      <c r="W140" s="3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21</v>
      </c>
      <c r="B141" s="35" t="s">
        <v>33</v>
      </c>
      <c r="C141" s="35" t="s">
        <v>41</v>
      </c>
      <c r="D141" s="35" t="s">
        <v>40</v>
      </c>
      <c r="E141" s="35" t="s">
        <v>25</v>
      </c>
      <c r="F141" s="35" t="s">
        <v>54</v>
      </c>
      <c r="G141" s="35" t="s">
        <v>25</v>
      </c>
      <c r="H141" s="35" t="s">
        <v>35</v>
      </c>
      <c r="I141" s="55">
        <v>44621</v>
      </c>
      <c r="J141" s="56">
        <f ca="1">EFEITO!$J$141*EFEITO!$Y$141</f>
        <v>8259.1523487737213</v>
      </c>
      <c r="K141" s="56">
        <f ca="1">EFEITO!$L$141*EFEITO!$Z$141</f>
        <v>0</v>
      </c>
      <c r="L141" s="56">
        <f>EFEITO!$N$141*EFEITO!$AA$141</f>
        <v>0</v>
      </c>
      <c r="M141" s="56">
        <f ca="1">$J$141-EFEITO!$K$141*EFEITO!$Y$141</f>
        <v>4129.5761743868607</v>
      </c>
      <c r="N141" s="56">
        <f ca="1">$K$141-EFEITO!$M$141*EFEITO!$Z$141</f>
        <v>0</v>
      </c>
      <c r="O141" s="56">
        <f>$L$141-EFEITO!$O$141*EFEITO!$AA$141</f>
        <v>0</v>
      </c>
      <c r="P141" s="39"/>
      <c r="Q141" s="39"/>
      <c r="R141" s="39"/>
      <c r="S141" s="39"/>
      <c r="T141" s="39"/>
      <c r="U141" s="39"/>
      <c r="V141" s="39"/>
      <c r="W141" s="3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33</v>
      </c>
      <c r="C142" s="35" t="s">
        <v>41</v>
      </c>
      <c r="D142" s="35" t="s">
        <v>40</v>
      </c>
      <c r="E142" s="35" t="s">
        <v>25</v>
      </c>
      <c r="F142" s="35" t="s">
        <v>54</v>
      </c>
      <c r="G142" s="35" t="s">
        <v>25</v>
      </c>
      <c r="H142" s="35" t="s">
        <v>35</v>
      </c>
      <c r="I142" s="55">
        <v>44652</v>
      </c>
      <c r="J142" s="56">
        <f ca="1">EFEITO!$J$142*EFEITO!$Y$142</f>
        <v>8259.1523487737213</v>
      </c>
      <c r="K142" s="56">
        <f ca="1">EFEITO!$L$142*EFEITO!$Z$142</f>
        <v>0</v>
      </c>
      <c r="L142" s="56">
        <f>EFEITO!$N$142*EFEITO!$AA$142</f>
        <v>0</v>
      </c>
      <c r="M142" s="56">
        <f ca="1">$J$142-EFEITO!$K$142*EFEITO!$Y$142</f>
        <v>4129.5761743868607</v>
      </c>
      <c r="N142" s="56">
        <f ca="1">$K$142-EFEITO!$M$142*EFEITO!$Z$142</f>
        <v>0</v>
      </c>
      <c r="O142" s="56">
        <f>$L$142-EFEITO!$O$142*EFEITO!$AA$142</f>
        <v>0</v>
      </c>
      <c r="P142" s="39"/>
      <c r="Q142" s="39"/>
      <c r="R142" s="39"/>
      <c r="S142" s="39"/>
      <c r="T142" s="39"/>
      <c r="U142" s="39"/>
      <c r="V142" s="39"/>
      <c r="W142" s="3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21</v>
      </c>
      <c r="B143" s="35" t="s">
        <v>33</v>
      </c>
      <c r="C143" s="35" t="s">
        <v>41</v>
      </c>
      <c r="D143" s="35" t="s">
        <v>40</v>
      </c>
      <c r="E143" s="35" t="s">
        <v>25</v>
      </c>
      <c r="F143" s="35" t="s">
        <v>54</v>
      </c>
      <c r="G143" s="35" t="s">
        <v>25</v>
      </c>
      <c r="H143" s="35" t="s">
        <v>35</v>
      </c>
      <c r="I143" s="55">
        <v>44682</v>
      </c>
      <c r="J143" s="56">
        <f ca="1">EFEITO!$J$143*EFEITO!$Y$143</f>
        <v>8259.1523487737213</v>
      </c>
      <c r="K143" s="56">
        <f ca="1">EFEITO!$L$143*EFEITO!$Z$143</f>
        <v>0</v>
      </c>
      <c r="L143" s="56">
        <f>EFEITO!$N$143*EFEITO!$AA$143</f>
        <v>0</v>
      </c>
      <c r="M143" s="56">
        <f ca="1">$J$143-EFEITO!$K$143*EFEITO!$Y$143</f>
        <v>4129.5761743868607</v>
      </c>
      <c r="N143" s="56">
        <f ca="1">$K$143-EFEITO!$M$143*EFEITO!$Z$143</f>
        <v>0</v>
      </c>
      <c r="O143" s="56">
        <f>$L$143-EFEITO!$O$143*EFEITO!$AA$143</f>
        <v>0</v>
      </c>
      <c r="P143" s="39"/>
      <c r="Q143" s="39"/>
      <c r="R143" s="39"/>
      <c r="S143" s="39"/>
      <c r="T143" s="39"/>
      <c r="U143" s="39"/>
      <c r="V143" s="39"/>
      <c r="W143" s="3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33</v>
      </c>
      <c r="C144" s="35" t="s">
        <v>41</v>
      </c>
      <c r="D144" s="35" t="s">
        <v>40</v>
      </c>
      <c r="E144" s="35" t="s">
        <v>25</v>
      </c>
      <c r="F144" s="35" t="s">
        <v>54</v>
      </c>
      <c r="G144" s="35" t="s">
        <v>25</v>
      </c>
      <c r="H144" s="35" t="s">
        <v>25</v>
      </c>
      <c r="I144" s="55">
        <v>44621</v>
      </c>
      <c r="J144" s="56">
        <f>EFEITO!$J$144*EFEITO!$Y$144</f>
        <v>0</v>
      </c>
      <c r="K144" s="56">
        <f ca="1">EFEITO!$L$144*EFEITO!$Z$144</f>
        <v>12863.61141551762</v>
      </c>
      <c r="L144" s="56">
        <f>EFEITO!$N$144*EFEITO!$AA$144</f>
        <v>0</v>
      </c>
      <c r="M144" s="56">
        <f>$J$144-EFEITO!$K$144*EFEITO!$Y$144</f>
        <v>0</v>
      </c>
      <c r="N144" s="56">
        <f ca="1">$K$144-EFEITO!$M$144*EFEITO!$Z$144</f>
        <v>0</v>
      </c>
      <c r="O144" s="56">
        <f>$L$144-EFEITO!$O$144*EFEITO!$AA$144</f>
        <v>0</v>
      </c>
      <c r="P144" s="39"/>
      <c r="Q144" s="39"/>
      <c r="R144" s="39"/>
      <c r="S144" s="39"/>
      <c r="T144" s="39"/>
      <c r="U144" s="39"/>
      <c r="V144" s="39"/>
      <c r="W144" s="3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21</v>
      </c>
      <c r="B145" s="35" t="s">
        <v>33</v>
      </c>
      <c r="C145" s="35" t="s">
        <v>41</v>
      </c>
      <c r="D145" s="35" t="s">
        <v>40</v>
      </c>
      <c r="E145" s="35" t="s">
        <v>25</v>
      </c>
      <c r="F145" s="35" t="s">
        <v>54</v>
      </c>
      <c r="G145" s="35" t="s">
        <v>25</v>
      </c>
      <c r="H145" s="35" t="s">
        <v>25</v>
      </c>
      <c r="I145" s="55">
        <v>44652</v>
      </c>
      <c r="J145" s="56">
        <f>EFEITO!$J$145*EFEITO!$Y$145</f>
        <v>0</v>
      </c>
      <c r="K145" s="56">
        <f ca="1">EFEITO!$L$145*EFEITO!$Z$145</f>
        <v>15438.625170535845</v>
      </c>
      <c r="L145" s="56">
        <f>EFEITO!$N$145*EFEITO!$AA$145</f>
        <v>0</v>
      </c>
      <c r="M145" s="56">
        <f>$J$145-EFEITO!$K$145*EFEITO!$Y$145</f>
        <v>0</v>
      </c>
      <c r="N145" s="56">
        <f ca="1">$K$145-EFEITO!$M$145*EFEITO!$Z$145</f>
        <v>0</v>
      </c>
      <c r="O145" s="56">
        <f>$L$145-EFEITO!$O$145*EFEITO!$AA$145</f>
        <v>0</v>
      </c>
      <c r="P145" s="39"/>
      <c r="Q145" s="39"/>
      <c r="R145" s="39"/>
      <c r="S145" s="39"/>
      <c r="T145" s="39"/>
      <c r="U145" s="39"/>
      <c r="V145" s="39"/>
      <c r="W145" s="3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33</v>
      </c>
      <c r="C146" s="35" t="s">
        <v>41</v>
      </c>
      <c r="D146" s="35" t="s">
        <v>40</v>
      </c>
      <c r="E146" s="35" t="s">
        <v>25</v>
      </c>
      <c r="F146" s="35" t="s">
        <v>54</v>
      </c>
      <c r="G146" s="35" t="s">
        <v>25</v>
      </c>
      <c r="H146" s="35" t="s">
        <v>25</v>
      </c>
      <c r="I146" s="55">
        <v>44682</v>
      </c>
      <c r="J146" s="56">
        <f>EFEITO!$J$146*EFEITO!$Y$146</f>
        <v>0</v>
      </c>
      <c r="K146" s="56">
        <f ca="1">EFEITO!$L$146*EFEITO!$Z$146</f>
        <v>15429.503777477334</v>
      </c>
      <c r="L146" s="56">
        <f>EFEITO!$N$146*EFEITO!$AA$146</f>
        <v>0</v>
      </c>
      <c r="M146" s="56">
        <f>$J$146-EFEITO!$K$146*EFEITO!$Y$146</f>
        <v>0</v>
      </c>
      <c r="N146" s="56">
        <f ca="1">$K$146-EFEITO!$M$146*EFEITO!$Z$146</f>
        <v>0</v>
      </c>
      <c r="O146" s="56">
        <f>$L$146-EFEITO!$O$146*EFEITO!$AA$146</f>
        <v>0</v>
      </c>
      <c r="P146" s="39"/>
      <c r="Q146" s="39"/>
      <c r="R146" s="39"/>
      <c r="S146" s="39"/>
      <c r="T146" s="39"/>
      <c r="U146" s="39"/>
      <c r="V146" s="39"/>
      <c r="W146" s="3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21</v>
      </c>
      <c r="B147" s="35" t="s">
        <v>33</v>
      </c>
      <c r="C147" s="35" t="s">
        <v>41</v>
      </c>
      <c r="D147" s="35" t="s">
        <v>40</v>
      </c>
      <c r="E147" s="35" t="s">
        <v>25</v>
      </c>
      <c r="F147" s="35" t="s">
        <v>54</v>
      </c>
      <c r="G147" s="35" t="s">
        <v>25</v>
      </c>
      <c r="H147" s="35" t="s">
        <v>37</v>
      </c>
      <c r="I147" s="55">
        <v>44621</v>
      </c>
      <c r="J147" s="56">
        <f ca="1">EFEITO!$J$147*EFEITO!$Y$147</f>
        <v>16503.20338666215</v>
      </c>
      <c r="K147" s="56">
        <f ca="1">EFEITO!$L$147*EFEITO!$Z$147</f>
        <v>0</v>
      </c>
      <c r="L147" s="56">
        <f>EFEITO!$N$147*EFEITO!$AA$147</f>
        <v>0</v>
      </c>
      <c r="M147" s="56">
        <f ca="1">$J$147-EFEITO!$K$147*EFEITO!$Y$147</f>
        <v>8251.6016933310748</v>
      </c>
      <c r="N147" s="56">
        <f ca="1">$K$147-EFEITO!$M$147*EFEITO!$Z$147</f>
        <v>0</v>
      </c>
      <c r="O147" s="56">
        <f>$L$147-EFEITO!$O$147*EFEITO!$AA$147</f>
        <v>0</v>
      </c>
      <c r="P147" s="39"/>
      <c r="Q147" s="39"/>
      <c r="R147" s="39"/>
      <c r="S147" s="39"/>
      <c r="T147" s="39"/>
      <c r="U147" s="39"/>
      <c r="V147" s="39"/>
      <c r="W147" s="3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21</v>
      </c>
      <c r="B148" s="35" t="s">
        <v>33</v>
      </c>
      <c r="C148" s="35" t="s">
        <v>41</v>
      </c>
      <c r="D148" s="35" t="s">
        <v>40</v>
      </c>
      <c r="E148" s="35" t="s">
        <v>25</v>
      </c>
      <c r="F148" s="35" t="s">
        <v>54</v>
      </c>
      <c r="G148" s="35" t="s">
        <v>25</v>
      </c>
      <c r="H148" s="35" t="s">
        <v>37</v>
      </c>
      <c r="I148" s="55">
        <v>44652</v>
      </c>
      <c r="J148" s="56">
        <f ca="1">EFEITO!$J$148*EFEITO!$Y$148</f>
        <v>16503.20338666215</v>
      </c>
      <c r="K148" s="56">
        <f ca="1">EFEITO!$L$148*EFEITO!$Z$148</f>
        <v>0</v>
      </c>
      <c r="L148" s="56">
        <f>EFEITO!$N$148*EFEITO!$AA$148</f>
        <v>0</v>
      </c>
      <c r="M148" s="56">
        <f ca="1">$J$148-EFEITO!$K$148*EFEITO!$Y$148</f>
        <v>8251.6016933310748</v>
      </c>
      <c r="N148" s="56">
        <f ca="1">$K$148-EFEITO!$M$148*EFEITO!$Z$148</f>
        <v>0</v>
      </c>
      <c r="O148" s="56">
        <f>$L$148-EFEITO!$O$148*EFEITO!$AA$148</f>
        <v>0</v>
      </c>
      <c r="P148" s="39"/>
      <c r="Q148" s="39"/>
      <c r="R148" s="39"/>
      <c r="S148" s="39"/>
      <c r="T148" s="39"/>
      <c r="U148" s="39"/>
      <c r="V148" s="39"/>
      <c r="W148" s="3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21</v>
      </c>
      <c r="B149" s="35" t="s">
        <v>33</v>
      </c>
      <c r="C149" s="35" t="s">
        <v>41</v>
      </c>
      <c r="D149" s="35" t="s">
        <v>40</v>
      </c>
      <c r="E149" s="35" t="s">
        <v>25</v>
      </c>
      <c r="F149" s="35" t="s">
        <v>54</v>
      </c>
      <c r="G149" s="35" t="s">
        <v>25</v>
      </c>
      <c r="H149" s="35" t="s">
        <v>37</v>
      </c>
      <c r="I149" s="55">
        <v>44682</v>
      </c>
      <c r="J149" s="56">
        <f ca="1">EFEITO!$J$149*EFEITO!$Y$149</f>
        <v>16503.20338666215</v>
      </c>
      <c r="K149" s="56">
        <f ca="1">EFEITO!$L$149*EFEITO!$Z$149</f>
        <v>0</v>
      </c>
      <c r="L149" s="56">
        <f>EFEITO!$N$149*EFEITO!$AA$149</f>
        <v>0</v>
      </c>
      <c r="M149" s="56">
        <f ca="1">$J$149-EFEITO!$K$149*EFEITO!$Y$149</f>
        <v>8251.6016933310748</v>
      </c>
      <c r="N149" s="56">
        <f ca="1">$K$149-EFEITO!$M$149*EFEITO!$Z$149</f>
        <v>0</v>
      </c>
      <c r="O149" s="56">
        <f>$L$149-EFEITO!$O$149*EFEITO!$AA$149</f>
        <v>0</v>
      </c>
      <c r="P149" s="39"/>
      <c r="Q149" s="39"/>
      <c r="R149" s="39"/>
      <c r="S149" s="39"/>
      <c r="T149" s="39"/>
      <c r="U149" s="39"/>
      <c r="V149" s="39"/>
      <c r="W149" s="3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33</v>
      </c>
      <c r="C150" s="35" t="s">
        <v>41</v>
      </c>
      <c r="D150" s="35" t="s">
        <v>40</v>
      </c>
      <c r="E150" s="35" t="s">
        <v>25</v>
      </c>
      <c r="F150" s="35" t="s">
        <v>25</v>
      </c>
      <c r="G150" s="35" t="s">
        <v>25</v>
      </c>
      <c r="H150" s="35" t="s">
        <v>35</v>
      </c>
      <c r="I150" s="55">
        <v>44348</v>
      </c>
      <c r="J150" s="56">
        <f ca="1">EFEITO!$J$150*EFEITO!$Y$150</f>
        <v>10026.610951411298</v>
      </c>
      <c r="K150" s="56">
        <f ca="1">EFEITO!$L$150*EFEITO!$Z$150</f>
        <v>21462.526630178025</v>
      </c>
      <c r="L150" s="56">
        <f>EFEITO!$N$150*EFEITO!$AA$150</f>
        <v>49979.850595752418</v>
      </c>
      <c r="M150" s="56">
        <f ca="1">$J$150-EFEITO!$K$150*EFEITO!$Y$150</f>
        <v>0</v>
      </c>
      <c r="N150" s="56">
        <f ca="1">$K$150-EFEITO!$M$150*EFEITO!$Z$150</f>
        <v>0</v>
      </c>
      <c r="O150" s="56">
        <f>$L$150-EFEITO!$O$150*EFEITO!$AA$150</f>
        <v>0</v>
      </c>
      <c r="P150" s="39"/>
      <c r="Q150" s="39"/>
      <c r="R150" s="39"/>
      <c r="S150" s="39"/>
      <c r="T150" s="39"/>
      <c r="U150" s="39"/>
      <c r="V150" s="39"/>
      <c r="W150" s="3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21</v>
      </c>
      <c r="B151" s="35" t="s">
        <v>33</v>
      </c>
      <c r="C151" s="35" t="s">
        <v>41</v>
      </c>
      <c r="D151" s="35" t="s">
        <v>40</v>
      </c>
      <c r="E151" s="35" t="s">
        <v>25</v>
      </c>
      <c r="F151" s="35" t="s">
        <v>25</v>
      </c>
      <c r="G151" s="35" t="s">
        <v>25</v>
      </c>
      <c r="H151" s="35" t="s">
        <v>35</v>
      </c>
      <c r="I151" s="55">
        <v>44348</v>
      </c>
      <c r="J151" s="56">
        <f ca="1">EFEITO!$J$151*EFEITO!$Y$151</f>
        <v>150993.82324028117</v>
      </c>
      <c r="K151" s="56">
        <f ca="1">EFEITO!$L$151*EFEITO!$Z$151</f>
        <v>567927.52073214704</v>
      </c>
      <c r="L151" s="56">
        <f>EFEITO!$N$151*EFEITO!$AA$151</f>
        <v>0</v>
      </c>
      <c r="M151" s="56">
        <f ca="1">$J$151-EFEITO!$K$151*EFEITO!$Y$151</f>
        <v>0</v>
      </c>
      <c r="N151" s="56">
        <f ca="1">$K$151-EFEITO!$M$151*EFEITO!$Z$151</f>
        <v>0</v>
      </c>
      <c r="O151" s="56">
        <f>$L$151-EFEITO!$O$151*EFEITO!$AA$151</f>
        <v>0</v>
      </c>
      <c r="P151" s="39"/>
      <c r="Q151" s="39"/>
      <c r="R151" s="39"/>
      <c r="S151" s="39"/>
      <c r="T151" s="39"/>
      <c r="U151" s="39"/>
      <c r="V151" s="39"/>
      <c r="W151" s="3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33</v>
      </c>
      <c r="C152" s="35" t="s">
        <v>41</v>
      </c>
      <c r="D152" s="35" t="s">
        <v>40</v>
      </c>
      <c r="E152" s="35" t="s">
        <v>25</v>
      </c>
      <c r="F152" s="35" t="s">
        <v>25</v>
      </c>
      <c r="G152" s="35" t="s">
        <v>25</v>
      </c>
      <c r="H152" s="35" t="s">
        <v>35</v>
      </c>
      <c r="I152" s="55">
        <v>44378</v>
      </c>
      <c r="J152" s="56">
        <f ca="1">EFEITO!$J$152*EFEITO!$Y$152</f>
        <v>10109.202474899035</v>
      </c>
      <c r="K152" s="56">
        <f ca="1">EFEITO!$L$152*EFEITO!$Z$152</f>
        <v>22767.553256549523</v>
      </c>
      <c r="L152" s="56">
        <f>EFEITO!$N$152*EFEITO!$AA$152</f>
        <v>53018.870042689974</v>
      </c>
      <c r="M152" s="56">
        <f ca="1">$J$152-EFEITO!$K$152*EFEITO!$Y$152</f>
        <v>0</v>
      </c>
      <c r="N152" s="56">
        <f ca="1">$K$152-EFEITO!$M$152*EFEITO!$Z$152</f>
        <v>0</v>
      </c>
      <c r="O152" s="56">
        <f>$L$152-EFEITO!$O$152*EFEITO!$AA$152</f>
        <v>0</v>
      </c>
      <c r="P152" s="39"/>
      <c r="Q152" s="39"/>
      <c r="R152" s="39"/>
      <c r="S152" s="39"/>
      <c r="T152" s="39"/>
      <c r="U152" s="39"/>
      <c r="V152" s="39"/>
      <c r="W152" s="3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21</v>
      </c>
      <c r="B153" s="35" t="s">
        <v>33</v>
      </c>
      <c r="C153" s="35" t="s">
        <v>41</v>
      </c>
      <c r="D153" s="35" t="s">
        <v>40</v>
      </c>
      <c r="E153" s="35" t="s">
        <v>25</v>
      </c>
      <c r="F153" s="35" t="s">
        <v>25</v>
      </c>
      <c r="G153" s="35" t="s">
        <v>25</v>
      </c>
      <c r="H153" s="35" t="s">
        <v>35</v>
      </c>
      <c r="I153" s="55">
        <v>44378</v>
      </c>
      <c r="J153" s="56">
        <f ca="1">EFEITO!$J$153*EFEITO!$Y$153</f>
        <v>150085.31648191606</v>
      </c>
      <c r="K153" s="56">
        <f ca="1">EFEITO!$L$153*EFEITO!$Z$153</f>
        <v>555208.18305805488</v>
      </c>
      <c r="L153" s="56">
        <f>EFEITO!$N$153*EFEITO!$AA$153</f>
        <v>0</v>
      </c>
      <c r="M153" s="56">
        <f ca="1">$J$153-EFEITO!$K$153*EFEITO!$Y$153</f>
        <v>0</v>
      </c>
      <c r="N153" s="56">
        <f ca="1">$K$153-EFEITO!$M$153*EFEITO!$Z$153</f>
        <v>0</v>
      </c>
      <c r="O153" s="56">
        <f>$L$153-EFEITO!$O$153*EFEITO!$AA$153</f>
        <v>0</v>
      </c>
      <c r="P153" s="39"/>
      <c r="Q153" s="39"/>
      <c r="R153" s="39"/>
      <c r="S153" s="39"/>
      <c r="T153" s="39"/>
      <c r="U153" s="39"/>
      <c r="V153" s="39"/>
      <c r="W153" s="3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21</v>
      </c>
      <c r="B154" s="35" t="s">
        <v>33</v>
      </c>
      <c r="C154" s="35" t="s">
        <v>41</v>
      </c>
      <c r="D154" s="35" t="s">
        <v>40</v>
      </c>
      <c r="E154" s="35" t="s">
        <v>25</v>
      </c>
      <c r="F154" s="35" t="s">
        <v>25</v>
      </c>
      <c r="G154" s="35" t="s">
        <v>25</v>
      </c>
      <c r="H154" s="35" t="s">
        <v>35</v>
      </c>
      <c r="I154" s="55">
        <v>44409</v>
      </c>
      <c r="J154" s="56">
        <f ca="1">EFEITO!$J$154*EFEITO!$Y$154</f>
        <v>10026.610951411298</v>
      </c>
      <c r="K154" s="56">
        <f ca="1">EFEITO!$L$154*EFEITO!$Z$154</f>
        <v>22601.477160984177</v>
      </c>
      <c r="L154" s="56">
        <f>EFEITO!$N$154*EFEITO!$AA$154</f>
        <v>52632.128137279324</v>
      </c>
      <c r="M154" s="56">
        <f ca="1">$J$154-EFEITO!$K$154*EFEITO!$Y$154</f>
        <v>0</v>
      </c>
      <c r="N154" s="56">
        <f ca="1">$K$154-EFEITO!$M$154*EFEITO!$Z$154</f>
        <v>0</v>
      </c>
      <c r="O154" s="56">
        <f>$L$154-EFEITO!$O$154*EFEITO!$AA$154</f>
        <v>0</v>
      </c>
      <c r="P154" s="39"/>
      <c r="Q154" s="39"/>
      <c r="R154" s="39"/>
      <c r="S154" s="39"/>
      <c r="T154" s="39"/>
      <c r="U154" s="39"/>
      <c r="V154" s="39"/>
      <c r="W154" s="3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21</v>
      </c>
      <c r="B155" s="35" t="s">
        <v>33</v>
      </c>
      <c r="C155" s="35" t="s">
        <v>41</v>
      </c>
      <c r="D155" s="35" t="s">
        <v>40</v>
      </c>
      <c r="E155" s="35" t="s">
        <v>25</v>
      </c>
      <c r="F155" s="35" t="s">
        <v>25</v>
      </c>
      <c r="G155" s="35" t="s">
        <v>25</v>
      </c>
      <c r="H155" s="35" t="s">
        <v>35</v>
      </c>
      <c r="I155" s="55">
        <v>44409</v>
      </c>
      <c r="J155" s="56">
        <f ca="1">EFEITO!$J$155*EFEITO!$Y$155</f>
        <v>150564.34731814495</v>
      </c>
      <c r="K155" s="56">
        <f ca="1">EFEITO!$L$155*EFEITO!$Z$155</f>
        <v>563795.19596713898</v>
      </c>
      <c r="L155" s="56">
        <f>EFEITO!$N$155*EFEITO!$AA$155</f>
        <v>0</v>
      </c>
      <c r="M155" s="56">
        <f ca="1">$J$155-EFEITO!$K$155*EFEITO!$Y$155</f>
        <v>0</v>
      </c>
      <c r="N155" s="56">
        <f ca="1">$K$155-EFEITO!$M$155*EFEITO!$Z$155</f>
        <v>0</v>
      </c>
      <c r="O155" s="56">
        <f>$L$155-EFEITO!$O$155*EFEITO!$AA$155</f>
        <v>0</v>
      </c>
      <c r="P155" s="39"/>
      <c r="Q155" s="39"/>
      <c r="R155" s="39"/>
      <c r="S155" s="39"/>
      <c r="T155" s="39"/>
      <c r="U155" s="39"/>
      <c r="V155" s="39"/>
      <c r="W155" s="3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33</v>
      </c>
      <c r="C156" s="35" t="s">
        <v>41</v>
      </c>
      <c r="D156" s="35" t="s">
        <v>40</v>
      </c>
      <c r="E156" s="35" t="s">
        <v>25</v>
      </c>
      <c r="F156" s="35" t="s">
        <v>25</v>
      </c>
      <c r="G156" s="35" t="s">
        <v>25</v>
      </c>
      <c r="H156" s="35" t="s">
        <v>35</v>
      </c>
      <c r="I156" s="55">
        <v>44440</v>
      </c>
      <c r="J156" s="56">
        <f ca="1">EFEITO!$J$156*EFEITO!$Y$156</f>
        <v>10026.610951411298</v>
      </c>
      <c r="K156" s="56">
        <f ca="1">EFEITO!$L$156*EFEITO!$Z$156</f>
        <v>20994.888381178218</v>
      </c>
      <c r="L156" s="56">
        <f>EFEITO!$N$156*EFEITO!$AA$156</f>
        <v>48890.859992707286</v>
      </c>
      <c r="M156" s="56">
        <f ca="1">$J$156-EFEITO!$K$156*EFEITO!$Y$156</f>
        <v>0</v>
      </c>
      <c r="N156" s="56">
        <f ca="1">$K$156-EFEITO!$M$156*EFEITO!$Z$156</f>
        <v>0</v>
      </c>
      <c r="O156" s="56">
        <f>$L$156-EFEITO!$O$156*EFEITO!$AA$156</f>
        <v>0</v>
      </c>
      <c r="P156" s="39"/>
      <c r="Q156" s="39"/>
      <c r="R156" s="39"/>
      <c r="S156" s="39"/>
      <c r="T156" s="39"/>
      <c r="U156" s="39"/>
      <c r="V156" s="39"/>
      <c r="W156" s="3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21</v>
      </c>
      <c r="B157" s="35" t="s">
        <v>33</v>
      </c>
      <c r="C157" s="35" t="s">
        <v>41</v>
      </c>
      <c r="D157" s="35" t="s">
        <v>40</v>
      </c>
      <c r="E157" s="35" t="s">
        <v>25</v>
      </c>
      <c r="F157" s="35" t="s">
        <v>25</v>
      </c>
      <c r="G157" s="35" t="s">
        <v>25</v>
      </c>
      <c r="H157" s="35" t="s">
        <v>35</v>
      </c>
      <c r="I157" s="55">
        <v>44440</v>
      </c>
      <c r="J157" s="56">
        <f ca="1">EFEITO!$J$157*EFEITO!$Y$157</f>
        <v>158691.35322933827</v>
      </c>
      <c r="K157" s="56">
        <f ca="1">EFEITO!$L$157*EFEITO!$Z$157</f>
        <v>586225.59139002569</v>
      </c>
      <c r="L157" s="56">
        <f>EFEITO!$N$157*EFEITO!$AA$157</f>
        <v>0</v>
      </c>
      <c r="M157" s="56">
        <f ca="1">$J$157-EFEITO!$K$157*EFEITO!$Y$157</f>
        <v>0</v>
      </c>
      <c r="N157" s="56">
        <f ca="1">$K$157-EFEITO!$M$157*EFEITO!$Z$157</f>
        <v>0</v>
      </c>
      <c r="O157" s="56">
        <f>$L$157-EFEITO!$O$157*EFEITO!$AA$157</f>
        <v>0</v>
      </c>
      <c r="P157" s="39"/>
      <c r="Q157" s="39"/>
      <c r="R157" s="39"/>
      <c r="S157" s="39"/>
      <c r="T157" s="39"/>
      <c r="U157" s="39"/>
      <c r="V157" s="39"/>
      <c r="W157" s="3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33</v>
      </c>
      <c r="C158" s="35" t="s">
        <v>41</v>
      </c>
      <c r="D158" s="35" t="s">
        <v>40</v>
      </c>
      <c r="E158" s="35" t="s">
        <v>25</v>
      </c>
      <c r="F158" s="35" t="s">
        <v>25</v>
      </c>
      <c r="G158" s="35" t="s">
        <v>25</v>
      </c>
      <c r="H158" s="35" t="s">
        <v>35</v>
      </c>
      <c r="I158" s="55">
        <v>44470</v>
      </c>
      <c r="J158" s="56">
        <f ca="1">EFEITO!$J$158*EFEITO!$Y$158</f>
        <v>10026.610951411298</v>
      </c>
      <c r="K158" s="56">
        <f ca="1">EFEITO!$L$158*EFEITO!$Z$158</f>
        <v>20753.838884131932</v>
      </c>
      <c r="L158" s="56">
        <f>EFEITO!$N$158*EFEITO!$AA$158</f>
        <v>48329.527300795104</v>
      </c>
      <c r="M158" s="56">
        <f ca="1">$J$158-EFEITO!$K$158*EFEITO!$Y$158</f>
        <v>0</v>
      </c>
      <c r="N158" s="56">
        <f ca="1">$K$158-EFEITO!$M$158*EFEITO!$Z$158</f>
        <v>0</v>
      </c>
      <c r="O158" s="56">
        <f>$L$158-EFEITO!$O$158*EFEITO!$AA$158</f>
        <v>0</v>
      </c>
      <c r="P158" s="39"/>
      <c r="Q158" s="39"/>
      <c r="R158" s="39"/>
      <c r="S158" s="39"/>
      <c r="T158" s="39"/>
      <c r="U158" s="39"/>
      <c r="V158" s="39"/>
      <c r="W158" s="3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21</v>
      </c>
      <c r="B159" s="35" t="s">
        <v>33</v>
      </c>
      <c r="C159" s="35" t="s">
        <v>41</v>
      </c>
      <c r="D159" s="35" t="s">
        <v>40</v>
      </c>
      <c r="E159" s="35" t="s">
        <v>25</v>
      </c>
      <c r="F159" s="35" t="s">
        <v>25</v>
      </c>
      <c r="G159" s="35" t="s">
        <v>25</v>
      </c>
      <c r="H159" s="35" t="s">
        <v>35</v>
      </c>
      <c r="I159" s="55">
        <v>44470</v>
      </c>
      <c r="J159" s="56">
        <f ca="1">EFEITO!$J$159*EFEITO!$Y$159</f>
        <v>158410.54204947996</v>
      </c>
      <c r="K159" s="56">
        <f ca="1">EFEITO!$L$159*EFEITO!$Z$159</f>
        <v>580158.19645860442</v>
      </c>
      <c r="L159" s="56">
        <f>EFEITO!$N$159*EFEITO!$AA$159</f>
        <v>0</v>
      </c>
      <c r="M159" s="56">
        <f ca="1">$J$159-EFEITO!$K$159*EFEITO!$Y$159</f>
        <v>0</v>
      </c>
      <c r="N159" s="56">
        <f ca="1">$K$159-EFEITO!$M$159*EFEITO!$Z$159</f>
        <v>0</v>
      </c>
      <c r="O159" s="56">
        <f>$L$159-EFEITO!$O$159*EFEITO!$AA$159</f>
        <v>0</v>
      </c>
      <c r="P159" s="39"/>
      <c r="Q159" s="39"/>
      <c r="R159" s="39"/>
      <c r="S159" s="39"/>
      <c r="T159" s="39"/>
      <c r="U159" s="39"/>
      <c r="V159" s="39"/>
      <c r="W159" s="3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33</v>
      </c>
      <c r="C160" s="35" t="s">
        <v>41</v>
      </c>
      <c r="D160" s="35" t="s">
        <v>40</v>
      </c>
      <c r="E160" s="35" t="s">
        <v>25</v>
      </c>
      <c r="F160" s="35" t="s">
        <v>25</v>
      </c>
      <c r="G160" s="35" t="s">
        <v>25</v>
      </c>
      <c r="H160" s="35" t="s">
        <v>35</v>
      </c>
      <c r="I160" s="55">
        <v>44501</v>
      </c>
      <c r="J160" s="56">
        <f ca="1">EFEITO!$J$160*EFEITO!$Y$160</f>
        <v>10224.830607781867</v>
      </c>
      <c r="K160" s="56">
        <f ca="1">EFEITO!$L$160*EFEITO!$Z$160</f>
        <v>17015.180095149146</v>
      </c>
      <c r="L160" s="56">
        <f>EFEITO!$N$160*EFEITO!$AA$160</f>
        <v>39623.301285488989</v>
      </c>
      <c r="M160" s="56">
        <f ca="1">$J$160-EFEITO!$K$160*EFEITO!$Y$160</f>
        <v>0</v>
      </c>
      <c r="N160" s="56">
        <f ca="1">$K$160-EFEITO!$M$160*EFEITO!$Z$160</f>
        <v>0</v>
      </c>
      <c r="O160" s="56">
        <f>$L$160-EFEITO!$O$160*EFEITO!$AA$160</f>
        <v>0</v>
      </c>
      <c r="P160" s="39"/>
      <c r="Q160" s="39"/>
      <c r="R160" s="39"/>
      <c r="S160" s="39"/>
      <c r="T160" s="39"/>
      <c r="U160" s="39"/>
      <c r="V160" s="39"/>
      <c r="W160" s="3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21</v>
      </c>
      <c r="B161" s="35" t="s">
        <v>33</v>
      </c>
      <c r="C161" s="35" t="s">
        <v>41</v>
      </c>
      <c r="D161" s="35" t="s">
        <v>40</v>
      </c>
      <c r="E161" s="35" t="s">
        <v>25</v>
      </c>
      <c r="F161" s="35" t="s">
        <v>25</v>
      </c>
      <c r="G161" s="35" t="s">
        <v>25</v>
      </c>
      <c r="H161" s="35" t="s">
        <v>35</v>
      </c>
      <c r="I161" s="55">
        <v>44501</v>
      </c>
      <c r="J161" s="56">
        <f ca="1">EFEITO!$J$161*EFEITO!$Y$161</f>
        <v>158972.16440919659</v>
      </c>
      <c r="K161" s="56">
        <f ca="1">EFEITO!$L$161*EFEITO!$Z$161</f>
        <v>593617.36809894245</v>
      </c>
      <c r="L161" s="56">
        <f>EFEITO!$N$161*EFEITO!$AA$161</f>
        <v>0</v>
      </c>
      <c r="M161" s="56">
        <f ca="1">$J$161-EFEITO!$K$161*EFEITO!$Y$161</f>
        <v>0</v>
      </c>
      <c r="N161" s="56">
        <f ca="1">$K$161-EFEITO!$M$161*EFEITO!$Z$161</f>
        <v>0</v>
      </c>
      <c r="O161" s="56">
        <f>$L$161-EFEITO!$O$161*EFEITO!$AA$161</f>
        <v>0</v>
      </c>
      <c r="P161" s="39"/>
      <c r="Q161" s="39"/>
      <c r="R161" s="39"/>
      <c r="S161" s="39"/>
      <c r="T161" s="39"/>
      <c r="U161" s="39"/>
      <c r="V161" s="39"/>
      <c r="W161" s="3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33</v>
      </c>
      <c r="C162" s="35" t="s">
        <v>41</v>
      </c>
      <c r="D162" s="35" t="s">
        <v>40</v>
      </c>
      <c r="E162" s="35" t="s">
        <v>25</v>
      </c>
      <c r="F162" s="35" t="s">
        <v>25</v>
      </c>
      <c r="G162" s="35" t="s">
        <v>25</v>
      </c>
      <c r="H162" s="35" t="s">
        <v>35</v>
      </c>
      <c r="I162" s="55">
        <v>44531</v>
      </c>
      <c r="J162" s="56">
        <f ca="1">EFEITO!$J$162*EFEITO!$Y$162</f>
        <v>10175.275693689224</v>
      </c>
      <c r="K162" s="56">
        <f ca="1">EFEITO!$L$162*EFEITO!$Z$162</f>
        <v>16229.961636612117</v>
      </c>
      <c r="L162" s="56">
        <f>EFEITO!$N$162*EFEITO!$AA$162</f>
        <v>37794.760689176997</v>
      </c>
      <c r="M162" s="56">
        <f ca="1">$J$162-EFEITO!$K$162*EFEITO!$Y$162</f>
        <v>0</v>
      </c>
      <c r="N162" s="56">
        <f ca="1">$K$162-EFEITO!$M$162*EFEITO!$Z$162</f>
        <v>0</v>
      </c>
      <c r="O162" s="56">
        <f>$L$162-EFEITO!$O$162*EFEITO!$AA$162</f>
        <v>0</v>
      </c>
      <c r="P162" s="39"/>
      <c r="Q162" s="39"/>
      <c r="R162" s="39"/>
      <c r="S162" s="39"/>
      <c r="T162" s="39"/>
      <c r="U162" s="39"/>
      <c r="V162" s="39"/>
      <c r="W162" s="3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21</v>
      </c>
      <c r="B163" s="35" t="s">
        <v>33</v>
      </c>
      <c r="C163" s="35" t="s">
        <v>41</v>
      </c>
      <c r="D163" s="35" t="s">
        <v>40</v>
      </c>
      <c r="E163" s="35" t="s">
        <v>25</v>
      </c>
      <c r="F163" s="35" t="s">
        <v>25</v>
      </c>
      <c r="G163" s="35" t="s">
        <v>25</v>
      </c>
      <c r="H163" s="35" t="s">
        <v>35</v>
      </c>
      <c r="I163" s="55">
        <v>44531</v>
      </c>
      <c r="J163" s="56">
        <f ca="1">EFEITO!$J$163*EFEITO!$Y$163</f>
        <v>157551.5902052075</v>
      </c>
      <c r="K163" s="56">
        <f ca="1">EFEITO!$L$163*EFEITO!$Z$163</f>
        <v>568152.99711909343</v>
      </c>
      <c r="L163" s="56">
        <f>EFEITO!$N$163*EFEITO!$AA$163</f>
        <v>0</v>
      </c>
      <c r="M163" s="56">
        <f ca="1">$J$163-EFEITO!$K$163*EFEITO!$Y$163</f>
        <v>0</v>
      </c>
      <c r="N163" s="56">
        <f ca="1">$K$163-EFEITO!$M$163*EFEITO!$Z$163</f>
        <v>0</v>
      </c>
      <c r="O163" s="56">
        <f>$L$163-EFEITO!$O$163*EFEITO!$AA$163</f>
        <v>0</v>
      </c>
      <c r="P163" s="39"/>
      <c r="Q163" s="39"/>
      <c r="R163" s="39"/>
      <c r="S163" s="39"/>
      <c r="T163" s="39"/>
      <c r="U163" s="39"/>
      <c r="V163" s="39"/>
      <c r="W163" s="3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33</v>
      </c>
      <c r="C164" s="35" t="s">
        <v>41</v>
      </c>
      <c r="D164" s="35" t="s">
        <v>40</v>
      </c>
      <c r="E164" s="35" t="s">
        <v>25</v>
      </c>
      <c r="F164" s="35" t="s">
        <v>25</v>
      </c>
      <c r="G164" s="35" t="s">
        <v>25</v>
      </c>
      <c r="H164" s="35" t="s">
        <v>35</v>
      </c>
      <c r="I164" s="55">
        <v>44562</v>
      </c>
      <c r="J164" s="56">
        <f ca="1">EFEITO!$J$164*EFEITO!$Y$164</f>
        <v>10158.757388991677</v>
      </c>
      <c r="K164" s="56">
        <f ca="1">EFEITO!$L$164*EFEITO!$Z$164</f>
        <v>17177.14044018809</v>
      </c>
      <c r="L164" s="56">
        <f>EFEITO!$N$164*EFEITO!$AA$164</f>
        <v>40000.458830216317</v>
      </c>
      <c r="M164" s="56">
        <f ca="1">$J$164-EFEITO!$K$164*EFEITO!$Y$164</f>
        <v>0</v>
      </c>
      <c r="N164" s="56">
        <f ca="1">$K$164-EFEITO!$M$164*EFEITO!$Z$164</f>
        <v>0</v>
      </c>
      <c r="O164" s="56">
        <f>$L$164-EFEITO!$O$164*EFEITO!$AA$164</f>
        <v>0</v>
      </c>
      <c r="P164" s="39"/>
      <c r="Q164" s="39"/>
      <c r="R164" s="39"/>
      <c r="S164" s="39"/>
      <c r="T164" s="39"/>
      <c r="U164" s="39"/>
      <c r="V164" s="39"/>
      <c r="W164" s="3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21</v>
      </c>
      <c r="B165" s="35" t="s">
        <v>33</v>
      </c>
      <c r="C165" s="35" t="s">
        <v>41</v>
      </c>
      <c r="D165" s="35" t="s">
        <v>40</v>
      </c>
      <c r="E165" s="35" t="s">
        <v>25</v>
      </c>
      <c r="F165" s="35" t="s">
        <v>25</v>
      </c>
      <c r="G165" s="35" t="s">
        <v>25</v>
      </c>
      <c r="H165" s="35" t="s">
        <v>35</v>
      </c>
      <c r="I165" s="55">
        <v>44562</v>
      </c>
      <c r="J165" s="56">
        <f ca="1">EFEITO!$J$165*EFEITO!$Y$165</f>
        <v>156411.82718107675</v>
      </c>
      <c r="K165" s="56">
        <f ca="1">EFEITO!$L$165*EFEITO!$Z$165</f>
        <v>563542.46663751779</v>
      </c>
      <c r="L165" s="56">
        <f>EFEITO!$N$165*EFEITO!$AA$165</f>
        <v>0</v>
      </c>
      <c r="M165" s="56">
        <f ca="1">$J$165-EFEITO!$K$165*EFEITO!$Y$165</f>
        <v>0</v>
      </c>
      <c r="N165" s="56">
        <f ca="1">$K$165-EFEITO!$M$165*EFEITO!$Z$165</f>
        <v>0</v>
      </c>
      <c r="O165" s="56">
        <f>$L$165-EFEITO!$O$165*EFEITO!$AA$165</f>
        <v>0</v>
      </c>
      <c r="P165" s="39"/>
      <c r="Q165" s="39"/>
      <c r="R165" s="39"/>
      <c r="S165" s="39"/>
      <c r="T165" s="39"/>
      <c r="U165" s="39"/>
      <c r="V165" s="39"/>
      <c r="W165" s="3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21</v>
      </c>
      <c r="B166" s="35" t="s">
        <v>33</v>
      </c>
      <c r="C166" s="35" t="s">
        <v>41</v>
      </c>
      <c r="D166" s="35" t="s">
        <v>40</v>
      </c>
      <c r="E166" s="35" t="s">
        <v>25</v>
      </c>
      <c r="F166" s="35" t="s">
        <v>25</v>
      </c>
      <c r="G166" s="35" t="s">
        <v>25</v>
      </c>
      <c r="H166" s="35" t="s">
        <v>35</v>
      </c>
      <c r="I166" s="55">
        <v>44593</v>
      </c>
      <c r="J166" s="56">
        <f ca="1">EFEITO!$J$166*EFEITO!$Y$166</f>
        <v>1916.1233449155034</v>
      </c>
      <c r="K166" s="56">
        <f ca="1">EFEITO!$L$166*EFEITO!$Z$166</f>
        <v>4265.5860928629236</v>
      </c>
      <c r="L166" s="56">
        <f>EFEITO!$N$166*EFEITO!$AA$166</f>
        <v>9933.2832195460778</v>
      </c>
      <c r="M166" s="56">
        <f ca="1">$J$166-EFEITO!$K$166*EFEITO!$Y$166</f>
        <v>0</v>
      </c>
      <c r="N166" s="56">
        <f ca="1">$K$166-EFEITO!$M$166*EFEITO!$Z$166</f>
        <v>0</v>
      </c>
      <c r="O166" s="56">
        <f>$L$166-EFEITO!$O$166*EFEITO!$AA$166</f>
        <v>0</v>
      </c>
      <c r="P166" s="39"/>
      <c r="Q166" s="39"/>
      <c r="R166" s="39"/>
      <c r="S166" s="39"/>
      <c r="T166" s="39"/>
      <c r="U166" s="39"/>
      <c r="V166" s="39"/>
      <c r="W166" s="3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21</v>
      </c>
      <c r="B167" s="35" t="s">
        <v>33</v>
      </c>
      <c r="C167" s="35" t="s">
        <v>41</v>
      </c>
      <c r="D167" s="35" t="s">
        <v>40</v>
      </c>
      <c r="E167" s="35" t="s">
        <v>25</v>
      </c>
      <c r="F167" s="35" t="s">
        <v>25</v>
      </c>
      <c r="G167" s="35" t="s">
        <v>25</v>
      </c>
      <c r="H167" s="35" t="s">
        <v>35</v>
      </c>
      <c r="I167" s="55">
        <v>44593</v>
      </c>
      <c r="J167" s="56">
        <f ca="1">EFEITO!$J$167*EFEITO!$Y$167</f>
        <v>156989.9678454909</v>
      </c>
      <c r="K167" s="56">
        <f ca="1">EFEITO!$L$167*EFEITO!$Z$167</f>
        <v>587946.30881956371</v>
      </c>
      <c r="L167" s="56">
        <f>EFEITO!$N$167*EFEITO!$AA$167</f>
        <v>0</v>
      </c>
      <c r="M167" s="56">
        <f ca="1">$J$167-EFEITO!$K$167*EFEITO!$Y$167</f>
        <v>0</v>
      </c>
      <c r="N167" s="56">
        <f ca="1">$K$167-EFEITO!$M$167*EFEITO!$Z$167</f>
        <v>0</v>
      </c>
      <c r="O167" s="56">
        <f>$L$167-EFEITO!$O$167*EFEITO!$AA$167</f>
        <v>0</v>
      </c>
      <c r="P167" s="39"/>
      <c r="Q167" s="39"/>
      <c r="R167" s="39"/>
      <c r="S167" s="39"/>
      <c r="T167" s="39"/>
      <c r="U167" s="39"/>
      <c r="V167" s="39"/>
      <c r="W167" s="3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21</v>
      </c>
      <c r="B168" s="35" t="s">
        <v>33</v>
      </c>
      <c r="C168" s="35" t="s">
        <v>41</v>
      </c>
      <c r="D168" s="35" t="s">
        <v>40</v>
      </c>
      <c r="E168" s="35" t="s">
        <v>25</v>
      </c>
      <c r="F168" s="35" t="s">
        <v>25</v>
      </c>
      <c r="G168" s="35" t="s">
        <v>25</v>
      </c>
      <c r="H168" s="35" t="s">
        <v>35</v>
      </c>
      <c r="I168" s="55">
        <v>44621</v>
      </c>
      <c r="J168" s="56">
        <f ca="1">EFEITO!$J$168*EFEITO!$Y$168</f>
        <v>1883.0867355204084</v>
      </c>
      <c r="K168" s="56">
        <f ca="1">EFEITO!$L$168*EFEITO!$Z$168</f>
        <v>4467.7028146594639</v>
      </c>
      <c r="L168" s="56">
        <f>EFEITO!$N$168*EFEITO!$AA$168</f>
        <v>10403.953040129571</v>
      </c>
      <c r="M168" s="56">
        <f ca="1">$J$168-EFEITO!$K$168*EFEITO!$Y$168</f>
        <v>0</v>
      </c>
      <c r="N168" s="56">
        <f ca="1">$K$168-EFEITO!$M$168*EFEITO!$Z$168</f>
        <v>0</v>
      </c>
      <c r="O168" s="56">
        <f>$L$168-EFEITO!$O$168*EFEITO!$AA$168</f>
        <v>0</v>
      </c>
      <c r="P168" s="39"/>
      <c r="Q168" s="39"/>
      <c r="R168" s="39"/>
      <c r="S168" s="39"/>
      <c r="T168" s="39"/>
      <c r="U168" s="39"/>
      <c r="V168" s="39"/>
      <c r="W168" s="3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21</v>
      </c>
      <c r="B169" s="35" t="s">
        <v>33</v>
      </c>
      <c r="C169" s="35" t="s">
        <v>41</v>
      </c>
      <c r="D169" s="35" t="s">
        <v>40</v>
      </c>
      <c r="E169" s="35" t="s">
        <v>25</v>
      </c>
      <c r="F169" s="35" t="s">
        <v>25</v>
      </c>
      <c r="G169" s="35" t="s">
        <v>25</v>
      </c>
      <c r="H169" s="35" t="s">
        <v>35</v>
      </c>
      <c r="I169" s="55">
        <v>44621</v>
      </c>
      <c r="J169" s="56">
        <f ca="1">EFEITO!$J$169*EFEITO!$Y$169</f>
        <v>156411.82718107675</v>
      </c>
      <c r="K169" s="56">
        <f ca="1">EFEITO!$L$169*EFEITO!$Z$169</f>
        <v>517198.22581822833</v>
      </c>
      <c r="L169" s="56">
        <f>EFEITO!$N$169*EFEITO!$AA$169</f>
        <v>0</v>
      </c>
      <c r="M169" s="56">
        <f ca="1">$J$169-EFEITO!$K$169*EFEITO!$Y$169</f>
        <v>0</v>
      </c>
      <c r="N169" s="56">
        <f ca="1">$K$169-EFEITO!$M$169*EFEITO!$Z$169</f>
        <v>0</v>
      </c>
      <c r="O169" s="56">
        <f>$L$169-EFEITO!$O$169*EFEITO!$AA$169</f>
        <v>0</v>
      </c>
      <c r="P169" s="39"/>
      <c r="Q169" s="39"/>
      <c r="R169" s="39"/>
      <c r="S169" s="39"/>
      <c r="T169" s="39"/>
      <c r="U169" s="39"/>
      <c r="V169" s="39"/>
      <c r="W169" s="3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21</v>
      </c>
      <c r="B170" s="35" t="s">
        <v>33</v>
      </c>
      <c r="C170" s="35" t="s">
        <v>41</v>
      </c>
      <c r="D170" s="35" t="s">
        <v>40</v>
      </c>
      <c r="E170" s="35" t="s">
        <v>25</v>
      </c>
      <c r="F170" s="35" t="s">
        <v>25</v>
      </c>
      <c r="G170" s="35" t="s">
        <v>25</v>
      </c>
      <c r="H170" s="35" t="s">
        <v>35</v>
      </c>
      <c r="I170" s="55">
        <v>44652</v>
      </c>
      <c r="J170" s="56">
        <f ca="1">EFEITO!$J$170*EFEITO!$Y$170</f>
        <v>1767.4586026375764</v>
      </c>
      <c r="K170" s="56">
        <f ca="1">EFEITO!$L$170*EFEITO!$Z$170</f>
        <v>4126.3179939695456</v>
      </c>
      <c r="L170" s="56">
        <f>EFEITO!$N$170*EFEITO!$AA$170</f>
        <v>9608.9691769646051</v>
      </c>
      <c r="M170" s="56">
        <f ca="1">$J$170-EFEITO!$K$170*EFEITO!$Y$170</f>
        <v>0</v>
      </c>
      <c r="N170" s="56">
        <f ca="1">$K$170-EFEITO!$M$170*EFEITO!$Z$170</f>
        <v>0</v>
      </c>
      <c r="O170" s="56">
        <f>$L$170-EFEITO!$O$170*EFEITO!$AA$170</f>
        <v>0</v>
      </c>
      <c r="P170" s="39"/>
      <c r="Q170" s="39"/>
      <c r="R170" s="39"/>
      <c r="S170" s="39"/>
      <c r="T170" s="39"/>
      <c r="U170" s="39"/>
      <c r="V170" s="39"/>
      <c r="W170" s="3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21</v>
      </c>
      <c r="B171" s="35" t="s">
        <v>33</v>
      </c>
      <c r="C171" s="35" t="s">
        <v>41</v>
      </c>
      <c r="D171" s="35" t="s">
        <v>40</v>
      </c>
      <c r="E171" s="35" t="s">
        <v>25</v>
      </c>
      <c r="F171" s="35" t="s">
        <v>25</v>
      </c>
      <c r="G171" s="35" t="s">
        <v>25</v>
      </c>
      <c r="H171" s="35" t="s">
        <v>35</v>
      </c>
      <c r="I171" s="55">
        <v>44652</v>
      </c>
      <c r="J171" s="56">
        <f ca="1">EFEITO!$J$171*EFEITO!$Y$171</f>
        <v>161549.01994201398</v>
      </c>
      <c r="K171" s="56">
        <f ca="1">EFEITO!$L$171*EFEITO!$Z$171</f>
        <v>585459.61684611219</v>
      </c>
      <c r="L171" s="56">
        <f>EFEITO!$N$171*EFEITO!$AA$171</f>
        <v>0</v>
      </c>
      <c r="M171" s="56">
        <f ca="1">$J$171-EFEITO!$K$171*EFEITO!$Y$171</f>
        <v>0</v>
      </c>
      <c r="N171" s="56">
        <f ca="1">$K$171-EFEITO!$M$171*EFEITO!$Z$171</f>
        <v>0</v>
      </c>
      <c r="O171" s="56">
        <f>$L$171-EFEITO!$O$171*EFEITO!$AA$171</f>
        <v>0</v>
      </c>
      <c r="P171" s="39"/>
      <c r="Q171" s="39"/>
      <c r="R171" s="39"/>
      <c r="S171" s="39"/>
      <c r="T171" s="39"/>
      <c r="U171" s="39"/>
      <c r="V171" s="39"/>
      <c r="W171" s="3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21</v>
      </c>
      <c r="B172" s="35" t="s">
        <v>33</v>
      </c>
      <c r="C172" s="35" t="s">
        <v>41</v>
      </c>
      <c r="D172" s="35" t="s">
        <v>40</v>
      </c>
      <c r="E172" s="35" t="s">
        <v>25</v>
      </c>
      <c r="F172" s="35" t="s">
        <v>25</v>
      </c>
      <c r="G172" s="35" t="s">
        <v>25</v>
      </c>
      <c r="H172" s="35" t="s">
        <v>35</v>
      </c>
      <c r="I172" s="55">
        <v>44682</v>
      </c>
      <c r="J172" s="56">
        <f ca="1">EFEITO!$J$172*EFEITO!$Y$172</f>
        <v>1767.4586026375764</v>
      </c>
      <c r="K172" s="56">
        <f ca="1">EFEITO!$L$172*EFEITO!$Z$172</f>
        <v>4219.5341815675092</v>
      </c>
      <c r="L172" s="56">
        <f>EFEITO!$N$172*EFEITO!$AA$172</f>
        <v>9826.0419946030033</v>
      </c>
      <c r="M172" s="56">
        <f ca="1">$J$172-EFEITO!$K$172*EFEITO!$Y$172</f>
        <v>0</v>
      </c>
      <c r="N172" s="56">
        <f ca="1">$K$172-EFEITO!$M$172*EFEITO!$Z$172</f>
        <v>0</v>
      </c>
      <c r="O172" s="56">
        <f>$L$172-EFEITO!$O$172*EFEITO!$AA$172</f>
        <v>0</v>
      </c>
      <c r="P172" s="39"/>
      <c r="Q172" s="39"/>
      <c r="R172" s="39"/>
      <c r="S172" s="39"/>
      <c r="T172" s="39"/>
      <c r="U172" s="39"/>
      <c r="V172" s="39"/>
      <c r="W172" s="3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21</v>
      </c>
      <c r="B173" s="35" t="s">
        <v>33</v>
      </c>
      <c r="C173" s="35" t="s">
        <v>41</v>
      </c>
      <c r="D173" s="35" t="s">
        <v>40</v>
      </c>
      <c r="E173" s="35" t="s">
        <v>25</v>
      </c>
      <c r="F173" s="35" t="s">
        <v>25</v>
      </c>
      <c r="G173" s="35" t="s">
        <v>25</v>
      </c>
      <c r="H173" s="35" t="s">
        <v>35</v>
      </c>
      <c r="I173" s="55">
        <v>44682</v>
      </c>
      <c r="J173" s="56">
        <f ca="1">EFEITO!$J$173*EFEITO!$Y$173</f>
        <v>155272.06415694597</v>
      </c>
      <c r="K173" s="56">
        <f ca="1">EFEITO!$L$173*EFEITO!$Z$173</f>
        <v>521461.36470807553</v>
      </c>
      <c r="L173" s="56">
        <f>EFEITO!$N$173*EFEITO!$AA$173</f>
        <v>0</v>
      </c>
      <c r="M173" s="56">
        <f ca="1">$J$173-EFEITO!$K$173*EFEITO!$Y$173</f>
        <v>0</v>
      </c>
      <c r="N173" s="56">
        <f ca="1">$K$173-EFEITO!$M$173*EFEITO!$Z$173</f>
        <v>0</v>
      </c>
      <c r="O173" s="56">
        <f>$L$173-EFEITO!$O$173*EFEITO!$AA$173</f>
        <v>0</v>
      </c>
      <c r="P173" s="39"/>
      <c r="Q173" s="39"/>
      <c r="R173" s="39"/>
      <c r="S173" s="39"/>
      <c r="T173" s="39"/>
      <c r="U173" s="39"/>
      <c r="V173" s="39"/>
      <c r="W173" s="3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21</v>
      </c>
      <c r="B174" s="35" t="s">
        <v>33</v>
      </c>
      <c r="C174" s="35" t="s">
        <v>41</v>
      </c>
      <c r="D174" s="35" t="s">
        <v>40</v>
      </c>
      <c r="E174" s="35" t="s">
        <v>25</v>
      </c>
      <c r="F174" s="35" t="s">
        <v>25</v>
      </c>
      <c r="G174" s="35" t="s">
        <v>25</v>
      </c>
      <c r="H174" s="35" t="s">
        <v>37</v>
      </c>
      <c r="I174" s="55">
        <v>44348</v>
      </c>
      <c r="J174" s="56">
        <f ca="1">EFEITO!$J$174*EFEITO!$Y$174</f>
        <v>20321.425249900178</v>
      </c>
      <c r="K174" s="56">
        <f ca="1">EFEITO!$L$174*EFEITO!$Z$174</f>
        <v>2419.5051270206654</v>
      </c>
      <c r="L174" s="56">
        <f>EFEITO!$N$174*EFEITO!$AA$174</f>
        <v>9027.8502229833248</v>
      </c>
      <c r="M174" s="56">
        <f ca="1">$J$174-EFEITO!$K$174*EFEITO!$Y$174</f>
        <v>0</v>
      </c>
      <c r="N174" s="56">
        <f ca="1">$K$174-EFEITO!$M$174*EFEITO!$Z$174</f>
        <v>0</v>
      </c>
      <c r="O174" s="56">
        <f>$L$174-EFEITO!$O$174*EFEITO!$AA$174</f>
        <v>0</v>
      </c>
      <c r="P174" s="39"/>
      <c r="Q174" s="39"/>
      <c r="R174" s="39"/>
      <c r="S174" s="39"/>
      <c r="T174" s="39"/>
      <c r="U174" s="39"/>
      <c r="V174" s="39"/>
      <c r="W174" s="3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21</v>
      </c>
      <c r="B175" s="35" t="s">
        <v>33</v>
      </c>
      <c r="C175" s="35" t="s">
        <v>41</v>
      </c>
      <c r="D175" s="35" t="s">
        <v>40</v>
      </c>
      <c r="E175" s="35" t="s">
        <v>25</v>
      </c>
      <c r="F175" s="35" t="s">
        <v>25</v>
      </c>
      <c r="G175" s="35" t="s">
        <v>25</v>
      </c>
      <c r="H175" s="35" t="s">
        <v>37</v>
      </c>
      <c r="I175" s="55">
        <v>44348</v>
      </c>
      <c r="J175" s="56">
        <f ca="1">EFEITO!$J$175*EFEITO!$Y$175</f>
        <v>364470.48918975453</v>
      </c>
      <c r="K175" s="56">
        <f ca="1">EFEITO!$L$175*EFEITO!$Z$175</f>
        <v>53059.810840368598</v>
      </c>
      <c r="L175" s="56">
        <f>EFEITO!$N$175*EFEITO!$AA$175</f>
        <v>0</v>
      </c>
      <c r="M175" s="56">
        <f ca="1">$J$175-EFEITO!$K$175*EFEITO!$Y$175</f>
        <v>0</v>
      </c>
      <c r="N175" s="56">
        <f ca="1">$K$175-EFEITO!$M$175*EFEITO!$Z$175</f>
        <v>0</v>
      </c>
      <c r="O175" s="56">
        <f>$L$175-EFEITO!$O$175*EFEITO!$AA$175</f>
        <v>0</v>
      </c>
      <c r="P175" s="39"/>
      <c r="Q175" s="39"/>
      <c r="R175" s="39"/>
      <c r="S175" s="39"/>
      <c r="T175" s="39"/>
      <c r="U175" s="39"/>
      <c r="V175" s="39"/>
      <c r="W175" s="3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21</v>
      </c>
      <c r="B176" s="35" t="s">
        <v>33</v>
      </c>
      <c r="C176" s="35" t="s">
        <v>41</v>
      </c>
      <c r="D176" s="35" t="s">
        <v>40</v>
      </c>
      <c r="E176" s="35" t="s">
        <v>25</v>
      </c>
      <c r="F176" s="35" t="s">
        <v>25</v>
      </c>
      <c r="G176" s="35" t="s">
        <v>25</v>
      </c>
      <c r="H176" s="35" t="s">
        <v>37</v>
      </c>
      <c r="I176" s="55">
        <v>44378</v>
      </c>
      <c r="J176" s="56">
        <f ca="1">EFEITO!$J$176*EFEITO!$Y$176</f>
        <v>20194.151187792242</v>
      </c>
      <c r="K176" s="56">
        <f ca="1">EFEITO!$L$176*EFEITO!$Z$176</f>
        <v>2511.4977131107803</v>
      </c>
      <c r="L176" s="56">
        <f>EFEITO!$N$176*EFEITO!$AA$176</f>
        <v>9371.1002866313047</v>
      </c>
      <c r="M176" s="56">
        <f ca="1">$J$176-EFEITO!$K$176*EFEITO!$Y$176</f>
        <v>0</v>
      </c>
      <c r="N176" s="56">
        <f ca="1">$K$176-EFEITO!$M$176*EFEITO!$Z$176</f>
        <v>0</v>
      </c>
      <c r="O176" s="56">
        <f>$L$176-EFEITO!$O$176*EFEITO!$AA$176</f>
        <v>0</v>
      </c>
      <c r="P176" s="39"/>
      <c r="Q176" s="39"/>
      <c r="R176" s="39"/>
      <c r="S176" s="39"/>
      <c r="T176" s="39"/>
      <c r="U176" s="39"/>
      <c r="V176" s="39"/>
      <c r="W176" s="3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21</v>
      </c>
      <c r="B177" s="35" t="s">
        <v>33</v>
      </c>
      <c r="C177" s="35" t="s">
        <v>41</v>
      </c>
      <c r="D177" s="35" t="s">
        <v>40</v>
      </c>
      <c r="E177" s="35" t="s">
        <v>25</v>
      </c>
      <c r="F177" s="35" t="s">
        <v>25</v>
      </c>
      <c r="G177" s="35" t="s">
        <v>25</v>
      </c>
      <c r="H177" s="35" t="s">
        <v>37</v>
      </c>
      <c r="I177" s="55">
        <v>44378</v>
      </c>
      <c r="J177" s="56">
        <f ca="1">EFEITO!$J$177*EFEITO!$Y$177</f>
        <v>364597.76325186249</v>
      </c>
      <c r="K177" s="56">
        <f ca="1">EFEITO!$L$177*EFEITO!$Z$177</f>
        <v>56389.341779726907</v>
      </c>
      <c r="L177" s="56">
        <f>EFEITO!$N$177*EFEITO!$AA$177</f>
        <v>0</v>
      </c>
      <c r="M177" s="56">
        <f ca="1">$J$177-EFEITO!$K$177*EFEITO!$Y$177</f>
        <v>0</v>
      </c>
      <c r="N177" s="56">
        <f ca="1">$K$177-EFEITO!$M$177*EFEITO!$Z$177</f>
        <v>0</v>
      </c>
      <c r="O177" s="56">
        <f>$L$177-EFEITO!$O$177*EFEITO!$AA$177</f>
        <v>0</v>
      </c>
      <c r="P177" s="39"/>
      <c r="Q177" s="39"/>
      <c r="R177" s="39"/>
      <c r="S177" s="39"/>
      <c r="T177" s="39"/>
      <c r="U177" s="39"/>
      <c r="V177" s="39"/>
      <c r="W177" s="3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21</v>
      </c>
      <c r="B178" s="35" t="s">
        <v>33</v>
      </c>
      <c r="C178" s="35" t="s">
        <v>41</v>
      </c>
      <c r="D178" s="35" t="s">
        <v>40</v>
      </c>
      <c r="E178" s="35" t="s">
        <v>25</v>
      </c>
      <c r="F178" s="35" t="s">
        <v>25</v>
      </c>
      <c r="G178" s="35" t="s">
        <v>25</v>
      </c>
      <c r="H178" s="35" t="s">
        <v>37</v>
      </c>
      <c r="I178" s="55">
        <v>44409</v>
      </c>
      <c r="J178" s="56">
        <f ca="1">EFEITO!$J$178*EFEITO!$Y$178</f>
        <v>20406.274624638801</v>
      </c>
      <c r="K178" s="56">
        <f ca="1">EFEITO!$L$178*EFEITO!$Z$178</f>
        <v>2338.9699005040475</v>
      </c>
      <c r="L178" s="56">
        <f>EFEITO!$N$178*EFEITO!$AA$178</f>
        <v>8727.3507718574037</v>
      </c>
      <c r="M178" s="56">
        <f ca="1">$J$178-EFEITO!$K$178*EFEITO!$Y$178</f>
        <v>0</v>
      </c>
      <c r="N178" s="56">
        <f ca="1">$K$178-EFEITO!$M$178*EFEITO!$Z$178</f>
        <v>0</v>
      </c>
      <c r="O178" s="56">
        <f>$L$178-EFEITO!$O$178*EFEITO!$AA$178</f>
        <v>0</v>
      </c>
      <c r="P178" s="39"/>
      <c r="Q178" s="39"/>
      <c r="R178" s="39"/>
      <c r="S178" s="39"/>
      <c r="T178" s="39"/>
      <c r="U178" s="39"/>
      <c r="V178" s="39"/>
      <c r="W178" s="3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21</v>
      </c>
      <c r="B179" s="35" t="s">
        <v>33</v>
      </c>
      <c r="C179" s="35" t="s">
        <v>41</v>
      </c>
      <c r="D179" s="35" t="s">
        <v>40</v>
      </c>
      <c r="E179" s="35" t="s">
        <v>25</v>
      </c>
      <c r="F179" s="35" t="s">
        <v>25</v>
      </c>
      <c r="G179" s="35" t="s">
        <v>25</v>
      </c>
      <c r="H179" s="35" t="s">
        <v>37</v>
      </c>
      <c r="I179" s="55">
        <v>44409</v>
      </c>
      <c r="J179" s="56">
        <f ca="1">EFEITO!$J$179*EFEITO!$Y$179</f>
        <v>367397.79261823703</v>
      </c>
      <c r="K179" s="56">
        <f ca="1">EFEITO!$L$179*EFEITO!$Z$179</f>
        <v>54402.880349984131</v>
      </c>
      <c r="L179" s="56">
        <f>EFEITO!$N$179*EFEITO!$AA$179</f>
        <v>0</v>
      </c>
      <c r="M179" s="56">
        <f ca="1">$J$179-EFEITO!$K$179*EFEITO!$Y$179</f>
        <v>0</v>
      </c>
      <c r="N179" s="56">
        <f ca="1">$K$179-EFEITO!$M$179*EFEITO!$Z$179</f>
        <v>0</v>
      </c>
      <c r="O179" s="56">
        <f>$L$179-EFEITO!$O$179*EFEITO!$AA$179</f>
        <v>0</v>
      </c>
      <c r="P179" s="39"/>
      <c r="Q179" s="39"/>
      <c r="R179" s="39"/>
      <c r="S179" s="39"/>
      <c r="T179" s="39"/>
      <c r="U179" s="39"/>
      <c r="V179" s="39"/>
      <c r="W179" s="3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21</v>
      </c>
      <c r="B180" s="35" t="s">
        <v>33</v>
      </c>
      <c r="C180" s="35" t="s">
        <v>41</v>
      </c>
      <c r="D180" s="35" t="s">
        <v>40</v>
      </c>
      <c r="E180" s="35" t="s">
        <v>25</v>
      </c>
      <c r="F180" s="35" t="s">
        <v>25</v>
      </c>
      <c r="G180" s="35" t="s">
        <v>25</v>
      </c>
      <c r="H180" s="35" t="s">
        <v>37</v>
      </c>
      <c r="I180" s="55">
        <v>44440</v>
      </c>
      <c r="J180" s="56">
        <f ca="1">EFEITO!$J$180*EFEITO!$Y$180</f>
        <v>20533.548686746733</v>
      </c>
      <c r="K180" s="56">
        <f ca="1">EFEITO!$L$180*EFEITO!$Z$180</f>
        <v>2130.6239346675475</v>
      </c>
      <c r="L180" s="56">
        <f>EFEITO!$N$180*EFEITO!$AA$180</f>
        <v>7949.9537111407572</v>
      </c>
      <c r="M180" s="56">
        <f ca="1">$J$180-EFEITO!$K$180*EFEITO!$Y$180</f>
        <v>0</v>
      </c>
      <c r="N180" s="56">
        <f ca="1">$K$180-EFEITO!$M$180*EFEITO!$Z$180</f>
        <v>0</v>
      </c>
      <c r="O180" s="56">
        <f>$L$180-EFEITO!$O$180*EFEITO!$AA$180</f>
        <v>0</v>
      </c>
      <c r="P180" s="39"/>
      <c r="Q180" s="39"/>
      <c r="R180" s="39"/>
      <c r="S180" s="39"/>
      <c r="T180" s="39"/>
      <c r="U180" s="39"/>
      <c r="V180" s="39"/>
      <c r="W180" s="3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21</v>
      </c>
      <c r="B181" s="35" t="s">
        <v>33</v>
      </c>
      <c r="C181" s="35" t="s">
        <v>41</v>
      </c>
      <c r="D181" s="35" t="s">
        <v>40</v>
      </c>
      <c r="E181" s="35" t="s">
        <v>25</v>
      </c>
      <c r="F181" s="35" t="s">
        <v>25</v>
      </c>
      <c r="G181" s="35" t="s">
        <v>25</v>
      </c>
      <c r="H181" s="35" t="s">
        <v>37</v>
      </c>
      <c r="I181" s="55">
        <v>44440</v>
      </c>
      <c r="J181" s="56">
        <f ca="1">EFEITO!$J$181*EFEITO!$Y$181</f>
        <v>381822.18632380292</v>
      </c>
      <c r="K181" s="56">
        <f ca="1">EFEITO!$L$181*EFEITO!$Z$181</f>
        <v>56859.09352224027</v>
      </c>
      <c r="L181" s="56">
        <f>EFEITO!$N$181*EFEITO!$AA$181</f>
        <v>0</v>
      </c>
      <c r="M181" s="56">
        <f ca="1">$J$181-EFEITO!$K$181*EFEITO!$Y$181</f>
        <v>0</v>
      </c>
      <c r="N181" s="56">
        <f ca="1">$K$181-EFEITO!$M$181*EFEITO!$Z$181</f>
        <v>0</v>
      </c>
      <c r="O181" s="56">
        <f>$L$181-EFEITO!$O$181*EFEITO!$AA$181</f>
        <v>0</v>
      </c>
      <c r="P181" s="39"/>
      <c r="Q181" s="39"/>
      <c r="R181" s="39"/>
      <c r="S181" s="39"/>
      <c r="T181" s="39"/>
      <c r="U181" s="39"/>
      <c r="V181" s="39"/>
      <c r="W181" s="3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21</v>
      </c>
      <c r="B182" s="35" t="s">
        <v>33</v>
      </c>
      <c r="C182" s="35" t="s">
        <v>41</v>
      </c>
      <c r="D182" s="35" t="s">
        <v>40</v>
      </c>
      <c r="E182" s="35" t="s">
        <v>25</v>
      </c>
      <c r="F182" s="35" t="s">
        <v>25</v>
      </c>
      <c r="G182" s="35" t="s">
        <v>25</v>
      </c>
      <c r="H182" s="35" t="s">
        <v>37</v>
      </c>
      <c r="I182" s="55">
        <v>44470</v>
      </c>
      <c r="J182" s="56">
        <f ca="1">EFEITO!$J$182*EFEITO!$Y$182</f>
        <v>20194.151187792242</v>
      </c>
      <c r="K182" s="56">
        <f ca="1">EFEITO!$L$182*EFEITO!$Z$182</f>
        <v>2191.2478275564381</v>
      </c>
      <c r="L182" s="56">
        <f>EFEITO!$N$182*EFEITO!$AA$182</f>
        <v>8176.1584084662099</v>
      </c>
      <c r="M182" s="56">
        <f ca="1">$J$182-EFEITO!$K$182*EFEITO!$Y$182</f>
        <v>0</v>
      </c>
      <c r="N182" s="56">
        <f ca="1">$K$182-EFEITO!$M$182*EFEITO!$Z$182</f>
        <v>0</v>
      </c>
      <c r="O182" s="56">
        <f>$L$182-EFEITO!$O$182*EFEITO!$AA$182</f>
        <v>0</v>
      </c>
      <c r="P182" s="39"/>
      <c r="Q182" s="39"/>
      <c r="R182" s="39"/>
      <c r="S182" s="39"/>
      <c r="T182" s="39"/>
      <c r="U182" s="39"/>
      <c r="V182" s="39"/>
      <c r="W182" s="3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21</v>
      </c>
      <c r="B183" s="35" t="s">
        <v>33</v>
      </c>
      <c r="C183" s="35" t="s">
        <v>41</v>
      </c>
      <c r="D183" s="35" t="s">
        <v>40</v>
      </c>
      <c r="E183" s="35" t="s">
        <v>25</v>
      </c>
      <c r="F183" s="35" t="s">
        <v>25</v>
      </c>
      <c r="G183" s="35" t="s">
        <v>25</v>
      </c>
      <c r="H183" s="35" t="s">
        <v>37</v>
      </c>
      <c r="I183" s="55">
        <v>44470</v>
      </c>
      <c r="J183" s="56">
        <f ca="1">EFEITO!$J$183*EFEITO!$Y$183</f>
        <v>383561.59850594471</v>
      </c>
      <c r="K183" s="56">
        <f ca="1">EFEITO!$L$183*EFEITO!$Z$183</f>
        <v>58273.243155811782</v>
      </c>
      <c r="L183" s="56">
        <f>EFEITO!$N$183*EFEITO!$AA$183</f>
        <v>0</v>
      </c>
      <c r="M183" s="56">
        <f ca="1">$J$183-EFEITO!$K$183*EFEITO!$Y$183</f>
        <v>0</v>
      </c>
      <c r="N183" s="56">
        <f ca="1">$K$183-EFEITO!$M$183*EFEITO!$Z$183</f>
        <v>0</v>
      </c>
      <c r="O183" s="56">
        <f>$L$183-EFEITO!$O$183*EFEITO!$AA$183</f>
        <v>0</v>
      </c>
      <c r="P183" s="39"/>
      <c r="Q183" s="39"/>
      <c r="R183" s="39"/>
      <c r="S183" s="39"/>
      <c r="T183" s="39"/>
      <c r="U183" s="39"/>
      <c r="V183" s="39"/>
      <c r="W183" s="3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21</v>
      </c>
      <c r="B184" s="35" t="s">
        <v>33</v>
      </c>
      <c r="C184" s="35" t="s">
        <v>41</v>
      </c>
      <c r="D184" s="35" t="s">
        <v>40</v>
      </c>
      <c r="E184" s="35" t="s">
        <v>25</v>
      </c>
      <c r="F184" s="35" t="s">
        <v>25</v>
      </c>
      <c r="G184" s="35" t="s">
        <v>25</v>
      </c>
      <c r="H184" s="35" t="s">
        <v>37</v>
      </c>
      <c r="I184" s="55">
        <v>44501</v>
      </c>
      <c r="J184" s="56">
        <f ca="1">EFEITO!$J$184*EFEITO!$Y$184</f>
        <v>21000.22024780916</v>
      </c>
      <c r="K184" s="56">
        <f ca="1">EFEITO!$L$184*EFEITO!$Z$184</f>
        <v>2554.6574753876421</v>
      </c>
      <c r="L184" s="56">
        <f>EFEITO!$N$184*EFEITO!$AA$184</f>
        <v>9532.1414289474069</v>
      </c>
      <c r="M184" s="56">
        <f ca="1">$J$184-EFEITO!$K$184*EFEITO!$Y$184</f>
        <v>0</v>
      </c>
      <c r="N184" s="56">
        <f ca="1">$K$184-EFEITO!$M$184*EFEITO!$Z$184</f>
        <v>0</v>
      </c>
      <c r="O184" s="56">
        <f>$L$184-EFEITO!$O$184*EFEITO!$AA$184</f>
        <v>0</v>
      </c>
      <c r="P184" s="39"/>
      <c r="Q184" s="39"/>
      <c r="R184" s="39"/>
      <c r="S184" s="39"/>
      <c r="T184" s="39"/>
      <c r="U184" s="39"/>
      <c r="V184" s="39"/>
      <c r="W184" s="3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21</v>
      </c>
      <c r="B185" s="35" t="s">
        <v>33</v>
      </c>
      <c r="C185" s="35" t="s">
        <v>41</v>
      </c>
      <c r="D185" s="35" t="s">
        <v>40</v>
      </c>
      <c r="E185" s="35" t="s">
        <v>25</v>
      </c>
      <c r="F185" s="35" t="s">
        <v>25</v>
      </c>
      <c r="G185" s="35" t="s">
        <v>25</v>
      </c>
      <c r="H185" s="35" t="s">
        <v>37</v>
      </c>
      <c r="I185" s="55">
        <v>44501</v>
      </c>
      <c r="J185" s="56">
        <f ca="1">EFEITO!$J$185*EFEITO!$Y$185</f>
        <v>384282.81819122296</v>
      </c>
      <c r="K185" s="56">
        <f ca="1">EFEITO!$L$185*EFEITO!$Z$185</f>
        <v>54798.659819522982</v>
      </c>
      <c r="L185" s="56">
        <f>EFEITO!$N$185*EFEITO!$AA$185</f>
        <v>0</v>
      </c>
      <c r="M185" s="56">
        <f ca="1">$J$185-EFEITO!$K$185*EFEITO!$Y$185</f>
        <v>0</v>
      </c>
      <c r="N185" s="56">
        <f ca="1">$K$185-EFEITO!$M$185*EFEITO!$Z$185</f>
        <v>0</v>
      </c>
      <c r="O185" s="56">
        <f>$L$185-EFEITO!$O$185*EFEITO!$AA$185</f>
        <v>0</v>
      </c>
      <c r="P185" s="39"/>
      <c r="Q185" s="39"/>
      <c r="R185" s="39"/>
      <c r="S185" s="39"/>
      <c r="T185" s="39"/>
      <c r="U185" s="39"/>
      <c r="V185" s="39"/>
      <c r="W185" s="3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21</v>
      </c>
      <c r="B186" s="35" t="s">
        <v>33</v>
      </c>
      <c r="C186" s="35" t="s">
        <v>41</v>
      </c>
      <c r="D186" s="35" t="s">
        <v>40</v>
      </c>
      <c r="E186" s="35" t="s">
        <v>25</v>
      </c>
      <c r="F186" s="35" t="s">
        <v>25</v>
      </c>
      <c r="G186" s="35" t="s">
        <v>25</v>
      </c>
      <c r="H186" s="35" t="s">
        <v>37</v>
      </c>
      <c r="I186" s="55">
        <v>44531</v>
      </c>
      <c r="J186" s="56">
        <f ca="1">EFEITO!$J$186*EFEITO!$Y$186</f>
        <v>21424.467121502275</v>
      </c>
      <c r="K186" s="56">
        <f ca="1">EFEITO!$L$186*EFEITO!$Z$186</f>
        <v>2010.599750397615</v>
      </c>
      <c r="L186" s="56">
        <f>EFEITO!$N$186*EFEITO!$AA$186</f>
        <v>7502.1099158854122</v>
      </c>
      <c r="M186" s="56">
        <f ca="1">$J$186-EFEITO!$K$186*EFEITO!$Y$186</f>
        <v>0</v>
      </c>
      <c r="N186" s="56">
        <f ca="1">$K$186-EFEITO!$M$186*EFEITO!$Z$186</f>
        <v>0</v>
      </c>
      <c r="O186" s="56">
        <f>$L$186-EFEITO!$O$186*EFEITO!$AA$186</f>
        <v>0</v>
      </c>
      <c r="P186" s="39"/>
      <c r="Q186" s="39"/>
      <c r="R186" s="39"/>
      <c r="S186" s="39"/>
      <c r="T186" s="39"/>
      <c r="U186" s="39"/>
      <c r="V186" s="39"/>
      <c r="W186" s="3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21</v>
      </c>
      <c r="B187" s="35" t="s">
        <v>33</v>
      </c>
      <c r="C187" s="35" t="s">
        <v>41</v>
      </c>
      <c r="D187" s="35" t="s">
        <v>40</v>
      </c>
      <c r="E187" s="35" t="s">
        <v>25</v>
      </c>
      <c r="F187" s="35" t="s">
        <v>25</v>
      </c>
      <c r="G187" s="35" t="s">
        <v>25</v>
      </c>
      <c r="H187" s="35" t="s">
        <v>37</v>
      </c>
      <c r="I187" s="55">
        <v>44531</v>
      </c>
      <c r="J187" s="56">
        <f ca="1">EFEITO!$J$187*EFEITO!$Y$187</f>
        <v>381355.51476274047</v>
      </c>
      <c r="K187" s="56">
        <f ca="1">EFEITO!$L$187*EFEITO!$Z$187</f>
        <v>57138.630848533452</v>
      </c>
      <c r="L187" s="56">
        <f>EFEITO!$N$187*EFEITO!$AA$187</f>
        <v>0</v>
      </c>
      <c r="M187" s="56">
        <f ca="1">$J$187-EFEITO!$K$187*EFEITO!$Y$187</f>
        <v>0</v>
      </c>
      <c r="N187" s="56">
        <f ca="1">$K$187-EFEITO!$M$187*EFEITO!$Z$187</f>
        <v>0</v>
      </c>
      <c r="O187" s="56">
        <f>$L$187-EFEITO!$O$187*EFEITO!$AA$187</f>
        <v>0</v>
      </c>
      <c r="P187" s="39"/>
      <c r="Q187" s="39"/>
      <c r="R187" s="39"/>
      <c r="S187" s="39"/>
      <c r="T187" s="39"/>
      <c r="U187" s="39"/>
      <c r="V187" s="39"/>
      <c r="W187" s="3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21</v>
      </c>
      <c r="B188" s="35" t="s">
        <v>33</v>
      </c>
      <c r="C188" s="35" t="s">
        <v>41</v>
      </c>
      <c r="D188" s="35" t="s">
        <v>40</v>
      </c>
      <c r="E188" s="35" t="s">
        <v>25</v>
      </c>
      <c r="F188" s="35" t="s">
        <v>25</v>
      </c>
      <c r="G188" s="35" t="s">
        <v>25</v>
      </c>
      <c r="H188" s="35" t="s">
        <v>37</v>
      </c>
      <c r="I188" s="55">
        <v>44562</v>
      </c>
      <c r="J188" s="56">
        <f ca="1">EFEITO!$J$188*EFEITO!$Y$188</f>
        <v>20703.247436223981</v>
      </c>
      <c r="K188" s="56">
        <f ca="1">EFEITO!$L$188*EFEITO!$Z$188</f>
        <v>2046.862849630236</v>
      </c>
      <c r="L188" s="56">
        <f>EFEITO!$N$188*EFEITO!$AA$188</f>
        <v>7637.4176797901782</v>
      </c>
      <c r="M188" s="56">
        <f ca="1">$J$188-EFEITO!$K$188*EFEITO!$Y$188</f>
        <v>0</v>
      </c>
      <c r="N188" s="56">
        <f ca="1">$K$188-EFEITO!$M$188*EFEITO!$Z$188</f>
        <v>0</v>
      </c>
      <c r="O188" s="56">
        <f>$L$188-EFEITO!$O$188*EFEITO!$AA$188</f>
        <v>0</v>
      </c>
      <c r="P188" s="39"/>
      <c r="Q188" s="39"/>
      <c r="R188" s="39"/>
      <c r="S188" s="39"/>
      <c r="T188" s="39"/>
      <c r="U188" s="39"/>
      <c r="V188" s="39"/>
      <c r="W188" s="3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21</v>
      </c>
      <c r="B189" s="35" t="s">
        <v>33</v>
      </c>
      <c r="C189" s="35" t="s">
        <v>41</v>
      </c>
      <c r="D189" s="35" t="s">
        <v>40</v>
      </c>
      <c r="E189" s="35" t="s">
        <v>25</v>
      </c>
      <c r="F189" s="35" t="s">
        <v>25</v>
      </c>
      <c r="G189" s="35" t="s">
        <v>25</v>
      </c>
      <c r="H189" s="35" t="s">
        <v>37</v>
      </c>
      <c r="I189" s="55">
        <v>44562</v>
      </c>
      <c r="J189" s="56">
        <f ca="1">EFEITO!$J$189*EFEITO!$Y$189</f>
        <v>385004.03787650127</v>
      </c>
      <c r="K189" s="56">
        <f ca="1">EFEITO!$L$189*EFEITO!$Z$189</f>
        <v>56415.704830396018</v>
      </c>
      <c r="L189" s="56">
        <f>EFEITO!$N$189*EFEITO!$AA$189</f>
        <v>0</v>
      </c>
      <c r="M189" s="56">
        <f ca="1">$J$189-EFEITO!$K$189*EFEITO!$Y$189</f>
        <v>0</v>
      </c>
      <c r="N189" s="56">
        <f ca="1">$K$189-EFEITO!$M$189*EFEITO!$Z$189</f>
        <v>0</v>
      </c>
      <c r="O189" s="56">
        <f>$L$189-EFEITO!$O$189*EFEITO!$AA$189</f>
        <v>0</v>
      </c>
      <c r="P189" s="39"/>
      <c r="Q189" s="39"/>
      <c r="R189" s="39"/>
      <c r="S189" s="39"/>
      <c r="T189" s="39"/>
      <c r="U189" s="39"/>
      <c r="V189" s="39"/>
      <c r="W189" s="3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21</v>
      </c>
      <c r="B190" s="35" t="s">
        <v>33</v>
      </c>
      <c r="C190" s="35" t="s">
        <v>41</v>
      </c>
      <c r="D190" s="35" t="s">
        <v>40</v>
      </c>
      <c r="E190" s="35" t="s">
        <v>25</v>
      </c>
      <c r="F190" s="35" t="s">
        <v>25</v>
      </c>
      <c r="G190" s="35" t="s">
        <v>25</v>
      </c>
      <c r="H190" s="35" t="s">
        <v>37</v>
      </c>
      <c r="I190" s="55">
        <v>44593</v>
      </c>
      <c r="J190" s="56">
        <f ca="1">EFEITO!$J$190*EFEITO!$Y$190</f>
        <v>4157.6193621925204</v>
      </c>
      <c r="K190" s="56">
        <f ca="1">EFEITO!$L$190*EFEITO!$Z$190</f>
        <v>507.34967975455169</v>
      </c>
      <c r="L190" s="56">
        <f>EFEITO!$N$190*EFEITO!$AA$190</f>
        <v>1893.0635311952069</v>
      </c>
      <c r="M190" s="56">
        <f ca="1">$J$190-EFEITO!$K$190*EFEITO!$Y$190</f>
        <v>0</v>
      </c>
      <c r="N190" s="56">
        <f ca="1">$K$190-EFEITO!$M$190*EFEITO!$Z$190</f>
        <v>0</v>
      </c>
      <c r="O190" s="56">
        <f>$L$190-EFEITO!$O$190*EFEITO!$AA$190</f>
        <v>0</v>
      </c>
      <c r="P190" s="39"/>
      <c r="Q190" s="39"/>
      <c r="R190" s="39"/>
      <c r="S190" s="39"/>
      <c r="T190" s="39"/>
      <c r="U190" s="39"/>
      <c r="V190" s="39"/>
      <c r="W190" s="3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21</v>
      </c>
      <c r="B191" s="35" t="s">
        <v>33</v>
      </c>
      <c r="C191" s="35" t="s">
        <v>41</v>
      </c>
      <c r="D191" s="35" t="s">
        <v>40</v>
      </c>
      <c r="E191" s="35" t="s">
        <v>25</v>
      </c>
      <c r="F191" s="35" t="s">
        <v>25</v>
      </c>
      <c r="G191" s="35" t="s">
        <v>25</v>
      </c>
      <c r="H191" s="35" t="s">
        <v>37</v>
      </c>
      <c r="I191" s="55">
        <v>44593</v>
      </c>
      <c r="J191" s="56">
        <f ca="1">EFEITO!$J$191*EFEITO!$Y$191</f>
        <v>387210.12161970546</v>
      </c>
      <c r="K191" s="56">
        <f ca="1">EFEITO!$L$191*EFEITO!$Z$191</f>
        <v>55484.877792424937</v>
      </c>
      <c r="L191" s="56">
        <f>EFEITO!$N$191*EFEITO!$AA$191</f>
        <v>0</v>
      </c>
      <c r="M191" s="56">
        <f ca="1">$J$191-EFEITO!$K$191*EFEITO!$Y$191</f>
        <v>0</v>
      </c>
      <c r="N191" s="56">
        <f ca="1">$K$191-EFEITO!$M$191*EFEITO!$Z$191</f>
        <v>0</v>
      </c>
      <c r="O191" s="56">
        <f>$L$191-EFEITO!$O$191*EFEITO!$AA$191</f>
        <v>0</v>
      </c>
      <c r="P191" s="39"/>
      <c r="Q191" s="39"/>
      <c r="R191" s="39"/>
      <c r="S191" s="39"/>
      <c r="T191" s="39"/>
      <c r="U191" s="39"/>
      <c r="V191" s="39"/>
      <c r="W191" s="3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21</v>
      </c>
      <c r="B192" s="35" t="s">
        <v>33</v>
      </c>
      <c r="C192" s="35" t="s">
        <v>41</v>
      </c>
      <c r="D192" s="35" t="s">
        <v>40</v>
      </c>
      <c r="E192" s="35" t="s">
        <v>25</v>
      </c>
      <c r="F192" s="35" t="s">
        <v>25</v>
      </c>
      <c r="G192" s="35" t="s">
        <v>25</v>
      </c>
      <c r="H192" s="35" t="s">
        <v>37</v>
      </c>
      <c r="I192" s="55">
        <v>44621</v>
      </c>
      <c r="J192" s="56">
        <f ca="1">EFEITO!$J$192*EFEITO!$Y$192</f>
        <v>3775.7971758687177</v>
      </c>
      <c r="K192" s="56">
        <f ca="1">EFEITO!$L$192*EFEITO!$Z$192</f>
        <v>524.257627863013</v>
      </c>
      <c r="L192" s="56">
        <f>EFEITO!$N$192*EFEITO!$AA$192</f>
        <v>1956.1518137520304</v>
      </c>
      <c r="M192" s="56">
        <f ca="1">$J$192-EFEITO!$K$192*EFEITO!$Y$192</f>
        <v>0</v>
      </c>
      <c r="N192" s="56">
        <f ca="1">$K$192-EFEITO!$M$192*EFEITO!$Z$192</f>
        <v>0</v>
      </c>
      <c r="O192" s="56">
        <f>$L$192-EFEITO!$O$192*EFEITO!$AA$192</f>
        <v>0</v>
      </c>
      <c r="P192" s="39"/>
      <c r="Q192" s="39"/>
      <c r="R192" s="39"/>
      <c r="S192" s="39"/>
      <c r="T192" s="39"/>
      <c r="U192" s="39"/>
      <c r="V192" s="39"/>
      <c r="W192" s="3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21</v>
      </c>
      <c r="B193" s="35" t="s">
        <v>33</v>
      </c>
      <c r="C193" s="35" t="s">
        <v>41</v>
      </c>
      <c r="D193" s="35" t="s">
        <v>40</v>
      </c>
      <c r="E193" s="35" t="s">
        <v>25</v>
      </c>
      <c r="F193" s="35" t="s">
        <v>25</v>
      </c>
      <c r="G193" s="35" t="s">
        <v>25</v>
      </c>
      <c r="H193" s="35" t="s">
        <v>37</v>
      </c>
      <c r="I193" s="55">
        <v>44621</v>
      </c>
      <c r="J193" s="56">
        <f ca="1">EFEITO!$J$193*EFEITO!$Y$193</f>
        <v>381822.18632380292</v>
      </c>
      <c r="K193" s="56">
        <f ca="1">EFEITO!$L$193*EFEITO!$Z$193</f>
        <v>49522.156408175215</v>
      </c>
      <c r="L193" s="56">
        <f>EFEITO!$N$193*EFEITO!$AA$193</f>
        <v>0</v>
      </c>
      <c r="M193" s="56">
        <f ca="1">$J$193-EFEITO!$K$193*EFEITO!$Y$193</f>
        <v>0</v>
      </c>
      <c r="N193" s="56">
        <f ca="1">$K$193-EFEITO!$M$193*EFEITO!$Z$193</f>
        <v>0</v>
      </c>
      <c r="O193" s="56">
        <f>$L$193-EFEITO!$O$193*EFEITO!$AA$193</f>
        <v>0</v>
      </c>
      <c r="P193" s="39"/>
      <c r="Q193" s="39"/>
      <c r="R193" s="39"/>
      <c r="S193" s="39"/>
      <c r="T193" s="39"/>
      <c r="U193" s="39"/>
      <c r="V193" s="39"/>
      <c r="W193" s="3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33</v>
      </c>
      <c r="C194" s="35" t="s">
        <v>41</v>
      </c>
      <c r="D194" s="35" t="s">
        <v>40</v>
      </c>
      <c r="E194" s="35" t="s">
        <v>25</v>
      </c>
      <c r="F194" s="35" t="s">
        <v>25</v>
      </c>
      <c r="G194" s="35" t="s">
        <v>25</v>
      </c>
      <c r="H194" s="35" t="s">
        <v>37</v>
      </c>
      <c r="I194" s="55">
        <v>44652</v>
      </c>
      <c r="J194" s="56">
        <f ca="1">EFEITO!$J$194*EFEITO!$Y$194</f>
        <v>4200.0440495618323</v>
      </c>
      <c r="K194" s="56">
        <f ca="1">EFEITO!$L$194*EFEITO!$Z$194</f>
        <v>476.53716905689532</v>
      </c>
      <c r="L194" s="56">
        <f>EFEITO!$N$194*EFEITO!$AA$194</f>
        <v>1778.0934373252064</v>
      </c>
      <c r="M194" s="56">
        <f ca="1">$J$194-EFEITO!$K$194*EFEITO!$Y$194</f>
        <v>0</v>
      </c>
      <c r="N194" s="56">
        <f ca="1">$K$194-EFEITO!$M$194*EFEITO!$Z$194</f>
        <v>0</v>
      </c>
      <c r="O194" s="56">
        <f>$L$194-EFEITO!$O$194*EFEITO!$AA$194</f>
        <v>0</v>
      </c>
      <c r="P194" s="39"/>
      <c r="Q194" s="39"/>
      <c r="R194" s="39"/>
      <c r="S194" s="39"/>
      <c r="T194" s="39"/>
      <c r="U194" s="39"/>
      <c r="V194" s="39"/>
      <c r="W194" s="3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21</v>
      </c>
      <c r="B195" s="35" t="s">
        <v>33</v>
      </c>
      <c r="C195" s="35" t="s">
        <v>41</v>
      </c>
      <c r="D195" s="35" t="s">
        <v>40</v>
      </c>
      <c r="E195" s="35" t="s">
        <v>25</v>
      </c>
      <c r="F195" s="35" t="s">
        <v>25</v>
      </c>
      <c r="G195" s="35" t="s">
        <v>25</v>
      </c>
      <c r="H195" s="35" t="s">
        <v>37</v>
      </c>
      <c r="I195" s="55">
        <v>44652</v>
      </c>
      <c r="J195" s="56">
        <f ca="1">EFEITO!$J$195*EFEITO!$Y$195</f>
        <v>401125.41907683964</v>
      </c>
      <c r="K195" s="56">
        <f ca="1">EFEITO!$L$195*EFEITO!$Z$195</f>
        <v>59974.049251722121</v>
      </c>
      <c r="L195" s="56">
        <f>EFEITO!$N$195*EFEITO!$AA$195</f>
        <v>0</v>
      </c>
      <c r="M195" s="56">
        <f ca="1">$J$195-EFEITO!$K$195*EFEITO!$Y$195</f>
        <v>0</v>
      </c>
      <c r="N195" s="56">
        <f ca="1">$K$195-EFEITO!$M$195*EFEITO!$Z$195</f>
        <v>0</v>
      </c>
      <c r="O195" s="56">
        <f>$L$195-EFEITO!$O$195*EFEITO!$AA$195</f>
        <v>0</v>
      </c>
      <c r="P195" s="39"/>
      <c r="Q195" s="39"/>
      <c r="R195" s="39"/>
      <c r="S195" s="39"/>
      <c r="T195" s="39"/>
      <c r="U195" s="39"/>
      <c r="V195" s="39"/>
      <c r="W195" s="3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33</v>
      </c>
      <c r="C196" s="35" t="s">
        <v>41</v>
      </c>
      <c r="D196" s="35" t="s">
        <v>40</v>
      </c>
      <c r="E196" s="35" t="s">
        <v>25</v>
      </c>
      <c r="F196" s="35" t="s">
        <v>25</v>
      </c>
      <c r="G196" s="35" t="s">
        <v>25</v>
      </c>
      <c r="H196" s="35" t="s">
        <v>37</v>
      </c>
      <c r="I196" s="55">
        <v>44682</v>
      </c>
      <c r="J196" s="56">
        <f ca="1">EFEITO!$J$196*EFEITO!$Y$196</f>
        <v>3903.0712379766519</v>
      </c>
      <c r="K196" s="56">
        <f ca="1">EFEITO!$L$196*EFEITO!$Z$196</f>
        <v>547.95100251500151</v>
      </c>
      <c r="L196" s="56">
        <f>EFEITO!$N$196*EFEITO!$AA$196</f>
        <v>2044.5584202296841</v>
      </c>
      <c r="M196" s="56">
        <f ca="1">$J$196-EFEITO!$K$196*EFEITO!$Y$196</f>
        <v>0</v>
      </c>
      <c r="N196" s="56">
        <f ca="1">$K$196-EFEITO!$M$196*EFEITO!$Z$196</f>
        <v>0</v>
      </c>
      <c r="O196" s="56">
        <f>$L$196-EFEITO!$O$196*EFEITO!$AA$196</f>
        <v>0</v>
      </c>
      <c r="P196" s="39"/>
      <c r="Q196" s="39"/>
      <c r="R196" s="39"/>
      <c r="S196" s="39"/>
      <c r="T196" s="39"/>
      <c r="U196" s="39"/>
      <c r="V196" s="39"/>
      <c r="W196" s="3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21</v>
      </c>
      <c r="B197" s="35" t="s">
        <v>33</v>
      </c>
      <c r="C197" s="35" t="s">
        <v>41</v>
      </c>
      <c r="D197" s="35" t="s">
        <v>40</v>
      </c>
      <c r="E197" s="35" t="s">
        <v>25</v>
      </c>
      <c r="F197" s="35" t="s">
        <v>25</v>
      </c>
      <c r="G197" s="35" t="s">
        <v>25</v>
      </c>
      <c r="H197" s="35" t="s">
        <v>37</v>
      </c>
      <c r="I197" s="55">
        <v>44682</v>
      </c>
      <c r="J197" s="56">
        <f ca="1">EFEITO!$J$197*EFEITO!$Y$197</f>
        <v>381822.18632380292</v>
      </c>
      <c r="K197" s="56">
        <f ca="1">EFEITO!$L$197*EFEITO!$Z$197</f>
        <v>50705.156593263935</v>
      </c>
      <c r="L197" s="56">
        <f>EFEITO!$N$197*EFEITO!$AA$197</f>
        <v>0</v>
      </c>
      <c r="M197" s="56">
        <f ca="1">$J$197-EFEITO!$K$197*EFEITO!$Y$197</f>
        <v>0</v>
      </c>
      <c r="N197" s="56">
        <f ca="1">$K$197-EFEITO!$M$197*EFEITO!$Z$197</f>
        <v>0</v>
      </c>
      <c r="O197" s="56">
        <f>$L$197-EFEITO!$O$197*EFEITO!$AA$197</f>
        <v>0</v>
      </c>
      <c r="P197" s="39"/>
      <c r="Q197" s="39"/>
      <c r="R197" s="39"/>
      <c r="S197" s="39"/>
      <c r="T197" s="39"/>
      <c r="U197" s="39"/>
      <c r="V197" s="39"/>
      <c r="W197" s="3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33</v>
      </c>
      <c r="C198" s="35" t="s">
        <v>41</v>
      </c>
      <c r="D198" s="35" t="s">
        <v>46</v>
      </c>
      <c r="E198" s="35" t="s">
        <v>25</v>
      </c>
      <c r="F198" s="35" t="s">
        <v>25</v>
      </c>
      <c r="G198" s="35" t="s">
        <v>25</v>
      </c>
      <c r="H198" s="35" t="s">
        <v>35</v>
      </c>
      <c r="I198" s="55">
        <v>44348</v>
      </c>
      <c r="J198" s="56">
        <f ca="1">EFEITO!$J$198*EFEITO!$Y$198</f>
        <v>3782.6917757383644</v>
      </c>
      <c r="K198" s="56">
        <f ca="1">EFEITO!$L$198*EFEITO!$Z$198</f>
        <v>7584.1046186505901</v>
      </c>
      <c r="L198" s="56">
        <f>EFEITO!$N$198*EFEITO!$AA$198</f>
        <v>17661.127334828059</v>
      </c>
      <c r="M198" s="56">
        <f ca="1">$J$198-EFEITO!$K$198*EFEITO!$Y$198</f>
        <v>0</v>
      </c>
      <c r="N198" s="56">
        <f ca="1">$K$198-EFEITO!$M$198*EFEITO!$Z$198</f>
        <v>0</v>
      </c>
      <c r="O198" s="56">
        <f>$L$198-EFEITO!$O$198*EFEITO!$AA$198</f>
        <v>0</v>
      </c>
      <c r="P198" s="39"/>
      <c r="Q198" s="39"/>
      <c r="R198" s="39"/>
      <c r="S198" s="39"/>
      <c r="T198" s="39"/>
      <c r="U198" s="39"/>
      <c r="V198" s="39"/>
      <c r="W198" s="3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21</v>
      </c>
      <c r="B199" s="35" t="s">
        <v>33</v>
      </c>
      <c r="C199" s="35" t="s">
        <v>41</v>
      </c>
      <c r="D199" s="35" t="s">
        <v>46</v>
      </c>
      <c r="E199" s="35" t="s">
        <v>25</v>
      </c>
      <c r="F199" s="35" t="s">
        <v>25</v>
      </c>
      <c r="G199" s="35" t="s">
        <v>25</v>
      </c>
      <c r="H199" s="35" t="s">
        <v>35</v>
      </c>
      <c r="I199" s="55">
        <v>44378</v>
      </c>
      <c r="J199" s="56">
        <f ca="1">EFEITO!$J$199*EFEITO!$Y$199</f>
        <v>3336.6975489045835</v>
      </c>
      <c r="K199" s="56">
        <f ca="1">EFEITO!$L$199*EFEITO!$Z$199</f>
        <v>8400.4692973874135</v>
      </c>
      <c r="L199" s="56">
        <f>EFEITO!$N$199*EFEITO!$AA$199</f>
        <v>19562.198228202997</v>
      </c>
      <c r="M199" s="56">
        <f ca="1">$J$199-EFEITO!$K$199*EFEITO!$Y$199</f>
        <v>0</v>
      </c>
      <c r="N199" s="56">
        <f ca="1">$K$199-EFEITO!$M$199*EFEITO!$Z$199</f>
        <v>0</v>
      </c>
      <c r="O199" s="56">
        <f>$L$199-EFEITO!$O$199*EFEITO!$AA$199</f>
        <v>0</v>
      </c>
      <c r="P199" s="39"/>
      <c r="Q199" s="39"/>
      <c r="R199" s="39"/>
      <c r="S199" s="39"/>
      <c r="T199" s="39"/>
      <c r="U199" s="39"/>
      <c r="V199" s="39"/>
      <c r="W199" s="3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33</v>
      </c>
      <c r="C200" s="35" t="s">
        <v>41</v>
      </c>
      <c r="D200" s="35" t="s">
        <v>46</v>
      </c>
      <c r="E200" s="35" t="s">
        <v>25</v>
      </c>
      <c r="F200" s="35" t="s">
        <v>25</v>
      </c>
      <c r="G200" s="35" t="s">
        <v>25</v>
      </c>
      <c r="H200" s="35" t="s">
        <v>35</v>
      </c>
      <c r="I200" s="55">
        <v>44409</v>
      </c>
      <c r="J200" s="56">
        <f ca="1">EFEITO!$J$200*EFEITO!$Y$200</f>
        <v>2973.2948455585397</v>
      </c>
      <c r="K200" s="56">
        <f ca="1">EFEITO!$L$200*EFEITO!$Z$200</f>
        <v>7344.3899596128658</v>
      </c>
      <c r="L200" s="56">
        <f>EFEITO!$N$200*EFEITO!$AA$200</f>
        <v>17102.903084218578</v>
      </c>
      <c r="M200" s="56">
        <f ca="1">$J$200-EFEITO!$K$200*EFEITO!$Y$200</f>
        <v>0</v>
      </c>
      <c r="N200" s="56">
        <f ca="1">$K$200-EFEITO!$M$200*EFEITO!$Z$200</f>
        <v>0</v>
      </c>
      <c r="O200" s="56">
        <f>$L$200-EFEITO!$O$200*EFEITO!$AA$200</f>
        <v>0</v>
      </c>
      <c r="P200" s="39"/>
      <c r="Q200" s="39"/>
      <c r="R200" s="39"/>
      <c r="S200" s="39"/>
      <c r="T200" s="39"/>
      <c r="U200" s="39"/>
      <c r="V200" s="39"/>
      <c r="W200" s="3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21</v>
      </c>
      <c r="B201" s="35" t="s">
        <v>33</v>
      </c>
      <c r="C201" s="35" t="s">
        <v>41</v>
      </c>
      <c r="D201" s="35" t="s">
        <v>46</v>
      </c>
      <c r="E201" s="35" t="s">
        <v>25</v>
      </c>
      <c r="F201" s="35" t="s">
        <v>25</v>
      </c>
      <c r="G201" s="35" t="s">
        <v>25</v>
      </c>
      <c r="H201" s="35" t="s">
        <v>35</v>
      </c>
      <c r="I201" s="55">
        <v>44440</v>
      </c>
      <c r="J201" s="56">
        <f ca="1">EFEITO!$J$201*EFEITO!$Y$201</f>
        <v>2973.2948455585397</v>
      </c>
      <c r="K201" s="56">
        <f ca="1">EFEITO!$L$201*EFEITO!$Z$201</f>
        <v>6810.5659926884855</v>
      </c>
      <c r="L201" s="56">
        <f>EFEITO!$N$201*EFEITO!$AA$201</f>
        <v>15859.785599914678</v>
      </c>
      <c r="M201" s="56">
        <f ca="1">$J$201-EFEITO!$K$201*EFEITO!$Y$201</f>
        <v>0</v>
      </c>
      <c r="N201" s="56">
        <f ca="1">$K$201-EFEITO!$M$201*EFEITO!$Z$201</f>
        <v>0</v>
      </c>
      <c r="O201" s="56">
        <f>$L$201-EFEITO!$O$201*EFEITO!$AA$201</f>
        <v>0</v>
      </c>
      <c r="P201" s="39"/>
      <c r="Q201" s="39"/>
      <c r="R201" s="39"/>
      <c r="S201" s="39"/>
      <c r="T201" s="39"/>
      <c r="U201" s="39"/>
      <c r="V201" s="39"/>
      <c r="W201" s="3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21</v>
      </c>
      <c r="B202" s="35" t="s">
        <v>33</v>
      </c>
      <c r="C202" s="35" t="s">
        <v>41</v>
      </c>
      <c r="D202" s="35" t="s">
        <v>46</v>
      </c>
      <c r="E202" s="35" t="s">
        <v>25</v>
      </c>
      <c r="F202" s="35" t="s">
        <v>25</v>
      </c>
      <c r="G202" s="35" t="s">
        <v>25</v>
      </c>
      <c r="H202" s="35" t="s">
        <v>35</v>
      </c>
      <c r="I202" s="55">
        <v>44470</v>
      </c>
      <c r="J202" s="56">
        <f ca="1">EFEITO!$J$202*EFEITO!$Y$202</f>
        <v>2725.5202750953281</v>
      </c>
      <c r="K202" s="56">
        <f ca="1">EFEITO!$L$202*EFEITO!$Z$202</f>
        <v>5867.6141761396293</v>
      </c>
      <c r="L202" s="56">
        <f>EFEITO!$N$202*EFEITO!$AA$202</f>
        <v>13663.9308563339</v>
      </c>
      <c r="M202" s="56">
        <f ca="1">$J$202-EFEITO!$K$202*EFEITO!$Y$202</f>
        <v>0</v>
      </c>
      <c r="N202" s="56">
        <f ca="1">$K$202-EFEITO!$M$202*EFEITO!$Z$202</f>
        <v>0</v>
      </c>
      <c r="O202" s="56">
        <f>$L$202-EFEITO!$O$202*EFEITO!$AA$202</f>
        <v>0</v>
      </c>
      <c r="P202" s="39"/>
      <c r="Q202" s="39"/>
      <c r="R202" s="39"/>
      <c r="S202" s="39"/>
      <c r="T202" s="39"/>
      <c r="U202" s="39"/>
      <c r="V202" s="39"/>
      <c r="W202" s="3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21</v>
      </c>
      <c r="B203" s="35" t="s">
        <v>33</v>
      </c>
      <c r="C203" s="35" t="s">
        <v>41</v>
      </c>
      <c r="D203" s="35" t="s">
        <v>46</v>
      </c>
      <c r="E203" s="35" t="s">
        <v>25</v>
      </c>
      <c r="F203" s="35" t="s">
        <v>25</v>
      </c>
      <c r="G203" s="35" t="s">
        <v>25</v>
      </c>
      <c r="H203" s="35" t="s">
        <v>35</v>
      </c>
      <c r="I203" s="55">
        <v>44501</v>
      </c>
      <c r="J203" s="56">
        <f ca="1">EFEITO!$J$203*EFEITO!$Y$203</f>
        <v>3204.5511113242037</v>
      </c>
      <c r="K203" s="56">
        <f ca="1">EFEITO!$L$203*EFEITO!$Z$203</f>
        <v>6529.0264093824626</v>
      </c>
      <c r="L203" s="56">
        <f>EFEITO!$N$203*EFEITO!$AA$203</f>
        <v>15204.163521820665</v>
      </c>
      <c r="M203" s="56">
        <f ca="1">$J$203-EFEITO!$K$203*EFEITO!$Y$203</f>
        <v>0</v>
      </c>
      <c r="N203" s="56">
        <f ca="1">$K$203-EFEITO!$M$203*EFEITO!$Z$203</f>
        <v>0</v>
      </c>
      <c r="O203" s="56">
        <f>$L$203-EFEITO!$O$203*EFEITO!$AA$203</f>
        <v>0</v>
      </c>
      <c r="P203" s="39"/>
      <c r="Q203" s="39"/>
      <c r="R203" s="39"/>
      <c r="S203" s="39"/>
      <c r="T203" s="39"/>
      <c r="U203" s="39"/>
      <c r="V203" s="39"/>
      <c r="W203" s="3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21</v>
      </c>
      <c r="B204" s="35" t="s">
        <v>33</v>
      </c>
      <c r="C204" s="35" t="s">
        <v>41</v>
      </c>
      <c r="D204" s="35" t="s">
        <v>46</v>
      </c>
      <c r="E204" s="35" t="s">
        <v>25</v>
      </c>
      <c r="F204" s="35" t="s">
        <v>25</v>
      </c>
      <c r="G204" s="35" t="s">
        <v>25</v>
      </c>
      <c r="H204" s="35" t="s">
        <v>35</v>
      </c>
      <c r="I204" s="55">
        <v>44531</v>
      </c>
      <c r="J204" s="56">
        <f ca="1">EFEITO!$J$204*EFEITO!$Y$204</f>
        <v>3419.2890723923206</v>
      </c>
      <c r="K204" s="56">
        <f ca="1">EFEITO!$L$204*EFEITO!$Z$204</f>
        <v>7098.7797660373226</v>
      </c>
      <c r="L204" s="56">
        <f>EFEITO!$N$204*EFEITO!$AA$204</f>
        <v>16530.949884522179</v>
      </c>
      <c r="M204" s="56">
        <f ca="1">$J$204-EFEITO!$K$204*EFEITO!$Y$204</f>
        <v>0</v>
      </c>
      <c r="N204" s="56">
        <f ca="1">$K$204-EFEITO!$M$204*EFEITO!$Z$204</f>
        <v>0</v>
      </c>
      <c r="O204" s="56">
        <f>$L$204-EFEITO!$O$204*EFEITO!$AA$204</f>
        <v>0</v>
      </c>
      <c r="P204" s="39"/>
      <c r="Q204" s="39"/>
      <c r="R204" s="39"/>
      <c r="S204" s="39"/>
      <c r="T204" s="39"/>
      <c r="U204" s="39"/>
      <c r="V204" s="39"/>
      <c r="W204" s="3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21</v>
      </c>
      <c r="B205" s="35" t="s">
        <v>33</v>
      </c>
      <c r="C205" s="35" t="s">
        <v>41</v>
      </c>
      <c r="D205" s="35" t="s">
        <v>46</v>
      </c>
      <c r="E205" s="35" t="s">
        <v>25</v>
      </c>
      <c r="F205" s="35" t="s">
        <v>25</v>
      </c>
      <c r="G205" s="35" t="s">
        <v>25</v>
      </c>
      <c r="H205" s="35" t="s">
        <v>35</v>
      </c>
      <c r="I205" s="55">
        <v>44562</v>
      </c>
      <c r="J205" s="56">
        <f ca="1">EFEITO!$J$205*EFEITO!$Y$205</f>
        <v>3485.3622911825105</v>
      </c>
      <c r="K205" s="56">
        <f ca="1">EFEITO!$L$205*EFEITO!$Z$205</f>
        <v>7808.1349310877013</v>
      </c>
      <c r="L205" s="56">
        <f>EFEITO!$N$205*EFEITO!$AA$205</f>
        <v>18182.827400130842</v>
      </c>
      <c r="M205" s="56">
        <f ca="1">$J$205-EFEITO!$K$205*EFEITO!$Y$205</f>
        <v>0</v>
      </c>
      <c r="N205" s="56">
        <f ca="1">$K$205-EFEITO!$M$205*EFEITO!$Z$205</f>
        <v>0</v>
      </c>
      <c r="O205" s="56">
        <f>$L$205-EFEITO!$O$205*EFEITO!$AA$205</f>
        <v>0</v>
      </c>
      <c r="P205" s="39"/>
      <c r="Q205" s="39"/>
      <c r="R205" s="39"/>
      <c r="S205" s="39"/>
      <c r="T205" s="39"/>
      <c r="U205" s="39"/>
      <c r="V205" s="39"/>
      <c r="W205" s="3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21</v>
      </c>
      <c r="B206" s="35" t="s">
        <v>33</v>
      </c>
      <c r="C206" s="35" t="s">
        <v>41</v>
      </c>
      <c r="D206" s="35" t="s">
        <v>46</v>
      </c>
      <c r="E206" s="35" t="s">
        <v>25</v>
      </c>
      <c r="F206" s="35" t="s">
        <v>25</v>
      </c>
      <c r="G206" s="35" t="s">
        <v>25</v>
      </c>
      <c r="H206" s="35" t="s">
        <v>35</v>
      </c>
      <c r="I206" s="55">
        <v>44593</v>
      </c>
      <c r="J206" s="56">
        <f ca="1">EFEITO!$J$206*EFEITO!$Y$206</f>
        <v>3518.3989005776052</v>
      </c>
      <c r="K206" s="56">
        <f ca="1">EFEITO!$L$206*EFEITO!$Z$206</f>
        <v>7498.4525131011469</v>
      </c>
      <c r="L206" s="56">
        <f>EFEITO!$N$206*EFEITO!$AA$206</f>
        <v>17461.669017904947</v>
      </c>
      <c r="M206" s="56">
        <f ca="1">$J$206-EFEITO!$K$206*EFEITO!$Y$206</f>
        <v>0</v>
      </c>
      <c r="N206" s="56">
        <f ca="1">$K$206-EFEITO!$M$206*EFEITO!$Z$206</f>
        <v>0</v>
      </c>
      <c r="O206" s="56">
        <f>$L$206-EFEITO!$O$206*EFEITO!$AA$206</f>
        <v>0</v>
      </c>
      <c r="P206" s="39"/>
      <c r="Q206" s="39"/>
      <c r="R206" s="39"/>
      <c r="S206" s="39"/>
      <c r="T206" s="39"/>
      <c r="U206" s="39"/>
      <c r="V206" s="39"/>
      <c r="W206" s="3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21</v>
      </c>
      <c r="B207" s="35" t="s">
        <v>33</v>
      </c>
      <c r="C207" s="35" t="s">
        <v>41</v>
      </c>
      <c r="D207" s="35" t="s">
        <v>46</v>
      </c>
      <c r="E207" s="35" t="s">
        <v>25</v>
      </c>
      <c r="F207" s="35" t="s">
        <v>25</v>
      </c>
      <c r="G207" s="35" t="s">
        <v>25</v>
      </c>
      <c r="H207" s="35" t="s">
        <v>35</v>
      </c>
      <c r="I207" s="55">
        <v>44621</v>
      </c>
      <c r="J207" s="56">
        <f ca="1">EFEITO!$J$207*EFEITO!$Y$207</f>
        <v>3287.1426348119412</v>
      </c>
      <c r="K207" s="56">
        <f ca="1">EFEITO!$L$207*EFEITO!$Z$207</f>
        <v>8298.4654262330787</v>
      </c>
      <c r="L207" s="56">
        <f>EFEITO!$N$207*EFEITO!$AA$207</f>
        <v>19324.661505321837</v>
      </c>
      <c r="M207" s="56">
        <f ca="1">$J$207-EFEITO!$K$207*EFEITO!$Y$207</f>
        <v>0</v>
      </c>
      <c r="N207" s="56">
        <f ca="1">$K$207-EFEITO!$M$207*EFEITO!$Z$207</f>
        <v>0</v>
      </c>
      <c r="O207" s="56">
        <f>$L$207-EFEITO!$O$207*EFEITO!$AA$207</f>
        <v>0</v>
      </c>
      <c r="P207" s="39"/>
      <c r="Q207" s="39"/>
      <c r="R207" s="39"/>
      <c r="S207" s="39"/>
      <c r="T207" s="39"/>
      <c r="U207" s="39"/>
      <c r="V207" s="39"/>
      <c r="W207" s="3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21</v>
      </c>
      <c r="B208" s="35" t="s">
        <v>33</v>
      </c>
      <c r="C208" s="35" t="s">
        <v>41</v>
      </c>
      <c r="D208" s="35" t="s">
        <v>46</v>
      </c>
      <c r="E208" s="35" t="s">
        <v>25</v>
      </c>
      <c r="F208" s="35" t="s">
        <v>25</v>
      </c>
      <c r="G208" s="35" t="s">
        <v>25</v>
      </c>
      <c r="H208" s="35" t="s">
        <v>35</v>
      </c>
      <c r="I208" s="55">
        <v>44652</v>
      </c>
      <c r="J208" s="56">
        <f ca="1">EFEITO!$J$208*EFEITO!$Y$208</f>
        <v>3204.5511113242037</v>
      </c>
      <c r="K208" s="56">
        <f ca="1">EFEITO!$L$208*EFEITO!$Z$208</f>
        <v>6497.2127701783847</v>
      </c>
      <c r="L208" s="56">
        <f>EFEITO!$N$208*EFEITO!$AA$208</f>
        <v>15130.079004106366</v>
      </c>
      <c r="M208" s="56">
        <f ca="1">$J$208-EFEITO!$K$208*EFEITO!$Y$208</f>
        <v>0</v>
      </c>
      <c r="N208" s="56">
        <f ca="1">$K$208-EFEITO!$M$208*EFEITO!$Z$208</f>
        <v>0</v>
      </c>
      <c r="O208" s="56">
        <f>$L$208-EFEITO!$O$208*EFEITO!$AA$208</f>
        <v>0</v>
      </c>
      <c r="P208" s="39"/>
      <c r="Q208" s="39"/>
      <c r="R208" s="39"/>
      <c r="S208" s="39"/>
      <c r="T208" s="39"/>
      <c r="U208" s="39"/>
      <c r="V208" s="39"/>
      <c r="W208" s="3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21</v>
      </c>
      <c r="B209" s="35" t="s">
        <v>33</v>
      </c>
      <c r="C209" s="35" t="s">
        <v>41</v>
      </c>
      <c r="D209" s="35" t="s">
        <v>46</v>
      </c>
      <c r="E209" s="35" t="s">
        <v>25</v>
      </c>
      <c r="F209" s="35" t="s">
        <v>25</v>
      </c>
      <c r="G209" s="35" t="s">
        <v>25</v>
      </c>
      <c r="H209" s="35" t="s">
        <v>35</v>
      </c>
      <c r="I209" s="55">
        <v>44682</v>
      </c>
      <c r="J209" s="56">
        <f ca="1">EFEITO!$J$209*EFEITO!$Y$209</f>
        <v>3171.514501929109</v>
      </c>
      <c r="K209" s="56">
        <f ca="1">EFEITO!$L$209*EFEITO!$Z$209</f>
        <v>6817.6851287341533</v>
      </c>
      <c r="L209" s="56">
        <f>EFEITO!$N$209*EFEITO!$AA$209</f>
        <v>15876.363953529066</v>
      </c>
      <c r="M209" s="56">
        <f ca="1">$J$209-EFEITO!$K$209*EFEITO!$Y$209</f>
        <v>0</v>
      </c>
      <c r="N209" s="56">
        <f ca="1">$K$209-EFEITO!$M$209*EFEITO!$Z$209</f>
        <v>0</v>
      </c>
      <c r="O209" s="56">
        <f>$L$209-EFEITO!$O$209*EFEITO!$AA$209</f>
        <v>0</v>
      </c>
      <c r="P209" s="39"/>
      <c r="Q209" s="39"/>
      <c r="R209" s="39"/>
      <c r="S209" s="39"/>
      <c r="T209" s="39"/>
      <c r="U209" s="39"/>
      <c r="V209" s="39"/>
      <c r="W209" s="3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21</v>
      </c>
      <c r="B210" s="35" t="s">
        <v>33</v>
      </c>
      <c r="C210" s="35" t="s">
        <v>41</v>
      </c>
      <c r="D210" s="35" t="s">
        <v>46</v>
      </c>
      <c r="E210" s="35" t="s">
        <v>25</v>
      </c>
      <c r="F210" s="35" t="s">
        <v>25</v>
      </c>
      <c r="G210" s="35" t="s">
        <v>25</v>
      </c>
      <c r="H210" s="35" t="s">
        <v>37</v>
      </c>
      <c r="I210" s="55">
        <v>44348</v>
      </c>
      <c r="J210" s="56">
        <f ca="1">EFEITO!$J$210*EFEITO!$Y$210</f>
        <v>7594.0190391067472</v>
      </c>
      <c r="K210" s="56">
        <f ca="1">EFEITO!$L$210*EFEITO!$Z$210</f>
        <v>800.23538613335779</v>
      </c>
      <c r="L210" s="56">
        <f>EFEITO!$N$210*EFEITO!$AA$210</f>
        <v>2985.9020046959699</v>
      </c>
      <c r="M210" s="56">
        <f ca="1">$J$210-EFEITO!$K$210*EFEITO!$Y$210</f>
        <v>0</v>
      </c>
      <c r="N210" s="56">
        <f ca="1">$K$210-EFEITO!$M$210*EFEITO!$Z$210</f>
        <v>0</v>
      </c>
      <c r="O210" s="56">
        <f>$L$210-EFEITO!$O$210*EFEITO!$AA$210</f>
        <v>0</v>
      </c>
      <c r="P210" s="39"/>
      <c r="Q210" s="39"/>
      <c r="R210" s="39"/>
      <c r="S210" s="39"/>
      <c r="T210" s="39"/>
      <c r="U210" s="39"/>
      <c r="V210" s="39"/>
      <c r="W210" s="3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21</v>
      </c>
      <c r="B211" s="35" t="s">
        <v>33</v>
      </c>
      <c r="C211" s="35" t="s">
        <v>41</v>
      </c>
      <c r="D211" s="35" t="s">
        <v>46</v>
      </c>
      <c r="E211" s="35" t="s">
        <v>25</v>
      </c>
      <c r="F211" s="35" t="s">
        <v>25</v>
      </c>
      <c r="G211" s="35" t="s">
        <v>25</v>
      </c>
      <c r="H211" s="35" t="s">
        <v>37</v>
      </c>
      <c r="I211" s="55">
        <v>44378</v>
      </c>
      <c r="J211" s="56">
        <f ca="1">EFEITO!$J$211*EFEITO!$Y$211</f>
        <v>7339.4709148908787</v>
      </c>
      <c r="K211" s="56">
        <f ca="1">EFEITO!$L$211*EFEITO!$Z$211</f>
        <v>858.52331250726377</v>
      </c>
      <c r="L211" s="56">
        <f>EFEITO!$N$211*EFEITO!$AA$211</f>
        <v>3203.3905577208084</v>
      </c>
      <c r="M211" s="56">
        <f ca="1">$J$211-EFEITO!$K$211*EFEITO!$Y$211</f>
        <v>0</v>
      </c>
      <c r="N211" s="56">
        <f ca="1">$K$211-EFEITO!$M$211*EFEITO!$Z$211</f>
        <v>0</v>
      </c>
      <c r="O211" s="56">
        <f>$L$211-EFEITO!$O$211*EFEITO!$AA$211</f>
        <v>0</v>
      </c>
      <c r="P211" s="39"/>
      <c r="Q211" s="39"/>
      <c r="R211" s="39"/>
      <c r="S211" s="39"/>
      <c r="T211" s="39"/>
      <c r="U211" s="39"/>
      <c r="V211" s="39"/>
      <c r="W211" s="3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33</v>
      </c>
      <c r="C212" s="35" t="s">
        <v>41</v>
      </c>
      <c r="D212" s="35" t="s">
        <v>46</v>
      </c>
      <c r="E212" s="35" t="s">
        <v>25</v>
      </c>
      <c r="F212" s="35" t="s">
        <v>25</v>
      </c>
      <c r="G212" s="35" t="s">
        <v>25</v>
      </c>
      <c r="H212" s="35" t="s">
        <v>37</v>
      </c>
      <c r="I212" s="55">
        <v>44409</v>
      </c>
      <c r="J212" s="56">
        <f ca="1">EFEITO!$J$212*EFEITO!$Y$212</f>
        <v>6533.4018548739614</v>
      </c>
      <c r="K212" s="56">
        <f ca="1">EFEITO!$L$212*EFEITO!$Z$212</f>
        <v>743.17106126730107</v>
      </c>
      <c r="L212" s="56">
        <f>EFEITO!$N$212*EFEITO!$AA$212</f>
        <v>2772.9790510666908</v>
      </c>
      <c r="M212" s="56">
        <f ca="1">$J$212-EFEITO!$K$212*EFEITO!$Y$212</f>
        <v>0</v>
      </c>
      <c r="N212" s="56">
        <f ca="1">$K$212-EFEITO!$M$212*EFEITO!$Z$212</f>
        <v>0</v>
      </c>
      <c r="O212" s="56">
        <f>$L$212-EFEITO!$O$212*EFEITO!$AA$212</f>
        <v>0</v>
      </c>
      <c r="P212" s="39"/>
      <c r="Q212" s="39"/>
      <c r="R212" s="39"/>
      <c r="S212" s="39"/>
      <c r="T212" s="39"/>
      <c r="U212" s="39"/>
      <c r="V212" s="39"/>
      <c r="W212" s="3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21</v>
      </c>
      <c r="B213" s="35" t="s">
        <v>33</v>
      </c>
      <c r="C213" s="35" t="s">
        <v>41</v>
      </c>
      <c r="D213" s="35" t="s">
        <v>46</v>
      </c>
      <c r="E213" s="35" t="s">
        <v>25</v>
      </c>
      <c r="F213" s="35" t="s">
        <v>25</v>
      </c>
      <c r="G213" s="35" t="s">
        <v>25</v>
      </c>
      <c r="H213" s="35" t="s">
        <v>37</v>
      </c>
      <c r="I213" s="55">
        <v>44440</v>
      </c>
      <c r="J213" s="56">
        <f ca="1">EFEITO!$J$213*EFEITO!$Y$213</f>
        <v>7466.7449769988125</v>
      </c>
      <c r="K213" s="56">
        <f ca="1">EFEITO!$L$213*EFEITO!$Z$213</f>
        <v>781.54765401347959</v>
      </c>
      <c r="L213" s="56">
        <f>EFEITO!$N$213*EFEITO!$AA$213</f>
        <v>2916.1728502910596</v>
      </c>
      <c r="M213" s="56">
        <f ca="1">$J$213-EFEITO!$K$213*EFEITO!$Y$213</f>
        <v>0</v>
      </c>
      <c r="N213" s="56">
        <f ca="1">$K$213-EFEITO!$M$213*EFEITO!$Z$213</f>
        <v>0</v>
      </c>
      <c r="O213" s="56">
        <f>$L$213-EFEITO!$O$213*EFEITO!$AA$213</f>
        <v>0</v>
      </c>
      <c r="P213" s="39"/>
      <c r="Q213" s="39"/>
      <c r="R213" s="39"/>
      <c r="S213" s="39"/>
      <c r="T213" s="39"/>
      <c r="U213" s="39"/>
      <c r="V213" s="39"/>
      <c r="W213" s="3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21</v>
      </c>
      <c r="B214" s="35" t="s">
        <v>33</v>
      </c>
      <c r="C214" s="35" t="s">
        <v>41</v>
      </c>
      <c r="D214" s="35" t="s">
        <v>46</v>
      </c>
      <c r="E214" s="35" t="s">
        <v>25</v>
      </c>
      <c r="F214" s="35" t="s">
        <v>25</v>
      </c>
      <c r="G214" s="35" t="s">
        <v>25</v>
      </c>
      <c r="H214" s="35" t="s">
        <v>37</v>
      </c>
      <c r="I214" s="55">
        <v>44470</v>
      </c>
      <c r="J214" s="56">
        <f ca="1">EFEITO!$J$214*EFEITO!$Y$214</f>
        <v>5345.5106085332409</v>
      </c>
      <c r="K214" s="56">
        <f ca="1">EFEITO!$L$214*EFEITO!$Z$214</f>
        <v>608.68613190460587</v>
      </c>
      <c r="L214" s="56">
        <f>EFEITO!$N$214*EFEITO!$AA$214</f>
        <v>2271.178172045642</v>
      </c>
      <c r="M214" s="56">
        <f ca="1">$J$214-EFEITO!$K$214*EFEITO!$Y$214</f>
        <v>0</v>
      </c>
      <c r="N214" s="56">
        <f ca="1">$K$214-EFEITO!$M$214*EFEITO!$Z$214</f>
        <v>0</v>
      </c>
      <c r="O214" s="56">
        <f>$L$214-EFEITO!$O$214*EFEITO!$AA$214</f>
        <v>0</v>
      </c>
      <c r="P214" s="39"/>
      <c r="Q214" s="39"/>
      <c r="R214" s="39"/>
      <c r="S214" s="39"/>
      <c r="T214" s="39"/>
      <c r="U214" s="39"/>
      <c r="V214" s="39"/>
      <c r="W214" s="3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21</v>
      </c>
      <c r="B215" s="35" t="s">
        <v>33</v>
      </c>
      <c r="C215" s="35" t="s">
        <v>41</v>
      </c>
      <c r="D215" s="35" t="s">
        <v>46</v>
      </c>
      <c r="E215" s="35" t="s">
        <v>25</v>
      </c>
      <c r="F215" s="35" t="s">
        <v>25</v>
      </c>
      <c r="G215" s="35" t="s">
        <v>25</v>
      </c>
      <c r="H215" s="35" t="s">
        <v>37</v>
      </c>
      <c r="I215" s="55">
        <v>44501</v>
      </c>
      <c r="J215" s="56">
        <f ca="1">EFEITO!$J$215*EFEITO!$Y$215</f>
        <v>5345.5106085332409</v>
      </c>
      <c r="K215" s="56">
        <f ca="1">EFEITO!$L$215*EFEITO!$Z$215</f>
        <v>719.1439771131719</v>
      </c>
      <c r="L215" s="56">
        <f>EFEITO!$N$215*EFEITO!$AA$215</f>
        <v>2683.3272811175207</v>
      </c>
      <c r="M215" s="56">
        <f ca="1">$J$215-EFEITO!$K$215*EFEITO!$Y$215</f>
        <v>0</v>
      </c>
      <c r="N215" s="56">
        <f ca="1">$K$215-EFEITO!$M$215*EFEITO!$Z$215</f>
        <v>0</v>
      </c>
      <c r="O215" s="56">
        <f>$L$215-EFEITO!$O$215*EFEITO!$AA$215</f>
        <v>0</v>
      </c>
      <c r="P215" s="39"/>
      <c r="Q215" s="39"/>
      <c r="R215" s="39"/>
      <c r="S215" s="39"/>
      <c r="T215" s="39"/>
      <c r="U215" s="39"/>
      <c r="V215" s="39"/>
      <c r="W215" s="3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21</v>
      </c>
      <c r="B216" s="35" t="s">
        <v>33</v>
      </c>
      <c r="C216" s="35" t="s">
        <v>41</v>
      </c>
      <c r="D216" s="35" t="s">
        <v>46</v>
      </c>
      <c r="E216" s="35" t="s">
        <v>25</v>
      </c>
      <c r="F216" s="35" t="s">
        <v>25</v>
      </c>
      <c r="G216" s="35" t="s">
        <v>25</v>
      </c>
      <c r="H216" s="35" t="s">
        <v>37</v>
      </c>
      <c r="I216" s="55">
        <v>44531</v>
      </c>
      <c r="J216" s="56">
        <f ca="1">EFEITO!$J$216*EFEITO!$Y$216</f>
        <v>6321.2784180274039</v>
      </c>
      <c r="K216" s="56">
        <f ca="1">EFEITO!$L$216*EFEITO!$Z$216</f>
        <v>773.98357196495749</v>
      </c>
      <c r="L216" s="56">
        <f>EFEITO!$N$216*EFEITO!$AA$216</f>
        <v>2887.9491449366915</v>
      </c>
      <c r="M216" s="56">
        <f ca="1">$J$216-EFEITO!$K$216*EFEITO!$Y$216</f>
        <v>0</v>
      </c>
      <c r="N216" s="56">
        <f ca="1">$K$216-EFEITO!$M$216*EFEITO!$Z$216</f>
        <v>0</v>
      </c>
      <c r="O216" s="56">
        <f>$L$216-EFEITO!$O$216*EFEITO!$AA$216</f>
        <v>0</v>
      </c>
      <c r="P216" s="39"/>
      <c r="Q216" s="39"/>
      <c r="R216" s="39"/>
      <c r="S216" s="39"/>
      <c r="T216" s="39"/>
      <c r="U216" s="39"/>
      <c r="V216" s="39"/>
      <c r="W216" s="3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21</v>
      </c>
      <c r="B217" s="35" t="s">
        <v>33</v>
      </c>
      <c r="C217" s="35" t="s">
        <v>41</v>
      </c>
      <c r="D217" s="35" t="s">
        <v>46</v>
      </c>
      <c r="E217" s="35" t="s">
        <v>25</v>
      </c>
      <c r="F217" s="35" t="s">
        <v>25</v>
      </c>
      <c r="G217" s="35" t="s">
        <v>25</v>
      </c>
      <c r="H217" s="35" t="s">
        <v>37</v>
      </c>
      <c r="I217" s="55">
        <v>44562</v>
      </c>
      <c r="J217" s="56">
        <f ca="1">EFEITO!$J$217*EFEITO!$Y$217</f>
        <v>7509.1696643681244</v>
      </c>
      <c r="K217" s="56">
        <f ca="1">EFEITO!$L$217*EFEITO!$Z$217</f>
        <v>775.54088297494729</v>
      </c>
      <c r="L217" s="56">
        <f>EFEITO!$N$217*EFEITO!$AA$217</f>
        <v>2893.7599078037674</v>
      </c>
      <c r="M217" s="56">
        <f ca="1">$J$217-EFEITO!$K$217*EFEITO!$Y$217</f>
        <v>0</v>
      </c>
      <c r="N217" s="56">
        <f ca="1">$K$217-EFEITO!$M$217*EFEITO!$Z$217</f>
        <v>0</v>
      </c>
      <c r="O217" s="56">
        <f>$L$217-EFEITO!$O$217*EFEITO!$AA$217</f>
        <v>0</v>
      </c>
      <c r="P217" s="39"/>
      <c r="Q217" s="39"/>
      <c r="R217" s="39"/>
      <c r="S217" s="39"/>
      <c r="T217" s="39"/>
      <c r="U217" s="39"/>
      <c r="V217" s="39"/>
      <c r="W217" s="3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21</v>
      </c>
      <c r="B218" s="35" t="s">
        <v>33</v>
      </c>
      <c r="C218" s="35" t="s">
        <v>41</v>
      </c>
      <c r="D218" s="35" t="s">
        <v>46</v>
      </c>
      <c r="E218" s="35" t="s">
        <v>25</v>
      </c>
      <c r="F218" s="35" t="s">
        <v>25</v>
      </c>
      <c r="G218" s="35" t="s">
        <v>25</v>
      </c>
      <c r="H218" s="35" t="s">
        <v>37</v>
      </c>
      <c r="I218" s="55">
        <v>44593</v>
      </c>
      <c r="J218" s="56">
        <f ca="1">EFEITO!$J$218*EFEITO!$Y$218</f>
        <v>6490.9771675046495</v>
      </c>
      <c r="K218" s="56">
        <f ca="1">EFEITO!$L$218*EFEITO!$Z$218</f>
        <v>782.6600190206151</v>
      </c>
      <c r="L218" s="56">
        <f>EFEITO!$N$218*EFEITO!$AA$218</f>
        <v>2920.3233951961138</v>
      </c>
      <c r="M218" s="56">
        <f ca="1">$J$218-EFEITO!$K$218*EFEITO!$Y$218</f>
        <v>0</v>
      </c>
      <c r="N218" s="56">
        <f ca="1">$K$218-EFEITO!$M$218*EFEITO!$Z$218</f>
        <v>0</v>
      </c>
      <c r="O218" s="56">
        <f>$L$218-EFEITO!$O$218*EFEITO!$AA$218</f>
        <v>0</v>
      </c>
      <c r="P218" s="39"/>
      <c r="Q218" s="39"/>
      <c r="R218" s="39"/>
      <c r="S218" s="39"/>
      <c r="T218" s="39"/>
      <c r="U218" s="39"/>
      <c r="V218" s="39"/>
      <c r="W218" s="3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21</v>
      </c>
      <c r="B219" s="35" t="s">
        <v>33</v>
      </c>
      <c r="C219" s="35" t="s">
        <v>41</v>
      </c>
      <c r="D219" s="35" t="s">
        <v>46</v>
      </c>
      <c r="E219" s="35" t="s">
        <v>25</v>
      </c>
      <c r="F219" s="35" t="s">
        <v>25</v>
      </c>
      <c r="G219" s="35" t="s">
        <v>25</v>
      </c>
      <c r="H219" s="35" t="s">
        <v>37</v>
      </c>
      <c r="I219" s="55">
        <v>44621</v>
      </c>
      <c r="J219" s="56">
        <f ca="1">EFEITO!$J$219*EFEITO!$Y$219</f>
        <v>7933.4165380612385</v>
      </c>
      <c r="K219" s="56">
        <f ca="1">EFEITO!$L$219*EFEITO!$Z$219</f>
        <v>855.07498098514338</v>
      </c>
      <c r="L219" s="56">
        <f>EFEITO!$N$219*EFEITO!$AA$219</f>
        <v>3190.5238685151407</v>
      </c>
      <c r="M219" s="56">
        <f ca="1">$J$219-EFEITO!$K$219*EFEITO!$Y$219</f>
        <v>0</v>
      </c>
      <c r="N219" s="56">
        <f ca="1">$K$219-EFEITO!$M$219*EFEITO!$Z$219</f>
        <v>0</v>
      </c>
      <c r="O219" s="56">
        <f>$L$219-EFEITO!$O$219*EFEITO!$AA$219</f>
        <v>0</v>
      </c>
      <c r="P219" s="39"/>
      <c r="Q219" s="39"/>
      <c r="R219" s="39"/>
      <c r="S219" s="39"/>
      <c r="T219" s="39"/>
      <c r="U219" s="39"/>
      <c r="V219" s="39"/>
      <c r="W219" s="3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21</v>
      </c>
      <c r="B220" s="35" t="s">
        <v>33</v>
      </c>
      <c r="C220" s="35" t="s">
        <v>41</v>
      </c>
      <c r="D220" s="35" t="s">
        <v>46</v>
      </c>
      <c r="E220" s="35" t="s">
        <v>25</v>
      </c>
      <c r="F220" s="35" t="s">
        <v>25</v>
      </c>
      <c r="G220" s="35" t="s">
        <v>25</v>
      </c>
      <c r="H220" s="35" t="s">
        <v>37</v>
      </c>
      <c r="I220" s="55">
        <v>44652</v>
      </c>
      <c r="J220" s="56">
        <f ca="1">EFEITO!$J$220*EFEITO!$Y$220</f>
        <v>5430.3599832718637</v>
      </c>
      <c r="K220" s="56">
        <f ca="1">EFEITO!$L$220*EFEITO!$Z$220</f>
        <v>628.4862290316197</v>
      </c>
      <c r="L220" s="56">
        <f>EFEITO!$N$220*EFEITO!$AA$220</f>
        <v>2345.057871355606</v>
      </c>
      <c r="M220" s="56">
        <f ca="1">$J$220-EFEITO!$K$220*EFEITO!$Y$220</f>
        <v>0</v>
      </c>
      <c r="N220" s="56">
        <f ca="1">$K$220-EFEITO!$M$220*EFEITO!$Z$220</f>
        <v>0</v>
      </c>
      <c r="O220" s="56">
        <f>$L$220-EFEITO!$O$220*EFEITO!$AA$220</f>
        <v>0</v>
      </c>
      <c r="P220" s="39"/>
      <c r="Q220" s="39"/>
      <c r="R220" s="39"/>
      <c r="S220" s="39"/>
      <c r="T220" s="39"/>
      <c r="U220" s="39"/>
      <c r="V220" s="39"/>
      <c r="W220" s="3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33</v>
      </c>
      <c r="C221" s="35" t="s">
        <v>41</v>
      </c>
      <c r="D221" s="35" t="s">
        <v>46</v>
      </c>
      <c r="E221" s="35" t="s">
        <v>25</v>
      </c>
      <c r="F221" s="35" t="s">
        <v>25</v>
      </c>
      <c r="G221" s="35" t="s">
        <v>25</v>
      </c>
      <c r="H221" s="35" t="s">
        <v>37</v>
      </c>
      <c r="I221" s="55">
        <v>44682</v>
      </c>
      <c r="J221" s="56">
        <f ca="1">EFEITO!$J$221*EFEITO!$Y$221</f>
        <v>5727.3327948570441</v>
      </c>
      <c r="K221" s="56">
        <f ca="1">EFEITO!$L$221*EFEITO!$Z$221</f>
        <v>669.53249779492364</v>
      </c>
      <c r="L221" s="56">
        <f>EFEITO!$N$221*EFEITO!$AA$221</f>
        <v>2498.212978352105</v>
      </c>
      <c r="M221" s="56">
        <f ca="1">$J$221-EFEITO!$K$221*EFEITO!$Y$221</f>
        <v>0</v>
      </c>
      <c r="N221" s="56">
        <f ca="1">$K$221-EFEITO!$M$221*EFEITO!$Z$221</f>
        <v>0</v>
      </c>
      <c r="O221" s="56">
        <f>$L$221-EFEITO!$O$221*EFEITO!$AA$221</f>
        <v>0</v>
      </c>
      <c r="P221" s="39"/>
      <c r="Q221" s="39"/>
      <c r="R221" s="39"/>
      <c r="S221" s="39"/>
      <c r="T221" s="39"/>
      <c r="U221" s="39"/>
      <c r="V221" s="39"/>
      <c r="W221" s="3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21</v>
      </c>
      <c r="B222" s="35" t="s">
        <v>33</v>
      </c>
      <c r="C222" s="35" t="s">
        <v>41</v>
      </c>
      <c r="D222" s="35" t="s">
        <v>50</v>
      </c>
      <c r="E222" s="35" t="s">
        <v>51</v>
      </c>
      <c r="F222" s="35" t="s">
        <v>25</v>
      </c>
      <c r="G222" s="35" t="s">
        <v>25</v>
      </c>
      <c r="H222" s="35" t="s">
        <v>35</v>
      </c>
      <c r="I222" s="55">
        <v>44348</v>
      </c>
      <c r="J222" s="56">
        <f ca="1">EFEITO!$J$222*EFEITO!$Y$209</f>
        <v>3766.1734710408168</v>
      </c>
      <c r="K222" s="56">
        <f ca="1">EFEITO!$L$222*EFEITO!$Z$209</f>
        <v>3572.3602204160115</v>
      </c>
      <c r="L222" s="56">
        <f>EFEITO!$N$222*EFEITO!$AA$209</f>
        <v>8318.9660363450148</v>
      </c>
      <c r="M222" s="56">
        <f ca="1">$J$222-EFEITO!$K$222*EFEITO!$Y$222</f>
        <v>112.98520413122469</v>
      </c>
      <c r="N222" s="56">
        <f ca="1">$K$222-EFEITO!$M$222*EFEITO!$Z$222</f>
        <v>107.17080661248065</v>
      </c>
      <c r="O222" s="56">
        <f>$L$222-EFEITO!$O$222*EFEITO!$AA$222</f>
        <v>249.56898109035046</v>
      </c>
      <c r="P222" s="39"/>
      <c r="Q222" s="39"/>
      <c r="R222" s="39"/>
      <c r="S222" s="39"/>
      <c r="T222" s="39"/>
      <c r="U222" s="39"/>
      <c r="V222" s="39"/>
      <c r="W222" s="3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33</v>
      </c>
      <c r="C223" s="35" t="s">
        <v>41</v>
      </c>
      <c r="D223" s="35" t="s">
        <v>50</v>
      </c>
      <c r="E223" s="35" t="s">
        <v>51</v>
      </c>
      <c r="F223" s="35" t="s">
        <v>25</v>
      </c>
      <c r="G223" s="35" t="s">
        <v>25</v>
      </c>
      <c r="H223" s="35" t="s">
        <v>35</v>
      </c>
      <c r="I223" s="55">
        <v>44378</v>
      </c>
      <c r="J223" s="56">
        <f ca="1">EFEITO!$J$223*EFEITO!$Y$209</f>
        <v>3766.1734710408168</v>
      </c>
      <c r="K223" s="56">
        <f ca="1">EFEITO!$L$223*EFEITO!$Z$209</f>
        <v>5355.8150363565355</v>
      </c>
      <c r="L223" s="56">
        <f>EFEITO!$N$223*EFEITO!$AA$209</f>
        <v>12472.102653524515</v>
      </c>
      <c r="M223" s="56">
        <f ca="1">$J$223-EFEITO!$K$223*EFEITO!$Y$223</f>
        <v>112.98520413122469</v>
      </c>
      <c r="N223" s="56">
        <f ca="1">$K$223-EFEITO!$M$223*EFEITO!$Z$223</f>
        <v>160.67445109069649</v>
      </c>
      <c r="O223" s="56">
        <f>$L$223-EFEITO!$O$223*EFEITO!$AA$223</f>
        <v>374.16307960573613</v>
      </c>
      <c r="P223" s="39"/>
      <c r="Q223" s="39"/>
      <c r="R223" s="39"/>
      <c r="S223" s="39"/>
      <c r="T223" s="39"/>
      <c r="U223" s="39"/>
      <c r="V223" s="39"/>
      <c r="W223" s="3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21</v>
      </c>
      <c r="B224" s="35" t="s">
        <v>33</v>
      </c>
      <c r="C224" s="35" t="s">
        <v>41</v>
      </c>
      <c r="D224" s="35" t="s">
        <v>50</v>
      </c>
      <c r="E224" s="35" t="s">
        <v>51</v>
      </c>
      <c r="F224" s="35" t="s">
        <v>25</v>
      </c>
      <c r="G224" s="35" t="s">
        <v>25</v>
      </c>
      <c r="H224" s="35" t="s">
        <v>35</v>
      </c>
      <c r="I224" s="55">
        <v>44409</v>
      </c>
      <c r="J224" s="56">
        <f ca="1">EFEITO!$J$224*EFEITO!$Y$209</f>
        <v>3766.1734710408168</v>
      </c>
      <c r="K224" s="56">
        <f ca="1">EFEITO!$L$224*EFEITO!$Z$209</f>
        <v>5328.7845666831399</v>
      </c>
      <c r="L224" s="56">
        <f>EFEITO!$N$224*EFEITO!$AA$209</f>
        <v>12409.156717144884</v>
      </c>
      <c r="M224" s="56">
        <f ca="1">$J$224-EFEITO!$K$224*EFEITO!$Y$224</f>
        <v>112.98520413122469</v>
      </c>
      <c r="N224" s="56">
        <f ca="1">$K$224-EFEITO!$M$224*EFEITO!$Z$224</f>
        <v>159.86353700049494</v>
      </c>
      <c r="O224" s="56">
        <f>$L$224-EFEITO!$O$224*EFEITO!$AA$224</f>
        <v>372.27470151434864</v>
      </c>
      <c r="P224" s="39"/>
      <c r="Q224" s="39"/>
      <c r="R224" s="39"/>
      <c r="S224" s="39"/>
      <c r="T224" s="39"/>
      <c r="U224" s="39"/>
      <c r="V224" s="39"/>
      <c r="W224" s="3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21</v>
      </c>
      <c r="B225" s="35" t="s">
        <v>33</v>
      </c>
      <c r="C225" s="35" t="s">
        <v>41</v>
      </c>
      <c r="D225" s="35" t="s">
        <v>50</v>
      </c>
      <c r="E225" s="35" t="s">
        <v>51</v>
      </c>
      <c r="F225" s="35" t="s">
        <v>25</v>
      </c>
      <c r="G225" s="35" t="s">
        <v>25</v>
      </c>
      <c r="H225" s="35" t="s">
        <v>35</v>
      </c>
      <c r="I225" s="55">
        <v>44440</v>
      </c>
      <c r="J225" s="56">
        <f ca="1">EFEITO!$J$225*EFEITO!$Y$209</f>
        <v>3766.1734710408168</v>
      </c>
      <c r="K225" s="56">
        <f ca="1">EFEITO!$L$225*EFEITO!$Z$209</f>
        <v>3680.0371531067385</v>
      </c>
      <c r="L225" s="56">
        <f>EFEITO!$N$225*EFEITO!$AA$209</f>
        <v>8569.7136347626383</v>
      </c>
      <c r="M225" s="56">
        <f ca="1">$J$225-EFEITO!$K$225*EFEITO!$Y$225</f>
        <v>112.98520413122469</v>
      </c>
      <c r="N225" s="56">
        <f ca="1">$K$225-EFEITO!$M$225*EFEITO!$Z$225</f>
        <v>110.40111459320269</v>
      </c>
      <c r="O225" s="56">
        <f>$L$225-EFEITO!$O$225*EFEITO!$AA$225</f>
        <v>257.0914090428796</v>
      </c>
      <c r="P225" s="39"/>
      <c r="Q225" s="39"/>
      <c r="R225" s="39"/>
      <c r="S225" s="39"/>
      <c r="T225" s="39"/>
      <c r="U225" s="39"/>
      <c r="V225" s="39"/>
      <c r="W225" s="3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21</v>
      </c>
      <c r="B226" s="35" t="s">
        <v>33</v>
      </c>
      <c r="C226" s="35" t="s">
        <v>41</v>
      </c>
      <c r="D226" s="35" t="s">
        <v>50</v>
      </c>
      <c r="E226" s="35" t="s">
        <v>51</v>
      </c>
      <c r="F226" s="35" t="s">
        <v>25</v>
      </c>
      <c r="G226" s="35" t="s">
        <v>25</v>
      </c>
      <c r="H226" s="35" t="s">
        <v>35</v>
      </c>
      <c r="I226" s="55">
        <v>44470</v>
      </c>
      <c r="J226" s="56">
        <f ca="1">EFEITO!$J$226*EFEITO!$Y$209</f>
        <v>3766.1734710408168</v>
      </c>
      <c r="K226" s="56">
        <f ca="1">EFEITO!$L$226*EFEITO!$Z$209</f>
        <v>6841.60097638757</v>
      </c>
      <c r="L226" s="56">
        <f>EFEITO!$N$226*EFEITO!$AA$209</f>
        <v>15932.056860202401</v>
      </c>
      <c r="M226" s="56">
        <f ca="1">$J$226-EFEITO!$K$226*EFEITO!$Y$226</f>
        <v>112.98520413122469</v>
      </c>
      <c r="N226" s="56">
        <f ca="1">$K$226-EFEITO!$M$226*EFEITO!$Z$226</f>
        <v>205.24802929162797</v>
      </c>
      <c r="O226" s="56">
        <f>$L$226-EFEITO!$O$226*EFEITO!$AA$226</f>
        <v>477.96170580607213</v>
      </c>
      <c r="P226" s="39"/>
      <c r="Q226" s="39"/>
      <c r="R226" s="39"/>
      <c r="S226" s="39"/>
      <c r="T226" s="39"/>
      <c r="U226" s="39"/>
      <c r="V226" s="39"/>
      <c r="W226" s="3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21</v>
      </c>
      <c r="B227" s="35" t="s">
        <v>33</v>
      </c>
      <c r="C227" s="35" t="s">
        <v>41</v>
      </c>
      <c r="D227" s="35" t="s">
        <v>50</v>
      </c>
      <c r="E227" s="35" t="s">
        <v>51</v>
      </c>
      <c r="F227" s="35" t="s">
        <v>25</v>
      </c>
      <c r="G227" s="35" t="s">
        <v>25</v>
      </c>
      <c r="H227" s="35" t="s">
        <v>35</v>
      </c>
      <c r="I227" s="55">
        <v>44501</v>
      </c>
      <c r="J227" s="56">
        <f ca="1">EFEITO!$J$227*EFEITO!$Y$209</f>
        <v>3766.1734710408168</v>
      </c>
      <c r="K227" s="56">
        <f ca="1">EFEITO!$L$227*EFEITO!$Z$209</f>
        <v>4316.8661196918756</v>
      </c>
      <c r="L227" s="56">
        <f>EFEITO!$N$227*EFEITO!$AA$209</f>
        <v>10052.699172924718</v>
      </c>
      <c r="M227" s="56">
        <f ca="1">$J$227-EFEITO!$K$227*EFEITO!$Y$227</f>
        <v>112.98520413122469</v>
      </c>
      <c r="N227" s="56">
        <f ca="1">$K$227-EFEITO!$M$227*EFEITO!$Z$227</f>
        <v>129.50598359075684</v>
      </c>
      <c r="O227" s="56">
        <f>$L$227-EFEITO!$O$227*EFEITO!$AA$227</f>
        <v>301.5809751877423</v>
      </c>
      <c r="P227" s="39"/>
      <c r="Q227" s="39"/>
      <c r="R227" s="39"/>
      <c r="S227" s="39"/>
      <c r="T227" s="39"/>
      <c r="U227" s="39"/>
      <c r="V227" s="39"/>
      <c r="W227" s="3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21</v>
      </c>
      <c r="B228" s="35" t="s">
        <v>33</v>
      </c>
      <c r="C228" s="35" t="s">
        <v>41</v>
      </c>
      <c r="D228" s="35" t="s">
        <v>50</v>
      </c>
      <c r="E228" s="35" t="s">
        <v>51</v>
      </c>
      <c r="F228" s="35" t="s">
        <v>25</v>
      </c>
      <c r="G228" s="35" t="s">
        <v>25</v>
      </c>
      <c r="H228" s="35" t="s">
        <v>35</v>
      </c>
      <c r="I228" s="55">
        <v>44531</v>
      </c>
      <c r="J228" s="56">
        <f ca="1">EFEITO!$J$228*EFEITO!$Y$209</f>
        <v>3766.1734710408168</v>
      </c>
      <c r="K228" s="56">
        <f ca="1">EFEITO!$L$228*EFEITO!$Z$209</f>
        <v>3496.385690428649</v>
      </c>
      <c r="L228" s="56">
        <f>EFEITO!$N$228*EFEITO!$AA$209</f>
        <v>8142.0439188664641</v>
      </c>
      <c r="M228" s="56">
        <f ca="1">$J$228-EFEITO!$K$228*EFEITO!$Y$228</f>
        <v>112.98520413122469</v>
      </c>
      <c r="N228" s="56">
        <f ca="1">$K$228-EFEITO!$M$228*EFEITO!$Z$228</f>
        <v>104.89157071285945</v>
      </c>
      <c r="O228" s="56">
        <f>$L$228-EFEITO!$O$228*EFEITO!$AA$228</f>
        <v>244.26131756599443</v>
      </c>
      <c r="P228" s="39"/>
      <c r="Q228" s="39"/>
      <c r="R228" s="39"/>
      <c r="S228" s="39"/>
      <c r="T228" s="39"/>
      <c r="U228" s="39"/>
      <c r="V228" s="39"/>
      <c r="W228" s="3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21</v>
      </c>
      <c r="B229" s="35" t="s">
        <v>33</v>
      </c>
      <c r="C229" s="35" t="s">
        <v>41</v>
      </c>
      <c r="D229" s="35" t="s">
        <v>50</v>
      </c>
      <c r="E229" s="35" t="s">
        <v>51</v>
      </c>
      <c r="F229" s="35" t="s">
        <v>25</v>
      </c>
      <c r="G229" s="35" t="s">
        <v>25</v>
      </c>
      <c r="H229" s="35" t="s">
        <v>35</v>
      </c>
      <c r="I229" s="55">
        <v>44562</v>
      </c>
      <c r="J229" s="56">
        <f ca="1">EFEITO!$J$229*EFEITO!$Y$209</f>
        <v>3766.1734710408168</v>
      </c>
      <c r="K229" s="56">
        <f ca="1">EFEITO!$L$229*EFEITO!$Z$209</f>
        <v>4136.4405155344793</v>
      </c>
      <c r="L229" s="56">
        <f>EFEITO!$N$229*EFEITO!$AA$209</f>
        <v>9632.5415235100645</v>
      </c>
      <c r="M229" s="56">
        <f ca="1">$J$229-EFEITO!$K$229*EFEITO!$Y$229</f>
        <v>112.98520413122469</v>
      </c>
      <c r="N229" s="56">
        <f ca="1">$K$229-EFEITO!$M$229*EFEITO!$Z$229</f>
        <v>124.09321546603451</v>
      </c>
      <c r="O229" s="56">
        <f>$L$229-EFEITO!$O$229*EFEITO!$AA$229</f>
        <v>288.97624570530206</v>
      </c>
      <c r="P229" s="39"/>
      <c r="Q229" s="39"/>
      <c r="R229" s="39"/>
      <c r="S229" s="39"/>
      <c r="T229" s="39"/>
      <c r="U229" s="39"/>
      <c r="V229" s="39"/>
      <c r="W229" s="3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21</v>
      </c>
      <c r="B230" s="35" t="s">
        <v>33</v>
      </c>
      <c r="C230" s="35" t="s">
        <v>41</v>
      </c>
      <c r="D230" s="35" t="s">
        <v>50</v>
      </c>
      <c r="E230" s="35" t="s">
        <v>51</v>
      </c>
      <c r="F230" s="35" t="s">
        <v>25</v>
      </c>
      <c r="G230" s="35" t="s">
        <v>25</v>
      </c>
      <c r="H230" s="35" t="s">
        <v>35</v>
      </c>
      <c r="I230" s="55">
        <v>44593</v>
      </c>
      <c r="J230" s="56">
        <f ca="1">EFEITO!$J$230*EFEITO!$Y$209</f>
        <v>3766.1734710408168</v>
      </c>
      <c r="K230" s="56">
        <f ca="1">EFEITO!$L$230*EFEITO!$Z$209</f>
        <v>6264.5060106856145</v>
      </c>
      <c r="L230" s="56">
        <f>EFEITO!$N$230*EFEITO!$AA$209</f>
        <v>14588.174070336048</v>
      </c>
      <c r="M230" s="56">
        <f ca="1">$J$230-EFEITO!$K$230*EFEITO!$Y$230</f>
        <v>112.98520413122469</v>
      </c>
      <c r="N230" s="56">
        <f ca="1">$K$230-EFEITO!$M$230*EFEITO!$Z$230</f>
        <v>187.93518032056818</v>
      </c>
      <c r="O230" s="56">
        <f>$L$230-EFEITO!$O$230*EFEITO!$AA$230</f>
        <v>437.64522211008261</v>
      </c>
      <c r="P230" s="39"/>
      <c r="Q230" s="39"/>
      <c r="R230" s="39"/>
      <c r="S230" s="39"/>
      <c r="T230" s="39"/>
      <c r="U230" s="39"/>
      <c r="V230" s="39"/>
      <c r="W230" s="3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21</v>
      </c>
      <c r="B231" s="35" t="s">
        <v>33</v>
      </c>
      <c r="C231" s="35" t="s">
        <v>41</v>
      </c>
      <c r="D231" s="35" t="s">
        <v>50</v>
      </c>
      <c r="E231" s="35" t="s">
        <v>51</v>
      </c>
      <c r="F231" s="35" t="s">
        <v>25</v>
      </c>
      <c r="G231" s="35" t="s">
        <v>25</v>
      </c>
      <c r="H231" s="35" t="s">
        <v>35</v>
      </c>
      <c r="I231" s="55">
        <v>44621</v>
      </c>
      <c r="J231" s="56">
        <f ca="1">EFEITO!$J$231*EFEITO!$Y$209</f>
        <v>3766.1734710408168</v>
      </c>
      <c r="K231" s="56">
        <f ca="1">EFEITO!$L$231*EFEITO!$Z$209</f>
        <v>2308.824808810672</v>
      </c>
      <c r="L231" s="56">
        <f>EFEITO!$N$231*EFEITO!$AA$209</f>
        <v>5376.5673065663123</v>
      </c>
      <c r="M231" s="56">
        <f ca="1">$J$231-EFEITO!$K$231*EFEITO!$Y$231</f>
        <v>112.98520413122469</v>
      </c>
      <c r="N231" s="56">
        <f ca="1">$K$231-EFEITO!$M$231*EFEITO!$Z$231</f>
        <v>69.264744264320143</v>
      </c>
      <c r="O231" s="56">
        <f>$L$231-EFEITO!$O$231*EFEITO!$AA$231</f>
        <v>161.29701919698982</v>
      </c>
      <c r="P231" s="39"/>
      <c r="Q231" s="39"/>
      <c r="R231" s="39"/>
      <c r="S231" s="39"/>
      <c r="T231" s="39"/>
      <c r="U231" s="39"/>
      <c r="V231" s="39"/>
      <c r="W231" s="3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33</v>
      </c>
      <c r="C232" s="35" t="s">
        <v>41</v>
      </c>
      <c r="D232" s="35" t="s">
        <v>50</v>
      </c>
      <c r="E232" s="35" t="s">
        <v>51</v>
      </c>
      <c r="F232" s="35" t="s">
        <v>25</v>
      </c>
      <c r="G232" s="35" t="s">
        <v>25</v>
      </c>
      <c r="H232" s="35" t="s">
        <v>35</v>
      </c>
      <c r="I232" s="55">
        <v>44652</v>
      </c>
      <c r="J232" s="56">
        <f ca="1">EFEITO!$J$232*EFEITO!$Y$209</f>
        <v>3766.1734710408168</v>
      </c>
      <c r="K232" s="56">
        <f ca="1">EFEITO!$L$232*EFEITO!$Z$209</f>
        <v>2705.827879857371</v>
      </c>
      <c r="L232" s="56">
        <f>EFEITO!$N$232*EFEITO!$AA$209</f>
        <v>6301.069557343686</v>
      </c>
      <c r="M232" s="56">
        <f ca="1">$J$232-EFEITO!$K$232*EFEITO!$Y$232</f>
        <v>112.98520413122469</v>
      </c>
      <c r="N232" s="56">
        <f ca="1">$K$232-EFEITO!$M$232*EFEITO!$Z$232</f>
        <v>81.174836395721286</v>
      </c>
      <c r="O232" s="56">
        <f>$L$232-EFEITO!$O$232*EFEITO!$AA$232</f>
        <v>189.03208672031087</v>
      </c>
      <c r="P232" s="39"/>
      <c r="Q232" s="39"/>
      <c r="R232" s="39"/>
      <c r="S232" s="39"/>
      <c r="T232" s="39"/>
      <c r="U232" s="39"/>
      <c r="V232" s="39"/>
      <c r="W232" s="3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21</v>
      </c>
      <c r="B233" s="35" t="s">
        <v>33</v>
      </c>
      <c r="C233" s="35" t="s">
        <v>41</v>
      </c>
      <c r="D233" s="35" t="s">
        <v>50</v>
      </c>
      <c r="E233" s="35" t="s">
        <v>51</v>
      </c>
      <c r="F233" s="35" t="s">
        <v>25</v>
      </c>
      <c r="G233" s="35" t="s">
        <v>25</v>
      </c>
      <c r="H233" s="35" t="s">
        <v>35</v>
      </c>
      <c r="I233" s="55">
        <v>44682</v>
      </c>
      <c r="J233" s="56">
        <f ca="1">EFEITO!$J$233*EFEITO!$Y$209</f>
        <v>3766.1734710408168</v>
      </c>
      <c r="K233" s="56">
        <f ca="1">EFEITO!$L$233*EFEITO!$Z$209</f>
        <v>3307.3948757163093</v>
      </c>
      <c r="L233" s="56">
        <f>EFEITO!$N$233*EFEITO!$AA$209</f>
        <v>7701.9404377594992</v>
      </c>
      <c r="M233" s="56">
        <f ca="1">$J$233-EFEITO!$K$233*EFEITO!$Y$233</f>
        <v>112.98520413122469</v>
      </c>
      <c r="N233" s="56">
        <f ca="1">$K$233-EFEITO!$M$233*EFEITO!$Z$233</f>
        <v>99.22184627148954</v>
      </c>
      <c r="O233" s="56">
        <f>$L$233-EFEITO!$O$233*EFEITO!$AA$233</f>
        <v>231.05821313278557</v>
      </c>
      <c r="P233" s="39"/>
      <c r="Q233" s="39"/>
      <c r="R233" s="39"/>
      <c r="S233" s="39"/>
      <c r="T233" s="39"/>
      <c r="U233" s="39"/>
      <c r="V233" s="39"/>
      <c r="W233" s="3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21</v>
      </c>
      <c r="B234" s="35" t="s">
        <v>33</v>
      </c>
      <c r="C234" s="35" t="s">
        <v>41</v>
      </c>
      <c r="D234" s="35" t="s">
        <v>50</v>
      </c>
      <c r="E234" s="35" t="s">
        <v>51</v>
      </c>
      <c r="F234" s="35" t="s">
        <v>25</v>
      </c>
      <c r="G234" s="35" t="s">
        <v>25</v>
      </c>
      <c r="H234" s="35" t="s">
        <v>37</v>
      </c>
      <c r="I234" s="55">
        <v>44348</v>
      </c>
      <c r="J234" s="56">
        <f ca="1">EFEITO!$J$234*EFEITO!$Y$221</f>
        <v>9672.8287202030078</v>
      </c>
      <c r="K234" s="56">
        <f ca="1">EFEITO!$L$234*EFEITO!$Z$221</f>
        <v>466.74835699410193</v>
      </c>
      <c r="L234" s="56">
        <f>EFEITO!$N$234*EFEITO!$AA$221</f>
        <v>1741.5686421607295</v>
      </c>
      <c r="M234" s="56">
        <f ca="1">$J$234-EFEITO!$K$234*EFEITO!$Y$234</f>
        <v>290.18486160609064</v>
      </c>
      <c r="N234" s="56">
        <f ca="1">$K$234-EFEITO!$M$234*EFEITO!$Z$234</f>
        <v>14.002450709823108</v>
      </c>
      <c r="O234" s="56">
        <f>$L$234-EFEITO!$O$234*EFEITO!$AA$234</f>
        <v>52.247059264821928</v>
      </c>
      <c r="P234" s="39"/>
      <c r="Q234" s="39"/>
      <c r="R234" s="39"/>
      <c r="S234" s="39"/>
      <c r="T234" s="39"/>
      <c r="U234" s="39"/>
      <c r="V234" s="39"/>
      <c r="W234" s="3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21</v>
      </c>
      <c r="B235" s="35" t="s">
        <v>33</v>
      </c>
      <c r="C235" s="35" t="s">
        <v>41</v>
      </c>
      <c r="D235" s="35" t="s">
        <v>50</v>
      </c>
      <c r="E235" s="35" t="s">
        <v>51</v>
      </c>
      <c r="F235" s="35" t="s">
        <v>25</v>
      </c>
      <c r="G235" s="35" t="s">
        <v>25</v>
      </c>
      <c r="H235" s="35" t="s">
        <v>37</v>
      </c>
      <c r="I235" s="55">
        <v>44378</v>
      </c>
      <c r="J235" s="56">
        <f ca="1">EFEITO!$J$235*EFEITO!$Y$221</f>
        <v>9672.8287202030078</v>
      </c>
      <c r="K235" s="56">
        <f ca="1">EFEITO!$L$235*EFEITO!$Z$221</f>
        <v>708.02032704181579</v>
      </c>
      <c r="L235" s="56">
        <f>EFEITO!$N$235*EFEITO!$AA$221</f>
        <v>2641.8218320669794</v>
      </c>
      <c r="M235" s="56">
        <f ca="1">$J$235-EFEITO!$K$235*EFEITO!$Y$235</f>
        <v>290.18486160609064</v>
      </c>
      <c r="N235" s="56">
        <f ca="1">$K$235-EFEITO!$M$235*EFEITO!$Z$235</f>
        <v>21.240609811254558</v>
      </c>
      <c r="O235" s="56">
        <f>$L$235-EFEITO!$O$235*EFEITO!$AA$235</f>
        <v>79.254654962009681</v>
      </c>
      <c r="P235" s="39"/>
      <c r="Q235" s="39"/>
      <c r="R235" s="39"/>
      <c r="S235" s="39"/>
      <c r="T235" s="39"/>
      <c r="U235" s="39"/>
      <c r="V235" s="39"/>
      <c r="W235" s="3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33</v>
      </c>
      <c r="C236" s="35" t="s">
        <v>41</v>
      </c>
      <c r="D236" s="35" t="s">
        <v>50</v>
      </c>
      <c r="E236" s="35" t="s">
        <v>51</v>
      </c>
      <c r="F236" s="35" t="s">
        <v>25</v>
      </c>
      <c r="G236" s="35" t="s">
        <v>25</v>
      </c>
      <c r="H236" s="35" t="s">
        <v>37</v>
      </c>
      <c r="I236" s="55">
        <v>44409</v>
      </c>
      <c r="J236" s="56">
        <f ca="1">EFEITO!$J$236*EFEITO!$Y$221</f>
        <v>9672.8287202030078</v>
      </c>
      <c r="K236" s="56">
        <f ca="1">EFEITO!$L$236*EFEITO!$Z$221</f>
        <v>712.46978707035828</v>
      </c>
      <c r="L236" s="56">
        <f>EFEITO!$N$236*EFEITO!$AA$221</f>
        <v>2658.4240116871961</v>
      </c>
      <c r="M236" s="56">
        <f ca="1">$J$236-EFEITO!$K$236*EFEITO!$Y$236</f>
        <v>290.18486160609064</v>
      </c>
      <c r="N236" s="56">
        <f ca="1">$K$236-EFEITO!$M$236*EFEITO!$Z$236</f>
        <v>21.374093612110869</v>
      </c>
      <c r="O236" s="56">
        <f>$L$236-EFEITO!$O$236*EFEITO!$AA$236</f>
        <v>79.752720350616073</v>
      </c>
      <c r="P236" s="39"/>
      <c r="Q236" s="39"/>
      <c r="R236" s="39"/>
      <c r="S236" s="39"/>
      <c r="T236" s="39"/>
      <c r="U236" s="39"/>
      <c r="V236" s="39"/>
      <c r="W236" s="3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21</v>
      </c>
      <c r="B237" s="35" t="s">
        <v>33</v>
      </c>
      <c r="C237" s="35" t="s">
        <v>41</v>
      </c>
      <c r="D237" s="35" t="s">
        <v>50</v>
      </c>
      <c r="E237" s="35" t="s">
        <v>51</v>
      </c>
      <c r="F237" s="35" t="s">
        <v>25</v>
      </c>
      <c r="G237" s="35" t="s">
        <v>25</v>
      </c>
      <c r="H237" s="35" t="s">
        <v>37</v>
      </c>
      <c r="I237" s="55">
        <v>44440</v>
      </c>
      <c r="J237" s="56">
        <f ca="1">EFEITO!$J$237*EFEITO!$Y$221</f>
        <v>9672.8287202030078</v>
      </c>
      <c r="K237" s="56">
        <f ca="1">EFEITO!$L$237*EFEITO!$Z$221</f>
        <v>421.36386470296907</v>
      </c>
      <c r="L237" s="56">
        <f>EFEITO!$N$237*EFEITO!$AA$221</f>
        <v>1572.2264100345194</v>
      </c>
      <c r="M237" s="56">
        <f ca="1">$J$237-EFEITO!$K$237*EFEITO!$Y$237</f>
        <v>290.18486160609064</v>
      </c>
      <c r="N237" s="56">
        <f ca="1">$K$237-EFEITO!$M$237*EFEITO!$Z$237</f>
        <v>12.640915941089133</v>
      </c>
      <c r="O237" s="56">
        <f>$L$237-EFEITO!$O$237*EFEITO!$AA$237</f>
        <v>47.166792301035457</v>
      </c>
      <c r="P237" s="39"/>
      <c r="Q237" s="39"/>
      <c r="R237" s="39"/>
      <c r="S237" s="39"/>
      <c r="T237" s="39"/>
      <c r="U237" s="39"/>
      <c r="V237" s="39"/>
      <c r="W237" s="3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33</v>
      </c>
      <c r="C238" s="35" t="s">
        <v>41</v>
      </c>
      <c r="D238" s="35" t="s">
        <v>50</v>
      </c>
      <c r="E238" s="35" t="s">
        <v>51</v>
      </c>
      <c r="F238" s="35" t="s">
        <v>25</v>
      </c>
      <c r="G238" s="35" t="s">
        <v>25</v>
      </c>
      <c r="H238" s="35" t="s">
        <v>37</v>
      </c>
      <c r="I238" s="55">
        <v>44470</v>
      </c>
      <c r="J238" s="56">
        <f ca="1">EFEITO!$J$238*EFEITO!$Y$221</f>
        <v>9672.8287202030078</v>
      </c>
      <c r="K238" s="56">
        <f ca="1">EFEITO!$L$238*EFEITO!$Z$221</f>
        <v>891.22684371705077</v>
      </c>
      <c r="L238" s="56">
        <f>EFEITO!$N$238*EFEITO!$AA$221</f>
        <v>3325.4165779294012</v>
      </c>
      <c r="M238" s="56">
        <f ca="1">$J$238-EFEITO!$K$238*EFEITO!$Y$238</f>
        <v>290.18486160609064</v>
      </c>
      <c r="N238" s="56">
        <f ca="1">$K$238-EFEITO!$M$238*EFEITO!$Z$238</f>
        <v>26.736805311511603</v>
      </c>
      <c r="O238" s="56">
        <f>$L$238-EFEITO!$O$238*EFEITO!$AA$238</f>
        <v>99.762497337882451</v>
      </c>
      <c r="P238" s="39"/>
      <c r="Q238" s="39"/>
      <c r="R238" s="39"/>
      <c r="S238" s="39"/>
      <c r="T238" s="39"/>
      <c r="U238" s="39"/>
      <c r="V238" s="39"/>
      <c r="W238" s="3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21</v>
      </c>
      <c r="B239" s="35" t="s">
        <v>33</v>
      </c>
      <c r="C239" s="35" t="s">
        <v>41</v>
      </c>
      <c r="D239" s="35" t="s">
        <v>50</v>
      </c>
      <c r="E239" s="35" t="s">
        <v>51</v>
      </c>
      <c r="F239" s="35" t="s">
        <v>25</v>
      </c>
      <c r="G239" s="35" t="s">
        <v>25</v>
      </c>
      <c r="H239" s="35" t="s">
        <v>37</v>
      </c>
      <c r="I239" s="55">
        <v>44501</v>
      </c>
      <c r="J239" s="56">
        <f ca="1">EFEITO!$J$239*EFEITO!$Y$221</f>
        <v>9672.8287202030078</v>
      </c>
      <c r="K239" s="56">
        <f ca="1">EFEITO!$L$239*EFEITO!$Z$221</f>
        <v>541.94423147646921</v>
      </c>
      <c r="L239" s="56">
        <f>EFEITO!$N$239*EFEITO!$AA$221</f>
        <v>2022.1454777423914</v>
      </c>
      <c r="M239" s="56">
        <f ca="1">$J$239-EFEITO!$K$239*EFEITO!$Y$239</f>
        <v>290.18486160609064</v>
      </c>
      <c r="N239" s="56">
        <f ca="1">$K$239-EFEITO!$M$239*EFEITO!$Z$239</f>
        <v>16.25832694429414</v>
      </c>
      <c r="O239" s="56">
        <f>$L$239-EFEITO!$O$239*EFEITO!$AA$239</f>
        <v>60.664364332271816</v>
      </c>
      <c r="P239" s="39"/>
      <c r="Q239" s="39"/>
      <c r="R239" s="39"/>
      <c r="S239" s="39"/>
      <c r="T239" s="39"/>
      <c r="U239" s="39"/>
      <c r="V239" s="39"/>
      <c r="W239" s="3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21</v>
      </c>
      <c r="B240" s="35" t="s">
        <v>33</v>
      </c>
      <c r="C240" s="35" t="s">
        <v>41</v>
      </c>
      <c r="D240" s="35" t="s">
        <v>50</v>
      </c>
      <c r="E240" s="35" t="s">
        <v>51</v>
      </c>
      <c r="F240" s="35" t="s">
        <v>25</v>
      </c>
      <c r="G240" s="35" t="s">
        <v>25</v>
      </c>
      <c r="H240" s="35" t="s">
        <v>37</v>
      </c>
      <c r="I240" s="55">
        <v>44531</v>
      </c>
      <c r="J240" s="56">
        <f ca="1">EFEITO!$J$240*EFEITO!$Y$221</f>
        <v>9672.8287202030078</v>
      </c>
      <c r="K240" s="56">
        <f ca="1">EFEITO!$L$240*EFEITO!$Z$221</f>
        <v>222.36176492640845</v>
      </c>
      <c r="L240" s="56">
        <f>EFEITO!$N$240*EFEITO!$AA$221</f>
        <v>829.69392652032866</v>
      </c>
      <c r="M240" s="56">
        <f ca="1">$J$240-EFEITO!$K$240*EFEITO!$Y$240</f>
        <v>290.18486160609064</v>
      </c>
      <c r="N240" s="56">
        <f ca="1">$K$240-EFEITO!$M$240*EFEITO!$Z$240</f>
        <v>6.6708529477922696</v>
      </c>
      <c r="O240" s="56">
        <f>$L$240-EFEITO!$O$240*EFEITO!$AA$240</f>
        <v>24.890817795609905</v>
      </c>
      <c r="P240" s="39"/>
      <c r="Q240" s="39"/>
      <c r="R240" s="39"/>
      <c r="S240" s="39"/>
      <c r="T240" s="39"/>
      <c r="U240" s="39"/>
      <c r="V240" s="39"/>
      <c r="W240" s="3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21</v>
      </c>
      <c r="B241" s="35" t="s">
        <v>33</v>
      </c>
      <c r="C241" s="35" t="s">
        <v>41</v>
      </c>
      <c r="D241" s="35" t="s">
        <v>50</v>
      </c>
      <c r="E241" s="35" t="s">
        <v>51</v>
      </c>
      <c r="F241" s="35" t="s">
        <v>25</v>
      </c>
      <c r="G241" s="35" t="s">
        <v>25</v>
      </c>
      <c r="H241" s="35" t="s">
        <v>37</v>
      </c>
      <c r="I241" s="55">
        <v>44562</v>
      </c>
      <c r="J241" s="56">
        <f ca="1">EFEITO!$J$241*EFEITO!$Y$221</f>
        <v>9672.8287202030078</v>
      </c>
      <c r="K241" s="56">
        <f ca="1">EFEITO!$L$241*EFEITO!$Z$221</f>
        <v>453.28874040776111</v>
      </c>
      <c r="L241" s="56">
        <f>EFEITO!$N$241*EFEITO!$AA$221</f>
        <v>1691.3470488095743</v>
      </c>
      <c r="M241" s="56">
        <f ca="1">$J$241-EFEITO!$K$241*EFEITO!$Y$241</f>
        <v>290.18486160609064</v>
      </c>
      <c r="N241" s="56">
        <f ca="1">$K$241-EFEITO!$M$241*EFEITO!$Z$241</f>
        <v>13.598662212232909</v>
      </c>
      <c r="O241" s="56">
        <f>$L$241-EFEITO!$O$241*EFEITO!$AA$241</f>
        <v>50.740411464287263</v>
      </c>
      <c r="P241" s="39"/>
      <c r="Q241" s="39"/>
      <c r="R241" s="39"/>
      <c r="S241" s="39"/>
      <c r="T241" s="39"/>
      <c r="U241" s="39"/>
      <c r="V241" s="39"/>
      <c r="W241" s="3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21</v>
      </c>
      <c r="B242" s="35" t="s">
        <v>33</v>
      </c>
      <c r="C242" s="35" t="s">
        <v>41</v>
      </c>
      <c r="D242" s="35" t="s">
        <v>50</v>
      </c>
      <c r="E242" s="35" t="s">
        <v>51</v>
      </c>
      <c r="F242" s="35" t="s">
        <v>25</v>
      </c>
      <c r="G242" s="35" t="s">
        <v>25</v>
      </c>
      <c r="H242" s="35" t="s">
        <v>37</v>
      </c>
      <c r="I242" s="55">
        <v>44593</v>
      </c>
      <c r="J242" s="56">
        <f ca="1">EFEITO!$J$242*EFEITO!$Y$221</f>
        <v>9672.8287202030078</v>
      </c>
      <c r="K242" s="56">
        <f ca="1">EFEITO!$L$242*EFEITO!$Z$221</f>
        <v>192.32790973374699</v>
      </c>
      <c r="L242" s="56">
        <f>EFEITO!$N$242*EFEITO!$AA$221</f>
        <v>717.62921408386603</v>
      </c>
      <c r="M242" s="56">
        <f ca="1">$J$242-EFEITO!$K$242*EFEITO!$Y$242</f>
        <v>290.18486160609064</v>
      </c>
      <c r="N242" s="56">
        <f ca="1">$K$242-EFEITO!$M$242*EFEITO!$Z$242</f>
        <v>5.7698372920124257</v>
      </c>
      <c r="O242" s="56">
        <f>$L$242-EFEITO!$O$242*EFEITO!$AA$242</f>
        <v>21.528876422516078</v>
      </c>
      <c r="P242" s="39"/>
      <c r="Q242" s="39"/>
      <c r="R242" s="39"/>
      <c r="S242" s="39"/>
      <c r="T242" s="39"/>
      <c r="U242" s="39"/>
      <c r="V242" s="39"/>
      <c r="W242" s="3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21</v>
      </c>
      <c r="B243" s="35" t="s">
        <v>33</v>
      </c>
      <c r="C243" s="35" t="s">
        <v>41</v>
      </c>
      <c r="D243" s="35" t="s">
        <v>50</v>
      </c>
      <c r="E243" s="35" t="s">
        <v>51</v>
      </c>
      <c r="F243" s="35" t="s">
        <v>25</v>
      </c>
      <c r="G243" s="35" t="s">
        <v>25</v>
      </c>
      <c r="H243" s="35" t="s">
        <v>37</v>
      </c>
      <c r="I243" s="55">
        <v>44621</v>
      </c>
      <c r="J243" s="56">
        <f ca="1">EFEITO!$J$243*EFEITO!$Y$221</f>
        <v>9672.8287202030078</v>
      </c>
      <c r="K243" s="56">
        <f ca="1">EFEITO!$L$243*EFEITO!$Z$221</f>
        <v>59.400291381041576</v>
      </c>
      <c r="L243" s="56">
        <f>EFEITO!$N$243*EFEITO!$AA$221</f>
        <v>221.6390979298927</v>
      </c>
      <c r="M243" s="56">
        <f ca="1">$J$243-EFEITO!$K$243*EFEITO!$Y$243</f>
        <v>290.18486160609064</v>
      </c>
      <c r="N243" s="56">
        <f ca="1">$K$243-EFEITO!$M$243*EFEITO!$Z$243</f>
        <v>1.7820087414312482</v>
      </c>
      <c r="O243" s="56">
        <f>$L$243-EFEITO!$O$243*EFEITO!$AA$243</f>
        <v>6.6491729378967932</v>
      </c>
      <c r="P243" s="39"/>
      <c r="Q243" s="39"/>
      <c r="R243" s="39"/>
      <c r="S243" s="39"/>
      <c r="T243" s="39"/>
      <c r="U243" s="39"/>
      <c r="V243" s="39"/>
      <c r="W243" s="3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21</v>
      </c>
      <c r="B244" s="35" t="s">
        <v>33</v>
      </c>
      <c r="C244" s="35" t="s">
        <v>41</v>
      </c>
      <c r="D244" s="35" t="s">
        <v>50</v>
      </c>
      <c r="E244" s="35" t="s">
        <v>51</v>
      </c>
      <c r="F244" s="35" t="s">
        <v>25</v>
      </c>
      <c r="G244" s="35" t="s">
        <v>25</v>
      </c>
      <c r="H244" s="35" t="s">
        <v>37</v>
      </c>
      <c r="I244" s="55">
        <v>44652</v>
      </c>
      <c r="J244" s="56">
        <f ca="1">EFEITO!$J$244*EFEITO!$Y$221</f>
        <v>9672.8287202030078</v>
      </c>
      <c r="K244" s="56">
        <f ca="1">EFEITO!$L$244*EFEITO!$Z$221</f>
        <v>61.402548393885674</v>
      </c>
      <c r="L244" s="56">
        <f>EFEITO!$N$244*EFEITO!$AA$221</f>
        <v>229.1100787589902</v>
      </c>
      <c r="M244" s="56">
        <f ca="1">$J$244-EFEITO!$K$244*EFEITO!$Y$244</f>
        <v>290.18486160609064</v>
      </c>
      <c r="N244" s="56">
        <f ca="1">$K$244-EFEITO!$M$244*EFEITO!$Z$244</f>
        <v>1.842076451816574</v>
      </c>
      <c r="O244" s="56">
        <f>$L$244-EFEITO!$O$244*EFEITO!$AA$244</f>
        <v>6.8733023627697207</v>
      </c>
      <c r="P244" s="39"/>
      <c r="Q244" s="39"/>
      <c r="R244" s="39"/>
      <c r="S244" s="39"/>
      <c r="T244" s="39"/>
      <c r="U244" s="39"/>
      <c r="V244" s="39"/>
      <c r="W244" s="3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21</v>
      </c>
      <c r="B245" s="35" t="s">
        <v>33</v>
      </c>
      <c r="C245" s="35" t="s">
        <v>41</v>
      </c>
      <c r="D245" s="35" t="s">
        <v>50</v>
      </c>
      <c r="E245" s="35" t="s">
        <v>51</v>
      </c>
      <c r="F245" s="35" t="s">
        <v>25</v>
      </c>
      <c r="G245" s="35" t="s">
        <v>25</v>
      </c>
      <c r="H245" s="35" t="s">
        <v>37</v>
      </c>
      <c r="I245" s="55">
        <v>44682</v>
      </c>
      <c r="J245" s="56">
        <f ca="1">EFEITO!$J$245*EFEITO!$Y$221</f>
        <v>9672.8287202030078</v>
      </c>
      <c r="K245" s="56">
        <f ca="1">EFEITO!$L$245*EFEITO!$Z$221</f>
        <v>70.523941452397679</v>
      </c>
      <c r="L245" s="56">
        <f>EFEITO!$N$245*EFEITO!$AA$221</f>
        <v>263.14454698043437</v>
      </c>
      <c r="M245" s="56">
        <f ca="1">$J$245-EFEITO!$K$245*EFEITO!$Y$245</f>
        <v>290.18486160609064</v>
      </c>
      <c r="N245" s="56">
        <f ca="1">$K$245-EFEITO!$M$245*EFEITO!$Z$245</f>
        <v>2.1157182435719335</v>
      </c>
      <c r="O245" s="56">
        <f>$L$245-EFEITO!$O$245*EFEITO!$AA$245</f>
        <v>7.8943364094130288</v>
      </c>
      <c r="P245" s="39"/>
      <c r="Q245" s="39"/>
      <c r="R245" s="39"/>
      <c r="S245" s="39"/>
      <c r="T245" s="39"/>
      <c r="U245" s="39"/>
      <c r="V245" s="39"/>
      <c r="W245" s="3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21</v>
      </c>
      <c r="B246" s="35" t="s">
        <v>33</v>
      </c>
      <c r="C246" s="35" t="s">
        <v>34</v>
      </c>
      <c r="D246" s="35" t="s">
        <v>43</v>
      </c>
      <c r="E246" s="35" t="s">
        <v>25</v>
      </c>
      <c r="F246" s="35" t="s">
        <v>25</v>
      </c>
      <c r="G246" s="35" t="s">
        <v>25</v>
      </c>
      <c r="H246" s="35" t="s">
        <v>35</v>
      </c>
      <c r="I246" s="55">
        <v>44348</v>
      </c>
      <c r="J246" s="56">
        <f>EFEITO!$J$246*EFEITO!$Y$246</f>
        <v>0</v>
      </c>
      <c r="K246" s="56">
        <f ca="1">EFEITO!$L$246*EFEITO!$Z$246</f>
        <v>93659.020107304808</v>
      </c>
      <c r="L246" s="56">
        <f>EFEITO!$N$246*EFEITO!$AA$246</f>
        <v>218104.04304056708</v>
      </c>
      <c r="M246" s="56">
        <f>$J$246-EFEITO!$K$246*EFEITO!$Y$246</f>
        <v>0</v>
      </c>
      <c r="N246" s="56">
        <f ca="1">$K$246-EFEITO!$M$246*EFEITO!$Z$246</f>
        <v>0</v>
      </c>
      <c r="O246" s="56">
        <f>$L$246-EFEITO!$O$246*EFEITO!$AA$246</f>
        <v>0</v>
      </c>
      <c r="P246" s="39"/>
      <c r="Q246" s="39"/>
      <c r="R246" s="39"/>
      <c r="S246" s="39"/>
      <c r="T246" s="39"/>
      <c r="U246" s="39"/>
      <c r="V246" s="39"/>
      <c r="W246" s="3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21</v>
      </c>
      <c r="B247" s="35" t="s">
        <v>33</v>
      </c>
      <c r="C247" s="35" t="s">
        <v>34</v>
      </c>
      <c r="D247" s="35" t="s">
        <v>43</v>
      </c>
      <c r="E247" s="35" t="s">
        <v>25</v>
      </c>
      <c r="F247" s="35" t="s">
        <v>25</v>
      </c>
      <c r="G247" s="35" t="s">
        <v>25</v>
      </c>
      <c r="H247" s="35" t="s">
        <v>35</v>
      </c>
      <c r="I247" s="55">
        <v>44378</v>
      </c>
      <c r="J247" s="56">
        <f>EFEITO!$J$247*EFEITO!$Y$247</f>
        <v>0</v>
      </c>
      <c r="K247" s="56">
        <f ca="1">EFEITO!$L$247*EFEITO!$Z$247</f>
        <v>97084.21443727678</v>
      </c>
      <c r="L247" s="56">
        <f>EFEITO!$N$247*EFEITO!$AA$247</f>
        <v>226080.30342328968</v>
      </c>
      <c r="M247" s="56">
        <f>$J$247-EFEITO!$K$247*EFEITO!$Y$247</f>
        <v>0</v>
      </c>
      <c r="N247" s="56">
        <f ca="1">$K$247-EFEITO!$M$247*EFEITO!$Z$247</f>
        <v>0</v>
      </c>
      <c r="O247" s="56">
        <f>$L$247-EFEITO!$O$247*EFEITO!$AA$247</f>
        <v>0</v>
      </c>
      <c r="P247" s="39"/>
      <c r="Q247" s="39"/>
      <c r="R247" s="39"/>
      <c r="S247" s="39"/>
      <c r="T247" s="39"/>
      <c r="U247" s="39"/>
      <c r="V247" s="39"/>
      <c r="W247" s="3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21</v>
      </c>
      <c r="B248" s="35" t="s">
        <v>33</v>
      </c>
      <c r="C248" s="35" t="s">
        <v>34</v>
      </c>
      <c r="D248" s="35" t="s">
        <v>43</v>
      </c>
      <c r="E248" s="35" t="s">
        <v>25</v>
      </c>
      <c r="F248" s="35" t="s">
        <v>25</v>
      </c>
      <c r="G248" s="35" t="s">
        <v>25</v>
      </c>
      <c r="H248" s="35" t="s">
        <v>35</v>
      </c>
      <c r="I248" s="55">
        <v>44409</v>
      </c>
      <c r="J248" s="56">
        <f>EFEITO!$J$248*EFEITO!$Y$248</f>
        <v>0</v>
      </c>
      <c r="K248" s="56">
        <f ca="1">EFEITO!$L$248*EFEITO!$Z$248</f>
        <v>98409.374870277432</v>
      </c>
      <c r="L248" s="56">
        <f>EFEITO!$N$248*EFEITO!$AA$248</f>
        <v>229166.20852654293</v>
      </c>
      <c r="M248" s="56">
        <f>$J$248-EFEITO!$K$248*EFEITO!$Y$248</f>
        <v>0</v>
      </c>
      <c r="N248" s="56">
        <f ca="1">$K$248-EFEITO!$M$248*EFEITO!$Z$248</f>
        <v>0</v>
      </c>
      <c r="O248" s="56">
        <f>$L$248-EFEITO!$O$248*EFEITO!$AA$248</f>
        <v>0</v>
      </c>
      <c r="P248" s="39"/>
      <c r="Q248" s="39"/>
      <c r="R248" s="39"/>
      <c r="S248" s="39"/>
      <c r="T248" s="39"/>
      <c r="U248" s="39"/>
      <c r="V248" s="39"/>
      <c r="W248" s="3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28</v>
      </c>
      <c r="B249" s="35" t="s">
        <v>33</v>
      </c>
      <c r="C249" s="35" t="s">
        <v>34</v>
      </c>
      <c r="D249" s="35" t="s">
        <v>43</v>
      </c>
      <c r="E249" s="35" t="s">
        <v>25</v>
      </c>
      <c r="F249" s="35" t="s">
        <v>25</v>
      </c>
      <c r="G249" s="35" t="s">
        <v>25</v>
      </c>
      <c r="H249" s="35" t="s">
        <v>35</v>
      </c>
      <c r="I249" s="55">
        <v>44409</v>
      </c>
      <c r="J249" s="56">
        <f>EFEITO!$J$249*EFEITO!$Y$249</f>
        <v>0</v>
      </c>
      <c r="K249" s="56">
        <f ca="1">EFEITO!$L$249*EFEITO!$Z$249</f>
        <v>511.24295727952637</v>
      </c>
      <c r="L249" s="56">
        <f>EFEITO!$N$249*EFEITO!$AA$249</f>
        <v>1190.5330189332612</v>
      </c>
      <c r="M249" s="56">
        <f>$J$249-EFEITO!$K$249*EFEITO!$Y$249</f>
        <v>0</v>
      </c>
      <c r="N249" s="56">
        <f ca="1">$K$249-EFEITO!$M$249*EFEITO!$Z$249</f>
        <v>0</v>
      </c>
      <c r="O249" s="56">
        <f>$L$249-EFEITO!$O$249*EFEITO!$AA$249</f>
        <v>0</v>
      </c>
      <c r="P249" s="39"/>
      <c r="Q249" s="39"/>
      <c r="R249" s="39"/>
      <c r="S249" s="39"/>
      <c r="T249" s="39"/>
      <c r="U249" s="39"/>
      <c r="V249" s="39"/>
      <c r="W249" s="3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33</v>
      </c>
      <c r="C250" s="35" t="s">
        <v>34</v>
      </c>
      <c r="D250" s="35" t="s">
        <v>43</v>
      </c>
      <c r="E250" s="35" t="s">
        <v>25</v>
      </c>
      <c r="F250" s="35" t="s">
        <v>25</v>
      </c>
      <c r="G250" s="35" t="s">
        <v>25</v>
      </c>
      <c r="H250" s="35" t="s">
        <v>35</v>
      </c>
      <c r="I250" s="55">
        <v>44440</v>
      </c>
      <c r="J250" s="56">
        <f>EFEITO!$J$250*EFEITO!$Y$250</f>
        <v>0</v>
      </c>
      <c r="K250" s="56">
        <f ca="1">EFEITO!$L$250*EFEITO!$Z$250</f>
        <v>101301.30141582858</v>
      </c>
      <c r="L250" s="56">
        <f>EFEITO!$N$250*EFEITO!$AA$250</f>
        <v>235900.64660883771</v>
      </c>
      <c r="M250" s="56">
        <f>$J$250-EFEITO!$K$250*EFEITO!$Y$250</f>
        <v>0</v>
      </c>
      <c r="N250" s="56">
        <f ca="1">$K$250-EFEITO!$M$250*EFEITO!$Z$250</f>
        <v>0</v>
      </c>
      <c r="O250" s="56">
        <f>$L$250-EFEITO!$O$250*EFEITO!$AA$250</f>
        <v>0</v>
      </c>
      <c r="P250" s="39"/>
      <c r="Q250" s="39"/>
      <c r="R250" s="39"/>
      <c r="S250" s="39"/>
      <c r="T250" s="39"/>
      <c r="U250" s="39"/>
      <c r="V250" s="39"/>
      <c r="W250" s="3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27</v>
      </c>
      <c r="B251" s="35" t="s">
        <v>33</v>
      </c>
      <c r="C251" s="35" t="s">
        <v>34</v>
      </c>
      <c r="D251" s="35" t="s">
        <v>43</v>
      </c>
      <c r="E251" s="35" t="s">
        <v>25</v>
      </c>
      <c r="F251" s="35" t="s">
        <v>25</v>
      </c>
      <c r="G251" s="35" t="s">
        <v>25</v>
      </c>
      <c r="H251" s="35" t="s">
        <v>35</v>
      </c>
      <c r="I251" s="55">
        <v>44440</v>
      </c>
      <c r="J251" s="56">
        <f>EFEITO!$J$251*EFEITO!$Y$251</f>
        <v>0</v>
      </c>
      <c r="K251" s="56">
        <f ca="1">EFEITO!$L$251*EFEITO!$Z$251</f>
        <v>7150.5047388691282</v>
      </c>
      <c r="L251" s="56">
        <f>EFEITO!$N$251*EFEITO!$AA$251</f>
        <v>16651.401985001718</v>
      </c>
      <c r="M251" s="56">
        <f>$J$251-EFEITO!$K$251*EFEITO!$Y$251</f>
        <v>0</v>
      </c>
      <c r="N251" s="56">
        <f ca="1">$K$251-EFEITO!$M$251*EFEITO!$Z$251</f>
        <v>0</v>
      </c>
      <c r="O251" s="56">
        <f>$L$251-EFEITO!$O$251*EFEITO!$AA$251</f>
        <v>0</v>
      </c>
      <c r="P251" s="39"/>
      <c r="Q251" s="39"/>
      <c r="R251" s="39"/>
      <c r="S251" s="39"/>
      <c r="T251" s="39"/>
      <c r="U251" s="39"/>
      <c r="V251" s="39"/>
      <c r="W251" s="3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28</v>
      </c>
      <c r="B252" s="35" t="s">
        <v>33</v>
      </c>
      <c r="C252" s="35" t="s">
        <v>34</v>
      </c>
      <c r="D252" s="35" t="s">
        <v>43</v>
      </c>
      <c r="E252" s="35" t="s">
        <v>25</v>
      </c>
      <c r="F252" s="35" t="s">
        <v>25</v>
      </c>
      <c r="G252" s="35" t="s">
        <v>25</v>
      </c>
      <c r="H252" s="35" t="s">
        <v>35</v>
      </c>
      <c r="I252" s="55">
        <v>44440</v>
      </c>
      <c r="J252" s="56">
        <f>EFEITO!$J$252*EFEITO!$Y$252</f>
        <v>0</v>
      </c>
      <c r="K252" s="56">
        <f ca="1">EFEITO!$L$252*EFEITO!$Z$252</f>
        <v>1337.2852115784303</v>
      </c>
      <c r="L252" s="56">
        <f>EFEITO!$N$252*EFEITO!$AA$252</f>
        <v>3114.1401117527562</v>
      </c>
      <c r="M252" s="56">
        <f>$J$252-EFEITO!$K$252*EFEITO!$Y$252</f>
        <v>0</v>
      </c>
      <c r="N252" s="56">
        <f ca="1">$K$252-EFEITO!$M$252*EFEITO!$Z$252</f>
        <v>0</v>
      </c>
      <c r="O252" s="56">
        <f>$L$252-EFEITO!$O$252*EFEITO!$AA$252</f>
        <v>0</v>
      </c>
      <c r="P252" s="39"/>
      <c r="Q252" s="39"/>
      <c r="R252" s="39"/>
      <c r="S252" s="39"/>
      <c r="T252" s="39"/>
      <c r="U252" s="39"/>
      <c r="V252" s="39"/>
      <c r="W252" s="3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21</v>
      </c>
      <c r="B253" s="35" t="s">
        <v>33</v>
      </c>
      <c r="C253" s="35" t="s">
        <v>34</v>
      </c>
      <c r="D253" s="35" t="s">
        <v>43</v>
      </c>
      <c r="E253" s="35" t="s">
        <v>25</v>
      </c>
      <c r="F253" s="35" t="s">
        <v>25</v>
      </c>
      <c r="G253" s="35" t="s">
        <v>25</v>
      </c>
      <c r="H253" s="35" t="s">
        <v>35</v>
      </c>
      <c r="I253" s="55">
        <v>44470</v>
      </c>
      <c r="J253" s="56">
        <f>EFEITO!$J$253*EFEITO!$Y$253</f>
        <v>0</v>
      </c>
      <c r="K253" s="56">
        <f ca="1">EFEITO!$L$253*EFEITO!$Z$253</f>
        <v>105080.00534506825</v>
      </c>
      <c r="L253" s="56">
        <f>EFEITO!$N$253*EFEITO!$AA$253</f>
        <v>244700.12586322476</v>
      </c>
      <c r="M253" s="56">
        <f>$J$253-EFEITO!$K$253*EFEITO!$Y$253</f>
        <v>0</v>
      </c>
      <c r="N253" s="56">
        <f ca="1">$K$253-EFEITO!$M$253*EFEITO!$Z$253</f>
        <v>0</v>
      </c>
      <c r="O253" s="56">
        <f>$L$253-EFEITO!$O$253*EFEITO!$AA$253</f>
        <v>0</v>
      </c>
      <c r="P253" s="39"/>
      <c r="Q253" s="39"/>
      <c r="R253" s="39"/>
      <c r="S253" s="39"/>
      <c r="T253" s="39"/>
      <c r="U253" s="39"/>
      <c r="V253" s="39"/>
      <c r="W253" s="3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28</v>
      </c>
      <c r="B254" s="35" t="s">
        <v>33</v>
      </c>
      <c r="C254" s="35" t="s">
        <v>34</v>
      </c>
      <c r="D254" s="35" t="s">
        <v>43</v>
      </c>
      <c r="E254" s="35" t="s">
        <v>25</v>
      </c>
      <c r="F254" s="35" t="s">
        <v>25</v>
      </c>
      <c r="G254" s="35" t="s">
        <v>25</v>
      </c>
      <c r="H254" s="35" t="s">
        <v>35</v>
      </c>
      <c r="I254" s="55">
        <v>44470</v>
      </c>
      <c r="J254" s="56">
        <f>EFEITO!$J$254*EFEITO!$Y$254</f>
        <v>0</v>
      </c>
      <c r="K254" s="56">
        <f ca="1">EFEITO!$L$254*EFEITO!$Z$254</f>
        <v>840.50299939166689</v>
      </c>
      <c r="L254" s="56">
        <f>EFEITO!$N$254*EFEITO!$AA$254</f>
        <v>1957.2818735987212</v>
      </c>
      <c r="M254" s="56">
        <f>$J$254-EFEITO!$K$254*EFEITO!$Y$254</f>
        <v>0</v>
      </c>
      <c r="N254" s="56">
        <f ca="1">$K$254-EFEITO!$M$254*EFEITO!$Z$254</f>
        <v>0</v>
      </c>
      <c r="O254" s="56">
        <f>$L$254-EFEITO!$O$254*EFEITO!$AA$254</f>
        <v>0</v>
      </c>
      <c r="P254" s="39"/>
      <c r="Q254" s="39"/>
      <c r="R254" s="39"/>
      <c r="S254" s="39"/>
      <c r="T254" s="39"/>
      <c r="U254" s="39"/>
      <c r="V254" s="39"/>
      <c r="W254" s="3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21</v>
      </c>
      <c r="B255" s="35" t="s">
        <v>33</v>
      </c>
      <c r="C255" s="35" t="s">
        <v>34</v>
      </c>
      <c r="D255" s="35" t="s">
        <v>43</v>
      </c>
      <c r="E255" s="35" t="s">
        <v>25</v>
      </c>
      <c r="F255" s="35" t="s">
        <v>25</v>
      </c>
      <c r="G255" s="35" t="s">
        <v>25</v>
      </c>
      <c r="H255" s="35" t="s">
        <v>35</v>
      </c>
      <c r="I255" s="55">
        <v>44501</v>
      </c>
      <c r="J255" s="56">
        <f>EFEITO!$J$255*EFEITO!$Y$255</f>
        <v>0</v>
      </c>
      <c r="K255" s="56">
        <f ca="1">EFEITO!$L$255*EFEITO!$Z$255</f>
        <v>123872.18853911654</v>
      </c>
      <c r="L255" s="56">
        <f>EFEITO!$N$255*EFEITO!$AA$255</f>
        <v>288461.53963293025</v>
      </c>
      <c r="M255" s="56">
        <f>$J$255-EFEITO!$K$255*EFEITO!$Y$255</f>
        <v>0</v>
      </c>
      <c r="N255" s="56">
        <f ca="1">$K$255-EFEITO!$M$255*EFEITO!$Z$255</f>
        <v>0</v>
      </c>
      <c r="O255" s="56">
        <f>$L$255-EFEITO!$O$255*EFEITO!$AA$255</f>
        <v>0</v>
      </c>
      <c r="P255" s="39"/>
      <c r="Q255" s="39"/>
      <c r="R255" s="39"/>
      <c r="S255" s="39"/>
      <c r="T255" s="39"/>
      <c r="U255" s="39"/>
      <c r="V255" s="39"/>
      <c r="W255" s="3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33</v>
      </c>
      <c r="C256" s="35" t="s">
        <v>34</v>
      </c>
      <c r="D256" s="35" t="s">
        <v>43</v>
      </c>
      <c r="E256" s="35" t="s">
        <v>25</v>
      </c>
      <c r="F256" s="35" t="s">
        <v>25</v>
      </c>
      <c r="G256" s="35" t="s">
        <v>25</v>
      </c>
      <c r="H256" s="35" t="s">
        <v>35</v>
      </c>
      <c r="I256" s="55">
        <v>44531</v>
      </c>
      <c r="J256" s="56">
        <f>EFEITO!$J$256*EFEITO!$Y$256</f>
        <v>0</v>
      </c>
      <c r="K256" s="56">
        <f ca="1">EFEITO!$L$256*EFEITO!$Z$256</f>
        <v>93148.110859527427</v>
      </c>
      <c r="L256" s="56">
        <f>EFEITO!$N$256*EFEITO!$AA$256</f>
        <v>216914.28713195951</v>
      </c>
      <c r="M256" s="56">
        <f>$J$256-EFEITO!$K$256*EFEITO!$Y$256</f>
        <v>0</v>
      </c>
      <c r="N256" s="56">
        <f ca="1">$K$256-EFEITO!$M$256*EFEITO!$Z$256</f>
        <v>0</v>
      </c>
      <c r="O256" s="56">
        <f>$L$256-EFEITO!$O$256*EFEITO!$AA$256</f>
        <v>0</v>
      </c>
      <c r="P256" s="39"/>
      <c r="Q256" s="39"/>
      <c r="R256" s="39"/>
      <c r="S256" s="39"/>
      <c r="T256" s="39"/>
      <c r="U256" s="39"/>
      <c r="V256" s="39"/>
      <c r="W256" s="3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28</v>
      </c>
      <c r="B257" s="35" t="s">
        <v>33</v>
      </c>
      <c r="C257" s="35" t="s">
        <v>34</v>
      </c>
      <c r="D257" s="35" t="s">
        <v>43</v>
      </c>
      <c r="E257" s="35" t="s">
        <v>25</v>
      </c>
      <c r="F257" s="35" t="s">
        <v>25</v>
      </c>
      <c r="G257" s="35" t="s">
        <v>25</v>
      </c>
      <c r="H257" s="35" t="s">
        <v>35</v>
      </c>
      <c r="I257" s="55">
        <v>44531</v>
      </c>
      <c r="J257" s="56">
        <f>EFEITO!$J$257*EFEITO!$Y$257</f>
        <v>0</v>
      </c>
      <c r="K257" s="56">
        <f ca="1">EFEITO!$L$257*EFEITO!$Z$257</f>
        <v>20753.060228626935</v>
      </c>
      <c r="L257" s="56">
        <f>EFEITO!$N$257*EFEITO!$AA$257</f>
        <v>48327.714043368534</v>
      </c>
      <c r="M257" s="56">
        <f>$J$257-EFEITO!$K$257*EFEITO!$Y$257</f>
        <v>0</v>
      </c>
      <c r="N257" s="56">
        <f ca="1">$K$257-EFEITO!$M$257*EFEITO!$Z$257</f>
        <v>0</v>
      </c>
      <c r="O257" s="56">
        <f>$L$257-EFEITO!$O$257*EFEITO!$AA$257</f>
        <v>0</v>
      </c>
      <c r="P257" s="39"/>
      <c r="Q257" s="39"/>
      <c r="R257" s="39"/>
      <c r="S257" s="39"/>
      <c r="T257" s="39"/>
      <c r="U257" s="39"/>
      <c r="V257" s="39"/>
      <c r="W257" s="3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33</v>
      </c>
      <c r="C258" s="35" t="s">
        <v>34</v>
      </c>
      <c r="D258" s="35" t="s">
        <v>43</v>
      </c>
      <c r="E258" s="35" t="s">
        <v>25</v>
      </c>
      <c r="F258" s="35" t="s">
        <v>25</v>
      </c>
      <c r="G258" s="35" t="s">
        <v>25</v>
      </c>
      <c r="H258" s="35" t="s">
        <v>35</v>
      </c>
      <c r="I258" s="55">
        <v>44562</v>
      </c>
      <c r="J258" s="56">
        <f>EFEITO!$J$258*EFEITO!$Y$258</f>
        <v>0</v>
      </c>
      <c r="K258" s="56">
        <f ca="1">EFEITO!$L$258*EFEITO!$Z$258</f>
        <v>114895.29169503145</v>
      </c>
      <c r="L258" s="56">
        <f>EFEITO!$N$258*EFEITO!$AA$258</f>
        <v>267557.01283551223</v>
      </c>
      <c r="M258" s="56">
        <f>$J$258-EFEITO!$K$258*EFEITO!$Y$258</f>
        <v>0</v>
      </c>
      <c r="N258" s="56">
        <f ca="1">$K$258-EFEITO!$M$258*EFEITO!$Z$258</f>
        <v>0</v>
      </c>
      <c r="O258" s="56">
        <f>$L$258-EFEITO!$O$258*EFEITO!$AA$258</f>
        <v>0</v>
      </c>
      <c r="P258" s="39"/>
      <c r="Q258" s="39"/>
      <c r="R258" s="39"/>
      <c r="S258" s="39"/>
      <c r="T258" s="39"/>
      <c r="U258" s="39"/>
      <c r="V258" s="39"/>
      <c r="W258" s="3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28</v>
      </c>
      <c r="B259" s="35" t="s">
        <v>33</v>
      </c>
      <c r="C259" s="35" t="s">
        <v>34</v>
      </c>
      <c r="D259" s="35" t="s">
        <v>43</v>
      </c>
      <c r="E259" s="35" t="s">
        <v>25</v>
      </c>
      <c r="F259" s="35" t="s">
        <v>25</v>
      </c>
      <c r="G259" s="35" t="s">
        <v>25</v>
      </c>
      <c r="H259" s="35" t="s">
        <v>35</v>
      </c>
      <c r="I259" s="55">
        <v>44562</v>
      </c>
      <c r="J259" s="56">
        <f>EFEITO!$J$259*EFEITO!$Y$259</f>
        <v>0</v>
      </c>
      <c r="K259" s="56">
        <f ca="1">EFEITO!$L$259*EFEITO!$Z$259</f>
        <v>2498.927988530148</v>
      </c>
      <c r="L259" s="56">
        <f>EFEITO!$N$259*EFEITO!$AA$259</f>
        <v>5819.2611554255254</v>
      </c>
      <c r="M259" s="56">
        <f>$J$259-EFEITO!$K$259*EFEITO!$Y$259</f>
        <v>0</v>
      </c>
      <c r="N259" s="56">
        <f ca="1">$K$259-EFEITO!$M$259*EFEITO!$Z$259</f>
        <v>0</v>
      </c>
      <c r="O259" s="56">
        <f>$L$259-EFEITO!$O$259*EFEITO!$AA$259</f>
        <v>0</v>
      </c>
      <c r="P259" s="39"/>
      <c r="Q259" s="39"/>
      <c r="R259" s="39"/>
      <c r="S259" s="39"/>
      <c r="T259" s="39"/>
      <c r="U259" s="39"/>
      <c r="V259" s="39"/>
      <c r="W259" s="3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33</v>
      </c>
      <c r="C260" s="35" t="s">
        <v>34</v>
      </c>
      <c r="D260" s="35" t="s">
        <v>43</v>
      </c>
      <c r="E260" s="35" t="s">
        <v>25</v>
      </c>
      <c r="F260" s="35" t="s">
        <v>25</v>
      </c>
      <c r="G260" s="35" t="s">
        <v>25</v>
      </c>
      <c r="H260" s="35" t="s">
        <v>35</v>
      </c>
      <c r="I260" s="55">
        <v>44593</v>
      </c>
      <c r="J260" s="56">
        <f>EFEITO!$J$260*EFEITO!$Y$260</f>
        <v>0</v>
      </c>
      <c r="K260" s="56">
        <f ca="1">EFEITO!$L$260*EFEITO!$Z$260</f>
        <v>105041.18380631921</v>
      </c>
      <c r="L260" s="56">
        <f>EFEITO!$N$260*EFEITO!$AA$260</f>
        <v>244609.7220286713</v>
      </c>
      <c r="M260" s="56">
        <f>$J$260-EFEITO!$K$260*EFEITO!$Y$260</f>
        <v>0</v>
      </c>
      <c r="N260" s="56">
        <f ca="1">$K$260-EFEITO!$M$260*EFEITO!$Z$260</f>
        <v>0</v>
      </c>
      <c r="O260" s="56">
        <f>$L$260-EFEITO!$O$260*EFEITO!$AA$260</f>
        <v>0</v>
      </c>
      <c r="P260" s="39"/>
      <c r="Q260" s="39"/>
      <c r="R260" s="39"/>
      <c r="S260" s="39"/>
      <c r="T260" s="39"/>
      <c r="U260" s="39"/>
      <c r="V260" s="39"/>
      <c r="W260" s="3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28</v>
      </c>
      <c r="B261" s="35" t="s">
        <v>33</v>
      </c>
      <c r="C261" s="35" t="s">
        <v>34</v>
      </c>
      <c r="D261" s="35" t="s">
        <v>43</v>
      </c>
      <c r="E261" s="35" t="s">
        <v>25</v>
      </c>
      <c r="F261" s="35" t="s">
        <v>25</v>
      </c>
      <c r="G261" s="35" t="s">
        <v>25</v>
      </c>
      <c r="H261" s="35" t="s">
        <v>35</v>
      </c>
      <c r="I261" s="55">
        <v>44593</v>
      </c>
      <c r="J261" s="56">
        <f>EFEITO!$J$261*EFEITO!$Y$261</f>
        <v>0</v>
      </c>
      <c r="K261" s="56">
        <f ca="1">EFEITO!$L$261*EFEITO!$Z$261</f>
        <v>2429.2939390834586</v>
      </c>
      <c r="L261" s="56">
        <f>EFEITO!$N$261*EFEITO!$AA$261</f>
        <v>5657.1041341347891</v>
      </c>
      <c r="M261" s="56">
        <f>$J$261-EFEITO!$K$261*EFEITO!$Y$261</f>
        <v>0</v>
      </c>
      <c r="N261" s="56">
        <f ca="1">$K$261-EFEITO!$M$261*EFEITO!$Z$261</f>
        <v>0</v>
      </c>
      <c r="O261" s="56">
        <f>$L$261-EFEITO!$O$261*EFEITO!$AA$261</f>
        <v>0</v>
      </c>
      <c r="P261" s="39"/>
      <c r="Q261" s="39"/>
      <c r="R261" s="39"/>
      <c r="S261" s="39"/>
      <c r="T261" s="39"/>
      <c r="U261" s="39"/>
      <c r="V261" s="39"/>
      <c r="W261" s="3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21</v>
      </c>
      <c r="B262" s="35" t="s">
        <v>33</v>
      </c>
      <c r="C262" s="35" t="s">
        <v>34</v>
      </c>
      <c r="D262" s="35" t="s">
        <v>43</v>
      </c>
      <c r="E262" s="35" t="s">
        <v>25</v>
      </c>
      <c r="F262" s="35" t="s">
        <v>25</v>
      </c>
      <c r="G262" s="35" t="s">
        <v>25</v>
      </c>
      <c r="H262" s="35" t="s">
        <v>35</v>
      </c>
      <c r="I262" s="55">
        <v>44621</v>
      </c>
      <c r="J262" s="56">
        <f>EFEITO!$J$262*EFEITO!$Y$262</f>
        <v>0</v>
      </c>
      <c r="K262" s="56">
        <f ca="1">EFEITO!$L$262*EFEITO!$Z$262</f>
        <v>110463.51827010248</v>
      </c>
      <c r="L262" s="56">
        <f>EFEITO!$N$262*EFEITO!$AA$262</f>
        <v>257236.72867378028</v>
      </c>
      <c r="M262" s="56">
        <f>$J$262-EFEITO!$K$262*EFEITO!$Y$262</f>
        <v>0</v>
      </c>
      <c r="N262" s="56">
        <f ca="1">$K$262-EFEITO!$M$262*EFEITO!$Z$262</f>
        <v>0</v>
      </c>
      <c r="O262" s="56">
        <f>$L$262-EFEITO!$O$262*EFEITO!$AA$262</f>
        <v>0</v>
      </c>
      <c r="P262" s="39"/>
      <c r="Q262" s="39"/>
      <c r="R262" s="39"/>
      <c r="S262" s="39"/>
      <c r="T262" s="39"/>
      <c r="U262" s="39"/>
      <c r="V262" s="39"/>
      <c r="W262" s="3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28</v>
      </c>
      <c r="B263" s="35" t="s">
        <v>33</v>
      </c>
      <c r="C263" s="35" t="s">
        <v>34</v>
      </c>
      <c r="D263" s="35" t="s">
        <v>43</v>
      </c>
      <c r="E263" s="35" t="s">
        <v>25</v>
      </c>
      <c r="F263" s="35" t="s">
        <v>25</v>
      </c>
      <c r="G263" s="35" t="s">
        <v>25</v>
      </c>
      <c r="H263" s="35" t="s">
        <v>35</v>
      </c>
      <c r="I263" s="55">
        <v>44621</v>
      </c>
      <c r="J263" s="56">
        <f>EFEITO!$J$263*EFEITO!$Y$263</f>
        <v>0</v>
      </c>
      <c r="K263" s="56">
        <f ca="1">EFEITO!$L$263*EFEITO!$Z$263</f>
        <v>4357.2449694508978</v>
      </c>
      <c r="L263" s="56">
        <f>EFEITO!$N$263*EFEITO!$AA$263</f>
        <v>10146.729522331327</v>
      </c>
      <c r="M263" s="56">
        <f>$J$263-EFEITO!$K$263*EFEITO!$Y$263</f>
        <v>0</v>
      </c>
      <c r="N263" s="56">
        <f ca="1">$K$263-EFEITO!$M$263*EFEITO!$Z$263</f>
        <v>0</v>
      </c>
      <c r="O263" s="56">
        <f>$L$263-EFEITO!$O$263*EFEITO!$AA$263</f>
        <v>0</v>
      </c>
      <c r="P263" s="39"/>
      <c r="Q263" s="39"/>
      <c r="R263" s="39"/>
      <c r="S263" s="39"/>
      <c r="T263" s="39"/>
      <c r="U263" s="39"/>
      <c r="V263" s="39"/>
      <c r="W263" s="3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21</v>
      </c>
      <c r="B264" s="35" t="s">
        <v>33</v>
      </c>
      <c r="C264" s="35" t="s">
        <v>34</v>
      </c>
      <c r="D264" s="35" t="s">
        <v>43</v>
      </c>
      <c r="E264" s="35" t="s">
        <v>25</v>
      </c>
      <c r="F264" s="35" t="s">
        <v>25</v>
      </c>
      <c r="G264" s="35" t="s">
        <v>25</v>
      </c>
      <c r="H264" s="35" t="s">
        <v>35</v>
      </c>
      <c r="I264" s="55">
        <v>44652</v>
      </c>
      <c r="J264" s="56">
        <f>EFEITO!$J$264*EFEITO!$Y$264</f>
        <v>0</v>
      </c>
      <c r="K264" s="56">
        <f ca="1">EFEITO!$L$264*EFEITO!$Z$264</f>
        <v>107038.4351766312</v>
      </c>
      <c r="L264" s="56">
        <f>EFEITO!$N$264*EFEITO!$AA$264</f>
        <v>249260.72732783289</v>
      </c>
      <c r="M264" s="56">
        <f>$J$264-EFEITO!$K$264*EFEITO!$Y$264</f>
        <v>0</v>
      </c>
      <c r="N264" s="56">
        <f ca="1">$K$264-EFEITO!$M$264*EFEITO!$Z$264</f>
        <v>0</v>
      </c>
      <c r="O264" s="56">
        <f>$L$264-EFEITO!$O$264*EFEITO!$AA$264</f>
        <v>0</v>
      </c>
      <c r="P264" s="39"/>
      <c r="Q264" s="39"/>
      <c r="R264" s="39"/>
      <c r="S264" s="39"/>
      <c r="T264" s="39"/>
      <c r="U264" s="39"/>
      <c r="V264" s="39"/>
      <c r="W264" s="3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27</v>
      </c>
      <c r="B265" s="35" t="s">
        <v>33</v>
      </c>
      <c r="C265" s="35" t="s">
        <v>34</v>
      </c>
      <c r="D265" s="35" t="s">
        <v>43</v>
      </c>
      <c r="E265" s="35" t="s">
        <v>25</v>
      </c>
      <c r="F265" s="35" t="s">
        <v>25</v>
      </c>
      <c r="G265" s="35" t="s">
        <v>25</v>
      </c>
      <c r="H265" s="35" t="s">
        <v>35</v>
      </c>
      <c r="I265" s="55">
        <v>44652</v>
      </c>
      <c r="J265" s="56">
        <f>EFEITO!$J$265*EFEITO!$Y$265</f>
        <v>0</v>
      </c>
      <c r="K265" s="56">
        <f ca="1">EFEITO!$L$265*EFEITO!$Z$265</f>
        <v>3518.2992810692208</v>
      </c>
      <c r="L265" s="56">
        <f>EFEITO!$N$265*EFEITO!$AA$265</f>
        <v>8193.0741635857539</v>
      </c>
      <c r="M265" s="56">
        <f>$J$265-EFEITO!$K$265*EFEITO!$Y$265</f>
        <v>0</v>
      </c>
      <c r="N265" s="56">
        <f ca="1">$K$265-EFEITO!$M$265*EFEITO!$Z$265</f>
        <v>0</v>
      </c>
      <c r="O265" s="56">
        <f>$L$265-EFEITO!$O$265*EFEITO!$AA$265</f>
        <v>0</v>
      </c>
      <c r="P265" s="39"/>
      <c r="Q265" s="39"/>
      <c r="R265" s="39"/>
      <c r="S265" s="39"/>
      <c r="T265" s="39"/>
      <c r="U265" s="39"/>
      <c r="V265" s="39"/>
      <c r="W265" s="3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21</v>
      </c>
      <c r="B266" s="35" t="s">
        <v>33</v>
      </c>
      <c r="C266" s="35" t="s">
        <v>34</v>
      </c>
      <c r="D266" s="35" t="s">
        <v>43</v>
      </c>
      <c r="E266" s="35" t="s">
        <v>25</v>
      </c>
      <c r="F266" s="35" t="s">
        <v>25</v>
      </c>
      <c r="G266" s="35" t="s">
        <v>25</v>
      </c>
      <c r="H266" s="35" t="s">
        <v>35</v>
      </c>
      <c r="I266" s="55">
        <v>44682</v>
      </c>
      <c r="J266" s="56">
        <f>EFEITO!$J$266*EFEITO!$Y$266</f>
        <v>0</v>
      </c>
      <c r="K266" s="56">
        <f ca="1">EFEITO!$L$266*EFEITO!$Z$266</f>
        <v>106409.72647459815</v>
      </c>
      <c r="L266" s="56">
        <f>EFEITO!$N$266*EFEITO!$AA$266</f>
        <v>247796.65147426221</v>
      </c>
      <c r="M266" s="56">
        <f>$J$266-EFEITO!$K$266*EFEITO!$Y$266</f>
        <v>0</v>
      </c>
      <c r="N266" s="56">
        <f ca="1">$K$266-EFEITO!$M$266*EFEITO!$Z$266</f>
        <v>0</v>
      </c>
      <c r="O266" s="56">
        <f>$L$266-EFEITO!$O$266*EFEITO!$AA$266</f>
        <v>0</v>
      </c>
      <c r="P266" s="39"/>
      <c r="Q266" s="39"/>
      <c r="R266" s="39"/>
      <c r="S266" s="39"/>
      <c r="T266" s="39"/>
      <c r="U266" s="39"/>
      <c r="V266" s="39"/>
      <c r="W266" s="3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21</v>
      </c>
      <c r="B267" s="35" t="s">
        <v>33</v>
      </c>
      <c r="C267" s="35" t="s">
        <v>34</v>
      </c>
      <c r="D267" s="35" t="s">
        <v>43</v>
      </c>
      <c r="E267" s="35" t="s">
        <v>25</v>
      </c>
      <c r="F267" s="35" t="s">
        <v>25</v>
      </c>
      <c r="G267" s="35" t="s">
        <v>25</v>
      </c>
      <c r="H267" s="35" t="s">
        <v>25</v>
      </c>
      <c r="I267" s="55">
        <v>44348</v>
      </c>
      <c r="J267" s="56">
        <f ca="1">EFEITO!$J$267*EFEITO!$Y$267</f>
        <v>73820.30369333952</v>
      </c>
      <c r="K267" s="56">
        <f>EFEITO!$L$267*EFEITO!$Z$267</f>
        <v>0</v>
      </c>
      <c r="L267" s="56">
        <f>EFEITO!$N$267*EFEITO!$AA$267</f>
        <v>0</v>
      </c>
      <c r="M267" s="56">
        <f ca="1">$J$267-EFEITO!$K$267*EFEITO!$Y$267</f>
        <v>0</v>
      </c>
      <c r="N267" s="56">
        <f>$K$267-EFEITO!$M$267*EFEITO!$Z$267</f>
        <v>0</v>
      </c>
      <c r="O267" s="56">
        <f>$L$267-EFEITO!$O$267*EFEITO!$AA$267</f>
        <v>0</v>
      </c>
      <c r="P267" s="39"/>
      <c r="Q267" s="39"/>
      <c r="R267" s="39"/>
      <c r="S267" s="39"/>
      <c r="T267" s="39"/>
      <c r="U267" s="39"/>
      <c r="V267" s="39"/>
      <c r="W267" s="3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28</v>
      </c>
      <c r="B268" s="35" t="s">
        <v>33</v>
      </c>
      <c r="C268" s="35" t="s">
        <v>34</v>
      </c>
      <c r="D268" s="35" t="s">
        <v>43</v>
      </c>
      <c r="E268" s="35" t="s">
        <v>25</v>
      </c>
      <c r="F268" s="35" t="s">
        <v>25</v>
      </c>
      <c r="G268" s="35" t="s">
        <v>25</v>
      </c>
      <c r="H268" s="35" t="s">
        <v>25</v>
      </c>
      <c r="I268" s="55">
        <v>44348</v>
      </c>
      <c r="J268" s="56">
        <f ca="1">EFEITO!$J$268*EFEITO!$Y$268</f>
        <v>4592.0887059181887</v>
      </c>
      <c r="K268" s="56">
        <f>EFEITO!$L$268*EFEITO!$Z$268</f>
        <v>0</v>
      </c>
      <c r="L268" s="56">
        <f>EFEITO!$N$268*EFEITO!$AA$268</f>
        <v>0</v>
      </c>
      <c r="M268" s="56">
        <f ca="1">$J$268-EFEITO!$K$268*EFEITO!$Y$268</f>
        <v>0</v>
      </c>
      <c r="N268" s="56">
        <f>$K$268-EFEITO!$M$268*EFEITO!$Z$268</f>
        <v>0</v>
      </c>
      <c r="O268" s="56">
        <f>$L$268-EFEITO!$O$268*EFEITO!$AA$268</f>
        <v>0</v>
      </c>
      <c r="P268" s="39"/>
      <c r="Q268" s="39"/>
      <c r="R268" s="39"/>
      <c r="S268" s="39"/>
      <c r="T268" s="39"/>
      <c r="U268" s="39"/>
      <c r="V268" s="39"/>
      <c r="W268" s="3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21</v>
      </c>
      <c r="B269" s="35" t="s">
        <v>33</v>
      </c>
      <c r="C269" s="35" t="s">
        <v>34</v>
      </c>
      <c r="D269" s="35" t="s">
        <v>43</v>
      </c>
      <c r="E269" s="35" t="s">
        <v>25</v>
      </c>
      <c r="F269" s="35" t="s">
        <v>25</v>
      </c>
      <c r="G269" s="35" t="s">
        <v>25</v>
      </c>
      <c r="H269" s="35" t="s">
        <v>25</v>
      </c>
      <c r="I269" s="55">
        <v>44378</v>
      </c>
      <c r="J269" s="56">
        <f ca="1">EFEITO!$J$269*EFEITO!$Y$269</f>
        <v>74183.706396685564</v>
      </c>
      <c r="K269" s="56">
        <f>EFEITO!$L$269*EFEITO!$Z$269</f>
        <v>0</v>
      </c>
      <c r="L269" s="56">
        <f>EFEITO!$N$269*EFEITO!$AA$269</f>
        <v>0</v>
      </c>
      <c r="M269" s="56">
        <f ca="1">$J$269-EFEITO!$K$269*EFEITO!$Y$269</f>
        <v>0</v>
      </c>
      <c r="N269" s="56">
        <f>$K$269-EFEITO!$M$269*EFEITO!$Z$269</f>
        <v>0</v>
      </c>
      <c r="O269" s="56">
        <f>$L$269-EFEITO!$O$269*EFEITO!$AA$269</f>
        <v>0</v>
      </c>
      <c r="P269" s="39"/>
      <c r="Q269" s="39"/>
      <c r="R269" s="39"/>
      <c r="S269" s="39"/>
      <c r="T269" s="39"/>
      <c r="U269" s="39"/>
      <c r="V269" s="39"/>
      <c r="W269" s="3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28</v>
      </c>
      <c r="B270" s="35" t="s">
        <v>33</v>
      </c>
      <c r="C270" s="35" t="s">
        <v>34</v>
      </c>
      <c r="D270" s="35" t="s">
        <v>43</v>
      </c>
      <c r="E270" s="35" t="s">
        <v>25</v>
      </c>
      <c r="F270" s="35" t="s">
        <v>25</v>
      </c>
      <c r="G270" s="35" t="s">
        <v>25</v>
      </c>
      <c r="H270" s="35" t="s">
        <v>25</v>
      </c>
      <c r="I270" s="55">
        <v>44378</v>
      </c>
      <c r="J270" s="56">
        <f ca="1">EFEITO!$J$270*EFEITO!$Y$270</f>
        <v>5368.4490267029187</v>
      </c>
      <c r="K270" s="56">
        <f>EFEITO!$L$270*EFEITO!$Z$270</f>
        <v>0</v>
      </c>
      <c r="L270" s="56">
        <f>EFEITO!$N$270*EFEITO!$AA$270</f>
        <v>0</v>
      </c>
      <c r="M270" s="56">
        <f ca="1">$J$270-EFEITO!$K$270*EFEITO!$Y$270</f>
        <v>0</v>
      </c>
      <c r="N270" s="56">
        <f>$K$270-EFEITO!$M$270*EFEITO!$Z$270</f>
        <v>0</v>
      </c>
      <c r="O270" s="56">
        <f>$L$270-EFEITO!$O$270*EFEITO!$AA$270</f>
        <v>0</v>
      </c>
      <c r="P270" s="39"/>
      <c r="Q270" s="39"/>
      <c r="R270" s="39"/>
      <c r="S270" s="39"/>
      <c r="T270" s="39"/>
      <c r="U270" s="39"/>
      <c r="V270" s="39"/>
      <c r="W270" s="3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21</v>
      </c>
      <c r="B271" s="35" t="s">
        <v>33</v>
      </c>
      <c r="C271" s="35" t="s">
        <v>34</v>
      </c>
      <c r="D271" s="35" t="s">
        <v>43</v>
      </c>
      <c r="E271" s="35" t="s">
        <v>25</v>
      </c>
      <c r="F271" s="35" t="s">
        <v>25</v>
      </c>
      <c r="G271" s="35" t="s">
        <v>25</v>
      </c>
      <c r="H271" s="35" t="s">
        <v>25</v>
      </c>
      <c r="I271" s="55">
        <v>44409</v>
      </c>
      <c r="J271" s="56">
        <f ca="1">EFEITO!$J$271*EFEITO!$Y$271</f>
        <v>73275.199638320453</v>
      </c>
      <c r="K271" s="56">
        <f>EFEITO!$L$271*EFEITO!$Z$271</f>
        <v>0</v>
      </c>
      <c r="L271" s="56">
        <f>EFEITO!$N$271*EFEITO!$AA$271</f>
        <v>0</v>
      </c>
      <c r="M271" s="56">
        <f ca="1">$J$271-EFEITO!$K$271*EFEITO!$Y$271</f>
        <v>0</v>
      </c>
      <c r="N271" s="56">
        <f>$K$271-EFEITO!$M$271*EFEITO!$Z$271</f>
        <v>0</v>
      </c>
      <c r="O271" s="56">
        <f>$L$271-EFEITO!$O$271*EFEITO!$AA$271</f>
        <v>0</v>
      </c>
      <c r="P271" s="39"/>
      <c r="Q271" s="39"/>
      <c r="R271" s="39"/>
      <c r="S271" s="39"/>
      <c r="T271" s="39"/>
      <c r="U271" s="39"/>
      <c r="V271" s="39"/>
      <c r="W271" s="3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28</v>
      </c>
      <c r="B272" s="35" t="s">
        <v>33</v>
      </c>
      <c r="C272" s="35" t="s">
        <v>34</v>
      </c>
      <c r="D272" s="35" t="s">
        <v>43</v>
      </c>
      <c r="E272" s="35" t="s">
        <v>25</v>
      </c>
      <c r="F272" s="35" t="s">
        <v>25</v>
      </c>
      <c r="G272" s="35" t="s">
        <v>25</v>
      </c>
      <c r="H272" s="35" t="s">
        <v>25</v>
      </c>
      <c r="I272" s="55">
        <v>44409</v>
      </c>
      <c r="J272" s="56">
        <f ca="1">EFEITO!$J$272*EFEITO!$Y$272</f>
        <v>5583.186987771036</v>
      </c>
      <c r="K272" s="56">
        <f>EFEITO!$L$272*EFEITO!$Z$272</f>
        <v>0</v>
      </c>
      <c r="L272" s="56">
        <f>EFEITO!$N$272*EFEITO!$AA$272</f>
        <v>0</v>
      </c>
      <c r="M272" s="56">
        <f ca="1">$J$272-EFEITO!$K$272*EFEITO!$Y$272</f>
        <v>0</v>
      </c>
      <c r="N272" s="56">
        <f>$K$272-EFEITO!$M$272*EFEITO!$Z$272</f>
        <v>0</v>
      </c>
      <c r="O272" s="56">
        <f>$L$272-EFEITO!$O$272*EFEITO!$AA$272</f>
        <v>0</v>
      </c>
      <c r="P272" s="39"/>
      <c r="Q272" s="39"/>
      <c r="R272" s="39"/>
      <c r="S272" s="39"/>
      <c r="T272" s="39"/>
      <c r="U272" s="39"/>
      <c r="V272" s="39"/>
      <c r="W272" s="3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21</v>
      </c>
      <c r="B273" s="35" t="s">
        <v>33</v>
      </c>
      <c r="C273" s="35" t="s">
        <v>34</v>
      </c>
      <c r="D273" s="35" t="s">
        <v>43</v>
      </c>
      <c r="E273" s="35" t="s">
        <v>25</v>
      </c>
      <c r="F273" s="35" t="s">
        <v>25</v>
      </c>
      <c r="G273" s="35" t="s">
        <v>25</v>
      </c>
      <c r="H273" s="35" t="s">
        <v>25</v>
      </c>
      <c r="I273" s="55">
        <v>44440</v>
      </c>
      <c r="J273" s="56">
        <f ca="1">EFEITO!$J$273*EFEITO!$Y$273</f>
        <v>76265.01278857654</v>
      </c>
      <c r="K273" s="56">
        <f>EFEITO!$L$273*EFEITO!$Z$273</f>
        <v>0</v>
      </c>
      <c r="L273" s="56">
        <f>EFEITO!$N$273*EFEITO!$AA$273</f>
        <v>0</v>
      </c>
      <c r="M273" s="56">
        <f ca="1">$J$273-EFEITO!$K$273*EFEITO!$Y$273</f>
        <v>0</v>
      </c>
      <c r="N273" s="56">
        <f>$K$273-EFEITO!$M$273*EFEITO!$Z$273</f>
        <v>0</v>
      </c>
      <c r="O273" s="56">
        <f>$L$273-EFEITO!$O$273*EFEITO!$AA$273</f>
        <v>0</v>
      </c>
      <c r="P273" s="39"/>
      <c r="Q273" s="39"/>
      <c r="R273" s="39"/>
      <c r="S273" s="39"/>
      <c r="T273" s="39"/>
      <c r="U273" s="39"/>
      <c r="V273" s="39"/>
      <c r="W273" s="3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27</v>
      </c>
      <c r="B274" s="35" t="s">
        <v>33</v>
      </c>
      <c r="C274" s="35" t="s">
        <v>34</v>
      </c>
      <c r="D274" s="35" t="s">
        <v>43</v>
      </c>
      <c r="E274" s="35" t="s">
        <v>25</v>
      </c>
      <c r="F274" s="35" t="s">
        <v>25</v>
      </c>
      <c r="G274" s="35" t="s">
        <v>25</v>
      </c>
      <c r="H274" s="35" t="s">
        <v>25</v>
      </c>
      <c r="I274" s="55">
        <v>44440</v>
      </c>
      <c r="J274" s="56">
        <f ca="1">EFEITO!$J$274*EFEITO!$Y$274</f>
        <v>1453.6108133841749</v>
      </c>
      <c r="K274" s="56">
        <f>EFEITO!$L$274*EFEITO!$Z$274</f>
        <v>0</v>
      </c>
      <c r="L274" s="56">
        <f>EFEITO!$N$274*EFEITO!$AA$274</f>
        <v>0</v>
      </c>
      <c r="M274" s="56">
        <f ca="1">$J$274-EFEITO!$K$274*EFEITO!$Y$274</f>
        <v>0</v>
      </c>
      <c r="N274" s="56">
        <f>$K$274-EFEITO!$M$274*EFEITO!$Z$274</f>
        <v>0</v>
      </c>
      <c r="O274" s="56">
        <f>$L$274-EFEITO!$O$274*EFEITO!$AA$274</f>
        <v>0</v>
      </c>
      <c r="P274" s="39"/>
      <c r="Q274" s="39"/>
      <c r="R274" s="39"/>
      <c r="S274" s="39"/>
      <c r="T274" s="39"/>
      <c r="U274" s="39"/>
      <c r="V274" s="39"/>
      <c r="W274" s="3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28</v>
      </c>
      <c r="B275" s="35" t="s">
        <v>33</v>
      </c>
      <c r="C275" s="35" t="s">
        <v>34</v>
      </c>
      <c r="D275" s="35" t="s">
        <v>43</v>
      </c>
      <c r="E275" s="35" t="s">
        <v>25</v>
      </c>
      <c r="F275" s="35" t="s">
        <v>25</v>
      </c>
      <c r="G275" s="35" t="s">
        <v>25</v>
      </c>
      <c r="H275" s="35" t="s">
        <v>25</v>
      </c>
      <c r="I275" s="55">
        <v>44440</v>
      </c>
      <c r="J275" s="56">
        <f ca="1">EFEITO!$J$275*EFEITO!$Y$275</f>
        <v>5583.186987771036</v>
      </c>
      <c r="K275" s="56">
        <f>EFEITO!$L$275*EFEITO!$Z$275</f>
        <v>0</v>
      </c>
      <c r="L275" s="56">
        <f>EFEITO!$N$275*EFEITO!$AA$275</f>
        <v>0</v>
      </c>
      <c r="M275" s="56">
        <f ca="1">$J$275-EFEITO!$K$275*EFEITO!$Y$275</f>
        <v>0</v>
      </c>
      <c r="N275" s="56">
        <f>$K$275-EFEITO!$M$275*EFEITO!$Z$275</f>
        <v>0</v>
      </c>
      <c r="O275" s="56">
        <f>$L$275-EFEITO!$O$275*EFEITO!$AA$275</f>
        <v>0</v>
      </c>
      <c r="P275" s="39"/>
      <c r="Q275" s="39"/>
      <c r="R275" s="39"/>
      <c r="S275" s="39"/>
      <c r="T275" s="39"/>
      <c r="U275" s="39"/>
      <c r="V275" s="39"/>
      <c r="W275" s="3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21</v>
      </c>
      <c r="B276" s="35" t="s">
        <v>33</v>
      </c>
      <c r="C276" s="35" t="s">
        <v>34</v>
      </c>
      <c r="D276" s="35" t="s">
        <v>43</v>
      </c>
      <c r="E276" s="35" t="s">
        <v>25</v>
      </c>
      <c r="F276" s="35" t="s">
        <v>25</v>
      </c>
      <c r="G276" s="35" t="s">
        <v>25</v>
      </c>
      <c r="H276" s="35" t="s">
        <v>25</v>
      </c>
      <c r="I276" s="55">
        <v>44470</v>
      </c>
      <c r="J276" s="56">
        <f ca="1">EFEITO!$J$276*EFEITO!$Y$276</f>
        <v>77949.879867726384</v>
      </c>
      <c r="K276" s="56">
        <f>EFEITO!$L$276*EFEITO!$Z$276</f>
        <v>0</v>
      </c>
      <c r="L276" s="56">
        <f>EFEITO!$N$276*EFEITO!$AA$276</f>
        <v>0</v>
      </c>
      <c r="M276" s="56">
        <f ca="1">$J$276-EFEITO!$K$276*EFEITO!$Y$276</f>
        <v>0</v>
      </c>
      <c r="N276" s="56">
        <f>$K$276-EFEITO!$M$276*EFEITO!$Z$276</f>
        <v>0</v>
      </c>
      <c r="O276" s="56">
        <f>$L$276-EFEITO!$O$276*EFEITO!$AA$276</f>
        <v>0</v>
      </c>
      <c r="P276" s="39"/>
      <c r="Q276" s="39"/>
      <c r="R276" s="39"/>
      <c r="S276" s="39"/>
      <c r="T276" s="39"/>
      <c r="U276" s="39"/>
      <c r="V276" s="39"/>
      <c r="W276" s="3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28</v>
      </c>
      <c r="B277" s="35" t="s">
        <v>33</v>
      </c>
      <c r="C277" s="35" t="s">
        <v>34</v>
      </c>
      <c r="D277" s="35" t="s">
        <v>43</v>
      </c>
      <c r="E277" s="35" t="s">
        <v>25</v>
      </c>
      <c r="F277" s="35" t="s">
        <v>25</v>
      </c>
      <c r="G277" s="35" t="s">
        <v>25</v>
      </c>
      <c r="H277" s="35" t="s">
        <v>25</v>
      </c>
      <c r="I277" s="55">
        <v>44470</v>
      </c>
      <c r="J277" s="56">
        <f ca="1">EFEITO!$J$277*EFEITO!$Y$277</f>
        <v>5583.186987771036</v>
      </c>
      <c r="K277" s="56">
        <f>EFEITO!$L$277*EFEITO!$Z$277</f>
        <v>0</v>
      </c>
      <c r="L277" s="56">
        <f>EFEITO!$N$277*EFEITO!$AA$277</f>
        <v>0</v>
      </c>
      <c r="M277" s="56">
        <f ca="1">$J$277-EFEITO!$K$277*EFEITO!$Y$277</f>
        <v>0</v>
      </c>
      <c r="N277" s="56">
        <f>$K$277-EFEITO!$M$277*EFEITO!$Z$277</f>
        <v>0</v>
      </c>
      <c r="O277" s="56">
        <f>$L$277-EFEITO!$O$277*EFEITO!$AA$277</f>
        <v>0</v>
      </c>
      <c r="P277" s="39"/>
      <c r="Q277" s="39"/>
      <c r="R277" s="39"/>
      <c r="S277" s="39"/>
      <c r="T277" s="39"/>
      <c r="U277" s="39"/>
      <c r="V277" s="39"/>
      <c r="W277" s="3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28</v>
      </c>
      <c r="B278" s="35" t="s">
        <v>33</v>
      </c>
      <c r="C278" s="35" t="s">
        <v>34</v>
      </c>
      <c r="D278" s="35" t="s">
        <v>43</v>
      </c>
      <c r="E278" s="35" t="s">
        <v>25</v>
      </c>
      <c r="F278" s="35" t="s">
        <v>25</v>
      </c>
      <c r="G278" s="35" t="s">
        <v>25</v>
      </c>
      <c r="H278" s="35" t="s">
        <v>25</v>
      </c>
      <c r="I278" s="55">
        <v>44470</v>
      </c>
      <c r="J278" s="56">
        <f ca="1">EFEITO!$J$278*EFEITO!$Y$278</f>
        <v>214.73796106811676</v>
      </c>
      <c r="K278" s="56">
        <f>EFEITO!$L$278*EFEITO!$Z$278</f>
        <v>0</v>
      </c>
      <c r="L278" s="56">
        <f>EFEITO!$N$278*EFEITO!$AA$278</f>
        <v>0</v>
      </c>
      <c r="M278" s="56">
        <f ca="1">$J$278-EFEITO!$K$278*EFEITO!$Y$278</f>
        <v>0</v>
      </c>
      <c r="N278" s="56">
        <f>$K$278-EFEITO!$M$278*EFEITO!$Z$278</f>
        <v>0</v>
      </c>
      <c r="O278" s="56">
        <f>$L$278-EFEITO!$O$278*EFEITO!$AA$278</f>
        <v>0</v>
      </c>
      <c r="P278" s="39"/>
      <c r="Q278" s="39"/>
      <c r="R278" s="39"/>
      <c r="S278" s="39"/>
      <c r="T278" s="39"/>
      <c r="U278" s="39"/>
      <c r="V278" s="39"/>
      <c r="W278" s="3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21</v>
      </c>
      <c r="B279" s="35" t="s">
        <v>33</v>
      </c>
      <c r="C279" s="35" t="s">
        <v>34</v>
      </c>
      <c r="D279" s="35" t="s">
        <v>43</v>
      </c>
      <c r="E279" s="35" t="s">
        <v>25</v>
      </c>
      <c r="F279" s="35" t="s">
        <v>25</v>
      </c>
      <c r="G279" s="35" t="s">
        <v>25</v>
      </c>
      <c r="H279" s="35" t="s">
        <v>25</v>
      </c>
      <c r="I279" s="55">
        <v>44501</v>
      </c>
      <c r="J279" s="56">
        <f ca="1">EFEITO!$J$279*EFEITO!$Y$279</f>
        <v>82244.639089088712</v>
      </c>
      <c r="K279" s="56">
        <f>EFEITO!$L$279*EFEITO!$Z$279</f>
        <v>0</v>
      </c>
      <c r="L279" s="56">
        <f>EFEITO!$N$279*EFEITO!$AA$279</f>
        <v>0</v>
      </c>
      <c r="M279" s="56">
        <f ca="1">$J$279-EFEITO!$K$279*EFEITO!$Y$279</f>
        <v>0</v>
      </c>
      <c r="N279" s="56">
        <f>$K$279-EFEITO!$M$279*EFEITO!$Z$279</f>
        <v>0</v>
      </c>
      <c r="O279" s="56">
        <f>$L$279-EFEITO!$O$279*EFEITO!$AA$279</f>
        <v>0</v>
      </c>
      <c r="P279" s="39"/>
      <c r="Q279" s="39"/>
      <c r="R279" s="39"/>
      <c r="S279" s="39"/>
      <c r="T279" s="39"/>
      <c r="U279" s="39"/>
      <c r="V279" s="39"/>
      <c r="W279" s="3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28</v>
      </c>
      <c r="B280" s="35" t="s">
        <v>33</v>
      </c>
      <c r="C280" s="35" t="s">
        <v>34</v>
      </c>
      <c r="D280" s="35" t="s">
        <v>43</v>
      </c>
      <c r="E280" s="35" t="s">
        <v>25</v>
      </c>
      <c r="F280" s="35" t="s">
        <v>25</v>
      </c>
      <c r="G280" s="35" t="s">
        <v>25</v>
      </c>
      <c r="H280" s="35" t="s">
        <v>25</v>
      </c>
      <c r="I280" s="55">
        <v>44501</v>
      </c>
      <c r="J280" s="56">
        <f ca="1">EFEITO!$J$280*EFEITO!$Y$280</f>
        <v>5583.186987771036</v>
      </c>
      <c r="K280" s="56">
        <f>EFEITO!$L$280*EFEITO!$Z$280</f>
        <v>0</v>
      </c>
      <c r="L280" s="56">
        <f>EFEITO!$N$280*EFEITO!$AA$280</f>
        <v>0</v>
      </c>
      <c r="M280" s="56">
        <f ca="1">$J$280-EFEITO!$K$280*EFEITO!$Y$280</f>
        <v>0</v>
      </c>
      <c r="N280" s="56">
        <f>$K$280-EFEITO!$M$280*EFEITO!$Z$280</f>
        <v>0</v>
      </c>
      <c r="O280" s="56">
        <f>$L$280-EFEITO!$O$280*EFEITO!$AA$280</f>
        <v>0</v>
      </c>
      <c r="P280" s="39"/>
      <c r="Q280" s="39"/>
      <c r="R280" s="39"/>
      <c r="S280" s="39"/>
      <c r="T280" s="39"/>
      <c r="U280" s="39"/>
      <c r="V280" s="39"/>
      <c r="W280" s="3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21</v>
      </c>
      <c r="B281" s="35" t="s">
        <v>33</v>
      </c>
      <c r="C281" s="35" t="s">
        <v>34</v>
      </c>
      <c r="D281" s="35" t="s">
        <v>43</v>
      </c>
      <c r="E281" s="35" t="s">
        <v>25</v>
      </c>
      <c r="F281" s="35" t="s">
        <v>25</v>
      </c>
      <c r="G281" s="35" t="s">
        <v>25</v>
      </c>
      <c r="H281" s="35" t="s">
        <v>25</v>
      </c>
      <c r="I281" s="55">
        <v>44531</v>
      </c>
      <c r="J281" s="56">
        <f ca="1">EFEITO!$J$281*EFEITO!$Y$281</f>
        <v>71821.588824936276</v>
      </c>
      <c r="K281" s="56">
        <f>EFEITO!$L$281*EFEITO!$Z$281</f>
        <v>0</v>
      </c>
      <c r="L281" s="56">
        <f>EFEITO!$N$281*EFEITO!$AA$281</f>
        <v>0</v>
      </c>
      <c r="M281" s="56">
        <f ca="1">$J$281-EFEITO!$K$281*EFEITO!$Y$281</f>
        <v>0</v>
      </c>
      <c r="N281" s="56">
        <f>$K$281-EFEITO!$M$281*EFEITO!$Z$281</f>
        <v>0</v>
      </c>
      <c r="O281" s="56">
        <f>$L$281-EFEITO!$O$281*EFEITO!$AA$281</f>
        <v>0</v>
      </c>
      <c r="P281" s="39"/>
      <c r="Q281" s="39"/>
      <c r="R281" s="39"/>
      <c r="S281" s="39"/>
      <c r="T281" s="39"/>
      <c r="U281" s="39"/>
      <c r="V281" s="39"/>
      <c r="W281" s="3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28</v>
      </c>
      <c r="B282" s="35" t="s">
        <v>33</v>
      </c>
      <c r="C282" s="35" t="s">
        <v>34</v>
      </c>
      <c r="D282" s="35" t="s">
        <v>43</v>
      </c>
      <c r="E282" s="35" t="s">
        <v>25</v>
      </c>
      <c r="F282" s="35" t="s">
        <v>25</v>
      </c>
      <c r="G282" s="35" t="s">
        <v>25</v>
      </c>
      <c r="H282" s="35" t="s">
        <v>25</v>
      </c>
      <c r="I282" s="55">
        <v>44531</v>
      </c>
      <c r="J282" s="56">
        <f ca="1">EFEITO!$J$282*EFEITO!$Y$282</f>
        <v>16402.676564664609</v>
      </c>
      <c r="K282" s="56">
        <f>EFEITO!$L$282*EFEITO!$Z$282</f>
        <v>0</v>
      </c>
      <c r="L282" s="56">
        <f>EFEITO!$N$282*EFEITO!$AA$282</f>
        <v>0</v>
      </c>
      <c r="M282" s="56">
        <f ca="1">$J$282-EFEITO!$K$282*EFEITO!$Y$282</f>
        <v>0</v>
      </c>
      <c r="N282" s="56">
        <f>$K$282-EFEITO!$M$282*EFEITO!$Z$282</f>
        <v>0</v>
      </c>
      <c r="O282" s="56">
        <f>$L$282-EFEITO!$O$282*EFEITO!$AA$282</f>
        <v>0</v>
      </c>
      <c r="P282" s="39"/>
      <c r="Q282" s="39"/>
      <c r="R282" s="39"/>
      <c r="S282" s="39"/>
      <c r="T282" s="39"/>
      <c r="U282" s="39"/>
      <c r="V282" s="39"/>
      <c r="W282" s="3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21</v>
      </c>
      <c r="B283" s="35" t="s">
        <v>33</v>
      </c>
      <c r="C283" s="35" t="s">
        <v>34</v>
      </c>
      <c r="D283" s="35" t="s">
        <v>43</v>
      </c>
      <c r="E283" s="35" t="s">
        <v>25</v>
      </c>
      <c r="F283" s="35" t="s">
        <v>25</v>
      </c>
      <c r="G283" s="35" t="s">
        <v>25</v>
      </c>
      <c r="H283" s="35" t="s">
        <v>25</v>
      </c>
      <c r="I283" s="55">
        <v>44562</v>
      </c>
      <c r="J283" s="56">
        <f ca="1">EFEITO!$J$283*EFEITO!$Y$283</f>
        <v>83433.957027312135</v>
      </c>
      <c r="K283" s="56">
        <f>EFEITO!$L$283*EFEITO!$Z$283</f>
        <v>0</v>
      </c>
      <c r="L283" s="56">
        <f>EFEITO!$N$283*EFEITO!$AA$283</f>
        <v>0</v>
      </c>
      <c r="M283" s="56">
        <f ca="1">$J$283-EFEITO!$K$283*EFEITO!$Y$283</f>
        <v>0</v>
      </c>
      <c r="N283" s="56">
        <f>$K$283-EFEITO!$M$283*EFEITO!$Z$283</f>
        <v>0</v>
      </c>
      <c r="O283" s="56">
        <f>$L$283-EFEITO!$O$283*EFEITO!$AA$283</f>
        <v>0</v>
      </c>
      <c r="P283" s="39"/>
      <c r="Q283" s="39"/>
      <c r="R283" s="39"/>
      <c r="S283" s="39"/>
      <c r="T283" s="39"/>
      <c r="U283" s="39"/>
      <c r="V283" s="39"/>
      <c r="W283" s="3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28</v>
      </c>
      <c r="B284" s="35" t="s">
        <v>33</v>
      </c>
      <c r="C284" s="35" t="s">
        <v>34</v>
      </c>
      <c r="D284" s="35" t="s">
        <v>43</v>
      </c>
      <c r="E284" s="35" t="s">
        <v>25</v>
      </c>
      <c r="F284" s="35" t="s">
        <v>25</v>
      </c>
      <c r="G284" s="35" t="s">
        <v>25</v>
      </c>
      <c r="H284" s="35" t="s">
        <v>25</v>
      </c>
      <c r="I284" s="55">
        <v>44562</v>
      </c>
      <c r="J284" s="56">
        <f ca="1">EFEITO!$J$284*EFEITO!$Y$284</f>
        <v>8391.2987863541002</v>
      </c>
      <c r="K284" s="56">
        <f>EFEITO!$L$284*EFEITO!$Z$284</f>
        <v>0</v>
      </c>
      <c r="L284" s="56">
        <f>EFEITO!$N$284*EFEITO!$AA$284</f>
        <v>0</v>
      </c>
      <c r="M284" s="56">
        <f ca="1">$J$284-EFEITO!$K$284*EFEITO!$Y$284</f>
        <v>0</v>
      </c>
      <c r="N284" s="56">
        <f>$K$284-EFEITO!$M$284*EFEITO!$Z$284</f>
        <v>0</v>
      </c>
      <c r="O284" s="56">
        <f>$L$284-EFEITO!$O$284*EFEITO!$AA$284</f>
        <v>0</v>
      </c>
      <c r="P284" s="39"/>
      <c r="Q284" s="39"/>
      <c r="R284" s="39"/>
      <c r="S284" s="39"/>
      <c r="T284" s="39"/>
      <c r="U284" s="39"/>
      <c r="V284" s="39"/>
      <c r="W284" s="3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21</v>
      </c>
      <c r="B285" s="35" t="s">
        <v>33</v>
      </c>
      <c r="C285" s="35" t="s">
        <v>34</v>
      </c>
      <c r="D285" s="35" t="s">
        <v>43</v>
      </c>
      <c r="E285" s="35" t="s">
        <v>25</v>
      </c>
      <c r="F285" s="35" t="s">
        <v>25</v>
      </c>
      <c r="G285" s="35" t="s">
        <v>25</v>
      </c>
      <c r="H285" s="35" t="s">
        <v>25</v>
      </c>
      <c r="I285" s="55">
        <v>44593</v>
      </c>
      <c r="J285" s="56">
        <f ca="1">EFEITO!$J$285*EFEITO!$Y$285</f>
        <v>79519.118813993395</v>
      </c>
      <c r="K285" s="56">
        <f>EFEITO!$L$285*EFEITO!$Z$285</f>
        <v>0</v>
      </c>
      <c r="L285" s="56">
        <f>EFEITO!$N$285*EFEITO!$AA$285</f>
        <v>0</v>
      </c>
      <c r="M285" s="56">
        <f ca="1">$J$285-EFEITO!$K$285*EFEITO!$Y$285</f>
        <v>0</v>
      </c>
      <c r="N285" s="56">
        <f>$K$285-EFEITO!$M$285*EFEITO!$Z$285</f>
        <v>0</v>
      </c>
      <c r="O285" s="56">
        <f>$L$285-EFEITO!$O$285*EFEITO!$AA$285</f>
        <v>0</v>
      </c>
      <c r="P285" s="39"/>
      <c r="Q285" s="39"/>
      <c r="R285" s="39"/>
      <c r="S285" s="39"/>
      <c r="T285" s="39"/>
      <c r="U285" s="39"/>
      <c r="V285" s="39"/>
      <c r="W285" s="3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28</v>
      </c>
      <c r="B286" s="35" t="s">
        <v>33</v>
      </c>
      <c r="C286" s="35" t="s">
        <v>34</v>
      </c>
      <c r="D286" s="35" t="s">
        <v>43</v>
      </c>
      <c r="E286" s="35" t="s">
        <v>25</v>
      </c>
      <c r="F286" s="35" t="s">
        <v>25</v>
      </c>
      <c r="G286" s="35" t="s">
        <v>25</v>
      </c>
      <c r="H286" s="35" t="s">
        <v>25</v>
      </c>
      <c r="I286" s="55">
        <v>44593</v>
      </c>
      <c r="J286" s="56">
        <f ca="1">EFEITO!$J$286*EFEITO!$Y$286</f>
        <v>8391.2987863541002</v>
      </c>
      <c r="K286" s="56">
        <f>EFEITO!$L$286*EFEITO!$Z$286</f>
        <v>0</v>
      </c>
      <c r="L286" s="56">
        <f>EFEITO!$N$286*EFEITO!$AA$286</f>
        <v>0</v>
      </c>
      <c r="M286" s="56">
        <f ca="1">$J$286-EFEITO!$K$286*EFEITO!$Y$286</f>
        <v>0</v>
      </c>
      <c r="N286" s="56">
        <f>$K$286-EFEITO!$M$286*EFEITO!$Z$286</f>
        <v>0</v>
      </c>
      <c r="O286" s="56">
        <f>$L$286-EFEITO!$O$286*EFEITO!$AA$286</f>
        <v>0</v>
      </c>
      <c r="P286" s="39"/>
      <c r="Q286" s="39"/>
      <c r="R286" s="39"/>
      <c r="S286" s="39"/>
      <c r="T286" s="39"/>
      <c r="U286" s="39"/>
      <c r="V286" s="39"/>
      <c r="W286" s="3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21</v>
      </c>
      <c r="B287" s="35" t="s">
        <v>33</v>
      </c>
      <c r="C287" s="35" t="s">
        <v>34</v>
      </c>
      <c r="D287" s="35" t="s">
        <v>43</v>
      </c>
      <c r="E287" s="35" t="s">
        <v>25</v>
      </c>
      <c r="F287" s="35" t="s">
        <v>25</v>
      </c>
      <c r="G287" s="35" t="s">
        <v>25</v>
      </c>
      <c r="H287" s="35" t="s">
        <v>25</v>
      </c>
      <c r="I287" s="55">
        <v>44621</v>
      </c>
      <c r="J287" s="56">
        <f ca="1">EFEITO!$J$287*EFEITO!$Y$287</f>
        <v>82343.748917274002</v>
      </c>
      <c r="K287" s="56">
        <f>EFEITO!$L$287*EFEITO!$Z$287</f>
        <v>0</v>
      </c>
      <c r="L287" s="56">
        <f>EFEITO!$N$287*EFEITO!$AA$287</f>
        <v>0</v>
      </c>
      <c r="M287" s="56">
        <f ca="1">$J$287-EFEITO!$K$287*EFEITO!$Y$287</f>
        <v>0</v>
      </c>
      <c r="N287" s="56">
        <f>$K$287-EFEITO!$M$287*EFEITO!$Z$287</f>
        <v>0</v>
      </c>
      <c r="O287" s="56">
        <f>$L$287-EFEITO!$O$287*EFEITO!$AA$287</f>
        <v>0</v>
      </c>
      <c r="P287" s="39"/>
      <c r="Q287" s="39"/>
      <c r="R287" s="39"/>
      <c r="S287" s="39"/>
      <c r="T287" s="39"/>
      <c r="U287" s="39"/>
      <c r="V287" s="39"/>
      <c r="W287" s="3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28</v>
      </c>
      <c r="B288" s="35" t="s">
        <v>33</v>
      </c>
      <c r="C288" s="35" t="s">
        <v>34</v>
      </c>
      <c r="D288" s="35" t="s">
        <v>43</v>
      </c>
      <c r="E288" s="35" t="s">
        <v>25</v>
      </c>
      <c r="F288" s="35" t="s">
        <v>25</v>
      </c>
      <c r="G288" s="35" t="s">
        <v>25</v>
      </c>
      <c r="H288" s="35" t="s">
        <v>25</v>
      </c>
      <c r="I288" s="55">
        <v>44621</v>
      </c>
      <c r="J288" s="56">
        <f ca="1">EFEITO!$J$288*EFEITO!$Y$288</f>
        <v>9217.2140212314735</v>
      </c>
      <c r="K288" s="56">
        <f>EFEITO!$L$288*EFEITO!$Z$288</f>
        <v>0</v>
      </c>
      <c r="L288" s="56">
        <f>EFEITO!$N$288*EFEITO!$AA$288</f>
        <v>0</v>
      </c>
      <c r="M288" s="56">
        <f ca="1">$J$288-EFEITO!$K$288*EFEITO!$Y$288</f>
        <v>0</v>
      </c>
      <c r="N288" s="56">
        <f>$K$288-EFEITO!$M$288*EFEITO!$Z$288</f>
        <v>0</v>
      </c>
      <c r="O288" s="56">
        <f>$L$288-EFEITO!$O$288*EFEITO!$AA$288</f>
        <v>0</v>
      </c>
      <c r="P288" s="39"/>
      <c r="Q288" s="39"/>
      <c r="R288" s="39"/>
      <c r="S288" s="39"/>
      <c r="T288" s="39"/>
      <c r="U288" s="39"/>
      <c r="V288" s="39"/>
      <c r="W288" s="3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21</v>
      </c>
      <c r="B289" s="35" t="s">
        <v>33</v>
      </c>
      <c r="C289" s="35" t="s">
        <v>34</v>
      </c>
      <c r="D289" s="35" t="s">
        <v>43</v>
      </c>
      <c r="E289" s="35" t="s">
        <v>25</v>
      </c>
      <c r="F289" s="35" t="s">
        <v>25</v>
      </c>
      <c r="G289" s="35" t="s">
        <v>25</v>
      </c>
      <c r="H289" s="35" t="s">
        <v>25</v>
      </c>
      <c r="I289" s="55">
        <v>44652</v>
      </c>
      <c r="J289" s="56">
        <f ca="1">EFEITO!$J$289*EFEITO!$Y$289</f>
        <v>84458.09191856008</v>
      </c>
      <c r="K289" s="56">
        <f>EFEITO!$L$289*EFEITO!$Z$289</f>
        <v>0</v>
      </c>
      <c r="L289" s="56">
        <f>EFEITO!$N$289*EFEITO!$AA$289</f>
        <v>0</v>
      </c>
      <c r="M289" s="56">
        <f ca="1">$J$289-EFEITO!$K$289*EFEITO!$Y$289</f>
        <v>0</v>
      </c>
      <c r="N289" s="56">
        <f>$K$289-EFEITO!$M$289*EFEITO!$Z$289</f>
        <v>0</v>
      </c>
      <c r="O289" s="56">
        <f>$L$289-EFEITO!$O$289*EFEITO!$AA$289</f>
        <v>0</v>
      </c>
      <c r="P289" s="39"/>
      <c r="Q289" s="39"/>
      <c r="R289" s="39"/>
      <c r="S289" s="39"/>
      <c r="T289" s="39"/>
      <c r="U289" s="39"/>
      <c r="V289" s="39"/>
      <c r="W289" s="3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28</v>
      </c>
      <c r="B290" s="35" t="s">
        <v>33</v>
      </c>
      <c r="C290" s="35" t="s">
        <v>34</v>
      </c>
      <c r="D290" s="35" t="s">
        <v>43</v>
      </c>
      <c r="E290" s="35" t="s">
        <v>25</v>
      </c>
      <c r="F290" s="35" t="s">
        <v>25</v>
      </c>
      <c r="G290" s="35" t="s">
        <v>25</v>
      </c>
      <c r="H290" s="35" t="s">
        <v>25</v>
      </c>
      <c r="I290" s="55">
        <v>44652</v>
      </c>
      <c r="J290" s="56">
        <f ca="1">EFEITO!$J$290*EFEITO!$Y$290</f>
        <v>6409.1022226484074</v>
      </c>
      <c r="K290" s="56">
        <f>EFEITO!$L$290*EFEITO!$Z$290</f>
        <v>0</v>
      </c>
      <c r="L290" s="56">
        <f>EFEITO!$N$290*EFEITO!$AA$290</f>
        <v>0</v>
      </c>
      <c r="M290" s="56">
        <f ca="1">$J$290-EFEITO!$K$290*EFEITO!$Y$290</f>
        <v>0</v>
      </c>
      <c r="N290" s="56">
        <f>$K$290-EFEITO!$M$290*EFEITO!$Z$290</f>
        <v>0</v>
      </c>
      <c r="O290" s="56">
        <f>$L$290-EFEITO!$O$290*EFEITO!$AA$290</f>
        <v>0</v>
      </c>
      <c r="P290" s="39"/>
      <c r="Q290" s="39"/>
      <c r="R290" s="39"/>
      <c r="S290" s="39"/>
      <c r="T290" s="39"/>
      <c r="U290" s="39"/>
      <c r="V290" s="39"/>
      <c r="W290" s="3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21</v>
      </c>
      <c r="B291" s="35" t="s">
        <v>33</v>
      </c>
      <c r="C291" s="35" t="s">
        <v>34</v>
      </c>
      <c r="D291" s="35" t="s">
        <v>43</v>
      </c>
      <c r="E291" s="35" t="s">
        <v>25</v>
      </c>
      <c r="F291" s="35" t="s">
        <v>25</v>
      </c>
      <c r="G291" s="35" t="s">
        <v>25</v>
      </c>
      <c r="H291" s="35" t="s">
        <v>25</v>
      </c>
      <c r="I291" s="55">
        <v>44682</v>
      </c>
      <c r="J291" s="56">
        <f ca="1">EFEITO!$J$291*EFEITO!$Y$291</f>
        <v>80477.180486451136</v>
      </c>
      <c r="K291" s="56">
        <f>EFEITO!$L$291*EFEITO!$Z$291</f>
        <v>0</v>
      </c>
      <c r="L291" s="56">
        <f>EFEITO!$N$291*EFEITO!$AA$291</f>
        <v>0</v>
      </c>
      <c r="M291" s="56">
        <f ca="1">$J$291-EFEITO!$K$291*EFEITO!$Y$291</f>
        <v>0</v>
      </c>
      <c r="N291" s="56">
        <f>$K$291-EFEITO!$M$291*EFEITO!$Z$291</f>
        <v>0</v>
      </c>
      <c r="O291" s="56">
        <f>$L$291-EFEITO!$O$291*EFEITO!$AA$291</f>
        <v>0</v>
      </c>
      <c r="P291" s="39"/>
      <c r="Q291" s="39"/>
      <c r="R291" s="39"/>
      <c r="S291" s="39"/>
      <c r="T291" s="39"/>
      <c r="U291" s="39"/>
      <c r="V291" s="39"/>
      <c r="W291" s="3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28</v>
      </c>
      <c r="B292" s="35" t="s">
        <v>33</v>
      </c>
      <c r="C292" s="35" t="s">
        <v>34</v>
      </c>
      <c r="D292" s="35" t="s">
        <v>43</v>
      </c>
      <c r="E292" s="35" t="s">
        <v>25</v>
      </c>
      <c r="F292" s="35" t="s">
        <v>25</v>
      </c>
      <c r="G292" s="35" t="s">
        <v>25</v>
      </c>
      <c r="H292" s="35" t="s">
        <v>25</v>
      </c>
      <c r="I292" s="55">
        <v>44682</v>
      </c>
      <c r="J292" s="56">
        <f ca="1">EFEITO!$J$292*EFEITO!$Y$292</f>
        <v>9217.2140212314735</v>
      </c>
      <c r="K292" s="56">
        <f>EFEITO!$L$292*EFEITO!$Z$292</f>
        <v>0</v>
      </c>
      <c r="L292" s="56">
        <f>EFEITO!$N$292*EFEITO!$AA$292</f>
        <v>0</v>
      </c>
      <c r="M292" s="56">
        <f ca="1">$J$292-EFEITO!$K$292*EFEITO!$Y$292</f>
        <v>0</v>
      </c>
      <c r="N292" s="56">
        <f>$K$292-EFEITO!$M$292*EFEITO!$Z$292</f>
        <v>0</v>
      </c>
      <c r="O292" s="56">
        <f>$L$292-EFEITO!$O$292*EFEITO!$AA$292</f>
        <v>0</v>
      </c>
      <c r="P292" s="39"/>
      <c r="Q292" s="39"/>
      <c r="R292" s="39"/>
      <c r="S292" s="39"/>
      <c r="T292" s="39"/>
      <c r="U292" s="39"/>
      <c r="V292" s="39"/>
      <c r="W292" s="3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21</v>
      </c>
      <c r="B293" s="35" t="s">
        <v>33</v>
      </c>
      <c r="C293" s="35" t="s">
        <v>34</v>
      </c>
      <c r="D293" s="35" t="s">
        <v>43</v>
      </c>
      <c r="E293" s="35" t="s">
        <v>25</v>
      </c>
      <c r="F293" s="35" t="s">
        <v>25</v>
      </c>
      <c r="G293" s="35" t="s">
        <v>25</v>
      </c>
      <c r="H293" s="35" t="s">
        <v>37</v>
      </c>
      <c r="I293" s="55">
        <v>44348</v>
      </c>
      <c r="J293" s="56">
        <f>EFEITO!$J$293*EFEITO!$Y$293</f>
        <v>0</v>
      </c>
      <c r="K293" s="56">
        <f ca="1">EFEITO!$L$293*EFEITO!$Z$293</f>
        <v>75940.805768681108</v>
      </c>
      <c r="L293" s="56">
        <f>EFEITO!$N$293*EFEITO!$AA$293</f>
        <v>27494.869669040843</v>
      </c>
      <c r="M293" s="56">
        <f>$J$293-EFEITO!$K$293*EFEITO!$Y$293</f>
        <v>0</v>
      </c>
      <c r="N293" s="56">
        <f ca="1">$K$293-EFEITO!$M$293*EFEITO!$Z$293</f>
        <v>0</v>
      </c>
      <c r="O293" s="56">
        <f>$L$293-EFEITO!$O$293*EFEITO!$AA$293</f>
        <v>0</v>
      </c>
      <c r="P293" s="39"/>
      <c r="Q293" s="39"/>
      <c r="R293" s="39"/>
      <c r="S293" s="39"/>
      <c r="T293" s="39"/>
      <c r="U293" s="39"/>
      <c r="V293" s="39"/>
      <c r="W293" s="3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21</v>
      </c>
      <c r="B294" s="35" t="s">
        <v>33</v>
      </c>
      <c r="C294" s="35" t="s">
        <v>34</v>
      </c>
      <c r="D294" s="35" t="s">
        <v>43</v>
      </c>
      <c r="E294" s="35" t="s">
        <v>25</v>
      </c>
      <c r="F294" s="35" t="s">
        <v>25</v>
      </c>
      <c r="G294" s="35" t="s">
        <v>25</v>
      </c>
      <c r="H294" s="35" t="s">
        <v>37</v>
      </c>
      <c r="I294" s="55">
        <v>44378</v>
      </c>
      <c r="J294" s="56">
        <f>EFEITO!$J$294*EFEITO!$Y$294</f>
        <v>0</v>
      </c>
      <c r="K294" s="56">
        <f ca="1">EFEITO!$L$294*EFEITO!$Z$294</f>
        <v>82273.409643238716</v>
      </c>
      <c r="L294" s="56">
        <f>EFEITO!$N$294*EFEITO!$AA$294</f>
        <v>29787.630674592769</v>
      </c>
      <c r="M294" s="56">
        <f>$J$294-EFEITO!$K$294*EFEITO!$Y$294</f>
        <v>0</v>
      </c>
      <c r="N294" s="56">
        <f ca="1">$K$294-EFEITO!$M$294*EFEITO!$Z$294</f>
        <v>0</v>
      </c>
      <c r="O294" s="56">
        <f>$L$294-EFEITO!$O$294*EFEITO!$AA$294</f>
        <v>0</v>
      </c>
      <c r="P294" s="39"/>
      <c r="Q294" s="39"/>
      <c r="R294" s="39"/>
      <c r="S294" s="39"/>
      <c r="T294" s="39"/>
      <c r="U294" s="39"/>
      <c r="V294" s="39"/>
      <c r="W294" s="3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28</v>
      </c>
      <c r="B295" s="35" t="s">
        <v>33</v>
      </c>
      <c r="C295" s="35" t="s">
        <v>34</v>
      </c>
      <c r="D295" s="35" t="s">
        <v>43</v>
      </c>
      <c r="E295" s="35" t="s">
        <v>25</v>
      </c>
      <c r="F295" s="35" t="s">
        <v>25</v>
      </c>
      <c r="G295" s="35" t="s">
        <v>25</v>
      </c>
      <c r="H295" s="35" t="s">
        <v>37</v>
      </c>
      <c r="I295" s="55">
        <v>44378</v>
      </c>
      <c r="J295" s="56">
        <f>EFEITO!$J$295*EFEITO!$Y$295</f>
        <v>0</v>
      </c>
      <c r="K295" s="56">
        <f ca="1">EFEITO!$L$295*EFEITO!$Z$295</f>
        <v>232.71516772903607</v>
      </c>
      <c r="L295" s="56">
        <f>EFEITO!$N$295*EFEITO!$AA$295</f>
        <v>84.256061572599648</v>
      </c>
      <c r="M295" s="56">
        <f>$J$295-EFEITO!$K$295*EFEITO!$Y$295</f>
        <v>0</v>
      </c>
      <c r="N295" s="56">
        <f ca="1">$K$295-EFEITO!$M$295*EFEITO!$Z$295</f>
        <v>0</v>
      </c>
      <c r="O295" s="56">
        <f>$L$295-EFEITO!$O$295*EFEITO!$AA$295</f>
        <v>0</v>
      </c>
      <c r="P295" s="39"/>
      <c r="Q295" s="39"/>
      <c r="R295" s="39"/>
      <c r="S295" s="39"/>
      <c r="T295" s="39"/>
      <c r="U295" s="39"/>
      <c r="V295" s="39"/>
      <c r="W295" s="3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21</v>
      </c>
      <c r="B296" s="35" t="s">
        <v>33</v>
      </c>
      <c r="C296" s="35" t="s">
        <v>34</v>
      </c>
      <c r="D296" s="35" t="s">
        <v>43</v>
      </c>
      <c r="E296" s="35" t="s">
        <v>25</v>
      </c>
      <c r="F296" s="35" t="s">
        <v>25</v>
      </c>
      <c r="G296" s="35" t="s">
        <v>25</v>
      </c>
      <c r="H296" s="35" t="s">
        <v>37</v>
      </c>
      <c r="I296" s="55">
        <v>44409</v>
      </c>
      <c r="J296" s="56">
        <f>EFEITO!$J$296*EFEITO!$Y$296</f>
        <v>0</v>
      </c>
      <c r="K296" s="56">
        <f ca="1">EFEITO!$L$296*EFEITO!$Z$296</f>
        <v>81600.484503056723</v>
      </c>
      <c r="L296" s="56">
        <f>EFEITO!$N$296*EFEITO!$AA$296</f>
        <v>29543.993688666087</v>
      </c>
      <c r="M296" s="56">
        <f>$J$296-EFEITO!$K$296*EFEITO!$Y$296</f>
        <v>0</v>
      </c>
      <c r="N296" s="56">
        <f ca="1">$K$296-EFEITO!$M$296*EFEITO!$Z$296</f>
        <v>0</v>
      </c>
      <c r="O296" s="56">
        <f>$L$296-EFEITO!$O$296*EFEITO!$AA$296</f>
        <v>0</v>
      </c>
      <c r="P296" s="39"/>
      <c r="Q296" s="39"/>
      <c r="R296" s="39"/>
      <c r="S296" s="39"/>
      <c r="T296" s="39"/>
      <c r="U296" s="39"/>
      <c r="V296" s="39"/>
      <c r="W296" s="3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28</v>
      </c>
      <c r="B297" s="35" t="s">
        <v>33</v>
      </c>
      <c r="C297" s="35" t="s">
        <v>34</v>
      </c>
      <c r="D297" s="35" t="s">
        <v>43</v>
      </c>
      <c r="E297" s="35" t="s">
        <v>25</v>
      </c>
      <c r="F297" s="35" t="s">
        <v>25</v>
      </c>
      <c r="G297" s="35" t="s">
        <v>25</v>
      </c>
      <c r="H297" s="35" t="s">
        <v>37</v>
      </c>
      <c r="I297" s="55">
        <v>44409</v>
      </c>
      <c r="J297" s="56">
        <f>EFEITO!$J$297*EFEITO!$Y$297</f>
        <v>0</v>
      </c>
      <c r="K297" s="56">
        <f ca="1">EFEITO!$L$297*EFEITO!$Z$297</f>
        <v>1132.6235749570819</v>
      </c>
      <c r="L297" s="56">
        <f>EFEITO!$N$297*EFEITO!$AA$297</f>
        <v>410.07383661935199</v>
      </c>
      <c r="M297" s="56">
        <f>$J$297-EFEITO!$K$297*EFEITO!$Y$297</f>
        <v>0</v>
      </c>
      <c r="N297" s="56">
        <f ca="1">$K$297-EFEITO!$M$297*EFEITO!$Z$297</f>
        <v>0</v>
      </c>
      <c r="O297" s="56">
        <f>$L$297-EFEITO!$O$297*EFEITO!$AA$297</f>
        <v>0</v>
      </c>
      <c r="P297" s="39"/>
      <c r="Q297" s="39"/>
      <c r="R297" s="39"/>
      <c r="S297" s="39"/>
      <c r="T297" s="39"/>
      <c r="U297" s="39"/>
      <c r="V297" s="39"/>
      <c r="W297" s="3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33</v>
      </c>
      <c r="C298" s="35" t="s">
        <v>34</v>
      </c>
      <c r="D298" s="35" t="s">
        <v>43</v>
      </c>
      <c r="E298" s="35" t="s">
        <v>25</v>
      </c>
      <c r="F298" s="35" t="s">
        <v>25</v>
      </c>
      <c r="G298" s="35" t="s">
        <v>25</v>
      </c>
      <c r="H298" s="35" t="s">
        <v>37</v>
      </c>
      <c r="I298" s="55">
        <v>44440</v>
      </c>
      <c r="J298" s="56">
        <f>EFEITO!$J$298*EFEITO!$Y$298</f>
        <v>0</v>
      </c>
      <c r="K298" s="56">
        <f ca="1">EFEITO!$L$298*EFEITO!$Z$298</f>
        <v>83739.629837945307</v>
      </c>
      <c r="L298" s="56">
        <f>EFEITO!$N$298*EFEITO!$AA$298</f>
        <v>30318.485367949193</v>
      </c>
      <c r="M298" s="56">
        <f>$J$298-EFEITO!$K$298*EFEITO!$Y$298</f>
        <v>0</v>
      </c>
      <c r="N298" s="56">
        <f ca="1">$K$298-EFEITO!$M$298*EFEITO!$Z$298</f>
        <v>0</v>
      </c>
      <c r="O298" s="56">
        <f>$L$298-EFEITO!$O$298*EFEITO!$AA$298</f>
        <v>0</v>
      </c>
      <c r="P298" s="39"/>
      <c r="Q298" s="39"/>
      <c r="R298" s="39"/>
      <c r="S298" s="39"/>
      <c r="T298" s="39"/>
      <c r="U298" s="39"/>
      <c r="V298" s="39"/>
      <c r="W298" s="3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27</v>
      </c>
      <c r="B299" s="35" t="s">
        <v>33</v>
      </c>
      <c r="C299" s="35" t="s">
        <v>34</v>
      </c>
      <c r="D299" s="35" t="s">
        <v>43</v>
      </c>
      <c r="E299" s="35" t="s">
        <v>25</v>
      </c>
      <c r="F299" s="35" t="s">
        <v>25</v>
      </c>
      <c r="G299" s="35" t="s">
        <v>25</v>
      </c>
      <c r="H299" s="35" t="s">
        <v>37</v>
      </c>
      <c r="I299" s="55">
        <v>44440</v>
      </c>
      <c r="J299" s="56">
        <f>EFEITO!$J$299*EFEITO!$Y$299</f>
        <v>0</v>
      </c>
      <c r="K299" s="56">
        <f ca="1">EFEITO!$L$299*EFEITO!$Z$299</f>
        <v>11142.814927715423</v>
      </c>
      <c r="L299" s="56">
        <f>EFEITO!$N$299*EFEITO!$AA$299</f>
        <v>4034.3296477126532</v>
      </c>
      <c r="M299" s="56">
        <f>$J$299-EFEITO!$K$299*EFEITO!$Y$299</f>
        <v>0</v>
      </c>
      <c r="N299" s="56">
        <f ca="1">$K$299-EFEITO!$M$299*EFEITO!$Z$299</f>
        <v>0</v>
      </c>
      <c r="O299" s="56">
        <f>$L$299-EFEITO!$O$299*EFEITO!$AA$299</f>
        <v>0</v>
      </c>
      <c r="P299" s="39"/>
      <c r="Q299" s="39"/>
      <c r="R299" s="39"/>
      <c r="S299" s="39"/>
      <c r="T299" s="39"/>
      <c r="U299" s="39"/>
      <c r="V299" s="39"/>
      <c r="W299" s="3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28</v>
      </c>
      <c r="B300" s="35" t="s">
        <v>33</v>
      </c>
      <c r="C300" s="35" t="s">
        <v>34</v>
      </c>
      <c r="D300" s="35" t="s">
        <v>43</v>
      </c>
      <c r="E300" s="35" t="s">
        <v>25</v>
      </c>
      <c r="F300" s="35" t="s">
        <v>25</v>
      </c>
      <c r="G300" s="35" t="s">
        <v>25</v>
      </c>
      <c r="H300" s="35" t="s">
        <v>37</v>
      </c>
      <c r="I300" s="55">
        <v>44440</v>
      </c>
      <c r="J300" s="56">
        <f>EFEITO!$J$300*EFEITO!$Y$300</f>
        <v>0</v>
      </c>
      <c r="K300" s="56">
        <f ca="1">EFEITO!$L$300*EFEITO!$Z$300</f>
        <v>1465.0738145699906</v>
      </c>
      <c r="L300" s="56">
        <f>EFEITO!$N$300*EFEITO!$AA$300</f>
        <v>530.43963886592292</v>
      </c>
      <c r="M300" s="56">
        <f>$J$300-EFEITO!$K$300*EFEITO!$Y$300</f>
        <v>0</v>
      </c>
      <c r="N300" s="56">
        <f ca="1">$K$300-EFEITO!$M$300*EFEITO!$Z$300</f>
        <v>0</v>
      </c>
      <c r="O300" s="56">
        <f>$L$300-EFEITO!$O$300*EFEITO!$AA$300</f>
        <v>0</v>
      </c>
      <c r="P300" s="39"/>
      <c r="Q300" s="39"/>
      <c r="R300" s="39"/>
      <c r="S300" s="39"/>
      <c r="T300" s="39"/>
      <c r="U300" s="39"/>
      <c r="V300" s="39"/>
      <c r="W300" s="3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21</v>
      </c>
      <c r="B301" s="35" t="s">
        <v>33</v>
      </c>
      <c r="C301" s="35" t="s">
        <v>34</v>
      </c>
      <c r="D301" s="35" t="s">
        <v>43</v>
      </c>
      <c r="E301" s="35" t="s">
        <v>25</v>
      </c>
      <c r="F301" s="35" t="s">
        <v>25</v>
      </c>
      <c r="G301" s="35" t="s">
        <v>25</v>
      </c>
      <c r="H301" s="35" t="s">
        <v>37</v>
      </c>
      <c r="I301" s="55">
        <v>44470</v>
      </c>
      <c r="J301" s="56">
        <f>EFEITO!$J$301*EFEITO!$Y$301</f>
        <v>0</v>
      </c>
      <c r="K301" s="56">
        <f ca="1">EFEITO!$L$301*EFEITO!$Z$301</f>
        <v>84387.334615122178</v>
      </c>
      <c r="L301" s="56">
        <f>EFEITO!$N$301*EFEITO!$AA$301</f>
        <v>30552.991155084754</v>
      </c>
      <c r="M301" s="56">
        <f>$J$301-EFEITO!$K$301*EFEITO!$Y$301</f>
        <v>0</v>
      </c>
      <c r="N301" s="56">
        <f ca="1">$K$301-EFEITO!$M$301*EFEITO!$Z$301</f>
        <v>0</v>
      </c>
      <c r="O301" s="56">
        <f>$L$301-EFEITO!$O$301*EFEITO!$AA$301</f>
        <v>0</v>
      </c>
      <c r="P301" s="39"/>
      <c r="Q301" s="39"/>
      <c r="R301" s="39"/>
      <c r="S301" s="39"/>
      <c r="T301" s="39"/>
      <c r="U301" s="39"/>
      <c r="V301" s="39"/>
      <c r="W301" s="3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28</v>
      </c>
      <c r="B302" s="35" t="s">
        <v>33</v>
      </c>
      <c r="C302" s="35" t="s">
        <v>34</v>
      </c>
      <c r="D302" s="35" t="s">
        <v>43</v>
      </c>
      <c r="E302" s="35" t="s">
        <v>25</v>
      </c>
      <c r="F302" s="35" t="s">
        <v>25</v>
      </c>
      <c r="G302" s="35" t="s">
        <v>25</v>
      </c>
      <c r="H302" s="35" t="s">
        <v>37</v>
      </c>
      <c r="I302" s="55">
        <v>44470</v>
      </c>
      <c r="J302" s="56">
        <f>EFEITO!$J$302*EFEITO!$Y$302</f>
        <v>0</v>
      </c>
      <c r="K302" s="56">
        <f ca="1">EFEITO!$L$302*EFEITO!$Z$302</f>
        <v>1226.6267461579735</v>
      </c>
      <c r="L302" s="56">
        <f>EFEITO!$N$302*EFEITO!$AA$302</f>
        <v>444.10830484079622</v>
      </c>
      <c r="M302" s="56">
        <f>$J$302-EFEITO!$K$302*EFEITO!$Y$302</f>
        <v>0</v>
      </c>
      <c r="N302" s="56">
        <f ca="1">$K$302-EFEITO!$M$302*EFEITO!$Z$302</f>
        <v>0</v>
      </c>
      <c r="O302" s="56">
        <f>$L$302-EFEITO!$O$302*EFEITO!$AA$302</f>
        <v>0</v>
      </c>
      <c r="P302" s="39"/>
      <c r="Q302" s="39"/>
      <c r="R302" s="39"/>
      <c r="S302" s="39"/>
      <c r="T302" s="39"/>
      <c r="U302" s="39"/>
      <c r="V302" s="39"/>
      <c r="W302" s="3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21</v>
      </c>
      <c r="B303" s="35" t="s">
        <v>33</v>
      </c>
      <c r="C303" s="35" t="s">
        <v>34</v>
      </c>
      <c r="D303" s="35" t="s">
        <v>43</v>
      </c>
      <c r="E303" s="35" t="s">
        <v>25</v>
      </c>
      <c r="F303" s="35" t="s">
        <v>25</v>
      </c>
      <c r="G303" s="35" t="s">
        <v>25</v>
      </c>
      <c r="H303" s="35" t="s">
        <v>37</v>
      </c>
      <c r="I303" s="55">
        <v>44501</v>
      </c>
      <c r="J303" s="56">
        <f>EFEITO!$J$303*EFEITO!$Y$303</f>
        <v>0</v>
      </c>
      <c r="K303" s="56">
        <f ca="1">EFEITO!$L$303*EFEITO!$Z$303</f>
        <v>111561.12937299938</v>
      </c>
      <c r="L303" s="56">
        <f>EFEITO!$N$303*EFEITO!$AA$303</f>
        <v>40391.442798025164</v>
      </c>
      <c r="M303" s="56">
        <f>$J$303-EFEITO!$K$303*EFEITO!$Y$303</f>
        <v>0</v>
      </c>
      <c r="N303" s="56">
        <f ca="1">$K$303-EFEITO!$M$303*EFEITO!$Z$303</f>
        <v>0</v>
      </c>
      <c r="O303" s="56">
        <f>$L$303-EFEITO!$O$303*EFEITO!$AA$303</f>
        <v>0</v>
      </c>
      <c r="P303" s="39"/>
      <c r="Q303" s="39"/>
      <c r="R303" s="39"/>
      <c r="S303" s="39"/>
      <c r="T303" s="39"/>
      <c r="U303" s="39"/>
      <c r="V303" s="39"/>
      <c r="W303" s="3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21</v>
      </c>
      <c r="B304" s="35" t="s">
        <v>33</v>
      </c>
      <c r="C304" s="35" t="s">
        <v>34</v>
      </c>
      <c r="D304" s="35" t="s">
        <v>43</v>
      </c>
      <c r="E304" s="35" t="s">
        <v>25</v>
      </c>
      <c r="F304" s="35" t="s">
        <v>25</v>
      </c>
      <c r="G304" s="35" t="s">
        <v>25</v>
      </c>
      <c r="H304" s="35" t="s">
        <v>37</v>
      </c>
      <c r="I304" s="55">
        <v>44531</v>
      </c>
      <c r="J304" s="56">
        <f>EFEITO!$J$304*EFEITO!$Y$304</f>
        <v>0</v>
      </c>
      <c r="K304" s="56">
        <f ca="1">EFEITO!$L$304*EFEITO!$Z$304</f>
        <v>95673.447059912127</v>
      </c>
      <c r="L304" s="56">
        <f>EFEITO!$N$304*EFEITO!$AA$304</f>
        <v>34639.202614110582</v>
      </c>
      <c r="M304" s="56">
        <f>$J$304-EFEITO!$K$304*EFEITO!$Y$304</f>
        <v>0</v>
      </c>
      <c r="N304" s="56">
        <f ca="1">$K$304-EFEITO!$M$304*EFEITO!$Z$304</f>
        <v>0</v>
      </c>
      <c r="O304" s="56">
        <f>$L$304-EFEITO!$O$304*EFEITO!$AA$304</f>
        <v>0</v>
      </c>
      <c r="P304" s="39"/>
      <c r="Q304" s="39"/>
      <c r="R304" s="39"/>
      <c r="S304" s="39"/>
      <c r="T304" s="39"/>
      <c r="U304" s="39"/>
      <c r="V304" s="39"/>
      <c r="W304" s="3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28</v>
      </c>
      <c r="B305" s="35" t="s">
        <v>33</v>
      </c>
      <c r="C305" s="35" t="s">
        <v>34</v>
      </c>
      <c r="D305" s="35" t="s">
        <v>43</v>
      </c>
      <c r="E305" s="35" t="s">
        <v>25</v>
      </c>
      <c r="F305" s="35" t="s">
        <v>25</v>
      </c>
      <c r="G305" s="35" t="s">
        <v>25</v>
      </c>
      <c r="H305" s="35" t="s">
        <v>37</v>
      </c>
      <c r="I305" s="55">
        <v>44531</v>
      </c>
      <c r="J305" s="56">
        <f>EFEITO!$J$305*EFEITO!$Y$305</f>
        <v>0</v>
      </c>
      <c r="K305" s="56">
        <f ca="1">EFEITO!$L$305*EFEITO!$Z$305</f>
        <v>17405.489613940663</v>
      </c>
      <c r="L305" s="56">
        <f>EFEITO!$N$305*EFEITO!$AA$305</f>
        <v>6301.7723293437457</v>
      </c>
      <c r="M305" s="56">
        <f>$J$305-EFEITO!$K$305*EFEITO!$Y$305</f>
        <v>0</v>
      </c>
      <c r="N305" s="56">
        <f ca="1">$K$305-EFEITO!$M$305*EFEITO!$Z$305</f>
        <v>0</v>
      </c>
      <c r="O305" s="56">
        <f>$L$305-EFEITO!$O$305*EFEITO!$AA$305</f>
        <v>0</v>
      </c>
      <c r="P305" s="39"/>
      <c r="Q305" s="39"/>
      <c r="R305" s="39"/>
      <c r="S305" s="39"/>
      <c r="T305" s="39"/>
      <c r="U305" s="39"/>
      <c r="V305" s="39"/>
      <c r="W305" s="3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21</v>
      </c>
      <c r="B306" s="35" t="s">
        <v>33</v>
      </c>
      <c r="C306" s="35" t="s">
        <v>34</v>
      </c>
      <c r="D306" s="35" t="s">
        <v>43</v>
      </c>
      <c r="E306" s="35" t="s">
        <v>25</v>
      </c>
      <c r="F306" s="35" t="s">
        <v>25</v>
      </c>
      <c r="G306" s="35" t="s">
        <v>25</v>
      </c>
      <c r="H306" s="35" t="s">
        <v>37</v>
      </c>
      <c r="I306" s="55">
        <v>44562</v>
      </c>
      <c r="J306" s="56">
        <f>EFEITO!$J$306*EFEITO!$Y$306</f>
        <v>0</v>
      </c>
      <c r="K306" s="56">
        <f ca="1">EFEITO!$L$306*EFEITO!$Z$306</f>
        <v>91714.996448245336</v>
      </c>
      <c r="L306" s="56">
        <f>EFEITO!$N$306*EFEITO!$AA$306</f>
        <v>33206.019458395385</v>
      </c>
      <c r="M306" s="56">
        <f>$J$306-EFEITO!$K$306*EFEITO!$Y$306</f>
        <v>0</v>
      </c>
      <c r="N306" s="56">
        <f ca="1">$K$306-EFEITO!$M$306*EFEITO!$Z$306</f>
        <v>0</v>
      </c>
      <c r="O306" s="56">
        <f>$L$306-EFEITO!$O$306*EFEITO!$AA$306</f>
        <v>0</v>
      </c>
      <c r="P306" s="39"/>
      <c r="Q306" s="39"/>
      <c r="R306" s="39"/>
      <c r="S306" s="39"/>
      <c r="T306" s="39"/>
      <c r="U306" s="39"/>
      <c r="V306" s="39"/>
      <c r="W306" s="3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21</v>
      </c>
      <c r="B307" s="35" t="s">
        <v>33</v>
      </c>
      <c r="C307" s="35" t="s">
        <v>34</v>
      </c>
      <c r="D307" s="35" t="s">
        <v>43</v>
      </c>
      <c r="E307" s="35" t="s">
        <v>25</v>
      </c>
      <c r="F307" s="35" t="s">
        <v>25</v>
      </c>
      <c r="G307" s="35" t="s">
        <v>25</v>
      </c>
      <c r="H307" s="35" t="s">
        <v>37</v>
      </c>
      <c r="I307" s="55">
        <v>44593</v>
      </c>
      <c r="J307" s="56">
        <f>EFEITO!$J$307*EFEITO!$Y$307</f>
        <v>0</v>
      </c>
      <c r="K307" s="56">
        <f ca="1">EFEITO!$L$307*EFEITO!$Z$307</f>
        <v>86566.603254791626</v>
      </c>
      <c r="L307" s="56">
        <f>EFEITO!$N$307*EFEITO!$AA$307</f>
        <v>31342.009741535556</v>
      </c>
      <c r="M307" s="56">
        <f>$J$307-EFEITO!$K$307*EFEITO!$Y$307</f>
        <v>0</v>
      </c>
      <c r="N307" s="56">
        <f ca="1">$K$307-EFEITO!$M$307*EFEITO!$Z$307</f>
        <v>0</v>
      </c>
      <c r="O307" s="56">
        <f>$L$307-EFEITO!$O$307*EFEITO!$AA$307</f>
        <v>0</v>
      </c>
      <c r="P307" s="39"/>
      <c r="Q307" s="39"/>
      <c r="R307" s="39"/>
      <c r="S307" s="39"/>
      <c r="T307" s="39"/>
      <c r="U307" s="39"/>
      <c r="V307" s="39"/>
      <c r="W307" s="3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21</v>
      </c>
      <c r="B308" s="35" t="s">
        <v>33</v>
      </c>
      <c r="C308" s="35" t="s">
        <v>34</v>
      </c>
      <c r="D308" s="35" t="s">
        <v>43</v>
      </c>
      <c r="E308" s="35" t="s">
        <v>25</v>
      </c>
      <c r="F308" s="35" t="s">
        <v>25</v>
      </c>
      <c r="G308" s="35" t="s">
        <v>25</v>
      </c>
      <c r="H308" s="35" t="s">
        <v>37</v>
      </c>
      <c r="I308" s="55">
        <v>44621</v>
      </c>
      <c r="J308" s="56">
        <f>EFEITO!$J$308*EFEITO!$Y$308</f>
        <v>0</v>
      </c>
      <c r="K308" s="56">
        <f ca="1">EFEITO!$L$308*EFEITO!$Z$308</f>
        <v>93517.106022974607</v>
      </c>
      <c r="L308" s="56">
        <f>EFEITO!$N$308*EFEITO!$AA$308</f>
        <v>33858.485117469892</v>
      </c>
      <c r="M308" s="56">
        <f>$J$308-EFEITO!$K$308*EFEITO!$Y$308</f>
        <v>0</v>
      </c>
      <c r="N308" s="56">
        <f ca="1">$K$308-EFEITO!$M$308*EFEITO!$Z$308</f>
        <v>0</v>
      </c>
      <c r="O308" s="56">
        <f>$L$308-EFEITO!$O$308*EFEITO!$AA$308</f>
        <v>0</v>
      </c>
      <c r="P308" s="39"/>
      <c r="Q308" s="39"/>
      <c r="R308" s="39"/>
      <c r="S308" s="39"/>
      <c r="T308" s="39"/>
      <c r="U308" s="39"/>
      <c r="V308" s="39"/>
      <c r="W308" s="3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21</v>
      </c>
      <c r="B309" s="35" t="s">
        <v>33</v>
      </c>
      <c r="C309" s="35" t="s">
        <v>34</v>
      </c>
      <c r="D309" s="35" t="s">
        <v>43</v>
      </c>
      <c r="E309" s="35" t="s">
        <v>25</v>
      </c>
      <c r="F309" s="35" t="s">
        <v>25</v>
      </c>
      <c r="G309" s="35" t="s">
        <v>25</v>
      </c>
      <c r="H309" s="35" t="s">
        <v>37</v>
      </c>
      <c r="I309" s="55">
        <v>44652</v>
      </c>
      <c r="J309" s="56">
        <f>EFEITO!$J$309*EFEITO!$Y$309</f>
        <v>0</v>
      </c>
      <c r="K309" s="56">
        <f ca="1">EFEITO!$L$309*EFEITO!$Z$309</f>
        <v>73313.302495602533</v>
      </c>
      <c r="L309" s="56">
        <f>EFEITO!$N$309*EFEITO!$AA$309</f>
        <v>26543.564776802428</v>
      </c>
      <c r="M309" s="56">
        <f>$J$309-EFEITO!$K$309*EFEITO!$Y$309</f>
        <v>0</v>
      </c>
      <c r="N309" s="56">
        <f ca="1">$K$309-EFEITO!$M$309*EFEITO!$Z$309</f>
        <v>0</v>
      </c>
      <c r="O309" s="56">
        <f>$L$309-EFEITO!$O$309*EFEITO!$AA$309</f>
        <v>0</v>
      </c>
      <c r="P309" s="39"/>
      <c r="Q309" s="39"/>
      <c r="R309" s="39"/>
      <c r="S309" s="39"/>
      <c r="T309" s="39"/>
      <c r="U309" s="39"/>
      <c r="V309" s="39"/>
      <c r="W309" s="3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27</v>
      </c>
      <c r="B310" s="35" t="s">
        <v>33</v>
      </c>
      <c r="C310" s="35" t="s">
        <v>34</v>
      </c>
      <c r="D310" s="35" t="s">
        <v>43</v>
      </c>
      <c r="E310" s="35" t="s">
        <v>25</v>
      </c>
      <c r="F310" s="35" t="s">
        <v>25</v>
      </c>
      <c r="G310" s="35" t="s">
        <v>25</v>
      </c>
      <c r="H310" s="35" t="s">
        <v>37</v>
      </c>
      <c r="I310" s="55">
        <v>44652</v>
      </c>
      <c r="J310" s="56">
        <f>EFEITO!$J$310*EFEITO!$Y$310</f>
        <v>0</v>
      </c>
      <c r="K310" s="56">
        <f ca="1">EFEITO!$L$310*EFEITO!$Z$310</f>
        <v>3605.3655295951644</v>
      </c>
      <c r="L310" s="56">
        <f>EFEITO!$N$310*EFEITO!$AA$310</f>
        <v>1305.3463726395364</v>
      </c>
      <c r="M310" s="56">
        <f>$J$310-EFEITO!$K$310*EFEITO!$Y$310</f>
        <v>0</v>
      </c>
      <c r="N310" s="56">
        <f ca="1">$K$310-EFEITO!$M$310*EFEITO!$Z$310</f>
        <v>0</v>
      </c>
      <c r="O310" s="56">
        <f>$L$310-EFEITO!$O$310*EFEITO!$AA$310</f>
        <v>0</v>
      </c>
      <c r="P310" s="39"/>
      <c r="Q310" s="39"/>
      <c r="R310" s="39"/>
      <c r="S310" s="39"/>
      <c r="T310" s="39"/>
      <c r="U310" s="39"/>
      <c r="V310" s="39"/>
      <c r="W310" s="3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21</v>
      </c>
      <c r="B311" s="35" t="s">
        <v>33</v>
      </c>
      <c r="C311" s="35" t="s">
        <v>34</v>
      </c>
      <c r="D311" s="35" t="s">
        <v>43</v>
      </c>
      <c r="E311" s="35" t="s">
        <v>25</v>
      </c>
      <c r="F311" s="35" t="s">
        <v>25</v>
      </c>
      <c r="G311" s="35" t="s">
        <v>25</v>
      </c>
      <c r="H311" s="35" t="s">
        <v>37</v>
      </c>
      <c r="I311" s="55">
        <v>44682</v>
      </c>
      <c r="J311" s="56">
        <f>EFEITO!$J$311*EFEITO!$Y$311</f>
        <v>0</v>
      </c>
      <c r="K311" s="56">
        <f ca="1">EFEITO!$L$311*EFEITO!$Z$311</f>
        <v>87591.467096908658</v>
      </c>
      <c r="L311" s="56">
        <f>EFEITO!$N$311*EFEITO!$AA$311</f>
        <v>31713.068456047396</v>
      </c>
      <c r="M311" s="56">
        <f>$J$311-EFEITO!$K$311*EFEITO!$Y$311</f>
        <v>0</v>
      </c>
      <c r="N311" s="56">
        <f ca="1">$K$311-EFEITO!$M$311*EFEITO!$Z$311</f>
        <v>0</v>
      </c>
      <c r="O311" s="56">
        <f>$L$311-EFEITO!$O$311*EFEITO!$AA$311</f>
        <v>0</v>
      </c>
      <c r="P311" s="39"/>
      <c r="Q311" s="39"/>
      <c r="R311" s="39"/>
      <c r="S311" s="39"/>
      <c r="T311" s="39"/>
      <c r="U311" s="39"/>
      <c r="V311" s="39"/>
      <c r="W311" s="3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21</v>
      </c>
      <c r="B312" s="35" t="s">
        <v>33</v>
      </c>
      <c r="C312" s="35" t="s">
        <v>34</v>
      </c>
      <c r="D312" s="35" t="s">
        <v>40</v>
      </c>
      <c r="E312" s="35" t="s">
        <v>25</v>
      </c>
      <c r="F312" s="35" t="s">
        <v>54</v>
      </c>
      <c r="G312" s="35" t="s">
        <v>25</v>
      </c>
      <c r="H312" s="35" t="s">
        <v>35</v>
      </c>
      <c r="I312" s="55">
        <v>44348</v>
      </c>
      <c r="J312" s="56">
        <f>EFEITO!$J$312*EFEITO!$Y$312</f>
        <v>0</v>
      </c>
      <c r="K312" s="56">
        <f ca="1">EFEITO!$L$312*EFEITO!$Z$312</f>
        <v>244022.2925278566</v>
      </c>
      <c r="L312" s="56">
        <f>EFEITO!$N$312*EFEITO!$AA$312</f>
        <v>0</v>
      </c>
      <c r="M312" s="56">
        <f>$J$312-EFEITO!$K$312*EFEITO!$Y$312</f>
        <v>0</v>
      </c>
      <c r="N312" s="56">
        <f ca="1">$K$312-EFEITO!$M$312*EFEITO!$Z$312</f>
        <v>0</v>
      </c>
      <c r="O312" s="56">
        <f>$L$312-EFEITO!$O$312*EFEITO!$AA$312</f>
        <v>0</v>
      </c>
      <c r="P312" s="39"/>
      <c r="Q312" s="39"/>
      <c r="R312" s="39"/>
      <c r="S312" s="39"/>
      <c r="T312" s="39"/>
      <c r="U312" s="39"/>
      <c r="V312" s="39"/>
      <c r="W312" s="3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21</v>
      </c>
      <c r="B313" s="35" t="s">
        <v>33</v>
      </c>
      <c r="C313" s="35" t="s">
        <v>34</v>
      </c>
      <c r="D313" s="35" t="s">
        <v>40</v>
      </c>
      <c r="E313" s="35" t="s">
        <v>25</v>
      </c>
      <c r="F313" s="35" t="s">
        <v>54</v>
      </c>
      <c r="G313" s="35" t="s">
        <v>25</v>
      </c>
      <c r="H313" s="35" t="s">
        <v>35</v>
      </c>
      <c r="I313" s="55">
        <v>44378</v>
      </c>
      <c r="J313" s="56">
        <f>EFEITO!$J$313*EFEITO!$Y$313</f>
        <v>0</v>
      </c>
      <c r="K313" s="56">
        <f ca="1">EFEITO!$L$313*EFEITO!$Z$313</f>
        <v>231242.44219737628</v>
      </c>
      <c r="L313" s="56">
        <f>EFEITO!$N$313*EFEITO!$AA$313</f>
        <v>0</v>
      </c>
      <c r="M313" s="56">
        <f>$J$313-EFEITO!$K$313*EFEITO!$Y$313</f>
        <v>0</v>
      </c>
      <c r="N313" s="56">
        <f ca="1">$K$313-EFEITO!$M$313*EFEITO!$Z$313</f>
        <v>0</v>
      </c>
      <c r="O313" s="56">
        <f>$L$313-EFEITO!$O$313*EFEITO!$AA$313</f>
        <v>0</v>
      </c>
      <c r="P313" s="39"/>
      <c r="Q313" s="39"/>
      <c r="R313" s="39"/>
      <c r="S313" s="39"/>
      <c r="T313" s="39"/>
      <c r="U313" s="39"/>
      <c r="V313" s="39"/>
      <c r="W313" s="3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21</v>
      </c>
      <c r="B314" s="35" t="s">
        <v>33</v>
      </c>
      <c r="C314" s="35" t="s">
        <v>34</v>
      </c>
      <c r="D314" s="35" t="s">
        <v>40</v>
      </c>
      <c r="E314" s="35" t="s">
        <v>25</v>
      </c>
      <c r="F314" s="35" t="s">
        <v>54</v>
      </c>
      <c r="G314" s="35" t="s">
        <v>25</v>
      </c>
      <c r="H314" s="35" t="s">
        <v>35</v>
      </c>
      <c r="I314" s="55">
        <v>44409</v>
      </c>
      <c r="J314" s="56">
        <f>EFEITO!$J$314*EFEITO!$Y$314</f>
        <v>0</v>
      </c>
      <c r="K314" s="56">
        <f ca="1">EFEITO!$L$314*EFEITO!$Z$314</f>
        <v>251680.48065598242</v>
      </c>
      <c r="L314" s="56">
        <f>EFEITO!$N$314*EFEITO!$AA$314</f>
        <v>0</v>
      </c>
      <c r="M314" s="56">
        <f>$J$314-EFEITO!$K$314*EFEITO!$Y$314</f>
        <v>0</v>
      </c>
      <c r="N314" s="56">
        <f ca="1">$K$314-EFEITO!$M$314*EFEITO!$Z$314</f>
        <v>0</v>
      </c>
      <c r="O314" s="56">
        <f>$L$314-EFEITO!$O$314*EFEITO!$AA$314</f>
        <v>0</v>
      </c>
      <c r="P314" s="39"/>
      <c r="Q314" s="39"/>
      <c r="R314" s="39"/>
      <c r="S314" s="39"/>
      <c r="T314" s="39"/>
      <c r="U314" s="39"/>
      <c r="V314" s="39"/>
      <c r="W314" s="3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21</v>
      </c>
      <c r="B315" s="35" t="s">
        <v>33</v>
      </c>
      <c r="C315" s="35" t="s">
        <v>34</v>
      </c>
      <c r="D315" s="35" t="s">
        <v>40</v>
      </c>
      <c r="E315" s="35" t="s">
        <v>25</v>
      </c>
      <c r="F315" s="35" t="s">
        <v>54</v>
      </c>
      <c r="G315" s="35" t="s">
        <v>25</v>
      </c>
      <c r="H315" s="35" t="s">
        <v>35</v>
      </c>
      <c r="I315" s="55">
        <v>44440</v>
      </c>
      <c r="J315" s="56">
        <f>EFEITO!$J$315*EFEITO!$Y$315</f>
        <v>0</v>
      </c>
      <c r="K315" s="56">
        <f ca="1">EFEITO!$L$315*EFEITO!$Z$315</f>
        <v>208864.88411232852</v>
      </c>
      <c r="L315" s="56">
        <f>EFEITO!$N$315*EFEITO!$AA$315</f>
        <v>0</v>
      </c>
      <c r="M315" s="56">
        <f>$J$315-EFEITO!$K$315*EFEITO!$Y$315</f>
        <v>0</v>
      </c>
      <c r="N315" s="56">
        <f ca="1">$K$315-EFEITO!$M$315*EFEITO!$Z$315</f>
        <v>0</v>
      </c>
      <c r="O315" s="56">
        <f>$L$315-EFEITO!$O$315*EFEITO!$AA$315</f>
        <v>0</v>
      </c>
      <c r="P315" s="39"/>
      <c r="Q315" s="39"/>
      <c r="R315" s="39"/>
      <c r="S315" s="39"/>
      <c r="T315" s="39"/>
      <c r="U315" s="39"/>
      <c r="V315" s="39"/>
      <c r="W315" s="3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33</v>
      </c>
      <c r="C316" s="35" t="s">
        <v>34</v>
      </c>
      <c r="D316" s="35" t="s">
        <v>40</v>
      </c>
      <c r="E316" s="35" t="s">
        <v>25</v>
      </c>
      <c r="F316" s="35" t="s">
        <v>54</v>
      </c>
      <c r="G316" s="35" t="s">
        <v>25</v>
      </c>
      <c r="H316" s="35" t="s">
        <v>35</v>
      </c>
      <c r="I316" s="55">
        <v>44470</v>
      </c>
      <c r="J316" s="56">
        <f>EFEITO!$J$316*EFEITO!$Y$316</f>
        <v>0</v>
      </c>
      <c r="K316" s="56">
        <f ca="1">EFEITO!$L$316*EFEITO!$Z$316</f>
        <v>272796.7280594391</v>
      </c>
      <c r="L316" s="56">
        <f>EFEITO!$N$316*EFEITO!$AA$316</f>
        <v>0</v>
      </c>
      <c r="M316" s="56">
        <f>$J$316-EFEITO!$K$316*EFEITO!$Y$316</f>
        <v>0</v>
      </c>
      <c r="N316" s="56">
        <f ca="1">$K$316-EFEITO!$M$316*EFEITO!$Z$316</f>
        <v>0</v>
      </c>
      <c r="O316" s="56">
        <f>$L$316-EFEITO!$O$316*EFEITO!$AA$316</f>
        <v>0</v>
      </c>
      <c r="P316" s="39"/>
      <c r="Q316" s="39"/>
      <c r="R316" s="39"/>
      <c r="S316" s="39"/>
      <c r="T316" s="39"/>
      <c r="U316" s="39"/>
      <c r="V316" s="39"/>
      <c r="W316" s="3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21</v>
      </c>
      <c r="B317" s="35" t="s">
        <v>33</v>
      </c>
      <c r="C317" s="35" t="s">
        <v>34</v>
      </c>
      <c r="D317" s="35" t="s">
        <v>40</v>
      </c>
      <c r="E317" s="35" t="s">
        <v>25</v>
      </c>
      <c r="F317" s="35" t="s">
        <v>54</v>
      </c>
      <c r="G317" s="35" t="s">
        <v>25</v>
      </c>
      <c r="H317" s="35" t="s">
        <v>35</v>
      </c>
      <c r="I317" s="55">
        <v>44501</v>
      </c>
      <c r="J317" s="56">
        <f>EFEITO!$J$317*EFEITO!$Y$317</f>
        <v>0</v>
      </c>
      <c r="K317" s="56">
        <f ca="1">EFEITO!$L$317*EFEITO!$Z$317</f>
        <v>278934.53569581202</v>
      </c>
      <c r="L317" s="56">
        <f>EFEITO!$N$317*EFEITO!$AA$317</f>
        <v>0</v>
      </c>
      <c r="M317" s="56">
        <f>$J$317-EFEITO!$K$317*EFEITO!$Y$317</f>
        <v>0</v>
      </c>
      <c r="N317" s="56">
        <f ca="1">$K$317-EFEITO!$M$317*EFEITO!$Z$317</f>
        <v>0</v>
      </c>
      <c r="O317" s="56">
        <f>$L$317-EFEITO!$O$317*EFEITO!$AA$317</f>
        <v>0</v>
      </c>
      <c r="P317" s="39"/>
      <c r="Q317" s="39"/>
      <c r="R317" s="39"/>
      <c r="S317" s="39"/>
      <c r="T317" s="39"/>
      <c r="U317" s="39"/>
      <c r="V317" s="39"/>
      <c r="W317" s="3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33</v>
      </c>
      <c r="C318" s="35" t="s">
        <v>34</v>
      </c>
      <c r="D318" s="35" t="s">
        <v>40</v>
      </c>
      <c r="E318" s="35" t="s">
        <v>25</v>
      </c>
      <c r="F318" s="35" t="s">
        <v>54</v>
      </c>
      <c r="G318" s="35" t="s">
        <v>25</v>
      </c>
      <c r="H318" s="35" t="s">
        <v>35</v>
      </c>
      <c r="I318" s="55">
        <v>44531</v>
      </c>
      <c r="J318" s="56">
        <f>EFEITO!$J$318*EFEITO!$Y$318</f>
        <v>0</v>
      </c>
      <c r="K318" s="56">
        <f ca="1">EFEITO!$L$318*EFEITO!$Z$318</f>
        <v>285761.0085081025</v>
      </c>
      <c r="L318" s="56">
        <f>EFEITO!$N$318*EFEITO!$AA$318</f>
        <v>0</v>
      </c>
      <c r="M318" s="56">
        <f>$J$318-EFEITO!$K$318*EFEITO!$Y$318</f>
        <v>0</v>
      </c>
      <c r="N318" s="56">
        <f ca="1">$K$318-EFEITO!$M$318*EFEITO!$Z$318</f>
        <v>0</v>
      </c>
      <c r="O318" s="56">
        <f>$L$318-EFEITO!$O$318*EFEITO!$AA$318</f>
        <v>0</v>
      </c>
      <c r="P318" s="39"/>
      <c r="Q318" s="39"/>
      <c r="R318" s="39"/>
      <c r="S318" s="39"/>
      <c r="T318" s="39"/>
      <c r="U318" s="39"/>
      <c r="V318" s="39"/>
      <c r="W318" s="3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21</v>
      </c>
      <c r="B319" s="35" t="s">
        <v>33</v>
      </c>
      <c r="C319" s="35" t="s">
        <v>34</v>
      </c>
      <c r="D319" s="35" t="s">
        <v>40</v>
      </c>
      <c r="E319" s="35" t="s">
        <v>25</v>
      </c>
      <c r="F319" s="35" t="s">
        <v>54</v>
      </c>
      <c r="G319" s="35" t="s">
        <v>25</v>
      </c>
      <c r="H319" s="35" t="s">
        <v>35</v>
      </c>
      <c r="I319" s="55">
        <v>44562</v>
      </c>
      <c r="J319" s="56">
        <f>EFEITO!$J$319*EFEITO!$Y$319</f>
        <v>0</v>
      </c>
      <c r="K319" s="56">
        <f ca="1">EFEITO!$L$319*EFEITO!$Z$319</f>
        <v>266138.66730922891</v>
      </c>
      <c r="L319" s="56">
        <f>EFEITO!$N$319*EFEITO!$AA$319</f>
        <v>0</v>
      </c>
      <c r="M319" s="56">
        <f>$J$319-EFEITO!$K$319*EFEITO!$Y$319</f>
        <v>0</v>
      </c>
      <c r="N319" s="56">
        <f ca="1">$K$319-EFEITO!$M$319*EFEITO!$Z$319</f>
        <v>0</v>
      </c>
      <c r="O319" s="56">
        <f>$L$319-EFEITO!$O$319*EFEITO!$AA$319</f>
        <v>0</v>
      </c>
      <c r="P319" s="39"/>
      <c r="Q319" s="39"/>
      <c r="R319" s="39"/>
      <c r="S319" s="39"/>
      <c r="T319" s="39"/>
      <c r="U319" s="39"/>
      <c r="V319" s="39"/>
      <c r="W319" s="3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21</v>
      </c>
      <c r="B320" s="35" t="s">
        <v>33</v>
      </c>
      <c r="C320" s="35" t="s">
        <v>34</v>
      </c>
      <c r="D320" s="35" t="s">
        <v>40</v>
      </c>
      <c r="E320" s="35" t="s">
        <v>25</v>
      </c>
      <c r="F320" s="35" t="s">
        <v>54</v>
      </c>
      <c r="G320" s="35" t="s">
        <v>25</v>
      </c>
      <c r="H320" s="35" t="s">
        <v>35</v>
      </c>
      <c r="I320" s="55">
        <v>44593</v>
      </c>
      <c r="J320" s="56">
        <f>EFEITO!$J$320*EFEITO!$Y$320</f>
        <v>0</v>
      </c>
      <c r="K320" s="56">
        <f ca="1">EFEITO!$L$320*EFEITO!$Z$320</f>
        <v>275533.70215949626</v>
      </c>
      <c r="L320" s="56">
        <f>EFEITO!$N$320*EFEITO!$AA$320</f>
        <v>0</v>
      </c>
      <c r="M320" s="56">
        <f>$J$320-EFEITO!$K$320*EFEITO!$Y$320</f>
        <v>0</v>
      </c>
      <c r="N320" s="56">
        <f ca="1">$K$320-EFEITO!$M$320*EFEITO!$Z$320</f>
        <v>0</v>
      </c>
      <c r="O320" s="56">
        <f>$L$320-EFEITO!$O$320*EFEITO!$AA$320</f>
        <v>0</v>
      </c>
      <c r="P320" s="39"/>
      <c r="Q320" s="39"/>
      <c r="R320" s="39"/>
      <c r="S320" s="39"/>
      <c r="T320" s="39"/>
      <c r="U320" s="39"/>
      <c r="V320" s="39"/>
      <c r="W320" s="3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21</v>
      </c>
      <c r="B321" s="35" t="s">
        <v>33</v>
      </c>
      <c r="C321" s="35" t="s">
        <v>34</v>
      </c>
      <c r="D321" s="35" t="s">
        <v>40</v>
      </c>
      <c r="E321" s="35" t="s">
        <v>25</v>
      </c>
      <c r="F321" s="35" t="s">
        <v>54</v>
      </c>
      <c r="G321" s="35" t="s">
        <v>25</v>
      </c>
      <c r="H321" s="35" t="s">
        <v>35</v>
      </c>
      <c r="I321" s="55">
        <v>44621</v>
      </c>
      <c r="J321" s="56">
        <f>EFEITO!$J$321*EFEITO!$Y$321</f>
        <v>0</v>
      </c>
      <c r="K321" s="56">
        <f ca="1">EFEITO!$L$321*EFEITO!$Z$321</f>
        <v>277638.18551649619</v>
      </c>
      <c r="L321" s="56">
        <f>EFEITO!$N$321*EFEITO!$AA$321</f>
        <v>0</v>
      </c>
      <c r="M321" s="56">
        <f>$J$321-EFEITO!$K$321*EFEITO!$Y$321</f>
        <v>0</v>
      </c>
      <c r="N321" s="56">
        <f ca="1">$K$321-EFEITO!$M$321*EFEITO!$Z$321</f>
        <v>0</v>
      </c>
      <c r="O321" s="56">
        <f>$L$321-EFEITO!$O$321*EFEITO!$AA$321</f>
        <v>0</v>
      </c>
      <c r="P321" s="39"/>
      <c r="Q321" s="39"/>
      <c r="R321" s="39"/>
      <c r="S321" s="39"/>
      <c r="T321" s="39"/>
      <c r="U321" s="39"/>
      <c r="V321" s="39"/>
      <c r="W321" s="3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21</v>
      </c>
      <c r="B322" s="35" t="s">
        <v>33</v>
      </c>
      <c r="C322" s="35" t="s">
        <v>34</v>
      </c>
      <c r="D322" s="35" t="s">
        <v>40</v>
      </c>
      <c r="E322" s="35" t="s">
        <v>25</v>
      </c>
      <c r="F322" s="35" t="s">
        <v>54</v>
      </c>
      <c r="G322" s="35" t="s">
        <v>25</v>
      </c>
      <c r="H322" s="35" t="s">
        <v>35</v>
      </c>
      <c r="I322" s="55">
        <v>44652</v>
      </c>
      <c r="J322" s="56">
        <f>EFEITO!$J$322*EFEITO!$Y$322</f>
        <v>0</v>
      </c>
      <c r="K322" s="56">
        <f ca="1">EFEITO!$L$322*EFEITO!$Z$322</f>
        <v>316029.12777126674</v>
      </c>
      <c r="L322" s="56">
        <f>EFEITO!$N$322*EFEITO!$AA$322</f>
        <v>0</v>
      </c>
      <c r="M322" s="56">
        <f>$J$322-EFEITO!$K$322*EFEITO!$Y$322</f>
        <v>0</v>
      </c>
      <c r="N322" s="56">
        <f ca="1">$K$322-EFEITO!$M$322*EFEITO!$Z$322</f>
        <v>0</v>
      </c>
      <c r="O322" s="56">
        <f>$L$322-EFEITO!$O$322*EFEITO!$AA$322</f>
        <v>0</v>
      </c>
      <c r="P322" s="39"/>
      <c r="Q322" s="39"/>
      <c r="R322" s="39"/>
      <c r="S322" s="39"/>
      <c r="T322" s="39"/>
      <c r="U322" s="39"/>
      <c r="V322" s="39"/>
      <c r="W322" s="3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21</v>
      </c>
      <c r="B323" s="35" t="s">
        <v>33</v>
      </c>
      <c r="C323" s="35" t="s">
        <v>34</v>
      </c>
      <c r="D323" s="35" t="s">
        <v>40</v>
      </c>
      <c r="E323" s="35" t="s">
        <v>25</v>
      </c>
      <c r="F323" s="35" t="s">
        <v>54</v>
      </c>
      <c r="G323" s="35" t="s">
        <v>25</v>
      </c>
      <c r="H323" s="35" t="s">
        <v>35</v>
      </c>
      <c r="I323" s="55">
        <v>44682</v>
      </c>
      <c r="J323" s="56">
        <f>EFEITO!$J$323*EFEITO!$Y$323</f>
        <v>0</v>
      </c>
      <c r="K323" s="56">
        <f ca="1">EFEITO!$L$323*EFEITO!$Z$323</f>
        <v>211370.48629090149</v>
      </c>
      <c r="L323" s="56">
        <f>EFEITO!$N$323*EFEITO!$AA$323</f>
        <v>0</v>
      </c>
      <c r="M323" s="56">
        <f>$J$323-EFEITO!$K$323*EFEITO!$Y$323</f>
        <v>0</v>
      </c>
      <c r="N323" s="56">
        <f ca="1">$K$323-EFEITO!$M$323*EFEITO!$Z$323</f>
        <v>0</v>
      </c>
      <c r="O323" s="56">
        <f>$L$323-EFEITO!$O$323*EFEITO!$AA$323</f>
        <v>0</v>
      </c>
      <c r="P323" s="39"/>
      <c r="Q323" s="39"/>
      <c r="R323" s="39"/>
      <c r="S323" s="39"/>
      <c r="T323" s="39"/>
      <c r="U323" s="39"/>
      <c r="V323" s="39"/>
      <c r="W323" s="3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21</v>
      </c>
      <c r="B324" s="35" t="s">
        <v>33</v>
      </c>
      <c r="C324" s="35" t="s">
        <v>34</v>
      </c>
      <c r="D324" s="35" t="s">
        <v>40</v>
      </c>
      <c r="E324" s="35" t="s">
        <v>25</v>
      </c>
      <c r="F324" s="35" t="s">
        <v>54</v>
      </c>
      <c r="G324" s="35" t="s">
        <v>25</v>
      </c>
      <c r="H324" s="35" t="s">
        <v>25</v>
      </c>
      <c r="I324" s="55">
        <v>44348</v>
      </c>
      <c r="J324" s="56">
        <f ca="1">EFEITO!$J$324*EFEITO!$Y$324</f>
        <v>111382.9285755624</v>
      </c>
      <c r="K324" s="56">
        <f>EFEITO!$L$324*EFEITO!$Z$324</f>
        <v>0</v>
      </c>
      <c r="L324" s="56">
        <f>EFEITO!$N$324*EFEITO!$AA$324</f>
        <v>0</v>
      </c>
      <c r="M324" s="56">
        <f ca="1">$J$324-EFEITO!$K$324*EFEITO!$Y$324</f>
        <v>55691.4642877812</v>
      </c>
      <c r="N324" s="56">
        <f>$K$324-EFEITO!$M$324*EFEITO!$Z$324</f>
        <v>0</v>
      </c>
      <c r="O324" s="56">
        <f>$L$324-EFEITO!$O$324*EFEITO!$AA$324</f>
        <v>0</v>
      </c>
      <c r="P324" s="39"/>
      <c r="Q324" s="39"/>
      <c r="R324" s="39"/>
      <c r="S324" s="39"/>
      <c r="T324" s="39"/>
      <c r="U324" s="39"/>
      <c r="V324" s="39"/>
      <c r="W324" s="3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21</v>
      </c>
      <c r="B325" s="35" t="s">
        <v>33</v>
      </c>
      <c r="C325" s="35" t="s">
        <v>34</v>
      </c>
      <c r="D325" s="35" t="s">
        <v>40</v>
      </c>
      <c r="E325" s="35" t="s">
        <v>25</v>
      </c>
      <c r="F325" s="35" t="s">
        <v>54</v>
      </c>
      <c r="G325" s="35" t="s">
        <v>25</v>
      </c>
      <c r="H325" s="35" t="s">
        <v>25</v>
      </c>
      <c r="I325" s="55">
        <v>44378</v>
      </c>
      <c r="J325" s="56">
        <f ca="1">EFEITO!$J$325*EFEITO!$Y$325</f>
        <v>112985.20413122451</v>
      </c>
      <c r="K325" s="56">
        <f>EFEITO!$L$325*EFEITO!$Z$325</f>
        <v>0</v>
      </c>
      <c r="L325" s="56">
        <f>EFEITO!$N$325*EFEITO!$AA$325</f>
        <v>0</v>
      </c>
      <c r="M325" s="56">
        <f ca="1">$J$325-EFEITO!$K$325*EFEITO!$Y$325</f>
        <v>56492.602065612256</v>
      </c>
      <c r="N325" s="56">
        <f>$K$325-EFEITO!$M$325*EFEITO!$Z$325</f>
        <v>0</v>
      </c>
      <c r="O325" s="56">
        <f>$L$325-EFEITO!$O$325*EFEITO!$AA$325</f>
        <v>0</v>
      </c>
      <c r="P325" s="39"/>
      <c r="Q325" s="39"/>
      <c r="R325" s="39"/>
      <c r="S325" s="39"/>
      <c r="T325" s="39"/>
      <c r="U325" s="39"/>
      <c r="V325" s="39"/>
      <c r="W325" s="3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21</v>
      </c>
      <c r="B326" s="35" t="s">
        <v>33</v>
      </c>
      <c r="C326" s="35" t="s">
        <v>34</v>
      </c>
      <c r="D326" s="35" t="s">
        <v>40</v>
      </c>
      <c r="E326" s="35" t="s">
        <v>25</v>
      </c>
      <c r="F326" s="35" t="s">
        <v>54</v>
      </c>
      <c r="G326" s="35" t="s">
        <v>25</v>
      </c>
      <c r="H326" s="35" t="s">
        <v>25</v>
      </c>
      <c r="I326" s="55">
        <v>44409</v>
      </c>
      <c r="J326" s="56">
        <f ca="1">EFEITO!$J$326*EFEITO!$Y$326</f>
        <v>113232.97870168772</v>
      </c>
      <c r="K326" s="56">
        <f>EFEITO!$L$326*EFEITO!$Z$326</f>
        <v>0</v>
      </c>
      <c r="L326" s="56">
        <f>EFEITO!$N$326*EFEITO!$AA$326</f>
        <v>0</v>
      </c>
      <c r="M326" s="56">
        <f ca="1">$J$326-EFEITO!$K$326*EFEITO!$Y$326</f>
        <v>56616.489350843862</v>
      </c>
      <c r="N326" s="56">
        <f>$K$326-EFEITO!$M$326*EFEITO!$Z$326</f>
        <v>0</v>
      </c>
      <c r="O326" s="56">
        <f>$L$326-EFEITO!$O$326*EFEITO!$AA$326</f>
        <v>0</v>
      </c>
      <c r="P326" s="39"/>
      <c r="Q326" s="39"/>
      <c r="R326" s="39"/>
      <c r="S326" s="39"/>
      <c r="T326" s="39"/>
      <c r="U326" s="39"/>
      <c r="V326" s="39"/>
      <c r="W326" s="3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21</v>
      </c>
      <c r="B327" s="35" t="s">
        <v>33</v>
      </c>
      <c r="C327" s="35" t="s">
        <v>34</v>
      </c>
      <c r="D327" s="35" t="s">
        <v>40</v>
      </c>
      <c r="E327" s="35" t="s">
        <v>25</v>
      </c>
      <c r="F327" s="35" t="s">
        <v>54</v>
      </c>
      <c r="G327" s="35" t="s">
        <v>25</v>
      </c>
      <c r="H327" s="35" t="s">
        <v>25</v>
      </c>
      <c r="I327" s="55">
        <v>44440</v>
      </c>
      <c r="J327" s="56">
        <f ca="1">EFEITO!$J$327*EFEITO!$Y$327</f>
        <v>85812.592903758967</v>
      </c>
      <c r="K327" s="56">
        <f>EFEITO!$L$327*EFEITO!$Z$327</f>
        <v>0</v>
      </c>
      <c r="L327" s="56">
        <f>EFEITO!$N$327*EFEITO!$AA$327</f>
        <v>0</v>
      </c>
      <c r="M327" s="56">
        <f ca="1">$J$327-EFEITO!$K$327*EFEITO!$Y$327</f>
        <v>42906.296451879483</v>
      </c>
      <c r="N327" s="56">
        <f>$K$327-EFEITO!$M$327*EFEITO!$Z$327</f>
        <v>0</v>
      </c>
      <c r="O327" s="56">
        <f>$L$327-EFEITO!$O$327*EFEITO!$AA$327</f>
        <v>0</v>
      </c>
      <c r="P327" s="39"/>
      <c r="Q327" s="39"/>
      <c r="R327" s="39"/>
      <c r="S327" s="39"/>
      <c r="T327" s="39"/>
      <c r="U327" s="39"/>
      <c r="V327" s="39"/>
      <c r="W327" s="3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21</v>
      </c>
      <c r="B328" s="35" t="s">
        <v>33</v>
      </c>
      <c r="C328" s="35" t="s">
        <v>34</v>
      </c>
      <c r="D328" s="35" t="s">
        <v>40</v>
      </c>
      <c r="E328" s="35" t="s">
        <v>25</v>
      </c>
      <c r="F328" s="35" t="s">
        <v>54</v>
      </c>
      <c r="G328" s="35" t="s">
        <v>25</v>
      </c>
      <c r="H328" s="35" t="s">
        <v>25</v>
      </c>
      <c r="I328" s="55">
        <v>44470</v>
      </c>
      <c r="J328" s="56">
        <f ca="1">EFEITO!$J$328*EFEITO!$Y$328</f>
        <v>109780.6530199003</v>
      </c>
      <c r="K328" s="56">
        <f>EFEITO!$L$328*EFEITO!$Z$328</f>
        <v>0</v>
      </c>
      <c r="L328" s="56">
        <f>EFEITO!$N$328*EFEITO!$AA$328</f>
        <v>0</v>
      </c>
      <c r="M328" s="56">
        <f ca="1">$J$328-EFEITO!$K$328*EFEITO!$Y$328</f>
        <v>54890.326509950151</v>
      </c>
      <c r="N328" s="56">
        <f>$K$328-EFEITO!$M$328*EFEITO!$Z$328</f>
        <v>0</v>
      </c>
      <c r="O328" s="56">
        <f>$L$328-EFEITO!$O$328*EFEITO!$AA$328</f>
        <v>0</v>
      </c>
      <c r="P328" s="39"/>
      <c r="Q328" s="39"/>
      <c r="R328" s="39"/>
      <c r="S328" s="39"/>
      <c r="T328" s="39"/>
      <c r="U328" s="39"/>
      <c r="V328" s="39"/>
      <c r="W328" s="3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21</v>
      </c>
      <c r="B329" s="35" t="s">
        <v>33</v>
      </c>
      <c r="C329" s="35" t="s">
        <v>34</v>
      </c>
      <c r="D329" s="35" t="s">
        <v>40</v>
      </c>
      <c r="E329" s="35" t="s">
        <v>25</v>
      </c>
      <c r="F329" s="35" t="s">
        <v>54</v>
      </c>
      <c r="G329" s="35" t="s">
        <v>25</v>
      </c>
      <c r="H329" s="35" t="s">
        <v>25</v>
      </c>
      <c r="I329" s="55">
        <v>44501</v>
      </c>
      <c r="J329" s="56">
        <f ca="1">EFEITO!$J$329*EFEITO!$Y$329</f>
        <v>112374.02685741526</v>
      </c>
      <c r="K329" s="56">
        <f>EFEITO!$L$329*EFEITO!$Z$329</f>
        <v>0</v>
      </c>
      <c r="L329" s="56">
        <f>EFEITO!$N$329*EFEITO!$AA$329</f>
        <v>0</v>
      </c>
      <c r="M329" s="56">
        <f ca="1">$J$329-EFEITO!$K$329*EFEITO!$Y$329</f>
        <v>56187.013428707629</v>
      </c>
      <c r="N329" s="56">
        <f>$K$329-EFEITO!$M$329*EFEITO!$Z$329</f>
        <v>0</v>
      </c>
      <c r="O329" s="56">
        <f>$L$329-EFEITO!$O$329*EFEITO!$AA$329</f>
        <v>0</v>
      </c>
      <c r="P329" s="39"/>
      <c r="Q329" s="39"/>
      <c r="R329" s="39"/>
      <c r="S329" s="39"/>
      <c r="T329" s="39"/>
      <c r="U329" s="39"/>
      <c r="V329" s="39"/>
      <c r="W329" s="3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21</v>
      </c>
      <c r="B330" s="35" t="s">
        <v>33</v>
      </c>
      <c r="C330" s="35" t="s">
        <v>34</v>
      </c>
      <c r="D330" s="35" t="s">
        <v>40</v>
      </c>
      <c r="E330" s="35" t="s">
        <v>25</v>
      </c>
      <c r="F330" s="35" t="s">
        <v>54</v>
      </c>
      <c r="G330" s="35" t="s">
        <v>25</v>
      </c>
      <c r="H330" s="35" t="s">
        <v>25</v>
      </c>
      <c r="I330" s="55">
        <v>44531</v>
      </c>
      <c r="J330" s="56">
        <f ca="1">EFEITO!$J$330*EFEITO!$Y$330</f>
        <v>113348.60683457056</v>
      </c>
      <c r="K330" s="56">
        <f>EFEITO!$L$330*EFEITO!$Z$330</f>
        <v>0</v>
      </c>
      <c r="L330" s="56">
        <f>EFEITO!$N$330*EFEITO!$AA$330</f>
        <v>0</v>
      </c>
      <c r="M330" s="56">
        <f ca="1">$J$330-EFEITO!$K$330*EFEITO!$Y$330</f>
        <v>56674.303417285279</v>
      </c>
      <c r="N330" s="56">
        <f>$K$330-EFEITO!$M$330*EFEITO!$Z$330</f>
        <v>0</v>
      </c>
      <c r="O330" s="56">
        <f>$L$330-EFEITO!$O$330*EFEITO!$AA$330</f>
        <v>0</v>
      </c>
      <c r="P330" s="39"/>
      <c r="Q330" s="39"/>
      <c r="R330" s="39"/>
      <c r="S330" s="39"/>
      <c r="T330" s="39"/>
      <c r="U330" s="39"/>
      <c r="V330" s="39"/>
      <c r="W330" s="3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21</v>
      </c>
      <c r="B331" s="35" t="s">
        <v>33</v>
      </c>
      <c r="C331" s="35" t="s">
        <v>34</v>
      </c>
      <c r="D331" s="35" t="s">
        <v>40</v>
      </c>
      <c r="E331" s="35" t="s">
        <v>25</v>
      </c>
      <c r="F331" s="35" t="s">
        <v>54</v>
      </c>
      <c r="G331" s="35" t="s">
        <v>25</v>
      </c>
      <c r="H331" s="35" t="s">
        <v>25</v>
      </c>
      <c r="I331" s="55">
        <v>44562</v>
      </c>
      <c r="J331" s="56">
        <f ca="1">EFEITO!$J$331*EFEITO!$Y$331</f>
        <v>112605.28312318091</v>
      </c>
      <c r="K331" s="56">
        <f>EFEITO!$L$331*EFEITO!$Z$331</f>
        <v>0</v>
      </c>
      <c r="L331" s="56">
        <f>EFEITO!$N$331*EFEITO!$AA$331</f>
        <v>0</v>
      </c>
      <c r="M331" s="56">
        <f ca="1">$J$331-EFEITO!$K$331*EFEITO!$Y$331</f>
        <v>56302.641561590455</v>
      </c>
      <c r="N331" s="56">
        <f>$K$331-EFEITO!$M$331*EFEITO!$Z$331</f>
        <v>0</v>
      </c>
      <c r="O331" s="56">
        <f>$L$331-EFEITO!$O$331*EFEITO!$AA$331</f>
        <v>0</v>
      </c>
      <c r="P331" s="39"/>
      <c r="Q331" s="39"/>
      <c r="R331" s="39"/>
      <c r="S331" s="39"/>
      <c r="T331" s="39"/>
      <c r="U331" s="39"/>
      <c r="V331" s="39"/>
      <c r="W331" s="3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33</v>
      </c>
      <c r="C332" s="35" t="s">
        <v>34</v>
      </c>
      <c r="D332" s="35" t="s">
        <v>40</v>
      </c>
      <c r="E332" s="35" t="s">
        <v>25</v>
      </c>
      <c r="F332" s="35" t="s">
        <v>54</v>
      </c>
      <c r="G332" s="35" t="s">
        <v>25</v>
      </c>
      <c r="H332" s="35" t="s">
        <v>25</v>
      </c>
      <c r="I332" s="55">
        <v>44593</v>
      </c>
      <c r="J332" s="56">
        <f ca="1">EFEITO!$J$332*EFEITO!$Y$332</f>
        <v>114901.32747614001</v>
      </c>
      <c r="K332" s="56">
        <f>EFEITO!$L$332*EFEITO!$Z$332</f>
        <v>0</v>
      </c>
      <c r="L332" s="56">
        <f>EFEITO!$N$332*EFEITO!$AA$332</f>
        <v>0</v>
      </c>
      <c r="M332" s="56">
        <f ca="1">$J$332-EFEITO!$K$332*EFEITO!$Y$332</f>
        <v>57450.663738070005</v>
      </c>
      <c r="N332" s="56">
        <f>$K$332-EFEITO!$M$332*EFEITO!$Z$332</f>
        <v>0</v>
      </c>
      <c r="O332" s="56">
        <f>$L$332-EFEITO!$O$332*EFEITO!$AA$332</f>
        <v>0</v>
      </c>
      <c r="P332" s="39"/>
      <c r="Q332" s="39"/>
      <c r="R332" s="39"/>
      <c r="S332" s="39"/>
      <c r="T332" s="39"/>
      <c r="U332" s="39"/>
      <c r="V332" s="39"/>
      <c r="W332" s="3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21</v>
      </c>
      <c r="B333" s="35" t="s">
        <v>33</v>
      </c>
      <c r="C333" s="35" t="s">
        <v>34</v>
      </c>
      <c r="D333" s="35" t="s">
        <v>40</v>
      </c>
      <c r="E333" s="35" t="s">
        <v>25</v>
      </c>
      <c r="F333" s="35" t="s">
        <v>54</v>
      </c>
      <c r="G333" s="35" t="s">
        <v>25</v>
      </c>
      <c r="H333" s="35" t="s">
        <v>25</v>
      </c>
      <c r="I333" s="55">
        <v>44621</v>
      </c>
      <c r="J333" s="56">
        <f ca="1">EFEITO!$J$333*EFEITO!$Y$333</f>
        <v>112753.94786545885</v>
      </c>
      <c r="K333" s="56">
        <f>EFEITO!$L$333*EFEITO!$Z$333</f>
        <v>0</v>
      </c>
      <c r="L333" s="56">
        <f>EFEITO!$N$333*EFEITO!$AA$333</f>
        <v>0</v>
      </c>
      <c r="M333" s="56">
        <f ca="1">$J$333-EFEITO!$K$333*EFEITO!$Y$333</f>
        <v>56376.973932729423</v>
      </c>
      <c r="N333" s="56">
        <f>$K$333-EFEITO!$M$333*EFEITO!$Z$333</f>
        <v>0</v>
      </c>
      <c r="O333" s="56">
        <f>$L$333-EFEITO!$O$333*EFEITO!$AA$333</f>
        <v>0</v>
      </c>
      <c r="P333" s="39"/>
      <c r="Q333" s="39"/>
      <c r="R333" s="39"/>
      <c r="S333" s="39"/>
      <c r="T333" s="39"/>
      <c r="U333" s="39"/>
      <c r="V333" s="39"/>
      <c r="W333" s="3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21</v>
      </c>
      <c r="B334" s="35" t="s">
        <v>33</v>
      </c>
      <c r="C334" s="35" t="s">
        <v>34</v>
      </c>
      <c r="D334" s="35" t="s">
        <v>40</v>
      </c>
      <c r="E334" s="35" t="s">
        <v>25</v>
      </c>
      <c r="F334" s="35" t="s">
        <v>54</v>
      </c>
      <c r="G334" s="35" t="s">
        <v>25</v>
      </c>
      <c r="H334" s="35" t="s">
        <v>25</v>
      </c>
      <c r="I334" s="55">
        <v>44652</v>
      </c>
      <c r="J334" s="56">
        <f ca="1">EFEITO!$J$334*EFEITO!$Y$334</f>
        <v>116520.12133649967</v>
      </c>
      <c r="K334" s="56">
        <f>EFEITO!$L$334*EFEITO!$Z$334</f>
        <v>0</v>
      </c>
      <c r="L334" s="56">
        <f>EFEITO!$N$334*EFEITO!$AA$334</f>
        <v>0</v>
      </c>
      <c r="M334" s="56">
        <f ca="1">$J$334-EFEITO!$K$334*EFEITO!$Y$334</f>
        <v>58260.060668249833</v>
      </c>
      <c r="N334" s="56">
        <f>$K$334-EFEITO!$M$334*EFEITO!$Z$334</f>
        <v>0</v>
      </c>
      <c r="O334" s="56">
        <f>$L$334-EFEITO!$O$334*EFEITO!$AA$334</f>
        <v>0</v>
      </c>
      <c r="P334" s="39"/>
      <c r="Q334" s="39"/>
      <c r="R334" s="39"/>
      <c r="S334" s="39"/>
      <c r="T334" s="39"/>
      <c r="U334" s="39"/>
      <c r="V334" s="39"/>
      <c r="W334" s="3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21</v>
      </c>
      <c r="B335" s="35" t="s">
        <v>33</v>
      </c>
      <c r="C335" s="35" t="s">
        <v>34</v>
      </c>
      <c r="D335" s="35" t="s">
        <v>40</v>
      </c>
      <c r="E335" s="35" t="s">
        <v>25</v>
      </c>
      <c r="F335" s="35" t="s">
        <v>54</v>
      </c>
      <c r="G335" s="35" t="s">
        <v>25</v>
      </c>
      <c r="H335" s="35" t="s">
        <v>25</v>
      </c>
      <c r="I335" s="55">
        <v>44682</v>
      </c>
      <c r="J335" s="56">
        <f ca="1">EFEITO!$J$335*EFEITO!$Y$335</f>
        <v>87993.009123835232</v>
      </c>
      <c r="K335" s="56">
        <f>EFEITO!$L$335*EFEITO!$Z$335</f>
        <v>0</v>
      </c>
      <c r="L335" s="56">
        <f>EFEITO!$N$335*EFEITO!$AA$335</f>
        <v>0</v>
      </c>
      <c r="M335" s="56">
        <f ca="1">$J$335-EFEITO!$K$335*EFEITO!$Y$335</f>
        <v>43996.504561917616</v>
      </c>
      <c r="N335" s="56">
        <f>$K$335-EFEITO!$M$335*EFEITO!$Z$335</f>
        <v>0</v>
      </c>
      <c r="O335" s="56">
        <f>$L$335-EFEITO!$O$335*EFEITO!$AA$335</f>
        <v>0</v>
      </c>
      <c r="P335" s="39"/>
      <c r="Q335" s="39"/>
      <c r="R335" s="39"/>
      <c r="S335" s="39"/>
      <c r="T335" s="39"/>
      <c r="U335" s="39"/>
      <c r="V335" s="39"/>
      <c r="W335" s="3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21</v>
      </c>
      <c r="B336" s="35" t="s">
        <v>33</v>
      </c>
      <c r="C336" s="35" t="s">
        <v>34</v>
      </c>
      <c r="D336" s="35" t="s">
        <v>40</v>
      </c>
      <c r="E336" s="35" t="s">
        <v>25</v>
      </c>
      <c r="F336" s="35" t="s">
        <v>54</v>
      </c>
      <c r="G336" s="35" t="s">
        <v>25</v>
      </c>
      <c r="H336" s="35" t="s">
        <v>37</v>
      </c>
      <c r="I336" s="55">
        <v>44348</v>
      </c>
      <c r="J336" s="56">
        <f>EFEITO!$J$336*EFEITO!$Y$336</f>
        <v>0</v>
      </c>
      <c r="K336" s="56">
        <f ca="1">EFEITO!$L$336*EFEITO!$Z$336</f>
        <v>259891.25524718643</v>
      </c>
      <c r="L336" s="56">
        <f>EFEITO!$N$336*EFEITO!$AA$336</f>
        <v>0</v>
      </c>
      <c r="M336" s="56">
        <f>$J$336-EFEITO!$K$336*EFEITO!$Y$336</f>
        <v>0</v>
      </c>
      <c r="N336" s="56">
        <f ca="1">$K$336-EFEITO!$M$336*EFEITO!$Z$336</f>
        <v>129945.62762359322</v>
      </c>
      <c r="O336" s="56">
        <f>$L$336-EFEITO!$O$336*EFEITO!$AA$336</f>
        <v>0</v>
      </c>
      <c r="P336" s="39"/>
      <c r="Q336" s="39"/>
      <c r="R336" s="39"/>
      <c r="S336" s="39"/>
      <c r="T336" s="39"/>
      <c r="U336" s="39"/>
      <c r="V336" s="39"/>
      <c r="W336" s="3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21</v>
      </c>
      <c r="B337" s="35" t="s">
        <v>33</v>
      </c>
      <c r="C337" s="35" t="s">
        <v>34</v>
      </c>
      <c r="D337" s="35" t="s">
        <v>40</v>
      </c>
      <c r="E337" s="35" t="s">
        <v>25</v>
      </c>
      <c r="F337" s="35" t="s">
        <v>54</v>
      </c>
      <c r="G337" s="35" t="s">
        <v>25</v>
      </c>
      <c r="H337" s="35" t="s">
        <v>37</v>
      </c>
      <c r="I337" s="55">
        <v>44378</v>
      </c>
      <c r="J337" s="56">
        <f>EFEITO!$J$337*EFEITO!$Y$337</f>
        <v>0</v>
      </c>
      <c r="K337" s="56">
        <f ca="1">EFEITO!$L$337*EFEITO!$Z$337</f>
        <v>255282.80709806958</v>
      </c>
      <c r="L337" s="56">
        <f>EFEITO!$N$337*EFEITO!$AA$337</f>
        <v>0</v>
      </c>
      <c r="M337" s="56">
        <f>$J$337-EFEITO!$K$337*EFEITO!$Y$337</f>
        <v>0</v>
      </c>
      <c r="N337" s="56">
        <f ca="1">$K$337-EFEITO!$M$337*EFEITO!$Z$337</f>
        <v>127641.40354903479</v>
      </c>
      <c r="O337" s="56">
        <f>$L$337-EFEITO!$O$337*EFEITO!$AA$337</f>
        <v>0</v>
      </c>
      <c r="P337" s="39"/>
      <c r="Q337" s="39"/>
      <c r="R337" s="39"/>
      <c r="S337" s="39"/>
      <c r="T337" s="39"/>
      <c r="U337" s="39"/>
      <c r="V337" s="39"/>
      <c r="W337" s="3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21</v>
      </c>
      <c r="B338" s="35" t="s">
        <v>33</v>
      </c>
      <c r="C338" s="35" t="s">
        <v>34</v>
      </c>
      <c r="D338" s="35" t="s">
        <v>40</v>
      </c>
      <c r="E338" s="35" t="s">
        <v>25</v>
      </c>
      <c r="F338" s="35" t="s">
        <v>54</v>
      </c>
      <c r="G338" s="35" t="s">
        <v>25</v>
      </c>
      <c r="H338" s="35" t="s">
        <v>37</v>
      </c>
      <c r="I338" s="55">
        <v>44409</v>
      </c>
      <c r="J338" s="56">
        <f>EFEITO!$J$338*EFEITO!$Y$338</f>
        <v>0</v>
      </c>
      <c r="K338" s="56">
        <f ca="1">EFEITO!$L$338*EFEITO!$Z$338</f>
        <v>264300.23325253557</v>
      </c>
      <c r="L338" s="56">
        <f>EFEITO!$N$338*EFEITO!$AA$338</f>
        <v>0</v>
      </c>
      <c r="M338" s="56">
        <f>$J$338-EFEITO!$K$338*EFEITO!$Y$338</f>
        <v>0</v>
      </c>
      <c r="N338" s="56">
        <f ca="1">$K$338-EFEITO!$M$338*EFEITO!$Z$338</f>
        <v>132150.11662626779</v>
      </c>
      <c r="O338" s="56">
        <f>$L$338-EFEITO!$O$338*EFEITO!$AA$338</f>
        <v>0</v>
      </c>
      <c r="P338" s="39"/>
      <c r="Q338" s="39"/>
      <c r="R338" s="39"/>
      <c r="S338" s="39"/>
      <c r="T338" s="39"/>
      <c r="U338" s="39"/>
      <c r="V338" s="39"/>
      <c r="W338" s="3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21</v>
      </c>
      <c r="B339" s="35" t="s">
        <v>33</v>
      </c>
      <c r="C339" s="35" t="s">
        <v>34</v>
      </c>
      <c r="D339" s="35" t="s">
        <v>40</v>
      </c>
      <c r="E339" s="35" t="s">
        <v>25</v>
      </c>
      <c r="F339" s="35" t="s">
        <v>54</v>
      </c>
      <c r="G339" s="35" t="s">
        <v>25</v>
      </c>
      <c r="H339" s="35" t="s">
        <v>37</v>
      </c>
      <c r="I339" s="55">
        <v>44440</v>
      </c>
      <c r="J339" s="56">
        <f>EFEITO!$J$339*EFEITO!$Y$339</f>
        <v>0</v>
      </c>
      <c r="K339" s="56">
        <f ca="1">EFEITO!$L$339*EFEITO!$Z$339</f>
        <v>230902.74073307743</v>
      </c>
      <c r="L339" s="56">
        <f>EFEITO!$N$339*EFEITO!$AA$339</f>
        <v>0</v>
      </c>
      <c r="M339" s="56">
        <f>$J$339-EFEITO!$K$339*EFEITO!$Y$339</f>
        <v>0</v>
      </c>
      <c r="N339" s="56">
        <f ca="1">$K$339-EFEITO!$M$339*EFEITO!$Z$339</f>
        <v>115451.37036653871</v>
      </c>
      <c r="O339" s="56">
        <f>$L$339-EFEITO!$O$339*EFEITO!$AA$339</f>
        <v>0</v>
      </c>
      <c r="P339" s="39"/>
      <c r="Q339" s="39"/>
      <c r="R339" s="39"/>
      <c r="S339" s="39"/>
      <c r="T339" s="39"/>
      <c r="U339" s="39"/>
      <c r="V339" s="39"/>
      <c r="W339" s="3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21</v>
      </c>
      <c r="B340" s="35" t="s">
        <v>33</v>
      </c>
      <c r="C340" s="35" t="s">
        <v>34</v>
      </c>
      <c r="D340" s="35" t="s">
        <v>40</v>
      </c>
      <c r="E340" s="35" t="s">
        <v>25</v>
      </c>
      <c r="F340" s="35" t="s">
        <v>54</v>
      </c>
      <c r="G340" s="35" t="s">
        <v>25</v>
      </c>
      <c r="H340" s="35" t="s">
        <v>37</v>
      </c>
      <c r="I340" s="55">
        <v>44470</v>
      </c>
      <c r="J340" s="56">
        <f>EFEITO!$J$340*EFEITO!$Y$340</f>
        <v>0</v>
      </c>
      <c r="K340" s="56">
        <f ca="1">EFEITO!$L$340*EFEITO!$Z$340</f>
        <v>305808.36523841211</v>
      </c>
      <c r="L340" s="56">
        <f>EFEITO!$N$340*EFEITO!$AA$340</f>
        <v>0</v>
      </c>
      <c r="M340" s="56">
        <f>$J$340-EFEITO!$K$340*EFEITO!$Y$340</f>
        <v>0</v>
      </c>
      <c r="N340" s="56">
        <f ca="1">$K$340-EFEITO!$M$340*EFEITO!$Z$340</f>
        <v>152904.18261920605</v>
      </c>
      <c r="O340" s="56">
        <f>$L$340-EFEITO!$O$340*EFEITO!$AA$340</f>
        <v>0</v>
      </c>
      <c r="P340" s="39"/>
      <c r="Q340" s="39"/>
      <c r="R340" s="39"/>
      <c r="S340" s="39"/>
      <c r="T340" s="39"/>
      <c r="U340" s="39"/>
      <c r="V340" s="39"/>
      <c r="W340" s="3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21</v>
      </c>
      <c r="B341" s="35" t="s">
        <v>33</v>
      </c>
      <c r="C341" s="35" t="s">
        <v>34</v>
      </c>
      <c r="D341" s="35" t="s">
        <v>40</v>
      </c>
      <c r="E341" s="35" t="s">
        <v>25</v>
      </c>
      <c r="F341" s="35" t="s">
        <v>54</v>
      </c>
      <c r="G341" s="35" t="s">
        <v>25</v>
      </c>
      <c r="H341" s="35" t="s">
        <v>37</v>
      </c>
      <c r="I341" s="55">
        <v>44501</v>
      </c>
      <c r="J341" s="56">
        <f>EFEITO!$J$341*EFEITO!$Y$341</f>
        <v>0</v>
      </c>
      <c r="K341" s="56">
        <f ca="1">EFEITO!$L$341*EFEITO!$Z$341</f>
        <v>295127.54150574497</v>
      </c>
      <c r="L341" s="56">
        <f>EFEITO!$N$341*EFEITO!$AA$341</f>
        <v>0</v>
      </c>
      <c r="M341" s="56">
        <f>$J$341-EFEITO!$K$341*EFEITO!$Y$341</f>
        <v>0</v>
      </c>
      <c r="N341" s="56">
        <f ca="1">$K$341-EFEITO!$M$341*EFEITO!$Z$341</f>
        <v>147563.77075287249</v>
      </c>
      <c r="O341" s="56">
        <f>$L$341-EFEITO!$O$341*EFEITO!$AA$341</f>
        <v>0</v>
      </c>
      <c r="P341" s="39"/>
      <c r="Q341" s="39"/>
      <c r="R341" s="39"/>
      <c r="S341" s="39"/>
      <c r="T341" s="39"/>
      <c r="U341" s="39"/>
      <c r="V341" s="39"/>
      <c r="W341" s="3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21</v>
      </c>
      <c r="B342" s="35" t="s">
        <v>33</v>
      </c>
      <c r="C342" s="35" t="s">
        <v>34</v>
      </c>
      <c r="D342" s="35" t="s">
        <v>40</v>
      </c>
      <c r="E342" s="35" t="s">
        <v>25</v>
      </c>
      <c r="F342" s="35" t="s">
        <v>54</v>
      </c>
      <c r="G342" s="35" t="s">
        <v>25</v>
      </c>
      <c r="H342" s="35" t="s">
        <v>37</v>
      </c>
      <c r="I342" s="55">
        <v>44531</v>
      </c>
      <c r="J342" s="56">
        <f>EFEITO!$J$342*EFEITO!$Y$342</f>
        <v>0</v>
      </c>
      <c r="K342" s="56">
        <f ca="1">EFEITO!$L$342*EFEITO!$Z$342</f>
        <v>317128.86908729997</v>
      </c>
      <c r="L342" s="56">
        <f>EFEITO!$N$342*EFEITO!$AA$342</f>
        <v>0</v>
      </c>
      <c r="M342" s="56">
        <f>$J$342-EFEITO!$K$342*EFEITO!$Y$342</f>
        <v>0</v>
      </c>
      <c r="N342" s="56">
        <f ca="1">$K$342-EFEITO!$M$342*EFEITO!$Z$342</f>
        <v>158564.43454364999</v>
      </c>
      <c r="O342" s="56">
        <f>$L$342-EFEITO!$O$342*EFEITO!$AA$342</f>
        <v>0</v>
      </c>
      <c r="P342" s="39"/>
      <c r="Q342" s="39"/>
      <c r="R342" s="39"/>
      <c r="S342" s="39"/>
      <c r="T342" s="39"/>
      <c r="U342" s="39"/>
      <c r="V342" s="39"/>
      <c r="W342" s="3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21</v>
      </c>
      <c r="B343" s="35" t="s">
        <v>33</v>
      </c>
      <c r="C343" s="35" t="s">
        <v>34</v>
      </c>
      <c r="D343" s="35" t="s">
        <v>40</v>
      </c>
      <c r="E343" s="35" t="s">
        <v>25</v>
      </c>
      <c r="F343" s="35" t="s">
        <v>54</v>
      </c>
      <c r="G343" s="35" t="s">
        <v>25</v>
      </c>
      <c r="H343" s="35" t="s">
        <v>37</v>
      </c>
      <c r="I343" s="55">
        <v>44562</v>
      </c>
      <c r="J343" s="56">
        <f>EFEITO!$J$343*EFEITO!$Y$343</f>
        <v>0</v>
      </c>
      <c r="K343" s="56">
        <f ca="1">EFEITO!$L$343*EFEITO!$Z$343</f>
        <v>301356.97116800892</v>
      </c>
      <c r="L343" s="56">
        <f>EFEITO!$N$343*EFEITO!$AA$343</f>
        <v>0</v>
      </c>
      <c r="M343" s="56">
        <f>$J$343-EFEITO!$K$343*EFEITO!$Y$343</f>
        <v>0</v>
      </c>
      <c r="N343" s="56">
        <f ca="1">$K$343-EFEITO!$M$343*EFEITO!$Z$343</f>
        <v>150678.48558400446</v>
      </c>
      <c r="O343" s="56">
        <f>$L$343-EFEITO!$O$343*EFEITO!$AA$343</f>
        <v>0</v>
      </c>
      <c r="P343" s="39"/>
      <c r="Q343" s="39"/>
      <c r="R343" s="39"/>
      <c r="S343" s="39"/>
      <c r="T343" s="39"/>
      <c r="U343" s="39"/>
      <c r="V343" s="39"/>
      <c r="W343" s="3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33</v>
      </c>
      <c r="C344" s="35" t="s">
        <v>34</v>
      </c>
      <c r="D344" s="35" t="s">
        <v>40</v>
      </c>
      <c r="E344" s="35" t="s">
        <v>25</v>
      </c>
      <c r="F344" s="35" t="s">
        <v>54</v>
      </c>
      <c r="G344" s="35" t="s">
        <v>25</v>
      </c>
      <c r="H344" s="35" t="s">
        <v>37</v>
      </c>
      <c r="I344" s="55">
        <v>44593</v>
      </c>
      <c r="J344" s="56">
        <f>EFEITO!$J$344*EFEITO!$Y$344</f>
        <v>0</v>
      </c>
      <c r="K344" s="56">
        <f ca="1">EFEITO!$L$344*EFEITO!$Z$344</f>
        <v>299925.14237740019</v>
      </c>
      <c r="L344" s="56">
        <f>EFEITO!$N$344*EFEITO!$AA$344</f>
        <v>0</v>
      </c>
      <c r="M344" s="56">
        <f>$J$344-EFEITO!$K$344*EFEITO!$Y$344</f>
        <v>0</v>
      </c>
      <c r="N344" s="56">
        <f ca="1">$K$344-EFEITO!$M$344*EFEITO!$Z$344</f>
        <v>149962.57118870009</v>
      </c>
      <c r="O344" s="56">
        <f>$L$344-EFEITO!$O$344*EFEITO!$AA$344</f>
        <v>0</v>
      </c>
      <c r="P344" s="39"/>
      <c r="Q344" s="39"/>
      <c r="R344" s="39"/>
      <c r="S344" s="39"/>
      <c r="T344" s="39"/>
      <c r="U344" s="39"/>
      <c r="V344" s="39"/>
      <c r="W344" s="3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21</v>
      </c>
      <c r="B345" s="35" t="s">
        <v>33</v>
      </c>
      <c r="C345" s="35" t="s">
        <v>34</v>
      </c>
      <c r="D345" s="35" t="s">
        <v>40</v>
      </c>
      <c r="E345" s="35" t="s">
        <v>25</v>
      </c>
      <c r="F345" s="35" t="s">
        <v>54</v>
      </c>
      <c r="G345" s="35" t="s">
        <v>25</v>
      </c>
      <c r="H345" s="35" t="s">
        <v>37</v>
      </c>
      <c r="I345" s="55">
        <v>44621</v>
      </c>
      <c r="J345" s="56">
        <f>EFEITO!$J$345*EFEITO!$Y$345</f>
        <v>0</v>
      </c>
      <c r="K345" s="56">
        <f ca="1">EFEITO!$L$345*EFEITO!$Z$345</f>
        <v>317652.76480972441</v>
      </c>
      <c r="L345" s="56">
        <f>EFEITO!$N$345*EFEITO!$AA$345</f>
        <v>0</v>
      </c>
      <c r="M345" s="56">
        <f>$J$345-EFEITO!$K$345*EFEITO!$Y$345</f>
        <v>0</v>
      </c>
      <c r="N345" s="56">
        <f ca="1">$K$345-EFEITO!$M$345*EFEITO!$Z$345</f>
        <v>158826.3824048622</v>
      </c>
      <c r="O345" s="56">
        <f>$L$345-EFEITO!$O$345*EFEITO!$AA$345</f>
        <v>0</v>
      </c>
      <c r="P345" s="39"/>
      <c r="Q345" s="39"/>
      <c r="R345" s="39"/>
      <c r="S345" s="39"/>
      <c r="T345" s="39"/>
      <c r="U345" s="39"/>
      <c r="V345" s="39"/>
      <c r="W345" s="3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21</v>
      </c>
      <c r="B346" s="35" t="s">
        <v>33</v>
      </c>
      <c r="C346" s="35" t="s">
        <v>34</v>
      </c>
      <c r="D346" s="35" t="s">
        <v>40</v>
      </c>
      <c r="E346" s="35" t="s">
        <v>25</v>
      </c>
      <c r="F346" s="35" t="s">
        <v>54</v>
      </c>
      <c r="G346" s="35" t="s">
        <v>25</v>
      </c>
      <c r="H346" s="35" t="s">
        <v>37</v>
      </c>
      <c r="I346" s="55">
        <v>44652</v>
      </c>
      <c r="J346" s="56">
        <f>EFEITO!$J$346*EFEITO!$Y$346</f>
        <v>0</v>
      </c>
      <c r="K346" s="56">
        <f ca="1">EFEITO!$L$346*EFEITO!$Z$346</f>
        <v>365209.19839628274</v>
      </c>
      <c r="L346" s="56">
        <f>EFEITO!$N$346*EFEITO!$AA$346</f>
        <v>0</v>
      </c>
      <c r="M346" s="56">
        <f>$J$346-EFEITO!$K$346*EFEITO!$Y$346</f>
        <v>0</v>
      </c>
      <c r="N346" s="56">
        <f ca="1">$K$346-EFEITO!$M$346*EFEITO!$Z$346</f>
        <v>182604.59919814137</v>
      </c>
      <c r="O346" s="56">
        <f>$L$346-EFEITO!$O$346*EFEITO!$AA$346</f>
        <v>0</v>
      </c>
      <c r="P346" s="39"/>
      <c r="Q346" s="39"/>
      <c r="R346" s="39"/>
      <c r="S346" s="39"/>
      <c r="T346" s="39"/>
      <c r="U346" s="39"/>
      <c r="V346" s="39"/>
      <c r="W346" s="3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21</v>
      </c>
      <c r="B347" s="35" t="s">
        <v>33</v>
      </c>
      <c r="C347" s="35" t="s">
        <v>34</v>
      </c>
      <c r="D347" s="35" t="s">
        <v>40</v>
      </c>
      <c r="E347" s="35" t="s">
        <v>25</v>
      </c>
      <c r="F347" s="35" t="s">
        <v>54</v>
      </c>
      <c r="G347" s="35" t="s">
        <v>25</v>
      </c>
      <c r="H347" s="35" t="s">
        <v>37</v>
      </c>
      <c r="I347" s="55">
        <v>44682</v>
      </c>
      <c r="J347" s="56">
        <f>EFEITO!$J$347*EFEITO!$Y$347</f>
        <v>0</v>
      </c>
      <c r="K347" s="56">
        <f ca="1">EFEITO!$L$347*EFEITO!$Z$347</f>
        <v>237153.95161793672</v>
      </c>
      <c r="L347" s="56">
        <f>EFEITO!$N$347*EFEITO!$AA$347</f>
        <v>0</v>
      </c>
      <c r="M347" s="56">
        <f>$J$347-EFEITO!$K$347*EFEITO!$Y$347</f>
        <v>0</v>
      </c>
      <c r="N347" s="56">
        <f ca="1">$K$347-EFEITO!$M$347*EFEITO!$Z$347</f>
        <v>118576.97580896836</v>
      </c>
      <c r="O347" s="56">
        <f>$L$347-EFEITO!$O$347*EFEITO!$AA$347</f>
        <v>0</v>
      </c>
      <c r="P347" s="39"/>
      <c r="Q347" s="39"/>
      <c r="R347" s="39"/>
      <c r="S347" s="39"/>
      <c r="T347" s="39"/>
      <c r="U347" s="39"/>
      <c r="V347" s="39"/>
      <c r="W347" s="3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21</v>
      </c>
      <c r="B348" s="35" t="s">
        <v>33</v>
      </c>
      <c r="C348" s="35" t="s">
        <v>34</v>
      </c>
      <c r="D348" s="35" t="s">
        <v>40</v>
      </c>
      <c r="E348" s="35" t="s">
        <v>25</v>
      </c>
      <c r="F348" s="35" t="s">
        <v>25</v>
      </c>
      <c r="G348" s="35" t="s">
        <v>25</v>
      </c>
      <c r="H348" s="35" t="s">
        <v>35</v>
      </c>
      <c r="I348" s="55">
        <v>44348</v>
      </c>
      <c r="J348" s="56">
        <f>EFEITO!$J$348*EFEITO!$Y$348</f>
        <v>0</v>
      </c>
      <c r="K348" s="56">
        <f ca="1">EFEITO!$L$348*EFEITO!$Z$348</f>
        <v>340058.32541890949</v>
      </c>
      <c r="L348" s="56">
        <f>EFEITO!$N$348*EFEITO!$AA$348</f>
        <v>791894.84962040896</v>
      </c>
      <c r="M348" s="56">
        <f>$J$348-EFEITO!$K$348*EFEITO!$Y$348</f>
        <v>0</v>
      </c>
      <c r="N348" s="56">
        <f ca="1">$K$348-EFEITO!$M$348*EFEITO!$Z$348</f>
        <v>0</v>
      </c>
      <c r="O348" s="56">
        <f>$L$348-EFEITO!$O$348*EFEITO!$AA$348</f>
        <v>0</v>
      </c>
      <c r="P348" s="39"/>
      <c r="Q348" s="39"/>
      <c r="R348" s="39"/>
      <c r="S348" s="39"/>
      <c r="T348" s="39"/>
      <c r="U348" s="39"/>
      <c r="V348" s="39"/>
      <c r="W348" s="3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21</v>
      </c>
      <c r="B349" s="35" t="s">
        <v>33</v>
      </c>
      <c r="C349" s="35" t="s">
        <v>34</v>
      </c>
      <c r="D349" s="35" t="s">
        <v>40</v>
      </c>
      <c r="E349" s="35" t="s">
        <v>25</v>
      </c>
      <c r="F349" s="35" t="s">
        <v>25</v>
      </c>
      <c r="G349" s="35" t="s">
        <v>25</v>
      </c>
      <c r="H349" s="35" t="s">
        <v>35</v>
      </c>
      <c r="I349" s="55">
        <v>44348</v>
      </c>
      <c r="J349" s="56">
        <f>EFEITO!$J$349*EFEITO!$Y$349</f>
        <v>0</v>
      </c>
      <c r="K349" s="56">
        <f ca="1">EFEITO!$L$349*EFEITO!$Z$349</f>
        <v>122655.81740381374</v>
      </c>
      <c r="L349" s="56">
        <f>EFEITO!$N$349*EFEITO!$AA$349</f>
        <v>0</v>
      </c>
      <c r="M349" s="56">
        <f>$J$349-EFEITO!$K$349*EFEITO!$Y$349</f>
        <v>0</v>
      </c>
      <c r="N349" s="56">
        <f ca="1">$K$349-EFEITO!$M$349*EFEITO!$Z$349</f>
        <v>0</v>
      </c>
      <c r="O349" s="56">
        <f>$L$349-EFEITO!$O$349*EFEITO!$AA$349</f>
        <v>0</v>
      </c>
      <c r="P349" s="39"/>
      <c r="Q349" s="39"/>
      <c r="R349" s="39"/>
      <c r="S349" s="39"/>
      <c r="T349" s="39"/>
      <c r="U349" s="39"/>
      <c r="V349" s="39"/>
      <c r="W349" s="3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33</v>
      </c>
      <c r="C350" s="35" t="s">
        <v>34</v>
      </c>
      <c r="D350" s="35" t="s">
        <v>40</v>
      </c>
      <c r="E350" s="35" t="s">
        <v>25</v>
      </c>
      <c r="F350" s="35" t="s">
        <v>25</v>
      </c>
      <c r="G350" s="35" t="s">
        <v>25</v>
      </c>
      <c r="H350" s="35" t="s">
        <v>35</v>
      </c>
      <c r="I350" s="55">
        <v>44378</v>
      </c>
      <c r="J350" s="56">
        <f>EFEITO!$J$350*EFEITO!$Y$350</f>
        <v>0</v>
      </c>
      <c r="K350" s="56">
        <f ca="1">EFEITO!$L$350*EFEITO!$Z$350</f>
        <v>356358.92223347467</v>
      </c>
      <c r="L350" s="56">
        <f>EFEITO!$N$350*EFEITO!$AA$350</f>
        <v>829854.0986618537</v>
      </c>
      <c r="M350" s="56">
        <f>$J$350-EFEITO!$K$350*EFEITO!$Y$350</f>
        <v>0</v>
      </c>
      <c r="N350" s="56">
        <f ca="1">$K$350-EFEITO!$M$350*EFEITO!$Z$350</f>
        <v>0</v>
      </c>
      <c r="O350" s="56">
        <f>$L$350-EFEITO!$O$350*EFEITO!$AA$350</f>
        <v>0</v>
      </c>
      <c r="P350" s="39"/>
      <c r="Q350" s="39"/>
      <c r="R350" s="39"/>
      <c r="S350" s="39"/>
      <c r="T350" s="39"/>
      <c r="U350" s="39"/>
      <c r="V350" s="39"/>
      <c r="W350" s="3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21</v>
      </c>
      <c r="B351" s="35" t="s">
        <v>33</v>
      </c>
      <c r="C351" s="35" t="s">
        <v>34</v>
      </c>
      <c r="D351" s="35" t="s">
        <v>40</v>
      </c>
      <c r="E351" s="35" t="s">
        <v>25</v>
      </c>
      <c r="F351" s="35" t="s">
        <v>25</v>
      </c>
      <c r="G351" s="35" t="s">
        <v>25</v>
      </c>
      <c r="H351" s="35" t="s">
        <v>35</v>
      </c>
      <c r="I351" s="55">
        <v>44378</v>
      </c>
      <c r="J351" s="56">
        <f>EFEITO!$J$351*EFEITO!$Y$351</f>
        <v>0</v>
      </c>
      <c r="K351" s="56">
        <f ca="1">EFEITO!$L$351*EFEITO!$Z$351</f>
        <v>120915.85605965223</v>
      </c>
      <c r="L351" s="56">
        <f>EFEITO!$N$351*EFEITO!$AA$351</f>
        <v>0</v>
      </c>
      <c r="M351" s="56">
        <f>$J$351-EFEITO!$K$351*EFEITO!$Y$351</f>
        <v>0</v>
      </c>
      <c r="N351" s="56">
        <f ca="1">$K$351-EFEITO!$M$351*EFEITO!$Z$351</f>
        <v>0</v>
      </c>
      <c r="O351" s="56">
        <f>$L$351-EFEITO!$O$351*EFEITO!$AA$351</f>
        <v>0</v>
      </c>
      <c r="P351" s="39"/>
      <c r="Q351" s="39"/>
      <c r="R351" s="39"/>
      <c r="S351" s="39"/>
      <c r="T351" s="39"/>
      <c r="U351" s="39"/>
      <c r="V351" s="39"/>
      <c r="W351" s="3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21</v>
      </c>
      <c r="B352" s="35" t="s">
        <v>33</v>
      </c>
      <c r="C352" s="35" t="s">
        <v>34</v>
      </c>
      <c r="D352" s="35" t="s">
        <v>40</v>
      </c>
      <c r="E352" s="35" t="s">
        <v>25</v>
      </c>
      <c r="F352" s="35" t="s">
        <v>25</v>
      </c>
      <c r="G352" s="35" t="s">
        <v>25</v>
      </c>
      <c r="H352" s="35" t="s">
        <v>35</v>
      </c>
      <c r="I352" s="55">
        <v>44409</v>
      </c>
      <c r="J352" s="56">
        <f>EFEITO!$J$352*EFEITO!$Y$352</f>
        <v>0</v>
      </c>
      <c r="K352" s="56">
        <f ca="1">EFEITO!$L$352*EFEITO!$Z$352</f>
        <v>352633.50058807683</v>
      </c>
      <c r="L352" s="56">
        <f>EFEITO!$N$352*EFEITO!$AA$352</f>
        <v>821178.69802279933</v>
      </c>
      <c r="M352" s="56">
        <f>$J$352-EFEITO!$K$352*EFEITO!$Y$352</f>
        <v>0</v>
      </c>
      <c r="N352" s="56">
        <f ca="1">$K$352-EFEITO!$M$352*EFEITO!$Z$352</f>
        <v>0</v>
      </c>
      <c r="O352" s="56">
        <f>$L$352-EFEITO!$O$352*EFEITO!$AA$352</f>
        <v>0</v>
      </c>
      <c r="P352" s="39"/>
      <c r="Q352" s="39"/>
      <c r="R352" s="39"/>
      <c r="S352" s="39"/>
      <c r="T352" s="39"/>
      <c r="U352" s="39"/>
      <c r="V352" s="39"/>
      <c r="W352" s="3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21</v>
      </c>
      <c r="B353" s="35" t="s">
        <v>33</v>
      </c>
      <c r="C353" s="35" t="s">
        <v>34</v>
      </c>
      <c r="D353" s="35" t="s">
        <v>40</v>
      </c>
      <c r="E353" s="35" t="s">
        <v>25</v>
      </c>
      <c r="F353" s="35" t="s">
        <v>25</v>
      </c>
      <c r="G353" s="35" t="s">
        <v>25</v>
      </c>
      <c r="H353" s="35" t="s">
        <v>35</v>
      </c>
      <c r="I353" s="55">
        <v>44409</v>
      </c>
      <c r="J353" s="56">
        <f>EFEITO!$J$353*EFEITO!$Y$353</f>
        <v>0</v>
      </c>
      <c r="K353" s="56">
        <f ca="1">EFEITO!$L$353*EFEITO!$Z$353</f>
        <v>103204.4467065369</v>
      </c>
      <c r="L353" s="56">
        <f>EFEITO!$N$353*EFEITO!$AA$353</f>
        <v>0</v>
      </c>
      <c r="M353" s="56">
        <f>$J$353-EFEITO!$K$353*EFEITO!$Y$353</f>
        <v>0</v>
      </c>
      <c r="N353" s="56">
        <f ca="1">$K$353-EFEITO!$M$353*EFEITO!$Z$353</f>
        <v>0</v>
      </c>
      <c r="O353" s="56">
        <f>$L$353-EFEITO!$O$353*EFEITO!$AA$353</f>
        <v>0</v>
      </c>
      <c r="P353" s="39"/>
      <c r="Q353" s="39"/>
      <c r="R353" s="39"/>
      <c r="S353" s="39"/>
      <c r="T353" s="39"/>
      <c r="U353" s="39"/>
      <c r="V353" s="39"/>
      <c r="W353" s="3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21</v>
      </c>
      <c r="B354" s="35" t="s">
        <v>33</v>
      </c>
      <c r="C354" s="35" t="s">
        <v>34</v>
      </c>
      <c r="D354" s="35" t="s">
        <v>40</v>
      </c>
      <c r="E354" s="35" t="s">
        <v>25</v>
      </c>
      <c r="F354" s="35" t="s">
        <v>25</v>
      </c>
      <c r="G354" s="35" t="s">
        <v>25</v>
      </c>
      <c r="H354" s="35" t="s">
        <v>35</v>
      </c>
      <c r="I354" s="55">
        <v>44440</v>
      </c>
      <c r="J354" s="56">
        <f>EFEITO!$J$354*EFEITO!$Y$354</f>
        <v>0</v>
      </c>
      <c r="K354" s="56">
        <f ca="1">EFEITO!$L$354*EFEITO!$Z$354</f>
        <v>277984.13103371533</v>
      </c>
      <c r="L354" s="56">
        <f>EFEITO!$N$354*EFEITO!$AA$354</f>
        <v>647342.48564750224</v>
      </c>
      <c r="M354" s="56">
        <f>$J$354-EFEITO!$K$354*EFEITO!$Y$354</f>
        <v>0</v>
      </c>
      <c r="N354" s="56">
        <f ca="1">$K$354-EFEITO!$M$354*EFEITO!$Z$354</f>
        <v>0</v>
      </c>
      <c r="O354" s="56">
        <f>$L$354-EFEITO!$O$354*EFEITO!$AA$354</f>
        <v>0</v>
      </c>
      <c r="P354" s="39"/>
      <c r="Q354" s="39"/>
      <c r="R354" s="39"/>
      <c r="S354" s="39"/>
      <c r="T354" s="39"/>
      <c r="U354" s="39"/>
      <c r="V354" s="39"/>
      <c r="W354" s="3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21</v>
      </c>
      <c r="B355" s="35" t="s">
        <v>33</v>
      </c>
      <c r="C355" s="35" t="s">
        <v>34</v>
      </c>
      <c r="D355" s="35" t="s">
        <v>40</v>
      </c>
      <c r="E355" s="35" t="s">
        <v>25</v>
      </c>
      <c r="F355" s="35" t="s">
        <v>25</v>
      </c>
      <c r="G355" s="35" t="s">
        <v>25</v>
      </c>
      <c r="H355" s="35" t="s">
        <v>35</v>
      </c>
      <c r="I355" s="55">
        <v>44440</v>
      </c>
      <c r="J355" s="56">
        <f>EFEITO!$J$355*EFEITO!$Y$355</f>
        <v>0</v>
      </c>
      <c r="K355" s="56">
        <f ca="1">EFEITO!$L$355*EFEITO!$Z$355</f>
        <v>166923.38399128176</v>
      </c>
      <c r="L355" s="56">
        <f>EFEITO!$N$355*EFEITO!$AA$355</f>
        <v>0</v>
      </c>
      <c r="M355" s="56">
        <f>$J$355-EFEITO!$K$355*EFEITO!$Y$355</f>
        <v>0</v>
      </c>
      <c r="N355" s="56">
        <f ca="1">$K$355-EFEITO!$M$355*EFEITO!$Z$355</f>
        <v>0</v>
      </c>
      <c r="O355" s="56">
        <f>$L$355-EFEITO!$O$355*EFEITO!$AA$355</f>
        <v>0</v>
      </c>
      <c r="P355" s="39"/>
      <c r="Q355" s="39"/>
      <c r="R355" s="39"/>
      <c r="S355" s="39"/>
      <c r="T355" s="39"/>
      <c r="U355" s="39"/>
      <c r="V355" s="39"/>
      <c r="W355" s="3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21</v>
      </c>
      <c r="B356" s="35" t="s">
        <v>33</v>
      </c>
      <c r="C356" s="35" t="s">
        <v>34</v>
      </c>
      <c r="D356" s="35" t="s">
        <v>40</v>
      </c>
      <c r="E356" s="35" t="s">
        <v>25</v>
      </c>
      <c r="F356" s="35" t="s">
        <v>25</v>
      </c>
      <c r="G356" s="35" t="s">
        <v>25</v>
      </c>
      <c r="H356" s="35" t="s">
        <v>35</v>
      </c>
      <c r="I356" s="55">
        <v>44470</v>
      </c>
      <c r="J356" s="56">
        <f>EFEITO!$J$356*EFEITO!$Y$356</f>
        <v>0</v>
      </c>
      <c r="K356" s="56">
        <f ca="1">EFEITO!$L$356*EFEITO!$Z$356</f>
        <v>262541.27887615241</v>
      </c>
      <c r="L356" s="56">
        <f>EFEITO!$N$356*EFEITO!$AA$356</f>
        <v>611380.66917981615</v>
      </c>
      <c r="M356" s="56">
        <f>$J$356-EFEITO!$K$356*EFEITO!$Y$356</f>
        <v>0</v>
      </c>
      <c r="N356" s="56">
        <f ca="1">$K$356-EFEITO!$M$356*EFEITO!$Z$356</f>
        <v>0</v>
      </c>
      <c r="O356" s="56">
        <f>$L$356-EFEITO!$O$356*EFEITO!$AA$356</f>
        <v>0</v>
      </c>
      <c r="P356" s="39"/>
      <c r="Q356" s="39"/>
      <c r="R356" s="39"/>
      <c r="S356" s="39"/>
      <c r="T356" s="39"/>
      <c r="U356" s="39"/>
      <c r="V356" s="39"/>
      <c r="W356" s="3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21</v>
      </c>
      <c r="B357" s="35" t="s">
        <v>33</v>
      </c>
      <c r="C357" s="35" t="s">
        <v>34</v>
      </c>
      <c r="D357" s="35" t="s">
        <v>40</v>
      </c>
      <c r="E357" s="35" t="s">
        <v>25</v>
      </c>
      <c r="F357" s="35" t="s">
        <v>25</v>
      </c>
      <c r="G357" s="35" t="s">
        <v>25</v>
      </c>
      <c r="H357" s="35" t="s">
        <v>35</v>
      </c>
      <c r="I357" s="55">
        <v>44470</v>
      </c>
      <c r="J357" s="56">
        <f>EFEITO!$J$357*EFEITO!$Y$357</f>
        <v>0</v>
      </c>
      <c r="K357" s="56">
        <f ca="1">EFEITO!$L$357*EFEITO!$Z$357</f>
        <v>167439.74382759412</v>
      </c>
      <c r="L357" s="56">
        <f>EFEITO!$N$357*EFEITO!$AA$357</f>
        <v>0</v>
      </c>
      <c r="M357" s="56">
        <f>$J$357-EFEITO!$K$357*EFEITO!$Y$357</f>
        <v>0</v>
      </c>
      <c r="N357" s="56">
        <f ca="1">$K$357-EFEITO!$M$357*EFEITO!$Z$357</f>
        <v>0</v>
      </c>
      <c r="O357" s="56">
        <f>$L$357-EFEITO!$O$357*EFEITO!$AA$357</f>
        <v>0</v>
      </c>
      <c r="P357" s="39"/>
      <c r="Q357" s="39"/>
      <c r="R357" s="39"/>
      <c r="S357" s="39"/>
      <c r="T357" s="39"/>
      <c r="U357" s="39"/>
      <c r="V357" s="39"/>
      <c r="W357" s="3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21</v>
      </c>
      <c r="B358" s="35" t="s">
        <v>33</v>
      </c>
      <c r="C358" s="35" t="s">
        <v>34</v>
      </c>
      <c r="D358" s="35" t="s">
        <v>40</v>
      </c>
      <c r="E358" s="35" t="s">
        <v>25</v>
      </c>
      <c r="F358" s="35" t="s">
        <v>25</v>
      </c>
      <c r="G358" s="35" t="s">
        <v>25</v>
      </c>
      <c r="H358" s="35" t="s">
        <v>35</v>
      </c>
      <c r="I358" s="55">
        <v>44501</v>
      </c>
      <c r="J358" s="56">
        <f>EFEITO!$J$358*EFEITO!$Y$358</f>
        <v>0</v>
      </c>
      <c r="K358" s="56">
        <f ca="1">EFEITO!$L$358*EFEITO!$Z$358</f>
        <v>260708.32381739432</v>
      </c>
      <c r="L358" s="56">
        <f>EFEITO!$N$358*EFEITO!$AA$358</f>
        <v>607112.26119766152</v>
      </c>
      <c r="M358" s="56">
        <f>$J$358-EFEITO!$K$358*EFEITO!$Y$358</f>
        <v>0</v>
      </c>
      <c r="N358" s="56">
        <f ca="1">$K$358-EFEITO!$M$358*EFEITO!$Z$358</f>
        <v>0</v>
      </c>
      <c r="O358" s="56">
        <f>$L$358-EFEITO!$O$358*EFEITO!$AA$358</f>
        <v>0</v>
      </c>
      <c r="P358" s="39"/>
      <c r="Q358" s="39"/>
      <c r="R358" s="39"/>
      <c r="S358" s="39"/>
      <c r="T358" s="39"/>
      <c r="U358" s="39"/>
      <c r="V358" s="39"/>
      <c r="W358" s="3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21</v>
      </c>
      <c r="B359" s="35" t="s">
        <v>33</v>
      </c>
      <c r="C359" s="35" t="s">
        <v>34</v>
      </c>
      <c r="D359" s="35" t="s">
        <v>40</v>
      </c>
      <c r="E359" s="35" t="s">
        <v>25</v>
      </c>
      <c r="F359" s="35" t="s">
        <v>25</v>
      </c>
      <c r="G359" s="35" t="s">
        <v>25</v>
      </c>
      <c r="H359" s="35" t="s">
        <v>35</v>
      </c>
      <c r="I359" s="55">
        <v>44501</v>
      </c>
      <c r="J359" s="56">
        <f>EFEITO!$J$359*EFEITO!$Y$359</f>
        <v>0</v>
      </c>
      <c r="K359" s="56">
        <f ca="1">EFEITO!$L$359*EFEITO!$Z$359</f>
        <v>134619.52552855868</v>
      </c>
      <c r="L359" s="56">
        <f>EFEITO!$N$359*EFEITO!$AA$359</f>
        <v>0</v>
      </c>
      <c r="M359" s="56">
        <f>$J$359-EFEITO!$K$359*EFEITO!$Y$359</f>
        <v>0</v>
      </c>
      <c r="N359" s="56">
        <f ca="1">$K$359-EFEITO!$M$359*EFEITO!$Z$359</f>
        <v>0</v>
      </c>
      <c r="O359" s="56">
        <f>$L$359-EFEITO!$O$359*EFEITO!$AA$359</f>
        <v>0</v>
      </c>
      <c r="P359" s="39"/>
      <c r="Q359" s="39"/>
      <c r="R359" s="39"/>
      <c r="S359" s="39"/>
      <c r="T359" s="39"/>
      <c r="U359" s="39"/>
      <c r="V359" s="39"/>
      <c r="W359" s="3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21</v>
      </c>
      <c r="B360" s="35" t="s">
        <v>33</v>
      </c>
      <c r="C360" s="35" t="s">
        <v>34</v>
      </c>
      <c r="D360" s="35" t="s">
        <v>40</v>
      </c>
      <c r="E360" s="35" t="s">
        <v>25</v>
      </c>
      <c r="F360" s="35" t="s">
        <v>25</v>
      </c>
      <c r="G360" s="35" t="s">
        <v>25</v>
      </c>
      <c r="H360" s="35" t="s">
        <v>35</v>
      </c>
      <c r="I360" s="55">
        <v>44531</v>
      </c>
      <c r="J360" s="56">
        <f>EFEITO!$J$360*EFEITO!$Y$360</f>
        <v>0</v>
      </c>
      <c r="K360" s="56">
        <f ca="1">EFEITO!$L$360*EFEITO!$Z$360</f>
        <v>247736.03434067953</v>
      </c>
      <c r="L360" s="56">
        <f>EFEITO!$N$360*EFEITO!$AA$360</f>
        <v>576903.65150771849</v>
      </c>
      <c r="M360" s="56">
        <f>$J$360-EFEITO!$K$360*EFEITO!$Y$360</f>
        <v>0</v>
      </c>
      <c r="N360" s="56">
        <f ca="1">$K$360-EFEITO!$M$360*EFEITO!$Z$360</f>
        <v>0</v>
      </c>
      <c r="O360" s="56">
        <f>$L$360-EFEITO!$O$360*EFEITO!$AA$360</f>
        <v>0</v>
      </c>
      <c r="P360" s="39"/>
      <c r="Q360" s="39"/>
      <c r="R360" s="39"/>
      <c r="S360" s="39"/>
      <c r="T360" s="39"/>
      <c r="U360" s="39"/>
      <c r="V360" s="39"/>
      <c r="W360" s="3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21</v>
      </c>
      <c r="B361" s="35" t="s">
        <v>33</v>
      </c>
      <c r="C361" s="35" t="s">
        <v>34</v>
      </c>
      <c r="D361" s="35" t="s">
        <v>40</v>
      </c>
      <c r="E361" s="35" t="s">
        <v>25</v>
      </c>
      <c r="F361" s="35" t="s">
        <v>25</v>
      </c>
      <c r="G361" s="35" t="s">
        <v>25</v>
      </c>
      <c r="H361" s="35" t="s">
        <v>35</v>
      </c>
      <c r="I361" s="55">
        <v>44531</v>
      </c>
      <c r="J361" s="56">
        <f>EFEITO!$J$361*EFEITO!$Y$361</f>
        <v>0</v>
      </c>
      <c r="K361" s="56">
        <f ca="1">EFEITO!$L$361*EFEITO!$Z$361</f>
        <v>165340.26611312636</v>
      </c>
      <c r="L361" s="56">
        <f>EFEITO!$N$361*EFEITO!$AA$361</f>
        <v>0</v>
      </c>
      <c r="M361" s="56">
        <f>$J$361-EFEITO!$K$361*EFEITO!$Y$361</f>
        <v>0</v>
      </c>
      <c r="N361" s="56">
        <f ca="1">$K$361-EFEITO!$M$361*EFEITO!$Z$361</f>
        <v>0</v>
      </c>
      <c r="O361" s="56">
        <f>$L$361-EFEITO!$O$361*EFEITO!$AA$361</f>
        <v>0</v>
      </c>
      <c r="P361" s="39"/>
      <c r="Q361" s="39"/>
      <c r="R361" s="39"/>
      <c r="S361" s="39"/>
      <c r="T361" s="39"/>
      <c r="U361" s="39"/>
      <c r="V361" s="39"/>
      <c r="W361" s="3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33</v>
      </c>
      <c r="C362" s="35" t="s">
        <v>34</v>
      </c>
      <c r="D362" s="35" t="s">
        <v>40</v>
      </c>
      <c r="E362" s="35" t="s">
        <v>25</v>
      </c>
      <c r="F362" s="35" t="s">
        <v>25</v>
      </c>
      <c r="G362" s="35" t="s">
        <v>25</v>
      </c>
      <c r="H362" s="35" t="s">
        <v>35</v>
      </c>
      <c r="I362" s="55">
        <v>44562</v>
      </c>
      <c r="J362" s="56">
        <f>EFEITO!$J$362*EFEITO!$Y$362</f>
        <v>0</v>
      </c>
      <c r="K362" s="56">
        <f ca="1">EFEITO!$L$362*EFEITO!$Z$362</f>
        <v>236944.53646045417</v>
      </c>
      <c r="L362" s="56">
        <f>EFEITO!$N$362*EFEITO!$AA$362</f>
        <v>551773.45779605815</v>
      </c>
      <c r="M362" s="56">
        <f>$J$362-EFEITO!$K$362*EFEITO!$Y$362</f>
        <v>0</v>
      </c>
      <c r="N362" s="56">
        <f ca="1">$K$362-EFEITO!$M$362*EFEITO!$Z$362</f>
        <v>0</v>
      </c>
      <c r="O362" s="56">
        <f>$L$362-EFEITO!$O$362*EFEITO!$AA$362</f>
        <v>0</v>
      </c>
      <c r="P362" s="39"/>
      <c r="Q362" s="39"/>
      <c r="R362" s="39"/>
      <c r="S362" s="39"/>
      <c r="T362" s="39"/>
      <c r="U362" s="39"/>
      <c r="V362" s="39"/>
      <c r="W362" s="3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28</v>
      </c>
      <c r="B363" s="35" t="s">
        <v>33</v>
      </c>
      <c r="C363" s="35" t="s">
        <v>34</v>
      </c>
      <c r="D363" s="35" t="s">
        <v>40</v>
      </c>
      <c r="E363" s="35" t="s">
        <v>25</v>
      </c>
      <c r="F363" s="35" t="s">
        <v>25</v>
      </c>
      <c r="G363" s="35" t="s">
        <v>25</v>
      </c>
      <c r="H363" s="35" t="s">
        <v>35</v>
      </c>
      <c r="I363" s="55">
        <v>44562</v>
      </c>
      <c r="J363" s="56">
        <f>EFEITO!$J$363*EFEITO!$Y$363</f>
        <v>0</v>
      </c>
      <c r="K363" s="56">
        <f ca="1">EFEITO!$L$363*EFEITO!$Z$363</f>
        <v>1005.2442569484508</v>
      </c>
      <c r="L363" s="56">
        <f>EFEITO!$N$363*EFEITO!$AA$363</f>
        <v>2340.9153377066759</v>
      </c>
      <c r="M363" s="56">
        <f>$J$363-EFEITO!$K$363*EFEITO!$Y$363</f>
        <v>0</v>
      </c>
      <c r="N363" s="56">
        <f ca="1">$K$363-EFEITO!$M$363*EFEITO!$Z$363</f>
        <v>0</v>
      </c>
      <c r="O363" s="56">
        <f>$L$363-EFEITO!$O$363*EFEITO!$AA$363</f>
        <v>0</v>
      </c>
      <c r="P363" s="39"/>
      <c r="Q363" s="39"/>
      <c r="R363" s="39"/>
      <c r="S363" s="39"/>
      <c r="T363" s="39"/>
      <c r="U363" s="39"/>
      <c r="V363" s="39"/>
      <c r="W363" s="3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21</v>
      </c>
      <c r="B364" s="35" t="s">
        <v>33</v>
      </c>
      <c r="C364" s="35" t="s">
        <v>34</v>
      </c>
      <c r="D364" s="35" t="s">
        <v>40</v>
      </c>
      <c r="E364" s="35" t="s">
        <v>25</v>
      </c>
      <c r="F364" s="35" t="s">
        <v>25</v>
      </c>
      <c r="G364" s="35" t="s">
        <v>25</v>
      </c>
      <c r="H364" s="35" t="s">
        <v>35</v>
      </c>
      <c r="I364" s="55">
        <v>44562</v>
      </c>
      <c r="J364" s="56">
        <f>EFEITO!$J$364*EFEITO!$Y$364</f>
        <v>0</v>
      </c>
      <c r="K364" s="56">
        <f ca="1">EFEITO!$L$364*EFEITO!$Z$364</f>
        <v>116276.9602703946</v>
      </c>
      <c r="L364" s="56">
        <f>EFEITO!$N$364*EFEITO!$AA$364</f>
        <v>0</v>
      </c>
      <c r="M364" s="56">
        <f>$J$364-EFEITO!$K$364*EFEITO!$Y$364</f>
        <v>0</v>
      </c>
      <c r="N364" s="56">
        <f ca="1">$K$364-EFEITO!$M$364*EFEITO!$Z$364</f>
        <v>0</v>
      </c>
      <c r="O364" s="56">
        <f>$L$364-EFEITO!$O$364*EFEITO!$AA$364</f>
        <v>0</v>
      </c>
      <c r="P364" s="39"/>
      <c r="Q364" s="39"/>
      <c r="R364" s="39"/>
      <c r="S364" s="39"/>
      <c r="T364" s="39"/>
      <c r="U364" s="39"/>
      <c r="V364" s="39"/>
      <c r="W364" s="3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21</v>
      </c>
      <c r="B365" s="35" t="s">
        <v>33</v>
      </c>
      <c r="C365" s="35" t="s">
        <v>34</v>
      </c>
      <c r="D365" s="35" t="s">
        <v>40</v>
      </c>
      <c r="E365" s="35" t="s">
        <v>25</v>
      </c>
      <c r="F365" s="35" t="s">
        <v>25</v>
      </c>
      <c r="G365" s="35" t="s">
        <v>25</v>
      </c>
      <c r="H365" s="35" t="s">
        <v>35</v>
      </c>
      <c r="I365" s="55">
        <v>44593</v>
      </c>
      <c r="J365" s="56">
        <f>EFEITO!$J$365*EFEITO!$Y$365</f>
        <v>0</v>
      </c>
      <c r="K365" s="56">
        <f ca="1">EFEITO!$L$365*EFEITO!$Z$365</f>
        <v>238881.49764737941</v>
      </c>
      <c r="L365" s="56">
        <f>EFEITO!$N$365*EFEITO!$AA$365</f>
        <v>556284.06516304787</v>
      </c>
      <c r="M365" s="56">
        <f>$J$365-EFEITO!$K$365*EFEITO!$Y$365</f>
        <v>0</v>
      </c>
      <c r="N365" s="56">
        <f ca="1">$K$365-EFEITO!$M$365*EFEITO!$Z$365</f>
        <v>0</v>
      </c>
      <c r="O365" s="56">
        <f>$L$365-EFEITO!$O$365*EFEITO!$AA$365</f>
        <v>0</v>
      </c>
      <c r="P365" s="39"/>
      <c r="Q365" s="39"/>
      <c r="R365" s="39"/>
      <c r="S365" s="39"/>
      <c r="T365" s="39"/>
      <c r="U365" s="39"/>
      <c r="V365" s="39"/>
      <c r="W365" s="3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28</v>
      </c>
      <c r="B366" s="35" t="s">
        <v>33</v>
      </c>
      <c r="C366" s="35" t="s">
        <v>34</v>
      </c>
      <c r="D366" s="35" t="s">
        <v>40</v>
      </c>
      <c r="E366" s="35" t="s">
        <v>25</v>
      </c>
      <c r="F366" s="35" t="s">
        <v>25</v>
      </c>
      <c r="G366" s="35" t="s">
        <v>25</v>
      </c>
      <c r="H366" s="35" t="s">
        <v>35</v>
      </c>
      <c r="I366" s="55">
        <v>44593</v>
      </c>
      <c r="J366" s="56">
        <f>EFEITO!$J$366*EFEITO!$Y$366</f>
        <v>0</v>
      </c>
      <c r="K366" s="56">
        <f ca="1">EFEITO!$L$366*EFEITO!$Z$366</f>
        <v>1680.3385797790525</v>
      </c>
      <c r="L366" s="56">
        <f>EFEITO!$N$366*EFEITO!$AA$366</f>
        <v>3913.0095265460932</v>
      </c>
      <c r="M366" s="56">
        <f>$J$366-EFEITO!$K$366*EFEITO!$Y$366</f>
        <v>0</v>
      </c>
      <c r="N366" s="56">
        <f ca="1">$K$366-EFEITO!$M$366*EFEITO!$Z$366</f>
        <v>0</v>
      </c>
      <c r="O366" s="56">
        <f>$L$366-EFEITO!$O$366*EFEITO!$AA$366</f>
        <v>0</v>
      </c>
      <c r="P366" s="39"/>
      <c r="Q366" s="39"/>
      <c r="R366" s="39"/>
      <c r="S366" s="39"/>
      <c r="T366" s="39"/>
      <c r="U366" s="39"/>
      <c r="V366" s="39"/>
      <c r="W366" s="3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21</v>
      </c>
      <c r="B367" s="35" t="s">
        <v>33</v>
      </c>
      <c r="C367" s="35" t="s">
        <v>34</v>
      </c>
      <c r="D367" s="35" t="s">
        <v>40</v>
      </c>
      <c r="E367" s="35" t="s">
        <v>25</v>
      </c>
      <c r="F367" s="35" t="s">
        <v>25</v>
      </c>
      <c r="G367" s="35" t="s">
        <v>25</v>
      </c>
      <c r="H367" s="35" t="s">
        <v>35</v>
      </c>
      <c r="I367" s="55">
        <v>44593</v>
      </c>
      <c r="J367" s="56">
        <f>EFEITO!$J$367*EFEITO!$Y$367</f>
        <v>0</v>
      </c>
      <c r="K367" s="56">
        <f ca="1">EFEITO!$L$367*EFEITO!$Z$367</f>
        <v>135399.73834456358</v>
      </c>
      <c r="L367" s="56">
        <f>EFEITO!$N$367*EFEITO!$AA$367</f>
        <v>0</v>
      </c>
      <c r="M367" s="56">
        <f>$J$367-EFEITO!$K$367*EFEITO!$Y$367</f>
        <v>0</v>
      </c>
      <c r="N367" s="56">
        <f ca="1">$K$367-EFEITO!$M$367*EFEITO!$Z$367</f>
        <v>0</v>
      </c>
      <c r="O367" s="56">
        <f>$L$367-EFEITO!$O$367*EFEITO!$AA$367</f>
        <v>0</v>
      </c>
      <c r="P367" s="39"/>
      <c r="Q367" s="39"/>
      <c r="R367" s="39"/>
      <c r="S367" s="39"/>
      <c r="T367" s="39"/>
      <c r="U367" s="39"/>
      <c r="V367" s="39"/>
      <c r="W367" s="3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21</v>
      </c>
      <c r="B368" s="35" t="s">
        <v>33</v>
      </c>
      <c r="C368" s="35" t="s">
        <v>34</v>
      </c>
      <c r="D368" s="35" t="s">
        <v>40</v>
      </c>
      <c r="E368" s="35" t="s">
        <v>25</v>
      </c>
      <c r="F368" s="35" t="s">
        <v>25</v>
      </c>
      <c r="G368" s="35" t="s">
        <v>25</v>
      </c>
      <c r="H368" s="35" t="s">
        <v>35</v>
      </c>
      <c r="I368" s="55">
        <v>44621</v>
      </c>
      <c r="J368" s="56">
        <f>EFEITO!$J$368*EFEITO!$Y$368</f>
        <v>0</v>
      </c>
      <c r="K368" s="56">
        <f ca="1">EFEITO!$L$368*EFEITO!$Z$368</f>
        <v>256284.78189351817</v>
      </c>
      <c r="L368" s="56">
        <f>EFEITO!$N$368*EFEITO!$AA$368</f>
        <v>596811.14575729624</v>
      </c>
      <c r="M368" s="56">
        <f>$J$368-EFEITO!$K$368*EFEITO!$Y$368</f>
        <v>0</v>
      </c>
      <c r="N368" s="56">
        <f ca="1">$K$368-EFEITO!$M$368*EFEITO!$Z$368</f>
        <v>0</v>
      </c>
      <c r="O368" s="56">
        <f>$L$368-EFEITO!$O$368*EFEITO!$AA$368</f>
        <v>0</v>
      </c>
      <c r="P368" s="39"/>
      <c r="Q368" s="39"/>
      <c r="R368" s="39"/>
      <c r="S368" s="39"/>
      <c r="T368" s="39"/>
      <c r="U368" s="39"/>
      <c r="V368" s="39"/>
      <c r="W368" s="3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28</v>
      </c>
      <c r="B369" s="35" t="s">
        <v>33</v>
      </c>
      <c r="C369" s="35" t="s">
        <v>34</v>
      </c>
      <c r="D369" s="35" t="s">
        <v>40</v>
      </c>
      <c r="E369" s="35" t="s">
        <v>25</v>
      </c>
      <c r="F369" s="35" t="s">
        <v>25</v>
      </c>
      <c r="G369" s="35" t="s">
        <v>25</v>
      </c>
      <c r="H369" s="35" t="s">
        <v>35</v>
      </c>
      <c r="I369" s="55">
        <v>44621</v>
      </c>
      <c r="J369" s="56">
        <f>EFEITO!$J$369*EFEITO!$Y$369</f>
        <v>0</v>
      </c>
      <c r="K369" s="56">
        <f ca="1">EFEITO!$L$369*EFEITO!$Z$369</f>
        <v>2863.4500013684874</v>
      </c>
      <c r="L369" s="56">
        <f>EFEITO!$N$369*EFEITO!$AA$369</f>
        <v>6668.1246678372527</v>
      </c>
      <c r="M369" s="56">
        <f>$J$369-EFEITO!$K$369*EFEITO!$Y$369</f>
        <v>0</v>
      </c>
      <c r="N369" s="56">
        <f ca="1">$K$369-EFEITO!$M$369*EFEITO!$Z$369</f>
        <v>0</v>
      </c>
      <c r="O369" s="56">
        <f>$L$369-EFEITO!$O$369*EFEITO!$AA$369</f>
        <v>0</v>
      </c>
      <c r="P369" s="39"/>
      <c r="Q369" s="39"/>
      <c r="R369" s="39"/>
      <c r="S369" s="39"/>
      <c r="T369" s="39"/>
      <c r="U369" s="39"/>
      <c r="V369" s="39"/>
      <c r="W369" s="3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21</v>
      </c>
      <c r="B370" s="35" t="s">
        <v>33</v>
      </c>
      <c r="C370" s="35" t="s">
        <v>34</v>
      </c>
      <c r="D370" s="35" t="s">
        <v>40</v>
      </c>
      <c r="E370" s="35" t="s">
        <v>25</v>
      </c>
      <c r="F370" s="35" t="s">
        <v>25</v>
      </c>
      <c r="G370" s="35" t="s">
        <v>25</v>
      </c>
      <c r="H370" s="35" t="s">
        <v>35</v>
      </c>
      <c r="I370" s="55">
        <v>44621</v>
      </c>
      <c r="J370" s="56">
        <f>EFEITO!$J$370*EFEITO!$Y$370</f>
        <v>0</v>
      </c>
      <c r="K370" s="56">
        <f ca="1">EFEITO!$L$370*EFEITO!$Z$370</f>
        <v>138847.40244767969</v>
      </c>
      <c r="L370" s="56">
        <f>EFEITO!$N$370*EFEITO!$AA$370</f>
        <v>0</v>
      </c>
      <c r="M370" s="56">
        <f>$J$370-EFEITO!$K$370*EFEITO!$Y$370</f>
        <v>0</v>
      </c>
      <c r="N370" s="56">
        <f ca="1">$K$370-EFEITO!$M$370*EFEITO!$Z$370</f>
        <v>0</v>
      </c>
      <c r="O370" s="56">
        <f>$L$370-EFEITO!$O$370*EFEITO!$AA$370</f>
        <v>0</v>
      </c>
      <c r="P370" s="39"/>
      <c r="Q370" s="39"/>
      <c r="R370" s="39"/>
      <c r="S370" s="39"/>
      <c r="T370" s="39"/>
      <c r="U370" s="39"/>
      <c r="V370" s="39"/>
      <c r="W370" s="3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21</v>
      </c>
      <c r="B371" s="35" t="s">
        <v>33</v>
      </c>
      <c r="C371" s="35" t="s">
        <v>34</v>
      </c>
      <c r="D371" s="35" t="s">
        <v>40</v>
      </c>
      <c r="E371" s="35" t="s">
        <v>25</v>
      </c>
      <c r="F371" s="35" t="s">
        <v>25</v>
      </c>
      <c r="G371" s="35" t="s">
        <v>25</v>
      </c>
      <c r="H371" s="35" t="s">
        <v>35</v>
      </c>
      <c r="I371" s="55">
        <v>44652</v>
      </c>
      <c r="J371" s="56">
        <f>EFEITO!$J$371*EFEITO!$Y$371</f>
        <v>0</v>
      </c>
      <c r="K371" s="56">
        <f ca="1">EFEITO!$L$371*EFEITO!$Z$371</f>
        <v>253421.88807465322</v>
      </c>
      <c r="L371" s="56">
        <f>EFEITO!$N$371*EFEITO!$AA$371</f>
        <v>590144.31627333513</v>
      </c>
      <c r="M371" s="56">
        <f>$J$371-EFEITO!$K$371*EFEITO!$Y$371</f>
        <v>0</v>
      </c>
      <c r="N371" s="56">
        <f ca="1">$K$371-EFEITO!$M$371*EFEITO!$Z$371</f>
        <v>0</v>
      </c>
      <c r="O371" s="56">
        <f>$L$371-EFEITO!$O$371*EFEITO!$AA$371</f>
        <v>0</v>
      </c>
      <c r="P371" s="39"/>
      <c r="Q371" s="39"/>
      <c r="R371" s="39"/>
      <c r="S371" s="39"/>
      <c r="T371" s="39"/>
      <c r="U371" s="39"/>
      <c r="V371" s="39"/>
      <c r="W371" s="3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28</v>
      </c>
      <c r="B372" s="35" t="s">
        <v>33</v>
      </c>
      <c r="C372" s="35" t="s">
        <v>34</v>
      </c>
      <c r="D372" s="35" t="s">
        <v>40</v>
      </c>
      <c r="E372" s="35" t="s">
        <v>25</v>
      </c>
      <c r="F372" s="35" t="s">
        <v>25</v>
      </c>
      <c r="G372" s="35" t="s">
        <v>25</v>
      </c>
      <c r="H372" s="35" t="s">
        <v>35</v>
      </c>
      <c r="I372" s="55">
        <v>44652</v>
      </c>
      <c r="J372" s="56">
        <f>EFEITO!$J$372*EFEITO!$Y$372</f>
        <v>0</v>
      </c>
      <c r="K372" s="56">
        <f ca="1">EFEITO!$L$372*EFEITO!$Z$372</f>
        <v>2132.6261916803915</v>
      </c>
      <c r="L372" s="56">
        <f>EFEITO!$N$372*EFEITO!$AA$372</f>
        <v>4966.2530546102016</v>
      </c>
      <c r="M372" s="56">
        <f>$J$372-EFEITO!$K$372*EFEITO!$Y$372</f>
        <v>0</v>
      </c>
      <c r="N372" s="56">
        <f ca="1">$K$372-EFEITO!$M$372*EFEITO!$Z$372</f>
        <v>0</v>
      </c>
      <c r="O372" s="56">
        <f>$L$372-EFEITO!$O$372*EFEITO!$AA$372</f>
        <v>0</v>
      </c>
      <c r="P372" s="39"/>
      <c r="Q372" s="39"/>
      <c r="R372" s="39"/>
      <c r="S372" s="39"/>
      <c r="T372" s="39"/>
      <c r="U372" s="39"/>
      <c r="V372" s="39"/>
      <c r="W372" s="3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21</v>
      </c>
      <c r="B373" s="35" t="s">
        <v>33</v>
      </c>
      <c r="C373" s="35" t="s">
        <v>34</v>
      </c>
      <c r="D373" s="35" t="s">
        <v>40</v>
      </c>
      <c r="E373" s="35" t="s">
        <v>25</v>
      </c>
      <c r="F373" s="35" t="s">
        <v>25</v>
      </c>
      <c r="G373" s="35" t="s">
        <v>25</v>
      </c>
      <c r="H373" s="35" t="s">
        <v>35</v>
      </c>
      <c r="I373" s="55">
        <v>44652</v>
      </c>
      <c r="J373" s="56">
        <f>EFEITO!$J$373*EFEITO!$Y$373</f>
        <v>0</v>
      </c>
      <c r="K373" s="56">
        <f ca="1">EFEITO!$L$373*EFEITO!$Z$373</f>
        <v>161794.04647037806</v>
      </c>
      <c r="L373" s="56">
        <f>EFEITO!$N$373*EFEITO!$AA$373</f>
        <v>0</v>
      </c>
      <c r="M373" s="56">
        <f>$J$373-EFEITO!$K$373*EFEITO!$Y$373</f>
        <v>0</v>
      </c>
      <c r="N373" s="56">
        <f ca="1">$K$373-EFEITO!$M$373*EFEITO!$Z$373</f>
        <v>0</v>
      </c>
      <c r="O373" s="56">
        <f>$L$373-EFEITO!$O$373*EFEITO!$AA$373</f>
        <v>0</v>
      </c>
      <c r="P373" s="39"/>
      <c r="Q373" s="39"/>
      <c r="R373" s="39"/>
      <c r="S373" s="39"/>
      <c r="T373" s="39"/>
      <c r="U373" s="39"/>
      <c r="V373" s="39"/>
      <c r="W373" s="3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33</v>
      </c>
      <c r="C374" s="35" t="s">
        <v>34</v>
      </c>
      <c r="D374" s="35" t="s">
        <v>40</v>
      </c>
      <c r="E374" s="35" t="s">
        <v>25</v>
      </c>
      <c r="F374" s="35" t="s">
        <v>25</v>
      </c>
      <c r="G374" s="35" t="s">
        <v>25</v>
      </c>
      <c r="H374" s="35" t="s">
        <v>35</v>
      </c>
      <c r="I374" s="55">
        <v>44682</v>
      </c>
      <c r="J374" s="56">
        <f>EFEITO!$J$374*EFEITO!$Y$374</f>
        <v>0</v>
      </c>
      <c r="K374" s="56">
        <f ca="1">EFEITO!$L$374*EFEITO!$Z$374</f>
        <v>272317.85492386727</v>
      </c>
      <c r="L374" s="56">
        <f>EFEITO!$N$374*EFEITO!$AA$374</f>
        <v>634147.41135432536</v>
      </c>
      <c r="M374" s="56">
        <f>$J$374-EFEITO!$K$374*EFEITO!$Y$374</f>
        <v>0</v>
      </c>
      <c r="N374" s="56">
        <f ca="1">$K$374-EFEITO!$M$374*EFEITO!$Z$374</f>
        <v>0</v>
      </c>
      <c r="O374" s="56">
        <f>$L$374-EFEITO!$O$374*EFEITO!$AA$374</f>
        <v>0</v>
      </c>
      <c r="P374" s="39"/>
      <c r="Q374" s="39"/>
      <c r="R374" s="39"/>
      <c r="S374" s="39"/>
      <c r="T374" s="39"/>
      <c r="U374" s="39"/>
      <c r="V374" s="39"/>
      <c r="W374" s="3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28</v>
      </c>
      <c r="B375" s="35" t="s">
        <v>33</v>
      </c>
      <c r="C375" s="35" t="s">
        <v>34</v>
      </c>
      <c r="D375" s="35" t="s">
        <v>40</v>
      </c>
      <c r="E375" s="35" t="s">
        <v>25</v>
      </c>
      <c r="F375" s="35" t="s">
        <v>25</v>
      </c>
      <c r="G375" s="35" t="s">
        <v>25</v>
      </c>
      <c r="H375" s="35" t="s">
        <v>35</v>
      </c>
      <c r="I375" s="55">
        <v>44682</v>
      </c>
      <c r="J375" s="56">
        <f>EFEITO!$J$375*EFEITO!$Y$375</f>
        <v>0</v>
      </c>
      <c r="K375" s="56">
        <f ca="1">EFEITO!$L$375*EFEITO!$Z$375</f>
        <v>2355.9890851132218</v>
      </c>
      <c r="L375" s="56">
        <f>EFEITO!$N$375*EFEITO!$AA$375</f>
        <v>5486.3988992616351</v>
      </c>
      <c r="M375" s="56">
        <f>$J$375-EFEITO!$K$375*EFEITO!$Y$375</f>
        <v>0</v>
      </c>
      <c r="N375" s="56">
        <f ca="1">$K$375-EFEITO!$M$375*EFEITO!$Z$375</f>
        <v>0</v>
      </c>
      <c r="O375" s="56">
        <f>$L$375-EFEITO!$O$375*EFEITO!$AA$375</f>
        <v>0</v>
      </c>
      <c r="P375" s="39"/>
      <c r="Q375" s="39"/>
      <c r="R375" s="39"/>
      <c r="S375" s="39"/>
      <c r="T375" s="39"/>
      <c r="U375" s="39"/>
      <c r="V375" s="39"/>
      <c r="W375" s="3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33</v>
      </c>
      <c r="C376" s="35" t="s">
        <v>34</v>
      </c>
      <c r="D376" s="35" t="s">
        <v>40</v>
      </c>
      <c r="E376" s="35" t="s">
        <v>25</v>
      </c>
      <c r="F376" s="35" t="s">
        <v>25</v>
      </c>
      <c r="G376" s="35" t="s">
        <v>25</v>
      </c>
      <c r="H376" s="35" t="s">
        <v>35</v>
      </c>
      <c r="I376" s="55">
        <v>44682</v>
      </c>
      <c r="J376" s="56">
        <f>EFEITO!$J$376*EFEITO!$Y$376</f>
        <v>0</v>
      </c>
      <c r="K376" s="56">
        <f ca="1">EFEITO!$L$376*EFEITO!$Z$376</f>
        <v>136297.52814182272</v>
      </c>
      <c r="L376" s="56">
        <f>EFEITO!$N$376*EFEITO!$AA$376</f>
        <v>0</v>
      </c>
      <c r="M376" s="56">
        <f>$J$376-EFEITO!$K$376*EFEITO!$Y$376</f>
        <v>0</v>
      </c>
      <c r="N376" s="56">
        <f ca="1">$K$376-EFEITO!$M$376*EFEITO!$Z$376</f>
        <v>0</v>
      </c>
      <c r="O376" s="56">
        <f>$L$376-EFEITO!$O$376*EFEITO!$AA$376</f>
        <v>0</v>
      </c>
      <c r="P376" s="39"/>
      <c r="Q376" s="39"/>
      <c r="R376" s="39"/>
      <c r="S376" s="39"/>
      <c r="T376" s="39"/>
      <c r="U376" s="39"/>
      <c r="V376" s="39"/>
      <c r="W376" s="3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21</v>
      </c>
      <c r="B377" s="35" t="s">
        <v>33</v>
      </c>
      <c r="C377" s="35" t="s">
        <v>34</v>
      </c>
      <c r="D377" s="35" t="s">
        <v>40</v>
      </c>
      <c r="E377" s="35" t="s">
        <v>25</v>
      </c>
      <c r="F377" s="35" t="s">
        <v>25</v>
      </c>
      <c r="G377" s="35" t="s">
        <v>25</v>
      </c>
      <c r="H377" s="35" t="s">
        <v>25</v>
      </c>
      <c r="I377" s="55">
        <v>44348</v>
      </c>
      <c r="J377" s="56">
        <f ca="1">EFEITO!$J$377*EFEITO!$Y$377</f>
        <v>254068.04455297723</v>
      </c>
      <c r="K377" s="56">
        <f>EFEITO!$L$377*EFEITO!$Z$377</f>
        <v>0</v>
      </c>
      <c r="L377" s="56">
        <f>EFEITO!$N$377*EFEITO!$AA$377</f>
        <v>0</v>
      </c>
      <c r="M377" s="56">
        <f ca="1">$J$377-EFEITO!$K$377*EFEITO!$Y$377</f>
        <v>0</v>
      </c>
      <c r="N377" s="56">
        <f>$K$377-EFEITO!$M$377*EFEITO!$Z$377</f>
        <v>0</v>
      </c>
      <c r="O377" s="56">
        <f>$L$377-EFEITO!$O$377*EFEITO!$AA$377</f>
        <v>0</v>
      </c>
      <c r="P377" s="39"/>
      <c r="Q377" s="39"/>
      <c r="R377" s="39"/>
      <c r="S377" s="39"/>
      <c r="T377" s="39"/>
      <c r="U377" s="39"/>
      <c r="V377" s="39"/>
      <c r="W377" s="3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21</v>
      </c>
      <c r="B378" s="35" t="s">
        <v>33</v>
      </c>
      <c r="C378" s="35" t="s">
        <v>34</v>
      </c>
      <c r="D378" s="35" t="s">
        <v>40</v>
      </c>
      <c r="E378" s="35" t="s">
        <v>25</v>
      </c>
      <c r="F378" s="35" t="s">
        <v>25</v>
      </c>
      <c r="G378" s="35" t="s">
        <v>25</v>
      </c>
      <c r="H378" s="35" t="s">
        <v>25</v>
      </c>
      <c r="I378" s="55">
        <v>44348</v>
      </c>
      <c r="J378" s="56">
        <f ca="1">EFEITO!$J$378*EFEITO!$Y$378</f>
        <v>78461.947313350349</v>
      </c>
      <c r="K378" s="56">
        <f>EFEITO!$L$378*EFEITO!$Z$378</f>
        <v>0</v>
      </c>
      <c r="L378" s="56">
        <f>EFEITO!$N$378*EFEITO!$AA$378</f>
        <v>0</v>
      </c>
      <c r="M378" s="56">
        <f ca="1">$J$378-EFEITO!$K$378*EFEITO!$Y$378</f>
        <v>0</v>
      </c>
      <c r="N378" s="56">
        <f>$K$378-EFEITO!$M$378*EFEITO!$Z$378</f>
        <v>0</v>
      </c>
      <c r="O378" s="56">
        <f>$L$378-EFEITO!$O$378*EFEITO!$AA$378</f>
        <v>0</v>
      </c>
      <c r="P378" s="39"/>
      <c r="Q378" s="39"/>
      <c r="R378" s="39"/>
      <c r="S378" s="39"/>
      <c r="T378" s="39"/>
      <c r="U378" s="39"/>
      <c r="V378" s="39"/>
      <c r="W378" s="3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21</v>
      </c>
      <c r="B379" s="35" t="s">
        <v>33</v>
      </c>
      <c r="C379" s="35" t="s">
        <v>34</v>
      </c>
      <c r="D379" s="35" t="s">
        <v>40</v>
      </c>
      <c r="E379" s="35" t="s">
        <v>25</v>
      </c>
      <c r="F379" s="35" t="s">
        <v>25</v>
      </c>
      <c r="G379" s="35" t="s">
        <v>25</v>
      </c>
      <c r="H379" s="35" t="s">
        <v>25</v>
      </c>
      <c r="I379" s="55">
        <v>44378</v>
      </c>
      <c r="J379" s="56">
        <f ca="1">EFEITO!$J$379*EFEITO!$Y$379</f>
        <v>252779.61678656851</v>
      </c>
      <c r="K379" s="56">
        <f>EFEITO!$L$379*EFEITO!$Z$379</f>
        <v>0</v>
      </c>
      <c r="L379" s="56">
        <f>EFEITO!$N$379*EFEITO!$AA$379</f>
        <v>0</v>
      </c>
      <c r="M379" s="56">
        <f ca="1">$J$379-EFEITO!$K$379*EFEITO!$Y$379</f>
        <v>0</v>
      </c>
      <c r="N379" s="56">
        <f>$K$379-EFEITO!$M$379*EFEITO!$Z$379</f>
        <v>0</v>
      </c>
      <c r="O379" s="56">
        <f>$L$379-EFEITO!$O$379*EFEITO!$AA$379</f>
        <v>0</v>
      </c>
      <c r="P379" s="39"/>
      <c r="Q379" s="39"/>
      <c r="R379" s="39"/>
      <c r="S379" s="39"/>
      <c r="T379" s="39"/>
      <c r="U379" s="39"/>
      <c r="V379" s="39"/>
      <c r="W379" s="3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33</v>
      </c>
      <c r="C380" s="35" t="s">
        <v>34</v>
      </c>
      <c r="D380" s="35" t="s">
        <v>40</v>
      </c>
      <c r="E380" s="35" t="s">
        <v>25</v>
      </c>
      <c r="F380" s="35" t="s">
        <v>25</v>
      </c>
      <c r="G380" s="35" t="s">
        <v>25</v>
      </c>
      <c r="H380" s="35" t="s">
        <v>25</v>
      </c>
      <c r="I380" s="55">
        <v>44378</v>
      </c>
      <c r="J380" s="56">
        <f ca="1">EFEITO!$J$380*EFEITO!$Y$380</f>
        <v>78461.947313350349</v>
      </c>
      <c r="K380" s="56">
        <f>EFEITO!$L$380*EFEITO!$Z$380</f>
        <v>0</v>
      </c>
      <c r="L380" s="56">
        <f>EFEITO!$N$380*EFEITO!$AA$380</f>
        <v>0</v>
      </c>
      <c r="M380" s="56">
        <f ca="1">$J$380-EFEITO!$K$380*EFEITO!$Y$380</f>
        <v>0</v>
      </c>
      <c r="N380" s="56">
        <f>$K$380-EFEITO!$M$380*EFEITO!$Z$380</f>
        <v>0</v>
      </c>
      <c r="O380" s="56">
        <f>$L$380-EFEITO!$O$380*EFEITO!$AA$380</f>
        <v>0</v>
      </c>
      <c r="P380" s="39"/>
      <c r="Q380" s="39"/>
      <c r="R380" s="39"/>
      <c r="S380" s="39"/>
      <c r="T380" s="39"/>
      <c r="U380" s="39"/>
      <c r="V380" s="39"/>
      <c r="W380" s="3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21</v>
      </c>
      <c r="B381" s="35" t="s">
        <v>33</v>
      </c>
      <c r="C381" s="35" t="s">
        <v>34</v>
      </c>
      <c r="D381" s="35" t="s">
        <v>40</v>
      </c>
      <c r="E381" s="35" t="s">
        <v>25</v>
      </c>
      <c r="F381" s="35" t="s">
        <v>25</v>
      </c>
      <c r="G381" s="35" t="s">
        <v>25</v>
      </c>
      <c r="H381" s="35" t="s">
        <v>25</v>
      </c>
      <c r="I381" s="55">
        <v>44409</v>
      </c>
      <c r="J381" s="56">
        <f ca="1">EFEITO!$J$381*EFEITO!$Y$381</f>
        <v>253209.09270870476</v>
      </c>
      <c r="K381" s="56">
        <f>EFEITO!$L$381*EFEITO!$Z$381</f>
        <v>0</v>
      </c>
      <c r="L381" s="56">
        <f>EFEITO!$N$381*EFEITO!$AA$381</f>
        <v>0</v>
      </c>
      <c r="M381" s="56">
        <f ca="1">$J$381-EFEITO!$K$381*EFEITO!$Y$381</f>
        <v>0</v>
      </c>
      <c r="N381" s="56">
        <f>$K$381-EFEITO!$M$381*EFEITO!$Z$381</f>
        <v>0</v>
      </c>
      <c r="O381" s="56">
        <f>$L$381-EFEITO!$O$381*EFEITO!$AA$381</f>
        <v>0</v>
      </c>
      <c r="P381" s="39"/>
      <c r="Q381" s="39"/>
      <c r="R381" s="39"/>
      <c r="S381" s="39"/>
      <c r="T381" s="39"/>
      <c r="U381" s="39"/>
      <c r="V381" s="39"/>
      <c r="W381" s="3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21</v>
      </c>
      <c r="B382" s="35" t="s">
        <v>33</v>
      </c>
      <c r="C382" s="35" t="s">
        <v>34</v>
      </c>
      <c r="D382" s="35" t="s">
        <v>40</v>
      </c>
      <c r="E382" s="35" t="s">
        <v>25</v>
      </c>
      <c r="F382" s="35" t="s">
        <v>25</v>
      </c>
      <c r="G382" s="35" t="s">
        <v>25</v>
      </c>
      <c r="H382" s="35" t="s">
        <v>25</v>
      </c>
      <c r="I382" s="55">
        <v>44409</v>
      </c>
      <c r="J382" s="56">
        <f ca="1">EFEITO!$J$382*EFEITO!$Y$382</f>
        <v>78461.947313350349</v>
      </c>
      <c r="K382" s="56">
        <f>EFEITO!$L$382*EFEITO!$Z$382</f>
        <v>0</v>
      </c>
      <c r="L382" s="56">
        <f>EFEITO!$N$382*EFEITO!$AA$382</f>
        <v>0</v>
      </c>
      <c r="M382" s="56">
        <f ca="1">$J$382-EFEITO!$K$382*EFEITO!$Y$382</f>
        <v>0</v>
      </c>
      <c r="N382" s="56">
        <f>$K$382-EFEITO!$M$382*EFEITO!$Z$382</f>
        <v>0</v>
      </c>
      <c r="O382" s="56">
        <f>$L$382-EFEITO!$O$382*EFEITO!$AA$382</f>
        <v>0</v>
      </c>
      <c r="P382" s="39"/>
      <c r="Q382" s="39"/>
      <c r="R382" s="39"/>
      <c r="S382" s="39"/>
      <c r="T382" s="39"/>
      <c r="U382" s="39"/>
      <c r="V382" s="39"/>
      <c r="W382" s="3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21</v>
      </c>
      <c r="B383" s="35" t="s">
        <v>33</v>
      </c>
      <c r="C383" s="35" t="s">
        <v>34</v>
      </c>
      <c r="D383" s="35" t="s">
        <v>40</v>
      </c>
      <c r="E383" s="35" t="s">
        <v>25</v>
      </c>
      <c r="F383" s="35" t="s">
        <v>25</v>
      </c>
      <c r="G383" s="35" t="s">
        <v>25</v>
      </c>
      <c r="H383" s="35" t="s">
        <v>25</v>
      </c>
      <c r="I383" s="55">
        <v>44440</v>
      </c>
      <c r="J383" s="56">
        <f ca="1">EFEITO!$J$383*EFEITO!$Y$383</f>
        <v>230430.35053078682</v>
      </c>
      <c r="K383" s="56">
        <f>EFEITO!$L$383*EFEITO!$Z$383</f>
        <v>0</v>
      </c>
      <c r="L383" s="56">
        <f>EFEITO!$N$383*EFEITO!$AA$383</f>
        <v>0</v>
      </c>
      <c r="M383" s="56">
        <f ca="1">$J$383-EFEITO!$K$383*EFEITO!$Y$383</f>
        <v>0</v>
      </c>
      <c r="N383" s="56">
        <f>$K$383-EFEITO!$M$383*EFEITO!$Z$383</f>
        <v>0</v>
      </c>
      <c r="O383" s="56">
        <f>$L$383-EFEITO!$O$383*EFEITO!$AA$383</f>
        <v>0</v>
      </c>
      <c r="P383" s="39"/>
      <c r="Q383" s="39"/>
      <c r="R383" s="39"/>
      <c r="S383" s="39"/>
      <c r="T383" s="39"/>
      <c r="U383" s="39"/>
      <c r="V383" s="39"/>
      <c r="W383" s="3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21</v>
      </c>
      <c r="B384" s="35" t="s">
        <v>33</v>
      </c>
      <c r="C384" s="35" t="s">
        <v>34</v>
      </c>
      <c r="D384" s="35" t="s">
        <v>40</v>
      </c>
      <c r="E384" s="35" t="s">
        <v>25</v>
      </c>
      <c r="F384" s="35" t="s">
        <v>25</v>
      </c>
      <c r="G384" s="35" t="s">
        <v>25</v>
      </c>
      <c r="H384" s="35" t="s">
        <v>25</v>
      </c>
      <c r="I384" s="55">
        <v>44440</v>
      </c>
      <c r="J384" s="56">
        <f ca="1">EFEITO!$J$384*EFEITO!$Y$384</f>
        <v>104891.23482942626</v>
      </c>
      <c r="K384" s="56">
        <f>EFEITO!$L$384*EFEITO!$Z$384</f>
        <v>0</v>
      </c>
      <c r="L384" s="56">
        <f>EFEITO!$N$384*EFEITO!$AA$384</f>
        <v>0</v>
      </c>
      <c r="M384" s="56">
        <f ca="1">$J$384-EFEITO!$K$384*EFEITO!$Y$384</f>
        <v>0</v>
      </c>
      <c r="N384" s="56">
        <f>$K$384-EFEITO!$M$384*EFEITO!$Z$384</f>
        <v>0</v>
      </c>
      <c r="O384" s="56">
        <f>$L$384-EFEITO!$O$384*EFEITO!$AA$384</f>
        <v>0</v>
      </c>
      <c r="P384" s="39"/>
      <c r="Q384" s="39"/>
      <c r="R384" s="39"/>
      <c r="S384" s="39"/>
      <c r="T384" s="39"/>
      <c r="U384" s="39"/>
      <c r="V384" s="39"/>
      <c r="W384" s="3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21</v>
      </c>
      <c r="B385" s="35" t="s">
        <v>33</v>
      </c>
      <c r="C385" s="35" t="s">
        <v>34</v>
      </c>
      <c r="D385" s="35" t="s">
        <v>40</v>
      </c>
      <c r="E385" s="35" t="s">
        <v>25</v>
      </c>
      <c r="F385" s="35" t="s">
        <v>25</v>
      </c>
      <c r="G385" s="35" t="s">
        <v>25</v>
      </c>
      <c r="H385" s="35" t="s">
        <v>25</v>
      </c>
      <c r="I385" s="55">
        <v>44470</v>
      </c>
      <c r="J385" s="56">
        <f ca="1">EFEITO!$J$385*EFEITO!$Y$385</f>
        <v>228299.4892248032</v>
      </c>
      <c r="K385" s="56">
        <f>EFEITO!$L$385*EFEITO!$Z$385</f>
        <v>0</v>
      </c>
      <c r="L385" s="56">
        <f>EFEITO!$N$385*EFEITO!$AA$385</f>
        <v>0</v>
      </c>
      <c r="M385" s="56">
        <f ca="1">$J$385-EFEITO!$K$385*EFEITO!$Y$385</f>
        <v>0</v>
      </c>
      <c r="N385" s="56">
        <f>$K$385-EFEITO!$M$385*EFEITO!$Z$385</f>
        <v>0</v>
      </c>
      <c r="O385" s="56">
        <f>$L$385-EFEITO!$O$385*EFEITO!$AA$385</f>
        <v>0</v>
      </c>
      <c r="P385" s="39"/>
      <c r="Q385" s="39"/>
      <c r="R385" s="39"/>
      <c r="S385" s="39"/>
      <c r="T385" s="39"/>
      <c r="U385" s="39"/>
      <c r="V385" s="39"/>
      <c r="W385" s="3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21</v>
      </c>
      <c r="B386" s="35" t="s">
        <v>33</v>
      </c>
      <c r="C386" s="35" t="s">
        <v>34</v>
      </c>
      <c r="D386" s="35" t="s">
        <v>40</v>
      </c>
      <c r="E386" s="35" t="s">
        <v>25</v>
      </c>
      <c r="F386" s="35" t="s">
        <v>25</v>
      </c>
      <c r="G386" s="35" t="s">
        <v>25</v>
      </c>
      <c r="H386" s="35" t="s">
        <v>25</v>
      </c>
      <c r="I386" s="55">
        <v>44470</v>
      </c>
      <c r="J386" s="56">
        <f ca="1">EFEITO!$J$386*EFEITO!$Y$386</f>
        <v>104891.23482942626</v>
      </c>
      <c r="K386" s="56">
        <f>EFEITO!$L$386*EFEITO!$Z$386</f>
        <v>0</v>
      </c>
      <c r="L386" s="56">
        <f>EFEITO!$N$386*EFEITO!$AA$386</f>
        <v>0</v>
      </c>
      <c r="M386" s="56">
        <f ca="1">$J$386-EFEITO!$K$386*EFEITO!$Y$386</f>
        <v>0</v>
      </c>
      <c r="N386" s="56">
        <f>$K$386-EFEITO!$M$386*EFEITO!$Z$386</f>
        <v>0</v>
      </c>
      <c r="O386" s="56">
        <f>$L$386-EFEITO!$O$386*EFEITO!$AA$386</f>
        <v>0</v>
      </c>
      <c r="P386" s="39"/>
      <c r="Q386" s="39"/>
      <c r="R386" s="39"/>
      <c r="S386" s="39"/>
      <c r="T386" s="39"/>
      <c r="U386" s="39"/>
      <c r="V386" s="39"/>
      <c r="W386" s="3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21</v>
      </c>
      <c r="B387" s="35" t="s">
        <v>33</v>
      </c>
      <c r="C387" s="35" t="s">
        <v>34</v>
      </c>
      <c r="D387" s="35" t="s">
        <v>40</v>
      </c>
      <c r="E387" s="35" t="s">
        <v>25</v>
      </c>
      <c r="F387" s="35" t="s">
        <v>25</v>
      </c>
      <c r="G387" s="35" t="s">
        <v>25</v>
      </c>
      <c r="H387" s="35" t="s">
        <v>25</v>
      </c>
      <c r="I387" s="55">
        <v>44501</v>
      </c>
      <c r="J387" s="56">
        <f ca="1">EFEITO!$J$387*EFEITO!$Y$387</f>
        <v>228332.52583419828</v>
      </c>
      <c r="K387" s="56">
        <f>EFEITO!$L$387*EFEITO!$Z$387</f>
        <v>0</v>
      </c>
      <c r="L387" s="56">
        <f>EFEITO!$N$387*EFEITO!$AA$387</f>
        <v>0</v>
      </c>
      <c r="M387" s="56">
        <f ca="1">$J$387-EFEITO!$K$387*EFEITO!$Y$387</f>
        <v>0</v>
      </c>
      <c r="N387" s="56">
        <f>$K$387-EFEITO!$M$387*EFEITO!$Z$387</f>
        <v>0</v>
      </c>
      <c r="O387" s="56">
        <f>$L$387-EFEITO!$O$387*EFEITO!$AA$387</f>
        <v>0</v>
      </c>
      <c r="P387" s="39"/>
      <c r="Q387" s="39"/>
      <c r="R387" s="39"/>
      <c r="S387" s="39"/>
      <c r="T387" s="39"/>
      <c r="U387" s="39"/>
      <c r="V387" s="39"/>
      <c r="W387" s="3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21</v>
      </c>
      <c r="B388" s="35" t="s">
        <v>33</v>
      </c>
      <c r="C388" s="35" t="s">
        <v>34</v>
      </c>
      <c r="D388" s="35" t="s">
        <v>40</v>
      </c>
      <c r="E388" s="35" t="s">
        <v>25</v>
      </c>
      <c r="F388" s="35" t="s">
        <v>25</v>
      </c>
      <c r="G388" s="35" t="s">
        <v>25</v>
      </c>
      <c r="H388" s="35" t="s">
        <v>25</v>
      </c>
      <c r="I388" s="55">
        <v>44501</v>
      </c>
      <c r="J388" s="56">
        <f ca="1">EFEITO!$J$388*EFEITO!$Y$388</f>
        <v>104891.23482942626</v>
      </c>
      <c r="K388" s="56">
        <f>EFEITO!$L$388*EFEITO!$Z$388</f>
        <v>0</v>
      </c>
      <c r="L388" s="56">
        <f>EFEITO!$N$388*EFEITO!$AA$388</f>
        <v>0</v>
      </c>
      <c r="M388" s="56">
        <f ca="1">$J$388-EFEITO!$K$388*EFEITO!$Y$388</f>
        <v>0</v>
      </c>
      <c r="N388" s="56">
        <f>$K$388-EFEITO!$M$388*EFEITO!$Z$388</f>
        <v>0</v>
      </c>
      <c r="O388" s="56">
        <f>$L$388-EFEITO!$O$388*EFEITO!$AA$388</f>
        <v>0</v>
      </c>
      <c r="P388" s="39"/>
      <c r="Q388" s="39"/>
      <c r="R388" s="39"/>
      <c r="S388" s="39"/>
      <c r="T388" s="39"/>
      <c r="U388" s="39"/>
      <c r="V388" s="39"/>
      <c r="W388" s="3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21</v>
      </c>
      <c r="B389" s="35" t="s">
        <v>33</v>
      </c>
      <c r="C389" s="35" t="s">
        <v>34</v>
      </c>
      <c r="D389" s="35" t="s">
        <v>40</v>
      </c>
      <c r="E389" s="35" t="s">
        <v>25</v>
      </c>
      <c r="F389" s="35" t="s">
        <v>25</v>
      </c>
      <c r="G389" s="35" t="s">
        <v>25</v>
      </c>
      <c r="H389" s="35" t="s">
        <v>25</v>
      </c>
      <c r="I389" s="55">
        <v>44531</v>
      </c>
      <c r="J389" s="56">
        <f ca="1">EFEITO!$J$389*EFEITO!$Y$389</f>
        <v>224748.05371483052</v>
      </c>
      <c r="K389" s="56">
        <f>EFEITO!$L$389*EFEITO!$Z$389</f>
        <v>0</v>
      </c>
      <c r="L389" s="56">
        <f>EFEITO!$N$389*EFEITO!$AA$389</f>
        <v>0</v>
      </c>
      <c r="M389" s="56">
        <f ca="1">$J$389-EFEITO!$K$389*EFEITO!$Y$389</f>
        <v>0</v>
      </c>
      <c r="N389" s="56">
        <f>$K$389-EFEITO!$M$389*EFEITO!$Z$389</f>
        <v>0</v>
      </c>
      <c r="O389" s="56">
        <f>$L$389-EFEITO!$O$389*EFEITO!$AA$389</f>
        <v>0</v>
      </c>
      <c r="P389" s="39"/>
      <c r="Q389" s="39"/>
      <c r="R389" s="39"/>
      <c r="S389" s="39"/>
      <c r="T389" s="39"/>
      <c r="U389" s="39"/>
      <c r="V389" s="39"/>
      <c r="W389" s="3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28</v>
      </c>
      <c r="B390" s="35" t="s">
        <v>33</v>
      </c>
      <c r="C390" s="35" t="s">
        <v>34</v>
      </c>
      <c r="D390" s="35" t="s">
        <v>40</v>
      </c>
      <c r="E390" s="35" t="s">
        <v>25</v>
      </c>
      <c r="F390" s="35" t="s">
        <v>25</v>
      </c>
      <c r="G390" s="35" t="s">
        <v>25</v>
      </c>
      <c r="H390" s="35" t="s">
        <v>25</v>
      </c>
      <c r="I390" s="55">
        <v>44531</v>
      </c>
      <c r="J390" s="56">
        <f ca="1">EFEITO!$J$390*EFEITO!$Y$390</f>
        <v>4625.1253153132839</v>
      </c>
      <c r="K390" s="56">
        <f>EFEITO!$L$390*EFEITO!$Z$390</f>
        <v>0</v>
      </c>
      <c r="L390" s="56">
        <f>EFEITO!$N$390*EFEITO!$AA$390</f>
        <v>0</v>
      </c>
      <c r="M390" s="56">
        <f ca="1">$J$390-EFEITO!$K$390*EFEITO!$Y$390</f>
        <v>0</v>
      </c>
      <c r="N390" s="56">
        <f>$K$390-EFEITO!$M$390*EFEITO!$Z$390</f>
        <v>0</v>
      </c>
      <c r="O390" s="56">
        <f>$L$390-EFEITO!$O$390*EFEITO!$AA$390</f>
        <v>0</v>
      </c>
      <c r="P390" s="39"/>
      <c r="Q390" s="39"/>
      <c r="R390" s="39"/>
      <c r="S390" s="39"/>
      <c r="T390" s="39"/>
      <c r="U390" s="39"/>
      <c r="V390" s="39"/>
      <c r="W390" s="3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21</v>
      </c>
      <c r="B391" s="35" t="s">
        <v>33</v>
      </c>
      <c r="C391" s="35" t="s">
        <v>34</v>
      </c>
      <c r="D391" s="35" t="s">
        <v>40</v>
      </c>
      <c r="E391" s="35" t="s">
        <v>25</v>
      </c>
      <c r="F391" s="35" t="s">
        <v>25</v>
      </c>
      <c r="G391" s="35" t="s">
        <v>25</v>
      </c>
      <c r="H391" s="35" t="s">
        <v>25</v>
      </c>
      <c r="I391" s="55">
        <v>44531</v>
      </c>
      <c r="J391" s="56">
        <f ca="1">EFEITO!$J$391*EFEITO!$Y$391</f>
        <v>104891.23482942626</v>
      </c>
      <c r="K391" s="56">
        <f>EFEITO!$L$391*EFEITO!$Z$391</f>
        <v>0</v>
      </c>
      <c r="L391" s="56">
        <f>EFEITO!$N$391*EFEITO!$AA$391</f>
        <v>0</v>
      </c>
      <c r="M391" s="56">
        <f ca="1">$J$391-EFEITO!$K$391*EFEITO!$Y$391</f>
        <v>0</v>
      </c>
      <c r="N391" s="56">
        <f>$K$391-EFEITO!$M$391*EFEITO!$Z$391</f>
        <v>0</v>
      </c>
      <c r="O391" s="56">
        <f>$L$391-EFEITO!$O$391*EFEITO!$AA$391</f>
        <v>0</v>
      </c>
      <c r="P391" s="39"/>
      <c r="Q391" s="39"/>
      <c r="R391" s="39"/>
      <c r="S391" s="39"/>
      <c r="T391" s="39"/>
      <c r="U391" s="39"/>
      <c r="V391" s="39"/>
      <c r="W391" s="3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21</v>
      </c>
      <c r="B392" s="35" t="s">
        <v>33</v>
      </c>
      <c r="C392" s="35" t="s">
        <v>34</v>
      </c>
      <c r="D392" s="35" t="s">
        <v>40</v>
      </c>
      <c r="E392" s="35" t="s">
        <v>25</v>
      </c>
      <c r="F392" s="35" t="s">
        <v>25</v>
      </c>
      <c r="G392" s="35" t="s">
        <v>25</v>
      </c>
      <c r="H392" s="35" t="s">
        <v>25</v>
      </c>
      <c r="I392" s="55">
        <v>44562</v>
      </c>
      <c r="J392" s="56">
        <f ca="1">EFEITO!$J$392*EFEITO!$Y$392</f>
        <v>224269.02287860162</v>
      </c>
      <c r="K392" s="56">
        <f>EFEITO!$L$392*EFEITO!$Z$392</f>
        <v>0</v>
      </c>
      <c r="L392" s="56">
        <f>EFEITO!$N$392*EFEITO!$AA$392</f>
        <v>0</v>
      </c>
      <c r="M392" s="56">
        <f ca="1">$J$392-EFEITO!$K$392*EFEITO!$Y$392</f>
        <v>0</v>
      </c>
      <c r="N392" s="56">
        <f>$K$392-EFEITO!$M$392*EFEITO!$Z$392</f>
        <v>0</v>
      </c>
      <c r="O392" s="56">
        <f>$L$392-EFEITO!$O$392*EFEITO!$AA$392</f>
        <v>0</v>
      </c>
      <c r="P392" s="39"/>
      <c r="Q392" s="39"/>
      <c r="R392" s="39"/>
      <c r="S392" s="39"/>
      <c r="T392" s="39"/>
      <c r="U392" s="39"/>
      <c r="V392" s="39"/>
      <c r="W392" s="3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28</v>
      </c>
      <c r="B393" s="35" t="s">
        <v>33</v>
      </c>
      <c r="C393" s="35" t="s">
        <v>34</v>
      </c>
      <c r="D393" s="35" t="s">
        <v>40</v>
      </c>
      <c r="E393" s="35" t="s">
        <v>25</v>
      </c>
      <c r="F393" s="35" t="s">
        <v>25</v>
      </c>
      <c r="G393" s="35" t="s">
        <v>25</v>
      </c>
      <c r="H393" s="35" t="s">
        <v>25</v>
      </c>
      <c r="I393" s="55">
        <v>44562</v>
      </c>
      <c r="J393" s="56">
        <f ca="1">EFEITO!$J$393*EFEITO!$Y$393</f>
        <v>4625.1253153132839</v>
      </c>
      <c r="K393" s="56">
        <f>EFEITO!$L$393*EFEITO!$Z$393</f>
        <v>0</v>
      </c>
      <c r="L393" s="56">
        <f>EFEITO!$N$393*EFEITO!$AA$393</f>
        <v>0</v>
      </c>
      <c r="M393" s="56">
        <f ca="1">$J$393-EFEITO!$K$393*EFEITO!$Y$393</f>
        <v>0</v>
      </c>
      <c r="N393" s="56">
        <f>$K$393-EFEITO!$M$393*EFEITO!$Z$393</f>
        <v>0</v>
      </c>
      <c r="O393" s="56">
        <f>$L$393-EFEITO!$O$393*EFEITO!$AA$393</f>
        <v>0</v>
      </c>
      <c r="P393" s="39"/>
      <c r="Q393" s="39"/>
      <c r="R393" s="39"/>
      <c r="S393" s="39"/>
      <c r="T393" s="39"/>
      <c r="U393" s="39"/>
      <c r="V393" s="39"/>
      <c r="W393" s="3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21</v>
      </c>
      <c r="B394" s="35" t="s">
        <v>33</v>
      </c>
      <c r="C394" s="35" t="s">
        <v>34</v>
      </c>
      <c r="D394" s="35" t="s">
        <v>40</v>
      </c>
      <c r="E394" s="35" t="s">
        <v>25</v>
      </c>
      <c r="F394" s="35" t="s">
        <v>25</v>
      </c>
      <c r="G394" s="35" t="s">
        <v>25</v>
      </c>
      <c r="H394" s="35" t="s">
        <v>25</v>
      </c>
      <c r="I394" s="55">
        <v>44562</v>
      </c>
      <c r="J394" s="56">
        <f ca="1">EFEITO!$J$394*EFEITO!$Y$394</f>
        <v>104891.23482942626</v>
      </c>
      <c r="K394" s="56">
        <f>EFEITO!$L$394*EFEITO!$Z$394</f>
        <v>0</v>
      </c>
      <c r="L394" s="56">
        <f>EFEITO!$N$394*EFEITO!$AA$394</f>
        <v>0</v>
      </c>
      <c r="M394" s="56">
        <f ca="1">$J$394-EFEITO!$K$394*EFEITO!$Y$394</f>
        <v>0</v>
      </c>
      <c r="N394" s="56">
        <f>$K$394-EFEITO!$M$394*EFEITO!$Z$394</f>
        <v>0</v>
      </c>
      <c r="O394" s="56">
        <f>$L$394-EFEITO!$O$394*EFEITO!$AA$394</f>
        <v>0</v>
      </c>
      <c r="P394" s="39"/>
      <c r="Q394" s="39"/>
      <c r="R394" s="39"/>
      <c r="S394" s="39"/>
      <c r="T394" s="39"/>
      <c r="U394" s="39"/>
      <c r="V394" s="39"/>
      <c r="W394" s="3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21</v>
      </c>
      <c r="B395" s="35" t="s">
        <v>33</v>
      </c>
      <c r="C395" s="35" t="s">
        <v>34</v>
      </c>
      <c r="D395" s="35" t="s">
        <v>40</v>
      </c>
      <c r="E395" s="35" t="s">
        <v>25</v>
      </c>
      <c r="F395" s="35" t="s">
        <v>25</v>
      </c>
      <c r="G395" s="35" t="s">
        <v>25</v>
      </c>
      <c r="H395" s="35" t="s">
        <v>25</v>
      </c>
      <c r="I395" s="55">
        <v>44593</v>
      </c>
      <c r="J395" s="56">
        <f ca="1">EFEITO!$J$395*EFEITO!$Y$395</f>
        <v>225871.29843426374</v>
      </c>
      <c r="K395" s="56">
        <f>EFEITO!$L$395*EFEITO!$Z$395</f>
        <v>0</v>
      </c>
      <c r="L395" s="56">
        <f>EFEITO!$N$395*EFEITO!$AA$395</f>
        <v>0</v>
      </c>
      <c r="M395" s="56">
        <f ca="1">$J$395-EFEITO!$K$395*EFEITO!$Y$395</f>
        <v>0</v>
      </c>
      <c r="N395" s="56">
        <f>$K$395-EFEITO!$M$395*EFEITO!$Z$395</f>
        <v>0</v>
      </c>
      <c r="O395" s="56">
        <f>$L$395-EFEITO!$O$395*EFEITO!$AA$395</f>
        <v>0</v>
      </c>
      <c r="P395" s="39"/>
      <c r="Q395" s="39"/>
      <c r="R395" s="39"/>
      <c r="S395" s="39"/>
      <c r="T395" s="39"/>
      <c r="U395" s="39"/>
      <c r="V395" s="39"/>
      <c r="W395" s="3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28</v>
      </c>
      <c r="B396" s="35" t="s">
        <v>33</v>
      </c>
      <c r="C396" s="35" t="s">
        <v>34</v>
      </c>
      <c r="D396" s="35" t="s">
        <v>40</v>
      </c>
      <c r="E396" s="35" t="s">
        <v>25</v>
      </c>
      <c r="F396" s="35" t="s">
        <v>25</v>
      </c>
      <c r="G396" s="35" t="s">
        <v>25</v>
      </c>
      <c r="H396" s="35" t="s">
        <v>25</v>
      </c>
      <c r="I396" s="55">
        <v>44593</v>
      </c>
      <c r="J396" s="56">
        <f ca="1">EFEITO!$J$396*EFEITO!$Y$396</f>
        <v>4625.1253153132839</v>
      </c>
      <c r="K396" s="56">
        <f>EFEITO!$L$396*EFEITO!$Z$396</f>
        <v>0</v>
      </c>
      <c r="L396" s="56">
        <f>EFEITO!$N$396*EFEITO!$AA$396</f>
        <v>0</v>
      </c>
      <c r="M396" s="56">
        <f ca="1">$J$396-EFEITO!$K$396*EFEITO!$Y$396</f>
        <v>0</v>
      </c>
      <c r="N396" s="56">
        <f>$K$396-EFEITO!$M$396*EFEITO!$Z$396</f>
        <v>0</v>
      </c>
      <c r="O396" s="56">
        <f>$L$396-EFEITO!$O$396*EFEITO!$AA$396</f>
        <v>0</v>
      </c>
      <c r="P396" s="39"/>
      <c r="Q396" s="39"/>
      <c r="R396" s="39"/>
      <c r="S396" s="39"/>
      <c r="T396" s="39"/>
      <c r="U396" s="39"/>
      <c r="V396" s="39"/>
      <c r="W396" s="3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21</v>
      </c>
      <c r="B397" s="35" t="s">
        <v>33</v>
      </c>
      <c r="C397" s="35" t="s">
        <v>34</v>
      </c>
      <c r="D397" s="35" t="s">
        <v>40</v>
      </c>
      <c r="E397" s="35" t="s">
        <v>25</v>
      </c>
      <c r="F397" s="35" t="s">
        <v>25</v>
      </c>
      <c r="G397" s="35" t="s">
        <v>25</v>
      </c>
      <c r="H397" s="35" t="s">
        <v>25</v>
      </c>
      <c r="I397" s="55">
        <v>44593</v>
      </c>
      <c r="J397" s="56">
        <f ca="1">EFEITO!$J$397*EFEITO!$Y$397</f>
        <v>104891.23482942626</v>
      </c>
      <c r="K397" s="56">
        <f>EFEITO!$L$397*EFEITO!$Z$397</f>
        <v>0</v>
      </c>
      <c r="L397" s="56">
        <f>EFEITO!$N$397*EFEITO!$AA$397</f>
        <v>0</v>
      </c>
      <c r="M397" s="56">
        <f ca="1">$J$397-EFEITO!$K$397*EFEITO!$Y$397</f>
        <v>0</v>
      </c>
      <c r="N397" s="56">
        <f>$K$397-EFEITO!$M$397*EFEITO!$Z$397</f>
        <v>0</v>
      </c>
      <c r="O397" s="56">
        <f>$L$397-EFEITO!$O$397*EFEITO!$AA$397</f>
        <v>0</v>
      </c>
      <c r="P397" s="39"/>
      <c r="Q397" s="39"/>
      <c r="R397" s="39"/>
      <c r="S397" s="39"/>
      <c r="T397" s="39"/>
      <c r="U397" s="39"/>
      <c r="V397" s="39"/>
      <c r="W397" s="3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21</v>
      </c>
      <c r="B398" s="35" t="s">
        <v>33</v>
      </c>
      <c r="C398" s="35" t="s">
        <v>34</v>
      </c>
      <c r="D398" s="35" t="s">
        <v>40</v>
      </c>
      <c r="E398" s="35" t="s">
        <v>25</v>
      </c>
      <c r="F398" s="35" t="s">
        <v>25</v>
      </c>
      <c r="G398" s="35" t="s">
        <v>25</v>
      </c>
      <c r="H398" s="35" t="s">
        <v>25</v>
      </c>
      <c r="I398" s="55">
        <v>44621</v>
      </c>
      <c r="J398" s="56">
        <f ca="1">EFEITO!$J$398*EFEITO!$Y$398</f>
        <v>225788.706910776</v>
      </c>
      <c r="K398" s="56">
        <f>EFEITO!$L$398*EFEITO!$Z$398</f>
        <v>0</v>
      </c>
      <c r="L398" s="56">
        <f>EFEITO!$N$398*EFEITO!$AA$398</f>
        <v>0</v>
      </c>
      <c r="M398" s="56">
        <f ca="1">$J$398-EFEITO!$K$398*EFEITO!$Y$398</f>
        <v>0</v>
      </c>
      <c r="N398" s="56">
        <f>$K$398-EFEITO!$M$398*EFEITO!$Z$398</f>
        <v>0</v>
      </c>
      <c r="O398" s="56">
        <f>$L$398-EFEITO!$O$398*EFEITO!$AA$398</f>
        <v>0</v>
      </c>
      <c r="P398" s="39"/>
      <c r="Q398" s="39"/>
      <c r="R398" s="39"/>
      <c r="S398" s="39"/>
      <c r="T398" s="39"/>
      <c r="U398" s="39"/>
      <c r="V398" s="39"/>
      <c r="W398" s="3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28</v>
      </c>
      <c r="B399" s="35" t="s">
        <v>33</v>
      </c>
      <c r="C399" s="35" t="s">
        <v>34</v>
      </c>
      <c r="D399" s="35" t="s">
        <v>40</v>
      </c>
      <c r="E399" s="35" t="s">
        <v>25</v>
      </c>
      <c r="F399" s="35" t="s">
        <v>25</v>
      </c>
      <c r="G399" s="35" t="s">
        <v>25</v>
      </c>
      <c r="H399" s="35" t="s">
        <v>25</v>
      </c>
      <c r="I399" s="55">
        <v>44621</v>
      </c>
      <c r="J399" s="56">
        <f ca="1">EFEITO!$J$399*EFEITO!$Y$399</f>
        <v>4641.643620010831</v>
      </c>
      <c r="K399" s="56">
        <f>EFEITO!$L$399*EFEITO!$Z$399</f>
        <v>0</v>
      </c>
      <c r="L399" s="56">
        <f>EFEITO!$N$399*EFEITO!$AA$399</f>
        <v>0</v>
      </c>
      <c r="M399" s="56">
        <f ca="1">$J$399-EFEITO!$K$399*EFEITO!$Y$399</f>
        <v>0</v>
      </c>
      <c r="N399" s="56">
        <f>$K$399-EFEITO!$M$399*EFEITO!$Z$399</f>
        <v>0</v>
      </c>
      <c r="O399" s="56">
        <f>$L$399-EFEITO!$O$399*EFEITO!$AA$399</f>
        <v>0</v>
      </c>
      <c r="P399" s="39"/>
      <c r="Q399" s="39"/>
      <c r="R399" s="39"/>
      <c r="S399" s="39"/>
      <c r="T399" s="39"/>
      <c r="U399" s="39"/>
      <c r="V399" s="39"/>
      <c r="W399" s="3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21</v>
      </c>
      <c r="B400" s="35" t="s">
        <v>33</v>
      </c>
      <c r="C400" s="35" t="s">
        <v>34</v>
      </c>
      <c r="D400" s="35" t="s">
        <v>40</v>
      </c>
      <c r="E400" s="35" t="s">
        <v>25</v>
      </c>
      <c r="F400" s="35" t="s">
        <v>25</v>
      </c>
      <c r="G400" s="35" t="s">
        <v>25</v>
      </c>
      <c r="H400" s="35" t="s">
        <v>25</v>
      </c>
      <c r="I400" s="55">
        <v>44621</v>
      </c>
      <c r="J400" s="56">
        <f ca="1">EFEITO!$J$400*EFEITO!$Y$400</f>
        <v>99109.828185284656</v>
      </c>
      <c r="K400" s="56">
        <f>EFEITO!$L$400*EFEITO!$Z$400</f>
        <v>0</v>
      </c>
      <c r="L400" s="56">
        <f>EFEITO!$N$400*EFEITO!$AA$400</f>
        <v>0</v>
      </c>
      <c r="M400" s="56">
        <f ca="1">$J$400-EFEITO!$K$400*EFEITO!$Y$400</f>
        <v>0</v>
      </c>
      <c r="N400" s="56">
        <f>$K$400-EFEITO!$M$400*EFEITO!$Z$400</f>
        <v>0</v>
      </c>
      <c r="O400" s="56">
        <f>$L$400-EFEITO!$O$400*EFEITO!$AA$400</f>
        <v>0</v>
      </c>
      <c r="P400" s="39"/>
      <c r="Q400" s="39"/>
      <c r="R400" s="39"/>
      <c r="S400" s="39"/>
      <c r="T400" s="39"/>
      <c r="U400" s="39"/>
      <c r="V400" s="39"/>
      <c r="W400" s="3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21</v>
      </c>
      <c r="B401" s="35" t="s">
        <v>33</v>
      </c>
      <c r="C401" s="35" t="s">
        <v>34</v>
      </c>
      <c r="D401" s="35" t="s">
        <v>40</v>
      </c>
      <c r="E401" s="35" t="s">
        <v>25</v>
      </c>
      <c r="F401" s="35" t="s">
        <v>25</v>
      </c>
      <c r="G401" s="35" t="s">
        <v>25</v>
      </c>
      <c r="H401" s="35" t="s">
        <v>25</v>
      </c>
      <c r="I401" s="55">
        <v>44652</v>
      </c>
      <c r="J401" s="56">
        <f ca="1">EFEITO!$J$401*EFEITO!$Y$401</f>
        <v>227027.57976309204</v>
      </c>
      <c r="K401" s="56">
        <f>EFEITO!$L$401*EFEITO!$Z$401</f>
        <v>0</v>
      </c>
      <c r="L401" s="56">
        <f>EFEITO!$N$401*EFEITO!$AA$401</f>
        <v>0</v>
      </c>
      <c r="M401" s="56">
        <f ca="1">$J$401-EFEITO!$K$401*EFEITO!$Y$401</f>
        <v>0</v>
      </c>
      <c r="N401" s="56">
        <f>$K$401-EFEITO!$M$401*EFEITO!$Z$401</f>
        <v>0</v>
      </c>
      <c r="O401" s="56">
        <f>$L$401-EFEITO!$O$401*EFEITO!$AA$401</f>
        <v>0</v>
      </c>
      <c r="P401" s="39"/>
      <c r="Q401" s="39"/>
      <c r="R401" s="39"/>
      <c r="S401" s="39"/>
      <c r="T401" s="39"/>
      <c r="U401" s="39"/>
      <c r="V401" s="39"/>
      <c r="W401" s="3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28</v>
      </c>
      <c r="B402" s="35" t="s">
        <v>33</v>
      </c>
      <c r="C402" s="35" t="s">
        <v>34</v>
      </c>
      <c r="D402" s="35" t="s">
        <v>40</v>
      </c>
      <c r="E402" s="35" t="s">
        <v>25</v>
      </c>
      <c r="F402" s="35" t="s">
        <v>25</v>
      </c>
      <c r="G402" s="35" t="s">
        <v>25</v>
      </c>
      <c r="H402" s="35" t="s">
        <v>25</v>
      </c>
      <c r="I402" s="55">
        <v>44652</v>
      </c>
      <c r="J402" s="56">
        <f ca="1">EFEITO!$J$402*EFEITO!$Y$402</f>
        <v>4625.1253153132839</v>
      </c>
      <c r="K402" s="56">
        <f>EFEITO!$L$402*EFEITO!$Z$402</f>
        <v>0</v>
      </c>
      <c r="L402" s="56">
        <f>EFEITO!$N$402*EFEITO!$AA$402</f>
        <v>0</v>
      </c>
      <c r="M402" s="56">
        <f ca="1">$J$402-EFEITO!$K$402*EFEITO!$Y$402</f>
        <v>0</v>
      </c>
      <c r="N402" s="56">
        <f>$K$402-EFEITO!$M$402*EFEITO!$Z$402</f>
        <v>0</v>
      </c>
      <c r="O402" s="56">
        <f>$L$402-EFEITO!$O$402*EFEITO!$AA$402</f>
        <v>0</v>
      </c>
      <c r="P402" s="39"/>
      <c r="Q402" s="39"/>
      <c r="R402" s="39"/>
      <c r="S402" s="39"/>
      <c r="T402" s="39"/>
      <c r="U402" s="39"/>
      <c r="V402" s="39"/>
      <c r="W402" s="3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21</v>
      </c>
      <c r="B403" s="35" t="s">
        <v>33</v>
      </c>
      <c r="C403" s="35" t="s">
        <v>34</v>
      </c>
      <c r="D403" s="35" t="s">
        <v>40</v>
      </c>
      <c r="E403" s="35" t="s">
        <v>25</v>
      </c>
      <c r="F403" s="35" t="s">
        <v>25</v>
      </c>
      <c r="G403" s="35" t="s">
        <v>25</v>
      </c>
      <c r="H403" s="35" t="s">
        <v>25</v>
      </c>
      <c r="I403" s="55">
        <v>44652</v>
      </c>
      <c r="J403" s="56">
        <f ca="1">EFEITO!$J$403*EFEITO!$Y$403</f>
        <v>101504.98236642903</v>
      </c>
      <c r="K403" s="56">
        <f>EFEITO!$L$403*EFEITO!$Z$403</f>
        <v>0</v>
      </c>
      <c r="L403" s="56">
        <f>EFEITO!$N$403*EFEITO!$AA$403</f>
        <v>0</v>
      </c>
      <c r="M403" s="56">
        <f ca="1">$J$403-EFEITO!$K$403*EFEITO!$Y$403</f>
        <v>0</v>
      </c>
      <c r="N403" s="56">
        <f>$K$403-EFEITO!$M$403*EFEITO!$Z$403</f>
        <v>0</v>
      </c>
      <c r="O403" s="56">
        <f>$L$403-EFEITO!$O$403*EFEITO!$AA$403</f>
        <v>0</v>
      </c>
      <c r="P403" s="39"/>
      <c r="Q403" s="39"/>
      <c r="R403" s="39"/>
      <c r="S403" s="39"/>
      <c r="T403" s="39"/>
      <c r="U403" s="39"/>
      <c r="V403" s="39"/>
      <c r="W403" s="3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21</v>
      </c>
      <c r="B404" s="35" t="s">
        <v>33</v>
      </c>
      <c r="C404" s="35" t="s">
        <v>34</v>
      </c>
      <c r="D404" s="35" t="s">
        <v>40</v>
      </c>
      <c r="E404" s="35" t="s">
        <v>25</v>
      </c>
      <c r="F404" s="35" t="s">
        <v>25</v>
      </c>
      <c r="G404" s="35" t="s">
        <v>25</v>
      </c>
      <c r="H404" s="35" t="s">
        <v>25</v>
      </c>
      <c r="I404" s="55">
        <v>44682</v>
      </c>
      <c r="J404" s="56">
        <f ca="1">EFEITO!$J$404*EFEITO!$Y$404</f>
        <v>227721.34856038904</v>
      </c>
      <c r="K404" s="56">
        <f>EFEITO!$L$404*EFEITO!$Z$404</f>
        <v>0</v>
      </c>
      <c r="L404" s="56">
        <f>EFEITO!$N$404*EFEITO!$AA$404</f>
        <v>0</v>
      </c>
      <c r="M404" s="56">
        <f ca="1">$J$404-EFEITO!$K$404*EFEITO!$Y$404</f>
        <v>0</v>
      </c>
      <c r="N404" s="56">
        <f>$K$404-EFEITO!$M$404*EFEITO!$Z$404</f>
        <v>0</v>
      </c>
      <c r="O404" s="56">
        <f>$L$404-EFEITO!$O$404*EFEITO!$AA$404</f>
        <v>0</v>
      </c>
      <c r="P404" s="39"/>
      <c r="Q404" s="39"/>
      <c r="R404" s="39"/>
      <c r="S404" s="39"/>
      <c r="T404" s="39"/>
      <c r="U404" s="39"/>
      <c r="V404" s="39"/>
      <c r="W404" s="3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28</v>
      </c>
      <c r="B405" s="35" t="s">
        <v>33</v>
      </c>
      <c r="C405" s="35" t="s">
        <v>34</v>
      </c>
      <c r="D405" s="35" t="s">
        <v>40</v>
      </c>
      <c r="E405" s="35" t="s">
        <v>25</v>
      </c>
      <c r="F405" s="35" t="s">
        <v>25</v>
      </c>
      <c r="G405" s="35" t="s">
        <v>25</v>
      </c>
      <c r="H405" s="35" t="s">
        <v>25</v>
      </c>
      <c r="I405" s="55">
        <v>44682</v>
      </c>
      <c r="J405" s="56">
        <f ca="1">EFEITO!$J$405*EFEITO!$Y$405</f>
        <v>4889.4181904740426</v>
      </c>
      <c r="K405" s="56">
        <f>EFEITO!$L$405*EFEITO!$Z$405</f>
        <v>0</v>
      </c>
      <c r="L405" s="56">
        <f>EFEITO!$N$405*EFEITO!$AA$405</f>
        <v>0</v>
      </c>
      <c r="M405" s="56">
        <f ca="1">$J$405-EFEITO!$K$405*EFEITO!$Y$405</f>
        <v>0</v>
      </c>
      <c r="N405" s="56">
        <f>$K$405-EFEITO!$M$405*EFEITO!$Z$405</f>
        <v>0</v>
      </c>
      <c r="O405" s="56">
        <f>$L$405-EFEITO!$O$405*EFEITO!$AA$405</f>
        <v>0</v>
      </c>
      <c r="P405" s="39"/>
      <c r="Q405" s="39"/>
      <c r="R405" s="39"/>
      <c r="S405" s="39"/>
      <c r="T405" s="39"/>
      <c r="U405" s="39"/>
      <c r="V405" s="39"/>
      <c r="W405" s="3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21</v>
      </c>
      <c r="B406" s="35" t="s">
        <v>33</v>
      </c>
      <c r="C406" s="35" t="s">
        <v>34</v>
      </c>
      <c r="D406" s="35" t="s">
        <v>40</v>
      </c>
      <c r="E406" s="35" t="s">
        <v>25</v>
      </c>
      <c r="F406" s="35" t="s">
        <v>25</v>
      </c>
      <c r="G406" s="35" t="s">
        <v>25</v>
      </c>
      <c r="H406" s="35" t="s">
        <v>25</v>
      </c>
      <c r="I406" s="55">
        <v>44682</v>
      </c>
      <c r="J406" s="56">
        <f ca="1">EFEITO!$J$406*EFEITO!$Y$406</f>
        <v>99109.828185284656</v>
      </c>
      <c r="K406" s="56">
        <f>EFEITO!$L$406*EFEITO!$Z$406</f>
        <v>0</v>
      </c>
      <c r="L406" s="56">
        <f>EFEITO!$N$406*EFEITO!$AA$406</f>
        <v>0</v>
      </c>
      <c r="M406" s="56">
        <f ca="1">$J$406-EFEITO!$K$406*EFEITO!$Y$406</f>
        <v>0</v>
      </c>
      <c r="N406" s="56">
        <f>$K$406-EFEITO!$M$406*EFEITO!$Z$406</f>
        <v>0</v>
      </c>
      <c r="O406" s="56">
        <f>$L$406-EFEITO!$O$406*EFEITO!$AA$406</f>
        <v>0</v>
      </c>
      <c r="P406" s="39"/>
      <c r="Q406" s="39"/>
      <c r="R406" s="39"/>
      <c r="S406" s="39"/>
      <c r="T406" s="39"/>
      <c r="U406" s="39"/>
      <c r="V406" s="39"/>
      <c r="W406" s="3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21</v>
      </c>
      <c r="B407" s="35" t="s">
        <v>33</v>
      </c>
      <c r="C407" s="35" t="s">
        <v>34</v>
      </c>
      <c r="D407" s="35" t="s">
        <v>40</v>
      </c>
      <c r="E407" s="35" t="s">
        <v>25</v>
      </c>
      <c r="F407" s="35" t="s">
        <v>25</v>
      </c>
      <c r="G407" s="35" t="s">
        <v>25</v>
      </c>
      <c r="H407" s="35" t="s">
        <v>37</v>
      </c>
      <c r="I407" s="55">
        <v>44348</v>
      </c>
      <c r="J407" s="56">
        <f>EFEITO!$J$407*EFEITO!$Y$407</f>
        <v>0</v>
      </c>
      <c r="K407" s="56">
        <f ca="1">EFEITO!$L$407*EFEITO!$Z$407</f>
        <v>167554.92076490595</v>
      </c>
      <c r="L407" s="56">
        <f>EFEITO!$N$407*EFEITO!$AA$407</f>
        <v>60664.364332271747</v>
      </c>
      <c r="M407" s="56">
        <f>$J$407-EFEITO!$K$407*EFEITO!$Y$407</f>
        <v>0</v>
      </c>
      <c r="N407" s="56">
        <f ca="1">$K$407-EFEITO!$M$407*EFEITO!$Z$407</f>
        <v>0</v>
      </c>
      <c r="O407" s="56">
        <f>$L$407-EFEITO!$O$407*EFEITO!$AA$407</f>
        <v>0</v>
      </c>
      <c r="P407" s="39"/>
      <c r="Q407" s="39"/>
      <c r="R407" s="39"/>
      <c r="S407" s="39"/>
      <c r="T407" s="39"/>
      <c r="U407" s="39"/>
      <c r="V407" s="39"/>
      <c r="W407" s="3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33</v>
      </c>
      <c r="C408" s="35" t="s">
        <v>34</v>
      </c>
      <c r="D408" s="35" t="s">
        <v>40</v>
      </c>
      <c r="E408" s="35" t="s">
        <v>25</v>
      </c>
      <c r="F408" s="35" t="s">
        <v>25</v>
      </c>
      <c r="G408" s="35" t="s">
        <v>25</v>
      </c>
      <c r="H408" s="35" t="s">
        <v>37</v>
      </c>
      <c r="I408" s="55">
        <v>44348</v>
      </c>
      <c r="J408" s="56">
        <f>EFEITO!$J$408*EFEITO!$Y$408</f>
        <v>0</v>
      </c>
      <c r="K408" s="56">
        <f ca="1">EFEITO!$L$408*EFEITO!$Z$408</f>
        <v>76471.579771925157</v>
      </c>
      <c r="L408" s="56">
        <f>EFEITO!$N$408*EFEITO!$AA$408</f>
        <v>0</v>
      </c>
      <c r="M408" s="56">
        <f>$J$408-EFEITO!$K$408*EFEITO!$Y$408</f>
        <v>0</v>
      </c>
      <c r="N408" s="56">
        <f ca="1">$K$408-EFEITO!$M$408*EFEITO!$Z$408</f>
        <v>0</v>
      </c>
      <c r="O408" s="56">
        <f>$L$408-EFEITO!$O$408*EFEITO!$AA$408</f>
        <v>0</v>
      </c>
      <c r="P408" s="39"/>
      <c r="Q408" s="39"/>
      <c r="R408" s="39"/>
      <c r="S408" s="39"/>
      <c r="T408" s="39"/>
      <c r="U408" s="39"/>
      <c r="V408" s="39"/>
      <c r="W408" s="3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21</v>
      </c>
      <c r="B409" s="35" t="s">
        <v>33</v>
      </c>
      <c r="C409" s="35" t="s">
        <v>34</v>
      </c>
      <c r="D409" s="35" t="s">
        <v>40</v>
      </c>
      <c r="E409" s="35" t="s">
        <v>25</v>
      </c>
      <c r="F409" s="35" t="s">
        <v>25</v>
      </c>
      <c r="G409" s="35" t="s">
        <v>25</v>
      </c>
      <c r="H409" s="35" t="s">
        <v>37</v>
      </c>
      <c r="I409" s="55">
        <v>44378</v>
      </c>
      <c r="J409" s="56">
        <f>EFEITO!$J$409*EFEITO!$Y$409</f>
        <v>0</v>
      </c>
      <c r="K409" s="56">
        <f ca="1">EFEITO!$L$409*EFEITO!$Z$409</f>
        <v>172134.70941060793</v>
      </c>
      <c r="L409" s="56">
        <f>EFEITO!$N$409*EFEITO!$AA$409</f>
        <v>62322.507021840887</v>
      </c>
      <c r="M409" s="56">
        <f>$J$409-EFEITO!$K$409*EFEITO!$Y$409</f>
        <v>0</v>
      </c>
      <c r="N409" s="56">
        <f ca="1">$K$409-EFEITO!$M$409*EFEITO!$Z$409</f>
        <v>0</v>
      </c>
      <c r="O409" s="56">
        <f>$L$409-EFEITO!$O$409*EFEITO!$AA$409</f>
        <v>0</v>
      </c>
      <c r="P409" s="39"/>
      <c r="Q409" s="39"/>
      <c r="R409" s="39"/>
      <c r="S409" s="39"/>
      <c r="T409" s="39"/>
      <c r="U409" s="39"/>
      <c r="V409" s="39"/>
      <c r="W409" s="3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21</v>
      </c>
      <c r="B410" s="35" t="s">
        <v>33</v>
      </c>
      <c r="C410" s="35" t="s">
        <v>34</v>
      </c>
      <c r="D410" s="35" t="s">
        <v>40</v>
      </c>
      <c r="E410" s="35" t="s">
        <v>25</v>
      </c>
      <c r="F410" s="35" t="s">
        <v>25</v>
      </c>
      <c r="G410" s="35" t="s">
        <v>25</v>
      </c>
      <c r="H410" s="35" t="s">
        <v>37</v>
      </c>
      <c r="I410" s="55">
        <v>44378</v>
      </c>
      <c r="J410" s="56">
        <f>EFEITO!$J$410*EFEITO!$Y$410</f>
        <v>0</v>
      </c>
      <c r="K410" s="56">
        <f ca="1">EFEITO!$L$410*EFEITO!$Z$410</f>
        <v>71492.850838687707</v>
      </c>
      <c r="L410" s="56">
        <f>EFEITO!$N$410*EFEITO!$AA$410</f>
        <v>0</v>
      </c>
      <c r="M410" s="56">
        <f>$J$410-EFEITO!$K$410*EFEITO!$Y$410</f>
        <v>0</v>
      </c>
      <c r="N410" s="56">
        <f ca="1">$K$410-EFEITO!$M$410*EFEITO!$Z$410</f>
        <v>0</v>
      </c>
      <c r="O410" s="56">
        <f>$L$410-EFEITO!$O$410*EFEITO!$AA$410</f>
        <v>0</v>
      </c>
      <c r="P410" s="39"/>
      <c r="Q410" s="39"/>
      <c r="R410" s="39"/>
      <c r="S410" s="39"/>
      <c r="T410" s="39"/>
      <c r="U410" s="39"/>
      <c r="V410" s="39"/>
      <c r="W410" s="3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21</v>
      </c>
      <c r="B411" s="35" t="s">
        <v>33</v>
      </c>
      <c r="C411" s="35" t="s">
        <v>34</v>
      </c>
      <c r="D411" s="35" t="s">
        <v>40</v>
      </c>
      <c r="E411" s="35" t="s">
        <v>25</v>
      </c>
      <c r="F411" s="35" t="s">
        <v>25</v>
      </c>
      <c r="G411" s="35" t="s">
        <v>25</v>
      </c>
      <c r="H411" s="35" t="s">
        <v>37</v>
      </c>
      <c r="I411" s="55">
        <v>44409</v>
      </c>
      <c r="J411" s="56">
        <f>EFEITO!$J$411*EFEITO!$Y$411</f>
        <v>0</v>
      </c>
      <c r="K411" s="56">
        <f ca="1">EFEITO!$L$411*EFEITO!$Z$411</f>
        <v>189423.26825061577</v>
      </c>
      <c r="L411" s="56">
        <f>EFEITO!$N$411*EFEITO!$AA$411</f>
        <v>68581.943793153085</v>
      </c>
      <c r="M411" s="56">
        <f>$J$411-EFEITO!$K$411*EFEITO!$Y$411</f>
        <v>0</v>
      </c>
      <c r="N411" s="56">
        <f ca="1">$K$411-EFEITO!$M$411*EFEITO!$Z$411</f>
        <v>0</v>
      </c>
      <c r="O411" s="56">
        <f>$L$411-EFEITO!$O$411*EFEITO!$AA$411</f>
        <v>0</v>
      </c>
      <c r="P411" s="39"/>
      <c r="Q411" s="39"/>
      <c r="R411" s="39"/>
      <c r="S411" s="39"/>
      <c r="T411" s="39"/>
      <c r="U411" s="39"/>
      <c r="V411" s="39"/>
      <c r="W411" s="3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21</v>
      </c>
      <c r="B412" s="35" t="s">
        <v>33</v>
      </c>
      <c r="C412" s="35" t="s">
        <v>34</v>
      </c>
      <c r="D412" s="35" t="s">
        <v>40</v>
      </c>
      <c r="E412" s="35" t="s">
        <v>25</v>
      </c>
      <c r="F412" s="35" t="s">
        <v>25</v>
      </c>
      <c r="G412" s="35" t="s">
        <v>25</v>
      </c>
      <c r="H412" s="35" t="s">
        <v>37</v>
      </c>
      <c r="I412" s="55">
        <v>44409</v>
      </c>
      <c r="J412" s="56">
        <f>EFEITO!$J$412*EFEITO!$Y$412</f>
        <v>0</v>
      </c>
      <c r="K412" s="56">
        <f ca="1">EFEITO!$L$412*EFEITO!$Z$412</f>
        <v>62023.750910402792</v>
      </c>
      <c r="L412" s="56">
        <f>EFEITO!$N$412*EFEITO!$AA$412</f>
        <v>0</v>
      </c>
      <c r="M412" s="56">
        <f>$J$412-EFEITO!$K$412*EFEITO!$Y$412</f>
        <v>0</v>
      </c>
      <c r="N412" s="56">
        <f ca="1">$K$412-EFEITO!$M$412*EFEITO!$Z$412</f>
        <v>0</v>
      </c>
      <c r="O412" s="56">
        <f>$L$412-EFEITO!$O$412*EFEITO!$AA$412</f>
        <v>0</v>
      </c>
      <c r="P412" s="39"/>
      <c r="Q412" s="39"/>
      <c r="R412" s="39"/>
      <c r="S412" s="39"/>
      <c r="T412" s="39"/>
      <c r="U412" s="39"/>
      <c r="V412" s="39"/>
      <c r="W412" s="3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21</v>
      </c>
      <c r="B413" s="35" t="s">
        <v>33</v>
      </c>
      <c r="C413" s="35" t="s">
        <v>34</v>
      </c>
      <c r="D413" s="35" t="s">
        <v>40</v>
      </c>
      <c r="E413" s="35" t="s">
        <v>25</v>
      </c>
      <c r="F413" s="35" t="s">
        <v>25</v>
      </c>
      <c r="G413" s="35" t="s">
        <v>25</v>
      </c>
      <c r="H413" s="35" t="s">
        <v>37</v>
      </c>
      <c r="I413" s="55">
        <v>44440</v>
      </c>
      <c r="J413" s="56">
        <f>EFEITO!$J$413*EFEITO!$Y$413</f>
        <v>0</v>
      </c>
      <c r="K413" s="56">
        <f ca="1">EFEITO!$L$413*EFEITO!$Z$413</f>
        <v>167718.85312443922</v>
      </c>
      <c r="L413" s="56">
        <f>EFEITO!$N$413*EFEITO!$AA$413</f>
        <v>60723.717124414019</v>
      </c>
      <c r="M413" s="56">
        <f>$J$413-EFEITO!$K$413*EFEITO!$Y$413</f>
        <v>0</v>
      </c>
      <c r="N413" s="56">
        <f ca="1">$K$413-EFEITO!$M$413*EFEITO!$Z$413</f>
        <v>0</v>
      </c>
      <c r="O413" s="56">
        <f>$L$413-EFEITO!$O$413*EFEITO!$AA$413</f>
        <v>0</v>
      </c>
      <c r="P413" s="39"/>
      <c r="Q413" s="39"/>
      <c r="R413" s="39"/>
      <c r="S413" s="39"/>
      <c r="T413" s="39"/>
      <c r="U413" s="39"/>
      <c r="V413" s="39"/>
      <c r="W413" s="3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21</v>
      </c>
      <c r="B414" s="35" t="s">
        <v>33</v>
      </c>
      <c r="C414" s="35" t="s">
        <v>34</v>
      </c>
      <c r="D414" s="35" t="s">
        <v>40</v>
      </c>
      <c r="E414" s="35" t="s">
        <v>25</v>
      </c>
      <c r="F414" s="35" t="s">
        <v>25</v>
      </c>
      <c r="G414" s="35" t="s">
        <v>25</v>
      </c>
      <c r="H414" s="35" t="s">
        <v>37</v>
      </c>
      <c r="I414" s="55">
        <v>44440</v>
      </c>
      <c r="J414" s="56">
        <f>EFEITO!$J$414*EFEITO!$Y$414</f>
        <v>0</v>
      </c>
      <c r="K414" s="56">
        <f ca="1">EFEITO!$L$414*EFEITO!$Z$414</f>
        <v>148304.90551118195</v>
      </c>
      <c r="L414" s="56">
        <f>EFEITO!$N$414*EFEITO!$AA$414</f>
        <v>0</v>
      </c>
      <c r="M414" s="56">
        <f>$J$414-EFEITO!$K$414*EFEITO!$Y$414</f>
        <v>0</v>
      </c>
      <c r="N414" s="56">
        <f ca="1">$K$414-EFEITO!$M$414*EFEITO!$Z$414</f>
        <v>0</v>
      </c>
      <c r="O414" s="56">
        <f>$L$414-EFEITO!$O$414*EFEITO!$AA$414</f>
        <v>0</v>
      </c>
      <c r="P414" s="39"/>
      <c r="Q414" s="39"/>
      <c r="R414" s="39"/>
      <c r="S414" s="39"/>
      <c r="T414" s="39"/>
      <c r="U414" s="39"/>
      <c r="V414" s="39"/>
      <c r="W414" s="3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21</v>
      </c>
      <c r="B415" s="35" t="s">
        <v>33</v>
      </c>
      <c r="C415" s="35" t="s">
        <v>34</v>
      </c>
      <c r="D415" s="35" t="s">
        <v>40</v>
      </c>
      <c r="E415" s="35" t="s">
        <v>25</v>
      </c>
      <c r="F415" s="35" t="s">
        <v>25</v>
      </c>
      <c r="G415" s="35" t="s">
        <v>25</v>
      </c>
      <c r="H415" s="35" t="s">
        <v>37</v>
      </c>
      <c r="I415" s="55">
        <v>44470</v>
      </c>
      <c r="J415" s="56">
        <f>EFEITO!$J$415*EFEITO!$Y$415</f>
        <v>0</v>
      </c>
      <c r="K415" s="56">
        <f ca="1">EFEITO!$L$415*EFEITO!$Z$415</f>
        <v>150870.50425688433</v>
      </c>
      <c r="L415" s="56">
        <f>EFEITO!$N$415*EFEITO!$AA$415</f>
        <v>54623.661277455903</v>
      </c>
      <c r="M415" s="56">
        <f>$J$415-EFEITO!$K$415*EFEITO!$Y$415</f>
        <v>0</v>
      </c>
      <c r="N415" s="56">
        <f ca="1">$K$415-EFEITO!$M$415*EFEITO!$Z$415</f>
        <v>0</v>
      </c>
      <c r="O415" s="56">
        <f>$L$415-EFEITO!$O$415*EFEITO!$AA$415</f>
        <v>0</v>
      </c>
      <c r="P415" s="39"/>
      <c r="Q415" s="39"/>
      <c r="R415" s="39"/>
      <c r="S415" s="39"/>
      <c r="T415" s="39"/>
      <c r="U415" s="39"/>
      <c r="V415" s="39"/>
      <c r="W415" s="3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21</v>
      </c>
      <c r="B416" s="35" t="s">
        <v>33</v>
      </c>
      <c r="C416" s="35" t="s">
        <v>34</v>
      </c>
      <c r="D416" s="35" t="s">
        <v>40</v>
      </c>
      <c r="E416" s="35" t="s">
        <v>25</v>
      </c>
      <c r="F416" s="35" t="s">
        <v>25</v>
      </c>
      <c r="G416" s="35" t="s">
        <v>25</v>
      </c>
      <c r="H416" s="35" t="s">
        <v>37</v>
      </c>
      <c r="I416" s="55">
        <v>44470</v>
      </c>
      <c r="J416" s="56">
        <f>EFEITO!$J$416*EFEITO!$Y$416</f>
        <v>0</v>
      </c>
      <c r="K416" s="56">
        <f ca="1">EFEITO!$L$416*EFEITO!$Z$416</f>
        <v>137996.6553229086</v>
      </c>
      <c r="L416" s="56">
        <f>EFEITO!$N$416*EFEITO!$AA$416</f>
        <v>0</v>
      </c>
      <c r="M416" s="56">
        <f>$J$416-EFEITO!$K$416*EFEITO!$Y$416</f>
        <v>0</v>
      </c>
      <c r="N416" s="56">
        <f ca="1">$K$416-EFEITO!$M$416*EFEITO!$Z$416</f>
        <v>0</v>
      </c>
      <c r="O416" s="56">
        <f>$L$416-EFEITO!$O$416*EFEITO!$AA$416</f>
        <v>0</v>
      </c>
      <c r="P416" s="39"/>
      <c r="Q416" s="39"/>
      <c r="R416" s="39"/>
      <c r="S416" s="39"/>
      <c r="T416" s="39"/>
      <c r="U416" s="39"/>
      <c r="V416" s="39"/>
      <c r="W416" s="3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21</v>
      </c>
      <c r="B417" s="35" t="s">
        <v>33</v>
      </c>
      <c r="C417" s="35" t="s">
        <v>34</v>
      </c>
      <c r="D417" s="35" t="s">
        <v>40</v>
      </c>
      <c r="E417" s="35" t="s">
        <v>25</v>
      </c>
      <c r="F417" s="35" t="s">
        <v>25</v>
      </c>
      <c r="G417" s="35" t="s">
        <v>25</v>
      </c>
      <c r="H417" s="35" t="s">
        <v>37</v>
      </c>
      <c r="I417" s="55">
        <v>44501</v>
      </c>
      <c r="J417" s="56">
        <f>EFEITO!$J$417*EFEITO!$Y$417</f>
        <v>0</v>
      </c>
      <c r="K417" s="56">
        <f ca="1">EFEITO!$L$417*EFEITO!$Z$417</f>
        <v>152794.13012609282</v>
      </c>
      <c r="L417" s="56">
        <f>EFEITO!$N$417*EFEITO!$AA$417</f>
        <v>55320.122712523997</v>
      </c>
      <c r="M417" s="56">
        <f>$J$417-EFEITO!$K$417*EFEITO!$Y$417</f>
        <v>0</v>
      </c>
      <c r="N417" s="56">
        <f ca="1">$K$417-EFEITO!$M$417*EFEITO!$Z$417</f>
        <v>0</v>
      </c>
      <c r="O417" s="56">
        <f>$L$417-EFEITO!$O$417*EFEITO!$AA$417</f>
        <v>0</v>
      </c>
      <c r="P417" s="39"/>
      <c r="Q417" s="39"/>
      <c r="R417" s="39"/>
      <c r="S417" s="39"/>
      <c r="T417" s="39"/>
      <c r="U417" s="39"/>
      <c r="V417" s="39"/>
      <c r="W417" s="3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21</v>
      </c>
      <c r="B418" s="35" t="s">
        <v>33</v>
      </c>
      <c r="C418" s="35" t="s">
        <v>34</v>
      </c>
      <c r="D418" s="35" t="s">
        <v>40</v>
      </c>
      <c r="E418" s="35" t="s">
        <v>25</v>
      </c>
      <c r="F418" s="35" t="s">
        <v>25</v>
      </c>
      <c r="G418" s="35" t="s">
        <v>25</v>
      </c>
      <c r="H418" s="35" t="s">
        <v>37</v>
      </c>
      <c r="I418" s="55">
        <v>44501</v>
      </c>
      <c r="J418" s="56">
        <f>EFEITO!$J$418*EFEITO!$Y$418</f>
        <v>0</v>
      </c>
      <c r="K418" s="56">
        <f ca="1">EFEITO!$L$418*EFEITO!$Z$418</f>
        <v>115277.69377584438</v>
      </c>
      <c r="L418" s="56">
        <f>EFEITO!$N$418*EFEITO!$AA$418</f>
        <v>0</v>
      </c>
      <c r="M418" s="56">
        <f>$J$418-EFEITO!$K$418*EFEITO!$Y$418</f>
        <v>0</v>
      </c>
      <c r="N418" s="56">
        <f ca="1">$K$418-EFEITO!$M$418*EFEITO!$Z$418</f>
        <v>0</v>
      </c>
      <c r="O418" s="56">
        <f>$L$418-EFEITO!$O$418*EFEITO!$AA$418</f>
        <v>0</v>
      </c>
      <c r="P418" s="39"/>
      <c r="Q418" s="39"/>
      <c r="R418" s="39"/>
      <c r="S418" s="39"/>
      <c r="T418" s="39"/>
      <c r="U418" s="39"/>
      <c r="V418" s="39"/>
      <c r="W418" s="3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21</v>
      </c>
      <c r="B419" s="35" t="s">
        <v>33</v>
      </c>
      <c r="C419" s="35" t="s">
        <v>34</v>
      </c>
      <c r="D419" s="35" t="s">
        <v>40</v>
      </c>
      <c r="E419" s="35" t="s">
        <v>25</v>
      </c>
      <c r="F419" s="35" t="s">
        <v>25</v>
      </c>
      <c r="G419" s="35" t="s">
        <v>25</v>
      </c>
      <c r="H419" s="35" t="s">
        <v>37</v>
      </c>
      <c r="I419" s="55">
        <v>44531</v>
      </c>
      <c r="J419" s="56">
        <f>EFEITO!$J$419*EFEITO!$Y$419</f>
        <v>0</v>
      </c>
      <c r="K419" s="56">
        <f ca="1">EFEITO!$L$419*EFEITO!$Z$419</f>
        <v>146683.92399803488</v>
      </c>
      <c r="L419" s="56">
        <f>EFEITO!$N$419*EFEITO!$AA$419</f>
        <v>53107.882278130121</v>
      </c>
      <c r="M419" s="56">
        <f>$J$419-EFEITO!$K$419*EFEITO!$Y$419</f>
        <v>0</v>
      </c>
      <c r="N419" s="56">
        <f ca="1">$K$419-EFEITO!$M$419*EFEITO!$Z$419</f>
        <v>0</v>
      </c>
      <c r="O419" s="56">
        <f>$L$419-EFEITO!$O$419*EFEITO!$AA$419</f>
        <v>0</v>
      </c>
      <c r="P419" s="39"/>
      <c r="Q419" s="39"/>
      <c r="R419" s="39"/>
      <c r="S419" s="39"/>
      <c r="T419" s="39"/>
      <c r="U419" s="39"/>
      <c r="V419" s="39"/>
      <c r="W419" s="3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28</v>
      </c>
      <c r="B420" s="35" t="s">
        <v>33</v>
      </c>
      <c r="C420" s="35" t="s">
        <v>34</v>
      </c>
      <c r="D420" s="35" t="s">
        <v>40</v>
      </c>
      <c r="E420" s="35" t="s">
        <v>25</v>
      </c>
      <c r="F420" s="35" t="s">
        <v>25</v>
      </c>
      <c r="G420" s="35" t="s">
        <v>25</v>
      </c>
      <c r="H420" s="35" t="s">
        <v>37</v>
      </c>
      <c r="I420" s="55">
        <v>44531</v>
      </c>
      <c r="J420" s="56">
        <f>EFEITO!$J$420*EFEITO!$Y$420</f>
        <v>0</v>
      </c>
      <c r="K420" s="56">
        <f ca="1">EFEITO!$L$420*EFEITO!$Z$420</f>
        <v>811.63713671013556</v>
      </c>
      <c r="L420" s="56">
        <f>EFEITO!$N$420*EFEITO!$AA$420</f>
        <v>293.85857927783519</v>
      </c>
      <c r="M420" s="56">
        <f>$J$420-EFEITO!$K$420*EFEITO!$Y$420</f>
        <v>0</v>
      </c>
      <c r="N420" s="56">
        <f ca="1">$K$420-EFEITO!$M$420*EFEITO!$Z$420</f>
        <v>0</v>
      </c>
      <c r="O420" s="56">
        <f>$L$420-EFEITO!$O$420*EFEITO!$AA$420</f>
        <v>0</v>
      </c>
      <c r="P420" s="39"/>
      <c r="Q420" s="39"/>
      <c r="R420" s="39"/>
      <c r="S420" s="39"/>
      <c r="T420" s="39"/>
      <c r="U420" s="39"/>
      <c r="V420" s="39"/>
      <c r="W420" s="3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21</v>
      </c>
      <c r="B421" s="35" t="s">
        <v>33</v>
      </c>
      <c r="C421" s="35" t="s">
        <v>34</v>
      </c>
      <c r="D421" s="35" t="s">
        <v>40</v>
      </c>
      <c r="E421" s="35" t="s">
        <v>25</v>
      </c>
      <c r="F421" s="35" t="s">
        <v>25</v>
      </c>
      <c r="G421" s="35" t="s">
        <v>25</v>
      </c>
      <c r="H421" s="35" t="s">
        <v>37</v>
      </c>
      <c r="I421" s="55">
        <v>44531</v>
      </c>
      <c r="J421" s="56">
        <f>EFEITO!$J$421*EFEITO!$Y$421</f>
        <v>0</v>
      </c>
      <c r="K421" s="56">
        <f ca="1">EFEITO!$L$421*EFEITO!$Z$421</f>
        <v>155813.69540588732</v>
      </c>
      <c r="L421" s="56">
        <f>EFEITO!$N$421*EFEITO!$AA$421</f>
        <v>0</v>
      </c>
      <c r="M421" s="56">
        <f>$J$421-EFEITO!$K$421*EFEITO!$Y$421</f>
        <v>0</v>
      </c>
      <c r="N421" s="56">
        <f ca="1">$K$421-EFEITO!$M$421*EFEITO!$Z$421</f>
        <v>0</v>
      </c>
      <c r="O421" s="56">
        <f>$L$421-EFEITO!$O$421*EFEITO!$AA$421</f>
        <v>0</v>
      </c>
      <c r="P421" s="39"/>
      <c r="Q421" s="39"/>
      <c r="R421" s="39"/>
      <c r="S421" s="39"/>
      <c r="T421" s="39"/>
      <c r="U421" s="39"/>
      <c r="V421" s="39"/>
      <c r="W421" s="3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21</v>
      </c>
      <c r="B422" s="35" t="s">
        <v>33</v>
      </c>
      <c r="C422" s="35" t="s">
        <v>34</v>
      </c>
      <c r="D422" s="35" t="s">
        <v>40</v>
      </c>
      <c r="E422" s="35" t="s">
        <v>25</v>
      </c>
      <c r="F422" s="35" t="s">
        <v>25</v>
      </c>
      <c r="G422" s="35" t="s">
        <v>25</v>
      </c>
      <c r="H422" s="35" t="s">
        <v>37</v>
      </c>
      <c r="I422" s="55">
        <v>44562</v>
      </c>
      <c r="J422" s="56">
        <f>EFEITO!$J$422*EFEITO!$Y$422</f>
        <v>0</v>
      </c>
      <c r="K422" s="56">
        <f ca="1">EFEITO!$L$422*EFEITO!$Z$422</f>
        <v>145673.96309769357</v>
      </c>
      <c r="L422" s="56">
        <f>EFEITO!$N$422*EFEITO!$AA$422</f>
        <v>52742.219271994851</v>
      </c>
      <c r="M422" s="56">
        <f>$J$422-EFEITO!$K$422*EFEITO!$Y$422</f>
        <v>0</v>
      </c>
      <c r="N422" s="56">
        <f ca="1">$K$422-EFEITO!$M$422*EFEITO!$Z$422</f>
        <v>0</v>
      </c>
      <c r="O422" s="56">
        <f>$L$422-EFEITO!$O$422*EFEITO!$AA$422</f>
        <v>0</v>
      </c>
      <c r="P422" s="39"/>
      <c r="Q422" s="39"/>
      <c r="R422" s="39"/>
      <c r="S422" s="39"/>
      <c r="T422" s="39"/>
      <c r="U422" s="39"/>
      <c r="V422" s="39"/>
      <c r="W422" s="3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28</v>
      </c>
      <c r="B423" s="35" t="s">
        <v>33</v>
      </c>
      <c r="C423" s="35" t="s">
        <v>34</v>
      </c>
      <c r="D423" s="35" t="s">
        <v>40</v>
      </c>
      <c r="E423" s="35" t="s">
        <v>25</v>
      </c>
      <c r="F423" s="35" t="s">
        <v>25</v>
      </c>
      <c r="G423" s="35" t="s">
        <v>25</v>
      </c>
      <c r="H423" s="35" t="s">
        <v>37</v>
      </c>
      <c r="I423" s="55">
        <v>44562</v>
      </c>
      <c r="J423" s="56">
        <f>EFEITO!$J$423*EFEITO!$Y$423</f>
        <v>0</v>
      </c>
      <c r="K423" s="56">
        <f ca="1">EFEITO!$L$423*EFEITO!$Z$423</f>
        <v>459.69843477509096</v>
      </c>
      <c r="L423" s="56">
        <f>EFEITO!$N$423*EFEITO!$AA$423</f>
        <v>166.43685069267224</v>
      </c>
      <c r="M423" s="56">
        <f>$J$423-EFEITO!$K$423*EFEITO!$Y$423</f>
        <v>0</v>
      </c>
      <c r="N423" s="56">
        <f ca="1">$K$423-EFEITO!$M$423*EFEITO!$Z$423</f>
        <v>0</v>
      </c>
      <c r="O423" s="56">
        <f>$L$423-EFEITO!$O$423*EFEITO!$AA$423</f>
        <v>0</v>
      </c>
      <c r="P423" s="39"/>
      <c r="Q423" s="39"/>
      <c r="R423" s="39"/>
      <c r="S423" s="39"/>
      <c r="T423" s="39"/>
      <c r="U423" s="39"/>
      <c r="V423" s="39"/>
      <c r="W423" s="3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21</v>
      </c>
      <c r="B424" s="35" t="s">
        <v>33</v>
      </c>
      <c r="C424" s="35" t="s">
        <v>34</v>
      </c>
      <c r="D424" s="35" t="s">
        <v>40</v>
      </c>
      <c r="E424" s="35" t="s">
        <v>25</v>
      </c>
      <c r="F424" s="35" t="s">
        <v>25</v>
      </c>
      <c r="G424" s="35" t="s">
        <v>25</v>
      </c>
      <c r="H424" s="35" t="s">
        <v>37</v>
      </c>
      <c r="I424" s="55">
        <v>44562</v>
      </c>
      <c r="J424" s="56">
        <f>EFEITO!$J$424*EFEITO!$Y$424</f>
        <v>0</v>
      </c>
      <c r="K424" s="56">
        <f ca="1">EFEITO!$L$424*EFEITO!$Z$424</f>
        <v>103512.3944339572</v>
      </c>
      <c r="L424" s="56">
        <f>EFEITO!$N$424*EFEITO!$AA$424</f>
        <v>0</v>
      </c>
      <c r="M424" s="56">
        <f>$J$424-EFEITO!$K$424*EFEITO!$Y$424</f>
        <v>0</v>
      </c>
      <c r="N424" s="56">
        <f ca="1">$K$424-EFEITO!$M$424*EFEITO!$Z$424</f>
        <v>0</v>
      </c>
      <c r="O424" s="56">
        <f>$L$424-EFEITO!$O$424*EFEITO!$AA$424</f>
        <v>0</v>
      </c>
      <c r="P424" s="39"/>
      <c r="Q424" s="39"/>
      <c r="R424" s="39"/>
      <c r="S424" s="39"/>
      <c r="T424" s="39"/>
      <c r="U424" s="39"/>
      <c r="V424" s="39"/>
      <c r="W424" s="3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21</v>
      </c>
      <c r="B425" s="35" t="s">
        <v>33</v>
      </c>
      <c r="C425" s="35" t="s">
        <v>34</v>
      </c>
      <c r="D425" s="35" t="s">
        <v>40</v>
      </c>
      <c r="E425" s="35" t="s">
        <v>25</v>
      </c>
      <c r="F425" s="35" t="s">
        <v>25</v>
      </c>
      <c r="G425" s="35" t="s">
        <v>25</v>
      </c>
      <c r="H425" s="35" t="s">
        <v>37</v>
      </c>
      <c r="I425" s="55">
        <v>44593</v>
      </c>
      <c r="J425" s="56">
        <f>EFEITO!$J$425*EFEITO!$Y$425</f>
        <v>0</v>
      </c>
      <c r="K425" s="56">
        <f ca="1">EFEITO!$L$425*EFEITO!$Z$425</f>
        <v>143509.59739979991</v>
      </c>
      <c r="L425" s="56">
        <f>EFEITO!$N$425*EFEITO!$AA$425</f>
        <v>51958.596393920627</v>
      </c>
      <c r="M425" s="56">
        <f>$J$425-EFEITO!$K$425*EFEITO!$Y$425</f>
        <v>0</v>
      </c>
      <c r="N425" s="56">
        <f ca="1">$K$425-EFEITO!$M$425*EFEITO!$Z$425</f>
        <v>0</v>
      </c>
      <c r="O425" s="56">
        <f>$L$425-EFEITO!$O$425*EFEITO!$AA$425</f>
        <v>0</v>
      </c>
      <c r="P425" s="39"/>
      <c r="Q425" s="39"/>
      <c r="R425" s="39"/>
      <c r="S425" s="39"/>
      <c r="T425" s="39"/>
      <c r="U425" s="39"/>
      <c r="V425" s="39"/>
      <c r="W425" s="3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28</v>
      </c>
      <c r="B426" s="35" t="s">
        <v>33</v>
      </c>
      <c r="C426" s="35" t="s">
        <v>34</v>
      </c>
      <c r="D426" s="35" t="s">
        <v>40</v>
      </c>
      <c r="E426" s="35" t="s">
        <v>25</v>
      </c>
      <c r="F426" s="35" t="s">
        <v>25</v>
      </c>
      <c r="G426" s="35" t="s">
        <v>25</v>
      </c>
      <c r="H426" s="35" t="s">
        <v>37</v>
      </c>
      <c r="I426" s="55">
        <v>44593</v>
      </c>
      <c r="J426" s="56">
        <f>EFEITO!$J$426*EFEITO!$Y$426</f>
        <v>0</v>
      </c>
      <c r="K426" s="56">
        <f ca="1">EFEITO!$L$426*EFEITO!$Z$426</f>
        <v>394.35476698910543</v>
      </c>
      <c r="L426" s="56">
        <f>EFEITO!$N$426*EFEITO!$AA$426</f>
        <v>142.77874473386345</v>
      </c>
      <c r="M426" s="56">
        <f>$J$426-EFEITO!$K$426*EFEITO!$Y$426</f>
        <v>0</v>
      </c>
      <c r="N426" s="56">
        <f ca="1">$K$426-EFEITO!$M$426*EFEITO!$Z$426</f>
        <v>0</v>
      </c>
      <c r="O426" s="56">
        <f>$L$426-EFEITO!$O$426*EFEITO!$AA$426</f>
        <v>0</v>
      </c>
      <c r="P426" s="39"/>
      <c r="Q426" s="39"/>
      <c r="R426" s="39"/>
      <c r="S426" s="39"/>
      <c r="T426" s="39"/>
      <c r="U426" s="39"/>
      <c r="V426" s="39"/>
      <c r="W426" s="3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21</v>
      </c>
      <c r="B427" s="35" t="s">
        <v>33</v>
      </c>
      <c r="C427" s="35" t="s">
        <v>34</v>
      </c>
      <c r="D427" s="35" t="s">
        <v>40</v>
      </c>
      <c r="E427" s="35" t="s">
        <v>25</v>
      </c>
      <c r="F427" s="35" t="s">
        <v>25</v>
      </c>
      <c r="G427" s="35" t="s">
        <v>25</v>
      </c>
      <c r="H427" s="35" t="s">
        <v>37</v>
      </c>
      <c r="I427" s="55">
        <v>44593</v>
      </c>
      <c r="J427" s="56">
        <f>EFEITO!$J$427*EFEITO!$Y$427</f>
        <v>0</v>
      </c>
      <c r="K427" s="56">
        <f ca="1">EFEITO!$L$427*EFEITO!$Z$427</f>
        <v>91751.680612616401</v>
      </c>
      <c r="L427" s="56">
        <f>EFEITO!$N$427*EFEITO!$AA$427</f>
        <v>0</v>
      </c>
      <c r="M427" s="56">
        <f>$J$427-EFEITO!$K$427*EFEITO!$Y$427</f>
        <v>0</v>
      </c>
      <c r="N427" s="56">
        <f ca="1">$K$427-EFEITO!$M$427*EFEITO!$Z$427</f>
        <v>0</v>
      </c>
      <c r="O427" s="56">
        <f>$L$427-EFEITO!$O$427*EFEITO!$AA$427</f>
        <v>0</v>
      </c>
      <c r="P427" s="39"/>
      <c r="Q427" s="39"/>
      <c r="R427" s="39"/>
      <c r="S427" s="39"/>
      <c r="T427" s="39"/>
      <c r="U427" s="39"/>
      <c r="V427" s="39"/>
      <c r="W427" s="3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21</v>
      </c>
      <c r="B428" s="35" t="s">
        <v>33</v>
      </c>
      <c r="C428" s="35" t="s">
        <v>34</v>
      </c>
      <c r="D428" s="35" t="s">
        <v>40</v>
      </c>
      <c r="E428" s="35" t="s">
        <v>25</v>
      </c>
      <c r="F428" s="35" t="s">
        <v>25</v>
      </c>
      <c r="G428" s="35" t="s">
        <v>25</v>
      </c>
      <c r="H428" s="35" t="s">
        <v>37</v>
      </c>
      <c r="I428" s="55">
        <v>44621</v>
      </c>
      <c r="J428" s="56">
        <f>EFEITO!$J$428*EFEITO!$Y$428</f>
        <v>0</v>
      </c>
      <c r="K428" s="56">
        <f ca="1">EFEITO!$L$428*EFEITO!$Z$428</f>
        <v>153191.92403349173</v>
      </c>
      <c r="L428" s="56">
        <f>EFEITO!$N$428*EFEITO!$AA$428</f>
        <v>55464.146620729378</v>
      </c>
      <c r="M428" s="56">
        <f>$J$428-EFEITO!$K$428*EFEITO!$Y$428</f>
        <v>0</v>
      </c>
      <c r="N428" s="56">
        <f ca="1">$K$428-EFEITO!$M$428*EFEITO!$Z$428</f>
        <v>0</v>
      </c>
      <c r="O428" s="56">
        <f>$L$428-EFEITO!$O$428*EFEITO!$AA$428</f>
        <v>0</v>
      </c>
      <c r="P428" s="39"/>
      <c r="Q428" s="39"/>
      <c r="R428" s="39"/>
      <c r="S428" s="39"/>
      <c r="T428" s="39"/>
      <c r="U428" s="39"/>
      <c r="V428" s="39"/>
      <c r="W428" s="3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28</v>
      </c>
      <c r="B429" s="35" t="s">
        <v>33</v>
      </c>
      <c r="C429" s="35" t="s">
        <v>34</v>
      </c>
      <c r="D429" s="35" t="s">
        <v>40</v>
      </c>
      <c r="E429" s="35" t="s">
        <v>25</v>
      </c>
      <c r="F429" s="35" t="s">
        <v>25</v>
      </c>
      <c r="G429" s="35" t="s">
        <v>25</v>
      </c>
      <c r="H429" s="35" t="s">
        <v>37</v>
      </c>
      <c r="I429" s="55">
        <v>44621</v>
      </c>
      <c r="J429" s="56">
        <f>EFEITO!$J$429*EFEITO!$Y$429</f>
        <v>0</v>
      </c>
      <c r="K429" s="56">
        <f ca="1">EFEITO!$L$429*EFEITO!$Z$429</f>
        <v>855.19958190079262</v>
      </c>
      <c r="L429" s="56">
        <f>EFEITO!$N$429*EFEITO!$AA$429</f>
        <v>309.63064991704107</v>
      </c>
      <c r="M429" s="56">
        <f>$J$429-EFEITO!$K$429*EFEITO!$Y$429</f>
        <v>0</v>
      </c>
      <c r="N429" s="56">
        <f ca="1">$K$429-EFEITO!$M$429*EFEITO!$Z$429</f>
        <v>0</v>
      </c>
      <c r="O429" s="56">
        <f>$L$429-EFEITO!$O$429*EFEITO!$AA$429</f>
        <v>0</v>
      </c>
      <c r="P429" s="39"/>
      <c r="Q429" s="39"/>
      <c r="R429" s="39"/>
      <c r="S429" s="39"/>
      <c r="T429" s="39"/>
      <c r="U429" s="39"/>
      <c r="V429" s="39"/>
      <c r="W429" s="3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21</v>
      </c>
      <c r="B430" s="35" t="s">
        <v>33</v>
      </c>
      <c r="C430" s="35" t="s">
        <v>34</v>
      </c>
      <c r="D430" s="35" t="s">
        <v>40</v>
      </c>
      <c r="E430" s="35" t="s">
        <v>25</v>
      </c>
      <c r="F430" s="35" t="s">
        <v>25</v>
      </c>
      <c r="G430" s="35" t="s">
        <v>25</v>
      </c>
      <c r="H430" s="35" t="s">
        <v>37</v>
      </c>
      <c r="I430" s="55">
        <v>44621</v>
      </c>
      <c r="J430" s="56">
        <f>EFEITO!$J$430*EFEITO!$Y$430</f>
        <v>0</v>
      </c>
      <c r="K430" s="56">
        <f ca="1">EFEITO!$L$430*EFEITO!$Z$430</f>
        <v>94545.409005501439</v>
      </c>
      <c r="L430" s="56">
        <f>EFEITO!$N$430*EFEITO!$AA$430</f>
        <v>0</v>
      </c>
      <c r="M430" s="56">
        <f>$J$430-EFEITO!$K$430*EFEITO!$Y$430</f>
        <v>0</v>
      </c>
      <c r="N430" s="56">
        <f ca="1">$K$430-EFEITO!$M$430*EFEITO!$Z$430</f>
        <v>0</v>
      </c>
      <c r="O430" s="56">
        <f>$L$430-EFEITO!$O$430*EFEITO!$AA$430</f>
        <v>0</v>
      </c>
      <c r="P430" s="39"/>
      <c r="Q430" s="39"/>
      <c r="R430" s="39"/>
      <c r="S430" s="39"/>
      <c r="T430" s="39"/>
      <c r="U430" s="39"/>
      <c r="V430" s="39"/>
      <c r="W430" s="3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21</v>
      </c>
      <c r="B431" s="35" t="s">
        <v>33</v>
      </c>
      <c r="C431" s="35" t="s">
        <v>34</v>
      </c>
      <c r="D431" s="35" t="s">
        <v>40</v>
      </c>
      <c r="E431" s="35" t="s">
        <v>25</v>
      </c>
      <c r="F431" s="35" t="s">
        <v>25</v>
      </c>
      <c r="G431" s="35" t="s">
        <v>25</v>
      </c>
      <c r="H431" s="35" t="s">
        <v>37</v>
      </c>
      <c r="I431" s="55">
        <v>44652</v>
      </c>
      <c r="J431" s="56">
        <f>EFEITO!$J$431*EFEITO!$Y$431</f>
        <v>0</v>
      </c>
      <c r="K431" s="56">
        <f ca="1">EFEITO!$L$431*EFEITO!$Z$431</f>
        <v>159464.91614094633</v>
      </c>
      <c r="L431" s="56">
        <f>EFEITO!$N$431*EFEITO!$AA$431</f>
        <v>57735.324792775027</v>
      </c>
      <c r="M431" s="56">
        <f>$J$431-EFEITO!$K$431*EFEITO!$Y$431</f>
        <v>0</v>
      </c>
      <c r="N431" s="56">
        <f ca="1">$K$431-EFEITO!$M$431*EFEITO!$Z$431</f>
        <v>0</v>
      </c>
      <c r="O431" s="56">
        <f>$L$431-EFEITO!$O$431*EFEITO!$AA$431</f>
        <v>0</v>
      </c>
      <c r="P431" s="39"/>
      <c r="Q431" s="39"/>
      <c r="R431" s="39"/>
      <c r="S431" s="39"/>
      <c r="T431" s="39"/>
      <c r="U431" s="39"/>
      <c r="V431" s="39"/>
      <c r="W431" s="3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28</v>
      </c>
      <c r="B432" s="35" t="s">
        <v>33</v>
      </c>
      <c r="C432" s="35" t="s">
        <v>34</v>
      </c>
      <c r="D432" s="35" t="s">
        <v>40</v>
      </c>
      <c r="E432" s="35" t="s">
        <v>25</v>
      </c>
      <c r="F432" s="35" t="s">
        <v>25</v>
      </c>
      <c r="G432" s="35" t="s">
        <v>25</v>
      </c>
      <c r="H432" s="35" t="s">
        <v>37</v>
      </c>
      <c r="I432" s="55">
        <v>44652</v>
      </c>
      <c r="J432" s="56">
        <f>EFEITO!$J$432*EFEITO!$Y$432</f>
        <v>0</v>
      </c>
      <c r="K432" s="56">
        <f ca="1">EFEITO!$L$432*EFEITO!$Z$432</f>
        <v>660.31495867943227</v>
      </c>
      <c r="L432" s="56">
        <f>EFEITO!$N$432*EFEITO!$AA$432</f>
        <v>239.07138653112017</v>
      </c>
      <c r="M432" s="56">
        <f>$J$432-EFEITO!$K$432*EFEITO!$Y$432</f>
        <v>0</v>
      </c>
      <c r="N432" s="56">
        <f ca="1">$K$432-EFEITO!$M$432*EFEITO!$Z$432</f>
        <v>0</v>
      </c>
      <c r="O432" s="56">
        <f>$L$432-EFEITO!$O$432*EFEITO!$AA$432</f>
        <v>0</v>
      </c>
      <c r="P432" s="39"/>
      <c r="Q432" s="39"/>
      <c r="R432" s="39"/>
      <c r="S432" s="39"/>
      <c r="T432" s="39"/>
      <c r="U432" s="39"/>
      <c r="V432" s="39"/>
      <c r="W432" s="3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21</v>
      </c>
      <c r="B433" s="35" t="s">
        <v>33</v>
      </c>
      <c r="C433" s="35" t="s">
        <v>34</v>
      </c>
      <c r="D433" s="35" t="s">
        <v>40</v>
      </c>
      <c r="E433" s="35" t="s">
        <v>25</v>
      </c>
      <c r="F433" s="35" t="s">
        <v>25</v>
      </c>
      <c r="G433" s="35" t="s">
        <v>25</v>
      </c>
      <c r="H433" s="35" t="s">
        <v>37</v>
      </c>
      <c r="I433" s="55">
        <v>44652</v>
      </c>
      <c r="J433" s="56">
        <f>EFEITO!$J$433*EFEITO!$Y$433</f>
        <v>0</v>
      </c>
      <c r="K433" s="56">
        <f ca="1">EFEITO!$L$433*EFEITO!$Z$433</f>
        <v>112953.98123896381</v>
      </c>
      <c r="L433" s="56">
        <f>EFEITO!$N$433*EFEITO!$AA$433</f>
        <v>0</v>
      </c>
      <c r="M433" s="56">
        <f>$J$433-EFEITO!$K$433*EFEITO!$Y$433</f>
        <v>0</v>
      </c>
      <c r="N433" s="56">
        <f ca="1">$K$433-EFEITO!$M$433*EFEITO!$Z$433</f>
        <v>0</v>
      </c>
      <c r="O433" s="56">
        <f>$L$433-EFEITO!$O$433*EFEITO!$AA$433</f>
        <v>0</v>
      </c>
      <c r="P433" s="39"/>
      <c r="Q433" s="39"/>
      <c r="R433" s="39"/>
      <c r="S433" s="39"/>
      <c r="T433" s="39"/>
      <c r="U433" s="39"/>
      <c r="V433" s="39"/>
      <c r="W433" s="3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21</v>
      </c>
      <c r="B434" s="35" t="s">
        <v>33</v>
      </c>
      <c r="C434" s="35" t="s">
        <v>34</v>
      </c>
      <c r="D434" s="35" t="s">
        <v>40</v>
      </c>
      <c r="E434" s="35" t="s">
        <v>25</v>
      </c>
      <c r="F434" s="35" t="s">
        <v>25</v>
      </c>
      <c r="G434" s="35" t="s">
        <v>25</v>
      </c>
      <c r="H434" s="35" t="s">
        <v>37</v>
      </c>
      <c r="I434" s="55">
        <v>44682</v>
      </c>
      <c r="J434" s="56">
        <f>EFEITO!$J$434*EFEITO!$Y$434</f>
        <v>0</v>
      </c>
      <c r="K434" s="56">
        <f ca="1">EFEITO!$L$434*EFEITO!$Z$434</f>
        <v>168429.6088091289</v>
      </c>
      <c r="L434" s="56">
        <f>EFEITO!$N$434*EFEITO!$AA$434</f>
        <v>60981.050908527381</v>
      </c>
      <c r="M434" s="56">
        <f>$J$434-EFEITO!$K$434*EFEITO!$Y$434</f>
        <v>0</v>
      </c>
      <c r="N434" s="56">
        <f ca="1">$K$434-EFEITO!$M$434*EFEITO!$Z$434</f>
        <v>0</v>
      </c>
      <c r="O434" s="56">
        <f>$L$434-EFEITO!$O$434*EFEITO!$AA$434</f>
        <v>0</v>
      </c>
      <c r="P434" s="39"/>
      <c r="Q434" s="39"/>
      <c r="R434" s="39"/>
      <c r="S434" s="39"/>
      <c r="T434" s="39"/>
      <c r="U434" s="39"/>
      <c r="V434" s="39"/>
      <c r="W434" s="3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28</v>
      </c>
      <c r="B435" s="35" t="s">
        <v>33</v>
      </c>
      <c r="C435" s="35" t="s">
        <v>34</v>
      </c>
      <c r="D435" s="35" t="s">
        <v>40</v>
      </c>
      <c r="E435" s="35" t="s">
        <v>25</v>
      </c>
      <c r="F435" s="35" t="s">
        <v>25</v>
      </c>
      <c r="G435" s="35" t="s">
        <v>25</v>
      </c>
      <c r="H435" s="35" t="s">
        <v>37</v>
      </c>
      <c r="I435" s="55">
        <v>44682</v>
      </c>
      <c r="J435" s="56">
        <f>EFEITO!$J$435*EFEITO!$Y$435</f>
        <v>0</v>
      </c>
      <c r="K435" s="56">
        <f ca="1">EFEITO!$L$435*EFEITO!$Z$435</f>
        <v>868.95614353994745</v>
      </c>
      <c r="L435" s="56">
        <f>EFEITO!$N$435*EFEITO!$AA$435</f>
        <v>314.61130380310607</v>
      </c>
      <c r="M435" s="56">
        <f>$J$435-EFEITO!$K$435*EFEITO!$Y$435</f>
        <v>0</v>
      </c>
      <c r="N435" s="56">
        <f ca="1">$K$435-EFEITO!$M$435*EFEITO!$Z$435</f>
        <v>0</v>
      </c>
      <c r="O435" s="56">
        <f>$L$435-EFEITO!$O$435*EFEITO!$AA$435</f>
        <v>0</v>
      </c>
      <c r="P435" s="39"/>
      <c r="Q435" s="39"/>
      <c r="R435" s="39"/>
      <c r="S435" s="39"/>
      <c r="T435" s="39"/>
      <c r="U435" s="39"/>
      <c r="V435" s="39"/>
      <c r="W435" s="3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21</v>
      </c>
      <c r="B436" s="35" t="s">
        <v>33</v>
      </c>
      <c r="C436" s="35" t="s">
        <v>34</v>
      </c>
      <c r="D436" s="35" t="s">
        <v>40</v>
      </c>
      <c r="E436" s="35" t="s">
        <v>25</v>
      </c>
      <c r="F436" s="35" t="s">
        <v>25</v>
      </c>
      <c r="G436" s="35" t="s">
        <v>25</v>
      </c>
      <c r="H436" s="35" t="s">
        <v>37</v>
      </c>
      <c r="I436" s="55">
        <v>44682</v>
      </c>
      <c r="J436" s="56">
        <f>EFEITO!$J$436*EFEITO!$Y$436</f>
        <v>0</v>
      </c>
      <c r="K436" s="56">
        <f ca="1">EFEITO!$L$436*EFEITO!$Z$436</f>
        <v>100425.19272610353</v>
      </c>
      <c r="L436" s="56">
        <f>EFEITO!$N$436*EFEITO!$AA$436</f>
        <v>0</v>
      </c>
      <c r="M436" s="56">
        <f>$J$436-EFEITO!$K$436*EFEITO!$Y$436</f>
        <v>0</v>
      </c>
      <c r="N436" s="56">
        <f ca="1">$K$436-EFEITO!$M$436*EFEITO!$Z$436</f>
        <v>0</v>
      </c>
      <c r="O436" s="56">
        <f>$L$436-EFEITO!$O$436*EFEITO!$AA$436</f>
        <v>0</v>
      </c>
      <c r="P436" s="39"/>
      <c r="Q436" s="39"/>
      <c r="R436" s="39"/>
      <c r="S436" s="39"/>
      <c r="T436" s="39"/>
      <c r="U436" s="39"/>
      <c r="V436" s="39"/>
      <c r="W436" s="3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21</v>
      </c>
      <c r="B437" s="35" t="s">
        <v>33</v>
      </c>
      <c r="C437" s="35" t="s">
        <v>34</v>
      </c>
      <c r="D437" s="35" t="s">
        <v>46</v>
      </c>
      <c r="E437" s="35" t="s">
        <v>25</v>
      </c>
      <c r="F437" s="35" t="s">
        <v>25</v>
      </c>
      <c r="G437" s="35" t="s">
        <v>25</v>
      </c>
      <c r="H437" s="35" t="s">
        <v>35</v>
      </c>
      <c r="I437" s="55">
        <v>44348</v>
      </c>
      <c r="J437" s="56">
        <f>EFEITO!$J$437*EFEITO!$Y$437</f>
        <v>0</v>
      </c>
      <c r="K437" s="56">
        <f ca="1">EFEITO!$L$437*EFEITO!$Z$437</f>
        <v>6061.9443428862205</v>
      </c>
      <c r="L437" s="56">
        <f>EFEITO!$N$437*EFEITO!$AA$437</f>
        <v>14116.468102651655</v>
      </c>
      <c r="M437" s="56">
        <f>$J$437-EFEITO!$K$437*EFEITO!$Y$437</f>
        <v>0</v>
      </c>
      <c r="N437" s="56">
        <f ca="1">$K$437-EFEITO!$M$437*EFEITO!$Z$437</f>
        <v>0</v>
      </c>
      <c r="O437" s="56">
        <f>$L$437-EFEITO!$O$437*EFEITO!$AA$437</f>
        <v>0</v>
      </c>
      <c r="P437" s="39"/>
      <c r="Q437" s="39"/>
      <c r="R437" s="39"/>
      <c r="S437" s="39"/>
      <c r="T437" s="39"/>
      <c r="U437" s="39"/>
      <c r="V437" s="39"/>
      <c r="W437" s="3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28</v>
      </c>
      <c r="B438" s="35" t="s">
        <v>33</v>
      </c>
      <c r="C438" s="35" t="s">
        <v>34</v>
      </c>
      <c r="D438" s="35" t="s">
        <v>46</v>
      </c>
      <c r="E438" s="35" t="s">
        <v>25</v>
      </c>
      <c r="F438" s="35" t="s">
        <v>25</v>
      </c>
      <c r="G438" s="35" t="s">
        <v>25</v>
      </c>
      <c r="H438" s="35" t="s">
        <v>35</v>
      </c>
      <c r="I438" s="55">
        <v>44348</v>
      </c>
      <c r="J438" s="56">
        <f>EFEITO!$J$438*EFEITO!$Y$438</f>
        <v>0</v>
      </c>
      <c r="K438" s="56">
        <f ca="1">EFEITO!$L$438*EFEITO!$Z$438</f>
        <v>235.15396250846794</v>
      </c>
      <c r="L438" s="56">
        <f>EFEITO!$N$438*EFEITO!$AA$438</f>
        <v>547.60374282526425</v>
      </c>
      <c r="M438" s="56">
        <f>$J$438-EFEITO!$K$438*EFEITO!$Y$438</f>
        <v>0</v>
      </c>
      <c r="N438" s="56">
        <f ca="1">$K$438-EFEITO!$M$438*EFEITO!$Z$438</f>
        <v>0</v>
      </c>
      <c r="O438" s="56">
        <f>$L$438-EFEITO!$O$438*EFEITO!$AA$438</f>
        <v>0</v>
      </c>
      <c r="P438" s="39"/>
      <c r="Q438" s="39"/>
      <c r="R438" s="39"/>
      <c r="S438" s="39"/>
      <c r="T438" s="39"/>
      <c r="U438" s="39"/>
      <c r="V438" s="39"/>
      <c r="W438" s="3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21</v>
      </c>
      <c r="B439" s="35" t="s">
        <v>33</v>
      </c>
      <c r="C439" s="35" t="s">
        <v>34</v>
      </c>
      <c r="D439" s="35" t="s">
        <v>46</v>
      </c>
      <c r="E439" s="35" t="s">
        <v>25</v>
      </c>
      <c r="F439" s="35" t="s">
        <v>25</v>
      </c>
      <c r="G439" s="35" t="s">
        <v>25</v>
      </c>
      <c r="H439" s="35" t="s">
        <v>35</v>
      </c>
      <c r="I439" s="55">
        <v>44378</v>
      </c>
      <c r="J439" s="56">
        <f>EFEITO!$J$439*EFEITO!$Y$439</f>
        <v>0</v>
      </c>
      <c r="K439" s="56">
        <f ca="1">EFEITO!$L$439*EFEITO!$Z$439</f>
        <v>6540.5950054566729</v>
      </c>
      <c r="L439" s="56">
        <f>EFEITO!$N$439*EFEITO!$AA$439</f>
        <v>15231.103346444044</v>
      </c>
      <c r="M439" s="56">
        <f>$J$439-EFEITO!$K$439*EFEITO!$Y$439</f>
        <v>0</v>
      </c>
      <c r="N439" s="56">
        <f ca="1">$K$439-EFEITO!$M$439*EFEITO!$Z$439</f>
        <v>0</v>
      </c>
      <c r="O439" s="56">
        <f>$L$439-EFEITO!$O$439*EFEITO!$AA$439</f>
        <v>0</v>
      </c>
      <c r="P439" s="39"/>
      <c r="Q439" s="39"/>
      <c r="R439" s="39"/>
      <c r="S439" s="39"/>
      <c r="T439" s="39"/>
      <c r="U439" s="39"/>
      <c r="V439" s="39"/>
      <c r="W439" s="3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28</v>
      </c>
      <c r="B440" s="35" t="s">
        <v>33</v>
      </c>
      <c r="C440" s="35" t="s">
        <v>34</v>
      </c>
      <c r="D440" s="35" t="s">
        <v>46</v>
      </c>
      <c r="E440" s="35" t="s">
        <v>25</v>
      </c>
      <c r="F440" s="35" t="s">
        <v>25</v>
      </c>
      <c r="G440" s="35" t="s">
        <v>25</v>
      </c>
      <c r="H440" s="35" t="s">
        <v>35</v>
      </c>
      <c r="I440" s="55">
        <v>44378</v>
      </c>
      <c r="J440" s="56">
        <f>EFEITO!$J$440*EFEITO!$Y$440</f>
        <v>0</v>
      </c>
      <c r="K440" s="56">
        <f ca="1">EFEITO!$L$440*EFEITO!$Z$440</f>
        <v>157.17717550826168</v>
      </c>
      <c r="L440" s="56">
        <f>EFEITO!$N$440*EFEITO!$AA$440</f>
        <v>366.01896339266716</v>
      </c>
      <c r="M440" s="56">
        <f>$J$440-EFEITO!$K$440*EFEITO!$Y$440</f>
        <v>0</v>
      </c>
      <c r="N440" s="56">
        <f ca="1">$K$440-EFEITO!$M$440*EFEITO!$Z$440</f>
        <v>0</v>
      </c>
      <c r="O440" s="56">
        <f>$L$440-EFEITO!$O$440*EFEITO!$AA$440</f>
        <v>0</v>
      </c>
      <c r="P440" s="39"/>
      <c r="Q440" s="39"/>
      <c r="R440" s="39"/>
      <c r="S440" s="39"/>
      <c r="T440" s="39"/>
      <c r="U440" s="39"/>
      <c r="V440" s="39"/>
      <c r="W440" s="3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33</v>
      </c>
      <c r="C441" s="35" t="s">
        <v>34</v>
      </c>
      <c r="D441" s="35" t="s">
        <v>46</v>
      </c>
      <c r="E441" s="35" t="s">
        <v>25</v>
      </c>
      <c r="F441" s="35" t="s">
        <v>25</v>
      </c>
      <c r="G441" s="35" t="s">
        <v>25</v>
      </c>
      <c r="H441" s="35" t="s">
        <v>35</v>
      </c>
      <c r="I441" s="55">
        <v>44409</v>
      </c>
      <c r="J441" s="56">
        <f>EFEITO!$J$441*EFEITO!$Y$441</f>
        <v>0</v>
      </c>
      <c r="K441" s="56">
        <f ca="1">EFEITO!$L$441*EFEITO!$Z$441</f>
        <v>6202.7697527895889</v>
      </c>
      <c r="L441" s="56">
        <f>EFEITO!$N$441*EFEITO!$AA$441</f>
        <v>14444.408660086274</v>
      </c>
      <c r="M441" s="56">
        <f>$J$441-EFEITO!$K$441*EFEITO!$Y$441</f>
        <v>0</v>
      </c>
      <c r="N441" s="56">
        <f ca="1">$K$441-EFEITO!$M$441*EFEITO!$Z$441</f>
        <v>0</v>
      </c>
      <c r="O441" s="56">
        <f>$L$441-EFEITO!$O$441*EFEITO!$AA$441</f>
        <v>0</v>
      </c>
      <c r="P441" s="39"/>
      <c r="Q441" s="39"/>
      <c r="R441" s="39"/>
      <c r="S441" s="39"/>
      <c r="T441" s="39"/>
      <c r="U441" s="39"/>
      <c r="V441" s="39"/>
      <c r="W441" s="3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28</v>
      </c>
      <c r="B442" s="35" t="s">
        <v>33</v>
      </c>
      <c r="C442" s="35" t="s">
        <v>34</v>
      </c>
      <c r="D442" s="35" t="s">
        <v>46</v>
      </c>
      <c r="E442" s="35" t="s">
        <v>25</v>
      </c>
      <c r="F442" s="35" t="s">
        <v>25</v>
      </c>
      <c r="G442" s="35" t="s">
        <v>25</v>
      </c>
      <c r="H442" s="35" t="s">
        <v>35</v>
      </c>
      <c r="I442" s="55">
        <v>44409</v>
      </c>
      <c r="J442" s="56">
        <f>EFEITO!$J$442*EFEITO!$Y$442</f>
        <v>0</v>
      </c>
      <c r="K442" s="56">
        <f ca="1">EFEITO!$L$442*EFEITO!$Z$442</f>
        <v>196.7773697622894</v>
      </c>
      <c r="L442" s="56">
        <f>EFEITO!$N$442*EFEITO!$AA$442</f>
        <v>458.23605537270214</v>
      </c>
      <c r="M442" s="56">
        <f>$J$442-EFEITO!$K$442*EFEITO!$Y$442</f>
        <v>0</v>
      </c>
      <c r="N442" s="56">
        <f ca="1">$K$442-EFEITO!$M$442*EFEITO!$Z$442</f>
        <v>0</v>
      </c>
      <c r="O442" s="56">
        <f>$L$442-EFEITO!$O$442*EFEITO!$AA$442</f>
        <v>0</v>
      </c>
      <c r="P442" s="39"/>
      <c r="Q442" s="39"/>
      <c r="R442" s="39"/>
      <c r="S442" s="39"/>
      <c r="T442" s="39"/>
      <c r="U442" s="39"/>
      <c r="V442" s="39"/>
      <c r="W442" s="3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21</v>
      </c>
      <c r="B443" s="35" t="s">
        <v>33</v>
      </c>
      <c r="C443" s="35" t="s">
        <v>34</v>
      </c>
      <c r="D443" s="35" t="s">
        <v>46</v>
      </c>
      <c r="E443" s="35" t="s">
        <v>25</v>
      </c>
      <c r="F443" s="35" t="s">
        <v>25</v>
      </c>
      <c r="G443" s="35" t="s">
        <v>25</v>
      </c>
      <c r="H443" s="35" t="s">
        <v>35</v>
      </c>
      <c r="I443" s="55">
        <v>44440</v>
      </c>
      <c r="J443" s="56">
        <f>EFEITO!$J$443*EFEITO!$Y$443</f>
        <v>0</v>
      </c>
      <c r="K443" s="56">
        <f ca="1">EFEITO!$L$443*EFEITO!$Z$443</f>
        <v>5557.0418661473668</v>
      </c>
      <c r="L443" s="56">
        <f>EFEITO!$N$443*EFEITO!$AA$443</f>
        <v>12940.700179906209</v>
      </c>
      <c r="M443" s="56">
        <f>$J$443-EFEITO!$K$443*EFEITO!$Y$443</f>
        <v>0</v>
      </c>
      <c r="N443" s="56">
        <f ca="1">$K$443-EFEITO!$M$443*EFEITO!$Z$443</f>
        <v>0</v>
      </c>
      <c r="O443" s="56">
        <f>$L$443-EFEITO!$O$443*EFEITO!$AA$443</f>
        <v>0</v>
      </c>
      <c r="P443" s="39"/>
      <c r="Q443" s="39"/>
      <c r="R443" s="39"/>
      <c r="S443" s="39"/>
      <c r="T443" s="39"/>
      <c r="U443" s="39"/>
      <c r="V443" s="39"/>
      <c r="W443" s="3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28</v>
      </c>
      <c r="B444" s="35" t="s">
        <v>33</v>
      </c>
      <c r="C444" s="35" t="s">
        <v>34</v>
      </c>
      <c r="D444" s="35" t="s">
        <v>46</v>
      </c>
      <c r="E444" s="35" t="s">
        <v>25</v>
      </c>
      <c r="F444" s="35" t="s">
        <v>25</v>
      </c>
      <c r="G444" s="35" t="s">
        <v>25</v>
      </c>
      <c r="H444" s="35" t="s">
        <v>35</v>
      </c>
      <c r="I444" s="55">
        <v>44440</v>
      </c>
      <c r="J444" s="56">
        <f>EFEITO!$J$444*EFEITO!$Y$444</f>
        <v>0</v>
      </c>
      <c r="K444" s="56">
        <f ca="1">EFEITO!$L$444*EFEITO!$Z$444</f>
        <v>193.77398424302325</v>
      </c>
      <c r="L444" s="56">
        <f>EFEITO!$N$444*EFEITO!$AA$444</f>
        <v>451.24206244163213</v>
      </c>
      <c r="M444" s="56">
        <f>$J$444-EFEITO!$K$444*EFEITO!$Y$444</f>
        <v>0</v>
      </c>
      <c r="N444" s="56">
        <f ca="1">$K$444-EFEITO!$M$444*EFEITO!$Z$444</f>
        <v>0</v>
      </c>
      <c r="O444" s="56">
        <f>$L$444-EFEITO!$O$444*EFEITO!$AA$444</f>
        <v>0</v>
      </c>
      <c r="P444" s="39"/>
      <c r="Q444" s="39"/>
      <c r="R444" s="39"/>
      <c r="S444" s="39"/>
      <c r="T444" s="39"/>
      <c r="U444" s="39"/>
      <c r="V444" s="39"/>
      <c r="W444" s="3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21</v>
      </c>
      <c r="B445" s="35" t="s">
        <v>33</v>
      </c>
      <c r="C445" s="35" t="s">
        <v>34</v>
      </c>
      <c r="D445" s="35" t="s">
        <v>46</v>
      </c>
      <c r="E445" s="35" t="s">
        <v>25</v>
      </c>
      <c r="F445" s="35" t="s">
        <v>25</v>
      </c>
      <c r="G445" s="35" t="s">
        <v>25</v>
      </c>
      <c r="H445" s="35" t="s">
        <v>35</v>
      </c>
      <c r="I445" s="55">
        <v>44470</v>
      </c>
      <c r="J445" s="56">
        <f>EFEITO!$J$445*EFEITO!$Y$445</f>
        <v>0</v>
      </c>
      <c r="K445" s="56">
        <f ca="1">EFEITO!$L$445*EFEITO!$Z$445</f>
        <v>5500.8674332870187</v>
      </c>
      <c r="L445" s="56">
        <f>EFEITO!$N$445*EFEITO!$AA$445</f>
        <v>12809.886608417675</v>
      </c>
      <c r="M445" s="56">
        <f>$J$445-EFEITO!$K$445*EFEITO!$Y$445</f>
        <v>0</v>
      </c>
      <c r="N445" s="56">
        <f ca="1">$K$445-EFEITO!$M$445*EFEITO!$Z$445</f>
        <v>0</v>
      </c>
      <c r="O445" s="56">
        <f>$L$445-EFEITO!$O$445*EFEITO!$AA$445</f>
        <v>0</v>
      </c>
      <c r="P445" s="39"/>
      <c r="Q445" s="39"/>
      <c r="R445" s="39"/>
      <c r="S445" s="39"/>
      <c r="T445" s="39"/>
      <c r="U445" s="39"/>
      <c r="V445" s="39"/>
      <c r="W445" s="3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28</v>
      </c>
      <c r="B446" s="35" t="s">
        <v>33</v>
      </c>
      <c r="C446" s="35" t="s">
        <v>34</v>
      </c>
      <c r="D446" s="35" t="s">
        <v>46</v>
      </c>
      <c r="E446" s="35" t="s">
        <v>25</v>
      </c>
      <c r="F446" s="35" t="s">
        <v>25</v>
      </c>
      <c r="G446" s="35" t="s">
        <v>25</v>
      </c>
      <c r="H446" s="35" t="s">
        <v>35</v>
      </c>
      <c r="I446" s="55">
        <v>44470</v>
      </c>
      <c r="J446" s="56">
        <f>EFEITO!$J$446*EFEITO!$Y$446</f>
        <v>0</v>
      </c>
      <c r="K446" s="56">
        <f ca="1">EFEITO!$L$446*EFEITO!$Z$446</f>
        <v>252.61809312049701</v>
      </c>
      <c r="L446" s="56">
        <f>EFEITO!$N$446*EFEITO!$AA$446</f>
        <v>588.27251653556061</v>
      </c>
      <c r="M446" s="56">
        <f>$J$446-EFEITO!$K$446*EFEITO!$Y$446</f>
        <v>0</v>
      </c>
      <c r="N446" s="56">
        <f ca="1">$K$446-EFEITO!$M$446*EFEITO!$Z$446</f>
        <v>0</v>
      </c>
      <c r="O446" s="56">
        <f>$L$446-EFEITO!$O$446*EFEITO!$AA$446</f>
        <v>0</v>
      </c>
      <c r="P446" s="39"/>
      <c r="Q446" s="39"/>
      <c r="R446" s="39"/>
      <c r="S446" s="39"/>
      <c r="T446" s="39"/>
      <c r="U446" s="39"/>
      <c r="V446" s="39"/>
      <c r="W446" s="3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21</v>
      </c>
      <c r="B447" s="35" t="s">
        <v>33</v>
      </c>
      <c r="C447" s="35" t="s">
        <v>34</v>
      </c>
      <c r="D447" s="35" t="s">
        <v>46</v>
      </c>
      <c r="E447" s="35" t="s">
        <v>25</v>
      </c>
      <c r="F447" s="35" t="s">
        <v>25</v>
      </c>
      <c r="G447" s="35" t="s">
        <v>25</v>
      </c>
      <c r="H447" s="35" t="s">
        <v>35</v>
      </c>
      <c r="I447" s="55">
        <v>44501</v>
      </c>
      <c r="J447" s="56">
        <f>EFEITO!$J$447*EFEITO!$Y$447</f>
        <v>0</v>
      </c>
      <c r="K447" s="56">
        <f ca="1">EFEITO!$L$447*EFEITO!$Z$447</f>
        <v>5963.9449857575728</v>
      </c>
      <c r="L447" s="56">
        <f>EFEITO!$N$447*EFEITO!$AA$447</f>
        <v>13888.256703678591</v>
      </c>
      <c r="M447" s="56">
        <f>$J$447-EFEITO!$K$447*EFEITO!$Y$447</f>
        <v>0</v>
      </c>
      <c r="N447" s="56">
        <f ca="1">$K$447-EFEITO!$M$447*EFEITO!$Z$447</f>
        <v>0</v>
      </c>
      <c r="O447" s="56">
        <f>$L$447-EFEITO!$O$447*EFEITO!$AA$447</f>
        <v>0</v>
      </c>
      <c r="P447" s="39"/>
      <c r="Q447" s="39"/>
      <c r="R447" s="39"/>
      <c r="S447" s="39"/>
      <c r="T447" s="39"/>
      <c r="U447" s="39"/>
      <c r="V447" s="39"/>
      <c r="W447" s="3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28</v>
      </c>
      <c r="B448" s="35" t="s">
        <v>33</v>
      </c>
      <c r="C448" s="35" t="s">
        <v>34</v>
      </c>
      <c r="D448" s="35" t="s">
        <v>46</v>
      </c>
      <c r="E448" s="35" t="s">
        <v>25</v>
      </c>
      <c r="F448" s="35" t="s">
        <v>25</v>
      </c>
      <c r="G448" s="35" t="s">
        <v>25</v>
      </c>
      <c r="H448" s="35" t="s">
        <v>35</v>
      </c>
      <c r="I448" s="55">
        <v>44501</v>
      </c>
      <c r="J448" s="56">
        <f>EFEITO!$J$448*EFEITO!$Y$448</f>
        <v>0</v>
      </c>
      <c r="K448" s="56">
        <f ca="1">EFEITO!$L$448*EFEITO!$Z$448</f>
        <v>249.39223459980377</v>
      </c>
      <c r="L448" s="56">
        <f>EFEITO!$N$448*EFEITO!$AA$448</f>
        <v>580.76045005404092</v>
      </c>
      <c r="M448" s="56">
        <f>$J$448-EFEITO!$K$448*EFEITO!$Y$448</f>
        <v>0</v>
      </c>
      <c r="N448" s="56">
        <f ca="1">$K$448-EFEITO!$M$448*EFEITO!$Z$448</f>
        <v>0</v>
      </c>
      <c r="O448" s="56">
        <f>$L$448-EFEITO!$O$448*EFEITO!$AA$448</f>
        <v>0</v>
      </c>
      <c r="P448" s="39"/>
      <c r="Q448" s="39"/>
      <c r="R448" s="39"/>
      <c r="S448" s="39"/>
      <c r="T448" s="39"/>
      <c r="U448" s="39"/>
      <c r="V448" s="39"/>
      <c r="W448" s="3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21</v>
      </c>
      <c r="B449" s="35" t="s">
        <v>33</v>
      </c>
      <c r="C449" s="35" t="s">
        <v>34</v>
      </c>
      <c r="D449" s="35" t="s">
        <v>46</v>
      </c>
      <c r="E449" s="35" t="s">
        <v>25</v>
      </c>
      <c r="F449" s="35" t="s">
        <v>25</v>
      </c>
      <c r="G449" s="35" t="s">
        <v>25</v>
      </c>
      <c r="H449" s="35" t="s">
        <v>35</v>
      </c>
      <c r="I449" s="55">
        <v>44531</v>
      </c>
      <c r="J449" s="56">
        <f>EFEITO!$J$449*EFEITO!$Y$449</f>
        <v>0</v>
      </c>
      <c r="K449" s="56">
        <f ca="1">EFEITO!$L$449*EFEITO!$Z$449</f>
        <v>5789.6373891394232</v>
      </c>
      <c r="L449" s="56">
        <f>EFEITO!$N$449*EFEITO!$AA$449</f>
        <v>13482.346076901302</v>
      </c>
      <c r="M449" s="56">
        <f>$J$449-EFEITO!$K$449*EFEITO!$Y$449</f>
        <v>0</v>
      </c>
      <c r="N449" s="56">
        <f ca="1">$K$449-EFEITO!$M$449*EFEITO!$Z$449</f>
        <v>0</v>
      </c>
      <c r="O449" s="56">
        <f>$L$449-EFEITO!$O$449*EFEITO!$AA$449</f>
        <v>0</v>
      </c>
      <c r="P449" s="39"/>
      <c r="Q449" s="39"/>
      <c r="R449" s="39"/>
      <c r="S449" s="39"/>
      <c r="T449" s="39"/>
      <c r="U449" s="39"/>
      <c r="V449" s="39"/>
      <c r="W449" s="3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28</v>
      </c>
      <c r="B450" s="35" t="s">
        <v>33</v>
      </c>
      <c r="C450" s="35" t="s">
        <v>34</v>
      </c>
      <c r="D450" s="35" t="s">
        <v>46</v>
      </c>
      <c r="E450" s="35" t="s">
        <v>25</v>
      </c>
      <c r="F450" s="35" t="s">
        <v>25</v>
      </c>
      <c r="G450" s="35" t="s">
        <v>25</v>
      </c>
      <c r="H450" s="35" t="s">
        <v>35</v>
      </c>
      <c r="I450" s="55">
        <v>44531</v>
      </c>
      <c r="J450" s="56">
        <f>EFEITO!$J$450*EFEITO!$Y$450</f>
        <v>0</v>
      </c>
      <c r="K450" s="56">
        <f ca="1">EFEITO!$L$450*EFEITO!$Z$450</f>
        <v>278.75867078818385</v>
      </c>
      <c r="L450" s="56">
        <f>EFEITO!$N$450*EFEITO!$AA$450</f>
        <v>649.14615871339265</v>
      </c>
      <c r="M450" s="56">
        <f>$J$450-EFEITO!$K$450*EFEITO!$Y$450</f>
        <v>0</v>
      </c>
      <c r="N450" s="56">
        <f ca="1">$K$450-EFEITO!$M$450*EFEITO!$Z$450</f>
        <v>0</v>
      </c>
      <c r="O450" s="56">
        <f>$L$450-EFEITO!$O$450*EFEITO!$AA$450</f>
        <v>0</v>
      </c>
      <c r="P450" s="39"/>
      <c r="Q450" s="39"/>
      <c r="R450" s="39"/>
      <c r="S450" s="39"/>
      <c r="T450" s="39"/>
      <c r="U450" s="39"/>
      <c r="V450" s="39"/>
      <c r="W450" s="3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21</v>
      </c>
      <c r="B451" s="35" t="s">
        <v>33</v>
      </c>
      <c r="C451" s="35" t="s">
        <v>34</v>
      </c>
      <c r="D451" s="35" t="s">
        <v>46</v>
      </c>
      <c r="E451" s="35" t="s">
        <v>25</v>
      </c>
      <c r="F451" s="35" t="s">
        <v>25</v>
      </c>
      <c r="G451" s="35" t="s">
        <v>25</v>
      </c>
      <c r="H451" s="35" t="s">
        <v>35</v>
      </c>
      <c r="I451" s="55">
        <v>44562</v>
      </c>
      <c r="J451" s="56">
        <f>EFEITO!$J$451*EFEITO!$Y$451</f>
        <v>0</v>
      </c>
      <c r="K451" s="56">
        <f ca="1">EFEITO!$L$451*EFEITO!$Z$451</f>
        <v>6262.1700441706298</v>
      </c>
      <c r="L451" s="56">
        <f>EFEITO!$N$451*EFEITO!$AA$451</f>
        <v>14582.734298056326</v>
      </c>
      <c r="M451" s="56">
        <f>$J$451-EFEITO!$K$451*EFEITO!$Y$451</f>
        <v>0</v>
      </c>
      <c r="N451" s="56">
        <f ca="1">$K$451-EFEITO!$M$451*EFEITO!$Z$451</f>
        <v>0</v>
      </c>
      <c r="O451" s="56">
        <f>$L$451-EFEITO!$O$451*EFEITO!$AA$451</f>
        <v>0</v>
      </c>
      <c r="P451" s="39"/>
      <c r="Q451" s="39"/>
      <c r="R451" s="39"/>
      <c r="S451" s="39"/>
      <c r="T451" s="39"/>
      <c r="U451" s="39"/>
      <c r="V451" s="39"/>
      <c r="W451" s="3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28</v>
      </c>
      <c r="B452" s="35" t="s">
        <v>33</v>
      </c>
      <c r="C452" s="35" t="s">
        <v>34</v>
      </c>
      <c r="D452" s="35" t="s">
        <v>46</v>
      </c>
      <c r="E452" s="35" t="s">
        <v>25</v>
      </c>
      <c r="F452" s="35" t="s">
        <v>25</v>
      </c>
      <c r="G452" s="35" t="s">
        <v>25</v>
      </c>
      <c r="H452" s="35" t="s">
        <v>35</v>
      </c>
      <c r="I452" s="55">
        <v>44562</v>
      </c>
      <c r="J452" s="56">
        <f>EFEITO!$J$452*EFEITO!$Y$452</f>
        <v>0</v>
      </c>
      <c r="K452" s="56">
        <f ca="1">EFEITO!$L$452*EFEITO!$Z$452</f>
        <v>235.37643550989509</v>
      </c>
      <c r="L452" s="56">
        <f>EFEITO!$N$452*EFEITO!$AA$452</f>
        <v>548.12181637571393</v>
      </c>
      <c r="M452" s="56">
        <f>$J$452-EFEITO!$K$452*EFEITO!$Y$452</f>
        <v>0</v>
      </c>
      <c r="N452" s="56">
        <f ca="1">$K$452-EFEITO!$M$452*EFEITO!$Z$452</f>
        <v>0</v>
      </c>
      <c r="O452" s="56">
        <f>$L$452-EFEITO!$O$452*EFEITO!$AA$452</f>
        <v>0</v>
      </c>
      <c r="P452" s="39"/>
      <c r="Q452" s="39"/>
      <c r="R452" s="39"/>
      <c r="S452" s="39"/>
      <c r="T452" s="39"/>
      <c r="U452" s="39"/>
      <c r="V452" s="39"/>
      <c r="W452" s="3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21</v>
      </c>
      <c r="B453" s="35" t="s">
        <v>33</v>
      </c>
      <c r="C453" s="35" t="s">
        <v>34</v>
      </c>
      <c r="D453" s="35" t="s">
        <v>46</v>
      </c>
      <c r="E453" s="35" t="s">
        <v>25</v>
      </c>
      <c r="F453" s="35" t="s">
        <v>25</v>
      </c>
      <c r="G453" s="35" t="s">
        <v>25</v>
      </c>
      <c r="H453" s="35" t="s">
        <v>35</v>
      </c>
      <c r="I453" s="55">
        <v>44593</v>
      </c>
      <c r="J453" s="56">
        <f>EFEITO!$J$453*EFEITO!$Y$453</f>
        <v>0</v>
      </c>
      <c r="K453" s="56">
        <f ca="1">EFEITO!$L$453*EFEITO!$Z$453</f>
        <v>6603.5548648605491</v>
      </c>
      <c r="L453" s="56">
        <f>EFEITO!$N$453*EFEITO!$AA$453</f>
        <v>15377.718161221292</v>
      </c>
      <c r="M453" s="56">
        <f>$J$453-EFEITO!$K$453*EFEITO!$Y$453</f>
        <v>0</v>
      </c>
      <c r="N453" s="56">
        <f ca="1">$K$453-EFEITO!$M$453*EFEITO!$Z$453</f>
        <v>0</v>
      </c>
      <c r="O453" s="56">
        <f>$L$453-EFEITO!$O$453*EFEITO!$AA$453</f>
        <v>0</v>
      </c>
      <c r="P453" s="39"/>
      <c r="Q453" s="39"/>
      <c r="R453" s="39"/>
      <c r="S453" s="39"/>
      <c r="T453" s="39"/>
      <c r="U453" s="39"/>
      <c r="V453" s="39"/>
      <c r="W453" s="3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21</v>
      </c>
      <c r="B454" s="35" t="s">
        <v>33</v>
      </c>
      <c r="C454" s="35" t="s">
        <v>34</v>
      </c>
      <c r="D454" s="35" t="s">
        <v>46</v>
      </c>
      <c r="E454" s="35" t="s">
        <v>25</v>
      </c>
      <c r="F454" s="35" t="s">
        <v>25</v>
      </c>
      <c r="G454" s="35" t="s">
        <v>25</v>
      </c>
      <c r="H454" s="35" t="s">
        <v>35</v>
      </c>
      <c r="I454" s="55">
        <v>44621</v>
      </c>
      <c r="J454" s="56">
        <f>EFEITO!$J$454*EFEITO!$Y$454</f>
        <v>0</v>
      </c>
      <c r="K454" s="56">
        <f ca="1">EFEITO!$L$454*EFEITO!$Z$454</f>
        <v>7445.6151752622054</v>
      </c>
      <c r="L454" s="56">
        <f>EFEITO!$N$454*EFEITO!$AA$454</f>
        <v>17338.626549673161</v>
      </c>
      <c r="M454" s="56">
        <f>$J$454-EFEITO!$K$454*EFEITO!$Y$454</f>
        <v>0</v>
      </c>
      <c r="N454" s="56">
        <f ca="1">$K$454-EFEITO!$M$454*EFEITO!$Z$454</f>
        <v>0</v>
      </c>
      <c r="O454" s="56">
        <f>$L$454-EFEITO!$O$454*EFEITO!$AA$454</f>
        <v>0</v>
      </c>
      <c r="P454" s="39"/>
      <c r="Q454" s="39"/>
      <c r="R454" s="39"/>
      <c r="S454" s="39"/>
      <c r="T454" s="39"/>
      <c r="U454" s="39"/>
      <c r="V454" s="39"/>
      <c r="W454" s="3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28</v>
      </c>
      <c r="B455" s="35" t="s">
        <v>33</v>
      </c>
      <c r="C455" s="35" t="s">
        <v>34</v>
      </c>
      <c r="D455" s="35" t="s">
        <v>46</v>
      </c>
      <c r="E455" s="35" t="s">
        <v>25</v>
      </c>
      <c r="F455" s="35" t="s">
        <v>25</v>
      </c>
      <c r="G455" s="35" t="s">
        <v>25</v>
      </c>
      <c r="H455" s="35" t="s">
        <v>35</v>
      </c>
      <c r="I455" s="55">
        <v>44621</v>
      </c>
      <c r="J455" s="56">
        <f>EFEITO!$J$455*EFEITO!$Y$455</f>
        <v>0</v>
      </c>
      <c r="K455" s="56">
        <f ca="1">EFEITO!$L$455*EFEITO!$Z$455</f>
        <v>818.81188175252248</v>
      </c>
      <c r="L455" s="56">
        <f>EFEITO!$N$455*EFEITO!$AA$455</f>
        <v>1906.7697024298816</v>
      </c>
      <c r="M455" s="56">
        <f>$J$455-EFEITO!$K$455*EFEITO!$Y$455</f>
        <v>0</v>
      </c>
      <c r="N455" s="56">
        <f ca="1">$K$455-EFEITO!$M$455*EFEITO!$Z$455</f>
        <v>0</v>
      </c>
      <c r="O455" s="56">
        <f>$L$455-EFEITO!$O$455*EFEITO!$AA$455</f>
        <v>0</v>
      </c>
      <c r="P455" s="39"/>
      <c r="Q455" s="39"/>
      <c r="R455" s="39"/>
      <c r="S455" s="39"/>
      <c r="T455" s="39"/>
      <c r="U455" s="39"/>
      <c r="V455" s="39"/>
      <c r="W455" s="3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21</v>
      </c>
      <c r="B456" s="35" t="s">
        <v>33</v>
      </c>
      <c r="C456" s="35" t="s">
        <v>34</v>
      </c>
      <c r="D456" s="35" t="s">
        <v>46</v>
      </c>
      <c r="E456" s="35" t="s">
        <v>25</v>
      </c>
      <c r="F456" s="35" t="s">
        <v>25</v>
      </c>
      <c r="G456" s="35" t="s">
        <v>25</v>
      </c>
      <c r="H456" s="35" t="s">
        <v>35</v>
      </c>
      <c r="I456" s="55">
        <v>44652</v>
      </c>
      <c r="J456" s="56">
        <f>EFEITO!$J$456*EFEITO!$Y$456</f>
        <v>0</v>
      </c>
      <c r="K456" s="56">
        <f ca="1">EFEITO!$L$456*EFEITO!$Z$456</f>
        <v>5556.3744471430855</v>
      </c>
      <c r="L456" s="56">
        <f>EFEITO!$N$456*EFEITO!$AA$456</f>
        <v>12939.14595925486</v>
      </c>
      <c r="M456" s="56">
        <f>$J$456-EFEITO!$K$456*EFEITO!$Y$456</f>
        <v>0</v>
      </c>
      <c r="N456" s="56">
        <f ca="1">$K$456-EFEITO!$M$456*EFEITO!$Z$456</f>
        <v>0</v>
      </c>
      <c r="O456" s="56">
        <f>$L$456-EFEITO!$O$456*EFEITO!$AA$456</f>
        <v>0</v>
      </c>
      <c r="P456" s="39"/>
      <c r="Q456" s="39"/>
      <c r="R456" s="39"/>
      <c r="S456" s="39"/>
      <c r="T456" s="39"/>
      <c r="U456" s="39"/>
      <c r="V456" s="39"/>
      <c r="W456" s="3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28</v>
      </c>
      <c r="B457" s="35" t="s">
        <v>33</v>
      </c>
      <c r="C457" s="35" t="s">
        <v>34</v>
      </c>
      <c r="D457" s="35" t="s">
        <v>46</v>
      </c>
      <c r="E457" s="35" t="s">
        <v>25</v>
      </c>
      <c r="F457" s="35" t="s">
        <v>25</v>
      </c>
      <c r="G457" s="35" t="s">
        <v>25</v>
      </c>
      <c r="H457" s="35" t="s">
        <v>35</v>
      </c>
      <c r="I457" s="55">
        <v>44652</v>
      </c>
      <c r="J457" s="56">
        <f>EFEITO!$J$457*EFEITO!$Y$457</f>
        <v>0</v>
      </c>
      <c r="K457" s="56">
        <f ca="1">EFEITO!$L$457*EFEITO!$Z$457</f>
        <v>744.39466277515021</v>
      </c>
      <c r="L457" s="56">
        <f>EFEITO!$N$457*EFEITO!$AA$457</f>
        <v>1733.4740998044788</v>
      </c>
      <c r="M457" s="56">
        <f>$J$457-EFEITO!$K$457*EFEITO!$Y$457</f>
        <v>0</v>
      </c>
      <c r="N457" s="56">
        <f ca="1">$K$457-EFEITO!$M$457*EFEITO!$Z$457</f>
        <v>0</v>
      </c>
      <c r="O457" s="56">
        <f>$L$457-EFEITO!$O$457*EFEITO!$AA$457</f>
        <v>0</v>
      </c>
      <c r="P457" s="39"/>
      <c r="Q457" s="39"/>
      <c r="R457" s="39"/>
      <c r="S457" s="39"/>
      <c r="T457" s="39"/>
      <c r="U457" s="39"/>
      <c r="V457" s="39"/>
      <c r="W457" s="3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21</v>
      </c>
      <c r="B458" s="35" t="s">
        <v>33</v>
      </c>
      <c r="C458" s="35" t="s">
        <v>34</v>
      </c>
      <c r="D458" s="35" t="s">
        <v>46</v>
      </c>
      <c r="E458" s="35" t="s">
        <v>25</v>
      </c>
      <c r="F458" s="35" t="s">
        <v>25</v>
      </c>
      <c r="G458" s="35" t="s">
        <v>25</v>
      </c>
      <c r="H458" s="35" t="s">
        <v>35</v>
      </c>
      <c r="I458" s="55">
        <v>44682</v>
      </c>
      <c r="J458" s="56">
        <f>EFEITO!$J$458*EFEITO!$Y$458</f>
        <v>0</v>
      </c>
      <c r="K458" s="56">
        <f ca="1">EFEITO!$L$458*EFEITO!$Z$458</f>
        <v>6687.7608959007148</v>
      </c>
      <c r="L458" s="56">
        <f>EFEITO!$N$458*EFEITO!$AA$458</f>
        <v>15573.809000066478</v>
      </c>
      <c r="M458" s="56">
        <f>$J$458-EFEITO!$K$458*EFEITO!$Y$458</f>
        <v>0</v>
      </c>
      <c r="N458" s="56">
        <f ca="1">$K$458-EFEITO!$M$458*EFEITO!$Z$458</f>
        <v>0</v>
      </c>
      <c r="O458" s="56">
        <f>$L$458-EFEITO!$O$458*EFEITO!$AA$458</f>
        <v>0</v>
      </c>
      <c r="P458" s="39"/>
      <c r="Q458" s="39"/>
      <c r="R458" s="39"/>
      <c r="S458" s="39"/>
      <c r="T458" s="39"/>
      <c r="U458" s="39"/>
      <c r="V458" s="39"/>
      <c r="W458" s="3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28</v>
      </c>
      <c r="B459" s="35" t="s">
        <v>33</v>
      </c>
      <c r="C459" s="35" t="s">
        <v>34</v>
      </c>
      <c r="D459" s="35" t="s">
        <v>46</v>
      </c>
      <c r="E459" s="35" t="s">
        <v>25</v>
      </c>
      <c r="F459" s="35" t="s">
        <v>25</v>
      </c>
      <c r="G459" s="35" t="s">
        <v>25</v>
      </c>
      <c r="H459" s="35" t="s">
        <v>35</v>
      </c>
      <c r="I459" s="55">
        <v>44682</v>
      </c>
      <c r="J459" s="56">
        <f>EFEITO!$J$459*EFEITO!$Y$459</f>
        <v>0</v>
      </c>
      <c r="K459" s="56">
        <f ca="1">EFEITO!$L$459*EFEITO!$Z$459</f>
        <v>976.87894926649267</v>
      </c>
      <c r="L459" s="56">
        <f>EFEITO!$N$459*EFEITO!$AA$459</f>
        <v>2274.8609600243476</v>
      </c>
      <c r="M459" s="56">
        <f>$J$459-EFEITO!$K$459*EFEITO!$Y$459</f>
        <v>0</v>
      </c>
      <c r="N459" s="56">
        <f ca="1">$K$459-EFEITO!$M$459*EFEITO!$Z$459</f>
        <v>0</v>
      </c>
      <c r="O459" s="56">
        <f>$L$459-EFEITO!$O$459*EFEITO!$AA$459</f>
        <v>0</v>
      </c>
      <c r="P459" s="39"/>
      <c r="Q459" s="39"/>
      <c r="R459" s="39"/>
      <c r="S459" s="39"/>
      <c r="T459" s="39"/>
      <c r="U459" s="39"/>
      <c r="V459" s="39"/>
      <c r="W459" s="3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33</v>
      </c>
      <c r="C460" s="35" t="s">
        <v>34</v>
      </c>
      <c r="D460" s="35" t="s">
        <v>46</v>
      </c>
      <c r="E460" s="35" t="s">
        <v>25</v>
      </c>
      <c r="F460" s="35" t="s">
        <v>25</v>
      </c>
      <c r="G460" s="35" t="s">
        <v>25</v>
      </c>
      <c r="H460" s="35" t="s">
        <v>25</v>
      </c>
      <c r="I460" s="55">
        <v>44348</v>
      </c>
      <c r="J460" s="56">
        <f ca="1">EFEITO!$J$460*EFEITO!$Y$460</f>
        <v>9828.3912950407284</v>
      </c>
      <c r="K460" s="56">
        <f>EFEITO!$L$460*EFEITO!$Z$460</f>
        <v>0</v>
      </c>
      <c r="L460" s="56">
        <f>EFEITO!$N$460*EFEITO!$AA$460</f>
        <v>0</v>
      </c>
      <c r="M460" s="56">
        <f ca="1">$J$460-EFEITO!$K$460*EFEITO!$Y$460</f>
        <v>0</v>
      </c>
      <c r="N460" s="56">
        <f>$K$460-EFEITO!$M$460*EFEITO!$Z$460</f>
        <v>0</v>
      </c>
      <c r="O460" s="56">
        <f>$L$460-EFEITO!$O$460*EFEITO!$AA$460</f>
        <v>0</v>
      </c>
      <c r="P460" s="39"/>
      <c r="Q460" s="39"/>
      <c r="R460" s="39"/>
      <c r="S460" s="39"/>
      <c r="T460" s="39"/>
      <c r="U460" s="39"/>
      <c r="V460" s="39"/>
      <c r="W460" s="3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28</v>
      </c>
      <c r="B461" s="35" t="s">
        <v>33</v>
      </c>
      <c r="C461" s="35" t="s">
        <v>34</v>
      </c>
      <c r="D461" s="35" t="s">
        <v>46</v>
      </c>
      <c r="E461" s="35" t="s">
        <v>25</v>
      </c>
      <c r="F461" s="35" t="s">
        <v>25</v>
      </c>
      <c r="G461" s="35" t="s">
        <v>25</v>
      </c>
      <c r="H461" s="35" t="s">
        <v>25</v>
      </c>
      <c r="I461" s="55">
        <v>44348</v>
      </c>
      <c r="J461" s="56">
        <f ca="1">EFEITO!$J$461*EFEITO!$Y$461</f>
        <v>660.73218790189776</v>
      </c>
      <c r="K461" s="56">
        <f>EFEITO!$L$461*EFEITO!$Z$461</f>
        <v>0</v>
      </c>
      <c r="L461" s="56">
        <f>EFEITO!$N$461*EFEITO!$AA$461</f>
        <v>0</v>
      </c>
      <c r="M461" s="56">
        <f ca="1">$J$461-EFEITO!$K$461*EFEITO!$Y$461</f>
        <v>0</v>
      </c>
      <c r="N461" s="56">
        <f>$K$461-EFEITO!$M$461*EFEITO!$Z$461</f>
        <v>0</v>
      </c>
      <c r="O461" s="56">
        <f>$L$461-EFEITO!$O$461*EFEITO!$AA$461</f>
        <v>0</v>
      </c>
      <c r="P461" s="39"/>
      <c r="Q461" s="39"/>
      <c r="R461" s="39"/>
      <c r="S461" s="39"/>
      <c r="T461" s="39"/>
      <c r="U461" s="39"/>
      <c r="V461" s="39"/>
      <c r="W461" s="3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33</v>
      </c>
      <c r="C462" s="35" t="s">
        <v>34</v>
      </c>
      <c r="D462" s="35" t="s">
        <v>46</v>
      </c>
      <c r="E462" s="35" t="s">
        <v>25</v>
      </c>
      <c r="F462" s="35" t="s">
        <v>25</v>
      </c>
      <c r="G462" s="35" t="s">
        <v>25</v>
      </c>
      <c r="H462" s="35" t="s">
        <v>25</v>
      </c>
      <c r="I462" s="55">
        <v>44378</v>
      </c>
      <c r="J462" s="56">
        <f ca="1">EFEITO!$J$462*EFEITO!$Y$462</f>
        <v>9762.3180762505381</v>
      </c>
      <c r="K462" s="56">
        <f>EFEITO!$L$462*EFEITO!$Z$462</f>
        <v>0</v>
      </c>
      <c r="L462" s="56">
        <f>EFEITO!$N$462*EFEITO!$AA$462</f>
        <v>0</v>
      </c>
      <c r="M462" s="56">
        <f ca="1">$J$462-EFEITO!$K$462*EFEITO!$Y$462</f>
        <v>0</v>
      </c>
      <c r="N462" s="56">
        <f>$K$462-EFEITO!$M$462*EFEITO!$Z$462</f>
        <v>0</v>
      </c>
      <c r="O462" s="56">
        <f>$L$462-EFEITO!$O$462*EFEITO!$AA$462</f>
        <v>0</v>
      </c>
      <c r="P462" s="39"/>
      <c r="Q462" s="39"/>
      <c r="R462" s="39"/>
      <c r="S462" s="39"/>
      <c r="T462" s="39"/>
      <c r="U462" s="39"/>
      <c r="V462" s="39"/>
      <c r="W462" s="3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28</v>
      </c>
      <c r="B463" s="35" t="s">
        <v>33</v>
      </c>
      <c r="C463" s="35" t="s">
        <v>34</v>
      </c>
      <c r="D463" s="35" t="s">
        <v>46</v>
      </c>
      <c r="E463" s="35" t="s">
        <v>25</v>
      </c>
      <c r="F463" s="35" t="s">
        <v>25</v>
      </c>
      <c r="G463" s="35" t="s">
        <v>25</v>
      </c>
      <c r="H463" s="35" t="s">
        <v>25</v>
      </c>
      <c r="I463" s="55">
        <v>44378</v>
      </c>
      <c r="J463" s="56">
        <f ca="1">EFEITO!$J$463*EFEITO!$Y$463</f>
        <v>660.73218790189776</v>
      </c>
      <c r="K463" s="56">
        <f>EFEITO!$L$463*EFEITO!$Z$463</f>
        <v>0</v>
      </c>
      <c r="L463" s="56">
        <f>EFEITO!$N$463*EFEITO!$AA$463</f>
        <v>0</v>
      </c>
      <c r="M463" s="56">
        <f ca="1">$J$463-EFEITO!$K$463*EFEITO!$Y$463</f>
        <v>0</v>
      </c>
      <c r="N463" s="56">
        <f>$K$463-EFEITO!$M$463*EFEITO!$Z$463</f>
        <v>0</v>
      </c>
      <c r="O463" s="56">
        <f>$L$463-EFEITO!$O$463*EFEITO!$AA$463</f>
        <v>0</v>
      </c>
      <c r="P463" s="39"/>
      <c r="Q463" s="39"/>
      <c r="R463" s="39"/>
      <c r="S463" s="39"/>
      <c r="T463" s="39"/>
      <c r="U463" s="39"/>
      <c r="V463" s="39"/>
      <c r="W463" s="3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21</v>
      </c>
      <c r="B464" s="35" t="s">
        <v>33</v>
      </c>
      <c r="C464" s="35" t="s">
        <v>34</v>
      </c>
      <c r="D464" s="35" t="s">
        <v>46</v>
      </c>
      <c r="E464" s="35" t="s">
        <v>25</v>
      </c>
      <c r="F464" s="35" t="s">
        <v>25</v>
      </c>
      <c r="G464" s="35" t="s">
        <v>25</v>
      </c>
      <c r="H464" s="35" t="s">
        <v>25</v>
      </c>
      <c r="I464" s="55">
        <v>44409</v>
      </c>
      <c r="J464" s="56">
        <f ca="1">EFEITO!$J$464*EFEITO!$Y$464</f>
        <v>9531.0618104848745</v>
      </c>
      <c r="K464" s="56">
        <f>EFEITO!$L$464*EFEITO!$Z$464</f>
        <v>0</v>
      </c>
      <c r="L464" s="56">
        <f>EFEITO!$N$464*EFEITO!$AA$464</f>
        <v>0</v>
      </c>
      <c r="M464" s="56">
        <f ca="1">$J$464-EFEITO!$K$464*EFEITO!$Y$464</f>
        <v>0</v>
      </c>
      <c r="N464" s="56">
        <f>$K$464-EFEITO!$M$464*EFEITO!$Z$464</f>
        <v>0</v>
      </c>
      <c r="O464" s="56">
        <f>$L$464-EFEITO!$O$464*EFEITO!$AA$464</f>
        <v>0</v>
      </c>
      <c r="P464" s="39"/>
      <c r="Q464" s="39"/>
      <c r="R464" s="39"/>
      <c r="S464" s="39"/>
      <c r="T464" s="39"/>
      <c r="U464" s="39"/>
      <c r="V464" s="39"/>
      <c r="W464" s="3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28</v>
      </c>
      <c r="B465" s="35" t="s">
        <v>33</v>
      </c>
      <c r="C465" s="35" t="s">
        <v>34</v>
      </c>
      <c r="D465" s="35" t="s">
        <v>46</v>
      </c>
      <c r="E465" s="35" t="s">
        <v>25</v>
      </c>
      <c r="F465" s="35" t="s">
        <v>25</v>
      </c>
      <c r="G465" s="35" t="s">
        <v>25</v>
      </c>
      <c r="H465" s="35" t="s">
        <v>25</v>
      </c>
      <c r="I465" s="55">
        <v>44409</v>
      </c>
      <c r="J465" s="56">
        <f ca="1">EFEITO!$J$465*EFEITO!$Y$465</f>
        <v>660.73218790189776</v>
      </c>
      <c r="K465" s="56">
        <f>EFEITO!$L$465*EFEITO!$Z$465</f>
        <v>0</v>
      </c>
      <c r="L465" s="56">
        <f>EFEITO!$N$465*EFEITO!$AA$465</f>
        <v>0</v>
      </c>
      <c r="M465" s="56">
        <f ca="1">$J$465-EFEITO!$K$465*EFEITO!$Y$465</f>
        <v>0</v>
      </c>
      <c r="N465" s="56">
        <f>$K$465-EFEITO!$M$465*EFEITO!$Z$465</f>
        <v>0</v>
      </c>
      <c r="O465" s="56">
        <f>$L$465-EFEITO!$O$465*EFEITO!$AA$465</f>
        <v>0</v>
      </c>
      <c r="P465" s="39"/>
      <c r="Q465" s="39"/>
      <c r="R465" s="39"/>
      <c r="S465" s="39"/>
      <c r="T465" s="39"/>
      <c r="U465" s="39"/>
      <c r="V465" s="39"/>
      <c r="W465" s="3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21</v>
      </c>
      <c r="B466" s="35" t="s">
        <v>33</v>
      </c>
      <c r="C466" s="35" t="s">
        <v>34</v>
      </c>
      <c r="D466" s="35" t="s">
        <v>46</v>
      </c>
      <c r="E466" s="35" t="s">
        <v>25</v>
      </c>
      <c r="F466" s="35" t="s">
        <v>25</v>
      </c>
      <c r="G466" s="35" t="s">
        <v>25</v>
      </c>
      <c r="H466" s="35" t="s">
        <v>25</v>
      </c>
      <c r="I466" s="55">
        <v>44440</v>
      </c>
      <c r="J466" s="56">
        <f ca="1">EFEITO!$J$466*EFEITO!$Y$466</f>
        <v>9498.0252010897802</v>
      </c>
      <c r="K466" s="56">
        <f>EFEITO!$L$466*EFEITO!$Z$466</f>
        <v>0</v>
      </c>
      <c r="L466" s="56">
        <f>EFEITO!$N$466*EFEITO!$AA$466</f>
        <v>0</v>
      </c>
      <c r="M466" s="56">
        <f ca="1">$J$466-EFEITO!$K$466*EFEITO!$Y$466</f>
        <v>0</v>
      </c>
      <c r="N466" s="56">
        <f>$K$466-EFEITO!$M$466*EFEITO!$Z$466</f>
        <v>0</v>
      </c>
      <c r="O466" s="56">
        <f>$L$466-EFEITO!$O$466*EFEITO!$AA$466</f>
        <v>0</v>
      </c>
      <c r="P466" s="39"/>
      <c r="Q466" s="39"/>
      <c r="R466" s="39"/>
      <c r="S466" s="39"/>
      <c r="T466" s="39"/>
      <c r="U466" s="39"/>
      <c r="V466" s="39"/>
      <c r="W466" s="3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28</v>
      </c>
      <c r="B467" s="35" t="s">
        <v>33</v>
      </c>
      <c r="C467" s="35" t="s">
        <v>34</v>
      </c>
      <c r="D467" s="35" t="s">
        <v>46</v>
      </c>
      <c r="E467" s="35" t="s">
        <v>25</v>
      </c>
      <c r="F467" s="35" t="s">
        <v>25</v>
      </c>
      <c r="G467" s="35" t="s">
        <v>25</v>
      </c>
      <c r="H467" s="35" t="s">
        <v>25</v>
      </c>
      <c r="I467" s="55">
        <v>44440</v>
      </c>
      <c r="J467" s="56">
        <f ca="1">EFEITO!$J$467*EFEITO!$Y$467</f>
        <v>660.73218790189776</v>
      </c>
      <c r="K467" s="56">
        <f>EFEITO!$L$467*EFEITO!$Z$467</f>
        <v>0</v>
      </c>
      <c r="L467" s="56">
        <f>EFEITO!$N$467*EFEITO!$AA$467</f>
        <v>0</v>
      </c>
      <c r="M467" s="56">
        <f ca="1">$J$467-EFEITO!$K$467*EFEITO!$Y$467</f>
        <v>0</v>
      </c>
      <c r="N467" s="56">
        <f>$K$467-EFEITO!$M$467*EFEITO!$Z$467</f>
        <v>0</v>
      </c>
      <c r="O467" s="56">
        <f>$L$467-EFEITO!$O$467*EFEITO!$AA$467</f>
        <v>0</v>
      </c>
      <c r="P467" s="39"/>
      <c r="Q467" s="39"/>
      <c r="R467" s="39"/>
      <c r="S467" s="39"/>
      <c r="T467" s="39"/>
      <c r="U467" s="39"/>
      <c r="V467" s="39"/>
      <c r="W467" s="3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21</v>
      </c>
      <c r="B468" s="35" t="s">
        <v>33</v>
      </c>
      <c r="C468" s="35" t="s">
        <v>34</v>
      </c>
      <c r="D468" s="35" t="s">
        <v>46</v>
      </c>
      <c r="E468" s="35" t="s">
        <v>25</v>
      </c>
      <c r="F468" s="35" t="s">
        <v>25</v>
      </c>
      <c r="G468" s="35" t="s">
        <v>25</v>
      </c>
      <c r="H468" s="35" t="s">
        <v>25</v>
      </c>
      <c r="I468" s="55">
        <v>44470</v>
      </c>
      <c r="J468" s="56">
        <f ca="1">EFEITO!$J$468*EFEITO!$Y$468</f>
        <v>9498.0252010897802</v>
      </c>
      <c r="K468" s="56">
        <f>EFEITO!$L$468*EFEITO!$Z$468</f>
        <v>0</v>
      </c>
      <c r="L468" s="56">
        <f>EFEITO!$N$468*EFEITO!$AA$468</f>
        <v>0</v>
      </c>
      <c r="M468" s="56">
        <f ca="1">$J$468-EFEITO!$K$468*EFEITO!$Y$468</f>
        <v>0</v>
      </c>
      <c r="N468" s="56">
        <f>$K$468-EFEITO!$M$468*EFEITO!$Z$468</f>
        <v>0</v>
      </c>
      <c r="O468" s="56">
        <f>$L$468-EFEITO!$O$468*EFEITO!$AA$468</f>
        <v>0</v>
      </c>
      <c r="P468" s="39"/>
      <c r="Q468" s="39"/>
      <c r="R468" s="39"/>
      <c r="S468" s="39"/>
      <c r="T468" s="39"/>
      <c r="U468" s="39"/>
      <c r="V468" s="39"/>
      <c r="W468" s="3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28</v>
      </c>
      <c r="B469" s="35" t="s">
        <v>33</v>
      </c>
      <c r="C469" s="35" t="s">
        <v>34</v>
      </c>
      <c r="D469" s="35" t="s">
        <v>46</v>
      </c>
      <c r="E469" s="35" t="s">
        <v>25</v>
      </c>
      <c r="F469" s="35" t="s">
        <v>25</v>
      </c>
      <c r="G469" s="35" t="s">
        <v>25</v>
      </c>
      <c r="H469" s="35" t="s">
        <v>25</v>
      </c>
      <c r="I469" s="55">
        <v>44470</v>
      </c>
      <c r="J469" s="56">
        <f ca="1">EFEITO!$J$469*EFEITO!$Y$469</f>
        <v>660.73218790189776</v>
      </c>
      <c r="K469" s="56">
        <f>EFEITO!$L$469*EFEITO!$Z$469</f>
        <v>0</v>
      </c>
      <c r="L469" s="56">
        <f>EFEITO!$N$469*EFEITO!$AA$469</f>
        <v>0</v>
      </c>
      <c r="M469" s="56">
        <f ca="1">$J$469-EFEITO!$K$469*EFEITO!$Y$469</f>
        <v>0</v>
      </c>
      <c r="N469" s="56">
        <f>$K$469-EFEITO!$M$469*EFEITO!$Z$469</f>
        <v>0</v>
      </c>
      <c r="O469" s="56">
        <f>$L$469-EFEITO!$O$469*EFEITO!$AA$469</f>
        <v>0</v>
      </c>
      <c r="P469" s="39"/>
      <c r="Q469" s="39"/>
      <c r="R469" s="39"/>
      <c r="S469" s="39"/>
      <c r="T469" s="39"/>
      <c r="U469" s="39"/>
      <c r="V469" s="39"/>
      <c r="W469" s="3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21</v>
      </c>
      <c r="B470" s="35" t="s">
        <v>33</v>
      </c>
      <c r="C470" s="35" t="s">
        <v>34</v>
      </c>
      <c r="D470" s="35" t="s">
        <v>46</v>
      </c>
      <c r="E470" s="35" t="s">
        <v>25</v>
      </c>
      <c r="F470" s="35" t="s">
        <v>25</v>
      </c>
      <c r="G470" s="35" t="s">
        <v>25</v>
      </c>
      <c r="H470" s="35" t="s">
        <v>25</v>
      </c>
      <c r="I470" s="55">
        <v>44501</v>
      </c>
      <c r="J470" s="56">
        <f ca="1">EFEITO!$J$470*EFEITO!$Y$470</f>
        <v>9712.7631621578967</v>
      </c>
      <c r="K470" s="56">
        <f>EFEITO!$L$470*EFEITO!$Z$470</f>
        <v>0</v>
      </c>
      <c r="L470" s="56">
        <f>EFEITO!$N$470*EFEITO!$AA$470</f>
        <v>0</v>
      </c>
      <c r="M470" s="56">
        <f ca="1">$J$470-EFEITO!$K$470*EFEITO!$Y$470</f>
        <v>0</v>
      </c>
      <c r="N470" s="56">
        <f>$K$470-EFEITO!$M$470*EFEITO!$Z$470</f>
        <v>0</v>
      </c>
      <c r="O470" s="56">
        <f>$L$470-EFEITO!$O$470*EFEITO!$AA$470</f>
        <v>0</v>
      </c>
      <c r="P470" s="39"/>
      <c r="Q470" s="39"/>
      <c r="R470" s="39"/>
      <c r="S470" s="39"/>
      <c r="T470" s="39"/>
      <c r="U470" s="39"/>
      <c r="V470" s="39"/>
      <c r="W470" s="3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28</v>
      </c>
      <c r="B471" s="35" t="s">
        <v>33</v>
      </c>
      <c r="C471" s="35" t="s">
        <v>34</v>
      </c>
      <c r="D471" s="35" t="s">
        <v>46</v>
      </c>
      <c r="E471" s="35" t="s">
        <v>25</v>
      </c>
      <c r="F471" s="35" t="s">
        <v>25</v>
      </c>
      <c r="G471" s="35" t="s">
        <v>25</v>
      </c>
      <c r="H471" s="35" t="s">
        <v>25</v>
      </c>
      <c r="I471" s="55">
        <v>44501</v>
      </c>
      <c r="J471" s="56">
        <f ca="1">EFEITO!$J$471*EFEITO!$Y$471</f>
        <v>660.73218790189776</v>
      </c>
      <c r="K471" s="56">
        <f>EFEITO!$L$471*EFEITO!$Z$471</f>
        <v>0</v>
      </c>
      <c r="L471" s="56">
        <f>EFEITO!$N$471*EFEITO!$AA$471</f>
        <v>0</v>
      </c>
      <c r="M471" s="56">
        <f ca="1">$J$471-EFEITO!$K$471*EFEITO!$Y$471</f>
        <v>0</v>
      </c>
      <c r="N471" s="56">
        <f>$K$471-EFEITO!$M$471*EFEITO!$Z$471</f>
        <v>0</v>
      </c>
      <c r="O471" s="56">
        <f>$L$471-EFEITO!$O$471*EFEITO!$AA$471</f>
        <v>0</v>
      </c>
      <c r="P471" s="39"/>
      <c r="Q471" s="39"/>
      <c r="R471" s="39"/>
      <c r="S471" s="39"/>
      <c r="T471" s="39"/>
      <c r="U471" s="39"/>
      <c r="V471" s="39"/>
      <c r="W471" s="3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21</v>
      </c>
      <c r="B472" s="35" t="s">
        <v>33</v>
      </c>
      <c r="C472" s="35" t="s">
        <v>34</v>
      </c>
      <c r="D472" s="35" t="s">
        <v>46</v>
      </c>
      <c r="E472" s="35" t="s">
        <v>25</v>
      </c>
      <c r="F472" s="35" t="s">
        <v>25</v>
      </c>
      <c r="G472" s="35" t="s">
        <v>25</v>
      </c>
      <c r="H472" s="35" t="s">
        <v>25</v>
      </c>
      <c r="I472" s="55">
        <v>44531</v>
      </c>
      <c r="J472" s="56">
        <f ca="1">EFEITO!$J$472*EFEITO!$Y$472</f>
        <v>10026.610951411298</v>
      </c>
      <c r="K472" s="56">
        <f>EFEITO!$L$472*EFEITO!$Z$472</f>
        <v>0</v>
      </c>
      <c r="L472" s="56">
        <f>EFEITO!$N$472*EFEITO!$AA$472</f>
        <v>0</v>
      </c>
      <c r="M472" s="56">
        <f ca="1">$J$472-EFEITO!$K$472*EFEITO!$Y$472</f>
        <v>0</v>
      </c>
      <c r="N472" s="56">
        <f>$K$472-EFEITO!$M$472*EFEITO!$Z$472</f>
        <v>0</v>
      </c>
      <c r="O472" s="56">
        <f>$L$472-EFEITO!$O$472*EFEITO!$AA$472</f>
        <v>0</v>
      </c>
      <c r="P472" s="39"/>
      <c r="Q472" s="39"/>
      <c r="R472" s="39"/>
      <c r="S472" s="39"/>
      <c r="T472" s="39"/>
      <c r="U472" s="39"/>
      <c r="V472" s="39"/>
      <c r="W472" s="3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28</v>
      </c>
      <c r="B473" s="35" t="s">
        <v>33</v>
      </c>
      <c r="C473" s="35" t="s">
        <v>34</v>
      </c>
      <c r="D473" s="35" t="s">
        <v>46</v>
      </c>
      <c r="E473" s="35" t="s">
        <v>25</v>
      </c>
      <c r="F473" s="35" t="s">
        <v>25</v>
      </c>
      <c r="G473" s="35" t="s">
        <v>25</v>
      </c>
      <c r="H473" s="35" t="s">
        <v>25</v>
      </c>
      <c r="I473" s="55">
        <v>44531</v>
      </c>
      <c r="J473" s="56">
        <f ca="1">EFEITO!$J$473*EFEITO!$Y$473</f>
        <v>660.73218790189776</v>
      </c>
      <c r="K473" s="56">
        <f>EFEITO!$L$473*EFEITO!$Z$473</f>
        <v>0</v>
      </c>
      <c r="L473" s="56">
        <f>EFEITO!$N$473*EFEITO!$AA$473</f>
        <v>0</v>
      </c>
      <c r="M473" s="56">
        <f ca="1">$J$473-EFEITO!$K$473*EFEITO!$Y$473</f>
        <v>0</v>
      </c>
      <c r="N473" s="56">
        <f>$K$473-EFEITO!$M$473*EFEITO!$Z$473</f>
        <v>0</v>
      </c>
      <c r="O473" s="56">
        <f>$L$473-EFEITO!$O$473*EFEITO!$AA$473</f>
        <v>0</v>
      </c>
      <c r="P473" s="39"/>
      <c r="Q473" s="39"/>
      <c r="R473" s="39"/>
      <c r="S473" s="39"/>
      <c r="T473" s="39"/>
      <c r="U473" s="39"/>
      <c r="V473" s="39"/>
      <c r="W473" s="3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21</v>
      </c>
      <c r="B474" s="35" t="s">
        <v>33</v>
      </c>
      <c r="C474" s="35" t="s">
        <v>34</v>
      </c>
      <c r="D474" s="35" t="s">
        <v>46</v>
      </c>
      <c r="E474" s="35" t="s">
        <v>25</v>
      </c>
      <c r="F474" s="35" t="s">
        <v>25</v>
      </c>
      <c r="G474" s="35" t="s">
        <v>25</v>
      </c>
      <c r="H474" s="35" t="s">
        <v>25</v>
      </c>
      <c r="I474" s="55">
        <v>44562</v>
      </c>
      <c r="J474" s="56">
        <f ca="1">EFEITO!$J$474*EFEITO!$Y$474</f>
        <v>9894.4645138309188</v>
      </c>
      <c r="K474" s="56">
        <f>EFEITO!$L$474*EFEITO!$Z$474</f>
        <v>0</v>
      </c>
      <c r="L474" s="56">
        <f>EFEITO!$N$474*EFEITO!$AA$474</f>
        <v>0</v>
      </c>
      <c r="M474" s="56">
        <f ca="1">$J$474-EFEITO!$K$474*EFEITO!$Y$474</f>
        <v>0</v>
      </c>
      <c r="N474" s="56">
        <f>$K$474-EFEITO!$M$474*EFEITO!$Z$474</f>
        <v>0</v>
      </c>
      <c r="O474" s="56">
        <f>$L$474-EFEITO!$O$474*EFEITO!$AA$474</f>
        <v>0</v>
      </c>
      <c r="P474" s="39"/>
      <c r="Q474" s="39"/>
      <c r="R474" s="39"/>
      <c r="S474" s="39"/>
      <c r="T474" s="39"/>
      <c r="U474" s="39"/>
      <c r="V474" s="39"/>
      <c r="W474" s="3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28</v>
      </c>
      <c r="B475" s="35" t="s">
        <v>33</v>
      </c>
      <c r="C475" s="35" t="s">
        <v>34</v>
      </c>
      <c r="D475" s="35" t="s">
        <v>46</v>
      </c>
      <c r="E475" s="35" t="s">
        <v>25</v>
      </c>
      <c r="F475" s="35" t="s">
        <v>25</v>
      </c>
      <c r="G475" s="35" t="s">
        <v>25</v>
      </c>
      <c r="H475" s="35" t="s">
        <v>25</v>
      </c>
      <c r="I475" s="55">
        <v>44562</v>
      </c>
      <c r="J475" s="56">
        <f ca="1">EFEITO!$J$475*EFEITO!$Y$475</f>
        <v>660.73218790189776</v>
      </c>
      <c r="K475" s="56">
        <f>EFEITO!$L$475*EFEITO!$Z$475</f>
        <v>0</v>
      </c>
      <c r="L475" s="56">
        <f>EFEITO!$N$475*EFEITO!$AA$475</f>
        <v>0</v>
      </c>
      <c r="M475" s="56">
        <f ca="1">$J$475-EFEITO!$K$475*EFEITO!$Y$475</f>
        <v>0</v>
      </c>
      <c r="N475" s="56">
        <f>$K$475-EFEITO!$M$475*EFEITO!$Z$475</f>
        <v>0</v>
      </c>
      <c r="O475" s="56">
        <f>$L$475-EFEITO!$O$475*EFEITO!$AA$475</f>
        <v>0</v>
      </c>
      <c r="P475" s="39"/>
      <c r="Q475" s="39"/>
      <c r="R475" s="39"/>
      <c r="S475" s="39"/>
      <c r="T475" s="39"/>
      <c r="U475" s="39"/>
      <c r="V475" s="39"/>
      <c r="W475" s="3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21</v>
      </c>
      <c r="B476" s="35" t="s">
        <v>33</v>
      </c>
      <c r="C476" s="35" t="s">
        <v>34</v>
      </c>
      <c r="D476" s="35" t="s">
        <v>46</v>
      </c>
      <c r="E476" s="35" t="s">
        <v>25</v>
      </c>
      <c r="F476" s="35" t="s">
        <v>25</v>
      </c>
      <c r="G476" s="35" t="s">
        <v>25</v>
      </c>
      <c r="H476" s="35" t="s">
        <v>25</v>
      </c>
      <c r="I476" s="55">
        <v>44593</v>
      </c>
      <c r="J476" s="56">
        <f ca="1">EFEITO!$J$476*EFEITO!$Y$476</f>
        <v>10076.165865503939</v>
      </c>
      <c r="K476" s="56">
        <f>EFEITO!$L$476*EFEITO!$Z$476</f>
        <v>0</v>
      </c>
      <c r="L476" s="56">
        <f>EFEITO!$N$476*EFEITO!$AA$476</f>
        <v>0</v>
      </c>
      <c r="M476" s="56">
        <f ca="1">$J$476-EFEITO!$K$476*EFEITO!$Y$476</f>
        <v>0</v>
      </c>
      <c r="N476" s="56">
        <f>$K$476-EFEITO!$M$476*EFEITO!$Z$476</f>
        <v>0</v>
      </c>
      <c r="O476" s="56">
        <f>$L$476-EFEITO!$O$476*EFEITO!$AA$476</f>
        <v>0</v>
      </c>
      <c r="P476" s="39"/>
      <c r="Q476" s="39"/>
      <c r="R476" s="39"/>
      <c r="S476" s="39"/>
      <c r="T476" s="39"/>
      <c r="U476" s="39"/>
      <c r="V476" s="39"/>
      <c r="W476" s="3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21</v>
      </c>
      <c r="B477" s="35" t="s">
        <v>33</v>
      </c>
      <c r="C477" s="35" t="s">
        <v>34</v>
      </c>
      <c r="D477" s="35" t="s">
        <v>46</v>
      </c>
      <c r="E477" s="35" t="s">
        <v>25</v>
      </c>
      <c r="F477" s="35" t="s">
        <v>25</v>
      </c>
      <c r="G477" s="35" t="s">
        <v>25</v>
      </c>
      <c r="H477" s="35" t="s">
        <v>25</v>
      </c>
      <c r="I477" s="55">
        <v>44621</v>
      </c>
      <c r="J477" s="56">
        <f ca="1">EFEITO!$J$477*EFEITO!$Y$477</f>
        <v>10356.977045362246</v>
      </c>
      <c r="K477" s="56">
        <f>EFEITO!$L$477*EFEITO!$Z$477</f>
        <v>0</v>
      </c>
      <c r="L477" s="56">
        <f>EFEITO!$N$477*EFEITO!$AA$477</f>
        <v>0</v>
      </c>
      <c r="M477" s="56">
        <f ca="1">$J$477-EFEITO!$K$477*EFEITO!$Y$477</f>
        <v>0</v>
      </c>
      <c r="N477" s="56">
        <f>$K$477-EFEITO!$M$477*EFEITO!$Z$477</f>
        <v>0</v>
      </c>
      <c r="O477" s="56">
        <f>$L$477-EFEITO!$O$477*EFEITO!$AA$477</f>
        <v>0</v>
      </c>
      <c r="P477" s="39"/>
      <c r="Q477" s="39"/>
      <c r="R477" s="39"/>
      <c r="S477" s="39"/>
      <c r="T477" s="39"/>
      <c r="U477" s="39"/>
      <c r="V477" s="39"/>
      <c r="W477" s="3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28</v>
      </c>
      <c r="B478" s="35" t="s">
        <v>33</v>
      </c>
      <c r="C478" s="35" t="s">
        <v>34</v>
      </c>
      <c r="D478" s="35" t="s">
        <v>46</v>
      </c>
      <c r="E478" s="35" t="s">
        <v>25</v>
      </c>
      <c r="F478" s="35" t="s">
        <v>25</v>
      </c>
      <c r="G478" s="35" t="s">
        <v>25</v>
      </c>
      <c r="H478" s="35" t="s">
        <v>25</v>
      </c>
      <c r="I478" s="55">
        <v>44621</v>
      </c>
      <c r="J478" s="56">
        <f ca="1">EFEITO!$J$478*EFEITO!$Y$478</f>
        <v>693.7687972969926</v>
      </c>
      <c r="K478" s="56">
        <f>EFEITO!$L$478*EFEITO!$Z$478</f>
        <v>0</v>
      </c>
      <c r="L478" s="56">
        <f>EFEITO!$N$478*EFEITO!$AA$478</f>
        <v>0</v>
      </c>
      <c r="M478" s="56">
        <f ca="1">$J$478-EFEITO!$K$478*EFEITO!$Y$478</f>
        <v>0</v>
      </c>
      <c r="N478" s="56">
        <f>$K$478-EFEITO!$M$478*EFEITO!$Z$478</f>
        <v>0</v>
      </c>
      <c r="O478" s="56">
        <f>$L$478-EFEITO!$O$478*EFEITO!$AA$478</f>
        <v>0</v>
      </c>
      <c r="P478" s="39"/>
      <c r="Q478" s="39"/>
      <c r="R478" s="39"/>
      <c r="S478" s="39"/>
      <c r="T478" s="39"/>
      <c r="U478" s="39"/>
      <c r="V478" s="39"/>
      <c r="W478" s="3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21</v>
      </c>
      <c r="B479" s="35" t="s">
        <v>33</v>
      </c>
      <c r="C479" s="35" t="s">
        <v>34</v>
      </c>
      <c r="D479" s="35" t="s">
        <v>46</v>
      </c>
      <c r="E479" s="35" t="s">
        <v>25</v>
      </c>
      <c r="F479" s="35" t="s">
        <v>25</v>
      </c>
      <c r="G479" s="35" t="s">
        <v>25</v>
      </c>
      <c r="H479" s="35" t="s">
        <v>25</v>
      </c>
      <c r="I479" s="55">
        <v>44652</v>
      </c>
      <c r="J479" s="56">
        <f ca="1">EFEITO!$J$479*EFEITO!$Y$479</f>
        <v>9498.0252010897802</v>
      </c>
      <c r="K479" s="56">
        <f>EFEITO!$L$479*EFEITO!$Z$479</f>
        <v>0</v>
      </c>
      <c r="L479" s="56">
        <f>EFEITO!$N$479*EFEITO!$AA$479</f>
        <v>0</v>
      </c>
      <c r="M479" s="56">
        <f ca="1">$J$479-EFEITO!$K$479*EFEITO!$Y$479</f>
        <v>0</v>
      </c>
      <c r="N479" s="56">
        <f>$K$479-EFEITO!$M$479*EFEITO!$Z$479</f>
        <v>0</v>
      </c>
      <c r="O479" s="56">
        <f>$L$479-EFEITO!$O$479*EFEITO!$AA$479</f>
        <v>0</v>
      </c>
      <c r="P479" s="39"/>
      <c r="Q479" s="39"/>
      <c r="R479" s="39"/>
      <c r="S479" s="39"/>
      <c r="T479" s="39"/>
      <c r="U479" s="39"/>
      <c r="V479" s="39"/>
      <c r="W479" s="3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28</v>
      </c>
      <c r="B480" s="35" t="s">
        <v>33</v>
      </c>
      <c r="C480" s="35" t="s">
        <v>34</v>
      </c>
      <c r="D480" s="35" t="s">
        <v>46</v>
      </c>
      <c r="E480" s="35" t="s">
        <v>25</v>
      </c>
      <c r="F480" s="35" t="s">
        <v>25</v>
      </c>
      <c r="G480" s="35" t="s">
        <v>25</v>
      </c>
      <c r="H480" s="35" t="s">
        <v>25</v>
      </c>
      <c r="I480" s="55">
        <v>44652</v>
      </c>
      <c r="J480" s="56">
        <f ca="1">EFEITO!$J$480*EFEITO!$Y$480</f>
        <v>660.73218790189776</v>
      </c>
      <c r="K480" s="56">
        <f>EFEITO!$L$480*EFEITO!$Z$480</f>
        <v>0</v>
      </c>
      <c r="L480" s="56">
        <f>EFEITO!$N$480*EFEITO!$AA$480</f>
        <v>0</v>
      </c>
      <c r="M480" s="56">
        <f ca="1">$J$480-EFEITO!$K$480*EFEITO!$Y$480</f>
        <v>0</v>
      </c>
      <c r="N480" s="56">
        <f>$K$480-EFEITO!$M$480*EFEITO!$Z$480</f>
        <v>0</v>
      </c>
      <c r="O480" s="56">
        <f>$L$480-EFEITO!$O$480*EFEITO!$AA$480</f>
        <v>0</v>
      </c>
      <c r="P480" s="39"/>
      <c r="Q480" s="39"/>
      <c r="R480" s="39"/>
      <c r="S480" s="39"/>
      <c r="T480" s="39"/>
      <c r="U480" s="39"/>
      <c r="V480" s="39"/>
      <c r="W480" s="3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21</v>
      </c>
      <c r="B481" s="35" t="s">
        <v>33</v>
      </c>
      <c r="C481" s="35" t="s">
        <v>34</v>
      </c>
      <c r="D481" s="35" t="s">
        <v>46</v>
      </c>
      <c r="E481" s="35" t="s">
        <v>25</v>
      </c>
      <c r="F481" s="35" t="s">
        <v>25</v>
      </c>
      <c r="G481" s="35" t="s">
        <v>25</v>
      </c>
      <c r="H481" s="35" t="s">
        <v>25</v>
      </c>
      <c r="I481" s="55">
        <v>44682</v>
      </c>
      <c r="J481" s="56">
        <f ca="1">EFEITO!$J$481*EFEITO!$Y$481</f>
        <v>9564.0984198799688</v>
      </c>
      <c r="K481" s="56">
        <f>EFEITO!$L$481*EFEITO!$Z$481</f>
        <v>0</v>
      </c>
      <c r="L481" s="56">
        <f>EFEITO!$N$481*EFEITO!$AA$481</f>
        <v>0</v>
      </c>
      <c r="M481" s="56">
        <f ca="1">$J$481-EFEITO!$K$481*EFEITO!$Y$481</f>
        <v>0</v>
      </c>
      <c r="N481" s="56">
        <f>$K$481-EFEITO!$M$481*EFEITO!$Z$481</f>
        <v>0</v>
      </c>
      <c r="O481" s="56">
        <f>$L$481-EFEITO!$O$481*EFEITO!$AA$481</f>
        <v>0</v>
      </c>
      <c r="P481" s="39"/>
      <c r="Q481" s="39"/>
      <c r="R481" s="39"/>
      <c r="S481" s="39"/>
      <c r="T481" s="39"/>
      <c r="U481" s="39"/>
      <c r="V481" s="39"/>
      <c r="W481" s="3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28</v>
      </c>
      <c r="B482" s="35" t="s">
        <v>33</v>
      </c>
      <c r="C482" s="35" t="s">
        <v>34</v>
      </c>
      <c r="D482" s="35" t="s">
        <v>46</v>
      </c>
      <c r="E482" s="35" t="s">
        <v>25</v>
      </c>
      <c r="F482" s="35" t="s">
        <v>25</v>
      </c>
      <c r="G482" s="35" t="s">
        <v>25</v>
      </c>
      <c r="H482" s="35" t="s">
        <v>25</v>
      </c>
      <c r="I482" s="55">
        <v>44682</v>
      </c>
      <c r="J482" s="56">
        <f ca="1">EFEITO!$J$482*EFEITO!$Y$482</f>
        <v>875.47014897001441</v>
      </c>
      <c r="K482" s="56">
        <f>EFEITO!$L$482*EFEITO!$Z$482</f>
        <v>0</v>
      </c>
      <c r="L482" s="56">
        <f>EFEITO!$N$482*EFEITO!$AA$482</f>
        <v>0</v>
      </c>
      <c r="M482" s="56">
        <f ca="1">$J$482-EFEITO!$K$482*EFEITO!$Y$482</f>
        <v>0</v>
      </c>
      <c r="N482" s="56">
        <f>$K$482-EFEITO!$M$482*EFEITO!$Z$482</f>
        <v>0</v>
      </c>
      <c r="O482" s="56">
        <f>$L$482-EFEITO!$O$482*EFEITO!$AA$482</f>
        <v>0</v>
      </c>
      <c r="P482" s="39"/>
      <c r="Q482" s="39"/>
      <c r="R482" s="39"/>
      <c r="S482" s="39"/>
      <c r="T482" s="39"/>
      <c r="U482" s="39"/>
      <c r="V482" s="39"/>
      <c r="W482" s="3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21</v>
      </c>
      <c r="B483" s="35" t="s">
        <v>33</v>
      </c>
      <c r="C483" s="35" t="s">
        <v>34</v>
      </c>
      <c r="D483" s="35" t="s">
        <v>46</v>
      </c>
      <c r="E483" s="35" t="s">
        <v>25</v>
      </c>
      <c r="F483" s="35" t="s">
        <v>25</v>
      </c>
      <c r="G483" s="35" t="s">
        <v>25</v>
      </c>
      <c r="H483" s="35" t="s">
        <v>37</v>
      </c>
      <c r="I483" s="55">
        <v>44348</v>
      </c>
      <c r="J483" s="56">
        <f>EFEITO!$J$483*EFEITO!$Y$483</f>
        <v>0</v>
      </c>
      <c r="K483" s="56">
        <f ca="1">EFEITO!$L$483*EFEITO!$Z$483</f>
        <v>4711.6223614105338</v>
      </c>
      <c r="L483" s="56">
        <f>EFEITO!$N$483*EFEITO!$AA$483</f>
        <v>1705.8739559772639</v>
      </c>
      <c r="M483" s="56">
        <f>$J$483-EFEITO!$K$483*EFEITO!$Y$483</f>
        <v>0</v>
      </c>
      <c r="N483" s="56">
        <f ca="1">$K$483-EFEITO!$M$483*EFEITO!$Z$483</f>
        <v>0</v>
      </c>
      <c r="O483" s="56">
        <f>$L$483-EFEITO!$O$483*EFEITO!$AA$483</f>
        <v>0</v>
      </c>
      <c r="P483" s="39"/>
      <c r="Q483" s="39"/>
      <c r="R483" s="39"/>
      <c r="S483" s="39"/>
      <c r="T483" s="39"/>
      <c r="U483" s="39"/>
      <c r="V483" s="39"/>
      <c r="W483" s="3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28</v>
      </c>
      <c r="B484" s="35" t="s">
        <v>33</v>
      </c>
      <c r="C484" s="35" t="s">
        <v>34</v>
      </c>
      <c r="D484" s="35" t="s">
        <v>46</v>
      </c>
      <c r="E484" s="35" t="s">
        <v>25</v>
      </c>
      <c r="F484" s="35" t="s">
        <v>25</v>
      </c>
      <c r="G484" s="35" t="s">
        <v>25</v>
      </c>
      <c r="H484" s="35" t="s">
        <v>37</v>
      </c>
      <c r="I484" s="55">
        <v>44348</v>
      </c>
      <c r="J484" s="56">
        <f>EFEITO!$J$484*EFEITO!$Y$484</f>
        <v>0</v>
      </c>
      <c r="K484" s="56">
        <f ca="1">EFEITO!$L$484*EFEITO!$Z$484</f>
        <v>410.40408890145272</v>
      </c>
      <c r="L484" s="56">
        <f>EFEITO!$N$484*EFEITO!$AA$484</f>
        <v>148.58950760093927</v>
      </c>
      <c r="M484" s="56">
        <f>$J$484-EFEITO!$K$484*EFEITO!$Y$484</f>
        <v>0</v>
      </c>
      <c r="N484" s="56">
        <f ca="1">$K$484-EFEITO!$M$484*EFEITO!$Z$484</f>
        <v>0</v>
      </c>
      <c r="O484" s="56">
        <f>$L$484-EFEITO!$O$484*EFEITO!$AA$484</f>
        <v>0</v>
      </c>
      <c r="P484" s="39"/>
      <c r="Q484" s="39"/>
      <c r="R484" s="39"/>
      <c r="S484" s="39"/>
      <c r="T484" s="39"/>
      <c r="U484" s="39"/>
      <c r="V484" s="39"/>
      <c r="W484" s="3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21</v>
      </c>
      <c r="B485" s="35" t="s">
        <v>33</v>
      </c>
      <c r="C485" s="35" t="s">
        <v>34</v>
      </c>
      <c r="D485" s="35" t="s">
        <v>46</v>
      </c>
      <c r="E485" s="35" t="s">
        <v>25</v>
      </c>
      <c r="F485" s="35" t="s">
        <v>25</v>
      </c>
      <c r="G485" s="35" t="s">
        <v>25</v>
      </c>
      <c r="H485" s="35" t="s">
        <v>37</v>
      </c>
      <c r="I485" s="55">
        <v>44378</v>
      </c>
      <c r="J485" s="56">
        <f>EFEITO!$J$485*EFEITO!$Y$485</f>
        <v>0</v>
      </c>
      <c r="K485" s="56">
        <f ca="1">EFEITO!$L$485*EFEITO!$Z$485</f>
        <v>5007.3884366523625</v>
      </c>
      <c r="L485" s="56">
        <f>EFEITO!$N$485*EFEITO!$AA$485</f>
        <v>1812.9580145276616</v>
      </c>
      <c r="M485" s="56">
        <f>$J$485-EFEITO!$K$485*EFEITO!$Y$485</f>
        <v>0</v>
      </c>
      <c r="N485" s="56">
        <f ca="1">$K$485-EFEITO!$M$485*EFEITO!$Z$485</f>
        <v>0</v>
      </c>
      <c r="O485" s="56">
        <f>$L$485-EFEITO!$O$485*EFEITO!$AA$485</f>
        <v>0</v>
      </c>
      <c r="P485" s="39"/>
      <c r="Q485" s="39"/>
      <c r="R485" s="39"/>
      <c r="S485" s="39"/>
      <c r="T485" s="39"/>
      <c r="U485" s="39"/>
      <c r="V485" s="39"/>
      <c r="W485" s="3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28</v>
      </c>
      <c r="B486" s="35" t="s">
        <v>33</v>
      </c>
      <c r="C486" s="35" t="s">
        <v>34</v>
      </c>
      <c r="D486" s="35" t="s">
        <v>46</v>
      </c>
      <c r="E486" s="35" t="s">
        <v>25</v>
      </c>
      <c r="F486" s="35" t="s">
        <v>25</v>
      </c>
      <c r="G486" s="35" t="s">
        <v>25</v>
      </c>
      <c r="H486" s="35" t="s">
        <v>37</v>
      </c>
      <c r="I486" s="55">
        <v>44378</v>
      </c>
      <c r="J486" s="56">
        <f>EFEITO!$J$486*EFEITO!$Y$486</f>
        <v>0</v>
      </c>
      <c r="K486" s="56">
        <f ca="1">EFEITO!$L$486*EFEITO!$Z$486</f>
        <v>403.52580808187531</v>
      </c>
      <c r="L486" s="56">
        <f>EFEITO!$N$486*EFEITO!$AA$486</f>
        <v>146.09918065790677</v>
      </c>
      <c r="M486" s="56">
        <f>$J$486-EFEITO!$K$486*EFEITO!$Y$486</f>
        <v>0</v>
      </c>
      <c r="N486" s="56">
        <f ca="1">$K$486-EFEITO!$M$486*EFEITO!$Z$486</f>
        <v>0</v>
      </c>
      <c r="O486" s="56">
        <f>$L$486-EFEITO!$O$486*EFEITO!$AA$486</f>
        <v>0</v>
      </c>
      <c r="P486" s="39"/>
      <c r="Q486" s="39"/>
      <c r="R486" s="39"/>
      <c r="S486" s="39"/>
      <c r="T486" s="39"/>
      <c r="U486" s="39"/>
      <c r="V486" s="39"/>
      <c r="W486" s="3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21</v>
      </c>
      <c r="B487" s="35" t="s">
        <v>33</v>
      </c>
      <c r="C487" s="35" t="s">
        <v>34</v>
      </c>
      <c r="D487" s="35" t="s">
        <v>46</v>
      </c>
      <c r="E487" s="35" t="s">
        <v>25</v>
      </c>
      <c r="F487" s="35" t="s">
        <v>25</v>
      </c>
      <c r="G487" s="35" t="s">
        <v>25</v>
      </c>
      <c r="H487" s="35" t="s">
        <v>37</v>
      </c>
      <c r="I487" s="55">
        <v>44409</v>
      </c>
      <c r="J487" s="56">
        <f>EFEITO!$J$487*EFEITO!$Y$487</f>
        <v>0</v>
      </c>
      <c r="K487" s="56">
        <f ca="1">EFEITO!$L$487*EFEITO!$Z$487</f>
        <v>4862.944539441236</v>
      </c>
      <c r="L487" s="56">
        <f>EFEITO!$N$487*EFEITO!$AA$487</f>
        <v>1760.6611487239788</v>
      </c>
      <c r="M487" s="56">
        <f>$J$487-EFEITO!$K$487*EFEITO!$Y$487</f>
        <v>0</v>
      </c>
      <c r="N487" s="56">
        <f ca="1">$K$487-EFEITO!$M$487*EFEITO!$Z$487</f>
        <v>0</v>
      </c>
      <c r="O487" s="56">
        <f>$L$487-EFEITO!$O$487*EFEITO!$AA$487</f>
        <v>0</v>
      </c>
      <c r="P487" s="39"/>
      <c r="Q487" s="39"/>
      <c r="R487" s="39"/>
      <c r="S487" s="39"/>
      <c r="T487" s="39"/>
      <c r="U487" s="39"/>
      <c r="V487" s="39"/>
      <c r="W487" s="3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28</v>
      </c>
      <c r="B488" s="35" t="s">
        <v>33</v>
      </c>
      <c r="C488" s="35" t="s">
        <v>34</v>
      </c>
      <c r="D488" s="35" t="s">
        <v>46</v>
      </c>
      <c r="E488" s="35" t="s">
        <v>25</v>
      </c>
      <c r="F488" s="35" t="s">
        <v>25</v>
      </c>
      <c r="G488" s="35" t="s">
        <v>25</v>
      </c>
      <c r="H488" s="35" t="s">
        <v>37</v>
      </c>
      <c r="I488" s="55">
        <v>44409</v>
      </c>
      <c r="J488" s="56">
        <f>EFEITO!$J$488*EFEITO!$Y$488</f>
        <v>0</v>
      </c>
      <c r="K488" s="56">
        <f ca="1">EFEITO!$L$488*EFEITO!$Z$488</f>
        <v>457.40567450189849</v>
      </c>
      <c r="L488" s="56">
        <f>EFEITO!$N$488*EFEITO!$AA$488</f>
        <v>165.60674171166139</v>
      </c>
      <c r="M488" s="56">
        <f>$J$488-EFEITO!$K$488*EFEITO!$Y$488</f>
        <v>0</v>
      </c>
      <c r="N488" s="56">
        <f ca="1">$K$488-EFEITO!$M$488*EFEITO!$Z$488</f>
        <v>0</v>
      </c>
      <c r="O488" s="56">
        <f>$L$488-EFEITO!$O$488*EFEITO!$AA$488</f>
        <v>0</v>
      </c>
      <c r="P488" s="39"/>
      <c r="Q488" s="39"/>
      <c r="R488" s="39"/>
      <c r="S488" s="39"/>
      <c r="T488" s="39"/>
      <c r="U488" s="39"/>
      <c r="V488" s="39"/>
      <c r="W488" s="3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21</v>
      </c>
      <c r="B489" s="35" t="s">
        <v>33</v>
      </c>
      <c r="C489" s="35" t="s">
        <v>34</v>
      </c>
      <c r="D489" s="35" t="s">
        <v>46</v>
      </c>
      <c r="E489" s="35" t="s">
        <v>25</v>
      </c>
      <c r="F489" s="35" t="s">
        <v>25</v>
      </c>
      <c r="G489" s="35" t="s">
        <v>25</v>
      </c>
      <c r="H489" s="35" t="s">
        <v>37</v>
      </c>
      <c r="I489" s="55">
        <v>44440</v>
      </c>
      <c r="J489" s="56">
        <f>EFEITO!$J$489*EFEITO!$Y$489</f>
        <v>0</v>
      </c>
      <c r="K489" s="56">
        <f ca="1">EFEITO!$L$489*EFEITO!$Z$489</f>
        <v>4514.4449779159804</v>
      </c>
      <c r="L489" s="56">
        <f>EFEITO!$N$489*EFEITO!$AA$489</f>
        <v>1634.4845836103323</v>
      </c>
      <c r="M489" s="56">
        <f>$J$489-EFEITO!$K$489*EFEITO!$Y$489</f>
        <v>0</v>
      </c>
      <c r="N489" s="56">
        <f ca="1">$K$489-EFEITO!$M$489*EFEITO!$Z$489</f>
        <v>0</v>
      </c>
      <c r="O489" s="56">
        <f>$L$489-EFEITO!$O$489*EFEITO!$AA$489</f>
        <v>0</v>
      </c>
      <c r="P489" s="39"/>
      <c r="Q489" s="39"/>
      <c r="R489" s="39"/>
      <c r="S489" s="39"/>
      <c r="T489" s="39"/>
      <c r="U489" s="39"/>
      <c r="V489" s="39"/>
      <c r="W489" s="3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28</v>
      </c>
      <c r="B490" s="35" t="s">
        <v>33</v>
      </c>
      <c r="C490" s="35" t="s">
        <v>34</v>
      </c>
      <c r="D490" s="35" t="s">
        <v>46</v>
      </c>
      <c r="E490" s="35" t="s">
        <v>25</v>
      </c>
      <c r="F490" s="35" t="s">
        <v>25</v>
      </c>
      <c r="G490" s="35" t="s">
        <v>25</v>
      </c>
      <c r="H490" s="35" t="s">
        <v>37</v>
      </c>
      <c r="I490" s="55">
        <v>44440</v>
      </c>
      <c r="J490" s="56">
        <f>EFEITO!$J$490*EFEITO!$Y$490</f>
        <v>0</v>
      </c>
      <c r="K490" s="56">
        <f ca="1">EFEITO!$L$490*EFEITO!$Z$490</f>
        <v>435.62445190656996</v>
      </c>
      <c r="L490" s="56">
        <f>EFEITO!$N$490*EFEITO!$AA$490</f>
        <v>157.72070639205845</v>
      </c>
      <c r="M490" s="56">
        <f>$J$490-EFEITO!$K$490*EFEITO!$Y$490</f>
        <v>0</v>
      </c>
      <c r="N490" s="56">
        <f ca="1">$K$490-EFEITO!$M$490*EFEITO!$Z$490</f>
        <v>0</v>
      </c>
      <c r="O490" s="56">
        <f>$L$490-EFEITO!$O$490*EFEITO!$AA$490</f>
        <v>0</v>
      </c>
      <c r="P490" s="39"/>
      <c r="Q490" s="39"/>
      <c r="R490" s="39"/>
      <c r="S490" s="39"/>
      <c r="T490" s="39"/>
      <c r="U490" s="39"/>
      <c r="V490" s="39"/>
      <c r="W490" s="3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21</v>
      </c>
      <c r="B491" s="35" t="s">
        <v>33</v>
      </c>
      <c r="C491" s="35" t="s">
        <v>34</v>
      </c>
      <c r="D491" s="35" t="s">
        <v>46</v>
      </c>
      <c r="E491" s="35" t="s">
        <v>25</v>
      </c>
      <c r="F491" s="35" t="s">
        <v>25</v>
      </c>
      <c r="G491" s="35" t="s">
        <v>25</v>
      </c>
      <c r="H491" s="35" t="s">
        <v>37</v>
      </c>
      <c r="I491" s="55">
        <v>44470</v>
      </c>
      <c r="J491" s="56">
        <f>EFEITO!$J$491*EFEITO!$Y$491</f>
        <v>0</v>
      </c>
      <c r="K491" s="56">
        <f ca="1">EFEITO!$L$491*EFEITO!$Z$491</f>
        <v>4334.4632964703715</v>
      </c>
      <c r="L491" s="56">
        <f>EFEITO!$N$491*EFEITO!$AA$491</f>
        <v>1569.3210286009817</v>
      </c>
      <c r="M491" s="56">
        <f>$J$491-EFEITO!$K$491*EFEITO!$Y$491</f>
        <v>0</v>
      </c>
      <c r="N491" s="56">
        <f ca="1">$K$491-EFEITO!$M$491*EFEITO!$Z$491</f>
        <v>0</v>
      </c>
      <c r="O491" s="56">
        <f>$L$491-EFEITO!$O$491*EFEITO!$AA$491</f>
        <v>0</v>
      </c>
      <c r="P491" s="39"/>
      <c r="Q491" s="39"/>
      <c r="R491" s="39"/>
      <c r="S491" s="39"/>
      <c r="T491" s="39"/>
      <c r="U491" s="39"/>
      <c r="V491" s="39"/>
      <c r="W491" s="3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28</v>
      </c>
      <c r="B492" s="35" t="s">
        <v>33</v>
      </c>
      <c r="C492" s="35" t="s">
        <v>34</v>
      </c>
      <c r="D492" s="35" t="s">
        <v>46</v>
      </c>
      <c r="E492" s="35" t="s">
        <v>25</v>
      </c>
      <c r="F492" s="35" t="s">
        <v>25</v>
      </c>
      <c r="G492" s="35" t="s">
        <v>25</v>
      </c>
      <c r="H492" s="35" t="s">
        <v>37</v>
      </c>
      <c r="I492" s="55">
        <v>44470</v>
      </c>
      <c r="J492" s="56">
        <f>EFEITO!$J$492*EFEITO!$Y$492</f>
        <v>0</v>
      </c>
      <c r="K492" s="56">
        <f ca="1">EFEITO!$L$492*EFEITO!$Z$492</f>
        <v>373.71992453037319</v>
      </c>
      <c r="L492" s="56">
        <f>EFEITO!$N$492*EFEITO!$AA$492</f>
        <v>135.30776390476595</v>
      </c>
      <c r="M492" s="56">
        <f>$J$492-EFEITO!$K$492*EFEITO!$Y$492</f>
        <v>0</v>
      </c>
      <c r="N492" s="56">
        <f ca="1">$K$492-EFEITO!$M$492*EFEITO!$Z$492</f>
        <v>0</v>
      </c>
      <c r="O492" s="56">
        <f>$L$492-EFEITO!$O$492*EFEITO!$AA$492</f>
        <v>0</v>
      </c>
      <c r="P492" s="39"/>
      <c r="Q492" s="39"/>
      <c r="R492" s="39"/>
      <c r="S492" s="39"/>
      <c r="T492" s="39"/>
      <c r="U492" s="39"/>
      <c r="V492" s="39"/>
      <c r="W492" s="3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21</v>
      </c>
      <c r="B493" s="35" t="s">
        <v>33</v>
      </c>
      <c r="C493" s="35" t="s">
        <v>34</v>
      </c>
      <c r="D493" s="35" t="s">
        <v>46</v>
      </c>
      <c r="E493" s="35" t="s">
        <v>25</v>
      </c>
      <c r="F493" s="35" t="s">
        <v>25</v>
      </c>
      <c r="G493" s="35" t="s">
        <v>25</v>
      </c>
      <c r="H493" s="35" t="s">
        <v>37</v>
      </c>
      <c r="I493" s="55">
        <v>44501</v>
      </c>
      <c r="J493" s="56">
        <f>EFEITO!$J$493*EFEITO!$Y$493</f>
        <v>0</v>
      </c>
      <c r="K493" s="56">
        <f ca="1">EFEITO!$L$493*EFEITO!$Z$493</f>
        <v>4650.8642141709333</v>
      </c>
      <c r="L493" s="56">
        <f>EFEITO!$N$493*EFEITO!$AA$493</f>
        <v>1683.8760679804768</v>
      </c>
      <c r="M493" s="56">
        <f>$J$493-EFEITO!$K$493*EFEITO!$Y$493</f>
        <v>0</v>
      </c>
      <c r="N493" s="56">
        <f ca="1">$K$493-EFEITO!$M$493*EFEITO!$Z$493</f>
        <v>0</v>
      </c>
      <c r="O493" s="56">
        <f>$L$493-EFEITO!$O$493*EFEITO!$AA$493</f>
        <v>0</v>
      </c>
      <c r="P493" s="39"/>
      <c r="Q493" s="39"/>
      <c r="R493" s="39"/>
      <c r="S493" s="39"/>
      <c r="T493" s="39"/>
      <c r="U493" s="39"/>
      <c r="V493" s="39"/>
      <c r="W493" s="3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28</v>
      </c>
      <c r="B494" s="35" t="s">
        <v>33</v>
      </c>
      <c r="C494" s="35" t="s">
        <v>34</v>
      </c>
      <c r="D494" s="35" t="s">
        <v>46</v>
      </c>
      <c r="E494" s="35" t="s">
        <v>25</v>
      </c>
      <c r="F494" s="35" t="s">
        <v>25</v>
      </c>
      <c r="G494" s="35" t="s">
        <v>25</v>
      </c>
      <c r="H494" s="35" t="s">
        <v>37</v>
      </c>
      <c r="I494" s="55">
        <v>44501</v>
      </c>
      <c r="J494" s="56">
        <f>EFEITO!$J$494*EFEITO!$Y$494</f>
        <v>0</v>
      </c>
      <c r="K494" s="56">
        <f ca="1">EFEITO!$L$494*EFEITO!$Z$494</f>
        <v>588.09301007386944</v>
      </c>
      <c r="L494" s="56">
        <f>EFEITO!$N$494*EFEITO!$AA$494</f>
        <v>212.92295362927894</v>
      </c>
      <c r="M494" s="56">
        <f>$J$494-EFEITO!$K$494*EFEITO!$Y$494</f>
        <v>0</v>
      </c>
      <c r="N494" s="56">
        <f ca="1">$K$494-EFEITO!$M$494*EFEITO!$Z$494</f>
        <v>0</v>
      </c>
      <c r="O494" s="56">
        <f>$L$494-EFEITO!$O$494*EFEITO!$AA$494</f>
        <v>0</v>
      </c>
      <c r="P494" s="39"/>
      <c r="Q494" s="39"/>
      <c r="R494" s="39"/>
      <c r="S494" s="39"/>
      <c r="T494" s="39"/>
      <c r="U494" s="39"/>
      <c r="V494" s="39"/>
      <c r="W494" s="3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21</v>
      </c>
      <c r="B495" s="35" t="s">
        <v>33</v>
      </c>
      <c r="C495" s="35" t="s">
        <v>34</v>
      </c>
      <c r="D495" s="35" t="s">
        <v>46</v>
      </c>
      <c r="E495" s="35" t="s">
        <v>25</v>
      </c>
      <c r="F495" s="35" t="s">
        <v>25</v>
      </c>
      <c r="G495" s="35" t="s">
        <v>25</v>
      </c>
      <c r="H495" s="35" t="s">
        <v>37</v>
      </c>
      <c r="I495" s="55">
        <v>44531</v>
      </c>
      <c r="J495" s="56">
        <f>EFEITO!$J$495*EFEITO!$Y$495</f>
        <v>0</v>
      </c>
      <c r="K495" s="56">
        <f ca="1">EFEITO!$L$495*EFEITO!$Z$495</f>
        <v>5055.5364023894044</v>
      </c>
      <c r="L495" s="56">
        <f>EFEITO!$N$495*EFEITO!$AA$495</f>
        <v>1830.3903031288889</v>
      </c>
      <c r="M495" s="56">
        <f>$J$495-EFEITO!$K$495*EFEITO!$Y$495</f>
        <v>0</v>
      </c>
      <c r="N495" s="56">
        <f ca="1">$K$495-EFEITO!$M$495*EFEITO!$Z$495</f>
        <v>0</v>
      </c>
      <c r="O495" s="56">
        <f>$L$495-EFEITO!$O$495*EFEITO!$AA$495</f>
        <v>0</v>
      </c>
      <c r="P495" s="39"/>
      <c r="Q495" s="39"/>
      <c r="R495" s="39"/>
      <c r="S495" s="39"/>
      <c r="T495" s="39"/>
      <c r="U495" s="39"/>
      <c r="V495" s="39"/>
      <c r="W495" s="3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28</v>
      </c>
      <c r="B496" s="35" t="s">
        <v>33</v>
      </c>
      <c r="C496" s="35" t="s">
        <v>34</v>
      </c>
      <c r="D496" s="35" t="s">
        <v>46</v>
      </c>
      <c r="E496" s="35" t="s">
        <v>25</v>
      </c>
      <c r="F496" s="35" t="s">
        <v>25</v>
      </c>
      <c r="G496" s="35" t="s">
        <v>25</v>
      </c>
      <c r="H496" s="35" t="s">
        <v>37</v>
      </c>
      <c r="I496" s="55">
        <v>44531</v>
      </c>
      <c r="J496" s="56">
        <f>EFEITO!$J$496*EFEITO!$Y$496</f>
        <v>0</v>
      </c>
      <c r="K496" s="56">
        <f ca="1">EFEITO!$L$496*EFEITO!$Z$496</f>
        <v>762.34279083649744</v>
      </c>
      <c r="L496" s="56">
        <f>EFEITO!$N$496*EFEITO!$AA$496</f>
        <v>276.01123618610234</v>
      </c>
      <c r="M496" s="56">
        <f>$J$496-EFEITO!$K$496*EFEITO!$Y$496</f>
        <v>0</v>
      </c>
      <c r="N496" s="56">
        <f ca="1">$K$496-EFEITO!$M$496*EFEITO!$Z$496</f>
        <v>0</v>
      </c>
      <c r="O496" s="56">
        <f>$L$496-EFEITO!$O$496*EFEITO!$AA$496</f>
        <v>0</v>
      </c>
      <c r="P496" s="39"/>
      <c r="Q496" s="39"/>
      <c r="R496" s="39"/>
      <c r="S496" s="39"/>
      <c r="T496" s="39"/>
      <c r="U496" s="39"/>
      <c r="V496" s="39"/>
      <c r="W496" s="3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21</v>
      </c>
      <c r="B497" s="35" t="s">
        <v>33</v>
      </c>
      <c r="C497" s="35" t="s">
        <v>34</v>
      </c>
      <c r="D497" s="35" t="s">
        <v>46</v>
      </c>
      <c r="E497" s="35" t="s">
        <v>25</v>
      </c>
      <c r="F497" s="35" t="s">
        <v>25</v>
      </c>
      <c r="G497" s="35" t="s">
        <v>25</v>
      </c>
      <c r="H497" s="35" t="s">
        <v>37</v>
      </c>
      <c r="I497" s="55">
        <v>44562</v>
      </c>
      <c r="J497" s="56">
        <f>EFEITO!$J$497*EFEITO!$Y$497</f>
        <v>0</v>
      </c>
      <c r="K497" s="56">
        <f ca="1">EFEITO!$L$497*EFEITO!$Z$497</f>
        <v>4959.2404709153197</v>
      </c>
      <c r="L497" s="56">
        <f>EFEITO!$N$497*EFEITO!$AA$497</f>
        <v>1795.5257259264338</v>
      </c>
      <c r="M497" s="56">
        <f>$J$497-EFEITO!$K$497*EFEITO!$Y$497</f>
        <v>0</v>
      </c>
      <c r="N497" s="56">
        <f ca="1">$K$497-EFEITO!$M$497*EFEITO!$Z$497</f>
        <v>0</v>
      </c>
      <c r="O497" s="56">
        <f>$L$497-EFEITO!$O$497*EFEITO!$AA$497</f>
        <v>0</v>
      </c>
      <c r="P497" s="39"/>
      <c r="Q497" s="39"/>
      <c r="R497" s="39"/>
      <c r="S497" s="39"/>
      <c r="T497" s="39"/>
      <c r="U497" s="39"/>
      <c r="V497" s="39"/>
      <c r="W497" s="3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28</v>
      </c>
      <c r="B498" s="35" t="s">
        <v>33</v>
      </c>
      <c r="C498" s="35" t="s">
        <v>34</v>
      </c>
      <c r="D498" s="35" t="s">
        <v>46</v>
      </c>
      <c r="E498" s="35" t="s">
        <v>25</v>
      </c>
      <c r="F498" s="35" t="s">
        <v>25</v>
      </c>
      <c r="G498" s="35" t="s">
        <v>25</v>
      </c>
      <c r="H498" s="35" t="s">
        <v>37</v>
      </c>
      <c r="I498" s="55">
        <v>44562</v>
      </c>
      <c r="J498" s="56">
        <f>EFEITO!$J$498*EFEITO!$Y$498</f>
        <v>0</v>
      </c>
      <c r="K498" s="56">
        <f ca="1">EFEITO!$L$498*EFEITO!$Z$498</f>
        <v>404.67218821847155</v>
      </c>
      <c r="L498" s="56">
        <f>EFEITO!$N$498*EFEITO!$AA$498</f>
        <v>146.51423514841218</v>
      </c>
      <c r="M498" s="56">
        <f>$J$498-EFEITO!$K$498*EFEITO!$Y$498</f>
        <v>0</v>
      </c>
      <c r="N498" s="56">
        <f ca="1">$K$498-EFEITO!$M$498*EFEITO!$Z$498</f>
        <v>0</v>
      </c>
      <c r="O498" s="56">
        <f>$L$498-EFEITO!$O$498*EFEITO!$AA$498</f>
        <v>0</v>
      </c>
      <c r="P498" s="39"/>
      <c r="Q498" s="39"/>
      <c r="R498" s="39"/>
      <c r="S498" s="39"/>
      <c r="T498" s="39"/>
      <c r="U498" s="39"/>
      <c r="V498" s="39"/>
      <c r="W498" s="3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21</v>
      </c>
      <c r="B499" s="35" t="s">
        <v>33</v>
      </c>
      <c r="C499" s="35" t="s">
        <v>34</v>
      </c>
      <c r="D499" s="35" t="s">
        <v>46</v>
      </c>
      <c r="E499" s="35" t="s">
        <v>25</v>
      </c>
      <c r="F499" s="35" t="s">
        <v>25</v>
      </c>
      <c r="G499" s="35" t="s">
        <v>25</v>
      </c>
      <c r="H499" s="35" t="s">
        <v>37</v>
      </c>
      <c r="I499" s="55">
        <v>44593</v>
      </c>
      <c r="J499" s="56">
        <f>EFEITO!$J$499*EFEITO!$Y$499</f>
        <v>0</v>
      </c>
      <c r="K499" s="56">
        <f ca="1">EFEITO!$L$499*EFEITO!$Z$499</f>
        <v>5003.9492962425738</v>
      </c>
      <c r="L499" s="56">
        <f>EFEITO!$N$499*EFEITO!$AA$499</f>
        <v>1811.7128510561452</v>
      </c>
      <c r="M499" s="56">
        <f>$J$499-EFEITO!$K$499*EFEITO!$Y$499</f>
        <v>0</v>
      </c>
      <c r="N499" s="56">
        <f ca="1">$K$499-EFEITO!$M$499*EFEITO!$Z$499</f>
        <v>0</v>
      </c>
      <c r="O499" s="56">
        <f>$L$499-EFEITO!$O$499*EFEITO!$AA$499</f>
        <v>0</v>
      </c>
      <c r="P499" s="39"/>
      <c r="Q499" s="39"/>
      <c r="R499" s="39"/>
      <c r="S499" s="39"/>
      <c r="T499" s="39"/>
      <c r="U499" s="39"/>
      <c r="V499" s="39"/>
      <c r="W499" s="3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21</v>
      </c>
      <c r="B500" s="35" t="s">
        <v>33</v>
      </c>
      <c r="C500" s="35" t="s">
        <v>34</v>
      </c>
      <c r="D500" s="35" t="s">
        <v>46</v>
      </c>
      <c r="E500" s="35" t="s">
        <v>25</v>
      </c>
      <c r="F500" s="35" t="s">
        <v>25</v>
      </c>
      <c r="G500" s="35" t="s">
        <v>25</v>
      </c>
      <c r="H500" s="35" t="s">
        <v>37</v>
      </c>
      <c r="I500" s="55">
        <v>44621</v>
      </c>
      <c r="J500" s="56">
        <f>EFEITO!$J$500*EFEITO!$Y$500</f>
        <v>0</v>
      </c>
      <c r="K500" s="56">
        <f ca="1">EFEITO!$L$500*EFEITO!$Z$500</f>
        <v>5494.5999947057626</v>
      </c>
      <c r="L500" s="56">
        <f>EFEITO!$N$500*EFEITO!$AA$500</f>
        <v>1989.3561729924636</v>
      </c>
      <c r="M500" s="56">
        <f>$J$500-EFEITO!$K$500*EFEITO!$Y$500</f>
        <v>0</v>
      </c>
      <c r="N500" s="56">
        <f ca="1">$K$500-EFEITO!$M$500*EFEITO!$Z$500</f>
        <v>0</v>
      </c>
      <c r="O500" s="56">
        <f>$L$500-EFEITO!$O$500*EFEITO!$AA$500</f>
        <v>0</v>
      </c>
      <c r="P500" s="39"/>
      <c r="Q500" s="39"/>
      <c r="R500" s="39"/>
      <c r="S500" s="39"/>
      <c r="T500" s="39"/>
      <c r="U500" s="39"/>
      <c r="V500" s="39"/>
      <c r="W500" s="3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28</v>
      </c>
      <c r="B501" s="35" t="s">
        <v>33</v>
      </c>
      <c r="C501" s="35" t="s">
        <v>34</v>
      </c>
      <c r="D501" s="35" t="s">
        <v>46</v>
      </c>
      <c r="E501" s="35" t="s">
        <v>25</v>
      </c>
      <c r="F501" s="35" t="s">
        <v>25</v>
      </c>
      <c r="G501" s="35" t="s">
        <v>25</v>
      </c>
      <c r="H501" s="35" t="s">
        <v>37</v>
      </c>
      <c r="I501" s="55">
        <v>44621</v>
      </c>
      <c r="J501" s="56">
        <f>EFEITO!$J$501*EFEITO!$Y$501</f>
        <v>0</v>
      </c>
      <c r="K501" s="56">
        <f ca="1">EFEITO!$L$501*EFEITO!$Z$501</f>
        <v>2131.1206739324043</v>
      </c>
      <c r="L501" s="56">
        <f>EFEITO!$N$501*EFEITO!$AA$501</f>
        <v>771.5862978495702</v>
      </c>
      <c r="M501" s="56">
        <f>$J$501-EFEITO!$K$501*EFEITO!$Y$501</f>
        <v>0</v>
      </c>
      <c r="N501" s="56">
        <f ca="1">$K$501-EFEITO!$M$501*EFEITO!$Z$501</f>
        <v>0</v>
      </c>
      <c r="O501" s="56">
        <f>$L$501-EFEITO!$O$501*EFEITO!$AA$501</f>
        <v>0</v>
      </c>
      <c r="P501" s="39"/>
      <c r="Q501" s="39"/>
      <c r="R501" s="39"/>
      <c r="S501" s="39"/>
      <c r="T501" s="39"/>
      <c r="U501" s="39"/>
      <c r="V501" s="39"/>
      <c r="W501" s="3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21</v>
      </c>
      <c r="B502" s="35" t="s">
        <v>33</v>
      </c>
      <c r="C502" s="35" t="s">
        <v>34</v>
      </c>
      <c r="D502" s="35" t="s">
        <v>46</v>
      </c>
      <c r="E502" s="35" t="s">
        <v>25</v>
      </c>
      <c r="F502" s="35" t="s">
        <v>25</v>
      </c>
      <c r="G502" s="35" t="s">
        <v>25</v>
      </c>
      <c r="H502" s="35" t="s">
        <v>37</v>
      </c>
      <c r="I502" s="55">
        <v>44652</v>
      </c>
      <c r="J502" s="56">
        <f>EFEITO!$J$502*EFEITO!$Y$502</f>
        <v>0</v>
      </c>
      <c r="K502" s="56">
        <f ca="1">EFEITO!$L$502*EFEITO!$Z$502</f>
        <v>4335.6096766069677</v>
      </c>
      <c r="L502" s="56">
        <f>EFEITO!$N$502*EFEITO!$AA$502</f>
        <v>1569.736083091487</v>
      </c>
      <c r="M502" s="56">
        <f>$J$502-EFEITO!$K$502*EFEITO!$Y$502</f>
        <v>0</v>
      </c>
      <c r="N502" s="56">
        <f ca="1">$K$502-EFEITO!$M$502*EFEITO!$Z$502</f>
        <v>0</v>
      </c>
      <c r="O502" s="56">
        <f>$L$502-EFEITO!$O$502*EFEITO!$AA$502</f>
        <v>0</v>
      </c>
      <c r="P502" s="39"/>
      <c r="Q502" s="39"/>
      <c r="R502" s="39"/>
      <c r="S502" s="39"/>
      <c r="T502" s="39"/>
      <c r="U502" s="39"/>
      <c r="V502" s="39"/>
      <c r="W502" s="3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28</v>
      </c>
      <c r="B503" s="35" t="s">
        <v>33</v>
      </c>
      <c r="C503" s="35" t="s">
        <v>34</v>
      </c>
      <c r="D503" s="35" t="s">
        <v>46</v>
      </c>
      <c r="E503" s="35" t="s">
        <v>25</v>
      </c>
      <c r="F503" s="35" t="s">
        <v>25</v>
      </c>
      <c r="G503" s="35" t="s">
        <v>25</v>
      </c>
      <c r="H503" s="35" t="s">
        <v>37</v>
      </c>
      <c r="I503" s="55">
        <v>44652</v>
      </c>
      <c r="J503" s="56">
        <f>EFEITO!$J$503*EFEITO!$Y$503</f>
        <v>0</v>
      </c>
      <c r="K503" s="56">
        <f ca="1">EFEITO!$L$503*EFEITO!$Z$503</f>
        <v>1921.3331089352928</v>
      </c>
      <c r="L503" s="56">
        <f>EFEITO!$N$503*EFEITO!$AA$503</f>
        <v>695.63132608707883</v>
      </c>
      <c r="M503" s="56">
        <f>$J$503-EFEITO!$K$503*EFEITO!$Y$503</f>
        <v>0</v>
      </c>
      <c r="N503" s="56">
        <f ca="1">$K$503-EFEITO!$M$503*EFEITO!$Z$503</f>
        <v>0</v>
      </c>
      <c r="O503" s="56">
        <f>$L$503-EFEITO!$O$503*EFEITO!$AA$503</f>
        <v>0</v>
      </c>
      <c r="P503" s="39"/>
      <c r="Q503" s="39"/>
      <c r="R503" s="39"/>
      <c r="S503" s="39"/>
      <c r="T503" s="39"/>
      <c r="U503" s="39"/>
      <c r="V503" s="39"/>
      <c r="W503" s="3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21</v>
      </c>
      <c r="B504" s="35" t="s">
        <v>33</v>
      </c>
      <c r="C504" s="35" t="s">
        <v>34</v>
      </c>
      <c r="D504" s="35" t="s">
        <v>46</v>
      </c>
      <c r="E504" s="35" t="s">
        <v>25</v>
      </c>
      <c r="F504" s="35" t="s">
        <v>25</v>
      </c>
      <c r="G504" s="35" t="s">
        <v>25</v>
      </c>
      <c r="H504" s="35" t="s">
        <v>37</v>
      </c>
      <c r="I504" s="55">
        <v>44682</v>
      </c>
      <c r="J504" s="56">
        <f>EFEITO!$J$504*EFEITO!$Y$504</f>
        <v>0</v>
      </c>
      <c r="K504" s="56">
        <f ca="1">EFEITO!$L$504*EFEITO!$Z$504</f>
        <v>5230.9325632886275</v>
      </c>
      <c r="L504" s="56">
        <f>EFEITO!$N$504*EFEITO!$AA$504</f>
        <v>1893.8936401762176</v>
      </c>
      <c r="M504" s="56">
        <f>$J$504-EFEITO!$K$504*EFEITO!$Y$504</f>
        <v>0</v>
      </c>
      <c r="N504" s="56">
        <f ca="1">$K$504-EFEITO!$M$504*EFEITO!$Z$504</f>
        <v>0</v>
      </c>
      <c r="O504" s="56">
        <f>$L$504-EFEITO!$O$504*EFEITO!$AA$504</f>
        <v>0</v>
      </c>
      <c r="P504" s="39"/>
      <c r="Q504" s="39"/>
      <c r="R504" s="39"/>
      <c r="S504" s="39"/>
      <c r="T504" s="39"/>
      <c r="U504" s="39"/>
      <c r="V504" s="39"/>
      <c r="W504" s="3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28</v>
      </c>
      <c r="B505" s="35" t="s">
        <v>33</v>
      </c>
      <c r="C505" s="35" t="s">
        <v>34</v>
      </c>
      <c r="D505" s="35" t="s">
        <v>46</v>
      </c>
      <c r="E505" s="35" t="s">
        <v>25</v>
      </c>
      <c r="F505" s="35" t="s">
        <v>25</v>
      </c>
      <c r="G505" s="35" t="s">
        <v>25</v>
      </c>
      <c r="H505" s="35" t="s">
        <v>37</v>
      </c>
      <c r="I505" s="55">
        <v>44682</v>
      </c>
      <c r="J505" s="56">
        <f>EFEITO!$J$505*EFEITO!$Y$505</f>
        <v>0</v>
      </c>
      <c r="K505" s="56">
        <f ca="1">EFEITO!$L$505*EFEITO!$Z$505</f>
        <v>2801.7530538412025</v>
      </c>
      <c r="L505" s="56">
        <f>EFEITO!$N$505*EFEITO!$AA$505</f>
        <v>1014.3931747952391</v>
      </c>
      <c r="M505" s="56">
        <f>$J$505-EFEITO!$K$505*EFEITO!$Y$505</f>
        <v>0</v>
      </c>
      <c r="N505" s="56">
        <f ca="1">$K$505-EFEITO!$M$505*EFEITO!$Z$505</f>
        <v>0</v>
      </c>
      <c r="O505" s="56">
        <f>$L$505-EFEITO!$O$505*EFEITO!$AA$505</f>
        <v>0</v>
      </c>
      <c r="P505" s="39"/>
      <c r="Q505" s="39"/>
      <c r="R505" s="39"/>
      <c r="S505" s="39"/>
      <c r="T505" s="39"/>
      <c r="U505" s="39"/>
      <c r="V505" s="39"/>
      <c r="W505" s="3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21</v>
      </c>
      <c r="B506" s="35" t="s">
        <v>33</v>
      </c>
      <c r="C506" s="35" t="s">
        <v>34</v>
      </c>
      <c r="D506" s="35" t="s">
        <v>24</v>
      </c>
      <c r="E506" s="35" t="s">
        <v>24</v>
      </c>
      <c r="F506" s="35" t="s">
        <v>25</v>
      </c>
      <c r="G506" s="35" t="s">
        <v>25</v>
      </c>
      <c r="H506" s="35" t="s">
        <v>35</v>
      </c>
      <c r="I506" s="55">
        <v>44348</v>
      </c>
      <c r="J506" s="56">
        <f>EFEITO!$J$506*EFEITO!$Y$506</f>
        <v>0</v>
      </c>
      <c r="K506" s="56">
        <f ca="1">EFEITO!$L$506*EFEITO!$Z$506</f>
        <v>129.92423283343925</v>
      </c>
      <c r="L506" s="56">
        <f>EFEITO!$N$506*EFEITO!$AA$506</f>
        <v>302.55495346258687</v>
      </c>
      <c r="M506" s="56">
        <f>$J$506-EFEITO!$K$506*EFEITO!$Y$506</f>
        <v>0</v>
      </c>
      <c r="N506" s="56">
        <f ca="1">$K$506-EFEITO!$M$506*EFEITO!$Z$506</f>
        <v>0</v>
      </c>
      <c r="O506" s="56">
        <f>$L$506-EFEITO!$O$506*EFEITO!$AA$506</f>
        <v>0</v>
      </c>
      <c r="P506" s="39"/>
      <c r="Q506" s="39"/>
      <c r="R506" s="39"/>
      <c r="S506" s="39"/>
      <c r="T506" s="39"/>
      <c r="U506" s="39"/>
      <c r="V506" s="39"/>
      <c r="W506" s="3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21</v>
      </c>
      <c r="B507" s="35" t="s">
        <v>33</v>
      </c>
      <c r="C507" s="35" t="s">
        <v>34</v>
      </c>
      <c r="D507" s="35" t="s">
        <v>24</v>
      </c>
      <c r="E507" s="35" t="s">
        <v>24</v>
      </c>
      <c r="F507" s="35" t="s">
        <v>25</v>
      </c>
      <c r="G507" s="35" t="s">
        <v>25</v>
      </c>
      <c r="H507" s="35" t="s">
        <v>35</v>
      </c>
      <c r="I507" s="55">
        <v>44378</v>
      </c>
      <c r="J507" s="56">
        <f>EFEITO!$J$507*EFEITO!$Y$507</f>
        <v>0</v>
      </c>
      <c r="K507" s="56">
        <f ca="1">EFEITO!$L$507*EFEITO!$Z$507</f>
        <v>147.27712694475477</v>
      </c>
      <c r="L507" s="56">
        <f>EFEITO!$N$507*EFEITO!$AA$507</f>
        <v>342.96469039765839</v>
      </c>
      <c r="M507" s="56">
        <f>$J$507-EFEITO!$K$507*EFEITO!$Y$507</f>
        <v>0</v>
      </c>
      <c r="N507" s="56">
        <f ca="1">$K$507-EFEITO!$M$507*EFEITO!$Z$507</f>
        <v>0</v>
      </c>
      <c r="O507" s="56">
        <f>$L$507-EFEITO!$O$507*EFEITO!$AA$507</f>
        <v>0</v>
      </c>
      <c r="P507" s="39"/>
      <c r="Q507" s="39"/>
      <c r="R507" s="39"/>
      <c r="S507" s="39"/>
      <c r="T507" s="39"/>
      <c r="U507" s="39"/>
      <c r="V507" s="39"/>
      <c r="W507" s="3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21</v>
      </c>
      <c r="B508" s="35" t="s">
        <v>33</v>
      </c>
      <c r="C508" s="35" t="s">
        <v>34</v>
      </c>
      <c r="D508" s="35" t="s">
        <v>24</v>
      </c>
      <c r="E508" s="35" t="s">
        <v>24</v>
      </c>
      <c r="F508" s="35" t="s">
        <v>25</v>
      </c>
      <c r="G508" s="35" t="s">
        <v>25</v>
      </c>
      <c r="H508" s="35" t="s">
        <v>35</v>
      </c>
      <c r="I508" s="55">
        <v>44409</v>
      </c>
      <c r="J508" s="56">
        <f>EFEITO!$J$508*EFEITO!$Y$508</f>
        <v>0</v>
      </c>
      <c r="K508" s="56">
        <f ca="1">EFEITO!$L$508*EFEITO!$Z$508</f>
        <v>137.15460537982074</v>
      </c>
      <c r="L508" s="56">
        <f>EFEITO!$N$508*EFEITO!$AA$508</f>
        <v>319.39234385220004</v>
      </c>
      <c r="M508" s="56">
        <f>$J$508-EFEITO!$K$508*EFEITO!$Y$508</f>
        <v>0</v>
      </c>
      <c r="N508" s="56">
        <f ca="1">$K$508-EFEITO!$M$508*EFEITO!$Z$508</f>
        <v>0</v>
      </c>
      <c r="O508" s="56">
        <f>$L$508-EFEITO!$O$508*EFEITO!$AA$508</f>
        <v>0</v>
      </c>
      <c r="P508" s="39"/>
      <c r="Q508" s="39"/>
      <c r="R508" s="39"/>
      <c r="S508" s="39"/>
      <c r="T508" s="39"/>
      <c r="U508" s="39"/>
      <c r="V508" s="39"/>
      <c r="W508" s="3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21</v>
      </c>
      <c r="B509" s="35" t="s">
        <v>33</v>
      </c>
      <c r="C509" s="35" t="s">
        <v>34</v>
      </c>
      <c r="D509" s="35" t="s">
        <v>24</v>
      </c>
      <c r="E509" s="35" t="s">
        <v>24</v>
      </c>
      <c r="F509" s="35" t="s">
        <v>25</v>
      </c>
      <c r="G509" s="35" t="s">
        <v>25</v>
      </c>
      <c r="H509" s="35" t="s">
        <v>35</v>
      </c>
      <c r="I509" s="55">
        <v>44440</v>
      </c>
      <c r="J509" s="56">
        <f>EFEITO!$J$509*EFEITO!$Y$509</f>
        <v>0</v>
      </c>
      <c r="K509" s="56">
        <f ca="1">EFEITO!$L$509*EFEITO!$Z$509</f>
        <v>154.06255348828199</v>
      </c>
      <c r="L509" s="56">
        <f>EFEITO!$N$509*EFEITO!$AA$509</f>
        <v>358.76593368637225</v>
      </c>
      <c r="M509" s="56">
        <f>$J$509-EFEITO!$K$509*EFEITO!$Y$509</f>
        <v>0</v>
      </c>
      <c r="N509" s="56">
        <f ca="1">$K$509-EFEITO!$M$509*EFEITO!$Z$509</f>
        <v>0</v>
      </c>
      <c r="O509" s="56">
        <f>$L$509-EFEITO!$O$509*EFEITO!$AA$509</f>
        <v>0</v>
      </c>
      <c r="P509" s="39"/>
      <c r="Q509" s="39"/>
      <c r="R509" s="39"/>
      <c r="S509" s="39"/>
      <c r="T509" s="39"/>
      <c r="U509" s="39"/>
      <c r="V509" s="39"/>
      <c r="W509" s="3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21</v>
      </c>
      <c r="B510" s="35" t="s">
        <v>33</v>
      </c>
      <c r="C510" s="35" t="s">
        <v>34</v>
      </c>
      <c r="D510" s="35" t="s">
        <v>24</v>
      </c>
      <c r="E510" s="35" t="s">
        <v>24</v>
      </c>
      <c r="F510" s="35" t="s">
        <v>25</v>
      </c>
      <c r="G510" s="35" t="s">
        <v>25</v>
      </c>
      <c r="H510" s="35" t="s">
        <v>35</v>
      </c>
      <c r="I510" s="55">
        <v>44470</v>
      </c>
      <c r="J510" s="56">
        <f>EFEITO!$J$510*EFEITO!$Y$510</f>
        <v>0</v>
      </c>
      <c r="K510" s="56">
        <f ca="1">EFEITO!$L$510*EFEITO!$Z$510</f>
        <v>148.16701895046327</v>
      </c>
      <c r="L510" s="56">
        <f>EFEITO!$N$510*EFEITO!$AA$510</f>
        <v>345.03698459945696</v>
      </c>
      <c r="M510" s="56">
        <f>$J$510-EFEITO!$K$510*EFEITO!$Y$510</f>
        <v>0</v>
      </c>
      <c r="N510" s="56">
        <f ca="1">$K$510-EFEITO!$M$510*EFEITO!$Z$510</f>
        <v>0</v>
      </c>
      <c r="O510" s="56">
        <f>$L$510-EFEITO!$O$510*EFEITO!$AA$510</f>
        <v>0</v>
      </c>
      <c r="P510" s="39"/>
      <c r="Q510" s="39"/>
      <c r="R510" s="39"/>
      <c r="S510" s="39"/>
      <c r="T510" s="39"/>
      <c r="U510" s="39"/>
      <c r="V510" s="39"/>
      <c r="W510" s="3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21</v>
      </c>
      <c r="B511" s="35" t="s">
        <v>33</v>
      </c>
      <c r="C511" s="35" t="s">
        <v>34</v>
      </c>
      <c r="D511" s="35" t="s">
        <v>24</v>
      </c>
      <c r="E511" s="35" t="s">
        <v>24</v>
      </c>
      <c r="F511" s="35" t="s">
        <v>25</v>
      </c>
      <c r="G511" s="35" t="s">
        <v>25</v>
      </c>
      <c r="H511" s="35" t="s">
        <v>35</v>
      </c>
      <c r="I511" s="55">
        <v>44501</v>
      </c>
      <c r="J511" s="56">
        <f>EFEITO!$J$511*EFEITO!$Y$511</f>
        <v>0</v>
      </c>
      <c r="K511" s="56">
        <f ca="1">EFEITO!$L$511*EFEITO!$Z$511</f>
        <v>147.61083644689543</v>
      </c>
      <c r="L511" s="56">
        <f>EFEITO!$N$511*EFEITO!$AA$511</f>
        <v>343.74180072333286</v>
      </c>
      <c r="M511" s="56">
        <f>$J$511-EFEITO!$K$511*EFEITO!$Y$511</f>
        <v>0</v>
      </c>
      <c r="N511" s="56">
        <f ca="1">$K$511-EFEITO!$M$511*EFEITO!$Z$511</f>
        <v>0</v>
      </c>
      <c r="O511" s="56">
        <f>$L$511-EFEITO!$O$511*EFEITO!$AA$511</f>
        <v>0</v>
      </c>
      <c r="P511" s="39"/>
      <c r="Q511" s="39"/>
      <c r="R511" s="39"/>
      <c r="S511" s="39"/>
      <c r="T511" s="39"/>
      <c r="U511" s="39"/>
      <c r="V511" s="39"/>
      <c r="W511" s="3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21</v>
      </c>
      <c r="B512" s="35" t="s">
        <v>33</v>
      </c>
      <c r="C512" s="35" t="s">
        <v>34</v>
      </c>
      <c r="D512" s="35" t="s">
        <v>24</v>
      </c>
      <c r="E512" s="35" t="s">
        <v>24</v>
      </c>
      <c r="F512" s="35" t="s">
        <v>25</v>
      </c>
      <c r="G512" s="35" t="s">
        <v>25</v>
      </c>
      <c r="H512" s="35" t="s">
        <v>35</v>
      </c>
      <c r="I512" s="55">
        <v>44531</v>
      </c>
      <c r="J512" s="56">
        <f>EFEITO!$J$512*EFEITO!$Y$512</f>
        <v>0</v>
      </c>
      <c r="K512" s="56">
        <f ca="1">EFEITO!$L$512*EFEITO!$Z$512</f>
        <v>265.74400020469722</v>
      </c>
      <c r="L512" s="56">
        <f>EFEITO!$N$512*EFEITO!$AA$512</f>
        <v>618.83885601208897</v>
      </c>
      <c r="M512" s="56">
        <f>$J$512-EFEITO!$K$512*EFEITO!$Y$512</f>
        <v>0</v>
      </c>
      <c r="N512" s="56">
        <f ca="1">$K$512-EFEITO!$M$512*EFEITO!$Z$512</f>
        <v>0</v>
      </c>
      <c r="O512" s="56">
        <f>$L$512-EFEITO!$O$512*EFEITO!$AA$512</f>
        <v>0</v>
      </c>
      <c r="P512" s="39"/>
      <c r="Q512" s="39"/>
      <c r="R512" s="39"/>
      <c r="S512" s="39"/>
      <c r="T512" s="39"/>
      <c r="U512" s="39"/>
      <c r="V512" s="39"/>
      <c r="W512" s="3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21</v>
      </c>
      <c r="B513" s="35" t="s">
        <v>33</v>
      </c>
      <c r="C513" s="35" t="s">
        <v>34</v>
      </c>
      <c r="D513" s="35" t="s">
        <v>24</v>
      </c>
      <c r="E513" s="35" t="s">
        <v>24</v>
      </c>
      <c r="F513" s="35" t="s">
        <v>25</v>
      </c>
      <c r="G513" s="35" t="s">
        <v>25</v>
      </c>
      <c r="H513" s="35" t="s">
        <v>35</v>
      </c>
      <c r="I513" s="55">
        <v>44562</v>
      </c>
      <c r="J513" s="56">
        <f>EFEITO!$J$513*EFEITO!$Y$513</f>
        <v>0</v>
      </c>
      <c r="K513" s="56">
        <f ca="1">EFEITO!$L$513*EFEITO!$Z$513</f>
        <v>158.95695951967866</v>
      </c>
      <c r="L513" s="56">
        <f>EFEITO!$N$513*EFEITO!$AA$513</f>
        <v>370.16355179626424</v>
      </c>
      <c r="M513" s="56">
        <f>$J$513-EFEITO!$K$513*EFEITO!$Y$513</f>
        <v>0</v>
      </c>
      <c r="N513" s="56">
        <f ca="1">$K$513-EFEITO!$M$513*EFEITO!$Z$513</f>
        <v>0</v>
      </c>
      <c r="O513" s="56">
        <f>$L$513-EFEITO!$O$513*EFEITO!$AA$513</f>
        <v>0</v>
      </c>
      <c r="P513" s="39"/>
      <c r="Q513" s="39"/>
      <c r="R513" s="39"/>
      <c r="S513" s="39"/>
      <c r="T513" s="39"/>
      <c r="U513" s="39"/>
      <c r="V513" s="39"/>
      <c r="W513" s="3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21</v>
      </c>
      <c r="B514" s="35" t="s">
        <v>33</v>
      </c>
      <c r="C514" s="35" t="s">
        <v>34</v>
      </c>
      <c r="D514" s="35" t="s">
        <v>24</v>
      </c>
      <c r="E514" s="35" t="s">
        <v>24</v>
      </c>
      <c r="F514" s="35" t="s">
        <v>25</v>
      </c>
      <c r="G514" s="35" t="s">
        <v>25</v>
      </c>
      <c r="H514" s="35" t="s">
        <v>35</v>
      </c>
      <c r="I514" s="55">
        <v>44593</v>
      </c>
      <c r="J514" s="56">
        <f>EFEITO!$J$514*EFEITO!$Y$514</f>
        <v>0</v>
      </c>
      <c r="K514" s="56">
        <f ca="1">EFEITO!$L$514*EFEITO!$Z$514</f>
        <v>183.87393567951634</v>
      </c>
      <c r="L514" s="56">
        <f>EFEITO!$N$514*EFEITO!$AA$514</f>
        <v>428.18778944662336</v>
      </c>
      <c r="M514" s="56">
        <f>$J$514-EFEITO!$K$514*EFEITO!$Y$514</f>
        <v>0</v>
      </c>
      <c r="N514" s="56">
        <f ca="1">$K$514-EFEITO!$M$514*EFEITO!$Z$514</f>
        <v>0</v>
      </c>
      <c r="O514" s="56">
        <f>$L$514-EFEITO!$O$514*EFEITO!$AA$514</f>
        <v>0</v>
      </c>
      <c r="P514" s="39"/>
      <c r="Q514" s="39"/>
      <c r="R514" s="39"/>
      <c r="S514" s="39"/>
      <c r="T514" s="39"/>
      <c r="U514" s="39"/>
      <c r="V514" s="39"/>
      <c r="W514" s="3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33</v>
      </c>
      <c r="C515" s="35" t="s">
        <v>34</v>
      </c>
      <c r="D515" s="35" t="s">
        <v>24</v>
      </c>
      <c r="E515" s="35" t="s">
        <v>24</v>
      </c>
      <c r="F515" s="35" t="s">
        <v>25</v>
      </c>
      <c r="G515" s="35" t="s">
        <v>25</v>
      </c>
      <c r="H515" s="35" t="s">
        <v>35</v>
      </c>
      <c r="I515" s="55">
        <v>44621</v>
      </c>
      <c r="J515" s="56">
        <f>EFEITO!$J$515*EFEITO!$Y$515</f>
        <v>0</v>
      </c>
      <c r="K515" s="56">
        <f ca="1">EFEITO!$L$515*EFEITO!$Z$515</f>
        <v>138.93438939123769</v>
      </c>
      <c r="L515" s="56">
        <f>EFEITO!$N$515*EFEITO!$AA$515</f>
        <v>323.53693225579713</v>
      </c>
      <c r="M515" s="56">
        <f>$J$515-EFEITO!$K$515*EFEITO!$Y$515</f>
        <v>0</v>
      </c>
      <c r="N515" s="56">
        <f ca="1">$K$515-EFEITO!$M$515*EFEITO!$Z$515</f>
        <v>0</v>
      </c>
      <c r="O515" s="56">
        <f>$L$515-EFEITO!$O$515*EFEITO!$AA$515</f>
        <v>0</v>
      </c>
      <c r="P515" s="39"/>
      <c r="Q515" s="39"/>
      <c r="R515" s="39"/>
      <c r="S515" s="39"/>
      <c r="T515" s="39"/>
      <c r="U515" s="39"/>
      <c r="V515" s="39"/>
      <c r="W515" s="3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21</v>
      </c>
      <c r="B516" s="35" t="s">
        <v>33</v>
      </c>
      <c r="C516" s="35" t="s">
        <v>34</v>
      </c>
      <c r="D516" s="35" t="s">
        <v>24</v>
      </c>
      <c r="E516" s="35" t="s">
        <v>24</v>
      </c>
      <c r="F516" s="35" t="s">
        <v>25</v>
      </c>
      <c r="G516" s="35" t="s">
        <v>25</v>
      </c>
      <c r="H516" s="35" t="s">
        <v>35</v>
      </c>
      <c r="I516" s="55">
        <v>44652</v>
      </c>
      <c r="J516" s="56">
        <f>EFEITO!$J$516*EFEITO!$Y$516</f>
        <v>0</v>
      </c>
      <c r="K516" s="56">
        <f ca="1">EFEITO!$L$516*EFEITO!$Z$516</f>
        <v>137.82202438410209</v>
      </c>
      <c r="L516" s="56">
        <f>EFEITO!$N$516*EFEITO!$AA$516</f>
        <v>320.94656450354893</v>
      </c>
      <c r="M516" s="56">
        <f>$J$516-EFEITO!$K$516*EFEITO!$Y$516</f>
        <v>0</v>
      </c>
      <c r="N516" s="56">
        <f ca="1">$K$516-EFEITO!$M$516*EFEITO!$Z$516</f>
        <v>0</v>
      </c>
      <c r="O516" s="56">
        <f>$L$516-EFEITO!$O$516*EFEITO!$AA$516</f>
        <v>0</v>
      </c>
      <c r="P516" s="39"/>
      <c r="Q516" s="39"/>
      <c r="R516" s="39"/>
      <c r="S516" s="39"/>
      <c r="T516" s="39"/>
      <c r="U516" s="39"/>
      <c r="V516" s="39"/>
      <c r="W516" s="3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21</v>
      </c>
      <c r="B517" s="35" t="s">
        <v>33</v>
      </c>
      <c r="C517" s="35" t="s">
        <v>34</v>
      </c>
      <c r="D517" s="35" t="s">
        <v>24</v>
      </c>
      <c r="E517" s="35" t="s">
        <v>24</v>
      </c>
      <c r="F517" s="35" t="s">
        <v>25</v>
      </c>
      <c r="G517" s="35" t="s">
        <v>25</v>
      </c>
      <c r="H517" s="35" t="s">
        <v>35</v>
      </c>
      <c r="I517" s="55">
        <v>44682</v>
      </c>
      <c r="J517" s="56">
        <f>EFEITO!$J$517*EFEITO!$Y$517</f>
        <v>0</v>
      </c>
      <c r="K517" s="56">
        <f ca="1">EFEITO!$L$517*EFEITO!$Z$517</f>
        <v>117.24327175209329</v>
      </c>
      <c r="L517" s="56">
        <f>EFEITO!$N$517*EFEITO!$AA$517</f>
        <v>273.02476108695765</v>
      </c>
      <c r="M517" s="56">
        <f>$J$517-EFEITO!$K$517*EFEITO!$Y$517</f>
        <v>0</v>
      </c>
      <c r="N517" s="56">
        <f ca="1">$K$517-EFEITO!$M$517*EFEITO!$Z$517</f>
        <v>0</v>
      </c>
      <c r="O517" s="56">
        <f>$L$517-EFEITO!$O$517*EFEITO!$AA$517</f>
        <v>0</v>
      </c>
      <c r="P517" s="39"/>
      <c r="Q517" s="39"/>
      <c r="R517" s="39"/>
      <c r="S517" s="39"/>
      <c r="T517" s="39"/>
      <c r="U517" s="39"/>
      <c r="V517" s="39"/>
      <c r="W517" s="3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21</v>
      </c>
      <c r="B518" s="35" t="s">
        <v>33</v>
      </c>
      <c r="C518" s="35" t="s">
        <v>34</v>
      </c>
      <c r="D518" s="35" t="s">
        <v>24</v>
      </c>
      <c r="E518" s="35" t="s">
        <v>24</v>
      </c>
      <c r="F518" s="35" t="s">
        <v>25</v>
      </c>
      <c r="G518" s="35" t="s">
        <v>25</v>
      </c>
      <c r="H518" s="35" t="s">
        <v>25</v>
      </c>
      <c r="I518" s="55">
        <v>44348</v>
      </c>
      <c r="J518" s="56">
        <f ca="1">EFEITO!$J$518*EFEITO!$Y$518</f>
        <v>495.54914092642326</v>
      </c>
      <c r="K518" s="56">
        <f>EFEITO!$L$518*EFEITO!$Z$518</f>
        <v>0</v>
      </c>
      <c r="L518" s="56">
        <f>EFEITO!$N$518*EFEITO!$AA$518</f>
        <v>0</v>
      </c>
      <c r="M518" s="56">
        <f ca="1">$J$518-EFEITO!$K$518*EFEITO!$Y$518</f>
        <v>0</v>
      </c>
      <c r="N518" s="56">
        <f>$K$518-EFEITO!$M$518*EFEITO!$Z$518</f>
        <v>0</v>
      </c>
      <c r="O518" s="56">
        <f>$L$518-EFEITO!$O$518*EFEITO!$AA$518</f>
        <v>0</v>
      </c>
      <c r="P518" s="39"/>
      <c r="Q518" s="39"/>
      <c r="R518" s="39"/>
      <c r="S518" s="39"/>
      <c r="T518" s="39"/>
      <c r="U518" s="39"/>
      <c r="V518" s="39"/>
      <c r="W518" s="3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21</v>
      </c>
      <c r="B519" s="35" t="s">
        <v>33</v>
      </c>
      <c r="C519" s="35" t="s">
        <v>34</v>
      </c>
      <c r="D519" s="35" t="s">
        <v>24</v>
      </c>
      <c r="E519" s="35" t="s">
        <v>24</v>
      </c>
      <c r="F519" s="35" t="s">
        <v>25</v>
      </c>
      <c r="G519" s="35" t="s">
        <v>25</v>
      </c>
      <c r="H519" s="35" t="s">
        <v>25</v>
      </c>
      <c r="I519" s="55">
        <v>44378</v>
      </c>
      <c r="J519" s="56">
        <f ca="1">EFEITO!$J$519*EFEITO!$Y$519</f>
        <v>495.54914092642326</v>
      </c>
      <c r="K519" s="56">
        <f>EFEITO!$L$519*EFEITO!$Z$519</f>
        <v>0</v>
      </c>
      <c r="L519" s="56">
        <f>EFEITO!$N$519*EFEITO!$AA$519</f>
        <v>0</v>
      </c>
      <c r="M519" s="56">
        <f ca="1">$J$519-EFEITO!$K$519*EFEITO!$Y$519</f>
        <v>0</v>
      </c>
      <c r="N519" s="56">
        <f>$K$519-EFEITO!$M$519*EFEITO!$Z$519</f>
        <v>0</v>
      </c>
      <c r="O519" s="56">
        <f>$L$519-EFEITO!$O$519*EFEITO!$AA$519</f>
        <v>0</v>
      </c>
      <c r="P519" s="39"/>
      <c r="Q519" s="39"/>
      <c r="R519" s="39"/>
      <c r="S519" s="39"/>
      <c r="T519" s="39"/>
      <c r="U519" s="39"/>
      <c r="V519" s="39"/>
      <c r="W519" s="3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21</v>
      </c>
      <c r="B520" s="35" t="s">
        <v>33</v>
      </c>
      <c r="C520" s="35" t="s">
        <v>34</v>
      </c>
      <c r="D520" s="35" t="s">
        <v>24</v>
      </c>
      <c r="E520" s="35" t="s">
        <v>24</v>
      </c>
      <c r="F520" s="35" t="s">
        <v>25</v>
      </c>
      <c r="G520" s="35" t="s">
        <v>25</v>
      </c>
      <c r="H520" s="35" t="s">
        <v>25</v>
      </c>
      <c r="I520" s="55">
        <v>44409</v>
      </c>
      <c r="J520" s="56">
        <f ca="1">EFEITO!$J$520*EFEITO!$Y$520</f>
        <v>495.54914092642326</v>
      </c>
      <c r="K520" s="56">
        <f>EFEITO!$L$520*EFEITO!$Z$520</f>
        <v>0</v>
      </c>
      <c r="L520" s="56">
        <f>EFEITO!$N$520*EFEITO!$AA$520</f>
        <v>0</v>
      </c>
      <c r="M520" s="56">
        <f ca="1">$J$520-EFEITO!$K$520*EFEITO!$Y$520</f>
        <v>0</v>
      </c>
      <c r="N520" s="56">
        <f>$K$520-EFEITO!$M$520*EFEITO!$Z$520</f>
        <v>0</v>
      </c>
      <c r="O520" s="56">
        <f>$L$520-EFEITO!$O$520*EFEITO!$AA$520</f>
        <v>0</v>
      </c>
      <c r="P520" s="39"/>
      <c r="Q520" s="39"/>
      <c r="R520" s="39"/>
      <c r="S520" s="39"/>
      <c r="T520" s="39"/>
      <c r="U520" s="39"/>
      <c r="V520" s="39"/>
      <c r="W520" s="3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21</v>
      </c>
      <c r="B521" s="35" t="s">
        <v>33</v>
      </c>
      <c r="C521" s="35" t="s">
        <v>34</v>
      </c>
      <c r="D521" s="35" t="s">
        <v>24</v>
      </c>
      <c r="E521" s="35" t="s">
        <v>24</v>
      </c>
      <c r="F521" s="35" t="s">
        <v>25</v>
      </c>
      <c r="G521" s="35" t="s">
        <v>25</v>
      </c>
      <c r="H521" s="35" t="s">
        <v>25</v>
      </c>
      <c r="I521" s="55">
        <v>44440</v>
      </c>
      <c r="J521" s="56">
        <f ca="1">EFEITO!$J$521*EFEITO!$Y$521</f>
        <v>495.54914092642326</v>
      </c>
      <c r="K521" s="56">
        <f>EFEITO!$L$521*EFEITO!$Z$521</f>
        <v>0</v>
      </c>
      <c r="L521" s="56">
        <f>EFEITO!$N$521*EFEITO!$AA$521</f>
        <v>0</v>
      </c>
      <c r="M521" s="56">
        <f ca="1">$J$521-EFEITO!$K$521*EFEITO!$Y$521</f>
        <v>0</v>
      </c>
      <c r="N521" s="56">
        <f>$K$521-EFEITO!$M$521*EFEITO!$Z$521</f>
        <v>0</v>
      </c>
      <c r="O521" s="56">
        <f>$L$521-EFEITO!$O$521*EFEITO!$AA$521</f>
        <v>0</v>
      </c>
      <c r="P521" s="39"/>
      <c r="Q521" s="39"/>
      <c r="R521" s="39"/>
      <c r="S521" s="39"/>
      <c r="T521" s="39"/>
      <c r="U521" s="39"/>
      <c r="V521" s="39"/>
      <c r="W521" s="3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21</v>
      </c>
      <c r="B522" s="35" t="s">
        <v>33</v>
      </c>
      <c r="C522" s="35" t="s">
        <v>34</v>
      </c>
      <c r="D522" s="35" t="s">
        <v>24</v>
      </c>
      <c r="E522" s="35" t="s">
        <v>24</v>
      </c>
      <c r="F522" s="35" t="s">
        <v>25</v>
      </c>
      <c r="G522" s="35" t="s">
        <v>25</v>
      </c>
      <c r="H522" s="35" t="s">
        <v>25</v>
      </c>
      <c r="I522" s="55">
        <v>44470</v>
      </c>
      <c r="J522" s="56">
        <f ca="1">EFEITO!$J$522*EFEITO!$Y$522</f>
        <v>495.54914092642326</v>
      </c>
      <c r="K522" s="56">
        <f>EFEITO!$L$522*EFEITO!$Z$522</f>
        <v>0</v>
      </c>
      <c r="L522" s="56">
        <f>EFEITO!$N$522*EFEITO!$AA$522</f>
        <v>0</v>
      </c>
      <c r="M522" s="56">
        <f ca="1">$J$522-EFEITO!$K$522*EFEITO!$Y$522</f>
        <v>0</v>
      </c>
      <c r="N522" s="56">
        <f>$K$522-EFEITO!$M$522*EFEITO!$Z$522</f>
        <v>0</v>
      </c>
      <c r="O522" s="56">
        <f>$L$522-EFEITO!$O$522*EFEITO!$AA$522</f>
        <v>0</v>
      </c>
      <c r="P522" s="39"/>
      <c r="Q522" s="39"/>
      <c r="R522" s="39"/>
      <c r="S522" s="39"/>
      <c r="T522" s="39"/>
      <c r="U522" s="39"/>
      <c r="V522" s="39"/>
      <c r="W522" s="3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21</v>
      </c>
      <c r="B523" s="35" t="s">
        <v>33</v>
      </c>
      <c r="C523" s="35" t="s">
        <v>34</v>
      </c>
      <c r="D523" s="35" t="s">
        <v>24</v>
      </c>
      <c r="E523" s="35" t="s">
        <v>24</v>
      </c>
      <c r="F523" s="35" t="s">
        <v>25</v>
      </c>
      <c r="G523" s="35" t="s">
        <v>25</v>
      </c>
      <c r="H523" s="35" t="s">
        <v>25</v>
      </c>
      <c r="I523" s="55">
        <v>44501</v>
      </c>
      <c r="J523" s="56">
        <f ca="1">EFEITO!$J$523*EFEITO!$Y$523</f>
        <v>495.54914092642326</v>
      </c>
      <c r="K523" s="56">
        <f>EFEITO!$L$523*EFEITO!$Z$523</f>
        <v>0</v>
      </c>
      <c r="L523" s="56">
        <f>EFEITO!$N$523*EFEITO!$AA$523</f>
        <v>0</v>
      </c>
      <c r="M523" s="56">
        <f ca="1">$J$523-EFEITO!$K$523*EFEITO!$Y$523</f>
        <v>0</v>
      </c>
      <c r="N523" s="56">
        <f>$K$523-EFEITO!$M$523*EFEITO!$Z$523</f>
        <v>0</v>
      </c>
      <c r="O523" s="56">
        <f>$L$523-EFEITO!$O$523*EFEITO!$AA$523</f>
        <v>0</v>
      </c>
      <c r="P523" s="39"/>
      <c r="Q523" s="39"/>
      <c r="R523" s="39"/>
      <c r="S523" s="39"/>
      <c r="T523" s="39"/>
      <c r="U523" s="39"/>
      <c r="V523" s="39"/>
      <c r="W523" s="3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21</v>
      </c>
      <c r="B524" s="35" t="s">
        <v>33</v>
      </c>
      <c r="C524" s="35" t="s">
        <v>34</v>
      </c>
      <c r="D524" s="35" t="s">
        <v>24</v>
      </c>
      <c r="E524" s="35" t="s">
        <v>24</v>
      </c>
      <c r="F524" s="35" t="s">
        <v>25</v>
      </c>
      <c r="G524" s="35" t="s">
        <v>25</v>
      </c>
      <c r="H524" s="35" t="s">
        <v>25</v>
      </c>
      <c r="I524" s="55">
        <v>44531</v>
      </c>
      <c r="J524" s="56">
        <f ca="1">EFEITO!$J$524*EFEITO!$Y$524</f>
        <v>495.54914092642326</v>
      </c>
      <c r="K524" s="56">
        <f>EFEITO!$L$524*EFEITO!$Z$524</f>
        <v>0</v>
      </c>
      <c r="L524" s="56">
        <f>EFEITO!$N$524*EFEITO!$AA$524</f>
        <v>0</v>
      </c>
      <c r="M524" s="56">
        <f ca="1">$J$524-EFEITO!$K$524*EFEITO!$Y$524</f>
        <v>0</v>
      </c>
      <c r="N524" s="56">
        <f>$K$524-EFEITO!$M$524*EFEITO!$Z$524</f>
        <v>0</v>
      </c>
      <c r="O524" s="56">
        <f>$L$524-EFEITO!$O$524*EFEITO!$AA$524</f>
        <v>0</v>
      </c>
      <c r="P524" s="39"/>
      <c r="Q524" s="39"/>
      <c r="R524" s="39"/>
      <c r="S524" s="39"/>
      <c r="T524" s="39"/>
      <c r="U524" s="39"/>
      <c r="V524" s="39"/>
      <c r="W524" s="3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21</v>
      </c>
      <c r="B525" s="35" t="s">
        <v>33</v>
      </c>
      <c r="C525" s="35" t="s">
        <v>34</v>
      </c>
      <c r="D525" s="35" t="s">
        <v>24</v>
      </c>
      <c r="E525" s="35" t="s">
        <v>24</v>
      </c>
      <c r="F525" s="35" t="s">
        <v>25</v>
      </c>
      <c r="G525" s="35" t="s">
        <v>25</v>
      </c>
      <c r="H525" s="35" t="s">
        <v>25</v>
      </c>
      <c r="I525" s="55">
        <v>44562</v>
      </c>
      <c r="J525" s="56">
        <f ca="1">EFEITO!$J$525*EFEITO!$Y$525</f>
        <v>495.54914092642326</v>
      </c>
      <c r="K525" s="56">
        <f>EFEITO!$L$525*EFEITO!$Z$525</f>
        <v>0</v>
      </c>
      <c r="L525" s="56">
        <f>EFEITO!$N$525*EFEITO!$AA$525</f>
        <v>0</v>
      </c>
      <c r="M525" s="56">
        <f ca="1">$J$525-EFEITO!$K$525*EFEITO!$Y$525</f>
        <v>0</v>
      </c>
      <c r="N525" s="56">
        <f>$K$525-EFEITO!$M$525*EFEITO!$Z$525</f>
        <v>0</v>
      </c>
      <c r="O525" s="56">
        <f>$L$525-EFEITO!$O$525*EFEITO!$AA$525</f>
        <v>0</v>
      </c>
      <c r="P525" s="39"/>
      <c r="Q525" s="39"/>
      <c r="R525" s="39"/>
      <c r="S525" s="39"/>
      <c r="T525" s="39"/>
      <c r="U525" s="39"/>
      <c r="V525" s="39"/>
      <c r="W525" s="3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21</v>
      </c>
      <c r="B526" s="35" t="s">
        <v>33</v>
      </c>
      <c r="C526" s="35" t="s">
        <v>34</v>
      </c>
      <c r="D526" s="35" t="s">
        <v>24</v>
      </c>
      <c r="E526" s="35" t="s">
        <v>24</v>
      </c>
      <c r="F526" s="35" t="s">
        <v>25</v>
      </c>
      <c r="G526" s="35" t="s">
        <v>25</v>
      </c>
      <c r="H526" s="35" t="s">
        <v>25</v>
      </c>
      <c r="I526" s="55">
        <v>44593</v>
      </c>
      <c r="J526" s="56">
        <f ca="1">EFEITO!$J$526*EFEITO!$Y$526</f>
        <v>495.54914092642326</v>
      </c>
      <c r="K526" s="56">
        <f>EFEITO!$L$526*EFEITO!$Z$526</f>
        <v>0</v>
      </c>
      <c r="L526" s="56">
        <f>EFEITO!$N$526*EFEITO!$AA$526</f>
        <v>0</v>
      </c>
      <c r="M526" s="56">
        <f ca="1">$J$526-EFEITO!$K$526*EFEITO!$Y$526</f>
        <v>0</v>
      </c>
      <c r="N526" s="56">
        <f>$K$526-EFEITO!$M$526*EFEITO!$Z$526</f>
        <v>0</v>
      </c>
      <c r="O526" s="56">
        <f>$L$526-EFEITO!$O$526*EFEITO!$AA$526</f>
        <v>0</v>
      </c>
      <c r="P526" s="39"/>
      <c r="Q526" s="39"/>
      <c r="R526" s="39"/>
      <c r="S526" s="39"/>
      <c r="T526" s="39"/>
      <c r="U526" s="39"/>
      <c r="V526" s="39"/>
      <c r="W526" s="3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21</v>
      </c>
      <c r="B527" s="35" t="s">
        <v>33</v>
      </c>
      <c r="C527" s="35" t="s">
        <v>34</v>
      </c>
      <c r="D527" s="35" t="s">
        <v>24</v>
      </c>
      <c r="E527" s="35" t="s">
        <v>24</v>
      </c>
      <c r="F527" s="35" t="s">
        <v>25</v>
      </c>
      <c r="G527" s="35" t="s">
        <v>25</v>
      </c>
      <c r="H527" s="35" t="s">
        <v>25</v>
      </c>
      <c r="I527" s="55">
        <v>44621</v>
      </c>
      <c r="J527" s="56">
        <f ca="1">EFEITO!$J$527*EFEITO!$Y$527</f>
        <v>495.54914092642326</v>
      </c>
      <c r="K527" s="56">
        <f>EFEITO!$L$527*EFEITO!$Z$527</f>
        <v>0</v>
      </c>
      <c r="L527" s="56">
        <f>EFEITO!$N$527*EFEITO!$AA$527</f>
        <v>0</v>
      </c>
      <c r="M527" s="56">
        <f ca="1">$J$527-EFEITO!$K$527*EFEITO!$Y$527</f>
        <v>0</v>
      </c>
      <c r="N527" s="56">
        <f>$K$527-EFEITO!$M$527*EFEITO!$Z$527</f>
        <v>0</v>
      </c>
      <c r="O527" s="56">
        <f>$L$527-EFEITO!$O$527*EFEITO!$AA$527</f>
        <v>0</v>
      </c>
      <c r="P527" s="39"/>
      <c r="Q527" s="39"/>
      <c r="R527" s="39"/>
      <c r="S527" s="39"/>
      <c r="T527" s="39"/>
      <c r="U527" s="39"/>
      <c r="V527" s="39"/>
      <c r="W527" s="3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33</v>
      </c>
      <c r="C528" s="35" t="s">
        <v>34</v>
      </c>
      <c r="D528" s="35" t="s">
        <v>24</v>
      </c>
      <c r="E528" s="35" t="s">
        <v>24</v>
      </c>
      <c r="F528" s="35" t="s">
        <v>25</v>
      </c>
      <c r="G528" s="35" t="s">
        <v>25</v>
      </c>
      <c r="H528" s="35" t="s">
        <v>25</v>
      </c>
      <c r="I528" s="55">
        <v>44652</v>
      </c>
      <c r="J528" s="56">
        <f ca="1">EFEITO!$J$528*EFEITO!$Y$528</f>
        <v>495.54914092642326</v>
      </c>
      <c r="K528" s="56">
        <f>EFEITO!$L$528*EFEITO!$Z$528</f>
        <v>0</v>
      </c>
      <c r="L528" s="56">
        <f>EFEITO!$N$528*EFEITO!$AA$528</f>
        <v>0</v>
      </c>
      <c r="M528" s="56">
        <f ca="1">$J$528-EFEITO!$K$528*EFEITO!$Y$528</f>
        <v>0</v>
      </c>
      <c r="N528" s="56">
        <f>$K$528-EFEITO!$M$528*EFEITO!$Z$528</f>
        <v>0</v>
      </c>
      <c r="O528" s="56">
        <f>$L$528-EFEITO!$O$528*EFEITO!$AA$528</f>
        <v>0</v>
      </c>
      <c r="P528" s="39"/>
      <c r="Q528" s="39"/>
      <c r="R528" s="39"/>
      <c r="S528" s="39"/>
      <c r="T528" s="39"/>
      <c r="U528" s="39"/>
      <c r="V528" s="39"/>
      <c r="W528" s="3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21</v>
      </c>
      <c r="B529" s="35" t="s">
        <v>33</v>
      </c>
      <c r="C529" s="35" t="s">
        <v>34</v>
      </c>
      <c r="D529" s="35" t="s">
        <v>24</v>
      </c>
      <c r="E529" s="35" t="s">
        <v>24</v>
      </c>
      <c r="F529" s="35" t="s">
        <v>25</v>
      </c>
      <c r="G529" s="35" t="s">
        <v>25</v>
      </c>
      <c r="H529" s="35" t="s">
        <v>25</v>
      </c>
      <c r="I529" s="55">
        <v>44682</v>
      </c>
      <c r="J529" s="56">
        <f ca="1">EFEITO!$J$529*EFEITO!$Y$529</f>
        <v>495.54914092642326</v>
      </c>
      <c r="K529" s="56">
        <f>EFEITO!$L$529*EFEITO!$Z$529</f>
        <v>0</v>
      </c>
      <c r="L529" s="56">
        <f>EFEITO!$N$529*EFEITO!$AA$529</f>
        <v>0</v>
      </c>
      <c r="M529" s="56">
        <f ca="1">$J$529-EFEITO!$K$529*EFEITO!$Y$529</f>
        <v>0</v>
      </c>
      <c r="N529" s="56">
        <f>$K$529-EFEITO!$M$529*EFEITO!$Z$529</f>
        <v>0</v>
      </c>
      <c r="O529" s="56">
        <f>$L$529-EFEITO!$O$529*EFEITO!$AA$529</f>
        <v>0</v>
      </c>
      <c r="P529" s="39"/>
      <c r="Q529" s="39"/>
      <c r="R529" s="39"/>
      <c r="S529" s="39"/>
      <c r="T529" s="39"/>
      <c r="U529" s="39"/>
      <c r="V529" s="39"/>
      <c r="W529" s="3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21</v>
      </c>
      <c r="B530" s="35" t="s">
        <v>33</v>
      </c>
      <c r="C530" s="35" t="s">
        <v>34</v>
      </c>
      <c r="D530" s="35" t="s">
        <v>24</v>
      </c>
      <c r="E530" s="35" t="s">
        <v>24</v>
      </c>
      <c r="F530" s="35" t="s">
        <v>25</v>
      </c>
      <c r="G530" s="35" t="s">
        <v>25</v>
      </c>
      <c r="H530" s="35" t="s">
        <v>37</v>
      </c>
      <c r="I530" s="55">
        <v>44378</v>
      </c>
      <c r="J530" s="56">
        <f>EFEITO!$J$530*EFEITO!$Y$530</f>
        <v>0</v>
      </c>
      <c r="K530" s="56">
        <f ca="1">EFEITO!$L$530*EFEITO!$Z$530</f>
        <v>102.02783215706506</v>
      </c>
      <c r="L530" s="56">
        <f>EFEITO!$N$530*EFEITO!$AA$530</f>
        <v>36.939849654982112</v>
      </c>
      <c r="M530" s="56">
        <f>$J$530-EFEITO!$K$530*EFEITO!$Y$530</f>
        <v>0</v>
      </c>
      <c r="N530" s="56">
        <f ca="1">$K$530-EFEITO!$M$530*EFEITO!$Z$530</f>
        <v>0</v>
      </c>
      <c r="O530" s="56">
        <f>$L$530-EFEITO!$O$530*EFEITO!$AA$530</f>
        <v>0</v>
      </c>
      <c r="P530" s="39"/>
      <c r="Q530" s="39"/>
      <c r="R530" s="39"/>
      <c r="S530" s="39"/>
      <c r="T530" s="39"/>
      <c r="U530" s="39"/>
      <c r="V530" s="39"/>
      <c r="W530" s="3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21</v>
      </c>
      <c r="B531" s="35" t="s">
        <v>33</v>
      </c>
      <c r="C531" s="35" t="s">
        <v>34</v>
      </c>
      <c r="D531" s="35" t="s">
        <v>24</v>
      </c>
      <c r="E531" s="35" t="s">
        <v>24</v>
      </c>
      <c r="F531" s="35" t="s">
        <v>25</v>
      </c>
      <c r="G531" s="35" t="s">
        <v>25</v>
      </c>
      <c r="H531" s="35" t="s">
        <v>37</v>
      </c>
      <c r="I531" s="55">
        <v>44409</v>
      </c>
      <c r="J531" s="56">
        <f>EFEITO!$J$531*EFEITO!$Y$531</f>
        <v>0</v>
      </c>
      <c r="K531" s="56">
        <f ca="1">EFEITO!$L$531*EFEITO!$Z$531</f>
        <v>64.197287649389253</v>
      </c>
      <c r="L531" s="56">
        <f>EFEITO!$N$531*EFEITO!$AA$531</f>
        <v>23.243051468303353</v>
      </c>
      <c r="M531" s="56">
        <f>$J$531-EFEITO!$K$531*EFEITO!$Y$531</f>
        <v>0</v>
      </c>
      <c r="N531" s="56">
        <f ca="1">$K$531-EFEITO!$M$531*EFEITO!$Z$531</f>
        <v>0</v>
      </c>
      <c r="O531" s="56">
        <f>$L$531-EFEITO!$O$531*EFEITO!$AA$531</f>
        <v>0</v>
      </c>
      <c r="P531" s="39"/>
      <c r="Q531" s="39"/>
      <c r="R531" s="39"/>
      <c r="S531" s="39"/>
      <c r="T531" s="39"/>
      <c r="U531" s="39"/>
      <c r="V531" s="39"/>
      <c r="W531" s="3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21</v>
      </c>
      <c r="B532" s="35" t="s">
        <v>33</v>
      </c>
      <c r="C532" s="35" t="s">
        <v>34</v>
      </c>
      <c r="D532" s="35" t="s">
        <v>24</v>
      </c>
      <c r="E532" s="35" t="s">
        <v>24</v>
      </c>
      <c r="F532" s="35" t="s">
        <v>25</v>
      </c>
      <c r="G532" s="35" t="s">
        <v>25</v>
      </c>
      <c r="H532" s="35" t="s">
        <v>37</v>
      </c>
      <c r="I532" s="55">
        <v>44440</v>
      </c>
      <c r="J532" s="56">
        <f>EFEITO!$J$532*EFEITO!$Y$532</f>
        <v>0</v>
      </c>
      <c r="K532" s="56">
        <f ca="1">EFEITO!$L$532*EFEITO!$Z$532</f>
        <v>88.271270517910224</v>
      </c>
      <c r="L532" s="56">
        <f>EFEITO!$N$532*EFEITO!$AA$532</f>
        <v>31.959195768917109</v>
      </c>
      <c r="M532" s="56">
        <f>$J$532-EFEITO!$K$532*EFEITO!$Y$532</f>
        <v>0</v>
      </c>
      <c r="N532" s="56">
        <f ca="1">$K$532-EFEITO!$M$532*EFEITO!$Z$532</f>
        <v>0</v>
      </c>
      <c r="O532" s="56">
        <f>$L$532-EFEITO!$O$532*EFEITO!$AA$532</f>
        <v>0</v>
      </c>
      <c r="P532" s="39"/>
      <c r="Q532" s="39"/>
      <c r="R532" s="39"/>
      <c r="S532" s="39"/>
      <c r="T532" s="39"/>
      <c r="U532" s="39"/>
      <c r="V532" s="39"/>
      <c r="W532" s="3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21</v>
      </c>
      <c r="B533" s="35" t="s">
        <v>33</v>
      </c>
      <c r="C533" s="35" t="s">
        <v>34</v>
      </c>
      <c r="D533" s="35" t="s">
        <v>24</v>
      </c>
      <c r="E533" s="35" t="s">
        <v>24</v>
      </c>
      <c r="F533" s="35" t="s">
        <v>25</v>
      </c>
      <c r="G533" s="35" t="s">
        <v>25</v>
      </c>
      <c r="H533" s="35" t="s">
        <v>37</v>
      </c>
      <c r="I533" s="55">
        <v>44470</v>
      </c>
      <c r="J533" s="56">
        <f>EFEITO!$J$533*EFEITO!$Y$533</f>
        <v>0</v>
      </c>
      <c r="K533" s="56">
        <f ca="1">EFEITO!$L$533*EFEITO!$Z$533</f>
        <v>64.197287649389253</v>
      </c>
      <c r="L533" s="56">
        <f>EFEITO!$N$533*EFEITO!$AA$533</f>
        <v>23.243051468303353</v>
      </c>
      <c r="M533" s="56">
        <f>$J$533-EFEITO!$K$533*EFEITO!$Y$533</f>
        <v>0</v>
      </c>
      <c r="N533" s="56">
        <f ca="1">$K$533-EFEITO!$M$533*EFEITO!$Z$533</f>
        <v>0</v>
      </c>
      <c r="O533" s="56">
        <f>$L$533-EFEITO!$O$533*EFEITO!$AA$533</f>
        <v>0</v>
      </c>
      <c r="P533" s="39"/>
      <c r="Q533" s="39"/>
      <c r="R533" s="39"/>
      <c r="S533" s="39"/>
      <c r="T533" s="39"/>
      <c r="U533" s="39"/>
      <c r="V533" s="39"/>
      <c r="W533" s="3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21</v>
      </c>
      <c r="B534" s="35" t="s">
        <v>33</v>
      </c>
      <c r="C534" s="35" t="s">
        <v>34</v>
      </c>
      <c r="D534" s="35" t="s">
        <v>24</v>
      </c>
      <c r="E534" s="35" t="s">
        <v>24</v>
      </c>
      <c r="F534" s="35" t="s">
        <v>25</v>
      </c>
      <c r="G534" s="35" t="s">
        <v>25</v>
      </c>
      <c r="H534" s="35" t="s">
        <v>37</v>
      </c>
      <c r="I534" s="55">
        <v>44501</v>
      </c>
      <c r="J534" s="56">
        <f>EFEITO!$J$534*EFEITO!$Y$534</f>
        <v>0</v>
      </c>
      <c r="K534" s="56">
        <f ca="1">EFEITO!$L$534*EFEITO!$Z$534</f>
        <v>99.735071883872592</v>
      </c>
      <c r="L534" s="56">
        <f>EFEITO!$N$534*EFEITO!$AA$534</f>
        <v>36.109740673971274</v>
      </c>
      <c r="M534" s="56">
        <f>$J$534-EFEITO!$K$534*EFEITO!$Y$534</f>
        <v>0</v>
      </c>
      <c r="N534" s="56">
        <f ca="1">$K$534-EFEITO!$M$534*EFEITO!$Z$534</f>
        <v>0</v>
      </c>
      <c r="O534" s="56">
        <f>$L$534-EFEITO!$O$534*EFEITO!$AA$534</f>
        <v>0</v>
      </c>
      <c r="P534" s="39"/>
      <c r="Q534" s="39"/>
      <c r="R534" s="39"/>
      <c r="S534" s="39"/>
      <c r="T534" s="39"/>
      <c r="U534" s="39"/>
      <c r="V534" s="39"/>
      <c r="W534" s="3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21</v>
      </c>
      <c r="B535" s="35" t="s">
        <v>33</v>
      </c>
      <c r="C535" s="35" t="s">
        <v>34</v>
      </c>
      <c r="D535" s="35" t="s">
        <v>24</v>
      </c>
      <c r="E535" s="35" t="s">
        <v>24</v>
      </c>
      <c r="F535" s="35" t="s">
        <v>25</v>
      </c>
      <c r="G535" s="35" t="s">
        <v>25</v>
      </c>
      <c r="H535" s="35" t="s">
        <v>37</v>
      </c>
      <c r="I535" s="55">
        <v>44531</v>
      </c>
      <c r="J535" s="56">
        <f>EFEITO!$J$535*EFEITO!$Y$535</f>
        <v>0</v>
      </c>
      <c r="K535" s="56">
        <f ca="1">EFEITO!$L$535*EFEITO!$Z$535</f>
        <v>252.2036300511721</v>
      </c>
      <c r="L535" s="56">
        <f>EFEITO!$N$535*EFEITO!$AA$535</f>
        <v>91.311987911191736</v>
      </c>
      <c r="M535" s="56">
        <f>$J$535-EFEITO!$K$535*EFEITO!$Y$535</f>
        <v>0</v>
      </c>
      <c r="N535" s="56">
        <f ca="1">$K$535-EFEITO!$M$535*EFEITO!$Z$535</f>
        <v>0</v>
      </c>
      <c r="O535" s="56">
        <f>$L$535-EFEITO!$O$535*EFEITO!$AA$535</f>
        <v>0</v>
      </c>
      <c r="P535" s="39"/>
      <c r="Q535" s="39"/>
      <c r="R535" s="39"/>
      <c r="S535" s="39"/>
      <c r="T535" s="39"/>
      <c r="U535" s="39"/>
      <c r="V535" s="39"/>
      <c r="W535" s="3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21</v>
      </c>
      <c r="B536" s="35" t="s">
        <v>33</v>
      </c>
      <c r="C536" s="35" t="s">
        <v>34</v>
      </c>
      <c r="D536" s="35" t="s">
        <v>24</v>
      </c>
      <c r="E536" s="35" t="s">
        <v>24</v>
      </c>
      <c r="F536" s="35" t="s">
        <v>25</v>
      </c>
      <c r="G536" s="35" t="s">
        <v>25</v>
      </c>
      <c r="H536" s="35" t="s">
        <v>37</v>
      </c>
      <c r="I536" s="55">
        <v>44562</v>
      </c>
      <c r="J536" s="56">
        <f>EFEITO!$J$536*EFEITO!$Y$536</f>
        <v>0</v>
      </c>
      <c r="K536" s="56">
        <f ca="1">EFEITO!$L$536*EFEITO!$Z$536</f>
        <v>146.7366574843183</v>
      </c>
      <c r="L536" s="56">
        <f>EFEITO!$N$536*EFEITO!$AA$536</f>
        <v>53.126974784693374</v>
      </c>
      <c r="M536" s="56">
        <f>$J$536-EFEITO!$K$536*EFEITO!$Y$536</f>
        <v>0</v>
      </c>
      <c r="N536" s="56">
        <f ca="1">$K$536-EFEITO!$M$536*EFEITO!$Z$536</f>
        <v>0</v>
      </c>
      <c r="O536" s="56">
        <f>$L$536-EFEITO!$O$536*EFEITO!$AA$536</f>
        <v>0</v>
      </c>
      <c r="P536" s="39"/>
      <c r="Q536" s="39"/>
      <c r="R536" s="39"/>
      <c r="S536" s="39"/>
      <c r="T536" s="39"/>
      <c r="U536" s="39"/>
      <c r="V536" s="39"/>
      <c r="W536" s="3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21</v>
      </c>
      <c r="B537" s="35" t="s">
        <v>33</v>
      </c>
      <c r="C537" s="35" t="s">
        <v>34</v>
      </c>
      <c r="D537" s="35" t="s">
        <v>24</v>
      </c>
      <c r="E537" s="35" t="s">
        <v>24</v>
      </c>
      <c r="F537" s="35" t="s">
        <v>25</v>
      </c>
      <c r="G537" s="35" t="s">
        <v>25</v>
      </c>
      <c r="H537" s="35" t="s">
        <v>37</v>
      </c>
      <c r="I537" s="55">
        <v>44593</v>
      </c>
      <c r="J537" s="56">
        <f>EFEITO!$J$537*EFEITO!$Y$537</f>
        <v>0</v>
      </c>
      <c r="K537" s="56">
        <f ca="1">EFEITO!$L$537*EFEITO!$Z$537</f>
        <v>157.05407871368445</v>
      </c>
      <c r="L537" s="56">
        <f>EFEITO!$N$537*EFEITO!$AA$537</f>
        <v>56.862465199242131</v>
      </c>
      <c r="M537" s="56">
        <f>$J$537-EFEITO!$K$537*EFEITO!$Y$537</f>
        <v>0</v>
      </c>
      <c r="N537" s="56">
        <f ca="1">$K$537-EFEITO!$M$537*EFEITO!$Z$537</f>
        <v>0</v>
      </c>
      <c r="O537" s="56">
        <f>$L$537-EFEITO!$O$537*EFEITO!$AA$537</f>
        <v>0</v>
      </c>
      <c r="P537" s="39"/>
      <c r="Q537" s="39"/>
      <c r="R537" s="39"/>
      <c r="S537" s="39"/>
      <c r="T537" s="39"/>
      <c r="U537" s="39"/>
      <c r="V537" s="39"/>
      <c r="W537" s="3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21</v>
      </c>
      <c r="B538" s="35" t="s">
        <v>33</v>
      </c>
      <c r="C538" s="35" t="s">
        <v>34</v>
      </c>
      <c r="D538" s="35" t="s">
        <v>24</v>
      </c>
      <c r="E538" s="35" t="s">
        <v>24</v>
      </c>
      <c r="F538" s="35" t="s">
        <v>25</v>
      </c>
      <c r="G538" s="35" t="s">
        <v>25</v>
      </c>
      <c r="H538" s="35" t="s">
        <v>37</v>
      </c>
      <c r="I538" s="55">
        <v>44621</v>
      </c>
      <c r="J538" s="56">
        <f>EFEITO!$J$538*EFEITO!$Y$538</f>
        <v>0</v>
      </c>
      <c r="K538" s="56">
        <f ca="1">EFEITO!$L$538*EFEITO!$Z$538</f>
        <v>128.39457529877851</v>
      </c>
      <c r="L538" s="56">
        <f>EFEITO!$N$538*EFEITO!$AA$538</f>
        <v>46.486102936606706</v>
      </c>
      <c r="M538" s="56">
        <f>$J$538-EFEITO!$K$538*EFEITO!$Y$538</f>
        <v>0</v>
      </c>
      <c r="N538" s="56">
        <f ca="1">$K$538-EFEITO!$M$538*EFEITO!$Z$538</f>
        <v>0</v>
      </c>
      <c r="O538" s="56">
        <f>$L$538-EFEITO!$O$538*EFEITO!$AA$538</f>
        <v>0</v>
      </c>
      <c r="P538" s="39"/>
      <c r="Q538" s="39"/>
      <c r="R538" s="39"/>
      <c r="S538" s="39"/>
      <c r="T538" s="39"/>
      <c r="U538" s="39"/>
      <c r="V538" s="39"/>
      <c r="W538" s="3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21</v>
      </c>
      <c r="B539" s="35" t="s">
        <v>33</v>
      </c>
      <c r="C539" s="35" t="s">
        <v>34</v>
      </c>
      <c r="D539" s="35" t="s">
        <v>24</v>
      </c>
      <c r="E539" s="35" t="s">
        <v>24</v>
      </c>
      <c r="F539" s="35" t="s">
        <v>25</v>
      </c>
      <c r="G539" s="35" t="s">
        <v>25</v>
      </c>
      <c r="H539" s="35" t="s">
        <v>37</v>
      </c>
      <c r="I539" s="55">
        <v>44652</v>
      </c>
      <c r="J539" s="56">
        <f>EFEITO!$J$539*EFEITO!$Y$539</f>
        <v>0</v>
      </c>
      <c r="K539" s="56">
        <f ca="1">EFEITO!$L$539*EFEITO!$Z$539</f>
        <v>52.733486283426892</v>
      </c>
      <c r="L539" s="56">
        <f>EFEITO!$N$539*EFEITO!$AA$539</f>
        <v>19.092506563249181</v>
      </c>
      <c r="M539" s="56">
        <f>$J$539-EFEITO!$K$539*EFEITO!$Y$539</f>
        <v>0</v>
      </c>
      <c r="N539" s="56">
        <f ca="1">$K$539-EFEITO!$M$539*EFEITO!$Z$539</f>
        <v>0</v>
      </c>
      <c r="O539" s="56">
        <f>$L$539-EFEITO!$O$539*EFEITO!$AA$539</f>
        <v>0</v>
      </c>
      <c r="P539" s="39"/>
      <c r="Q539" s="39"/>
      <c r="R539" s="39"/>
      <c r="S539" s="39"/>
      <c r="T539" s="39"/>
      <c r="U539" s="39"/>
      <c r="V539" s="39"/>
      <c r="W539" s="3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21</v>
      </c>
      <c r="B540" s="35" t="s">
        <v>33</v>
      </c>
      <c r="C540" s="35" t="s">
        <v>34</v>
      </c>
      <c r="D540" s="35" t="s">
        <v>24</v>
      </c>
      <c r="E540" s="35" t="s">
        <v>24</v>
      </c>
      <c r="F540" s="35" t="s">
        <v>25</v>
      </c>
      <c r="G540" s="35" t="s">
        <v>25</v>
      </c>
      <c r="H540" s="35" t="s">
        <v>37</v>
      </c>
      <c r="I540" s="55">
        <v>44682</v>
      </c>
      <c r="J540" s="56">
        <f>EFEITO!$J$540*EFEITO!$Y$540</f>
        <v>0</v>
      </c>
      <c r="K540" s="56">
        <f ca="1">EFEITO!$L$540*EFEITO!$Z$540</f>
        <v>150.17579789410703</v>
      </c>
      <c r="L540" s="56">
        <f>EFEITO!$N$540*EFEITO!$AA$540</f>
        <v>54.372138256209631</v>
      </c>
      <c r="M540" s="56">
        <f>$J$540-EFEITO!$K$540*EFEITO!$Y$540</f>
        <v>0</v>
      </c>
      <c r="N540" s="56">
        <f ca="1">$K$540-EFEITO!$M$540*EFEITO!$Z$540</f>
        <v>0</v>
      </c>
      <c r="O540" s="56">
        <f>$L$540-EFEITO!$O$540*EFEITO!$AA$540</f>
        <v>0</v>
      </c>
      <c r="P540" s="39"/>
      <c r="Q540" s="39"/>
      <c r="R540" s="39"/>
      <c r="S540" s="39"/>
      <c r="T540" s="39"/>
      <c r="U540" s="39"/>
      <c r="V540" s="39"/>
      <c r="W540" s="3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21</v>
      </c>
      <c r="B541" s="35" t="s">
        <v>33</v>
      </c>
      <c r="C541" s="35" t="s">
        <v>34</v>
      </c>
      <c r="D541" s="35" t="s">
        <v>45</v>
      </c>
      <c r="E541" s="35" t="s">
        <v>25</v>
      </c>
      <c r="F541" s="35" t="s">
        <v>25</v>
      </c>
      <c r="G541" s="35" t="s">
        <v>25</v>
      </c>
      <c r="H541" s="35" t="s">
        <v>35</v>
      </c>
      <c r="I541" s="55">
        <v>44348</v>
      </c>
      <c r="J541" s="56">
        <f>EFEITO!$J$541*EFEITO!$Y$517</f>
        <v>0</v>
      </c>
      <c r="K541" s="56">
        <f ca="1">EFEITO!$L$541*EFEITO!$Z$517</f>
        <v>562.30051110705085</v>
      </c>
      <c r="L541" s="56">
        <f>EFEITO!$N$541*EFEITO!$AA$517</f>
        <v>1309.4308987614525</v>
      </c>
      <c r="M541" s="56">
        <f>$J$541-EFEITO!$K$541*EFEITO!$Y$541</f>
        <v>0</v>
      </c>
      <c r="N541" s="56">
        <f ca="1">$K$541-EFEITO!$M$541*EFEITO!$Z$541</f>
        <v>11.246010222141081</v>
      </c>
      <c r="O541" s="56">
        <f>$L$541-EFEITO!$O$541*EFEITO!$AA$541</f>
        <v>26.188617975229135</v>
      </c>
      <c r="P541" s="39"/>
      <c r="Q541" s="39"/>
      <c r="R541" s="39"/>
      <c r="S541" s="39"/>
      <c r="T541" s="39"/>
      <c r="U541" s="39"/>
      <c r="V541" s="39"/>
      <c r="W541" s="3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21</v>
      </c>
      <c r="B542" s="35" t="s">
        <v>33</v>
      </c>
      <c r="C542" s="35" t="s">
        <v>34</v>
      </c>
      <c r="D542" s="35" t="s">
        <v>45</v>
      </c>
      <c r="E542" s="35" t="s">
        <v>25</v>
      </c>
      <c r="F542" s="35" t="s">
        <v>25</v>
      </c>
      <c r="G542" s="35" t="s">
        <v>25</v>
      </c>
      <c r="H542" s="35" t="s">
        <v>35</v>
      </c>
      <c r="I542" s="55">
        <v>44378</v>
      </c>
      <c r="J542" s="56">
        <f>EFEITO!$J$542*EFEITO!$Y$517</f>
        <v>0</v>
      </c>
      <c r="K542" s="56">
        <f ca="1">EFEITO!$L$542*EFEITO!$Z$517</f>
        <v>336.04546865566778</v>
      </c>
      <c r="L542" s="56">
        <f>EFEITO!$N$542*EFEITO!$AA$517</f>
        <v>782.55009795417368</v>
      </c>
      <c r="M542" s="56">
        <f>$J$542-EFEITO!$K$542*EFEITO!$Y$542</f>
        <v>0</v>
      </c>
      <c r="N542" s="56">
        <f ca="1">$K$542-EFEITO!$M$542*EFEITO!$Z$542</f>
        <v>6.7209093731133294</v>
      </c>
      <c r="O542" s="56">
        <f>$L$542-EFEITO!$O$542*EFEITO!$AA$542</f>
        <v>15.651001959083487</v>
      </c>
      <c r="P542" s="39"/>
      <c r="Q542" s="39"/>
      <c r="R542" s="39"/>
      <c r="S542" s="39"/>
      <c r="T542" s="39"/>
      <c r="U542" s="39"/>
      <c r="V542" s="39"/>
      <c r="W542" s="3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21</v>
      </c>
      <c r="B543" s="35" t="s">
        <v>33</v>
      </c>
      <c r="C543" s="35" t="s">
        <v>34</v>
      </c>
      <c r="D543" s="35" t="s">
        <v>45</v>
      </c>
      <c r="E543" s="35" t="s">
        <v>25</v>
      </c>
      <c r="F543" s="35" t="s">
        <v>25</v>
      </c>
      <c r="G543" s="35" t="s">
        <v>25</v>
      </c>
      <c r="H543" s="35" t="s">
        <v>35</v>
      </c>
      <c r="I543" s="55">
        <v>44409</v>
      </c>
      <c r="J543" s="56">
        <f>EFEITO!$J$543*EFEITO!$Y$517</f>
        <v>0</v>
      </c>
      <c r="K543" s="56">
        <f ca="1">EFEITO!$L$543*EFEITO!$Z$517</f>
        <v>270.19346023323965</v>
      </c>
      <c r="L543" s="56">
        <f>EFEITO!$N$543*EFEITO!$AA$517</f>
        <v>629.20032702108176</v>
      </c>
      <c r="M543" s="56">
        <f>$J$543-EFEITO!$K$543*EFEITO!$Y$543</f>
        <v>0</v>
      </c>
      <c r="N543" s="56">
        <f ca="1">$K$543-EFEITO!$M$543*EFEITO!$Z$543</f>
        <v>5.4038692046647725</v>
      </c>
      <c r="O543" s="56">
        <f>$L$543-EFEITO!$O$543*EFEITO!$AA$543</f>
        <v>12.584006540421683</v>
      </c>
      <c r="P543" s="39"/>
      <c r="Q543" s="39"/>
      <c r="R543" s="39"/>
      <c r="S543" s="39"/>
      <c r="T543" s="39"/>
      <c r="U543" s="39"/>
      <c r="V543" s="39"/>
      <c r="W543" s="3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21</v>
      </c>
      <c r="B544" s="35" t="s">
        <v>33</v>
      </c>
      <c r="C544" s="35" t="s">
        <v>34</v>
      </c>
      <c r="D544" s="35" t="s">
        <v>45</v>
      </c>
      <c r="E544" s="35" t="s">
        <v>25</v>
      </c>
      <c r="F544" s="35" t="s">
        <v>25</v>
      </c>
      <c r="G544" s="35" t="s">
        <v>25</v>
      </c>
      <c r="H544" s="35" t="s">
        <v>35</v>
      </c>
      <c r="I544" s="55">
        <v>44440</v>
      </c>
      <c r="J544" s="56">
        <f>EFEITO!$J$544*EFEITO!$Y$517</f>
        <v>0</v>
      </c>
      <c r="K544" s="56">
        <f ca="1">EFEITO!$L$544*EFEITO!$Z$517</f>
        <v>302.6745184415995</v>
      </c>
      <c r="L544" s="56">
        <f>EFEITO!$N$544*EFEITO!$AA$517</f>
        <v>704.83906538672852</v>
      </c>
      <c r="M544" s="56">
        <f>$J$544-EFEITO!$K$544*EFEITO!$Y$544</f>
        <v>0</v>
      </c>
      <c r="N544" s="56">
        <f ca="1">$K$544-EFEITO!$M$544*EFEITO!$Z$544</f>
        <v>6.0534903688320014</v>
      </c>
      <c r="O544" s="56">
        <f>$L$544-EFEITO!$O$544*EFEITO!$AA$544</f>
        <v>14.096781307734659</v>
      </c>
      <c r="P544" s="39"/>
      <c r="Q544" s="39"/>
      <c r="R544" s="39"/>
      <c r="S544" s="39"/>
      <c r="T544" s="39"/>
      <c r="U544" s="39"/>
      <c r="V544" s="39"/>
      <c r="W544" s="3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21</v>
      </c>
      <c r="B545" s="35" t="s">
        <v>33</v>
      </c>
      <c r="C545" s="35" t="s">
        <v>34</v>
      </c>
      <c r="D545" s="35" t="s">
        <v>45</v>
      </c>
      <c r="E545" s="35" t="s">
        <v>25</v>
      </c>
      <c r="F545" s="35" t="s">
        <v>25</v>
      </c>
      <c r="G545" s="35" t="s">
        <v>25</v>
      </c>
      <c r="H545" s="35" t="s">
        <v>35</v>
      </c>
      <c r="I545" s="55">
        <v>44470</v>
      </c>
      <c r="J545" s="56">
        <f>EFEITO!$J$545*EFEITO!$Y$517</f>
        <v>0</v>
      </c>
      <c r="K545" s="56">
        <f ca="1">EFEITO!$L$545*EFEITO!$Z$517</f>
        <v>307.4576879722826</v>
      </c>
      <c r="L545" s="56">
        <f>EFEITO!$N$545*EFEITO!$AA$517</f>
        <v>715.97764672139556</v>
      </c>
      <c r="M545" s="56">
        <f>$J$545-EFEITO!$K$545*EFEITO!$Y$545</f>
        <v>0</v>
      </c>
      <c r="N545" s="56">
        <f ca="1">$K$545-EFEITO!$M$545*EFEITO!$Z$545</f>
        <v>6.1491537594456531</v>
      </c>
      <c r="O545" s="56">
        <f>$L$545-EFEITO!$O$545*EFEITO!$AA$545</f>
        <v>14.319552934427975</v>
      </c>
      <c r="P545" s="39"/>
      <c r="Q545" s="39"/>
      <c r="R545" s="39"/>
      <c r="S545" s="39"/>
      <c r="T545" s="39"/>
      <c r="U545" s="39"/>
      <c r="V545" s="39"/>
      <c r="W545" s="3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21</v>
      </c>
      <c r="B546" s="35" t="s">
        <v>33</v>
      </c>
      <c r="C546" s="35" t="s">
        <v>34</v>
      </c>
      <c r="D546" s="35" t="s">
        <v>45</v>
      </c>
      <c r="E546" s="35" t="s">
        <v>25</v>
      </c>
      <c r="F546" s="35" t="s">
        <v>25</v>
      </c>
      <c r="G546" s="35" t="s">
        <v>25</v>
      </c>
      <c r="H546" s="35" t="s">
        <v>35</v>
      </c>
      <c r="I546" s="55">
        <v>44501</v>
      </c>
      <c r="J546" s="56">
        <f>EFEITO!$J$546*EFEITO!$Y$517</f>
        <v>0</v>
      </c>
      <c r="K546" s="56">
        <f ca="1">EFEITO!$L$546*EFEITO!$Z$517</f>
        <v>313.57569551152847</v>
      </c>
      <c r="L546" s="56">
        <f>EFEITO!$N$546*EFEITO!$AA$517</f>
        <v>730.22466935876059</v>
      </c>
      <c r="M546" s="56">
        <f>$J$546-EFEITO!$K$546*EFEITO!$Y$546</f>
        <v>0</v>
      </c>
      <c r="N546" s="56">
        <f ca="1">$K$546-EFEITO!$M$546*EFEITO!$Z$546</f>
        <v>6.271513910230567</v>
      </c>
      <c r="O546" s="56">
        <f>$L$546-EFEITO!$O$546*EFEITO!$AA$546</f>
        <v>14.604493387175239</v>
      </c>
      <c r="P546" s="39"/>
      <c r="Q546" s="39"/>
      <c r="R546" s="39"/>
      <c r="S546" s="39"/>
      <c r="T546" s="39"/>
      <c r="U546" s="39"/>
      <c r="V546" s="39"/>
      <c r="W546" s="3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21</v>
      </c>
      <c r="B547" s="35" t="s">
        <v>33</v>
      </c>
      <c r="C547" s="35" t="s">
        <v>34</v>
      </c>
      <c r="D547" s="35" t="s">
        <v>45</v>
      </c>
      <c r="E547" s="35" t="s">
        <v>25</v>
      </c>
      <c r="F547" s="35" t="s">
        <v>25</v>
      </c>
      <c r="G547" s="35" t="s">
        <v>25</v>
      </c>
      <c r="H547" s="35" t="s">
        <v>35</v>
      </c>
      <c r="I547" s="55">
        <v>44531</v>
      </c>
      <c r="J547" s="56">
        <f>EFEITO!$J$547*EFEITO!$Y$517</f>
        <v>0</v>
      </c>
      <c r="K547" s="56">
        <f ca="1">EFEITO!$L$547*EFEITO!$Z$517</f>
        <v>255.17653263690895</v>
      </c>
      <c r="L547" s="56">
        <f>EFEITO!$N$547*EFEITO!$AA$517</f>
        <v>594.23036236573137</v>
      </c>
      <c r="M547" s="56">
        <f>$J$547-EFEITO!$K$547*EFEITO!$Y$547</f>
        <v>0</v>
      </c>
      <c r="N547" s="56">
        <f ca="1">$K$547-EFEITO!$M$547*EFEITO!$Z$547</f>
        <v>5.1035306527381863</v>
      </c>
      <c r="O547" s="56">
        <f>$L$547-EFEITO!$O$547*EFEITO!$AA$547</f>
        <v>11.884607247314648</v>
      </c>
      <c r="P547" s="39"/>
      <c r="Q547" s="39"/>
      <c r="R547" s="39"/>
      <c r="S547" s="39"/>
      <c r="T547" s="39"/>
      <c r="U547" s="39"/>
      <c r="V547" s="39"/>
      <c r="W547" s="3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21</v>
      </c>
      <c r="B548" s="35" t="s">
        <v>33</v>
      </c>
      <c r="C548" s="35" t="s">
        <v>34</v>
      </c>
      <c r="D548" s="35" t="s">
        <v>45</v>
      </c>
      <c r="E548" s="35" t="s">
        <v>25</v>
      </c>
      <c r="F548" s="35" t="s">
        <v>25</v>
      </c>
      <c r="G548" s="35" t="s">
        <v>25</v>
      </c>
      <c r="H548" s="35" t="s">
        <v>35</v>
      </c>
      <c r="I548" s="55">
        <v>44593</v>
      </c>
      <c r="J548" s="56">
        <f>EFEITO!$J$548*EFEITO!$Y$517</f>
        <v>0</v>
      </c>
      <c r="K548" s="56">
        <f ca="1">EFEITO!$L$548*EFEITO!$Z$517</f>
        <v>422.80993921224535</v>
      </c>
      <c r="L548" s="56">
        <f>EFEITO!$N$548*EFEITO!$AA$517</f>
        <v>984.59878262953146</v>
      </c>
      <c r="M548" s="56">
        <f>$J$548-EFEITO!$K$548*EFEITO!$Y$548</f>
        <v>0</v>
      </c>
      <c r="N548" s="56">
        <f ca="1">$K$548-EFEITO!$M$548*EFEITO!$Z$548</f>
        <v>8.4561987842448616</v>
      </c>
      <c r="O548" s="56">
        <f>$L$548-EFEITO!$O$548*EFEITO!$AA$548</f>
        <v>19.691975652590713</v>
      </c>
      <c r="P548" s="39"/>
      <c r="Q548" s="39"/>
      <c r="R548" s="39"/>
      <c r="S548" s="39"/>
      <c r="T548" s="39"/>
      <c r="U548" s="39"/>
      <c r="V548" s="39"/>
      <c r="W548" s="3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21</v>
      </c>
      <c r="B549" s="35" t="s">
        <v>33</v>
      </c>
      <c r="C549" s="35" t="s">
        <v>34</v>
      </c>
      <c r="D549" s="35" t="s">
        <v>45</v>
      </c>
      <c r="E549" s="35" t="s">
        <v>25</v>
      </c>
      <c r="F549" s="35" t="s">
        <v>25</v>
      </c>
      <c r="G549" s="35" t="s">
        <v>25</v>
      </c>
      <c r="H549" s="35" t="s">
        <v>35</v>
      </c>
      <c r="I549" s="55">
        <v>44621</v>
      </c>
      <c r="J549" s="56">
        <f>EFEITO!$J$549*EFEITO!$Y$517</f>
        <v>0</v>
      </c>
      <c r="K549" s="56">
        <f ca="1">EFEITO!$L$549*EFEITO!$Z$517</f>
        <v>344.61067921061198</v>
      </c>
      <c r="L549" s="56">
        <f>EFEITO!$N$549*EFEITO!$AA$517</f>
        <v>802.49592964648468</v>
      </c>
      <c r="M549" s="56">
        <f>$J$549-EFEITO!$K$549*EFEITO!$Y$549</f>
        <v>0</v>
      </c>
      <c r="N549" s="56">
        <f ca="1">$K$549-EFEITO!$M$549*EFEITO!$Z$549</f>
        <v>6.8922135842122429</v>
      </c>
      <c r="O549" s="56">
        <f>$L$549-EFEITO!$O$549*EFEITO!$AA$549</f>
        <v>16.049918592929771</v>
      </c>
      <c r="P549" s="39"/>
      <c r="Q549" s="39"/>
      <c r="R549" s="39"/>
      <c r="S549" s="39"/>
      <c r="T549" s="39"/>
      <c r="U549" s="39"/>
      <c r="V549" s="39"/>
      <c r="W549" s="3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21</v>
      </c>
      <c r="B550" s="35" t="s">
        <v>33</v>
      </c>
      <c r="C550" s="35" t="s">
        <v>34</v>
      </c>
      <c r="D550" s="35" t="s">
        <v>45</v>
      </c>
      <c r="E550" s="35" t="s">
        <v>25</v>
      </c>
      <c r="F550" s="35" t="s">
        <v>25</v>
      </c>
      <c r="G550" s="35" t="s">
        <v>25</v>
      </c>
      <c r="H550" s="35" t="s">
        <v>35</v>
      </c>
      <c r="I550" s="55">
        <v>44652</v>
      </c>
      <c r="J550" s="56">
        <f>EFEITO!$J$550*EFEITO!$Y$517</f>
        <v>0</v>
      </c>
      <c r="K550" s="56">
        <f ca="1">EFEITO!$L$550*EFEITO!$Z$517</f>
        <v>249.50347110051732</v>
      </c>
      <c r="L550" s="56">
        <f>EFEITO!$N$550*EFEITO!$AA$517</f>
        <v>581.0194868292657</v>
      </c>
      <c r="M550" s="56">
        <f>$J$550-EFEITO!$K$550*EFEITO!$Y$550</f>
        <v>0</v>
      </c>
      <c r="N550" s="56">
        <f ca="1">$K$550-EFEITO!$M$550*EFEITO!$Z$550</f>
        <v>4.9900694220103503</v>
      </c>
      <c r="O550" s="56">
        <f>$L$550-EFEITO!$O$550*EFEITO!$AA$550</f>
        <v>11.620389736585366</v>
      </c>
      <c r="P550" s="39"/>
      <c r="Q550" s="39"/>
      <c r="R550" s="39"/>
      <c r="S550" s="39"/>
      <c r="T550" s="39"/>
      <c r="U550" s="39"/>
      <c r="V550" s="39"/>
      <c r="W550" s="3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21</v>
      </c>
      <c r="B551" s="35" t="s">
        <v>33</v>
      </c>
      <c r="C551" s="35" t="s">
        <v>34</v>
      </c>
      <c r="D551" s="35" t="s">
        <v>45</v>
      </c>
      <c r="E551" s="35" t="s">
        <v>25</v>
      </c>
      <c r="F551" s="35" t="s">
        <v>25</v>
      </c>
      <c r="G551" s="35" t="s">
        <v>25</v>
      </c>
      <c r="H551" s="35" t="s">
        <v>35</v>
      </c>
      <c r="I551" s="55">
        <v>44682</v>
      </c>
      <c r="J551" s="56">
        <f>EFEITO!$J$551*EFEITO!$Y$517</f>
        <v>0</v>
      </c>
      <c r="K551" s="56">
        <f ca="1">EFEITO!$L$551*EFEITO!$Z$517</f>
        <v>277.20135977819399</v>
      </c>
      <c r="L551" s="56">
        <f>EFEITO!$N$551*EFEITO!$AA$517</f>
        <v>645.5196438602452</v>
      </c>
      <c r="M551" s="56">
        <f>$J$551-EFEITO!$K$551*EFEITO!$Y$551</f>
        <v>0</v>
      </c>
      <c r="N551" s="56">
        <f ca="1">$K$551-EFEITO!$M$551*EFEITO!$Z$551</f>
        <v>5.5440271955638423</v>
      </c>
      <c r="O551" s="56">
        <f>$L$551-EFEITO!$O$551*EFEITO!$AA$551</f>
        <v>12.910392877204913</v>
      </c>
      <c r="P551" s="39"/>
      <c r="Q551" s="39"/>
      <c r="R551" s="39"/>
      <c r="S551" s="39"/>
      <c r="T551" s="39"/>
      <c r="U551" s="39"/>
      <c r="V551" s="39"/>
      <c r="W551" s="3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21</v>
      </c>
      <c r="B552" s="35" t="s">
        <v>33</v>
      </c>
      <c r="C552" s="35" t="s">
        <v>34</v>
      </c>
      <c r="D552" s="35" t="s">
        <v>45</v>
      </c>
      <c r="E552" s="35" t="s">
        <v>25</v>
      </c>
      <c r="F552" s="35" t="s">
        <v>25</v>
      </c>
      <c r="G552" s="35" t="s">
        <v>25</v>
      </c>
      <c r="H552" s="35" t="s">
        <v>25</v>
      </c>
      <c r="I552" s="55">
        <v>44348</v>
      </c>
      <c r="J552" s="56">
        <f ca="1">EFEITO!$J$552*EFEITO!$Y$529</f>
        <v>1618.7938603596494</v>
      </c>
      <c r="K552" s="56">
        <f>EFEITO!$L$552*EFEITO!$Z$529</f>
        <v>0</v>
      </c>
      <c r="L552" s="56">
        <f>EFEITO!$N$552*EFEITO!$AA$529</f>
        <v>0</v>
      </c>
      <c r="M552" s="56">
        <f ca="1">$J$552-EFEITO!$K$552*EFEITO!$Y$552</f>
        <v>32.375877207193071</v>
      </c>
      <c r="N552" s="56">
        <f>$K$552-EFEITO!$M$552*EFEITO!$Z$552</f>
        <v>0</v>
      </c>
      <c r="O552" s="56">
        <f>$L$552-EFEITO!$O$552*EFEITO!$AA$552</f>
        <v>0</v>
      </c>
      <c r="P552" s="39"/>
      <c r="Q552" s="39"/>
      <c r="R552" s="39"/>
      <c r="S552" s="39"/>
      <c r="T552" s="39"/>
      <c r="U552" s="39"/>
      <c r="V552" s="39"/>
      <c r="W552" s="3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21</v>
      </c>
      <c r="B553" s="35" t="s">
        <v>33</v>
      </c>
      <c r="C553" s="35" t="s">
        <v>34</v>
      </c>
      <c r="D553" s="35" t="s">
        <v>45</v>
      </c>
      <c r="E553" s="35" t="s">
        <v>25</v>
      </c>
      <c r="F553" s="35" t="s">
        <v>25</v>
      </c>
      <c r="G553" s="35" t="s">
        <v>25</v>
      </c>
      <c r="H553" s="35" t="s">
        <v>25</v>
      </c>
      <c r="I553" s="55">
        <v>44378</v>
      </c>
      <c r="J553" s="56">
        <f ca="1">EFEITO!$J$553*EFEITO!$Y$529</f>
        <v>611.17727380925533</v>
      </c>
      <c r="K553" s="56">
        <f>EFEITO!$L$553*EFEITO!$Z$529</f>
        <v>0</v>
      </c>
      <c r="L553" s="56">
        <f>EFEITO!$N$553*EFEITO!$AA$529</f>
        <v>0</v>
      </c>
      <c r="M553" s="56">
        <f ca="1">$J$553-EFEITO!$K$553*EFEITO!$Y$553</f>
        <v>12.223545476185109</v>
      </c>
      <c r="N553" s="56">
        <f>$K$553-EFEITO!$M$553*EFEITO!$Z$553</f>
        <v>0</v>
      </c>
      <c r="O553" s="56">
        <f>$L$553-EFEITO!$O$553*EFEITO!$AA$553</f>
        <v>0</v>
      </c>
      <c r="P553" s="39"/>
      <c r="Q553" s="39"/>
      <c r="R553" s="39"/>
      <c r="S553" s="39"/>
      <c r="T553" s="39"/>
      <c r="U553" s="39"/>
      <c r="V553" s="39"/>
      <c r="W553" s="3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21</v>
      </c>
      <c r="B554" s="35" t="s">
        <v>33</v>
      </c>
      <c r="C554" s="35" t="s">
        <v>34</v>
      </c>
      <c r="D554" s="35" t="s">
        <v>45</v>
      </c>
      <c r="E554" s="35" t="s">
        <v>25</v>
      </c>
      <c r="F554" s="35" t="s">
        <v>25</v>
      </c>
      <c r="G554" s="35" t="s">
        <v>25</v>
      </c>
      <c r="H554" s="35" t="s">
        <v>25</v>
      </c>
      <c r="I554" s="55">
        <v>44409</v>
      </c>
      <c r="J554" s="56">
        <f ca="1">EFEITO!$J$554*EFEITO!$Y$529</f>
        <v>611.17727380925533</v>
      </c>
      <c r="K554" s="56">
        <f>EFEITO!$L$554*EFEITO!$Z$529</f>
        <v>0</v>
      </c>
      <c r="L554" s="56">
        <f>EFEITO!$N$554*EFEITO!$AA$529</f>
        <v>0</v>
      </c>
      <c r="M554" s="56">
        <f ca="1">$J$554-EFEITO!$K$554*EFEITO!$Y$554</f>
        <v>12.223545476185109</v>
      </c>
      <c r="N554" s="56">
        <f>$K$554-EFEITO!$M$554*EFEITO!$Z$554</f>
        <v>0</v>
      </c>
      <c r="O554" s="56">
        <f>$L$554-EFEITO!$O$554*EFEITO!$AA$554</f>
        <v>0</v>
      </c>
      <c r="P554" s="39"/>
      <c r="Q554" s="39"/>
      <c r="R554" s="39"/>
      <c r="S554" s="39"/>
      <c r="T554" s="39"/>
      <c r="U554" s="39"/>
      <c r="V554" s="39"/>
      <c r="W554" s="3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21</v>
      </c>
      <c r="B555" s="35" t="s">
        <v>33</v>
      </c>
      <c r="C555" s="35" t="s">
        <v>34</v>
      </c>
      <c r="D555" s="35" t="s">
        <v>45</v>
      </c>
      <c r="E555" s="35" t="s">
        <v>25</v>
      </c>
      <c r="F555" s="35" t="s">
        <v>25</v>
      </c>
      <c r="G555" s="35" t="s">
        <v>25</v>
      </c>
      <c r="H555" s="35" t="s">
        <v>25</v>
      </c>
      <c r="I555" s="55">
        <v>44440</v>
      </c>
      <c r="J555" s="56">
        <f ca="1">EFEITO!$J$555*EFEITO!$Y$529</f>
        <v>611.17727380925533</v>
      </c>
      <c r="K555" s="56">
        <f>EFEITO!$L$555*EFEITO!$Z$529</f>
        <v>0</v>
      </c>
      <c r="L555" s="56">
        <f>EFEITO!$N$555*EFEITO!$AA$529</f>
        <v>0</v>
      </c>
      <c r="M555" s="56">
        <f ca="1">$J$555-EFEITO!$K$555*EFEITO!$Y$555</f>
        <v>12.223545476185109</v>
      </c>
      <c r="N555" s="56">
        <f>$K$555-EFEITO!$M$555*EFEITO!$Z$555</f>
        <v>0</v>
      </c>
      <c r="O555" s="56">
        <f>$L$555-EFEITO!$O$555*EFEITO!$AA$555</f>
        <v>0</v>
      </c>
      <c r="P555" s="39"/>
      <c r="Q555" s="39"/>
      <c r="R555" s="39"/>
      <c r="S555" s="39"/>
      <c r="T555" s="39"/>
      <c r="U555" s="39"/>
      <c r="V555" s="39"/>
      <c r="W555" s="3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21</v>
      </c>
      <c r="B556" s="35" t="s">
        <v>33</v>
      </c>
      <c r="C556" s="35" t="s">
        <v>34</v>
      </c>
      <c r="D556" s="35" t="s">
        <v>45</v>
      </c>
      <c r="E556" s="35" t="s">
        <v>25</v>
      </c>
      <c r="F556" s="35" t="s">
        <v>25</v>
      </c>
      <c r="G556" s="35" t="s">
        <v>25</v>
      </c>
      <c r="H556" s="35" t="s">
        <v>25</v>
      </c>
      <c r="I556" s="55">
        <v>44470</v>
      </c>
      <c r="J556" s="56">
        <f ca="1">EFEITO!$J$556*EFEITO!$Y$529</f>
        <v>611.17727380925533</v>
      </c>
      <c r="K556" s="56">
        <f>EFEITO!$L$556*EFEITO!$Z$529</f>
        <v>0</v>
      </c>
      <c r="L556" s="56">
        <f>EFEITO!$N$556*EFEITO!$AA$529</f>
        <v>0</v>
      </c>
      <c r="M556" s="56">
        <f ca="1">$J$556-EFEITO!$K$556*EFEITO!$Y$556</f>
        <v>12.223545476185109</v>
      </c>
      <c r="N556" s="56">
        <f>$K$556-EFEITO!$M$556*EFEITO!$Z$556</f>
        <v>0</v>
      </c>
      <c r="O556" s="56">
        <f>$L$556-EFEITO!$O$556*EFEITO!$AA$556</f>
        <v>0</v>
      </c>
      <c r="P556" s="39"/>
      <c r="Q556" s="39"/>
      <c r="R556" s="39"/>
      <c r="S556" s="39"/>
      <c r="T556" s="39"/>
      <c r="U556" s="39"/>
      <c r="V556" s="39"/>
      <c r="W556" s="3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21</v>
      </c>
      <c r="B557" s="35" t="s">
        <v>33</v>
      </c>
      <c r="C557" s="35" t="s">
        <v>34</v>
      </c>
      <c r="D557" s="35" t="s">
        <v>45</v>
      </c>
      <c r="E557" s="35" t="s">
        <v>25</v>
      </c>
      <c r="F557" s="35" t="s">
        <v>25</v>
      </c>
      <c r="G557" s="35" t="s">
        <v>25</v>
      </c>
      <c r="H557" s="35" t="s">
        <v>25</v>
      </c>
      <c r="I557" s="55">
        <v>44501</v>
      </c>
      <c r="J557" s="56">
        <f ca="1">EFEITO!$J$557*EFEITO!$Y$529</f>
        <v>611.17727380925533</v>
      </c>
      <c r="K557" s="56">
        <f>EFEITO!$L$557*EFEITO!$Z$529</f>
        <v>0</v>
      </c>
      <c r="L557" s="56">
        <f>EFEITO!$N$557*EFEITO!$AA$529</f>
        <v>0</v>
      </c>
      <c r="M557" s="56">
        <f ca="1">$J$557-EFEITO!$K$557*EFEITO!$Y$557</f>
        <v>12.223545476185109</v>
      </c>
      <c r="N557" s="56">
        <f>$K$557-EFEITO!$M$557*EFEITO!$Z$557</f>
        <v>0</v>
      </c>
      <c r="O557" s="56">
        <f>$L$557-EFEITO!$O$557*EFEITO!$AA$557</f>
        <v>0</v>
      </c>
      <c r="P557" s="39"/>
      <c r="Q557" s="39"/>
      <c r="R557" s="39"/>
      <c r="S557" s="39"/>
      <c r="T557" s="39"/>
      <c r="U557" s="39"/>
      <c r="V557" s="39"/>
      <c r="W557" s="3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21</v>
      </c>
      <c r="B558" s="35" t="s">
        <v>33</v>
      </c>
      <c r="C558" s="35" t="s">
        <v>34</v>
      </c>
      <c r="D558" s="35" t="s">
        <v>45</v>
      </c>
      <c r="E558" s="35" t="s">
        <v>25</v>
      </c>
      <c r="F558" s="35" t="s">
        <v>25</v>
      </c>
      <c r="G558" s="35" t="s">
        <v>25</v>
      </c>
      <c r="H558" s="35" t="s">
        <v>25</v>
      </c>
      <c r="I558" s="55">
        <v>44531</v>
      </c>
      <c r="J558" s="56">
        <f ca="1">EFEITO!$J$558*EFEITO!$Y$529</f>
        <v>611.17727380925533</v>
      </c>
      <c r="K558" s="56">
        <f>EFEITO!$L$558*EFEITO!$Z$529</f>
        <v>0</v>
      </c>
      <c r="L558" s="56">
        <f>EFEITO!$N$558*EFEITO!$AA$529</f>
        <v>0</v>
      </c>
      <c r="M558" s="56">
        <f ca="1">$J$558-EFEITO!$K$558*EFEITO!$Y$558</f>
        <v>12.223545476185109</v>
      </c>
      <c r="N558" s="56">
        <f>$K$558-EFEITO!$M$558*EFEITO!$Z$558</f>
        <v>0</v>
      </c>
      <c r="O558" s="56">
        <f>$L$558-EFEITO!$O$558*EFEITO!$AA$558</f>
        <v>0</v>
      </c>
      <c r="P558" s="39"/>
      <c r="Q558" s="39"/>
      <c r="R558" s="39"/>
      <c r="S558" s="39"/>
      <c r="T558" s="39"/>
      <c r="U558" s="39"/>
      <c r="V558" s="39"/>
      <c r="W558" s="3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21</v>
      </c>
      <c r="B559" s="35" t="s">
        <v>33</v>
      </c>
      <c r="C559" s="35" t="s">
        <v>34</v>
      </c>
      <c r="D559" s="35" t="s">
        <v>45</v>
      </c>
      <c r="E559" s="35" t="s">
        <v>25</v>
      </c>
      <c r="F559" s="35" t="s">
        <v>25</v>
      </c>
      <c r="G559" s="35" t="s">
        <v>25</v>
      </c>
      <c r="H559" s="35" t="s">
        <v>25</v>
      </c>
      <c r="I559" s="55">
        <v>44593</v>
      </c>
      <c r="J559" s="56">
        <f ca="1">EFEITO!$J$559*EFEITO!$Y$529</f>
        <v>495.54914092642326</v>
      </c>
      <c r="K559" s="56">
        <f>EFEITO!$L$559*EFEITO!$Z$529</f>
        <v>0</v>
      </c>
      <c r="L559" s="56">
        <f>EFEITO!$N$559*EFEITO!$AA$529</f>
        <v>0</v>
      </c>
      <c r="M559" s="56">
        <f ca="1">$J$559-EFEITO!$K$559*EFEITO!$Y$559</f>
        <v>9.9109828185284528</v>
      </c>
      <c r="N559" s="56">
        <f>$K$559-EFEITO!$M$559*EFEITO!$Z$559</f>
        <v>0</v>
      </c>
      <c r="O559" s="56">
        <f>$L$559-EFEITO!$O$559*EFEITO!$AA$559</f>
        <v>0</v>
      </c>
      <c r="P559" s="39"/>
      <c r="Q559" s="39"/>
      <c r="R559" s="39"/>
      <c r="S559" s="39"/>
      <c r="T559" s="39"/>
      <c r="U559" s="39"/>
      <c r="V559" s="39"/>
      <c r="W559" s="3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21</v>
      </c>
      <c r="B560" s="35" t="s">
        <v>33</v>
      </c>
      <c r="C560" s="35" t="s">
        <v>34</v>
      </c>
      <c r="D560" s="35" t="s">
        <v>45</v>
      </c>
      <c r="E560" s="35" t="s">
        <v>25</v>
      </c>
      <c r="F560" s="35" t="s">
        <v>25</v>
      </c>
      <c r="G560" s="35" t="s">
        <v>25</v>
      </c>
      <c r="H560" s="35" t="s">
        <v>25</v>
      </c>
      <c r="I560" s="55">
        <v>44621</v>
      </c>
      <c r="J560" s="56">
        <f ca="1">EFEITO!$J$560*EFEITO!$Y$529</f>
        <v>495.54914092642326</v>
      </c>
      <c r="K560" s="56">
        <f>EFEITO!$L$560*EFEITO!$Z$529</f>
        <v>0</v>
      </c>
      <c r="L560" s="56">
        <f>EFEITO!$N$560*EFEITO!$AA$529</f>
        <v>0</v>
      </c>
      <c r="M560" s="56">
        <f ca="1">$J$560-EFEITO!$K$560*EFEITO!$Y$560</f>
        <v>9.9109828185284528</v>
      </c>
      <c r="N560" s="56">
        <f>$K$560-EFEITO!$M$560*EFEITO!$Z$560</f>
        <v>0</v>
      </c>
      <c r="O560" s="56">
        <f>$L$560-EFEITO!$O$560*EFEITO!$AA$560</f>
        <v>0</v>
      </c>
      <c r="P560" s="39"/>
      <c r="Q560" s="39"/>
      <c r="R560" s="39"/>
      <c r="S560" s="39"/>
      <c r="T560" s="39"/>
      <c r="U560" s="39"/>
      <c r="V560" s="39"/>
      <c r="W560" s="3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21</v>
      </c>
      <c r="B561" s="35" t="s">
        <v>33</v>
      </c>
      <c r="C561" s="35" t="s">
        <v>34</v>
      </c>
      <c r="D561" s="35" t="s">
        <v>45</v>
      </c>
      <c r="E561" s="35" t="s">
        <v>25</v>
      </c>
      <c r="F561" s="35" t="s">
        <v>25</v>
      </c>
      <c r="G561" s="35" t="s">
        <v>25</v>
      </c>
      <c r="H561" s="35" t="s">
        <v>25</v>
      </c>
      <c r="I561" s="55">
        <v>44652</v>
      </c>
      <c r="J561" s="56">
        <f ca="1">EFEITO!$J$561*EFEITO!$Y$529</f>
        <v>495.54914092642326</v>
      </c>
      <c r="K561" s="56">
        <f>EFEITO!$L$561*EFEITO!$Z$529</f>
        <v>0</v>
      </c>
      <c r="L561" s="56">
        <f>EFEITO!$N$561*EFEITO!$AA$529</f>
        <v>0</v>
      </c>
      <c r="M561" s="56">
        <f ca="1">$J$561-EFEITO!$K$561*EFEITO!$Y$561</f>
        <v>9.9109828185284528</v>
      </c>
      <c r="N561" s="56">
        <f>$K$561-EFEITO!$M$561*EFEITO!$Z$561</f>
        <v>0</v>
      </c>
      <c r="O561" s="56">
        <f>$L$561-EFEITO!$O$561*EFEITO!$AA$561</f>
        <v>0</v>
      </c>
      <c r="P561" s="39"/>
      <c r="Q561" s="39"/>
      <c r="R561" s="39"/>
      <c r="S561" s="39"/>
      <c r="T561" s="39"/>
      <c r="U561" s="39"/>
      <c r="V561" s="39"/>
      <c r="W561" s="3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33</v>
      </c>
      <c r="C562" s="35" t="s">
        <v>34</v>
      </c>
      <c r="D562" s="35" t="s">
        <v>45</v>
      </c>
      <c r="E562" s="35" t="s">
        <v>25</v>
      </c>
      <c r="F562" s="35" t="s">
        <v>25</v>
      </c>
      <c r="G562" s="35" t="s">
        <v>25</v>
      </c>
      <c r="H562" s="35" t="s">
        <v>25</v>
      </c>
      <c r="I562" s="55">
        <v>44682</v>
      </c>
      <c r="J562" s="56">
        <f ca="1">EFEITO!$J$562*EFEITO!$Y$529</f>
        <v>495.54914092642326</v>
      </c>
      <c r="K562" s="56">
        <f>EFEITO!$L$562*EFEITO!$Z$529</f>
        <v>0</v>
      </c>
      <c r="L562" s="56">
        <f>EFEITO!$N$562*EFEITO!$AA$529</f>
        <v>0</v>
      </c>
      <c r="M562" s="56">
        <f ca="1">$J$562-EFEITO!$K$562*EFEITO!$Y$562</f>
        <v>9.9109828185284528</v>
      </c>
      <c r="N562" s="56">
        <f>$K$562-EFEITO!$M$562*EFEITO!$Z$562</f>
        <v>0</v>
      </c>
      <c r="O562" s="56">
        <f>$L$562-EFEITO!$O$562*EFEITO!$AA$562</f>
        <v>0</v>
      </c>
      <c r="P562" s="39"/>
      <c r="Q562" s="39"/>
      <c r="R562" s="39"/>
      <c r="S562" s="39"/>
      <c r="T562" s="39"/>
      <c r="U562" s="39"/>
      <c r="V562" s="39"/>
      <c r="W562" s="3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21</v>
      </c>
      <c r="B563" s="35" t="s">
        <v>33</v>
      </c>
      <c r="C563" s="35" t="s">
        <v>34</v>
      </c>
      <c r="D563" s="35" t="s">
        <v>45</v>
      </c>
      <c r="E563" s="35" t="s">
        <v>25</v>
      </c>
      <c r="F563" s="35" t="s">
        <v>25</v>
      </c>
      <c r="G563" s="35" t="s">
        <v>25</v>
      </c>
      <c r="H563" s="35" t="s">
        <v>37</v>
      </c>
      <c r="I563" s="55">
        <v>44348</v>
      </c>
      <c r="J563" s="56">
        <f>EFEITO!$J$563*EFEITO!$Y$540</f>
        <v>0</v>
      </c>
      <c r="K563" s="56">
        <f ca="1">EFEITO!$L$563*EFEITO!$Z$540</f>
        <v>381.74458548654684</v>
      </c>
      <c r="L563" s="56">
        <f>EFEITO!$N$563*EFEITO!$AA$540</f>
        <v>138.21314533830386</v>
      </c>
      <c r="M563" s="56">
        <f>$J$563-EFEITO!$K$563*EFEITO!$Y$563</f>
        <v>0</v>
      </c>
      <c r="N563" s="56">
        <f ca="1">$K$563-EFEITO!$M$563*EFEITO!$Z$563</f>
        <v>7.6348917097308799</v>
      </c>
      <c r="O563" s="56">
        <f>$L$563-EFEITO!$O$563*EFEITO!$AA$563</f>
        <v>2.7642629067660778</v>
      </c>
      <c r="P563" s="39"/>
      <c r="Q563" s="39"/>
      <c r="R563" s="39"/>
      <c r="S563" s="39"/>
      <c r="T563" s="39"/>
      <c r="U563" s="39"/>
      <c r="V563" s="39"/>
      <c r="W563" s="3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21</v>
      </c>
      <c r="B564" s="35" t="s">
        <v>33</v>
      </c>
      <c r="C564" s="35" t="s">
        <v>34</v>
      </c>
      <c r="D564" s="35" t="s">
        <v>45</v>
      </c>
      <c r="E564" s="35" t="s">
        <v>25</v>
      </c>
      <c r="F564" s="35" t="s">
        <v>25</v>
      </c>
      <c r="G564" s="35" t="s">
        <v>25</v>
      </c>
      <c r="H564" s="35" t="s">
        <v>37</v>
      </c>
      <c r="I564" s="55">
        <v>44378</v>
      </c>
      <c r="J564" s="56">
        <f>EFEITO!$J$564*EFEITO!$Y$540</f>
        <v>0</v>
      </c>
      <c r="K564" s="56">
        <f ca="1">EFEITO!$L$564*EFEITO!$Z$540</f>
        <v>456.25929436530225</v>
      </c>
      <c r="L564" s="56">
        <f>EFEITO!$N$564*EFEITO!$AA$540</f>
        <v>165.19168722115597</v>
      </c>
      <c r="M564" s="56">
        <f>$J$564-EFEITO!$K$564*EFEITO!$Y$564</f>
        <v>0</v>
      </c>
      <c r="N564" s="56">
        <f ca="1">$K$564-EFEITO!$M$564*EFEITO!$Z$564</f>
        <v>9.1251858873060314</v>
      </c>
      <c r="O564" s="56">
        <f>$L$564-EFEITO!$O$564*EFEITO!$AA$564</f>
        <v>3.3038337444231161</v>
      </c>
      <c r="P564" s="39"/>
      <c r="Q564" s="39"/>
      <c r="R564" s="39"/>
      <c r="S564" s="39"/>
      <c r="T564" s="39"/>
      <c r="U564" s="39"/>
      <c r="V564" s="39"/>
      <c r="W564" s="3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21</v>
      </c>
      <c r="B565" s="35" t="s">
        <v>33</v>
      </c>
      <c r="C565" s="35" t="s">
        <v>34</v>
      </c>
      <c r="D565" s="35" t="s">
        <v>45</v>
      </c>
      <c r="E565" s="35" t="s">
        <v>25</v>
      </c>
      <c r="F565" s="35" t="s">
        <v>25</v>
      </c>
      <c r="G565" s="35" t="s">
        <v>25</v>
      </c>
      <c r="H565" s="35" t="s">
        <v>37</v>
      </c>
      <c r="I565" s="55">
        <v>44409</v>
      </c>
      <c r="J565" s="56">
        <f>EFEITO!$J$565*EFEITO!$Y$540</f>
        <v>0</v>
      </c>
      <c r="K565" s="56">
        <f ca="1">EFEITO!$L$565*EFEITO!$Z$540</f>
        <v>410.40408890145272</v>
      </c>
      <c r="L565" s="56">
        <f>EFEITO!$N$565*EFEITO!$AA$540</f>
        <v>148.58950760093927</v>
      </c>
      <c r="M565" s="56">
        <f>$J$565-EFEITO!$K$565*EFEITO!$Y$565</f>
        <v>0</v>
      </c>
      <c r="N565" s="56">
        <f ca="1">$K$565-EFEITO!$M$565*EFEITO!$Z$565</f>
        <v>8.2080817780290545</v>
      </c>
      <c r="O565" s="56">
        <f>$L$565-EFEITO!$O$565*EFEITO!$AA$565</f>
        <v>2.9717901520187695</v>
      </c>
      <c r="P565" s="39"/>
      <c r="Q565" s="39"/>
      <c r="R565" s="39"/>
      <c r="S565" s="39"/>
      <c r="T565" s="39"/>
      <c r="U565" s="39"/>
      <c r="V565" s="39"/>
      <c r="W565" s="3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21</v>
      </c>
      <c r="B566" s="35" t="s">
        <v>33</v>
      </c>
      <c r="C566" s="35" t="s">
        <v>34</v>
      </c>
      <c r="D566" s="35" t="s">
        <v>45</v>
      </c>
      <c r="E566" s="35" t="s">
        <v>25</v>
      </c>
      <c r="F566" s="35" t="s">
        <v>25</v>
      </c>
      <c r="G566" s="35" t="s">
        <v>25</v>
      </c>
      <c r="H566" s="35" t="s">
        <v>37</v>
      </c>
      <c r="I566" s="55">
        <v>44440</v>
      </c>
      <c r="J566" s="56">
        <f>EFEITO!$J$566*EFEITO!$Y$540</f>
        <v>0</v>
      </c>
      <c r="K566" s="56">
        <f ca="1">EFEITO!$L$566*EFEITO!$Z$540</f>
        <v>425.30703067720384</v>
      </c>
      <c r="L566" s="56">
        <f>EFEITO!$N$566*EFEITO!$AA$540</f>
        <v>153.98521597750971</v>
      </c>
      <c r="M566" s="56">
        <f>$J$566-EFEITO!$K$566*EFEITO!$Y$566</f>
        <v>0</v>
      </c>
      <c r="N566" s="56">
        <f ca="1">$K$566-EFEITO!$M$566*EFEITO!$Z$566</f>
        <v>8.506140613544062</v>
      </c>
      <c r="O566" s="56">
        <f>$L$566-EFEITO!$O$566*EFEITO!$AA$566</f>
        <v>3.079704319550217</v>
      </c>
      <c r="P566" s="39"/>
      <c r="Q566" s="39"/>
      <c r="R566" s="39"/>
      <c r="S566" s="39"/>
      <c r="T566" s="39"/>
      <c r="U566" s="39"/>
      <c r="V566" s="39"/>
      <c r="W566" s="3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21</v>
      </c>
      <c r="B567" s="35" t="s">
        <v>33</v>
      </c>
      <c r="C567" s="35" t="s">
        <v>34</v>
      </c>
      <c r="D567" s="35" t="s">
        <v>45</v>
      </c>
      <c r="E567" s="35" t="s">
        <v>25</v>
      </c>
      <c r="F567" s="35" t="s">
        <v>25</v>
      </c>
      <c r="G567" s="35" t="s">
        <v>25</v>
      </c>
      <c r="H567" s="35" t="s">
        <v>37</v>
      </c>
      <c r="I567" s="55">
        <v>44470</v>
      </c>
      <c r="J567" s="56">
        <f>EFEITO!$J$567*EFEITO!$Y$540</f>
        <v>0</v>
      </c>
      <c r="K567" s="56">
        <f ca="1">EFEITO!$L$567*EFEITO!$Z$540</f>
        <v>395.50114712570166</v>
      </c>
      <c r="L567" s="56">
        <f>EFEITO!$N$567*EFEITO!$AA$540</f>
        <v>143.19379922436886</v>
      </c>
      <c r="M567" s="56">
        <f>$J$567-EFEITO!$K$567*EFEITO!$Y$567</f>
        <v>0</v>
      </c>
      <c r="N567" s="56">
        <f ca="1">$K$567-EFEITO!$M$567*EFEITO!$Z$567</f>
        <v>7.9100229425140469</v>
      </c>
      <c r="O567" s="56">
        <f>$L$567-EFEITO!$O$567*EFEITO!$AA$567</f>
        <v>2.8638759844873789</v>
      </c>
      <c r="P567" s="39"/>
      <c r="Q567" s="39"/>
      <c r="R567" s="39"/>
      <c r="S567" s="39"/>
      <c r="T567" s="39"/>
      <c r="U567" s="39"/>
      <c r="V567" s="39"/>
      <c r="W567" s="3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21</v>
      </c>
      <c r="B568" s="35" t="s">
        <v>33</v>
      </c>
      <c r="C568" s="35" t="s">
        <v>34</v>
      </c>
      <c r="D568" s="35" t="s">
        <v>45</v>
      </c>
      <c r="E568" s="35" t="s">
        <v>25</v>
      </c>
      <c r="F568" s="35" t="s">
        <v>25</v>
      </c>
      <c r="G568" s="35" t="s">
        <v>25</v>
      </c>
      <c r="H568" s="35" t="s">
        <v>37</v>
      </c>
      <c r="I568" s="55">
        <v>44501</v>
      </c>
      <c r="J568" s="56">
        <f>EFEITO!$J$568*EFEITO!$Y$540</f>
        <v>0</v>
      </c>
      <c r="K568" s="56">
        <f ca="1">EFEITO!$L$568*EFEITO!$Z$540</f>
        <v>394.35476698910543</v>
      </c>
      <c r="L568" s="56">
        <f>EFEITO!$N$568*EFEITO!$AA$540</f>
        <v>142.77874473386345</v>
      </c>
      <c r="M568" s="56">
        <f>$J$568-EFEITO!$K$568*EFEITO!$Y$568</f>
        <v>0</v>
      </c>
      <c r="N568" s="56">
        <f ca="1">$K$568-EFEITO!$M$568*EFEITO!$Z$568</f>
        <v>7.8870953397820927</v>
      </c>
      <c r="O568" s="56">
        <f>$L$568-EFEITO!$O$568*EFEITO!$AA$568</f>
        <v>2.8555748946772894</v>
      </c>
      <c r="P568" s="39"/>
      <c r="Q568" s="39"/>
      <c r="R568" s="39"/>
      <c r="S568" s="39"/>
      <c r="T568" s="39"/>
      <c r="U568" s="39"/>
      <c r="V568" s="39"/>
      <c r="W568" s="3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21</v>
      </c>
      <c r="B569" s="35" t="s">
        <v>33</v>
      </c>
      <c r="C569" s="35" t="s">
        <v>34</v>
      </c>
      <c r="D569" s="35" t="s">
        <v>45</v>
      </c>
      <c r="E569" s="35" t="s">
        <v>25</v>
      </c>
      <c r="F569" s="35" t="s">
        <v>25</v>
      </c>
      <c r="G569" s="35" t="s">
        <v>25</v>
      </c>
      <c r="H569" s="35" t="s">
        <v>37</v>
      </c>
      <c r="I569" s="55">
        <v>44531</v>
      </c>
      <c r="J569" s="56">
        <f>EFEITO!$J$569*EFEITO!$Y$540</f>
        <v>0</v>
      </c>
      <c r="K569" s="56">
        <f ca="1">EFEITO!$L$569*EFEITO!$Z$540</f>
        <v>355.37784234483337</v>
      </c>
      <c r="L569" s="56">
        <f>EFEITO!$N$569*EFEITO!$AA$540</f>
        <v>128.66689205667927</v>
      </c>
      <c r="M569" s="56">
        <f>$J$569-EFEITO!$K$569*EFEITO!$Y$569</f>
        <v>0</v>
      </c>
      <c r="N569" s="56">
        <f ca="1">$K$569-EFEITO!$M$569*EFEITO!$Z$569</f>
        <v>7.1075568468966139</v>
      </c>
      <c r="O569" s="56">
        <f>$L$569-EFEITO!$O$569*EFEITO!$AA$569</f>
        <v>2.5733378411335934</v>
      </c>
      <c r="P569" s="39"/>
      <c r="Q569" s="39"/>
      <c r="R569" s="39"/>
      <c r="S569" s="39"/>
      <c r="T569" s="39"/>
      <c r="U569" s="39"/>
      <c r="V569" s="39"/>
      <c r="W569" s="3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33</v>
      </c>
      <c r="C570" s="35" t="s">
        <v>34</v>
      </c>
      <c r="D570" s="35" t="s">
        <v>45</v>
      </c>
      <c r="E570" s="35" t="s">
        <v>25</v>
      </c>
      <c r="F570" s="35" t="s">
        <v>25</v>
      </c>
      <c r="G570" s="35" t="s">
        <v>25</v>
      </c>
      <c r="H570" s="35" t="s">
        <v>37</v>
      </c>
      <c r="I570" s="55">
        <v>44593</v>
      </c>
      <c r="J570" s="56">
        <f>EFEITO!$J$570*EFEITO!$Y$540</f>
        <v>0</v>
      </c>
      <c r="K570" s="56">
        <f ca="1">EFEITO!$L$570*EFEITO!$Z$540</f>
        <v>565.16540734194473</v>
      </c>
      <c r="L570" s="56">
        <f>EFEITO!$N$570*EFEITO!$AA$540</f>
        <v>204.62186381917058</v>
      </c>
      <c r="M570" s="56">
        <f>$J$570-EFEITO!$K$570*EFEITO!$Y$570</f>
        <v>0</v>
      </c>
      <c r="N570" s="56">
        <f ca="1">$K$570-EFEITO!$M$570*EFEITO!$Z$570</f>
        <v>11.303308146838845</v>
      </c>
      <c r="O570" s="56">
        <f>$L$570-EFEITO!$O$570*EFEITO!$AA$570</f>
        <v>4.0924372763834356</v>
      </c>
      <c r="P570" s="39"/>
      <c r="Q570" s="39"/>
      <c r="R570" s="39"/>
      <c r="S570" s="39"/>
      <c r="T570" s="39"/>
      <c r="U570" s="39"/>
      <c r="V570" s="39"/>
      <c r="W570" s="3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21</v>
      </c>
      <c r="B571" s="35" t="s">
        <v>33</v>
      </c>
      <c r="C571" s="35" t="s">
        <v>34</v>
      </c>
      <c r="D571" s="35" t="s">
        <v>45</v>
      </c>
      <c r="E571" s="35" t="s">
        <v>25</v>
      </c>
      <c r="F571" s="35" t="s">
        <v>25</v>
      </c>
      <c r="G571" s="35" t="s">
        <v>25</v>
      </c>
      <c r="H571" s="35" t="s">
        <v>37</v>
      </c>
      <c r="I571" s="55">
        <v>44621</v>
      </c>
      <c r="J571" s="56">
        <f>EFEITO!$J$571*EFEITO!$Y$540</f>
        <v>0</v>
      </c>
      <c r="K571" s="56">
        <f ca="1">EFEITO!$L$571*EFEITO!$Z$540</f>
        <v>392.06200671591301</v>
      </c>
      <c r="L571" s="56">
        <f>EFEITO!$N$571*EFEITO!$AA$540</f>
        <v>141.94863575285262</v>
      </c>
      <c r="M571" s="56">
        <f>$J$571-EFEITO!$K$571*EFEITO!$Y$571</f>
        <v>0</v>
      </c>
      <c r="N571" s="56">
        <f ca="1">$K$571-EFEITO!$M$571*EFEITO!$Z$571</f>
        <v>7.841240134318241</v>
      </c>
      <c r="O571" s="56">
        <f>$L$571-EFEITO!$O$571*EFEITO!$AA$571</f>
        <v>2.8389727150570536</v>
      </c>
      <c r="P571" s="39"/>
      <c r="Q571" s="39"/>
      <c r="R571" s="39"/>
      <c r="S571" s="39"/>
      <c r="T571" s="39"/>
      <c r="U571" s="39"/>
      <c r="V571" s="39"/>
      <c r="W571" s="3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21</v>
      </c>
      <c r="B572" s="35" t="s">
        <v>33</v>
      </c>
      <c r="C572" s="35" t="s">
        <v>34</v>
      </c>
      <c r="D572" s="35" t="s">
        <v>45</v>
      </c>
      <c r="E572" s="35" t="s">
        <v>25</v>
      </c>
      <c r="F572" s="35" t="s">
        <v>25</v>
      </c>
      <c r="G572" s="35" t="s">
        <v>25</v>
      </c>
      <c r="H572" s="35" t="s">
        <v>37</v>
      </c>
      <c r="I572" s="55">
        <v>44652</v>
      </c>
      <c r="J572" s="56">
        <f>EFEITO!$J$572*EFEITO!$Y$540</f>
        <v>0</v>
      </c>
      <c r="K572" s="56">
        <f ca="1">EFEITO!$L$572*EFEITO!$Z$540</f>
        <v>310.66901701758019</v>
      </c>
      <c r="L572" s="56">
        <f>EFEITO!$N$572*EFEITO!$AA$540</f>
        <v>112.47976692696801</v>
      </c>
      <c r="M572" s="56">
        <f>$J$572-EFEITO!$K$572*EFEITO!$Y$572</f>
        <v>0</v>
      </c>
      <c r="N572" s="56">
        <f ca="1">$K$572-EFEITO!$M$572*EFEITO!$Z$572</f>
        <v>6.2133803403515913</v>
      </c>
      <c r="O572" s="56">
        <f>$L$572-EFEITO!$O$572*EFEITO!$AA$572</f>
        <v>2.2495953385393648</v>
      </c>
      <c r="P572" s="39"/>
      <c r="Q572" s="39"/>
      <c r="R572" s="39"/>
      <c r="S572" s="39"/>
      <c r="T572" s="39"/>
      <c r="U572" s="39"/>
      <c r="V572" s="39"/>
      <c r="W572" s="3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21</v>
      </c>
      <c r="B573" s="35" t="s">
        <v>33</v>
      </c>
      <c r="C573" s="35" t="s">
        <v>34</v>
      </c>
      <c r="D573" s="35" t="s">
        <v>45</v>
      </c>
      <c r="E573" s="35" t="s">
        <v>25</v>
      </c>
      <c r="F573" s="35" t="s">
        <v>25</v>
      </c>
      <c r="G573" s="35" t="s">
        <v>25</v>
      </c>
      <c r="H573" s="35" t="s">
        <v>37</v>
      </c>
      <c r="I573" s="55">
        <v>44682</v>
      </c>
      <c r="J573" s="56">
        <f>EFEITO!$J$573*EFEITO!$Y$540</f>
        <v>0</v>
      </c>
      <c r="K573" s="56">
        <f ca="1">EFEITO!$L$573*EFEITO!$Z$540</f>
        <v>381.74458548654684</v>
      </c>
      <c r="L573" s="56">
        <f>EFEITO!$N$573*EFEITO!$AA$540</f>
        <v>138.21314533830386</v>
      </c>
      <c r="M573" s="56">
        <f>$J$573-EFEITO!$K$573*EFEITO!$Y$573</f>
        <v>0</v>
      </c>
      <c r="N573" s="56">
        <f ca="1">$K$573-EFEITO!$M$573*EFEITO!$Z$573</f>
        <v>7.6348917097308799</v>
      </c>
      <c r="O573" s="56">
        <f>$L$573-EFEITO!$O$573*EFEITO!$AA$573</f>
        <v>2.7642629067660778</v>
      </c>
      <c r="P573" s="39"/>
      <c r="Q573" s="39"/>
      <c r="R573" s="39"/>
      <c r="S573" s="39"/>
      <c r="T573" s="39"/>
      <c r="U573" s="39"/>
      <c r="V573" s="39"/>
      <c r="W573" s="3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21</v>
      </c>
      <c r="B574" s="35" t="s">
        <v>33</v>
      </c>
      <c r="C574" s="35" t="s">
        <v>34</v>
      </c>
      <c r="D574" s="35" t="s">
        <v>50</v>
      </c>
      <c r="E574" s="35" t="s">
        <v>51</v>
      </c>
      <c r="F574" s="35" t="s">
        <v>25</v>
      </c>
      <c r="G574" s="35" t="s">
        <v>25</v>
      </c>
      <c r="H574" s="35" t="s">
        <v>35</v>
      </c>
      <c r="I574" s="55">
        <v>44348</v>
      </c>
      <c r="J574" s="56">
        <f>EFEITO!$J$574*EFEITO!$Y$517</f>
        <v>0</v>
      </c>
      <c r="K574" s="56">
        <f ca="1">EFEITO!$L$574*EFEITO!$Z$517</f>
        <v>43641.082615449246</v>
      </c>
      <c r="L574" s="56">
        <f>EFEITO!$N$574*EFEITO!$AA$517</f>
        <v>101627.12091362698</v>
      </c>
      <c r="M574" s="56">
        <f>$J$574-EFEITO!$K$574*EFEITO!$Y$574</f>
        <v>0</v>
      </c>
      <c r="N574" s="56">
        <f ca="1">$K$574-EFEITO!$M$574*EFEITO!$Z$574</f>
        <v>1309.2324784634839</v>
      </c>
      <c r="O574" s="56">
        <f>$L$574-EFEITO!$O$574*EFEITO!$AA$574</f>
        <v>3048.8136274088029</v>
      </c>
      <c r="P574" s="39"/>
      <c r="Q574" s="39"/>
      <c r="R574" s="39"/>
      <c r="S574" s="39"/>
      <c r="T574" s="39"/>
      <c r="U574" s="39"/>
      <c r="V574" s="39"/>
      <c r="W574" s="3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21</v>
      </c>
      <c r="B575" s="35" t="s">
        <v>33</v>
      </c>
      <c r="C575" s="35" t="s">
        <v>34</v>
      </c>
      <c r="D575" s="35" t="s">
        <v>50</v>
      </c>
      <c r="E575" s="35" t="s">
        <v>51</v>
      </c>
      <c r="F575" s="35" t="s">
        <v>25</v>
      </c>
      <c r="G575" s="35" t="s">
        <v>25</v>
      </c>
      <c r="H575" s="35" t="s">
        <v>35</v>
      </c>
      <c r="I575" s="55">
        <v>44378</v>
      </c>
      <c r="J575" s="56">
        <f>EFEITO!$J$575*EFEITO!$Y$517</f>
        <v>0</v>
      </c>
      <c r="K575" s="56">
        <f ca="1">EFEITO!$L$575*EFEITO!$Z$517</f>
        <v>43084.121456376444</v>
      </c>
      <c r="L575" s="56">
        <f>EFEITO!$N$575*EFEITO!$AA$517</f>
        <v>100330.12378007632</v>
      </c>
      <c r="M575" s="56">
        <f>$J$575-EFEITO!$K$575*EFEITO!$Y$575</f>
        <v>0</v>
      </c>
      <c r="N575" s="56">
        <f ca="1">$K$575-EFEITO!$M$575*EFEITO!$Z$575</f>
        <v>1292.5236436912965</v>
      </c>
      <c r="O575" s="56">
        <f>$L$575-EFEITO!$O$575*EFEITO!$AA$575</f>
        <v>3009.9037134022947</v>
      </c>
      <c r="P575" s="39"/>
      <c r="Q575" s="39"/>
      <c r="R575" s="39"/>
      <c r="S575" s="39"/>
      <c r="T575" s="39"/>
      <c r="U575" s="39"/>
      <c r="V575" s="39"/>
      <c r="W575" s="3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21</v>
      </c>
      <c r="B576" s="35" t="s">
        <v>33</v>
      </c>
      <c r="C576" s="35" t="s">
        <v>34</v>
      </c>
      <c r="D576" s="35" t="s">
        <v>50</v>
      </c>
      <c r="E576" s="35" t="s">
        <v>51</v>
      </c>
      <c r="F576" s="35" t="s">
        <v>25</v>
      </c>
      <c r="G576" s="35" t="s">
        <v>25</v>
      </c>
      <c r="H576" s="35" t="s">
        <v>35</v>
      </c>
      <c r="I576" s="55">
        <v>44409</v>
      </c>
      <c r="J576" s="56">
        <f>EFEITO!$J$576*EFEITO!$Y$517</f>
        <v>0</v>
      </c>
      <c r="K576" s="56">
        <f ca="1">EFEITO!$L$576*EFEITO!$Z$517</f>
        <v>43729.960579519378</v>
      </c>
      <c r="L576" s="56">
        <f>EFEITO!$N$576*EFEITO!$AA$517</f>
        <v>101834.0912970316</v>
      </c>
      <c r="M576" s="56">
        <f>$J$576-EFEITO!$K$576*EFEITO!$Y$576</f>
        <v>0</v>
      </c>
      <c r="N576" s="56">
        <f ca="1">$K$576-EFEITO!$M$576*EFEITO!$Z$576</f>
        <v>1311.8988173855832</v>
      </c>
      <c r="O576" s="56">
        <f>$L$576-EFEITO!$O$576*EFEITO!$AA$576</f>
        <v>3055.0227389109496</v>
      </c>
      <c r="P576" s="39"/>
      <c r="Q576" s="39"/>
      <c r="R576" s="39"/>
      <c r="S576" s="39"/>
      <c r="T576" s="39"/>
      <c r="U576" s="39"/>
      <c r="V576" s="39"/>
      <c r="W576" s="3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21</v>
      </c>
      <c r="B577" s="35" t="s">
        <v>33</v>
      </c>
      <c r="C577" s="35" t="s">
        <v>34</v>
      </c>
      <c r="D577" s="35" t="s">
        <v>50</v>
      </c>
      <c r="E577" s="35" t="s">
        <v>51</v>
      </c>
      <c r="F577" s="35" t="s">
        <v>25</v>
      </c>
      <c r="G577" s="35" t="s">
        <v>25</v>
      </c>
      <c r="H577" s="35" t="s">
        <v>35</v>
      </c>
      <c r="I577" s="55">
        <v>44440</v>
      </c>
      <c r="J577" s="56">
        <f>EFEITO!$J$577*EFEITO!$Y$517</f>
        <v>0</v>
      </c>
      <c r="K577" s="56">
        <f ca="1">EFEITO!$L$577*EFEITO!$Z$517</f>
        <v>43246.415510917534</v>
      </c>
      <c r="L577" s="56">
        <f>EFEITO!$N$577*EFEITO!$AA$517</f>
        <v>100708.05843512932</v>
      </c>
      <c r="M577" s="56">
        <f>$J$577-EFEITO!$K$577*EFEITO!$Y$577</f>
        <v>0</v>
      </c>
      <c r="N577" s="56">
        <f ca="1">$K$577-EFEITO!$M$577*EFEITO!$Z$577</f>
        <v>1297.3924653275317</v>
      </c>
      <c r="O577" s="56">
        <f>$L$577-EFEITO!$O$577*EFEITO!$AA$577</f>
        <v>3021.2417530538805</v>
      </c>
      <c r="P577" s="39"/>
      <c r="Q577" s="39"/>
      <c r="R577" s="39"/>
      <c r="S577" s="39"/>
      <c r="T577" s="39"/>
      <c r="U577" s="39"/>
      <c r="V577" s="39"/>
      <c r="W577" s="3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21</v>
      </c>
      <c r="B578" s="35" t="s">
        <v>33</v>
      </c>
      <c r="C578" s="35" t="s">
        <v>34</v>
      </c>
      <c r="D578" s="35" t="s">
        <v>50</v>
      </c>
      <c r="E578" s="35" t="s">
        <v>51</v>
      </c>
      <c r="F578" s="35" t="s">
        <v>25</v>
      </c>
      <c r="G578" s="35" t="s">
        <v>25</v>
      </c>
      <c r="H578" s="35" t="s">
        <v>35</v>
      </c>
      <c r="I578" s="55">
        <v>44470</v>
      </c>
      <c r="J578" s="56">
        <f>EFEITO!$J$578*EFEITO!$Y$517</f>
        <v>0</v>
      </c>
      <c r="K578" s="56">
        <f ca="1">EFEITO!$L$578*EFEITO!$Z$517</f>
        <v>43352.646369098984</v>
      </c>
      <c r="L578" s="56">
        <f>EFEITO!$N$578*EFEITO!$AA$517</f>
        <v>100955.43855546902</v>
      </c>
      <c r="M578" s="56">
        <f>$J$578-EFEITO!$K$578*EFEITO!$Y$578</f>
        <v>0</v>
      </c>
      <c r="N578" s="56">
        <f ca="1">$K$578-EFEITO!$M$578*EFEITO!$Z$578</f>
        <v>1300.5793910729772</v>
      </c>
      <c r="O578" s="56">
        <f>$L$578-EFEITO!$O$578*EFEITO!$AA$578</f>
        <v>3028.6631566640717</v>
      </c>
      <c r="P578" s="39"/>
      <c r="Q578" s="39"/>
      <c r="R578" s="39"/>
      <c r="S578" s="39"/>
      <c r="T578" s="39"/>
      <c r="U578" s="39"/>
      <c r="V578" s="39"/>
      <c r="W578" s="3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21</v>
      </c>
      <c r="B579" s="35" t="s">
        <v>33</v>
      </c>
      <c r="C579" s="35" t="s">
        <v>34</v>
      </c>
      <c r="D579" s="35" t="s">
        <v>50</v>
      </c>
      <c r="E579" s="35" t="s">
        <v>51</v>
      </c>
      <c r="F579" s="35" t="s">
        <v>25</v>
      </c>
      <c r="G579" s="35" t="s">
        <v>25</v>
      </c>
      <c r="H579" s="35" t="s">
        <v>35</v>
      </c>
      <c r="I579" s="55">
        <v>44501</v>
      </c>
      <c r="J579" s="56">
        <f>EFEITO!$J$579*EFEITO!$Y$517</f>
        <v>0</v>
      </c>
      <c r="K579" s="56">
        <f ca="1">EFEITO!$L$579*EFEITO!$Z$517</f>
        <v>44271.682337994418</v>
      </c>
      <c r="L579" s="56">
        <f>EFEITO!$N$579*EFEITO!$AA$517</f>
        <v>103095.60039237647</v>
      </c>
      <c r="M579" s="56">
        <f>$J$579-EFEITO!$K$579*EFEITO!$Y$579</f>
        <v>0</v>
      </c>
      <c r="N579" s="56">
        <f ca="1">$K$579-EFEITO!$M$579*EFEITO!$Z$579</f>
        <v>1328.1504701398298</v>
      </c>
      <c r="O579" s="56">
        <f>$L$579-EFEITO!$O$579*EFEITO!$AA$579</f>
        <v>3092.8680117712938</v>
      </c>
      <c r="P579" s="39"/>
      <c r="Q579" s="39"/>
      <c r="R579" s="39"/>
      <c r="S579" s="39"/>
      <c r="T579" s="39"/>
      <c r="U579" s="39"/>
      <c r="V579" s="39"/>
      <c r="W579" s="3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21</v>
      </c>
      <c r="B580" s="35" t="s">
        <v>33</v>
      </c>
      <c r="C580" s="35" t="s">
        <v>34</v>
      </c>
      <c r="D580" s="35" t="s">
        <v>50</v>
      </c>
      <c r="E580" s="35" t="s">
        <v>51</v>
      </c>
      <c r="F580" s="35" t="s">
        <v>25</v>
      </c>
      <c r="G580" s="35" t="s">
        <v>25</v>
      </c>
      <c r="H580" s="35" t="s">
        <v>35</v>
      </c>
      <c r="I580" s="55">
        <v>44531</v>
      </c>
      <c r="J580" s="56">
        <f>EFEITO!$J$580*EFEITO!$Y$517</f>
        <v>0</v>
      </c>
      <c r="K580" s="56">
        <f ca="1">EFEITO!$L$580*EFEITO!$Z$517</f>
        <v>47675.519259829394</v>
      </c>
      <c r="L580" s="56">
        <f>EFEITO!$N$580*EFEITO!$AA$517</f>
        <v>111022.12571425589</v>
      </c>
      <c r="M580" s="56">
        <f>$J$580-EFEITO!$K$580*EFEITO!$Y$580</f>
        <v>0</v>
      </c>
      <c r="N580" s="56">
        <f ca="1">$K$580-EFEITO!$M$580*EFEITO!$Z$580</f>
        <v>1430.2655777948894</v>
      </c>
      <c r="O580" s="56">
        <f>$L$580-EFEITO!$O$580*EFEITO!$AA$580</f>
        <v>3330.6637714276876</v>
      </c>
      <c r="P580" s="39"/>
      <c r="Q580" s="39"/>
      <c r="R580" s="39"/>
      <c r="S580" s="39"/>
      <c r="T580" s="39"/>
      <c r="U580" s="39"/>
      <c r="V580" s="39"/>
      <c r="W580" s="3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21</v>
      </c>
      <c r="B581" s="35" t="s">
        <v>33</v>
      </c>
      <c r="C581" s="35" t="s">
        <v>34</v>
      </c>
      <c r="D581" s="35" t="s">
        <v>50</v>
      </c>
      <c r="E581" s="35" t="s">
        <v>51</v>
      </c>
      <c r="F581" s="35" t="s">
        <v>25</v>
      </c>
      <c r="G581" s="35" t="s">
        <v>25</v>
      </c>
      <c r="H581" s="35" t="s">
        <v>35</v>
      </c>
      <c r="I581" s="55">
        <v>44562</v>
      </c>
      <c r="J581" s="56">
        <f>EFEITO!$J$581*EFEITO!$Y$517</f>
        <v>0</v>
      </c>
      <c r="K581" s="56">
        <f ca="1">EFEITO!$L$581*EFEITO!$Z$517</f>
        <v>49809.480289518338</v>
      </c>
      <c r="L581" s="56">
        <f>EFEITO!$N$581*EFEITO!$AA$517</f>
        <v>115991.48721016878</v>
      </c>
      <c r="M581" s="56">
        <f>$J$581-EFEITO!$K$581*EFEITO!$Y$581</f>
        <v>0</v>
      </c>
      <c r="N581" s="56">
        <f ca="1">$K$581-EFEITO!$M$581*EFEITO!$Z$581</f>
        <v>1494.2844086855475</v>
      </c>
      <c r="O581" s="56">
        <f>$L$581-EFEITO!$O$581*EFEITO!$AA$581</f>
        <v>3479.7446163050627</v>
      </c>
      <c r="P581" s="39"/>
      <c r="Q581" s="39"/>
      <c r="R581" s="39"/>
      <c r="S581" s="39"/>
      <c r="T581" s="39"/>
      <c r="U581" s="39"/>
      <c r="V581" s="39"/>
      <c r="W581" s="3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21</v>
      </c>
      <c r="B582" s="35" t="s">
        <v>33</v>
      </c>
      <c r="C582" s="35" t="s">
        <v>34</v>
      </c>
      <c r="D582" s="35" t="s">
        <v>50</v>
      </c>
      <c r="E582" s="35" t="s">
        <v>51</v>
      </c>
      <c r="F582" s="35" t="s">
        <v>25</v>
      </c>
      <c r="G582" s="35" t="s">
        <v>25</v>
      </c>
      <c r="H582" s="35" t="s">
        <v>35</v>
      </c>
      <c r="I582" s="55">
        <v>44593</v>
      </c>
      <c r="J582" s="56">
        <f>EFEITO!$J$582*EFEITO!$Y$517</f>
        <v>0</v>
      </c>
      <c r="K582" s="56">
        <f ca="1">EFEITO!$L$582*EFEITO!$Z$517</f>
        <v>46416.433308252592</v>
      </c>
      <c r="L582" s="56">
        <f>EFEITO!$N$582*EFEITO!$AA$517</f>
        <v>108090.08845548617</v>
      </c>
      <c r="M582" s="56">
        <f>$J$582-EFEITO!$K$582*EFEITO!$Y$582</f>
        <v>0</v>
      </c>
      <c r="N582" s="56">
        <f ca="1">$K$582-EFEITO!$M$582*EFEITO!$Z$582</f>
        <v>1392.4929992475809</v>
      </c>
      <c r="O582" s="56">
        <f>$L$582-EFEITO!$O$582*EFEITO!$AA$582</f>
        <v>3242.7026536645863</v>
      </c>
      <c r="P582" s="39"/>
      <c r="Q582" s="39"/>
      <c r="R582" s="39"/>
      <c r="S582" s="39"/>
      <c r="T582" s="39"/>
      <c r="U582" s="39"/>
      <c r="V582" s="39"/>
      <c r="W582" s="3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21</v>
      </c>
      <c r="B583" s="35" t="s">
        <v>33</v>
      </c>
      <c r="C583" s="35" t="s">
        <v>34</v>
      </c>
      <c r="D583" s="35" t="s">
        <v>50</v>
      </c>
      <c r="E583" s="35" t="s">
        <v>51</v>
      </c>
      <c r="F583" s="35" t="s">
        <v>25</v>
      </c>
      <c r="G583" s="35" t="s">
        <v>25</v>
      </c>
      <c r="H583" s="35" t="s">
        <v>35</v>
      </c>
      <c r="I583" s="55">
        <v>44621</v>
      </c>
      <c r="J583" s="56">
        <f>EFEITO!$J$583*EFEITO!$Y$517</f>
        <v>0</v>
      </c>
      <c r="K583" s="56">
        <f ca="1">EFEITO!$L$583*EFEITO!$Z$517</f>
        <v>42906.921710739742</v>
      </c>
      <c r="L583" s="56">
        <f>EFEITO!$N$583*EFEITO!$AA$517</f>
        <v>99917.47819714318</v>
      </c>
      <c r="M583" s="56">
        <f>$J$583-EFEITO!$K$583*EFEITO!$Y$583</f>
        <v>0</v>
      </c>
      <c r="N583" s="56">
        <f ca="1">$K$583-EFEITO!$M$583*EFEITO!$Z$583</f>
        <v>1287.2076513221982</v>
      </c>
      <c r="O583" s="56">
        <f>$L$583-EFEITO!$O$583*EFEITO!$AA$583</f>
        <v>2997.5243459142948</v>
      </c>
      <c r="P583" s="39"/>
      <c r="Q583" s="39"/>
      <c r="R583" s="39"/>
      <c r="S583" s="39"/>
      <c r="T583" s="39"/>
      <c r="U583" s="39"/>
      <c r="V583" s="39"/>
      <c r="W583" s="3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21</v>
      </c>
      <c r="B584" s="35" t="s">
        <v>33</v>
      </c>
      <c r="C584" s="35" t="s">
        <v>34</v>
      </c>
      <c r="D584" s="35" t="s">
        <v>50</v>
      </c>
      <c r="E584" s="35" t="s">
        <v>51</v>
      </c>
      <c r="F584" s="35" t="s">
        <v>25</v>
      </c>
      <c r="G584" s="35" t="s">
        <v>25</v>
      </c>
      <c r="H584" s="35" t="s">
        <v>35</v>
      </c>
      <c r="I584" s="55">
        <v>44652</v>
      </c>
      <c r="J584" s="56">
        <f>EFEITO!$J$584*EFEITO!$Y$517</f>
        <v>0</v>
      </c>
      <c r="K584" s="56">
        <f ca="1">EFEITO!$L$584*EFEITO!$Z$517</f>
        <v>50145.192048671874</v>
      </c>
      <c r="L584" s="56">
        <f>EFEITO!$N$584*EFEITO!$AA$517</f>
        <v>116773.26019779728</v>
      </c>
      <c r="M584" s="56">
        <f>$J$584-EFEITO!$K$584*EFEITO!$Y$584</f>
        <v>0</v>
      </c>
      <c r="N584" s="56">
        <f ca="1">$K$584-EFEITO!$M$584*EFEITO!$Z$584</f>
        <v>1504.3557614601596</v>
      </c>
      <c r="O584" s="56">
        <f>$L$584-EFEITO!$O$584*EFEITO!$AA$584</f>
        <v>3503.1978059339162</v>
      </c>
      <c r="P584" s="39"/>
      <c r="Q584" s="39"/>
      <c r="R584" s="39"/>
      <c r="S584" s="39"/>
      <c r="T584" s="39"/>
      <c r="U584" s="39"/>
      <c r="V584" s="39"/>
      <c r="W584" s="3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21</v>
      </c>
      <c r="B585" s="35" t="s">
        <v>33</v>
      </c>
      <c r="C585" s="35" t="s">
        <v>34</v>
      </c>
      <c r="D585" s="35" t="s">
        <v>50</v>
      </c>
      <c r="E585" s="35" t="s">
        <v>51</v>
      </c>
      <c r="F585" s="35" t="s">
        <v>25</v>
      </c>
      <c r="G585" s="35" t="s">
        <v>25</v>
      </c>
      <c r="H585" s="35" t="s">
        <v>35</v>
      </c>
      <c r="I585" s="55">
        <v>44682</v>
      </c>
      <c r="J585" s="56">
        <f>EFEITO!$J$585*EFEITO!$Y$517</f>
        <v>0</v>
      </c>
      <c r="K585" s="56">
        <f ca="1">EFEITO!$L$585*EFEITO!$Z$517</f>
        <v>49409.696305953803</v>
      </c>
      <c r="L585" s="56">
        <f>EFEITO!$N$585*EFEITO!$AA$517</f>
        <v>115060.50904001079</v>
      </c>
      <c r="M585" s="56">
        <f>$J$585-EFEITO!$K$585*EFEITO!$Y$585</f>
        <v>0</v>
      </c>
      <c r="N585" s="56">
        <f ca="1">$K$585-EFEITO!$M$585*EFEITO!$Z$585</f>
        <v>1482.2908891786137</v>
      </c>
      <c r="O585" s="56">
        <f>$L$585-EFEITO!$O$585*EFEITO!$AA$585</f>
        <v>3451.8152712003211</v>
      </c>
      <c r="P585" s="39"/>
      <c r="Q585" s="39"/>
      <c r="R585" s="39"/>
      <c r="S585" s="39"/>
      <c r="T585" s="39"/>
      <c r="U585" s="39"/>
      <c r="V585" s="39"/>
      <c r="W585" s="3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21</v>
      </c>
      <c r="B586" s="35" t="s">
        <v>33</v>
      </c>
      <c r="C586" s="35" t="s">
        <v>34</v>
      </c>
      <c r="D586" s="35" t="s">
        <v>50</v>
      </c>
      <c r="E586" s="35" t="s">
        <v>51</v>
      </c>
      <c r="F586" s="35" t="s">
        <v>25</v>
      </c>
      <c r="G586" s="35" t="s">
        <v>25</v>
      </c>
      <c r="H586" s="35" t="s">
        <v>25</v>
      </c>
      <c r="I586" s="55">
        <v>44348</v>
      </c>
      <c r="J586" s="56">
        <f ca="1">EFEITO!$J$586*EFEITO!$Y$529</f>
        <v>23588.139108097748</v>
      </c>
      <c r="K586" s="56">
        <f>EFEITO!$L$586*EFEITO!$Z$529</f>
        <v>0</v>
      </c>
      <c r="L586" s="56">
        <f>EFEITO!$N$586*EFEITO!$AA$529</f>
        <v>0</v>
      </c>
      <c r="M586" s="56">
        <f ca="1">$J$586-EFEITO!$K$586*EFEITO!$Y$586</f>
        <v>707.6441732429339</v>
      </c>
      <c r="N586" s="56">
        <f>$K$586-EFEITO!$M$586*EFEITO!$Z$586</f>
        <v>0</v>
      </c>
      <c r="O586" s="56">
        <f>$L$586-EFEITO!$O$586*EFEITO!$AA$586</f>
        <v>0</v>
      </c>
      <c r="P586" s="39"/>
      <c r="Q586" s="39"/>
      <c r="R586" s="39"/>
      <c r="S586" s="39"/>
      <c r="T586" s="39"/>
      <c r="U586" s="39"/>
      <c r="V586" s="39"/>
      <c r="W586" s="3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21</v>
      </c>
      <c r="B587" s="35" t="s">
        <v>33</v>
      </c>
      <c r="C587" s="35" t="s">
        <v>34</v>
      </c>
      <c r="D587" s="35" t="s">
        <v>50</v>
      </c>
      <c r="E587" s="35" t="s">
        <v>51</v>
      </c>
      <c r="F587" s="35" t="s">
        <v>25</v>
      </c>
      <c r="G587" s="35" t="s">
        <v>25</v>
      </c>
      <c r="H587" s="35" t="s">
        <v>25</v>
      </c>
      <c r="I587" s="55">
        <v>44378</v>
      </c>
      <c r="J587" s="56">
        <f ca="1">EFEITO!$J$587*EFEITO!$Y$529</f>
        <v>23389.919451727179</v>
      </c>
      <c r="K587" s="56">
        <f>EFEITO!$L$587*EFEITO!$Z$529</f>
        <v>0</v>
      </c>
      <c r="L587" s="56">
        <f>EFEITO!$N$587*EFEITO!$AA$529</f>
        <v>0</v>
      </c>
      <c r="M587" s="56">
        <f ca="1">$J$587-EFEITO!$K$587*EFEITO!$Y$587</f>
        <v>701.69758355181693</v>
      </c>
      <c r="N587" s="56">
        <f>$K$587-EFEITO!$M$587*EFEITO!$Z$587</f>
        <v>0</v>
      </c>
      <c r="O587" s="56">
        <f>$L$587-EFEITO!$O$587*EFEITO!$AA$587</f>
        <v>0</v>
      </c>
      <c r="P587" s="39"/>
      <c r="Q587" s="39"/>
      <c r="R587" s="39"/>
      <c r="S587" s="39"/>
      <c r="T587" s="39"/>
      <c r="U587" s="39"/>
      <c r="V587" s="39"/>
      <c r="W587" s="3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21</v>
      </c>
      <c r="B588" s="35" t="s">
        <v>33</v>
      </c>
      <c r="C588" s="35" t="s">
        <v>34</v>
      </c>
      <c r="D588" s="35" t="s">
        <v>50</v>
      </c>
      <c r="E588" s="35" t="s">
        <v>51</v>
      </c>
      <c r="F588" s="35" t="s">
        <v>25</v>
      </c>
      <c r="G588" s="35" t="s">
        <v>25</v>
      </c>
      <c r="H588" s="35" t="s">
        <v>25</v>
      </c>
      <c r="I588" s="55">
        <v>44409</v>
      </c>
      <c r="J588" s="56">
        <f ca="1">EFEITO!$J$588*EFEITO!$Y$529</f>
        <v>23571.620803400201</v>
      </c>
      <c r="K588" s="56">
        <f>EFEITO!$L$588*EFEITO!$Z$529</f>
        <v>0</v>
      </c>
      <c r="L588" s="56">
        <f>EFEITO!$N$588*EFEITO!$AA$529</f>
        <v>0</v>
      </c>
      <c r="M588" s="56">
        <f ca="1">$J$588-EFEITO!$K$588*EFEITO!$Y$588</f>
        <v>707.14862410201022</v>
      </c>
      <c r="N588" s="56">
        <f>$K$588-EFEITO!$M$588*EFEITO!$Z$588</f>
        <v>0</v>
      </c>
      <c r="O588" s="56">
        <f>$L$588-EFEITO!$O$588*EFEITO!$AA$588</f>
        <v>0</v>
      </c>
      <c r="P588" s="39"/>
      <c r="Q588" s="39"/>
      <c r="R588" s="39"/>
      <c r="S588" s="39"/>
      <c r="T588" s="39"/>
      <c r="U588" s="39"/>
      <c r="V588" s="39"/>
      <c r="W588" s="3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33</v>
      </c>
      <c r="C589" s="35" t="s">
        <v>34</v>
      </c>
      <c r="D589" s="35" t="s">
        <v>50</v>
      </c>
      <c r="E589" s="35" t="s">
        <v>51</v>
      </c>
      <c r="F589" s="35" t="s">
        <v>25</v>
      </c>
      <c r="G589" s="35" t="s">
        <v>25</v>
      </c>
      <c r="H589" s="35" t="s">
        <v>25</v>
      </c>
      <c r="I589" s="55">
        <v>44440</v>
      </c>
      <c r="J589" s="56">
        <f ca="1">EFEITO!$J$589*EFEITO!$Y$529</f>
        <v>22663.11404503509</v>
      </c>
      <c r="K589" s="56">
        <f>EFEITO!$L$589*EFEITO!$Z$529</f>
        <v>0</v>
      </c>
      <c r="L589" s="56">
        <f>EFEITO!$N$589*EFEITO!$AA$529</f>
        <v>0</v>
      </c>
      <c r="M589" s="56">
        <f ca="1">$J$589-EFEITO!$K$589*EFEITO!$Y$589</f>
        <v>679.89342135105471</v>
      </c>
      <c r="N589" s="56">
        <f>$K$589-EFEITO!$M$589*EFEITO!$Z$589</f>
        <v>0</v>
      </c>
      <c r="O589" s="56">
        <f>$L$589-EFEITO!$O$589*EFEITO!$AA$589</f>
        <v>0</v>
      </c>
      <c r="P589" s="39"/>
      <c r="Q589" s="39"/>
      <c r="R589" s="39"/>
      <c r="S589" s="39"/>
      <c r="T589" s="39"/>
      <c r="U589" s="39"/>
      <c r="V589" s="39"/>
      <c r="W589" s="3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21</v>
      </c>
      <c r="B590" s="35" t="s">
        <v>33</v>
      </c>
      <c r="C590" s="35" t="s">
        <v>34</v>
      </c>
      <c r="D590" s="35" t="s">
        <v>50</v>
      </c>
      <c r="E590" s="35" t="s">
        <v>51</v>
      </c>
      <c r="F590" s="35" t="s">
        <v>25</v>
      </c>
      <c r="G590" s="35" t="s">
        <v>25</v>
      </c>
      <c r="H590" s="35" t="s">
        <v>25</v>
      </c>
      <c r="I590" s="55">
        <v>44470</v>
      </c>
      <c r="J590" s="56">
        <f ca="1">EFEITO!$J$590*EFEITO!$Y$529</f>
        <v>23588.139108097748</v>
      </c>
      <c r="K590" s="56">
        <f>EFEITO!$L$590*EFEITO!$Z$529</f>
        <v>0</v>
      </c>
      <c r="L590" s="56">
        <f>EFEITO!$N$590*EFEITO!$AA$529</f>
        <v>0</v>
      </c>
      <c r="M590" s="56">
        <f ca="1">$J$590-EFEITO!$K$590*EFEITO!$Y$590</f>
        <v>707.6441732429339</v>
      </c>
      <c r="N590" s="56">
        <f>$K$590-EFEITO!$M$590*EFEITO!$Z$590</f>
        <v>0</v>
      </c>
      <c r="O590" s="56">
        <f>$L$590-EFEITO!$O$590*EFEITO!$AA$590</f>
        <v>0</v>
      </c>
      <c r="P590" s="39"/>
      <c r="Q590" s="39"/>
      <c r="R590" s="39"/>
      <c r="S590" s="39"/>
      <c r="T590" s="39"/>
      <c r="U590" s="39"/>
      <c r="V590" s="39"/>
      <c r="W590" s="3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21</v>
      </c>
      <c r="B591" s="35" t="s">
        <v>33</v>
      </c>
      <c r="C591" s="35" t="s">
        <v>34</v>
      </c>
      <c r="D591" s="35" t="s">
        <v>50</v>
      </c>
      <c r="E591" s="35" t="s">
        <v>51</v>
      </c>
      <c r="F591" s="35" t="s">
        <v>25</v>
      </c>
      <c r="G591" s="35" t="s">
        <v>25</v>
      </c>
      <c r="H591" s="35" t="s">
        <v>25</v>
      </c>
      <c r="I591" s="55">
        <v>44501</v>
      </c>
      <c r="J591" s="56">
        <f ca="1">EFEITO!$J$591*EFEITO!$Y$529</f>
        <v>23026.516748381135</v>
      </c>
      <c r="K591" s="56">
        <f>EFEITO!$L$591*EFEITO!$Z$529</f>
        <v>0</v>
      </c>
      <c r="L591" s="56">
        <f>EFEITO!$N$591*EFEITO!$AA$529</f>
        <v>0</v>
      </c>
      <c r="M591" s="56">
        <f ca="1">$J$591-EFEITO!$K$591*EFEITO!$Y$591</f>
        <v>690.79550245143764</v>
      </c>
      <c r="N591" s="56">
        <f>$K$591-EFEITO!$M$591*EFEITO!$Z$591</f>
        <v>0</v>
      </c>
      <c r="O591" s="56">
        <f>$L$591-EFEITO!$O$591*EFEITO!$AA$591</f>
        <v>0</v>
      </c>
      <c r="P591" s="39"/>
      <c r="Q591" s="39"/>
      <c r="R591" s="39"/>
      <c r="S591" s="39"/>
      <c r="T591" s="39"/>
      <c r="U591" s="39"/>
      <c r="V591" s="39"/>
      <c r="W591" s="3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21</v>
      </c>
      <c r="B592" s="35" t="s">
        <v>33</v>
      </c>
      <c r="C592" s="35" t="s">
        <v>34</v>
      </c>
      <c r="D592" s="35" t="s">
        <v>50</v>
      </c>
      <c r="E592" s="35" t="s">
        <v>51</v>
      </c>
      <c r="F592" s="35" t="s">
        <v>25</v>
      </c>
      <c r="G592" s="35" t="s">
        <v>25</v>
      </c>
      <c r="H592" s="35" t="s">
        <v>25</v>
      </c>
      <c r="I592" s="55">
        <v>44531</v>
      </c>
      <c r="J592" s="56">
        <f ca="1">EFEITO!$J$592*EFEITO!$Y$529</f>
        <v>23489.029279912462</v>
      </c>
      <c r="K592" s="56">
        <f>EFEITO!$L$592*EFEITO!$Z$529</f>
        <v>0</v>
      </c>
      <c r="L592" s="56">
        <f>EFEITO!$N$592*EFEITO!$AA$529</f>
        <v>0</v>
      </c>
      <c r="M592" s="56">
        <f ca="1">$J$592-EFEITO!$K$592*EFEITO!$Y$592</f>
        <v>704.6708783973736</v>
      </c>
      <c r="N592" s="56">
        <f>$K$592-EFEITO!$M$592*EFEITO!$Z$592</f>
        <v>0</v>
      </c>
      <c r="O592" s="56">
        <f>$L$592-EFEITO!$O$592*EFEITO!$AA$592</f>
        <v>0</v>
      </c>
      <c r="P592" s="39"/>
      <c r="Q592" s="39"/>
      <c r="R592" s="39"/>
      <c r="S592" s="39"/>
      <c r="T592" s="39"/>
      <c r="U592" s="39"/>
      <c r="V592" s="39"/>
      <c r="W592" s="3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21</v>
      </c>
      <c r="B593" s="35" t="s">
        <v>33</v>
      </c>
      <c r="C593" s="35" t="s">
        <v>34</v>
      </c>
      <c r="D593" s="35" t="s">
        <v>50</v>
      </c>
      <c r="E593" s="35" t="s">
        <v>51</v>
      </c>
      <c r="F593" s="35" t="s">
        <v>25</v>
      </c>
      <c r="G593" s="35" t="s">
        <v>25</v>
      </c>
      <c r="H593" s="35" t="s">
        <v>25</v>
      </c>
      <c r="I593" s="55">
        <v>44562</v>
      </c>
      <c r="J593" s="56">
        <f ca="1">EFEITO!$J$593*EFEITO!$Y$529</f>
        <v>23439.47436581982</v>
      </c>
      <c r="K593" s="56">
        <f>EFEITO!$L$593*EFEITO!$Z$529</f>
        <v>0</v>
      </c>
      <c r="L593" s="56">
        <f>EFEITO!$N$593*EFEITO!$AA$529</f>
        <v>0</v>
      </c>
      <c r="M593" s="56">
        <f ca="1">$J$593-EFEITO!$K$593*EFEITO!$Y$593</f>
        <v>703.18423097459527</v>
      </c>
      <c r="N593" s="56">
        <f>$K$593-EFEITO!$M$593*EFEITO!$Z$593</f>
        <v>0</v>
      </c>
      <c r="O593" s="56">
        <f>$L$593-EFEITO!$O$593*EFEITO!$AA$593</f>
        <v>0</v>
      </c>
      <c r="P593" s="39"/>
      <c r="Q593" s="39"/>
      <c r="R593" s="39"/>
      <c r="S593" s="39"/>
      <c r="T593" s="39"/>
      <c r="U593" s="39"/>
      <c r="V593" s="39"/>
      <c r="W593" s="3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21</v>
      </c>
      <c r="B594" s="35" t="s">
        <v>33</v>
      </c>
      <c r="C594" s="35" t="s">
        <v>34</v>
      </c>
      <c r="D594" s="35" t="s">
        <v>50</v>
      </c>
      <c r="E594" s="35" t="s">
        <v>51</v>
      </c>
      <c r="F594" s="35" t="s">
        <v>25</v>
      </c>
      <c r="G594" s="35" t="s">
        <v>25</v>
      </c>
      <c r="H594" s="35" t="s">
        <v>25</v>
      </c>
      <c r="I594" s="55">
        <v>44593</v>
      </c>
      <c r="J594" s="56">
        <f ca="1">EFEITO!$J$594*EFEITO!$Y$529</f>
        <v>23257.773014146798</v>
      </c>
      <c r="K594" s="56">
        <f>EFEITO!$L$594*EFEITO!$Z$529</f>
        <v>0</v>
      </c>
      <c r="L594" s="56">
        <f>EFEITO!$N$594*EFEITO!$AA$529</f>
        <v>0</v>
      </c>
      <c r="M594" s="56">
        <f ca="1">$J$594-EFEITO!$K$594*EFEITO!$Y$594</f>
        <v>697.73319042440562</v>
      </c>
      <c r="N594" s="56">
        <f>$K$594-EFEITO!$M$594*EFEITO!$Z$594</f>
        <v>0</v>
      </c>
      <c r="O594" s="56">
        <f>$L$594-EFEITO!$O$594*EFEITO!$AA$594</f>
        <v>0</v>
      </c>
      <c r="P594" s="39"/>
      <c r="Q594" s="39"/>
      <c r="R594" s="39"/>
      <c r="S594" s="39"/>
      <c r="T594" s="39"/>
      <c r="U594" s="39"/>
      <c r="V594" s="39"/>
      <c r="W594" s="3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33</v>
      </c>
      <c r="C595" s="35" t="s">
        <v>34</v>
      </c>
      <c r="D595" s="35" t="s">
        <v>50</v>
      </c>
      <c r="E595" s="35" t="s">
        <v>51</v>
      </c>
      <c r="F595" s="35" t="s">
        <v>25</v>
      </c>
      <c r="G595" s="35" t="s">
        <v>25</v>
      </c>
      <c r="H595" s="35" t="s">
        <v>25</v>
      </c>
      <c r="I595" s="55">
        <v>44621</v>
      </c>
      <c r="J595" s="56">
        <f ca="1">EFEITO!$J$595*EFEITO!$Y$529</f>
        <v>22861.33370140566</v>
      </c>
      <c r="K595" s="56">
        <f>EFEITO!$L$595*EFEITO!$Z$529</f>
        <v>0</v>
      </c>
      <c r="L595" s="56">
        <f>EFEITO!$N$595*EFEITO!$AA$529</f>
        <v>0</v>
      </c>
      <c r="M595" s="56">
        <f ca="1">$J$595-EFEITO!$K$595*EFEITO!$Y$595</f>
        <v>685.84001104217168</v>
      </c>
      <c r="N595" s="56">
        <f>$K$595-EFEITO!$M$595*EFEITO!$Z$595</f>
        <v>0</v>
      </c>
      <c r="O595" s="56">
        <f>$L$595-EFEITO!$O$595*EFEITO!$AA$595</f>
        <v>0</v>
      </c>
      <c r="P595" s="39"/>
      <c r="Q595" s="39"/>
      <c r="R595" s="39"/>
      <c r="S595" s="39"/>
      <c r="T595" s="39"/>
      <c r="U595" s="39"/>
      <c r="V595" s="39"/>
      <c r="W595" s="3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21</v>
      </c>
      <c r="B596" s="35" t="s">
        <v>33</v>
      </c>
      <c r="C596" s="35" t="s">
        <v>34</v>
      </c>
      <c r="D596" s="35" t="s">
        <v>50</v>
      </c>
      <c r="E596" s="35" t="s">
        <v>51</v>
      </c>
      <c r="F596" s="35" t="s">
        <v>25</v>
      </c>
      <c r="G596" s="35" t="s">
        <v>25</v>
      </c>
      <c r="H596" s="35" t="s">
        <v>25</v>
      </c>
      <c r="I596" s="55">
        <v>44652</v>
      </c>
      <c r="J596" s="56">
        <f ca="1">EFEITO!$J$596*EFEITO!$Y$529</f>
        <v>23505.547584610013</v>
      </c>
      <c r="K596" s="56">
        <f>EFEITO!$L$596*EFEITO!$Z$529</f>
        <v>0</v>
      </c>
      <c r="L596" s="56">
        <f>EFEITO!$N$596*EFEITO!$AA$529</f>
        <v>0</v>
      </c>
      <c r="M596" s="56">
        <f ca="1">$J$596-EFEITO!$K$596*EFEITO!$Y$596</f>
        <v>705.16642753830456</v>
      </c>
      <c r="N596" s="56">
        <f>$K$596-EFEITO!$M$596*EFEITO!$Z$596</f>
        <v>0</v>
      </c>
      <c r="O596" s="56">
        <f>$L$596-EFEITO!$O$596*EFEITO!$AA$596</f>
        <v>0</v>
      </c>
      <c r="P596" s="39"/>
      <c r="Q596" s="39"/>
      <c r="R596" s="39"/>
      <c r="S596" s="39"/>
      <c r="T596" s="39"/>
      <c r="U596" s="39"/>
      <c r="V596" s="39"/>
      <c r="W596" s="3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21</v>
      </c>
      <c r="B597" s="35" t="s">
        <v>33</v>
      </c>
      <c r="C597" s="35" t="s">
        <v>34</v>
      </c>
      <c r="D597" s="35" t="s">
        <v>50</v>
      </c>
      <c r="E597" s="35" t="s">
        <v>51</v>
      </c>
      <c r="F597" s="35" t="s">
        <v>25</v>
      </c>
      <c r="G597" s="35" t="s">
        <v>25</v>
      </c>
      <c r="H597" s="35" t="s">
        <v>25</v>
      </c>
      <c r="I597" s="55">
        <v>44682</v>
      </c>
      <c r="J597" s="56">
        <f ca="1">EFEITO!$J$597*EFEITO!$Y$529</f>
        <v>23555.102498702654</v>
      </c>
      <c r="K597" s="56">
        <f>EFEITO!$L$597*EFEITO!$Z$529</f>
        <v>0</v>
      </c>
      <c r="L597" s="56">
        <f>EFEITO!$N$597*EFEITO!$AA$529</f>
        <v>0</v>
      </c>
      <c r="M597" s="56">
        <f ca="1">$J$597-EFEITO!$K$597*EFEITO!$Y$597</f>
        <v>706.65307496108289</v>
      </c>
      <c r="N597" s="56">
        <f>$K$597-EFEITO!$M$597*EFEITO!$Z$597</f>
        <v>0</v>
      </c>
      <c r="O597" s="56">
        <f>$L$597-EFEITO!$O$597*EFEITO!$AA$597</f>
        <v>0</v>
      </c>
      <c r="P597" s="39"/>
      <c r="Q597" s="39"/>
      <c r="R597" s="39"/>
      <c r="S597" s="39"/>
      <c r="T597" s="39"/>
      <c r="U597" s="39"/>
      <c r="V597" s="39"/>
      <c r="W597" s="3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21</v>
      </c>
      <c r="B598" s="35" t="s">
        <v>33</v>
      </c>
      <c r="C598" s="35" t="s">
        <v>34</v>
      </c>
      <c r="D598" s="35" t="s">
        <v>50</v>
      </c>
      <c r="E598" s="35" t="s">
        <v>51</v>
      </c>
      <c r="F598" s="35" t="s">
        <v>25</v>
      </c>
      <c r="G598" s="35" t="s">
        <v>25</v>
      </c>
      <c r="H598" s="35" t="s">
        <v>37</v>
      </c>
      <c r="I598" s="55">
        <v>44348</v>
      </c>
      <c r="J598" s="56">
        <f>EFEITO!$J$598*EFEITO!$Y$540</f>
        <v>0</v>
      </c>
      <c r="K598" s="56">
        <f ca="1">EFEITO!$L$598*EFEITO!$Z$540</f>
        <v>50844.25181831629</v>
      </c>
      <c r="L598" s="56">
        <f>EFEITO!$N$598*EFEITO!$AA$540</f>
        <v>18408.496762896255</v>
      </c>
      <c r="M598" s="56">
        <f>$J$598-EFEITO!$K$598*EFEITO!$Y$598</f>
        <v>0</v>
      </c>
      <c r="N598" s="56">
        <f ca="1">$K$598-EFEITO!$M$598*EFEITO!$Z$598</f>
        <v>1525.3275545494907</v>
      </c>
      <c r="O598" s="56">
        <f>$L$598-EFEITO!$O$598*EFEITO!$AA$598</f>
        <v>552.25490288688889</v>
      </c>
      <c r="P598" s="39"/>
      <c r="Q598" s="39"/>
      <c r="R598" s="39"/>
      <c r="S598" s="39"/>
      <c r="T598" s="39"/>
      <c r="U598" s="39"/>
      <c r="V598" s="39"/>
      <c r="W598" s="3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21</v>
      </c>
      <c r="B599" s="35" t="s">
        <v>33</v>
      </c>
      <c r="C599" s="35" t="s">
        <v>34</v>
      </c>
      <c r="D599" s="35" t="s">
        <v>50</v>
      </c>
      <c r="E599" s="35" t="s">
        <v>51</v>
      </c>
      <c r="F599" s="35" t="s">
        <v>25</v>
      </c>
      <c r="G599" s="35" t="s">
        <v>25</v>
      </c>
      <c r="H599" s="35" t="s">
        <v>37</v>
      </c>
      <c r="I599" s="55">
        <v>44378</v>
      </c>
      <c r="J599" s="56">
        <f>EFEITO!$J$599*EFEITO!$Y$540</f>
        <v>0</v>
      </c>
      <c r="K599" s="56">
        <f ca="1">EFEITO!$L$599*EFEITO!$Z$540</f>
        <v>48126.184514446621</v>
      </c>
      <c r="L599" s="56">
        <f>EFEITO!$N$599*EFEITO!$AA$540</f>
        <v>17424.402565907913</v>
      </c>
      <c r="M599" s="56">
        <f>$J$599-EFEITO!$K$599*EFEITO!$Y$599</f>
        <v>0</v>
      </c>
      <c r="N599" s="56">
        <f ca="1">$K$599-EFEITO!$M$599*EFEITO!$Z$599</f>
        <v>1443.7855354334024</v>
      </c>
      <c r="O599" s="56">
        <f>$L$599-EFEITO!$O$599*EFEITO!$AA$599</f>
        <v>522.73207697723774</v>
      </c>
      <c r="P599" s="39"/>
      <c r="Q599" s="39"/>
      <c r="R599" s="39"/>
      <c r="S599" s="39"/>
      <c r="T599" s="39"/>
      <c r="U599" s="39"/>
      <c r="V599" s="39"/>
      <c r="W599" s="3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21</v>
      </c>
      <c r="B600" s="35" t="s">
        <v>33</v>
      </c>
      <c r="C600" s="35" t="s">
        <v>34</v>
      </c>
      <c r="D600" s="35" t="s">
        <v>50</v>
      </c>
      <c r="E600" s="35" t="s">
        <v>51</v>
      </c>
      <c r="F600" s="35" t="s">
        <v>25</v>
      </c>
      <c r="G600" s="35" t="s">
        <v>25</v>
      </c>
      <c r="H600" s="35" t="s">
        <v>37</v>
      </c>
      <c r="I600" s="55">
        <v>44409</v>
      </c>
      <c r="J600" s="56">
        <f>EFEITO!$J$600*EFEITO!$Y$540</f>
        <v>0</v>
      </c>
      <c r="K600" s="56">
        <f ca="1">EFEITO!$L$600*EFEITO!$Z$540</f>
        <v>51768.234208412861</v>
      </c>
      <c r="L600" s="56">
        <f>EFEITO!$N$600*EFEITO!$AA$540</f>
        <v>18743.030682243621</v>
      </c>
      <c r="M600" s="56">
        <f>$J$600-EFEITO!$K$600*EFEITO!$Y$600</f>
        <v>0</v>
      </c>
      <c r="N600" s="56">
        <f ca="1">$K$600-EFEITO!$M$600*EFEITO!$Z$600</f>
        <v>1553.0470262523813</v>
      </c>
      <c r="O600" s="56">
        <f>$L$600-EFEITO!$O$600*EFEITO!$AA$600</f>
        <v>562.29092046730875</v>
      </c>
      <c r="P600" s="39"/>
      <c r="Q600" s="39"/>
      <c r="R600" s="39"/>
      <c r="S600" s="39"/>
      <c r="T600" s="39"/>
      <c r="U600" s="39"/>
      <c r="V600" s="39"/>
      <c r="W600" s="3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21</v>
      </c>
      <c r="B601" s="35" t="s">
        <v>33</v>
      </c>
      <c r="C601" s="35" t="s">
        <v>34</v>
      </c>
      <c r="D601" s="35" t="s">
        <v>50</v>
      </c>
      <c r="E601" s="35" t="s">
        <v>51</v>
      </c>
      <c r="F601" s="35" t="s">
        <v>25</v>
      </c>
      <c r="G601" s="35" t="s">
        <v>25</v>
      </c>
      <c r="H601" s="35" t="s">
        <v>37</v>
      </c>
      <c r="I601" s="55">
        <v>44440</v>
      </c>
      <c r="J601" s="56">
        <f>EFEITO!$J$601*EFEITO!$Y$540</f>
        <v>0</v>
      </c>
      <c r="K601" s="56">
        <f ca="1">EFEITO!$L$601*EFEITO!$Z$540</f>
        <v>48252.286329472205</v>
      </c>
      <c r="L601" s="56">
        <f>EFEITO!$N$601*EFEITO!$AA$540</f>
        <v>17470.058559863508</v>
      </c>
      <c r="M601" s="56">
        <f>$J$601-EFEITO!$K$601*EFEITO!$Y$601</f>
        <v>0</v>
      </c>
      <c r="N601" s="56">
        <f ca="1">$K$601-EFEITO!$M$601*EFEITO!$Z$601</f>
        <v>1447.5685898841693</v>
      </c>
      <c r="O601" s="56">
        <f>$L$601-EFEITO!$O$601*EFEITO!$AA$601</f>
        <v>524.10175679590611</v>
      </c>
      <c r="P601" s="39"/>
      <c r="Q601" s="39"/>
      <c r="R601" s="39"/>
      <c r="S601" s="39"/>
      <c r="T601" s="39"/>
      <c r="U601" s="39"/>
      <c r="V601" s="39"/>
      <c r="W601" s="3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21</v>
      </c>
      <c r="B602" s="35" t="s">
        <v>33</v>
      </c>
      <c r="C602" s="35" t="s">
        <v>34</v>
      </c>
      <c r="D602" s="35" t="s">
        <v>50</v>
      </c>
      <c r="E602" s="35" t="s">
        <v>51</v>
      </c>
      <c r="F602" s="35" t="s">
        <v>25</v>
      </c>
      <c r="G602" s="35" t="s">
        <v>25</v>
      </c>
      <c r="H602" s="35" t="s">
        <v>37</v>
      </c>
      <c r="I602" s="55">
        <v>44470</v>
      </c>
      <c r="J602" s="56">
        <f>EFEITO!$J$602*EFEITO!$Y$540</f>
        <v>0</v>
      </c>
      <c r="K602" s="56">
        <f ca="1">EFEITO!$L$602*EFEITO!$Z$540</f>
        <v>49690.993400900472</v>
      </c>
      <c r="L602" s="56">
        <f>EFEITO!$N$602*EFEITO!$AA$540</f>
        <v>17990.951945447803</v>
      </c>
      <c r="M602" s="56">
        <f>$J$602-EFEITO!$K$602*EFEITO!$Y$602</f>
        <v>0</v>
      </c>
      <c r="N602" s="56">
        <f ca="1">$K$602-EFEITO!$M$602*EFEITO!$Z$602</f>
        <v>1490.72980202701</v>
      </c>
      <c r="O602" s="56">
        <f>$L$602-EFEITO!$O$602*EFEITO!$AA$602</f>
        <v>539.72855836343297</v>
      </c>
      <c r="P602" s="39"/>
      <c r="Q602" s="39"/>
      <c r="R602" s="39"/>
      <c r="S602" s="39"/>
      <c r="T602" s="39"/>
      <c r="U602" s="39"/>
      <c r="V602" s="39"/>
      <c r="W602" s="3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21</v>
      </c>
      <c r="B603" s="35" t="s">
        <v>33</v>
      </c>
      <c r="C603" s="35" t="s">
        <v>34</v>
      </c>
      <c r="D603" s="35" t="s">
        <v>50</v>
      </c>
      <c r="E603" s="35" t="s">
        <v>51</v>
      </c>
      <c r="F603" s="35" t="s">
        <v>25</v>
      </c>
      <c r="G603" s="35" t="s">
        <v>25</v>
      </c>
      <c r="H603" s="35" t="s">
        <v>37</v>
      </c>
      <c r="I603" s="55">
        <v>44501</v>
      </c>
      <c r="J603" s="56">
        <f>EFEITO!$J$603*EFEITO!$Y$540</f>
        <v>0</v>
      </c>
      <c r="K603" s="56">
        <f ca="1">EFEITO!$L$603*EFEITO!$Z$540</f>
        <v>51353.244598965022</v>
      </c>
      <c r="L603" s="56">
        <f>EFEITO!$N$603*EFEITO!$AA$540</f>
        <v>18592.780956680661</v>
      </c>
      <c r="M603" s="56">
        <f>$J$603-EFEITO!$K$603*EFEITO!$Y$603</f>
        <v>0</v>
      </c>
      <c r="N603" s="56">
        <f ca="1">$K$603-EFEITO!$M$603*EFEITO!$Z$603</f>
        <v>1540.5973379689531</v>
      </c>
      <c r="O603" s="56">
        <f>$L$603-EFEITO!$O$603*EFEITO!$AA$603</f>
        <v>557.78342870042252</v>
      </c>
      <c r="P603" s="39"/>
      <c r="Q603" s="39"/>
      <c r="R603" s="39"/>
      <c r="S603" s="39"/>
      <c r="T603" s="39"/>
      <c r="U603" s="39"/>
      <c r="V603" s="39"/>
      <c r="W603" s="3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21</v>
      </c>
      <c r="B604" s="35" t="s">
        <v>33</v>
      </c>
      <c r="C604" s="35" t="s">
        <v>34</v>
      </c>
      <c r="D604" s="35" t="s">
        <v>50</v>
      </c>
      <c r="E604" s="35" t="s">
        <v>51</v>
      </c>
      <c r="F604" s="35" t="s">
        <v>25</v>
      </c>
      <c r="G604" s="35" t="s">
        <v>25</v>
      </c>
      <c r="H604" s="35" t="s">
        <v>37</v>
      </c>
      <c r="I604" s="55">
        <v>44531</v>
      </c>
      <c r="J604" s="56">
        <f>EFEITO!$J$604*EFEITO!$Y$540</f>
        <v>0</v>
      </c>
      <c r="K604" s="56">
        <f ca="1">EFEITO!$L$604*EFEITO!$Z$540</f>
        <v>60387.866455479962</v>
      </c>
      <c r="L604" s="56">
        <f>EFEITO!$N$604*EFEITO!$AA$540</f>
        <v>21863.825396353852</v>
      </c>
      <c r="M604" s="56">
        <f>$J$604-EFEITO!$K$604*EFEITO!$Y$604</f>
        <v>0</v>
      </c>
      <c r="N604" s="56">
        <f ca="1">$K$604-EFEITO!$M$604*EFEITO!$Z$604</f>
        <v>1811.635993664393</v>
      </c>
      <c r="O604" s="56">
        <f>$L$604-EFEITO!$O$604*EFEITO!$AA$604</f>
        <v>655.91476189061723</v>
      </c>
      <c r="P604" s="39"/>
      <c r="Q604" s="39"/>
      <c r="R604" s="39"/>
      <c r="S604" s="39"/>
      <c r="T604" s="39"/>
      <c r="U604" s="39"/>
      <c r="V604" s="39"/>
      <c r="W604" s="3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21</v>
      </c>
      <c r="B605" s="35" t="s">
        <v>33</v>
      </c>
      <c r="C605" s="35" t="s">
        <v>34</v>
      </c>
      <c r="D605" s="35" t="s">
        <v>50</v>
      </c>
      <c r="E605" s="35" t="s">
        <v>51</v>
      </c>
      <c r="F605" s="35" t="s">
        <v>25</v>
      </c>
      <c r="G605" s="35" t="s">
        <v>25</v>
      </c>
      <c r="H605" s="35" t="s">
        <v>37</v>
      </c>
      <c r="I605" s="55">
        <v>44562</v>
      </c>
      <c r="J605" s="56">
        <f>EFEITO!$J$605*EFEITO!$Y$540</f>
        <v>0</v>
      </c>
      <c r="K605" s="56">
        <f ca="1">EFEITO!$L$605*EFEITO!$Z$540</f>
        <v>57103.487364131739</v>
      </c>
      <c r="L605" s="56">
        <f>EFEITO!$N$605*EFEITO!$AA$540</f>
        <v>20674.694281055828</v>
      </c>
      <c r="M605" s="56">
        <f>$J$605-EFEITO!$K$605*EFEITO!$Y$605</f>
        <v>0</v>
      </c>
      <c r="N605" s="56">
        <f ca="1">$K$605-EFEITO!$M$605*EFEITO!$Z$605</f>
        <v>1713.1046209239503</v>
      </c>
      <c r="O605" s="56">
        <f>$L$605-EFEITO!$O$605*EFEITO!$AA$605</f>
        <v>620.24082843167344</v>
      </c>
      <c r="P605" s="39"/>
      <c r="Q605" s="39"/>
      <c r="R605" s="39"/>
      <c r="S605" s="39"/>
      <c r="T605" s="39"/>
      <c r="U605" s="39"/>
      <c r="V605" s="39"/>
      <c r="W605" s="3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21</v>
      </c>
      <c r="B606" s="35" t="s">
        <v>33</v>
      </c>
      <c r="C606" s="35" t="s">
        <v>34</v>
      </c>
      <c r="D606" s="35" t="s">
        <v>50</v>
      </c>
      <c r="E606" s="35" t="s">
        <v>51</v>
      </c>
      <c r="F606" s="35" t="s">
        <v>25</v>
      </c>
      <c r="G606" s="35" t="s">
        <v>25</v>
      </c>
      <c r="H606" s="35" t="s">
        <v>37</v>
      </c>
      <c r="I606" s="55">
        <v>44593</v>
      </c>
      <c r="J606" s="56">
        <f>EFEITO!$J$606*EFEITO!$Y$540</f>
        <v>0</v>
      </c>
      <c r="K606" s="56">
        <f ca="1">EFEITO!$L$606*EFEITO!$Z$540</f>
        <v>54038.066878873404</v>
      </c>
      <c r="L606" s="56">
        <f>EFEITO!$N$606*EFEITO!$AA$540</f>
        <v>19564.838573444344</v>
      </c>
      <c r="M606" s="56">
        <f>$J$606-EFEITO!$K$606*EFEITO!$Y$606</f>
        <v>0</v>
      </c>
      <c r="N606" s="56">
        <f ca="1">$K$606-EFEITO!$M$606*EFEITO!$Z$606</f>
        <v>1621.1420063662008</v>
      </c>
      <c r="O606" s="56">
        <f>$L$606-EFEITO!$O$606*EFEITO!$AA$606</f>
        <v>586.94515720332856</v>
      </c>
      <c r="P606" s="39"/>
      <c r="Q606" s="39"/>
      <c r="R606" s="39"/>
      <c r="S606" s="39"/>
      <c r="T606" s="39"/>
      <c r="U606" s="39"/>
      <c r="V606" s="39"/>
      <c r="W606" s="3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21</v>
      </c>
      <c r="B607" s="35" t="s">
        <v>33</v>
      </c>
      <c r="C607" s="35" t="s">
        <v>34</v>
      </c>
      <c r="D607" s="35" t="s">
        <v>50</v>
      </c>
      <c r="E607" s="35" t="s">
        <v>51</v>
      </c>
      <c r="F607" s="35" t="s">
        <v>25</v>
      </c>
      <c r="G607" s="35" t="s">
        <v>25</v>
      </c>
      <c r="H607" s="35" t="s">
        <v>37</v>
      </c>
      <c r="I607" s="55">
        <v>44621</v>
      </c>
      <c r="J607" s="56">
        <f>EFEITO!$J$607*EFEITO!$Y$540</f>
        <v>0</v>
      </c>
      <c r="K607" s="56">
        <f ca="1">EFEITO!$L$607*EFEITO!$Z$540</f>
        <v>50712.418102607728</v>
      </c>
      <c r="L607" s="56">
        <f>EFEITO!$N$607*EFEITO!$AA$540</f>
        <v>18360.765496488133</v>
      </c>
      <c r="M607" s="56">
        <f>$J$607-EFEITO!$K$607*EFEITO!$Y$607</f>
        <v>0</v>
      </c>
      <c r="N607" s="56">
        <f ca="1">$K$607-EFEITO!$M$607*EFEITO!$Z$607</f>
        <v>1521.3725430782288</v>
      </c>
      <c r="O607" s="56">
        <f>$L$607-EFEITO!$O$607*EFEITO!$AA$607</f>
        <v>550.82296489464716</v>
      </c>
      <c r="P607" s="39"/>
      <c r="Q607" s="39"/>
      <c r="R607" s="39"/>
      <c r="S607" s="39"/>
      <c r="T607" s="39"/>
      <c r="U607" s="39"/>
      <c r="V607" s="39"/>
      <c r="W607" s="3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21</v>
      </c>
      <c r="B608" s="35" t="s">
        <v>33</v>
      </c>
      <c r="C608" s="35" t="s">
        <v>34</v>
      </c>
      <c r="D608" s="35" t="s">
        <v>50</v>
      </c>
      <c r="E608" s="35" t="s">
        <v>51</v>
      </c>
      <c r="F608" s="35" t="s">
        <v>25</v>
      </c>
      <c r="G608" s="35" t="s">
        <v>25</v>
      </c>
      <c r="H608" s="35" t="s">
        <v>37</v>
      </c>
      <c r="I608" s="55">
        <v>44652</v>
      </c>
      <c r="J608" s="56">
        <f>EFEITO!$J$608*EFEITO!$Y$540</f>
        <v>0</v>
      </c>
      <c r="K608" s="56">
        <f ca="1">EFEITO!$L$608*EFEITO!$Z$540</f>
        <v>52650.946913591957</v>
      </c>
      <c r="L608" s="56">
        <f>EFEITO!$N$608*EFEITO!$AA$540</f>
        <v>19062.62263993279</v>
      </c>
      <c r="M608" s="56">
        <f>$J$608-EFEITO!$K$608*EFEITO!$Y$608</f>
        <v>0</v>
      </c>
      <c r="N608" s="56">
        <f ca="1">$K$608-EFEITO!$M$608*EFEITO!$Z$608</f>
        <v>1579.5284074077572</v>
      </c>
      <c r="O608" s="56">
        <f>$L$608-EFEITO!$O$608*EFEITO!$AA$608</f>
        <v>571.87867919798373</v>
      </c>
      <c r="P608" s="39"/>
      <c r="Q608" s="39"/>
      <c r="R608" s="39"/>
      <c r="S608" s="39"/>
      <c r="T608" s="39"/>
      <c r="U608" s="39"/>
      <c r="V608" s="39"/>
      <c r="W608" s="3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21</v>
      </c>
      <c r="B609" s="35" t="s">
        <v>33</v>
      </c>
      <c r="C609" s="35" t="s">
        <v>34</v>
      </c>
      <c r="D609" s="35" t="s">
        <v>50</v>
      </c>
      <c r="E609" s="35" t="s">
        <v>51</v>
      </c>
      <c r="F609" s="35" t="s">
        <v>25</v>
      </c>
      <c r="G609" s="35" t="s">
        <v>25</v>
      </c>
      <c r="H609" s="35" t="s">
        <v>37</v>
      </c>
      <c r="I609" s="55">
        <v>44682</v>
      </c>
      <c r="J609" s="56">
        <f>EFEITO!$J$609*EFEITO!$Y$540</f>
        <v>0</v>
      </c>
      <c r="K609" s="56">
        <f ca="1">EFEITO!$L$609*EFEITO!$Z$540</f>
        <v>60143.687486384966</v>
      </c>
      <c r="L609" s="56">
        <f>EFEITO!$N$609*EFEITO!$AA$540</f>
        <v>21775.418789876196</v>
      </c>
      <c r="M609" s="56">
        <f>$J$609-EFEITO!$K$609*EFEITO!$Y$609</f>
        <v>0</v>
      </c>
      <c r="N609" s="56">
        <f ca="1">$K$609-EFEITO!$M$609*EFEITO!$Z$609</f>
        <v>1804.3106245915478</v>
      </c>
      <c r="O609" s="56">
        <f>$L$609-EFEITO!$O$609*EFEITO!$AA$609</f>
        <v>653.26256369628754</v>
      </c>
      <c r="P609" s="39"/>
      <c r="Q609" s="39"/>
      <c r="R609" s="39"/>
      <c r="S609" s="39"/>
      <c r="T609" s="39"/>
      <c r="U609" s="39"/>
      <c r="V609" s="39"/>
      <c r="W609" s="3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21</v>
      </c>
      <c r="B610" s="35" t="s">
        <v>22</v>
      </c>
      <c r="C610" s="35" t="s">
        <v>36</v>
      </c>
      <c r="D610" s="35" t="s">
        <v>24</v>
      </c>
      <c r="E610" s="35" t="s">
        <v>24</v>
      </c>
      <c r="F610" s="35" t="s">
        <v>25</v>
      </c>
      <c r="G610" s="35" t="s">
        <v>25</v>
      </c>
      <c r="H610" s="35" t="s">
        <v>35</v>
      </c>
      <c r="I610" s="55">
        <v>44348</v>
      </c>
      <c r="J610" s="56">
        <f>EFEITO!$J$610*EFEITO!$Y$610</f>
        <v>0</v>
      </c>
      <c r="K610" s="56">
        <f ca="1">EFEITO!$L$610*EFEITO!$Z$610</f>
        <v>425.01152093061023</v>
      </c>
      <c r="L610" s="56">
        <f>EFEITO!$N$610*EFEITO!$AA$610</f>
        <v>546.04952217391531</v>
      </c>
      <c r="M610" s="56">
        <f>$J$610-EFEITO!$K$610*EFEITO!$Y$610</f>
        <v>0</v>
      </c>
      <c r="N610" s="56">
        <f ca="1">$K$610-EFEITO!$M$610*EFEITO!$Z$610</f>
        <v>0</v>
      </c>
      <c r="O610" s="56">
        <f>$L$610-EFEITO!$O$610*EFEITO!$AA$610</f>
        <v>0</v>
      </c>
      <c r="P610" s="39"/>
      <c r="Q610" s="39"/>
      <c r="R610" s="39"/>
      <c r="S610" s="39"/>
      <c r="T610" s="39"/>
      <c r="U610" s="39"/>
      <c r="V610" s="39"/>
      <c r="W610" s="3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21</v>
      </c>
      <c r="B611" s="35" t="s">
        <v>22</v>
      </c>
      <c r="C611" s="35" t="s">
        <v>36</v>
      </c>
      <c r="D611" s="35" t="s">
        <v>24</v>
      </c>
      <c r="E611" s="35" t="s">
        <v>24</v>
      </c>
      <c r="F611" s="35" t="s">
        <v>25</v>
      </c>
      <c r="G611" s="35" t="s">
        <v>25</v>
      </c>
      <c r="H611" s="35" t="s">
        <v>35</v>
      </c>
      <c r="I611" s="55">
        <v>44378</v>
      </c>
      <c r="J611" s="56">
        <f>EFEITO!$J$611*EFEITO!$Y$611</f>
        <v>0</v>
      </c>
      <c r="K611" s="56">
        <f ca="1">EFEITO!$L$611*EFEITO!$Z$611</f>
        <v>418.55973313659717</v>
      </c>
      <c r="L611" s="56">
        <f>EFEITO!$N$611*EFEITO!$AA$611</f>
        <v>537.76034536672114</v>
      </c>
      <c r="M611" s="56">
        <f>$J$611-EFEITO!$K$611*EFEITO!$Y$611</f>
        <v>0</v>
      </c>
      <c r="N611" s="56">
        <f ca="1">$K$611-EFEITO!$M$611*EFEITO!$Z$611</f>
        <v>0</v>
      </c>
      <c r="O611" s="56">
        <f>$L$611-EFEITO!$O$611*EFEITO!$AA$611</f>
        <v>0</v>
      </c>
      <c r="P611" s="39"/>
      <c r="Q611" s="39"/>
      <c r="R611" s="39"/>
      <c r="S611" s="39"/>
      <c r="T611" s="39"/>
      <c r="U611" s="39"/>
      <c r="V611" s="39"/>
      <c r="W611" s="3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21</v>
      </c>
      <c r="B612" s="35" t="s">
        <v>22</v>
      </c>
      <c r="C612" s="35" t="s">
        <v>36</v>
      </c>
      <c r="D612" s="35" t="s">
        <v>24</v>
      </c>
      <c r="E612" s="35" t="s">
        <v>24</v>
      </c>
      <c r="F612" s="35" t="s">
        <v>25</v>
      </c>
      <c r="G612" s="35" t="s">
        <v>25</v>
      </c>
      <c r="H612" s="35" t="s">
        <v>35</v>
      </c>
      <c r="I612" s="55">
        <v>44409</v>
      </c>
      <c r="J612" s="56">
        <f>EFEITO!$J$612*EFEITO!$Y$612</f>
        <v>0</v>
      </c>
      <c r="K612" s="56">
        <f ca="1">EFEITO!$L$612*EFEITO!$Z$612</f>
        <v>383.67975537521409</v>
      </c>
      <c r="L612" s="56">
        <f>EFEITO!$N$612*EFEITO!$AA$612</f>
        <v>492.94698325282775</v>
      </c>
      <c r="M612" s="56">
        <f>$J$612-EFEITO!$K$612*EFEITO!$Y$612</f>
        <v>0</v>
      </c>
      <c r="N612" s="56">
        <f ca="1">$K$612-EFEITO!$M$612*EFEITO!$Z$612</f>
        <v>0</v>
      </c>
      <c r="O612" s="56">
        <f>$L$612-EFEITO!$O$612*EFEITO!$AA$612</f>
        <v>0</v>
      </c>
      <c r="P612" s="39"/>
      <c r="Q612" s="39"/>
      <c r="R612" s="39"/>
      <c r="S612" s="39"/>
      <c r="T612" s="39"/>
      <c r="U612" s="39"/>
      <c r="V612" s="39"/>
      <c r="W612" s="3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21</v>
      </c>
      <c r="B613" s="35" t="s">
        <v>22</v>
      </c>
      <c r="C613" s="35" t="s">
        <v>36</v>
      </c>
      <c r="D613" s="35" t="s">
        <v>24</v>
      </c>
      <c r="E613" s="35" t="s">
        <v>24</v>
      </c>
      <c r="F613" s="35" t="s">
        <v>25</v>
      </c>
      <c r="G613" s="35" t="s">
        <v>25</v>
      </c>
      <c r="H613" s="35" t="s">
        <v>35</v>
      </c>
      <c r="I613" s="55">
        <v>44440</v>
      </c>
      <c r="J613" s="56">
        <f>EFEITO!$J$613*EFEITO!$Y$613</f>
        <v>0</v>
      </c>
      <c r="K613" s="56">
        <f ca="1">EFEITO!$L$613*EFEITO!$Z$613</f>
        <v>390.33316153779003</v>
      </c>
      <c r="L613" s="56">
        <f>EFEITO!$N$613*EFEITO!$AA$613</f>
        <v>501.4951968352467</v>
      </c>
      <c r="M613" s="56">
        <f>$J$613-EFEITO!$K$613*EFEITO!$Y$613</f>
        <v>0</v>
      </c>
      <c r="N613" s="56">
        <f ca="1">$K$613-EFEITO!$M$613*EFEITO!$Z$613</f>
        <v>0</v>
      </c>
      <c r="O613" s="56">
        <f>$L$613-EFEITO!$O$613*EFEITO!$AA$613</f>
        <v>0</v>
      </c>
      <c r="P613" s="39"/>
      <c r="Q613" s="39"/>
      <c r="R613" s="39"/>
      <c r="S613" s="39"/>
      <c r="T613" s="39"/>
      <c r="U613" s="39"/>
      <c r="V613" s="39"/>
      <c r="W613" s="3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21</v>
      </c>
      <c r="B614" s="35" t="s">
        <v>22</v>
      </c>
      <c r="C614" s="35" t="s">
        <v>36</v>
      </c>
      <c r="D614" s="35" t="s">
        <v>24</v>
      </c>
      <c r="E614" s="35" t="s">
        <v>24</v>
      </c>
      <c r="F614" s="35" t="s">
        <v>25</v>
      </c>
      <c r="G614" s="35" t="s">
        <v>25</v>
      </c>
      <c r="H614" s="35" t="s">
        <v>35</v>
      </c>
      <c r="I614" s="55">
        <v>44470</v>
      </c>
      <c r="J614" s="56">
        <f>EFEITO!$J$614*EFEITO!$Y$614</f>
        <v>0</v>
      </c>
      <c r="K614" s="56">
        <f ca="1">EFEITO!$L$614*EFEITO!$Z$614</f>
        <v>393.76067380335951</v>
      </c>
      <c r="L614" s="56">
        <f>EFEITO!$N$614*EFEITO!$AA$614</f>
        <v>505.89882201406863</v>
      </c>
      <c r="M614" s="56">
        <f>$J$614-EFEITO!$K$614*EFEITO!$Y$614</f>
        <v>0</v>
      </c>
      <c r="N614" s="56">
        <f ca="1">$K$614-EFEITO!$M$614*EFEITO!$Z$614</f>
        <v>0</v>
      </c>
      <c r="O614" s="56">
        <f>$L$614-EFEITO!$O$614*EFEITO!$AA$614</f>
        <v>0</v>
      </c>
      <c r="P614" s="39"/>
      <c r="Q614" s="39"/>
      <c r="R614" s="39"/>
      <c r="S614" s="39"/>
      <c r="T614" s="39"/>
      <c r="U614" s="39"/>
      <c r="V614" s="39"/>
      <c r="W614" s="3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21</v>
      </c>
      <c r="B615" s="35" t="s">
        <v>22</v>
      </c>
      <c r="C615" s="35" t="s">
        <v>36</v>
      </c>
      <c r="D615" s="35" t="s">
        <v>24</v>
      </c>
      <c r="E615" s="35" t="s">
        <v>24</v>
      </c>
      <c r="F615" s="35" t="s">
        <v>25</v>
      </c>
      <c r="G615" s="35" t="s">
        <v>25</v>
      </c>
      <c r="H615" s="35" t="s">
        <v>35</v>
      </c>
      <c r="I615" s="55">
        <v>44501</v>
      </c>
      <c r="J615" s="56">
        <f>EFEITO!$J$615*EFEITO!$Y$615</f>
        <v>0</v>
      </c>
      <c r="K615" s="56">
        <f ca="1">EFEITO!$L$615*EFEITO!$Z$615</f>
        <v>438.92318836145091</v>
      </c>
      <c r="L615" s="56">
        <f>EFEITO!$N$615*EFEITO!$AA$615</f>
        <v>563.9230596644278</v>
      </c>
      <c r="M615" s="56">
        <f>$J$615-EFEITO!$K$615*EFEITO!$Y$615</f>
        <v>0</v>
      </c>
      <c r="N615" s="56">
        <f ca="1">$K$615-EFEITO!$M$615*EFEITO!$Z$615</f>
        <v>0</v>
      </c>
      <c r="O615" s="56">
        <f>$L$615-EFEITO!$O$615*EFEITO!$AA$615</f>
        <v>0</v>
      </c>
      <c r="P615" s="39"/>
      <c r="Q615" s="39"/>
      <c r="R615" s="39"/>
      <c r="S615" s="39"/>
      <c r="T615" s="39"/>
      <c r="U615" s="39"/>
      <c r="V615" s="39"/>
      <c r="W615" s="3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21</v>
      </c>
      <c r="B616" s="35" t="s">
        <v>22</v>
      </c>
      <c r="C616" s="35" t="s">
        <v>36</v>
      </c>
      <c r="D616" s="35" t="s">
        <v>24</v>
      </c>
      <c r="E616" s="35" t="s">
        <v>24</v>
      </c>
      <c r="F616" s="35" t="s">
        <v>25</v>
      </c>
      <c r="G616" s="35" t="s">
        <v>25</v>
      </c>
      <c r="H616" s="35" t="s">
        <v>35</v>
      </c>
      <c r="I616" s="55">
        <v>44531</v>
      </c>
      <c r="J616" s="56">
        <f>EFEITO!$J$616*EFEITO!$Y$616</f>
        <v>0</v>
      </c>
      <c r="K616" s="56">
        <f ca="1">EFEITO!$L$616*EFEITO!$Z$616</f>
        <v>445.9798312611527</v>
      </c>
      <c r="L616" s="56">
        <f>EFEITO!$N$616*EFEITO!$AA$616</f>
        <v>572.98934679729643</v>
      </c>
      <c r="M616" s="56">
        <f>$J$616-EFEITO!$K$616*EFEITO!$Y$616</f>
        <v>0</v>
      </c>
      <c r="N616" s="56">
        <f ca="1">$K$616-EFEITO!$M$616*EFEITO!$Z$616</f>
        <v>0</v>
      </c>
      <c r="O616" s="56">
        <f>$L$616-EFEITO!$O$616*EFEITO!$AA$616</f>
        <v>0</v>
      </c>
      <c r="P616" s="39"/>
      <c r="Q616" s="39"/>
      <c r="R616" s="39"/>
      <c r="S616" s="39"/>
      <c r="T616" s="39"/>
      <c r="U616" s="39"/>
      <c r="V616" s="39"/>
      <c r="W616" s="3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21</v>
      </c>
      <c r="B617" s="35" t="s">
        <v>22</v>
      </c>
      <c r="C617" s="35" t="s">
        <v>36</v>
      </c>
      <c r="D617" s="35" t="s">
        <v>24</v>
      </c>
      <c r="E617" s="35" t="s">
        <v>24</v>
      </c>
      <c r="F617" s="35" t="s">
        <v>25</v>
      </c>
      <c r="G617" s="35" t="s">
        <v>25</v>
      </c>
      <c r="H617" s="35" t="s">
        <v>35</v>
      </c>
      <c r="I617" s="55">
        <v>44562</v>
      </c>
      <c r="J617" s="56">
        <f>EFEITO!$J$617*EFEITO!$Y$617</f>
        <v>0</v>
      </c>
      <c r="K617" s="56">
        <f ca="1">EFEITO!$L$617*EFEITO!$Z$617</f>
        <v>386.30079416653183</v>
      </c>
      <c r="L617" s="56">
        <f>EFEITO!$N$617*EFEITO!$AA$617</f>
        <v>496.31446133075036</v>
      </c>
      <c r="M617" s="56">
        <f>$J$617-EFEITO!$K$617*EFEITO!$Y$617</f>
        <v>0</v>
      </c>
      <c r="N617" s="56">
        <f ca="1">$K$617-EFEITO!$M$617*EFEITO!$Z$617</f>
        <v>0</v>
      </c>
      <c r="O617" s="56">
        <f>$L$617-EFEITO!$O$617*EFEITO!$AA$617</f>
        <v>0</v>
      </c>
      <c r="P617" s="39"/>
      <c r="Q617" s="39"/>
      <c r="R617" s="39"/>
      <c r="S617" s="39"/>
      <c r="T617" s="39"/>
      <c r="U617" s="39"/>
      <c r="V617" s="39"/>
      <c r="W617" s="3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21</v>
      </c>
      <c r="B618" s="35" t="s">
        <v>22</v>
      </c>
      <c r="C618" s="35" t="s">
        <v>36</v>
      </c>
      <c r="D618" s="35" t="s">
        <v>24</v>
      </c>
      <c r="E618" s="35" t="s">
        <v>24</v>
      </c>
      <c r="F618" s="35" t="s">
        <v>25</v>
      </c>
      <c r="G618" s="35" t="s">
        <v>25</v>
      </c>
      <c r="H618" s="35" t="s">
        <v>35</v>
      </c>
      <c r="I618" s="55">
        <v>44593</v>
      </c>
      <c r="J618" s="56">
        <f>EFEITO!$J$618*EFEITO!$Y$618</f>
        <v>0</v>
      </c>
      <c r="K618" s="56">
        <f ca="1">EFEITO!$L$618*EFEITO!$Z$618</f>
        <v>414.32574739677614</v>
      </c>
      <c r="L618" s="56">
        <f>EFEITO!$N$618*EFEITO!$AA$618</f>
        <v>532.32057308700007</v>
      </c>
      <c r="M618" s="56">
        <f>$J$618-EFEITO!$K$618*EFEITO!$Y$618</f>
        <v>0</v>
      </c>
      <c r="N618" s="56">
        <f ca="1">$K$618-EFEITO!$M$618*EFEITO!$Z$618</f>
        <v>0</v>
      </c>
      <c r="O618" s="56">
        <f>$L$618-EFEITO!$O$618*EFEITO!$AA$618</f>
        <v>0</v>
      </c>
      <c r="P618" s="39"/>
      <c r="Q618" s="39"/>
      <c r="R618" s="39"/>
      <c r="S618" s="39"/>
      <c r="T618" s="39"/>
      <c r="U618" s="39"/>
      <c r="V618" s="39"/>
      <c r="W618" s="3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21</v>
      </c>
      <c r="B619" s="35" t="s">
        <v>22</v>
      </c>
      <c r="C619" s="35" t="s">
        <v>36</v>
      </c>
      <c r="D619" s="35" t="s">
        <v>24</v>
      </c>
      <c r="E619" s="35" t="s">
        <v>24</v>
      </c>
      <c r="F619" s="35" t="s">
        <v>25</v>
      </c>
      <c r="G619" s="35" t="s">
        <v>25</v>
      </c>
      <c r="H619" s="35" t="s">
        <v>35</v>
      </c>
      <c r="I619" s="55">
        <v>44621</v>
      </c>
      <c r="J619" s="56">
        <f>EFEITO!$J$619*EFEITO!$Y$619</f>
        <v>0</v>
      </c>
      <c r="K619" s="56">
        <f ca="1">EFEITO!$L$619*EFEITO!$Z$619</f>
        <v>393.15581869767072</v>
      </c>
      <c r="L619" s="56">
        <f>EFEITO!$N$619*EFEITO!$AA$619</f>
        <v>505.12171168839416</v>
      </c>
      <c r="M619" s="56">
        <f>$J$619-EFEITO!$K$619*EFEITO!$Y$619</f>
        <v>0</v>
      </c>
      <c r="N619" s="56">
        <f ca="1">$K$619-EFEITO!$M$619*EFEITO!$Z$619</f>
        <v>0</v>
      </c>
      <c r="O619" s="56">
        <f>$L$619-EFEITO!$O$619*EFEITO!$AA$619</f>
        <v>0</v>
      </c>
      <c r="P619" s="39"/>
      <c r="Q619" s="39"/>
      <c r="R619" s="39"/>
      <c r="S619" s="39"/>
      <c r="T619" s="39"/>
      <c r="U619" s="39"/>
      <c r="V619" s="39"/>
      <c r="W619" s="3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21</v>
      </c>
      <c r="B620" s="35" t="s">
        <v>22</v>
      </c>
      <c r="C620" s="35" t="s">
        <v>36</v>
      </c>
      <c r="D620" s="35" t="s">
        <v>24</v>
      </c>
      <c r="E620" s="35" t="s">
        <v>24</v>
      </c>
      <c r="F620" s="35" t="s">
        <v>25</v>
      </c>
      <c r="G620" s="35" t="s">
        <v>25</v>
      </c>
      <c r="H620" s="35" t="s">
        <v>35</v>
      </c>
      <c r="I620" s="55">
        <v>44652</v>
      </c>
      <c r="J620" s="56">
        <f>EFEITO!$J$620*EFEITO!$Y$620</f>
        <v>0</v>
      </c>
      <c r="K620" s="56">
        <f ca="1">EFEITO!$L$620*EFEITO!$Z$620</f>
        <v>388.51859622072385</v>
      </c>
      <c r="L620" s="56">
        <f>EFEITO!$N$620*EFEITO!$AA$620</f>
        <v>499.16386585822335</v>
      </c>
      <c r="M620" s="56">
        <f>$J$620-EFEITO!$K$620*EFEITO!$Y$620</f>
        <v>0</v>
      </c>
      <c r="N620" s="56">
        <f ca="1">$K$620-EFEITO!$M$620*EFEITO!$Z$620</f>
        <v>0</v>
      </c>
      <c r="O620" s="56">
        <f>$L$620-EFEITO!$O$620*EFEITO!$AA$620</f>
        <v>0</v>
      </c>
      <c r="P620" s="39"/>
      <c r="Q620" s="39"/>
      <c r="R620" s="39"/>
      <c r="S620" s="39"/>
      <c r="T620" s="39"/>
      <c r="U620" s="39"/>
      <c r="V620" s="39"/>
      <c r="W620" s="3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21</v>
      </c>
      <c r="B621" s="35" t="s">
        <v>22</v>
      </c>
      <c r="C621" s="35" t="s">
        <v>36</v>
      </c>
      <c r="D621" s="35" t="s">
        <v>24</v>
      </c>
      <c r="E621" s="35" t="s">
        <v>24</v>
      </c>
      <c r="F621" s="35" t="s">
        <v>25</v>
      </c>
      <c r="G621" s="35" t="s">
        <v>25</v>
      </c>
      <c r="H621" s="35" t="s">
        <v>35</v>
      </c>
      <c r="I621" s="55">
        <v>44682</v>
      </c>
      <c r="J621" s="56">
        <f>EFEITO!$J$621*EFEITO!$Y$621</f>
        <v>0</v>
      </c>
      <c r="K621" s="56">
        <f ca="1">EFEITO!$L$621*EFEITO!$Z$621</f>
        <v>359.88878788479087</v>
      </c>
      <c r="L621" s="56">
        <f>EFEITO!$N$621*EFEITO!$AA$621</f>
        <v>462.38064377629922</v>
      </c>
      <c r="M621" s="56">
        <f>$J$621-EFEITO!$K$621*EFEITO!$Y$621</f>
        <v>0</v>
      </c>
      <c r="N621" s="56">
        <f ca="1">$K$621-EFEITO!$M$621*EFEITO!$Z$621</f>
        <v>0</v>
      </c>
      <c r="O621" s="56">
        <f>$L$621-EFEITO!$O$621*EFEITO!$AA$621</f>
        <v>0</v>
      </c>
      <c r="P621" s="39"/>
      <c r="Q621" s="39"/>
      <c r="R621" s="39"/>
      <c r="S621" s="39"/>
      <c r="T621" s="39"/>
      <c r="U621" s="39"/>
      <c r="V621" s="39"/>
      <c r="W621" s="3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21</v>
      </c>
      <c r="B622" s="35" t="s">
        <v>22</v>
      </c>
      <c r="C622" s="35" t="s">
        <v>36</v>
      </c>
      <c r="D622" s="35" t="s">
        <v>24</v>
      </c>
      <c r="E622" s="35" t="s">
        <v>24</v>
      </c>
      <c r="F622" s="35" t="s">
        <v>25</v>
      </c>
      <c r="G622" s="35" t="s">
        <v>25</v>
      </c>
      <c r="H622" s="35" t="s">
        <v>38</v>
      </c>
      <c r="I622" s="55">
        <v>44348</v>
      </c>
      <c r="J622" s="56">
        <f>EFEITO!$J$622*EFEITO!$Y$622</f>
        <v>0</v>
      </c>
      <c r="K622" s="56">
        <f ca="1">EFEITO!$L$622*EFEITO!$Z$622</f>
        <v>68.140631048509348</v>
      </c>
      <c r="L622" s="56">
        <f>EFEITO!$N$622*EFEITO!$AA$622</f>
        <v>40.150700159846714</v>
      </c>
      <c r="M622" s="56">
        <f>$J$622-EFEITO!$K$622*EFEITO!$Y$622</f>
        <v>0</v>
      </c>
      <c r="N622" s="56">
        <f ca="1">$K$622-EFEITO!$M$622*EFEITO!$Z$622</f>
        <v>0</v>
      </c>
      <c r="O622" s="56">
        <f>$L$622-EFEITO!$O$622*EFEITO!$AA$622</f>
        <v>0</v>
      </c>
      <c r="P622" s="39"/>
      <c r="Q622" s="39"/>
      <c r="R622" s="39"/>
      <c r="S622" s="39"/>
      <c r="T622" s="39"/>
      <c r="U622" s="39"/>
      <c r="V622" s="39"/>
      <c r="W622" s="3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21</v>
      </c>
      <c r="B623" s="35" t="s">
        <v>22</v>
      </c>
      <c r="C623" s="35" t="s">
        <v>36</v>
      </c>
      <c r="D623" s="35" t="s">
        <v>24</v>
      </c>
      <c r="E623" s="35" t="s">
        <v>24</v>
      </c>
      <c r="F623" s="35" t="s">
        <v>25</v>
      </c>
      <c r="G623" s="35" t="s">
        <v>25</v>
      </c>
      <c r="H623" s="35" t="s">
        <v>38</v>
      </c>
      <c r="I623" s="55">
        <v>44378</v>
      </c>
      <c r="J623" s="56">
        <f>EFEITO!$J$623*EFEITO!$Y$623</f>
        <v>0</v>
      </c>
      <c r="K623" s="56">
        <f ca="1">EFEITO!$L$623*EFEITO!$Z$623</f>
        <v>77.812204487652608</v>
      </c>
      <c r="L623" s="56">
        <f>EFEITO!$N$623*EFEITO!$AA$623</f>
        <v>45.849509214792697</v>
      </c>
      <c r="M623" s="56">
        <f>$J$623-EFEITO!$K$623*EFEITO!$Y$623</f>
        <v>0</v>
      </c>
      <c r="N623" s="56">
        <f ca="1">$K$623-EFEITO!$M$623*EFEITO!$Z$623</f>
        <v>0</v>
      </c>
      <c r="O623" s="56">
        <f>$L$623-EFEITO!$O$623*EFEITO!$AA$623</f>
        <v>0</v>
      </c>
      <c r="P623" s="39"/>
      <c r="Q623" s="39"/>
      <c r="R623" s="39"/>
      <c r="S623" s="39"/>
      <c r="T623" s="39"/>
      <c r="U623" s="39"/>
      <c r="V623" s="39"/>
      <c r="W623" s="3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22</v>
      </c>
      <c r="C624" s="35" t="s">
        <v>36</v>
      </c>
      <c r="D624" s="35" t="s">
        <v>24</v>
      </c>
      <c r="E624" s="35" t="s">
        <v>24</v>
      </c>
      <c r="F624" s="35" t="s">
        <v>25</v>
      </c>
      <c r="G624" s="35" t="s">
        <v>25</v>
      </c>
      <c r="H624" s="35" t="s">
        <v>38</v>
      </c>
      <c r="I624" s="55">
        <v>44409</v>
      </c>
      <c r="J624" s="56">
        <f>EFEITO!$J$624*EFEITO!$Y$624</f>
        <v>0</v>
      </c>
      <c r="K624" s="56">
        <f ca="1">EFEITO!$L$624*EFEITO!$Z$624</f>
        <v>61.546376430911678</v>
      </c>
      <c r="L624" s="56">
        <f>EFEITO!$N$624*EFEITO!$AA$624</f>
        <v>36.265148531474459</v>
      </c>
      <c r="M624" s="56">
        <f>$J$624-EFEITO!$K$624*EFEITO!$Y$624</f>
        <v>0</v>
      </c>
      <c r="N624" s="56">
        <f ca="1">$K$624-EFEITO!$M$624*EFEITO!$Z$624</f>
        <v>0</v>
      </c>
      <c r="O624" s="56">
        <f>$L$624-EFEITO!$O$624*EFEITO!$AA$624</f>
        <v>0</v>
      </c>
      <c r="P624" s="39"/>
      <c r="Q624" s="39"/>
      <c r="R624" s="39"/>
      <c r="S624" s="39"/>
      <c r="T624" s="39"/>
      <c r="U624" s="39"/>
      <c r="V624" s="39"/>
      <c r="W624" s="3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21</v>
      </c>
      <c r="B625" s="35" t="s">
        <v>22</v>
      </c>
      <c r="C625" s="35" t="s">
        <v>36</v>
      </c>
      <c r="D625" s="35" t="s">
        <v>24</v>
      </c>
      <c r="E625" s="35" t="s">
        <v>24</v>
      </c>
      <c r="F625" s="35" t="s">
        <v>25</v>
      </c>
      <c r="G625" s="35" t="s">
        <v>25</v>
      </c>
      <c r="H625" s="35" t="s">
        <v>38</v>
      </c>
      <c r="I625" s="55">
        <v>44440</v>
      </c>
      <c r="J625" s="56">
        <f>EFEITO!$J$625*EFEITO!$Y$625</f>
        <v>0</v>
      </c>
      <c r="K625" s="56">
        <f ca="1">EFEITO!$L$625*EFEITO!$Z$625</f>
        <v>59.348291558379117</v>
      </c>
      <c r="L625" s="56">
        <f>EFEITO!$N$625*EFEITO!$AA$625</f>
        <v>34.969964655350367</v>
      </c>
      <c r="M625" s="56">
        <f>$J$625-EFEITO!$K$625*EFEITO!$Y$625</f>
        <v>0</v>
      </c>
      <c r="N625" s="56">
        <f ca="1">$K$625-EFEITO!$M$625*EFEITO!$Z$625</f>
        <v>0</v>
      </c>
      <c r="O625" s="56">
        <f>$L$625-EFEITO!$O$625*EFEITO!$AA$625</f>
        <v>0</v>
      </c>
      <c r="P625" s="39"/>
      <c r="Q625" s="39"/>
      <c r="R625" s="39"/>
      <c r="S625" s="39"/>
      <c r="T625" s="39"/>
      <c r="U625" s="39"/>
      <c r="V625" s="39"/>
      <c r="W625" s="3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22</v>
      </c>
      <c r="C626" s="35" t="s">
        <v>36</v>
      </c>
      <c r="D626" s="35" t="s">
        <v>24</v>
      </c>
      <c r="E626" s="35" t="s">
        <v>24</v>
      </c>
      <c r="F626" s="35" t="s">
        <v>25</v>
      </c>
      <c r="G626" s="35" t="s">
        <v>25</v>
      </c>
      <c r="H626" s="35" t="s">
        <v>38</v>
      </c>
      <c r="I626" s="55">
        <v>44470</v>
      </c>
      <c r="J626" s="56">
        <f>EFEITO!$J$626*EFEITO!$Y$626</f>
        <v>0</v>
      </c>
      <c r="K626" s="56">
        <f ca="1">EFEITO!$L$626*EFEITO!$Z$626</f>
        <v>59.787908532885631</v>
      </c>
      <c r="L626" s="56">
        <f>EFEITO!$N$626*EFEITO!$AA$626</f>
        <v>35.229001430575188</v>
      </c>
      <c r="M626" s="56">
        <f>$J$626-EFEITO!$K$626*EFEITO!$Y$626</f>
        <v>0</v>
      </c>
      <c r="N626" s="56">
        <f ca="1">$K$626-EFEITO!$M$626*EFEITO!$Z$626</f>
        <v>0</v>
      </c>
      <c r="O626" s="56">
        <f>$L$626-EFEITO!$O$626*EFEITO!$AA$626</f>
        <v>0</v>
      </c>
      <c r="P626" s="39"/>
      <c r="Q626" s="39"/>
      <c r="R626" s="39"/>
      <c r="S626" s="39"/>
      <c r="T626" s="39"/>
      <c r="U626" s="39"/>
      <c r="V626" s="39"/>
      <c r="W626" s="3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21</v>
      </c>
      <c r="B627" s="35" t="s">
        <v>22</v>
      </c>
      <c r="C627" s="35" t="s">
        <v>36</v>
      </c>
      <c r="D627" s="35" t="s">
        <v>24</v>
      </c>
      <c r="E627" s="35" t="s">
        <v>24</v>
      </c>
      <c r="F627" s="35" t="s">
        <v>25</v>
      </c>
      <c r="G627" s="35" t="s">
        <v>25</v>
      </c>
      <c r="H627" s="35" t="s">
        <v>38</v>
      </c>
      <c r="I627" s="55">
        <v>44501</v>
      </c>
      <c r="J627" s="56">
        <f>EFEITO!$J$627*EFEITO!$Y$627</f>
        <v>0</v>
      </c>
      <c r="K627" s="56">
        <f ca="1">EFEITO!$L$627*EFEITO!$Z$627</f>
        <v>520.94611479021671</v>
      </c>
      <c r="L627" s="56">
        <f>EFEITO!$N$627*EFEITO!$AA$627</f>
        <v>306.95857864140879</v>
      </c>
      <c r="M627" s="56">
        <f>$J$627-EFEITO!$K$627*EFEITO!$Y$627</f>
        <v>0</v>
      </c>
      <c r="N627" s="56">
        <f ca="1">$K$627-EFEITO!$M$627*EFEITO!$Z$627</f>
        <v>0</v>
      </c>
      <c r="O627" s="56">
        <f>$L$627-EFEITO!$O$627*EFEITO!$AA$627</f>
        <v>0</v>
      </c>
      <c r="P627" s="39"/>
      <c r="Q627" s="39"/>
      <c r="R627" s="39"/>
      <c r="S627" s="39"/>
      <c r="T627" s="39"/>
      <c r="U627" s="39"/>
      <c r="V627" s="39"/>
      <c r="W627" s="3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21</v>
      </c>
      <c r="B628" s="35" t="s">
        <v>22</v>
      </c>
      <c r="C628" s="35" t="s">
        <v>36</v>
      </c>
      <c r="D628" s="35" t="s">
        <v>24</v>
      </c>
      <c r="E628" s="35" t="s">
        <v>24</v>
      </c>
      <c r="F628" s="35" t="s">
        <v>25</v>
      </c>
      <c r="G628" s="35" t="s">
        <v>25</v>
      </c>
      <c r="H628" s="35" t="s">
        <v>38</v>
      </c>
      <c r="I628" s="55">
        <v>44531</v>
      </c>
      <c r="J628" s="56">
        <f>EFEITO!$J$628*EFEITO!$Y$628</f>
        <v>0</v>
      </c>
      <c r="K628" s="56">
        <f ca="1">EFEITO!$L$628*EFEITO!$Z$628</f>
        <v>54.51250483880748</v>
      </c>
      <c r="L628" s="56">
        <f>EFEITO!$N$628*EFEITO!$AA$628</f>
        <v>32.120560127877368</v>
      </c>
      <c r="M628" s="56">
        <f>$J$628-EFEITO!$K$628*EFEITO!$Y$628</f>
        <v>0</v>
      </c>
      <c r="N628" s="56">
        <f ca="1">$K$628-EFEITO!$M$628*EFEITO!$Z$628</f>
        <v>0</v>
      </c>
      <c r="O628" s="56">
        <f>$L$628-EFEITO!$O$628*EFEITO!$AA$628</f>
        <v>0</v>
      </c>
      <c r="P628" s="39"/>
      <c r="Q628" s="39"/>
      <c r="R628" s="39"/>
      <c r="S628" s="39"/>
      <c r="T628" s="39"/>
      <c r="U628" s="39"/>
      <c r="V628" s="39"/>
      <c r="W628" s="3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22</v>
      </c>
      <c r="C629" s="35" t="s">
        <v>36</v>
      </c>
      <c r="D629" s="35" t="s">
        <v>24</v>
      </c>
      <c r="E629" s="35" t="s">
        <v>24</v>
      </c>
      <c r="F629" s="35" t="s">
        <v>25</v>
      </c>
      <c r="G629" s="35" t="s">
        <v>25</v>
      </c>
      <c r="H629" s="35" t="s">
        <v>38</v>
      </c>
      <c r="I629" s="55">
        <v>44562</v>
      </c>
      <c r="J629" s="56">
        <f>EFEITO!$J$629*EFEITO!$Y$629</f>
        <v>0</v>
      </c>
      <c r="K629" s="56">
        <f ca="1">EFEITO!$L$629*EFEITO!$Z$629</f>
        <v>58.029440634859583</v>
      </c>
      <c r="L629" s="56">
        <f>EFEITO!$N$629*EFEITO!$AA$629</f>
        <v>34.192854329675917</v>
      </c>
      <c r="M629" s="56">
        <f>$J$629-EFEITO!$K$629*EFEITO!$Y$629</f>
        <v>0</v>
      </c>
      <c r="N629" s="56">
        <f ca="1">$K$629-EFEITO!$M$629*EFEITO!$Z$629</f>
        <v>0</v>
      </c>
      <c r="O629" s="56">
        <f>$L$629-EFEITO!$O$629*EFEITO!$AA$629</f>
        <v>0</v>
      </c>
      <c r="P629" s="39"/>
      <c r="Q629" s="39"/>
      <c r="R629" s="39"/>
      <c r="S629" s="39"/>
      <c r="T629" s="39"/>
      <c r="U629" s="39"/>
      <c r="V629" s="39"/>
      <c r="W629" s="3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21</v>
      </c>
      <c r="B630" s="35" t="s">
        <v>22</v>
      </c>
      <c r="C630" s="35" t="s">
        <v>36</v>
      </c>
      <c r="D630" s="35" t="s">
        <v>24</v>
      </c>
      <c r="E630" s="35" t="s">
        <v>24</v>
      </c>
      <c r="F630" s="35" t="s">
        <v>25</v>
      </c>
      <c r="G630" s="35" t="s">
        <v>25</v>
      </c>
      <c r="H630" s="35" t="s">
        <v>38</v>
      </c>
      <c r="I630" s="55">
        <v>44593</v>
      </c>
      <c r="J630" s="56">
        <f>EFEITO!$J$630*EFEITO!$Y$630</f>
        <v>0</v>
      </c>
      <c r="K630" s="56">
        <f ca="1">EFEITO!$L$630*EFEITO!$Z$630</f>
        <v>59.787908532885631</v>
      </c>
      <c r="L630" s="56">
        <f>EFEITO!$N$630*EFEITO!$AA$630</f>
        <v>35.229001430575188</v>
      </c>
      <c r="M630" s="56">
        <f>$J$630-EFEITO!$K$630*EFEITO!$Y$630</f>
        <v>0</v>
      </c>
      <c r="N630" s="56">
        <f ca="1">$K$630-EFEITO!$M$630*EFEITO!$Z$630</f>
        <v>0</v>
      </c>
      <c r="O630" s="56">
        <f>$L$630-EFEITO!$O$630*EFEITO!$AA$630</f>
        <v>0</v>
      </c>
      <c r="P630" s="39"/>
      <c r="Q630" s="39"/>
      <c r="R630" s="39"/>
      <c r="S630" s="39"/>
      <c r="T630" s="39"/>
      <c r="U630" s="39"/>
      <c r="V630" s="39"/>
      <c r="W630" s="3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21</v>
      </c>
      <c r="B631" s="35" t="s">
        <v>22</v>
      </c>
      <c r="C631" s="35" t="s">
        <v>36</v>
      </c>
      <c r="D631" s="35" t="s">
        <v>24</v>
      </c>
      <c r="E631" s="35" t="s">
        <v>24</v>
      </c>
      <c r="F631" s="35" t="s">
        <v>25</v>
      </c>
      <c r="G631" s="35" t="s">
        <v>25</v>
      </c>
      <c r="H631" s="35" t="s">
        <v>38</v>
      </c>
      <c r="I631" s="55">
        <v>44621</v>
      </c>
      <c r="J631" s="56">
        <f>EFEITO!$J$631*EFEITO!$Y$631</f>
        <v>0</v>
      </c>
      <c r="K631" s="56">
        <f ca="1">EFEITO!$L$631*EFEITO!$Z$631</f>
        <v>50.995569042755392</v>
      </c>
      <c r="L631" s="56">
        <f>EFEITO!$N$631*EFEITO!$AA$631</f>
        <v>30.048265926078834</v>
      </c>
      <c r="M631" s="56">
        <f>$J$631-EFEITO!$K$631*EFEITO!$Y$631</f>
        <v>0</v>
      </c>
      <c r="N631" s="56">
        <f ca="1">$K$631-EFEITO!$M$631*EFEITO!$Z$631</f>
        <v>0</v>
      </c>
      <c r="O631" s="56">
        <f>$L$631-EFEITO!$O$631*EFEITO!$AA$631</f>
        <v>0</v>
      </c>
      <c r="P631" s="39"/>
      <c r="Q631" s="39"/>
      <c r="R631" s="39"/>
      <c r="S631" s="39"/>
      <c r="T631" s="39"/>
      <c r="U631" s="39"/>
      <c r="V631" s="39"/>
      <c r="W631" s="3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21</v>
      </c>
      <c r="B632" s="35" t="s">
        <v>22</v>
      </c>
      <c r="C632" s="35" t="s">
        <v>36</v>
      </c>
      <c r="D632" s="35" t="s">
        <v>24</v>
      </c>
      <c r="E632" s="35" t="s">
        <v>24</v>
      </c>
      <c r="F632" s="35" t="s">
        <v>25</v>
      </c>
      <c r="G632" s="35" t="s">
        <v>25</v>
      </c>
      <c r="H632" s="35" t="s">
        <v>38</v>
      </c>
      <c r="I632" s="55">
        <v>44652</v>
      </c>
      <c r="J632" s="56">
        <f>EFEITO!$J$632*EFEITO!$Y$632</f>
        <v>0</v>
      </c>
      <c r="K632" s="56">
        <f ca="1">EFEITO!$L$632*EFEITO!$Z$632</f>
        <v>54.952121813313994</v>
      </c>
      <c r="L632" s="56">
        <f>EFEITO!$N$632*EFEITO!$AA$632</f>
        <v>32.37959690310219</v>
      </c>
      <c r="M632" s="56">
        <f>$J$632-EFEITO!$K$632*EFEITO!$Y$632</f>
        <v>0</v>
      </c>
      <c r="N632" s="56">
        <f ca="1">$K$632-EFEITO!$M$632*EFEITO!$Z$632</f>
        <v>0</v>
      </c>
      <c r="O632" s="56">
        <f>$L$632-EFEITO!$O$632*EFEITO!$AA$632</f>
        <v>0</v>
      </c>
      <c r="P632" s="39"/>
      <c r="Q632" s="39"/>
      <c r="R632" s="39"/>
      <c r="S632" s="39"/>
      <c r="T632" s="39"/>
      <c r="U632" s="39"/>
      <c r="V632" s="39"/>
      <c r="W632" s="3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21</v>
      </c>
      <c r="B633" s="35" t="s">
        <v>22</v>
      </c>
      <c r="C633" s="35" t="s">
        <v>36</v>
      </c>
      <c r="D633" s="35" t="s">
        <v>24</v>
      </c>
      <c r="E633" s="35" t="s">
        <v>24</v>
      </c>
      <c r="F633" s="35" t="s">
        <v>25</v>
      </c>
      <c r="G633" s="35" t="s">
        <v>25</v>
      </c>
      <c r="H633" s="35" t="s">
        <v>38</v>
      </c>
      <c r="I633" s="55">
        <v>44682</v>
      </c>
      <c r="J633" s="56">
        <f>EFEITO!$J$633*EFEITO!$Y$633</f>
        <v>0</v>
      </c>
      <c r="K633" s="56">
        <f ca="1">EFEITO!$L$633*EFEITO!$Z$633</f>
        <v>50.555952068248878</v>
      </c>
      <c r="L633" s="56">
        <f>EFEITO!$N$633*EFEITO!$AA$633</f>
        <v>29.789229150854016</v>
      </c>
      <c r="M633" s="56">
        <f>$J$633-EFEITO!$K$633*EFEITO!$Y$633</f>
        <v>0</v>
      </c>
      <c r="N633" s="56">
        <f ca="1">$K$633-EFEITO!$M$633*EFEITO!$Z$633</f>
        <v>0</v>
      </c>
      <c r="O633" s="56">
        <f>$L$633-EFEITO!$O$633*EFEITO!$AA$633</f>
        <v>0</v>
      </c>
      <c r="P633" s="39"/>
      <c r="Q633" s="39"/>
      <c r="R633" s="39"/>
      <c r="S633" s="39"/>
      <c r="T633" s="39"/>
      <c r="U633" s="39"/>
      <c r="V633" s="39"/>
      <c r="W633" s="3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21</v>
      </c>
      <c r="B634" s="35" t="s">
        <v>22</v>
      </c>
      <c r="C634" s="35" t="s">
        <v>36</v>
      </c>
      <c r="D634" s="35" t="s">
        <v>24</v>
      </c>
      <c r="E634" s="35" t="s">
        <v>24</v>
      </c>
      <c r="F634" s="35" t="s">
        <v>25</v>
      </c>
      <c r="G634" s="35" t="s">
        <v>25</v>
      </c>
      <c r="H634" s="35" t="s">
        <v>37</v>
      </c>
      <c r="I634" s="55">
        <v>44348</v>
      </c>
      <c r="J634" s="56">
        <f>EFEITO!$J$634*EFEITO!$Y$634</f>
        <v>0</v>
      </c>
      <c r="K634" s="56">
        <f ca="1">EFEITO!$L$634*EFEITO!$Z$634</f>
        <v>255.76541788544665</v>
      </c>
      <c r="L634" s="56">
        <f>EFEITO!$N$634*EFEITO!$AA$634</f>
        <v>79.690462177040061</v>
      </c>
      <c r="M634" s="56">
        <f>$J$634-EFEITO!$K$634*EFEITO!$Y$634</f>
        <v>0</v>
      </c>
      <c r="N634" s="56">
        <f ca="1">$K$634-EFEITO!$M$634*EFEITO!$Z$634</f>
        <v>0</v>
      </c>
      <c r="O634" s="56">
        <f>$L$634-EFEITO!$O$634*EFEITO!$AA$634</f>
        <v>0</v>
      </c>
      <c r="P634" s="39"/>
      <c r="Q634" s="39"/>
      <c r="R634" s="39"/>
      <c r="S634" s="39"/>
      <c r="T634" s="39"/>
      <c r="U634" s="39"/>
      <c r="V634" s="39"/>
      <c r="W634" s="3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21</v>
      </c>
      <c r="B635" s="35" t="s">
        <v>22</v>
      </c>
      <c r="C635" s="35" t="s">
        <v>36</v>
      </c>
      <c r="D635" s="35" t="s">
        <v>24</v>
      </c>
      <c r="E635" s="35" t="s">
        <v>24</v>
      </c>
      <c r="F635" s="35" t="s">
        <v>25</v>
      </c>
      <c r="G635" s="35" t="s">
        <v>25</v>
      </c>
      <c r="H635" s="35" t="s">
        <v>37</v>
      </c>
      <c r="I635" s="55">
        <v>44378</v>
      </c>
      <c r="J635" s="56">
        <f>EFEITO!$J$635*EFEITO!$Y$635</f>
        <v>0</v>
      </c>
      <c r="K635" s="56">
        <f ca="1">EFEITO!$L$635*EFEITO!$Z$635</f>
        <v>218.46629444381901</v>
      </c>
      <c r="L635" s="56">
        <f>EFEITO!$N$635*EFEITO!$AA$635</f>
        <v>68.068936442888386</v>
      </c>
      <c r="M635" s="56">
        <f>$J$635-EFEITO!$K$635*EFEITO!$Y$635</f>
        <v>0</v>
      </c>
      <c r="N635" s="56">
        <f ca="1">$K$635-EFEITO!$M$635*EFEITO!$Z$635</f>
        <v>0</v>
      </c>
      <c r="O635" s="56">
        <f>$L$635-EFEITO!$O$635*EFEITO!$AA$635</f>
        <v>0</v>
      </c>
      <c r="P635" s="39"/>
      <c r="Q635" s="39"/>
      <c r="R635" s="39"/>
      <c r="S635" s="39"/>
      <c r="T635" s="39"/>
      <c r="U635" s="39"/>
      <c r="V635" s="39"/>
      <c r="W635" s="3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21</v>
      </c>
      <c r="B636" s="35" t="s">
        <v>22</v>
      </c>
      <c r="C636" s="35" t="s">
        <v>36</v>
      </c>
      <c r="D636" s="35" t="s">
        <v>24</v>
      </c>
      <c r="E636" s="35" t="s">
        <v>24</v>
      </c>
      <c r="F636" s="35" t="s">
        <v>25</v>
      </c>
      <c r="G636" s="35" t="s">
        <v>25</v>
      </c>
      <c r="H636" s="35" t="s">
        <v>37</v>
      </c>
      <c r="I636" s="55">
        <v>44409</v>
      </c>
      <c r="J636" s="56">
        <f>EFEITO!$J$636*EFEITO!$Y$636</f>
        <v>0</v>
      </c>
      <c r="K636" s="56">
        <f ca="1">EFEITO!$L$636*EFEITO!$Z$636</f>
        <v>203.8130673774653</v>
      </c>
      <c r="L636" s="56">
        <f>EFEITO!$N$636*EFEITO!$AA$636</f>
        <v>63.503337047328799</v>
      </c>
      <c r="M636" s="56">
        <f>$J$636-EFEITO!$K$636*EFEITO!$Y$636</f>
        <v>0</v>
      </c>
      <c r="N636" s="56">
        <f ca="1">$K$636-EFEITO!$M$636*EFEITO!$Z$636</f>
        <v>0</v>
      </c>
      <c r="O636" s="56">
        <f>$L$636-EFEITO!$O$636*EFEITO!$AA$636</f>
        <v>0</v>
      </c>
      <c r="P636" s="39"/>
      <c r="Q636" s="39"/>
      <c r="R636" s="39"/>
      <c r="S636" s="39"/>
      <c r="T636" s="39"/>
      <c r="U636" s="39"/>
      <c r="V636" s="39"/>
      <c r="W636" s="3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21</v>
      </c>
      <c r="B637" s="35" t="s">
        <v>22</v>
      </c>
      <c r="C637" s="35" t="s">
        <v>36</v>
      </c>
      <c r="D637" s="35" t="s">
        <v>24</v>
      </c>
      <c r="E637" s="35" t="s">
        <v>24</v>
      </c>
      <c r="F637" s="35" t="s">
        <v>25</v>
      </c>
      <c r="G637" s="35" t="s">
        <v>25</v>
      </c>
      <c r="H637" s="35" t="s">
        <v>37</v>
      </c>
      <c r="I637" s="55">
        <v>44440</v>
      </c>
      <c r="J637" s="56">
        <f>EFEITO!$J$637*EFEITO!$Y$637</f>
        <v>0</v>
      </c>
      <c r="K637" s="56">
        <f ca="1">EFEITO!$L$637*EFEITO!$Z$637</f>
        <v>215.8020713408456</v>
      </c>
      <c r="L637" s="56">
        <f>EFEITO!$N$637*EFEITO!$AA$637</f>
        <v>67.238827461877548</v>
      </c>
      <c r="M637" s="56">
        <f>$J$637-EFEITO!$K$637*EFEITO!$Y$637</f>
        <v>0</v>
      </c>
      <c r="N637" s="56">
        <f ca="1">$K$637-EFEITO!$M$637*EFEITO!$Z$637</f>
        <v>0</v>
      </c>
      <c r="O637" s="56">
        <f>$L$637-EFEITO!$O$637*EFEITO!$AA$637</f>
        <v>0</v>
      </c>
      <c r="P637" s="39"/>
      <c r="Q637" s="39"/>
      <c r="R637" s="39"/>
      <c r="S637" s="39"/>
      <c r="T637" s="39"/>
      <c r="U637" s="39"/>
      <c r="V637" s="39"/>
      <c r="W637" s="3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21</v>
      </c>
      <c r="B638" s="35" t="s">
        <v>22</v>
      </c>
      <c r="C638" s="35" t="s">
        <v>36</v>
      </c>
      <c r="D638" s="35" t="s">
        <v>24</v>
      </c>
      <c r="E638" s="35" t="s">
        <v>24</v>
      </c>
      <c r="F638" s="35" t="s">
        <v>25</v>
      </c>
      <c r="G638" s="35" t="s">
        <v>25</v>
      </c>
      <c r="H638" s="35" t="s">
        <v>37</v>
      </c>
      <c r="I638" s="55">
        <v>44470</v>
      </c>
      <c r="J638" s="56">
        <f>EFEITO!$J$638*EFEITO!$Y$638</f>
        <v>0</v>
      </c>
      <c r="K638" s="56">
        <f ca="1">EFEITO!$L$638*EFEITO!$Z$638</f>
        <v>447.58948129953166</v>
      </c>
      <c r="L638" s="56">
        <f>EFEITO!$N$638*EFEITO!$AA$638</f>
        <v>139.45830880982012</v>
      </c>
      <c r="M638" s="56">
        <f>$J$638-EFEITO!$K$638*EFEITO!$Y$638</f>
        <v>0</v>
      </c>
      <c r="N638" s="56">
        <f ca="1">$K$638-EFEITO!$M$638*EFEITO!$Z$638</f>
        <v>0</v>
      </c>
      <c r="O638" s="56">
        <f>$L$638-EFEITO!$O$638*EFEITO!$AA$638</f>
        <v>0</v>
      </c>
      <c r="P638" s="39"/>
      <c r="Q638" s="39"/>
      <c r="R638" s="39"/>
      <c r="S638" s="39"/>
      <c r="T638" s="39"/>
      <c r="U638" s="39"/>
      <c r="V638" s="39"/>
      <c r="W638" s="3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21</v>
      </c>
      <c r="B639" s="35" t="s">
        <v>22</v>
      </c>
      <c r="C639" s="35" t="s">
        <v>36</v>
      </c>
      <c r="D639" s="35" t="s">
        <v>24</v>
      </c>
      <c r="E639" s="35" t="s">
        <v>24</v>
      </c>
      <c r="F639" s="35" t="s">
        <v>25</v>
      </c>
      <c r="G639" s="35" t="s">
        <v>25</v>
      </c>
      <c r="H639" s="35" t="s">
        <v>37</v>
      </c>
      <c r="I639" s="55">
        <v>44501</v>
      </c>
      <c r="J639" s="56">
        <f>EFEITO!$J$639*EFEITO!$Y$639</f>
        <v>0</v>
      </c>
      <c r="K639" s="56">
        <f ca="1">EFEITO!$L$639*EFEITO!$Z$639</f>
        <v>250.43697167949983</v>
      </c>
      <c r="L639" s="56">
        <f>EFEITO!$N$639*EFEITO!$AA$639</f>
        <v>78.030244215018399</v>
      </c>
      <c r="M639" s="56">
        <f>$J$639-EFEITO!$K$639*EFEITO!$Y$639</f>
        <v>0</v>
      </c>
      <c r="N639" s="56">
        <f ca="1">$K$639-EFEITO!$M$639*EFEITO!$Z$639</f>
        <v>0</v>
      </c>
      <c r="O639" s="56">
        <f>$L$639-EFEITO!$O$639*EFEITO!$AA$639</f>
        <v>0</v>
      </c>
      <c r="P639" s="39"/>
      <c r="Q639" s="39"/>
      <c r="R639" s="39"/>
      <c r="S639" s="39"/>
      <c r="T639" s="39"/>
      <c r="U639" s="39"/>
      <c r="V639" s="39"/>
      <c r="W639" s="3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21</v>
      </c>
      <c r="B640" s="35" t="s">
        <v>22</v>
      </c>
      <c r="C640" s="35" t="s">
        <v>36</v>
      </c>
      <c r="D640" s="35" t="s">
        <v>24</v>
      </c>
      <c r="E640" s="35" t="s">
        <v>24</v>
      </c>
      <c r="F640" s="35" t="s">
        <v>25</v>
      </c>
      <c r="G640" s="35" t="s">
        <v>25</v>
      </c>
      <c r="H640" s="35" t="s">
        <v>37</v>
      </c>
      <c r="I640" s="55">
        <v>44531</v>
      </c>
      <c r="J640" s="56">
        <f>EFEITO!$J$640*EFEITO!$Y$640</f>
        <v>0</v>
      </c>
      <c r="K640" s="56">
        <f ca="1">EFEITO!$L$640*EFEITO!$Z$640</f>
        <v>229.12318685571259</v>
      </c>
      <c r="L640" s="56">
        <f>EFEITO!$N$640*EFEITO!$AA$640</f>
        <v>71.389372366931724</v>
      </c>
      <c r="M640" s="56">
        <f>$J$640-EFEITO!$K$640*EFEITO!$Y$640</f>
        <v>0</v>
      </c>
      <c r="N640" s="56">
        <f ca="1">$K$640-EFEITO!$M$640*EFEITO!$Z$640</f>
        <v>0</v>
      </c>
      <c r="O640" s="56">
        <f>$L$640-EFEITO!$O$640*EFEITO!$AA$640</f>
        <v>0</v>
      </c>
      <c r="P640" s="39"/>
      <c r="Q640" s="39"/>
      <c r="R640" s="39"/>
      <c r="S640" s="39"/>
      <c r="T640" s="39"/>
      <c r="U640" s="39"/>
      <c r="V640" s="39"/>
      <c r="W640" s="3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21</v>
      </c>
      <c r="B641" s="35" t="s">
        <v>22</v>
      </c>
      <c r="C641" s="35" t="s">
        <v>36</v>
      </c>
      <c r="D641" s="35" t="s">
        <v>24</v>
      </c>
      <c r="E641" s="35" t="s">
        <v>24</v>
      </c>
      <c r="F641" s="35" t="s">
        <v>25</v>
      </c>
      <c r="G641" s="35" t="s">
        <v>25</v>
      </c>
      <c r="H641" s="35" t="s">
        <v>37</v>
      </c>
      <c r="I641" s="55">
        <v>44562</v>
      </c>
      <c r="J641" s="56">
        <f>EFEITO!$J$641*EFEITO!$Y$641</f>
        <v>0</v>
      </c>
      <c r="K641" s="56">
        <f ca="1">EFEITO!$L$641*EFEITO!$Z$641</f>
        <v>235.78374461314613</v>
      </c>
      <c r="L641" s="56">
        <f>EFEITO!$N$641*EFEITO!$AA$641</f>
        <v>73.464644819458798</v>
      </c>
      <c r="M641" s="56">
        <f>$J$641-EFEITO!$K$641*EFEITO!$Y$641</f>
        <v>0</v>
      </c>
      <c r="N641" s="56">
        <f ca="1">$K$641-EFEITO!$M$641*EFEITO!$Z$641</f>
        <v>0</v>
      </c>
      <c r="O641" s="56">
        <f>$L$641-EFEITO!$O$641*EFEITO!$AA$641</f>
        <v>0</v>
      </c>
      <c r="P641" s="39"/>
      <c r="Q641" s="39"/>
      <c r="R641" s="39"/>
      <c r="S641" s="39"/>
      <c r="T641" s="39"/>
      <c r="U641" s="39"/>
      <c r="V641" s="39"/>
      <c r="W641" s="3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21</v>
      </c>
      <c r="B642" s="35" t="s">
        <v>22</v>
      </c>
      <c r="C642" s="35" t="s">
        <v>36</v>
      </c>
      <c r="D642" s="35" t="s">
        <v>24</v>
      </c>
      <c r="E642" s="35" t="s">
        <v>24</v>
      </c>
      <c r="F642" s="35" t="s">
        <v>25</v>
      </c>
      <c r="G642" s="35" t="s">
        <v>25</v>
      </c>
      <c r="H642" s="35" t="s">
        <v>37</v>
      </c>
      <c r="I642" s="55">
        <v>44593</v>
      </c>
      <c r="J642" s="56">
        <f>EFEITO!$J$642*EFEITO!$Y$642</f>
        <v>0</v>
      </c>
      <c r="K642" s="56">
        <f ca="1">EFEITO!$L$642*EFEITO!$Z$642</f>
        <v>250.43697167949983</v>
      </c>
      <c r="L642" s="56">
        <f>EFEITO!$N$642*EFEITO!$AA$642</f>
        <v>78.030244215018399</v>
      </c>
      <c r="M642" s="56">
        <f>$J$642-EFEITO!$K$642*EFEITO!$Y$642</f>
        <v>0</v>
      </c>
      <c r="N642" s="56">
        <f ca="1">$K$642-EFEITO!$M$642*EFEITO!$Z$642</f>
        <v>0</v>
      </c>
      <c r="O642" s="56">
        <f>$L$642-EFEITO!$O$642*EFEITO!$AA$642</f>
        <v>0</v>
      </c>
      <c r="P642" s="39"/>
      <c r="Q642" s="39"/>
      <c r="R642" s="39"/>
      <c r="S642" s="39"/>
      <c r="T642" s="39"/>
      <c r="U642" s="39"/>
      <c r="V642" s="39"/>
      <c r="W642" s="3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21</v>
      </c>
      <c r="B643" s="35" t="s">
        <v>22</v>
      </c>
      <c r="C643" s="35" t="s">
        <v>36</v>
      </c>
      <c r="D643" s="35" t="s">
        <v>24</v>
      </c>
      <c r="E643" s="35" t="s">
        <v>24</v>
      </c>
      <c r="F643" s="35" t="s">
        <v>25</v>
      </c>
      <c r="G643" s="35" t="s">
        <v>25</v>
      </c>
      <c r="H643" s="35" t="s">
        <v>37</v>
      </c>
      <c r="I643" s="55">
        <v>44621</v>
      </c>
      <c r="J643" s="56">
        <f>EFEITO!$J$643*EFEITO!$Y$643</f>
        <v>0</v>
      </c>
      <c r="K643" s="56">
        <f ca="1">EFEITO!$L$643*EFEITO!$Z$643</f>
        <v>238.44796771611951</v>
      </c>
      <c r="L643" s="56">
        <f>EFEITO!$N$643*EFEITO!$AA$643</f>
        <v>74.294753800469636</v>
      </c>
      <c r="M643" s="56">
        <f>$J$643-EFEITO!$K$643*EFEITO!$Y$643</f>
        <v>0</v>
      </c>
      <c r="N643" s="56">
        <f ca="1">$K$643-EFEITO!$M$643*EFEITO!$Z$643</f>
        <v>0</v>
      </c>
      <c r="O643" s="56">
        <f>$L$643-EFEITO!$O$643*EFEITO!$AA$643</f>
        <v>0</v>
      </c>
      <c r="P643" s="39"/>
      <c r="Q643" s="39"/>
      <c r="R643" s="39"/>
      <c r="S643" s="39"/>
      <c r="T643" s="39"/>
      <c r="U643" s="39"/>
      <c r="V643" s="39"/>
      <c r="W643" s="3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21</v>
      </c>
      <c r="B644" s="35" t="s">
        <v>22</v>
      </c>
      <c r="C644" s="35" t="s">
        <v>36</v>
      </c>
      <c r="D644" s="35" t="s">
        <v>24</v>
      </c>
      <c r="E644" s="35" t="s">
        <v>24</v>
      </c>
      <c r="F644" s="35" t="s">
        <v>25</v>
      </c>
      <c r="G644" s="35" t="s">
        <v>25</v>
      </c>
      <c r="H644" s="35" t="s">
        <v>37</v>
      </c>
      <c r="I644" s="55">
        <v>44652</v>
      </c>
      <c r="J644" s="56">
        <f>EFEITO!$J$644*EFEITO!$Y$644</f>
        <v>0</v>
      </c>
      <c r="K644" s="56">
        <f ca="1">EFEITO!$L$644*EFEITO!$Z$644</f>
        <v>222.46262909827914</v>
      </c>
      <c r="L644" s="56">
        <f>EFEITO!$N$644*EFEITO!$AA$644</f>
        <v>69.314099914404636</v>
      </c>
      <c r="M644" s="56">
        <f>$J$644-EFEITO!$K$644*EFEITO!$Y$644</f>
        <v>0</v>
      </c>
      <c r="N644" s="56">
        <f ca="1">$K$644-EFEITO!$M$644*EFEITO!$Z$644</f>
        <v>0</v>
      </c>
      <c r="O644" s="56">
        <f>$L$644-EFEITO!$O$644*EFEITO!$AA$644</f>
        <v>0</v>
      </c>
      <c r="P644" s="39"/>
      <c r="Q644" s="39"/>
      <c r="R644" s="39"/>
      <c r="S644" s="39"/>
      <c r="T644" s="39"/>
      <c r="U644" s="39"/>
      <c r="V644" s="39"/>
      <c r="W644" s="3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21</v>
      </c>
      <c r="B645" s="35" t="s">
        <v>22</v>
      </c>
      <c r="C645" s="35" t="s">
        <v>36</v>
      </c>
      <c r="D645" s="35" t="s">
        <v>24</v>
      </c>
      <c r="E645" s="35" t="s">
        <v>24</v>
      </c>
      <c r="F645" s="35" t="s">
        <v>25</v>
      </c>
      <c r="G645" s="35" t="s">
        <v>25</v>
      </c>
      <c r="H645" s="35" t="s">
        <v>37</v>
      </c>
      <c r="I645" s="55">
        <v>44682</v>
      </c>
      <c r="J645" s="56">
        <f>EFEITO!$J$645*EFEITO!$Y$645</f>
        <v>0</v>
      </c>
      <c r="K645" s="56">
        <f ca="1">EFEITO!$L$645*EFEITO!$Z$645</f>
        <v>187.82772875962488</v>
      </c>
      <c r="L645" s="56">
        <f>EFEITO!$N$645*EFEITO!$AA$645</f>
        <v>58.522683161263792</v>
      </c>
      <c r="M645" s="56">
        <f>$J$645-EFEITO!$K$645*EFEITO!$Y$645</f>
        <v>0</v>
      </c>
      <c r="N645" s="56">
        <f ca="1">$K$645-EFEITO!$M$645*EFEITO!$Z$645</f>
        <v>0</v>
      </c>
      <c r="O645" s="56">
        <f>$L$645-EFEITO!$O$645*EFEITO!$AA$645</f>
        <v>0</v>
      </c>
      <c r="P645" s="39"/>
      <c r="Q645" s="39"/>
      <c r="R645" s="39"/>
      <c r="S645" s="39"/>
      <c r="T645" s="39"/>
      <c r="U645" s="39"/>
      <c r="V645" s="39"/>
      <c r="W645" s="3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21</v>
      </c>
      <c r="B646" s="35" t="s">
        <v>22</v>
      </c>
      <c r="C646" s="35" t="s">
        <v>23</v>
      </c>
      <c r="D646" s="35" t="s">
        <v>24</v>
      </c>
      <c r="E646" s="35" t="s">
        <v>24</v>
      </c>
      <c r="F646" s="35" t="s">
        <v>25</v>
      </c>
      <c r="G646" s="35" t="s">
        <v>25</v>
      </c>
      <c r="H646" s="35" t="s">
        <v>25</v>
      </c>
      <c r="I646" s="55">
        <v>44348</v>
      </c>
      <c r="J646" s="56">
        <f>EFEITO!$J$646*EFEITO!$Y$646</f>
        <v>0</v>
      </c>
      <c r="K646" s="56">
        <f ca="1">EFEITO!$L$646*EFEITO!$Z$646</f>
        <v>2555854.8051910195</v>
      </c>
      <c r="L646" s="56">
        <f>EFEITO!$N$646*EFEITO!$AA$646</f>
        <v>1918106.8904176224</v>
      </c>
      <c r="M646" s="56">
        <f>$J$646-EFEITO!$K$646*EFEITO!$Y$646</f>
        <v>0</v>
      </c>
      <c r="N646" s="56">
        <f ca="1">$K$646-EFEITO!$M$646*EFEITO!$Z$646</f>
        <v>0</v>
      </c>
      <c r="O646" s="56">
        <f>$L$646-EFEITO!$O$646*EFEITO!$AA$646</f>
        <v>0</v>
      </c>
      <c r="P646" s="39"/>
      <c r="Q646" s="39"/>
      <c r="R646" s="39"/>
      <c r="S646" s="39"/>
      <c r="T646" s="39"/>
      <c r="U646" s="39"/>
      <c r="V646" s="39"/>
      <c r="W646" s="3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27</v>
      </c>
      <c r="B647" s="35" t="s">
        <v>22</v>
      </c>
      <c r="C647" s="35" t="s">
        <v>23</v>
      </c>
      <c r="D647" s="35" t="s">
        <v>24</v>
      </c>
      <c r="E647" s="35" t="s">
        <v>24</v>
      </c>
      <c r="F647" s="35" t="s">
        <v>25</v>
      </c>
      <c r="G647" s="35" t="s">
        <v>25</v>
      </c>
      <c r="H647" s="35" t="s">
        <v>25</v>
      </c>
      <c r="I647" s="55">
        <v>44348</v>
      </c>
      <c r="J647" s="56">
        <f>EFEITO!$J$647*EFEITO!$Y$647</f>
        <v>0</v>
      </c>
      <c r="K647" s="56">
        <f ca="1">EFEITO!$L$647*EFEITO!$Z$647</f>
        <v>-4204.8580289382398</v>
      </c>
      <c r="L647" s="56">
        <f>EFEITO!$N$647*EFEITO!$AA$647</f>
        <v>-3155.6437173791296</v>
      </c>
      <c r="M647" s="56">
        <f>$J$647-EFEITO!$K$647*EFEITO!$Y$647</f>
        <v>0</v>
      </c>
      <c r="N647" s="56">
        <f ca="1">$K$647-EFEITO!$M$647*EFEITO!$Z$647</f>
        <v>0</v>
      </c>
      <c r="O647" s="56">
        <f>$L$647-EFEITO!$O$647*EFEITO!$AA$647</f>
        <v>0</v>
      </c>
      <c r="P647" s="39"/>
      <c r="Q647" s="39"/>
      <c r="R647" s="39"/>
      <c r="S647" s="39"/>
      <c r="T647" s="39"/>
      <c r="U647" s="39"/>
      <c r="V647" s="39"/>
      <c r="W647" s="3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28</v>
      </c>
      <c r="B648" s="35" t="s">
        <v>22</v>
      </c>
      <c r="C648" s="35" t="s">
        <v>23</v>
      </c>
      <c r="D648" s="35" t="s">
        <v>24</v>
      </c>
      <c r="E648" s="35" t="s">
        <v>24</v>
      </c>
      <c r="F648" s="35" t="s">
        <v>25</v>
      </c>
      <c r="G648" s="35" t="s">
        <v>25</v>
      </c>
      <c r="H648" s="35" t="s">
        <v>25</v>
      </c>
      <c r="I648" s="55">
        <v>44348</v>
      </c>
      <c r="J648" s="56">
        <f>EFEITO!$J$648*EFEITO!$Y$648</f>
        <v>0</v>
      </c>
      <c r="K648" s="56">
        <f ca="1">EFEITO!$L$648*EFEITO!$Z$648</f>
        <v>7875.0466102313167</v>
      </c>
      <c r="L648" s="56">
        <f>EFEITO!$N$648*EFEITO!$AA$648</f>
        <v>5910.0310137984143</v>
      </c>
      <c r="M648" s="56">
        <f>$J$648-EFEITO!$K$648*EFEITO!$Y$648</f>
        <v>0</v>
      </c>
      <c r="N648" s="56">
        <f ca="1">$K$648-EFEITO!$M$648*EFEITO!$Z$648</f>
        <v>0</v>
      </c>
      <c r="O648" s="56">
        <f>$L$648-EFEITO!$O$648*EFEITO!$AA$648</f>
        <v>0</v>
      </c>
      <c r="P648" s="39"/>
      <c r="Q648" s="39"/>
      <c r="R648" s="39"/>
      <c r="S648" s="39"/>
      <c r="T648" s="39"/>
      <c r="U648" s="39"/>
      <c r="V648" s="39"/>
      <c r="W648" s="3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21</v>
      </c>
      <c r="B649" s="35" t="s">
        <v>22</v>
      </c>
      <c r="C649" s="35" t="s">
        <v>23</v>
      </c>
      <c r="D649" s="35" t="s">
        <v>24</v>
      </c>
      <c r="E649" s="35" t="s">
        <v>24</v>
      </c>
      <c r="F649" s="35" t="s">
        <v>25</v>
      </c>
      <c r="G649" s="35" t="s">
        <v>25</v>
      </c>
      <c r="H649" s="35" t="s">
        <v>25</v>
      </c>
      <c r="I649" s="55">
        <v>44378</v>
      </c>
      <c r="J649" s="56">
        <f>EFEITO!$J$649*EFEITO!$Y$649</f>
        <v>0</v>
      </c>
      <c r="K649" s="56">
        <f ca="1">EFEITO!$L$649*EFEITO!$Z$649</f>
        <v>2662301.8736568745</v>
      </c>
      <c r="L649" s="56">
        <f>EFEITO!$N$649*EFEITO!$AA$649</f>
        <v>1997992.8272378298</v>
      </c>
      <c r="M649" s="56">
        <f>$J$649-EFEITO!$K$649*EFEITO!$Y$649</f>
        <v>0</v>
      </c>
      <c r="N649" s="56">
        <f ca="1">$K$649-EFEITO!$M$649*EFEITO!$Z$649</f>
        <v>0</v>
      </c>
      <c r="O649" s="56">
        <f>$L$649-EFEITO!$O$649*EFEITO!$AA$649</f>
        <v>0</v>
      </c>
      <c r="P649" s="39"/>
      <c r="Q649" s="39"/>
      <c r="R649" s="39"/>
      <c r="S649" s="39"/>
      <c r="T649" s="39"/>
      <c r="U649" s="39"/>
      <c r="V649" s="39"/>
      <c r="W649" s="3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27</v>
      </c>
      <c r="B650" s="35" t="s">
        <v>22</v>
      </c>
      <c r="C650" s="35" t="s">
        <v>23</v>
      </c>
      <c r="D650" s="35" t="s">
        <v>24</v>
      </c>
      <c r="E650" s="35" t="s">
        <v>24</v>
      </c>
      <c r="F650" s="35" t="s">
        <v>25</v>
      </c>
      <c r="G650" s="35" t="s">
        <v>25</v>
      </c>
      <c r="H650" s="35" t="s">
        <v>25</v>
      </c>
      <c r="I650" s="55">
        <v>44378</v>
      </c>
      <c r="J650" s="56">
        <f>EFEITO!$J$650*EFEITO!$Y$650</f>
        <v>0</v>
      </c>
      <c r="K650" s="56">
        <f ca="1">EFEITO!$L$650*EFEITO!$Z$650</f>
        <v>-39423.443923384919</v>
      </c>
      <c r="L650" s="56">
        <f>EFEITO!$N$650*EFEITO!$AA$650</f>
        <v>-29586.336156441328</v>
      </c>
      <c r="M650" s="56">
        <f>$J$650-EFEITO!$K$650*EFEITO!$Y$650</f>
        <v>0</v>
      </c>
      <c r="N650" s="56">
        <f ca="1">$K$650-EFEITO!$M$650*EFEITO!$Z$650</f>
        <v>0</v>
      </c>
      <c r="O650" s="56">
        <f>$L$650-EFEITO!$O$650*EFEITO!$AA$650</f>
        <v>0</v>
      </c>
      <c r="P650" s="39"/>
      <c r="Q650" s="39"/>
      <c r="R650" s="39"/>
      <c r="S650" s="39"/>
      <c r="T650" s="39"/>
      <c r="U650" s="39"/>
      <c r="V650" s="39"/>
      <c r="W650" s="3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28</v>
      </c>
      <c r="B651" s="35" t="s">
        <v>22</v>
      </c>
      <c r="C651" s="35" t="s">
        <v>23</v>
      </c>
      <c r="D651" s="35" t="s">
        <v>24</v>
      </c>
      <c r="E651" s="35" t="s">
        <v>24</v>
      </c>
      <c r="F651" s="35" t="s">
        <v>25</v>
      </c>
      <c r="G651" s="35" t="s">
        <v>25</v>
      </c>
      <c r="H651" s="35" t="s">
        <v>25</v>
      </c>
      <c r="I651" s="55">
        <v>44378</v>
      </c>
      <c r="J651" s="56">
        <f>EFEITO!$J$651*EFEITO!$Y$651</f>
        <v>0</v>
      </c>
      <c r="K651" s="56">
        <f ca="1">EFEITO!$L$651*EFEITO!$Z$651</f>
        <v>9773.7575029536001</v>
      </c>
      <c r="L651" s="56">
        <f>EFEITO!$N$651*EFEITO!$AA$651</f>
        <v>7334.9673751459895</v>
      </c>
      <c r="M651" s="56">
        <f>$J$651-EFEITO!$K$651*EFEITO!$Y$651</f>
        <v>0</v>
      </c>
      <c r="N651" s="56">
        <f ca="1">$K$651-EFEITO!$M$651*EFEITO!$Z$651</f>
        <v>0</v>
      </c>
      <c r="O651" s="56">
        <f>$L$651-EFEITO!$O$651*EFEITO!$AA$651</f>
        <v>0</v>
      </c>
      <c r="P651" s="39"/>
      <c r="Q651" s="39"/>
      <c r="R651" s="39"/>
      <c r="S651" s="39"/>
      <c r="T651" s="39"/>
      <c r="U651" s="39"/>
      <c r="V651" s="39"/>
      <c r="W651" s="3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21</v>
      </c>
      <c r="B652" s="35" t="s">
        <v>22</v>
      </c>
      <c r="C652" s="35" t="s">
        <v>23</v>
      </c>
      <c r="D652" s="35" t="s">
        <v>24</v>
      </c>
      <c r="E652" s="35" t="s">
        <v>24</v>
      </c>
      <c r="F652" s="35" t="s">
        <v>25</v>
      </c>
      <c r="G652" s="35" t="s">
        <v>25</v>
      </c>
      <c r="H652" s="35" t="s">
        <v>25</v>
      </c>
      <c r="I652" s="55">
        <v>44409</v>
      </c>
      <c r="J652" s="56">
        <f>EFEITO!$J$652*EFEITO!$Y$652</f>
        <v>0</v>
      </c>
      <c r="K652" s="56">
        <f ca="1">EFEITO!$L$652*EFEITO!$Z$652</f>
        <v>2696452.9330948363</v>
      </c>
      <c r="L652" s="56">
        <f>EFEITO!$N$652*EFEITO!$AA$652</f>
        <v>2023622.3670262296</v>
      </c>
      <c r="M652" s="56">
        <f>$J$652-EFEITO!$K$652*EFEITO!$Y$652</f>
        <v>0</v>
      </c>
      <c r="N652" s="56">
        <f ca="1">$K$652-EFEITO!$M$652*EFEITO!$Z$652</f>
        <v>0</v>
      </c>
      <c r="O652" s="56">
        <f>$L$652-EFEITO!$O$652*EFEITO!$AA$652</f>
        <v>0</v>
      </c>
      <c r="P652" s="39"/>
      <c r="Q652" s="39"/>
      <c r="R652" s="39"/>
      <c r="S652" s="39"/>
      <c r="T652" s="39"/>
      <c r="U652" s="39"/>
      <c r="V652" s="39"/>
      <c r="W652" s="3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27</v>
      </c>
      <c r="B653" s="35" t="s">
        <v>22</v>
      </c>
      <c r="C653" s="35" t="s">
        <v>23</v>
      </c>
      <c r="D653" s="35" t="s">
        <v>24</v>
      </c>
      <c r="E653" s="35" t="s">
        <v>24</v>
      </c>
      <c r="F653" s="35" t="s">
        <v>25</v>
      </c>
      <c r="G653" s="35" t="s">
        <v>25</v>
      </c>
      <c r="H653" s="35" t="s">
        <v>25</v>
      </c>
      <c r="I653" s="55">
        <v>44409</v>
      </c>
      <c r="J653" s="56">
        <f>EFEITO!$J$653*EFEITO!$Y$653</f>
        <v>0</v>
      </c>
      <c r="K653" s="56">
        <f ca="1">EFEITO!$L$653*EFEITO!$Z$653</f>
        <v>-69049.56863934375</v>
      </c>
      <c r="L653" s="56">
        <f>EFEITO!$N$653*EFEITO!$AA$653</f>
        <v>-51820.022451389283</v>
      </c>
      <c r="M653" s="56">
        <f>$J$653-EFEITO!$K$653*EFEITO!$Y$653</f>
        <v>0</v>
      </c>
      <c r="N653" s="56">
        <f ca="1">$K$653-EFEITO!$M$653*EFEITO!$Z$653</f>
        <v>0</v>
      </c>
      <c r="O653" s="56">
        <f>$L$653-EFEITO!$O$653*EFEITO!$AA$653</f>
        <v>0</v>
      </c>
      <c r="P653" s="39"/>
      <c r="Q653" s="39"/>
      <c r="R653" s="39"/>
      <c r="S653" s="39"/>
      <c r="T653" s="39"/>
      <c r="U653" s="39"/>
      <c r="V653" s="39"/>
      <c r="W653" s="3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28</v>
      </c>
      <c r="B654" s="35" t="s">
        <v>22</v>
      </c>
      <c r="C654" s="35" t="s">
        <v>23</v>
      </c>
      <c r="D654" s="35" t="s">
        <v>24</v>
      </c>
      <c r="E654" s="35" t="s">
        <v>24</v>
      </c>
      <c r="F654" s="35" t="s">
        <v>25</v>
      </c>
      <c r="G654" s="35" t="s">
        <v>25</v>
      </c>
      <c r="H654" s="35" t="s">
        <v>25</v>
      </c>
      <c r="I654" s="55">
        <v>44409</v>
      </c>
      <c r="J654" s="56">
        <f>EFEITO!$J$654*EFEITO!$Y$654</f>
        <v>0</v>
      </c>
      <c r="K654" s="56">
        <f ca="1">EFEITO!$L$654*EFEITO!$Z$654</f>
        <v>8833.8267383814582</v>
      </c>
      <c r="L654" s="56">
        <f>EFEITO!$N$654*EFEITO!$AA$654</f>
        <v>6629.5721890111554</v>
      </c>
      <c r="M654" s="56">
        <f>$J$654-EFEITO!$K$654*EFEITO!$Y$654</f>
        <v>0</v>
      </c>
      <c r="N654" s="56">
        <f ca="1">$K$654-EFEITO!$M$654*EFEITO!$Z$654</f>
        <v>0</v>
      </c>
      <c r="O654" s="56">
        <f>$L$654-EFEITO!$O$654*EFEITO!$AA$654</f>
        <v>0</v>
      </c>
      <c r="P654" s="39"/>
      <c r="Q654" s="39"/>
      <c r="R654" s="39"/>
      <c r="S654" s="39"/>
      <c r="T654" s="39"/>
      <c r="U654" s="39"/>
      <c r="V654" s="39"/>
      <c r="W654" s="3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21</v>
      </c>
      <c r="B655" s="35" t="s">
        <v>22</v>
      </c>
      <c r="C655" s="35" t="s">
        <v>23</v>
      </c>
      <c r="D655" s="35" t="s">
        <v>24</v>
      </c>
      <c r="E655" s="35" t="s">
        <v>24</v>
      </c>
      <c r="F655" s="35" t="s">
        <v>25</v>
      </c>
      <c r="G655" s="35" t="s">
        <v>25</v>
      </c>
      <c r="H655" s="35" t="s">
        <v>25</v>
      </c>
      <c r="I655" s="55">
        <v>44440</v>
      </c>
      <c r="J655" s="56">
        <f>EFEITO!$J$655*EFEITO!$Y$655</f>
        <v>0</v>
      </c>
      <c r="K655" s="56">
        <f ca="1">EFEITO!$L$655*EFEITO!$Z$655</f>
        <v>2510782.3519984125</v>
      </c>
      <c r="L655" s="56">
        <f>EFEITO!$N$655*EFEITO!$AA$655</f>
        <v>1884281.1101498331</v>
      </c>
      <c r="M655" s="56">
        <f>$J$655-EFEITO!$K$655*EFEITO!$Y$655</f>
        <v>0</v>
      </c>
      <c r="N655" s="56">
        <f ca="1">$K$655-EFEITO!$M$655*EFEITO!$Z$655</f>
        <v>0</v>
      </c>
      <c r="O655" s="56">
        <f>$L$655-EFEITO!$O$655*EFEITO!$AA$655</f>
        <v>0</v>
      </c>
      <c r="P655" s="39"/>
      <c r="Q655" s="39"/>
      <c r="R655" s="39"/>
      <c r="S655" s="39"/>
      <c r="T655" s="39"/>
      <c r="U655" s="39"/>
      <c r="V655" s="39"/>
      <c r="W655" s="3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27</v>
      </c>
      <c r="B656" s="35" t="s">
        <v>22</v>
      </c>
      <c r="C656" s="35" t="s">
        <v>23</v>
      </c>
      <c r="D656" s="35" t="s">
        <v>24</v>
      </c>
      <c r="E656" s="35" t="s">
        <v>24</v>
      </c>
      <c r="F656" s="35" t="s">
        <v>25</v>
      </c>
      <c r="G656" s="35" t="s">
        <v>25</v>
      </c>
      <c r="H656" s="35" t="s">
        <v>25</v>
      </c>
      <c r="I656" s="55">
        <v>44440</v>
      </c>
      <c r="J656" s="56">
        <f>EFEITO!$J$656*EFEITO!$Y$656</f>
        <v>0</v>
      </c>
      <c r="K656" s="56">
        <f ca="1">EFEITO!$L$656*EFEITO!$Z$656</f>
        <v>-2726.6329391097793</v>
      </c>
      <c r="L656" s="56">
        <f>EFEITO!$N$656*EFEITO!$AA$656</f>
        <v>-2046.2717277694669</v>
      </c>
      <c r="M656" s="56">
        <f>$J$656-EFEITO!$K$656*EFEITO!$Y$656</f>
        <v>0</v>
      </c>
      <c r="N656" s="56">
        <f ca="1">$K$656-EFEITO!$M$656*EFEITO!$Z$656</f>
        <v>0</v>
      </c>
      <c r="O656" s="56">
        <f>$L$656-EFEITO!$O$656*EFEITO!$AA$656</f>
        <v>0</v>
      </c>
      <c r="P656" s="39"/>
      <c r="Q656" s="39"/>
      <c r="R656" s="39"/>
      <c r="S656" s="39"/>
      <c r="T656" s="39"/>
      <c r="U656" s="39"/>
      <c r="V656" s="39"/>
      <c r="W656" s="3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28</v>
      </c>
      <c r="B657" s="35" t="s">
        <v>22</v>
      </c>
      <c r="C657" s="35" t="s">
        <v>23</v>
      </c>
      <c r="D657" s="35" t="s">
        <v>24</v>
      </c>
      <c r="E657" s="35" t="s">
        <v>24</v>
      </c>
      <c r="F657" s="35" t="s">
        <v>25</v>
      </c>
      <c r="G657" s="35" t="s">
        <v>25</v>
      </c>
      <c r="H657" s="35" t="s">
        <v>25</v>
      </c>
      <c r="I657" s="55">
        <v>44440</v>
      </c>
      <c r="J657" s="56">
        <f>EFEITO!$J$657*EFEITO!$Y$657</f>
        <v>0</v>
      </c>
      <c r="K657" s="56">
        <f ca="1">EFEITO!$L$657*EFEITO!$Z$657</f>
        <v>9688.2103913303745</v>
      </c>
      <c r="L657" s="56">
        <f>EFEITO!$N$657*EFEITO!$AA$657</f>
        <v>7270.7663477924143</v>
      </c>
      <c r="M657" s="56">
        <f>$J$657-EFEITO!$K$657*EFEITO!$Y$657</f>
        <v>0</v>
      </c>
      <c r="N657" s="56">
        <f ca="1">$K$657-EFEITO!$M$657*EFEITO!$Z$657</f>
        <v>0</v>
      </c>
      <c r="O657" s="56">
        <f>$L$657-EFEITO!$O$657*EFEITO!$AA$657</f>
        <v>0</v>
      </c>
      <c r="P657" s="39"/>
      <c r="Q657" s="39"/>
      <c r="R657" s="39"/>
      <c r="S657" s="39"/>
      <c r="T657" s="39"/>
      <c r="U657" s="39"/>
      <c r="V657" s="39"/>
      <c r="W657" s="3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21</v>
      </c>
      <c r="B658" s="35" t="s">
        <v>22</v>
      </c>
      <c r="C658" s="35" t="s">
        <v>23</v>
      </c>
      <c r="D658" s="35" t="s">
        <v>24</v>
      </c>
      <c r="E658" s="35" t="s">
        <v>24</v>
      </c>
      <c r="F658" s="35" t="s">
        <v>25</v>
      </c>
      <c r="G658" s="35" t="s">
        <v>25</v>
      </c>
      <c r="H658" s="35" t="s">
        <v>25</v>
      </c>
      <c r="I658" s="55">
        <v>44470</v>
      </c>
      <c r="J658" s="56">
        <f>EFEITO!$J$658*EFEITO!$Y$658</f>
        <v>0</v>
      </c>
      <c r="K658" s="56">
        <f ca="1">EFEITO!$L$658*EFEITO!$Z$658</f>
        <v>2514927.762034528</v>
      </c>
      <c r="L658" s="56">
        <f>EFEITO!$N$658*EFEITO!$AA$658</f>
        <v>1887392.1395939668</v>
      </c>
      <c r="M658" s="56">
        <f>$J$658-EFEITO!$K$658*EFEITO!$Y$658</f>
        <v>0</v>
      </c>
      <c r="N658" s="56">
        <f ca="1">$K$658-EFEITO!$M$658*EFEITO!$Z$658</f>
        <v>0</v>
      </c>
      <c r="O658" s="56">
        <f>$L$658-EFEITO!$O$658*EFEITO!$AA$658</f>
        <v>0</v>
      </c>
      <c r="P658" s="39"/>
      <c r="Q658" s="39"/>
      <c r="R658" s="39"/>
      <c r="S658" s="39"/>
      <c r="T658" s="39"/>
      <c r="U658" s="39"/>
      <c r="V658" s="39"/>
      <c r="W658" s="3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27</v>
      </c>
      <c r="B659" s="35" t="s">
        <v>22</v>
      </c>
      <c r="C659" s="35" t="s">
        <v>23</v>
      </c>
      <c r="D659" s="35" t="s">
        <v>24</v>
      </c>
      <c r="E659" s="35" t="s">
        <v>24</v>
      </c>
      <c r="F659" s="35" t="s">
        <v>25</v>
      </c>
      <c r="G659" s="35" t="s">
        <v>25</v>
      </c>
      <c r="H659" s="35" t="s">
        <v>25</v>
      </c>
      <c r="I659" s="55">
        <v>44470</v>
      </c>
      <c r="J659" s="56">
        <f>EFEITO!$J$659*EFEITO!$Y$659</f>
        <v>0</v>
      </c>
      <c r="K659" s="56">
        <f ca="1">EFEITO!$L$659*EFEITO!$Z$659</f>
        <v>-2368.8575188889135</v>
      </c>
      <c r="L659" s="56">
        <f>EFEITO!$N$659*EFEITO!$AA$659</f>
        <v>-1777.7699735407425</v>
      </c>
      <c r="M659" s="56">
        <f>$J$659-EFEITO!$K$659*EFEITO!$Y$659</f>
        <v>0</v>
      </c>
      <c r="N659" s="56">
        <f ca="1">$K$659-EFEITO!$M$659*EFEITO!$Z$659</f>
        <v>0</v>
      </c>
      <c r="O659" s="56">
        <f>$L$659-EFEITO!$O$659*EFEITO!$AA$659</f>
        <v>0</v>
      </c>
      <c r="P659" s="39"/>
      <c r="Q659" s="39"/>
      <c r="R659" s="39"/>
      <c r="S659" s="39"/>
      <c r="T659" s="39"/>
      <c r="U659" s="39"/>
      <c r="V659" s="39"/>
      <c r="W659" s="3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28</v>
      </c>
      <c r="B660" s="35" t="s">
        <v>22</v>
      </c>
      <c r="C660" s="35" t="s">
        <v>23</v>
      </c>
      <c r="D660" s="35" t="s">
        <v>24</v>
      </c>
      <c r="E660" s="35" t="s">
        <v>24</v>
      </c>
      <c r="F660" s="35" t="s">
        <v>25</v>
      </c>
      <c r="G660" s="35" t="s">
        <v>25</v>
      </c>
      <c r="H660" s="35" t="s">
        <v>25</v>
      </c>
      <c r="I660" s="55">
        <v>44470</v>
      </c>
      <c r="J660" s="56">
        <f>EFEITO!$J$660*EFEITO!$Y$660</f>
        <v>0</v>
      </c>
      <c r="K660" s="56">
        <f ca="1">EFEITO!$L$660*EFEITO!$Z$660</f>
        <v>9028.8451538615245</v>
      </c>
      <c r="L660" s="56">
        <f>EFEITO!$N$660*EFEITO!$AA$660</f>
        <v>6775.928768317187</v>
      </c>
      <c r="M660" s="56">
        <f>$J$660-EFEITO!$K$660*EFEITO!$Y$660</f>
        <v>0</v>
      </c>
      <c r="N660" s="56">
        <f ca="1">$K$660-EFEITO!$M$660*EFEITO!$Z$660</f>
        <v>0</v>
      </c>
      <c r="O660" s="56">
        <f>$L$660-EFEITO!$O$660*EFEITO!$AA$660</f>
        <v>0</v>
      </c>
      <c r="P660" s="39"/>
      <c r="Q660" s="39"/>
      <c r="R660" s="39"/>
      <c r="S660" s="39"/>
      <c r="T660" s="39"/>
      <c r="U660" s="39"/>
      <c r="V660" s="39"/>
      <c r="W660" s="3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21</v>
      </c>
      <c r="B661" s="35" t="s">
        <v>22</v>
      </c>
      <c r="C661" s="35" t="s">
        <v>23</v>
      </c>
      <c r="D661" s="35" t="s">
        <v>24</v>
      </c>
      <c r="E661" s="35" t="s">
        <v>24</v>
      </c>
      <c r="F661" s="35" t="s">
        <v>25</v>
      </c>
      <c r="G661" s="35" t="s">
        <v>25</v>
      </c>
      <c r="H661" s="35" t="s">
        <v>25</v>
      </c>
      <c r="I661" s="55">
        <v>44501</v>
      </c>
      <c r="J661" s="56">
        <f>EFEITO!$J$661*EFEITO!$Y$661</f>
        <v>0</v>
      </c>
      <c r="K661" s="56">
        <f ca="1">EFEITO!$L$661*EFEITO!$Z$661</f>
        <v>2492651.0766751836</v>
      </c>
      <c r="L661" s="56">
        <f>EFEITO!$N$661*EFEITO!$AA$661</f>
        <v>1870674.0288481447</v>
      </c>
      <c r="M661" s="56">
        <f>$J$661-EFEITO!$K$661*EFEITO!$Y$661</f>
        <v>0</v>
      </c>
      <c r="N661" s="56">
        <f ca="1">$K$661-EFEITO!$M$661*EFEITO!$Z$661</f>
        <v>0</v>
      </c>
      <c r="O661" s="56">
        <f>$L$661-EFEITO!$O$661*EFEITO!$AA$661</f>
        <v>0</v>
      </c>
      <c r="P661" s="39"/>
      <c r="Q661" s="39"/>
      <c r="R661" s="39"/>
      <c r="S661" s="39"/>
      <c r="T661" s="39"/>
      <c r="U661" s="39"/>
      <c r="V661" s="39"/>
      <c r="W661" s="3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27</v>
      </c>
      <c r="B662" s="35" t="s">
        <v>22</v>
      </c>
      <c r="C662" s="35" t="s">
        <v>23</v>
      </c>
      <c r="D662" s="35" t="s">
        <v>24</v>
      </c>
      <c r="E662" s="35" t="s">
        <v>24</v>
      </c>
      <c r="F662" s="35" t="s">
        <v>25</v>
      </c>
      <c r="G662" s="35" t="s">
        <v>25</v>
      </c>
      <c r="H662" s="35" t="s">
        <v>25</v>
      </c>
      <c r="I662" s="55">
        <v>44501</v>
      </c>
      <c r="J662" s="56">
        <f>EFEITO!$J$662*EFEITO!$Y$662</f>
        <v>0</v>
      </c>
      <c r="K662" s="56">
        <f ca="1">EFEITO!$L$662*EFEITO!$Z$662</f>
        <v>-2301.7972830825711</v>
      </c>
      <c r="L662" s="56">
        <f>EFEITO!$N$662*EFEITO!$AA$662</f>
        <v>-1727.4428970135752</v>
      </c>
      <c r="M662" s="56">
        <f>$J$662-EFEITO!$K$662*EFEITO!$Y$662</f>
        <v>0</v>
      </c>
      <c r="N662" s="56">
        <f ca="1">$K$662-EFEITO!$M$662*EFEITO!$Z$662</f>
        <v>0</v>
      </c>
      <c r="O662" s="56">
        <f>$L$662-EFEITO!$O$662*EFEITO!$AA$662</f>
        <v>0</v>
      </c>
      <c r="P662" s="39"/>
      <c r="Q662" s="39"/>
      <c r="R662" s="39"/>
      <c r="S662" s="39"/>
      <c r="T662" s="39"/>
      <c r="U662" s="39"/>
      <c r="V662" s="39"/>
      <c r="W662" s="3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28</v>
      </c>
      <c r="B663" s="35" t="s">
        <v>22</v>
      </c>
      <c r="C663" s="35" t="s">
        <v>23</v>
      </c>
      <c r="D663" s="35" t="s">
        <v>24</v>
      </c>
      <c r="E663" s="35" t="s">
        <v>24</v>
      </c>
      <c r="F663" s="35" t="s">
        <v>25</v>
      </c>
      <c r="G663" s="35" t="s">
        <v>25</v>
      </c>
      <c r="H663" s="35" t="s">
        <v>25</v>
      </c>
      <c r="I663" s="55">
        <v>44501</v>
      </c>
      <c r="J663" s="56">
        <f>EFEITO!$J$663*EFEITO!$Y$663</f>
        <v>0</v>
      </c>
      <c r="K663" s="56">
        <f ca="1">EFEITO!$L$663*EFEITO!$Z$663</f>
        <v>7800.7366192026657</v>
      </c>
      <c r="L663" s="56">
        <f>EFEITO!$N$663*EFEITO!$AA$663</f>
        <v>5854.2631722412825</v>
      </c>
      <c r="M663" s="56">
        <f>$J$663-EFEITO!$K$663*EFEITO!$Y$663</f>
        <v>0</v>
      </c>
      <c r="N663" s="56">
        <f ca="1">$K$663-EFEITO!$M$663*EFEITO!$Z$663</f>
        <v>0</v>
      </c>
      <c r="O663" s="56">
        <f>$L$663-EFEITO!$O$663*EFEITO!$AA$663</f>
        <v>0</v>
      </c>
      <c r="P663" s="39"/>
      <c r="Q663" s="39"/>
      <c r="R663" s="39"/>
      <c r="S663" s="39"/>
      <c r="T663" s="39"/>
      <c r="U663" s="39"/>
      <c r="V663" s="39"/>
      <c r="W663" s="3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21</v>
      </c>
      <c r="B664" s="35" t="s">
        <v>22</v>
      </c>
      <c r="C664" s="35" t="s">
        <v>23</v>
      </c>
      <c r="D664" s="35" t="s">
        <v>24</v>
      </c>
      <c r="E664" s="35" t="s">
        <v>24</v>
      </c>
      <c r="F664" s="35" t="s">
        <v>25</v>
      </c>
      <c r="G664" s="35" t="s">
        <v>25</v>
      </c>
      <c r="H664" s="35" t="s">
        <v>25</v>
      </c>
      <c r="I664" s="55">
        <v>44531</v>
      </c>
      <c r="J664" s="56">
        <f>EFEITO!$J$664*EFEITO!$Y$664</f>
        <v>0</v>
      </c>
      <c r="K664" s="56">
        <f ca="1">EFEITO!$L$664*EFEITO!$Z$664</f>
        <v>2485293.3001000634</v>
      </c>
      <c r="L664" s="56">
        <f>EFEITO!$N$664*EFEITO!$AA$664</f>
        <v>1865152.1964192342</v>
      </c>
      <c r="M664" s="56">
        <f>$J$664-EFEITO!$K$664*EFEITO!$Y$664</f>
        <v>0</v>
      </c>
      <c r="N664" s="56">
        <f ca="1">$K$664-EFEITO!$M$664*EFEITO!$Z$664</f>
        <v>0</v>
      </c>
      <c r="O664" s="56">
        <f>$L$664-EFEITO!$O$664*EFEITO!$AA$664</f>
        <v>0</v>
      </c>
      <c r="P664" s="39"/>
      <c r="Q664" s="39"/>
      <c r="R664" s="39"/>
      <c r="S664" s="39"/>
      <c r="T664" s="39"/>
      <c r="U664" s="39"/>
      <c r="V664" s="39"/>
      <c r="W664" s="3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27</v>
      </c>
      <c r="B665" s="35" t="s">
        <v>22</v>
      </c>
      <c r="C665" s="35" t="s">
        <v>23</v>
      </c>
      <c r="D665" s="35" t="s">
        <v>24</v>
      </c>
      <c r="E665" s="35" t="s">
        <v>24</v>
      </c>
      <c r="F665" s="35" t="s">
        <v>25</v>
      </c>
      <c r="G665" s="35" t="s">
        <v>25</v>
      </c>
      <c r="H665" s="35" t="s">
        <v>25</v>
      </c>
      <c r="I665" s="55">
        <v>44531</v>
      </c>
      <c r="J665" s="56">
        <f>EFEITO!$J$665*EFEITO!$Y$665</f>
        <v>0</v>
      </c>
      <c r="K665" s="56">
        <f ca="1">EFEITO!$L$665*EFEITO!$Z$665</f>
        <v>-1768.9402742429836</v>
      </c>
      <c r="L665" s="56">
        <f>EFEITO!$N$665*EFEITO!$AA$665</f>
        <v>-1327.5466673112201</v>
      </c>
      <c r="M665" s="56">
        <f>$J$665-EFEITO!$K$665*EFEITO!$Y$665</f>
        <v>0</v>
      </c>
      <c r="N665" s="56">
        <f ca="1">$K$665-EFEITO!$M$665*EFEITO!$Z$665</f>
        <v>0</v>
      </c>
      <c r="O665" s="56">
        <f>$L$665-EFEITO!$O$665*EFEITO!$AA$665</f>
        <v>0</v>
      </c>
      <c r="P665" s="39"/>
      <c r="Q665" s="39"/>
      <c r="R665" s="39"/>
      <c r="S665" s="39"/>
      <c r="T665" s="39"/>
      <c r="U665" s="39"/>
      <c r="V665" s="39"/>
      <c r="W665" s="3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28</v>
      </c>
      <c r="B666" s="35" t="s">
        <v>22</v>
      </c>
      <c r="C666" s="35" t="s">
        <v>23</v>
      </c>
      <c r="D666" s="35" t="s">
        <v>24</v>
      </c>
      <c r="E666" s="35" t="s">
        <v>24</v>
      </c>
      <c r="F666" s="35" t="s">
        <v>25</v>
      </c>
      <c r="G666" s="35" t="s">
        <v>25</v>
      </c>
      <c r="H666" s="35" t="s">
        <v>25</v>
      </c>
      <c r="I666" s="55">
        <v>44531</v>
      </c>
      <c r="J666" s="56">
        <f>EFEITO!$J$666*EFEITO!$Y$666</f>
        <v>0</v>
      </c>
      <c r="K666" s="56">
        <f ca="1">EFEITO!$L$666*EFEITO!$Z$666</f>
        <v>6546.5289657435005</v>
      </c>
      <c r="L666" s="56">
        <f>EFEITO!$N$666*EFEITO!$AA$666</f>
        <v>4913.0108220575066</v>
      </c>
      <c r="M666" s="56">
        <f>$J$666-EFEITO!$K$666*EFEITO!$Y$666</f>
        <v>0</v>
      </c>
      <c r="N666" s="56">
        <f ca="1">$K$666-EFEITO!$M$666*EFEITO!$Z$666</f>
        <v>0</v>
      </c>
      <c r="O666" s="56">
        <f>$L$666-EFEITO!$O$666*EFEITO!$AA$666</f>
        <v>0</v>
      </c>
      <c r="P666" s="39"/>
      <c r="Q666" s="39"/>
      <c r="R666" s="39"/>
      <c r="S666" s="39"/>
      <c r="T666" s="39"/>
      <c r="U666" s="39"/>
      <c r="V666" s="39"/>
      <c r="W666" s="3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28</v>
      </c>
      <c r="B667" s="35" t="s">
        <v>22</v>
      </c>
      <c r="C667" s="35" t="s">
        <v>23</v>
      </c>
      <c r="D667" s="35" t="s">
        <v>24</v>
      </c>
      <c r="E667" s="35" t="s">
        <v>24</v>
      </c>
      <c r="F667" s="35" t="s">
        <v>25</v>
      </c>
      <c r="G667" s="35" t="s">
        <v>25</v>
      </c>
      <c r="H667" s="35" t="s">
        <v>25</v>
      </c>
      <c r="I667" s="55">
        <v>44531</v>
      </c>
      <c r="J667" s="56">
        <f>EFEITO!$J$667*EFEITO!$Y$667</f>
        <v>0</v>
      </c>
      <c r="K667" s="56">
        <f ca="1">EFEITO!$L$667*EFEITO!$Z$667</f>
        <v>-61.985407150727511</v>
      </c>
      <c r="L667" s="56">
        <f>EFEITO!$N$667*EFEITO!$AA$667</f>
        <v>-46.518541006192351</v>
      </c>
      <c r="M667" s="56">
        <f>$J$667-EFEITO!$K$667*EFEITO!$Y$667</f>
        <v>0</v>
      </c>
      <c r="N667" s="56">
        <f ca="1">$K$667-EFEITO!$M$667*EFEITO!$Z$667</f>
        <v>0</v>
      </c>
      <c r="O667" s="56">
        <f>$L$667-EFEITO!$O$667*EFEITO!$AA$667</f>
        <v>0</v>
      </c>
      <c r="P667" s="39"/>
      <c r="Q667" s="39"/>
      <c r="R667" s="39"/>
      <c r="S667" s="39"/>
      <c r="T667" s="39"/>
      <c r="U667" s="39"/>
      <c r="V667" s="39"/>
      <c r="W667" s="3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21</v>
      </c>
      <c r="B668" s="35" t="s">
        <v>22</v>
      </c>
      <c r="C668" s="35" t="s">
        <v>23</v>
      </c>
      <c r="D668" s="35" t="s">
        <v>24</v>
      </c>
      <c r="E668" s="35" t="s">
        <v>24</v>
      </c>
      <c r="F668" s="35" t="s">
        <v>25</v>
      </c>
      <c r="G668" s="35" t="s">
        <v>25</v>
      </c>
      <c r="H668" s="35" t="s">
        <v>25</v>
      </c>
      <c r="I668" s="55">
        <v>44562</v>
      </c>
      <c r="J668" s="56">
        <f>EFEITO!$J$668*EFEITO!$Y$668</f>
        <v>0</v>
      </c>
      <c r="K668" s="56">
        <f ca="1">EFEITO!$L$668*EFEITO!$Z$668</f>
        <v>2515307.2867204156</v>
      </c>
      <c r="L668" s="56">
        <f>EFEITO!$N$668*EFEITO!$AA$668</f>
        <v>1887676.9636432852</v>
      </c>
      <c r="M668" s="56">
        <f>$J$668-EFEITO!$K$668*EFEITO!$Y$668</f>
        <v>0</v>
      </c>
      <c r="N668" s="56">
        <f ca="1">$K$668-EFEITO!$M$668*EFEITO!$Z$668</f>
        <v>0</v>
      </c>
      <c r="O668" s="56">
        <f>$L$668-EFEITO!$O$668*EFEITO!$AA$668</f>
        <v>0</v>
      </c>
      <c r="P668" s="39"/>
      <c r="Q668" s="39"/>
      <c r="R668" s="39"/>
      <c r="S668" s="39"/>
      <c r="T668" s="39"/>
      <c r="U668" s="39"/>
      <c r="V668" s="39"/>
      <c r="W668" s="3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27</v>
      </c>
      <c r="B669" s="35" t="s">
        <v>22</v>
      </c>
      <c r="C669" s="35" t="s">
        <v>23</v>
      </c>
      <c r="D669" s="35" t="s">
        <v>24</v>
      </c>
      <c r="E669" s="35" t="s">
        <v>24</v>
      </c>
      <c r="F669" s="35" t="s">
        <v>25</v>
      </c>
      <c r="G669" s="35" t="s">
        <v>25</v>
      </c>
      <c r="H669" s="35" t="s">
        <v>25</v>
      </c>
      <c r="I669" s="55">
        <v>44562</v>
      </c>
      <c r="J669" s="56">
        <f>EFEITO!$J$669*EFEITO!$Y$669</f>
        <v>0</v>
      </c>
      <c r="K669" s="56">
        <f ca="1">EFEITO!$L$669*EFEITO!$Z$669</f>
        <v>-3385.9981765786292</v>
      </c>
      <c r="L669" s="56">
        <f>EFEITO!$N$669*EFEITO!$AA$669</f>
        <v>-2541.1093072446938</v>
      </c>
      <c r="M669" s="56">
        <f>$J$669-EFEITO!$K$669*EFEITO!$Y$669</f>
        <v>0</v>
      </c>
      <c r="N669" s="56">
        <f ca="1">$K$669-EFEITO!$M$669*EFEITO!$Z$669</f>
        <v>0</v>
      </c>
      <c r="O669" s="56">
        <f>$L$669-EFEITO!$O$669*EFEITO!$AA$669</f>
        <v>0</v>
      </c>
      <c r="P669" s="39"/>
      <c r="Q669" s="39"/>
      <c r="R669" s="39"/>
      <c r="S669" s="39"/>
      <c r="T669" s="39"/>
      <c r="U669" s="39"/>
      <c r="V669" s="39"/>
      <c r="W669" s="3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28</v>
      </c>
      <c r="B670" s="35" t="s">
        <v>22</v>
      </c>
      <c r="C670" s="35" t="s">
        <v>23</v>
      </c>
      <c r="D670" s="35" t="s">
        <v>24</v>
      </c>
      <c r="E670" s="35" t="s">
        <v>24</v>
      </c>
      <c r="F670" s="35" t="s">
        <v>25</v>
      </c>
      <c r="G670" s="35" t="s">
        <v>25</v>
      </c>
      <c r="H670" s="35" t="s">
        <v>25</v>
      </c>
      <c r="I670" s="55">
        <v>44562</v>
      </c>
      <c r="J670" s="56">
        <f>EFEITO!$J$670*EFEITO!$Y$670</f>
        <v>0</v>
      </c>
      <c r="K670" s="56">
        <f ca="1">EFEITO!$L$670*EFEITO!$Z$670</f>
        <v>7695.2526807180939</v>
      </c>
      <c r="L670" s="56">
        <f>EFEITO!$N$670*EFEITO!$AA$670</f>
        <v>5775.1000410553061</v>
      </c>
      <c r="M670" s="56">
        <f>$J$670-EFEITO!$K$670*EFEITO!$Y$670</f>
        <v>0</v>
      </c>
      <c r="N670" s="56">
        <f ca="1">$K$670-EFEITO!$M$670*EFEITO!$Z$670</f>
        <v>0</v>
      </c>
      <c r="O670" s="56">
        <f>$L$670-EFEITO!$O$670*EFEITO!$AA$670</f>
        <v>0</v>
      </c>
      <c r="P670" s="39"/>
      <c r="Q670" s="39"/>
      <c r="R670" s="39"/>
      <c r="S670" s="39"/>
      <c r="T670" s="39"/>
      <c r="U670" s="39"/>
      <c r="V670" s="39"/>
      <c r="W670" s="3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21</v>
      </c>
      <c r="B671" s="35" t="s">
        <v>22</v>
      </c>
      <c r="C671" s="35" t="s">
        <v>23</v>
      </c>
      <c r="D671" s="35" t="s">
        <v>24</v>
      </c>
      <c r="E671" s="35" t="s">
        <v>24</v>
      </c>
      <c r="F671" s="35" t="s">
        <v>25</v>
      </c>
      <c r="G671" s="35" t="s">
        <v>25</v>
      </c>
      <c r="H671" s="35" t="s">
        <v>25</v>
      </c>
      <c r="I671" s="55">
        <v>44593</v>
      </c>
      <c r="J671" s="56">
        <f>EFEITO!$J$671*EFEITO!$Y$671</f>
        <v>0</v>
      </c>
      <c r="K671" s="56">
        <f ca="1">EFEITO!$L$671*EFEITO!$Z$671</f>
        <v>2631601.697704731</v>
      </c>
      <c r="L671" s="56">
        <f>EFEITO!$N$671*EFEITO!$AA$671</f>
        <v>1974953.0916036926</v>
      </c>
      <c r="M671" s="56">
        <f>$J$671-EFEITO!$K$671*EFEITO!$Y$671</f>
        <v>0</v>
      </c>
      <c r="N671" s="56">
        <f ca="1">$K$671-EFEITO!$M$671*EFEITO!$Z$671</f>
        <v>0</v>
      </c>
      <c r="O671" s="56">
        <f>$L$671-EFEITO!$O$671*EFEITO!$AA$671</f>
        <v>0</v>
      </c>
      <c r="P671" s="39"/>
      <c r="Q671" s="39"/>
      <c r="R671" s="39"/>
      <c r="S671" s="39"/>
      <c r="T671" s="39"/>
      <c r="U671" s="39"/>
      <c r="V671" s="39"/>
      <c r="W671" s="3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28</v>
      </c>
      <c r="B672" s="35" t="s">
        <v>22</v>
      </c>
      <c r="C672" s="35" t="s">
        <v>23</v>
      </c>
      <c r="D672" s="35" t="s">
        <v>24</v>
      </c>
      <c r="E672" s="35" t="s">
        <v>24</v>
      </c>
      <c r="F672" s="35" t="s">
        <v>25</v>
      </c>
      <c r="G672" s="35" t="s">
        <v>25</v>
      </c>
      <c r="H672" s="35" t="s">
        <v>25</v>
      </c>
      <c r="I672" s="55">
        <v>44593</v>
      </c>
      <c r="J672" s="56">
        <f>EFEITO!$J$672*EFEITO!$Y$672</f>
        <v>0</v>
      </c>
      <c r="K672" s="56">
        <f ca="1">EFEITO!$L$672*EFEITO!$Z$672</f>
        <v>7976.5431833436178</v>
      </c>
      <c r="L672" s="56">
        <f>EFEITO!$N$672*EFEITO!$AA$672</f>
        <v>5986.201724217909</v>
      </c>
      <c r="M672" s="56">
        <f>$J$672-EFEITO!$K$672*EFEITO!$Y$672</f>
        <v>0</v>
      </c>
      <c r="N672" s="56">
        <f ca="1">$K$672-EFEITO!$M$672*EFEITO!$Z$672</f>
        <v>0</v>
      </c>
      <c r="O672" s="56">
        <f>$L$672-EFEITO!$O$672*EFEITO!$AA$672</f>
        <v>0</v>
      </c>
      <c r="P672" s="39"/>
      <c r="Q672" s="39"/>
      <c r="R672" s="39"/>
      <c r="S672" s="39"/>
      <c r="T672" s="39"/>
      <c r="U672" s="39"/>
      <c r="V672" s="39"/>
      <c r="W672" s="3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35" t="s">
        <v>21</v>
      </c>
      <c r="B673" s="35" t="s">
        <v>22</v>
      </c>
      <c r="C673" s="35" t="s">
        <v>23</v>
      </c>
      <c r="D673" s="35" t="s">
        <v>24</v>
      </c>
      <c r="E673" s="35" t="s">
        <v>24</v>
      </c>
      <c r="F673" s="35" t="s">
        <v>25</v>
      </c>
      <c r="G673" s="35" t="s">
        <v>25</v>
      </c>
      <c r="H673" s="35" t="s">
        <v>25</v>
      </c>
      <c r="I673" s="55">
        <v>44621</v>
      </c>
      <c r="J673" s="56">
        <f>EFEITO!$J$673*EFEITO!$Y$673</f>
        <v>0</v>
      </c>
      <c r="K673" s="56">
        <f ca="1">EFEITO!$L$673*EFEITO!$Z$673</f>
        <v>2543126.0474594533</v>
      </c>
      <c r="L673" s="56">
        <f>EFEITO!$N$673*EFEITO!$AA$673</f>
        <v>1908554.2672162631</v>
      </c>
      <c r="M673" s="56">
        <f>$J$673-EFEITO!$K$673*EFEITO!$Y$673</f>
        <v>0</v>
      </c>
      <c r="N673" s="56">
        <f ca="1">$K$673-EFEITO!$M$673*EFEITO!$Z$673</f>
        <v>0</v>
      </c>
      <c r="O673" s="56">
        <f>$L$673-EFEITO!$O$673*EFEITO!$AA$673</f>
        <v>0</v>
      </c>
      <c r="P673" s="39"/>
      <c r="Q673" s="39"/>
      <c r="R673" s="39"/>
      <c r="S673" s="39"/>
      <c r="T673" s="39"/>
      <c r="U673" s="39"/>
      <c r="V673" s="39"/>
      <c r="W673" s="3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35" t="s">
        <v>27</v>
      </c>
      <c r="B674" s="35" t="s">
        <v>22</v>
      </c>
      <c r="C674" s="35" t="s">
        <v>23</v>
      </c>
      <c r="D674" s="35" t="s">
        <v>24</v>
      </c>
      <c r="E674" s="35" t="s">
        <v>24</v>
      </c>
      <c r="F674" s="35" t="s">
        <v>25</v>
      </c>
      <c r="G674" s="35" t="s">
        <v>25</v>
      </c>
      <c r="H674" s="35" t="s">
        <v>25</v>
      </c>
      <c r="I674" s="55">
        <v>44621</v>
      </c>
      <c r="J674" s="56">
        <f>EFEITO!$J$674*EFEITO!$Y$674</f>
        <v>0</v>
      </c>
      <c r="K674" s="56">
        <f ca="1">EFEITO!$L$674*EFEITO!$Z$674</f>
        <v>-203.35563398572006</v>
      </c>
      <c r="L674" s="56">
        <f>EFEITO!$N$674*EFEITO!$AA$674</f>
        <v>-152.61345909049069</v>
      </c>
      <c r="M674" s="56">
        <f>$J$674-EFEITO!$K$674*EFEITO!$Y$674</f>
        <v>0</v>
      </c>
      <c r="N674" s="56">
        <f ca="1">$K$674-EFEITO!$M$674*EFEITO!$Z$674</f>
        <v>0</v>
      </c>
      <c r="O674" s="56">
        <f>$L$674-EFEITO!$O$674*EFEITO!$AA$674</f>
        <v>0</v>
      </c>
      <c r="P674" s="39"/>
      <c r="Q674" s="39"/>
      <c r="R674" s="39"/>
      <c r="S674" s="39"/>
      <c r="T674" s="39"/>
      <c r="U674" s="39"/>
      <c r="V674" s="39"/>
      <c r="W674" s="3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35" t="s">
        <v>28</v>
      </c>
      <c r="B675" s="35" t="s">
        <v>22</v>
      </c>
      <c r="C675" s="35" t="s">
        <v>23</v>
      </c>
      <c r="D675" s="35" t="s">
        <v>24</v>
      </c>
      <c r="E675" s="35" t="s">
        <v>24</v>
      </c>
      <c r="F675" s="35" t="s">
        <v>25</v>
      </c>
      <c r="G675" s="35" t="s">
        <v>25</v>
      </c>
      <c r="H675" s="35" t="s">
        <v>25</v>
      </c>
      <c r="I675" s="55">
        <v>44621</v>
      </c>
      <c r="J675" s="56">
        <f>EFEITO!$J$675*EFEITO!$Y$675</f>
        <v>0</v>
      </c>
      <c r="K675" s="56">
        <f ca="1">EFEITO!$L$675*EFEITO!$Z$675</f>
        <v>9252.8625902308195</v>
      </c>
      <c r="L675" s="56">
        <f>EFEITO!$N$675*EFEITO!$AA$675</f>
        <v>6944.0484077430747</v>
      </c>
      <c r="M675" s="56">
        <f>$J$675-EFEITO!$K$675*EFEITO!$Y$675</f>
        <v>0</v>
      </c>
      <c r="N675" s="56">
        <f ca="1">$K$675-EFEITO!$M$675*EFEITO!$Z$675</f>
        <v>0</v>
      </c>
      <c r="O675" s="56">
        <f>$L$675-EFEITO!$O$675*EFEITO!$AA$675</f>
        <v>0</v>
      </c>
      <c r="P675" s="39"/>
      <c r="Q675" s="39"/>
      <c r="R675" s="39"/>
      <c r="S675" s="39"/>
      <c r="T675" s="39"/>
      <c r="U675" s="39"/>
      <c r="V675" s="39"/>
      <c r="W675" s="3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35" t="s">
        <v>21</v>
      </c>
      <c r="B676" s="35" t="s">
        <v>22</v>
      </c>
      <c r="C676" s="35" t="s">
        <v>23</v>
      </c>
      <c r="D676" s="35" t="s">
        <v>24</v>
      </c>
      <c r="E676" s="35" t="s">
        <v>24</v>
      </c>
      <c r="F676" s="35" t="s">
        <v>25</v>
      </c>
      <c r="G676" s="35" t="s">
        <v>25</v>
      </c>
      <c r="H676" s="35" t="s">
        <v>25</v>
      </c>
      <c r="I676" s="55">
        <v>44652</v>
      </c>
      <c r="J676" s="56">
        <f>EFEITO!$J$676*EFEITO!$Y$676</f>
        <v>0</v>
      </c>
      <c r="K676" s="56">
        <f ca="1">EFEITO!$L$676*EFEITO!$Z$676</f>
        <v>2463749.564993694</v>
      </c>
      <c r="L676" s="56">
        <f>EFEITO!$N$676*EFEITO!$AA$676</f>
        <v>1848984.1470179416</v>
      </c>
      <c r="M676" s="56">
        <f>$J$676-EFEITO!$K$676*EFEITO!$Y$676</f>
        <v>0</v>
      </c>
      <c r="N676" s="56">
        <f ca="1">$K$676-EFEITO!$M$676*EFEITO!$Z$676</f>
        <v>0</v>
      </c>
      <c r="O676" s="56">
        <f>$L$676-EFEITO!$O$676*EFEITO!$AA$676</f>
        <v>0</v>
      </c>
      <c r="P676" s="39"/>
      <c r="Q676" s="39"/>
      <c r="R676" s="39"/>
      <c r="S676" s="39"/>
      <c r="T676" s="39"/>
      <c r="U676" s="39"/>
      <c r="V676" s="39"/>
      <c r="W676" s="3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35" t="s">
        <v>27</v>
      </c>
      <c r="B677" s="35" t="s">
        <v>22</v>
      </c>
      <c r="C677" s="35" t="s">
        <v>23</v>
      </c>
      <c r="D677" s="35" t="s">
        <v>24</v>
      </c>
      <c r="E677" s="35" t="s">
        <v>24</v>
      </c>
      <c r="F677" s="35" t="s">
        <v>25</v>
      </c>
      <c r="G677" s="35" t="s">
        <v>25</v>
      </c>
      <c r="H677" s="35" t="s">
        <v>25</v>
      </c>
      <c r="I677" s="55">
        <v>44652</v>
      </c>
      <c r="J677" s="56">
        <f>EFEITO!$J$677*EFEITO!$Y$677</f>
        <v>0</v>
      </c>
      <c r="K677" s="56">
        <f ca="1">EFEITO!$L$677*EFEITO!$Z$677</f>
        <v>-549.8939336120095</v>
      </c>
      <c r="L677" s="56">
        <f>EFEITO!$N$677*EFEITO!$AA$677</f>
        <v>-412.68202752277068</v>
      </c>
      <c r="M677" s="56">
        <f>$J$677-EFEITO!$K$677*EFEITO!$Y$677</f>
        <v>0</v>
      </c>
      <c r="N677" s="56">
        <f ca="1">$K$677-EFEITO!$M$677*EFEITO!$Z$677</f>
        <v>0</v>
      </c>
      <c r="O677" s="56">
        <f>$L$677-EFEITO!$O$677*EFEITO!$AA$677</f>
        <v>0</v>
      </c>
      <c r="P677" s="39"/>
      <c r="Q677" s="39"/>
      <c r="R677" s="39"/>
      <c r="S677" s="39"/>
      <c r="T677" s="39"/>
      <c r="U677" s="39"/>
      <c r="V677" s="39"/>
      <c r="W677" s="3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35" t="s">
        <v>28</v>
      </c>
      <c r="B678" s="35" t="s">
        <v>22</v>
      </c>
      <c r="C678" s="35" t="s">
        <v>23</v>
      </c>
      <c r="D678" s="35" t="s">
        <v>24</v>
      </c>
      <c r="E678" s="35" t="s">
        <v>24</v>
      </c>
      <c r="F678" s="35" t="s">
        <v>25</v>
      </c>
      <c r="G678" s="35" t="s">
        <v>25</v>
      </c>
      <c r="H678" s="35" t="s">
        <v>25</v>
      </c>
      <c r="I678" s="55">
        <v>44652</v>
      </c>
      <c r="J678" s="56">
        <f>EFEITO!$J$678*EFEITO!$Y$678</f>
        <v>0</v>
      </c>
      <c r="K678" s="56">
        <f ca="1">EFEITO!$L$678*EFEITO!$Z$678</f>
        <v>11713.429512681922</v>
      </c>
      <c r="L678" s="56">
        <f>EFEITO!$N$678*EFEITO!$AA$678</f>
        <v>8790.6440589128615</v>
      </c>
      <c r="M678" s="56">
        <f>$J$678-EFEITO!$K$678*EFEITO!$Y$678</f>
        <v>0</v>
      </c>
      <c r="N678" s="56">
        <f ca="1">$K$678-EFEITO!$M$678*EFEITO!$Z$678</f>
        <v>0</v>
      </c>
      <c r="O678" s="56">
        <f>$L$678-EFEITO!$O$678*EFEITO!$AA$678</f>
        <v>0</v>
      </c>
      <c r="P678" s="39"/>
      <c r="Q678" s="39"/>
      <c r="R678" s="39"/>
      <c r="S678" s="39"/>
      <c r="T678" s="39"/>
      <c r="U678" s="39"/>
      <c r="V678" s="39"/>
      <c r="W678" s="3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35" t="s">
        <v>21</v>
      </c>
      <c r="B679" s="35" t="s">
        <v>22</v>
      </c>
      <c r="C679" s="35" t="s">
        <v>23</v>
      </c>
      <c r="D679" s="35" t="s">
        <v>24</v>
      </c>
      <c r="E679" s="35" t="s">
        <v>24</v>
      </c>
      <c r="F679" s="35" t="s">
        <v>25</v>
      </c>
      <c r="G679" s="35" t="s">
        <v>25</v>
      </c>
      <c r="H679" s="35" t="s">
        <v>25</v>
      </c>
      <c r="I679" s="55">
        <v>44682</v>
      </c>
      <c r="J679" s="56">
        <f>EFEITO!$J$679*EFEITO!$Y$679</f>
        <v>0</v>
      </c>
      <c r="K679" s="56">
        <f ca="1">EFEITO!$L$679*EFEITO!$Z$679</f>
        <v>2491045.6183812036</v>
      </c>
      <c r="L679" s="56">
        <f>EFEITO!$N$679*EFEITO!$AA$679</f>
        <v>1869469.1714322593</v>
      </c>
      <c r="M679" s="56">
        <f>$J$679-EFEITO!$K$679*EFEITO!$Y$679</f>
        <v>0</v>
      </c>
      <c r="N679" s="56">
        <f ca="1">$K$679-EFEITO!$M$679*EFEITO!$Z$679</f>
        <v>0</v>
      </c>
      <c r="O679" s="56">
        <f>$L$679-EFEITO!$O$679*EFEITO!$AA$679</f>
        <v>0</v>
      </c>
      <c r="P679" s="39"/>
      <c r="Q679" s="39"/>
      <c r="R679" s="39"/>
      <c r="S679" s="39"/>
      <c r="T679" s="39"/>
      <c r="U679" s="39"/>
      <c r="V679" s="39"/>
      <c r="W679" s="3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35" t="s">
        <v>27</v>
      </c>
      <c r="B680" s="35" t="s">
        <v>22</v>
      </c>
      <c r="C680" s="35" t="s">
        <v>23</v>
      </c>
      <c r="D680" s="35" t="s">
        <v>24</v>
      </c>
      <c r="E680" s="35" t="s">
        <v>24</v>
      </c>
      <c r="F680" s="35" t="s">
        <v>25</v>
      </c>
      <c r="G680" s="35" t="s">
        <v>25</v>
      </c>
      <c r="H680" s="35" t="s">
        <v>25</v>
      </c>
      <c r="I680" s="55">
        <v>44682</v>
      </c>
      <c r="J680" s="56">
        <f>EFEITO!$J$680*EFEITO!$Y$680</f>
        <v>0</v>
      </c>
      <c r="K680" s="56">
        <f ca="1">EFEITO!$L$680*EFEITO!$Z$680</f>
        <v>-1060.276701262444</v>
      </c>
      <c r="L680" s="56">
        <f>EFEITO!$N$680*EFEITO!$AA$680</f>
        <v>-795.71188563223745</v>
      </c>
      <c r="M680" s="56">
        <f>$J$680-EFEITO!$K$680*EFEITO!$Y$680</f>
        <v>0</v>
      </c>
      <c r="N680" s="56">
        <f ca="1">$K$680-EFEITO!$M$680*EFEITO!$Z$680</f>
        <v>0</v>
      </c>
      <c r="O680" s="56">
        <f>$L$680-EFEITO!$O$680*EFEITO!$AA$680</f>
        <v>0</v>
      </c>
      <c r="P680" s="39"/>
      <c r="Q680" s="39"/>
      <c r="R680" s="39"/>
      <c r="S680" s="39"/>
      <c r="T680" s="39"/>
      <c r="U680" s="39"/>
      <c r="V680" s="39"/>
      <c r="W680" s="3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35" t="s">
        <v>28</v>
      </c>
      <c r="B681" s="35" t="s">
        <v>22</v>
      </c>
      <c r="C681" s="35" t="s">
        <v>23</v>
      </c>
      <c r="D681" s="35" t="s">
        <v>24</v>
      </c>
      <c r="E681" s="35" t="s">
        <v>24</v>
      </c>
      <c r="F681" s="35" t="s">
        <v>25</v>
      </c>
      <c r="G681" s="35" t="s">
        <v>25</v>
      </c>
      <c r="H681" s="35" t="s">
        <v>25</v>
      </c>
      <c r="I681" s="55">
        <v>44682</v>
      </c>
      <c r="J681" s="56">
        <f>EFEITO!$J$681*EFEITO!$Y$681</f>
        <v>0</v>
      </c>
      <c r="K681" s="56">
        <f ca="1">EFEITO!$L$681*EFEITO!$Z$681</f>
        <v>15513.388712454296</v>
      </c>
      <c r="L681" s="56">
        <f>EFEITO!$N$681*EFEITO!$AA$681</f>
        <v>11642.4210493685</v>
      </c>
      <c r="M681" s="56">
        <f>$J$681-EFEITO!$K$681*EFEITO!$Y$681</f>
        <v>0</v>
      </c>
      <c r="N681" s="56">
        <f ca="1">$K$681-EFEITO!$M$681*EFEITO!$Z$681</f>
        <v>0</v>
      </c>
      <c r="O681" s="56">
        <f>$L$681-EFEITO!$O$681*EFEITO!$AA$681</f>
        <v>0</v>
      </c>
      <c r="P681" s="39"/>
      <c r="Q681" s="39"/>
      <c r="R681" s="39"/>
      <c r="S681" s="39"/>
      <c r="T681" s="39"/>
      <c r="U681" s="39"/>
      <c r="V681" s="39"/>
      <c r="W681" s="3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35" t="s">
        <v>21</v>
      </c>
      <c r="B682" s="35" t="s">
        <v>22</v>
      </c>
      <c r="C682" s="35" t="s">
        <v>23</v>
      </c>
      <c r="D682" s="35" t="s">
        <v>24</v>
      </c>
      <c r="E682" s="35" t="s">
        <v>29</v>
      </c>
      <c r="F682" s="35" t="s">
        <v>25</v>
      </c>
      <c r="G682" s="35" t="s">
        <v>25</v>
      </c>
      <c r="H682" s="35" t="s">
        <v>25</v>
      </c>
      <c r="I682" s="55">
        <v>44348</v>
      </c>
      <c r="J682" s="56">
        <f>EFEITO!$J$682*EFEITO!$Y$646</f>
        <v>0</v>
      </c>
      <c r="K682" s="56">
        <f ca="1">EFEITO!$L$682*EFEITO!$Z$737</f>
        <v>33823.063478062861</v>
      </c>
      <c r="L682" s="56">
        <f>EFEITO!$N$682*EFEITO!$AA$737</f>
        <v>38018.161761628056</v>
      </c>
      <c r="M682" s="56">
        <f>$J$682-EFEITO!$K$682*EFEITO!$Y$682</f>
        <v>0</v>
      </c>
      <c r="N682" s="56">
        <f ca="1">$K$682-EFEITO!$M$682*EFEITO!$Z$682</f>
        <v>21984.991260740859</v>
      </c>
      <c r="O682" s="56">
        <f>$L$682-EFEITO!$O$682*EFEITO!$AA$682</f>
        <v>24711.805145058235</v>
      </c>
      <c r="P682" s="39"/>
      <c r="Q682" s="39"/>
      <c r="R682" s="39"/>
      <c r="S682" s="39"/>
      <c r="T682" s="39"/>
      <c r="U682" s="39"/>
      <c r="V682" s="39"/>
      <c r="W682" s="3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35" t="s">
        <v>21</v>
      </c>
      <c r="B683" s="35" t="s">
        <v>22</v>
      </c>
      <c r="C683" s="35" t="s">
        <v>23</v>
      </c>
      <c r="D683" s="35" t="s">
        <v>24</v>
      </c>
      <c r="E683" s="35" t="s">
        <v>29</v>
      </c>
      <c r="F683" s="35" t="s">
        <v>25</v>
      </c>
      <c r="G683" s="35" t="s">
        <v>25</v>
      </c>
      <c r="H683" s="35" t="s">
        <v>25</v>
      </c>
      <c r="I683" s="55">
        <v>44378</v>
      </c>
      <c r="J683" s="56">
        <f>EFEITO!$J$683*EFEITO!$Y$646</f>
        <v>0</v>
      </c>
      <c r="K683" s="56">
        <f ca="1">EFEITO!$L$683*EFEITO!$Z$737</f>
        <v>34236.192136174344</v>
      </c>
      <c r="L683" s="56">
        <f>EFEITO!$N$683*EFEITO!$AA$737</f>
        <v>38482.531056935492</v>
      </c>
      <c r="M683" s="56">
        <f>$J$683-EFEITO!$K$683*EFEITO!$Y$683</f>
        <v>0</v>
      </c>
      <c r="N683" s="56">
        <f ca="1">$K$683-EFEITO!$M$683*EFEITO!$Z$683</f>
        <v>22253.524888513322</v>
      </c>
      <c r="O683" s="56">
        <f>$L$683-EFEITO!$O$683*EFEITO!$AA$683</f>
        <v>25013.645187008071</v>
      </c>
      <c r="P683" s="39"/>
      <c r="Q683" s="39"/>
      <c r="R683" s="39"/>
      <c r="S683" s="39"/>
      <c r="T683" s="39"/>
      <c r="U683" s="39"/>
      <c r="V683" s="39"/>
      <c r="W683" s="3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35" t="s">
        <v>21</v>
      </c>
      <c r="B684" s="35" t="s">
        <v>22</v>
      </c>
      <c r="C684" s="35" t="s">
        <v>23</v>
      </c>
      <c r="D684" s="35" t="s">
        <v>24</v>
      </c>
      <c r="E684" s="35" t="s">
        <v>29</v>
      </c>
      <c r="F684" s="35" t="s">
        <v>25</v>
      </c>
      <c r="G684" s="35" t="s">
        <v>25</v>
      </c>
      <c r="H684" s="35" t="s">
        <v>25</v>
      </c>
      <c r="I684" s="55">
        <v>44409</v>
      </c>
      <c r="J684" s="56">
        <f>EFEITO!$J$684*EFEITO!$Y$646</f>
        <v>0</v>
      </c>
      <c r="K684" s="56">
        <f ca="1">EFEITO!$L$684*EFEITO!$Z$737</f>
        <v>34654.403220659777</v>
      </c>
      <c r="L684" s="56">
        <f>EFEITO!$N$684*EFEITO!$AA$737</f>
        <v>38952.613155524377</v>
      </c>
      <c r="M684" s="56">
        <f>$J$684-EFEITO!$K$684*EFEITO!$Y$684</f>
        <v>0</v>
      </c>
      <c r="N684" s="56">
        <f ca="1">$K$684-EFEITO!$M$684*EFEITO!$Z$684</f>
        <v>22525.362093428856</v>
      </c>
      <c r="O684" s="56">
        <f>$L$684-EFEITO!$O$684*EFEITO!$AA$684</f>
        <v>25319.198551090845</v>
      </c>
      <c r="P684" s="39"/>
      <c r="Q684" s="39"/>
      <c r="R684" s="39"/>
      <c r="S684" s="39"/>
      <c r="T684" s="39"/>
      <c r="U684" s="39"/>
      <c r="V684" s="39"/>
      <c r="W684" s="3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35" t="s">
        <v>21</v>
      </c>
      <c r="B685" s="35" t="s">
        <v>22</v>
      </c>
      <c r="C685" s="35" t="s">
        <v>23</v>
      </c>
      <c r="D685" s="35" t="s">
        <v>24</v>
      </c>
      <c r="E685" s="35" t="s">
        <v>29</v>
      </c>
      <c r="F685" s="35" t="s">
        <v>25</v>
      </c>
      <c r="G685" s="35" t="s">
        <v>25</v>
      </c>
      <c r="H685" s="35" t="s">
        <v>25</v>
      </c>
      <c r="I685" s="55">
        <v>44440</v>
      </c>
      <c r="J685" s="56">
        <f>EFEITO!$J$685*EFEITO!$Y$646</f>
        <v>0</v>
      </c>
      <c r="K685" s="56">
        <f ca="1">EFEITO!$L$685*EFEITO!$Z$737</f>
        <v>34943.375463064644</v>
      </c>
      <c r="L685" s="56">
        <f>EFEITO!$N$685*EFEITO!$AA$737</f>
        <v>39277.426827813237</v>
      </c>
      <c r="M685" s="56">
        <f>$J$685-EFEITO!$K$685*EFEITO!$Y$685</f>
        <v>0</v>
      </c>
      <c r="N685" s="56">
        <f ca="1">$K$685-EFEITO!$M$685*EFEITO!$Z$685</f>
        <v>22713.194050992017</v>
      </c>
      <c r="O685" s="56">
        <f>$L$685-EFEITO!$O$685*EFEITO!$AA$685</f>
        <v>25530.327438078606</v>
      </c>
      <c r="P685" s="39"/>
      <c r="Q685" s="39"/>
      <c r="R685" s="39"/>
      <c r="S685" s="39"/>
      <c r="T685" s="39"/>
      <c r="U685" s="39"/>
      <c r="V685" s="39"/>
      <c r="W685" s="3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35" t="s">
        <v>21</v>
      </c>
      <c r="B686" s="35" t="s">
        <v>22</v>
      </c>
      <c r="C686" s="35" t="s">
        <v>23</v>
      </c>
      <c r="D686" s="35" t="s">
        <v>24</v>
      </c>
      <c r="E686" s="35" t="s">
        <v>29</v>
      </c>
      <c r="F686" s="35" t="s">
        <v>25</v>
      </c>
      <c r="G686" s="35" t="s">
        <v>25</v>
      </c>
      <c r="H686" s="35" t="s">
        <v>25</v>
      </c>
      <c r="I686" s="55">
        <v>44470</v>
      </c>
      <c r="J686" s="56">
        <f>EFEITO!$J$686*EFEITO!$Y$646</f>
        <v>0</v>
      </c>
      <c r="K686" s="56">
        <f ca="1">EFEITO!$L$686*EFEITO!$Z$737</f>
        <v>34770.814986653699</v>
      </c>
      <c r="L686" s="56">
        <f>EFEITO!$N$686*EFEITO!$AA$737</f>
        <v>39083.463554495022</v>
      </c>
      <c r="M686" s="56">
        <f>$J$686-EFEITO!$K$686*EFEITO!$Y$686</f>
        <v>0</v>
      </c>
      <c r="N686" s="56">
        <f ca="1">$K$686-EFEITO!$M$686*EFEITO!$Z$686</f>
        <v>22601.029741324906</v>
      </c>
      <c r="O686" s="56">
        <f>$L$686-EFEITO!$O$686*EFEITO!$AA$686</f>
        <v>25404.251310421765</v>
      </c>
      <c r="P686" s="39"/>
      <c r="Q686" s="39"/>
      <c r="R686" s="39"/>
      <c r="S686" s="39"/>
      <c r="T686" s="39"/>
      <c r="U686" s="39"/>
      <c r="V686" s="39"/>
      <c r="W686" s="3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35" t="s">
        <v>21</v>
      </c>
      <c r="B687" s="35" t="s">
        <v>22</v>
      </c>
      <c r="C687" s="35" t="s">
        <v>23</v>
      </c>
      <c r="D687" s="35" t="s">
        <v>24</v>
      </c>
      <c r="E687" s="35" t="s">
        <v>29</v>
      </c>
      <c r="F687" s="35" t="s">
        <v>25</v>
      </c>
      <c r="G687" s="35" t="s">
        <v>25</v>
      </c>
      <c r="H687" s="35" t="s">
        <v>25</v>
      </c>
      <c r="I687" s="55">
        <v>44501</v>
      </c>
      <c r="J687" s="56">
        <f>EFEITO!$J$687*EFEITO!$Y$646</f>
        <v>0</v>
      </c>
      <c r="K687" s="56">
        <f ca="1">EFEITO!$L$687*EFEITO!$Z$737</f>
        <v>33965.129396230084</v>
      </c>
      <c r="L687" s="56">
        <f>EFEITO!$N$687*EFEITO!$AA$737</f>
        <v>38177.848215257509</v>
      </c>
      <c r="M687" s="56">
        <f>$J$687-EFEITO!$K$687*EFEITO!$Y$687</f>
        <v>0</v>
      </c>
      <c r="N687" s="56">
        <f ca="1">$K$687-EFEITO!$M$687*EFEITO!$Z$687</f>
        <v>22077.334107549555</v>
      </c>
      <c r="O687" s="56">
        <f>$L$687-EFEITO!$O$687*EFEITO!$AA$687</f>
        <v>24815.601339917383</v>
      </c>
      <c r="P687" s="39"/>
      <c r="Q687" s="39"/>
      <c r="R687" s="39"/>
      <c r="S687" s="39"/>
      <c r="T687" s="39"/>
      <c r="U687" s="39"/>
      <c r="V687" s="39"/>
      <c r="W687" s="3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35" t="s">
        <v>21</v>
      </c>
      <c r="B688" s="35" t="s">
        <v>22</v>
      </c>
      <c r="C688" s="35" t="s">
        <v>23</v>
      </c>
      <c r="D688" s="35" t="s">
        <v>24</v>
      </c>
      <c r="E688" s="35" t="s">
        <v>29</v>
      </c>
      <c r="F688" s="35" t="s">
        <v>25</v>
      </c>
      <c r="G688" s="35" t="s">
        <v>25</v>
      </c>
      <c r="H688" s="35" t="s">
        <v>25</v>
      </c>
      <c r="I688" s="55">
        <v>44531</v>
      </c>
      <c r="J688" s="56">
        <f>EFEITO!$J$688*EFEITO!$Y$646</f>
        <v>0</v>
      </c>
      <c r="K688" s="56">
        <f ca="1">EFEITO!$L$688*EFEITO!$Z$737</f>
        <v>33083.933471107717</v>
      </c>
      <c r="L688" s="56">
        <f>EFEITO!$N$688*EFEITO!$AA$737</f>
        <v>37187.356941552564</v>
      </c>
      <c r="M688" s="56">
        <f>$J$688-EFEITO!$K$688*EFEITO!$Y$688</f>
        <v>0</v>
      </c>
      <c r="N688" s="56">
        <f ca="1">$K$688-EFEITO!$M$688*EFEITO!$Z$688</f>
        <v>21504.556756220016</v>
      </c>
      <c r="O688" s="56">
        <f>$L$688-EFEITO!$O$688*EFEITO!$AA$688</f>
        <v>24171.782012009167</v>
      </c>
      <c r="P688" s="39"/>
      <c r="Q688" s="39"/>
      <c r="R688" s="39"/>
      <c r="S688" s="39"/>
      <c r="T688" s="39"/>
      <c r="U688" s="39"/>
      <c r="V688" s="39"/>
      <c r="W688" s="3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35" t="s">
        <v>21</v>
      </c>
      <c r="B689" s="35" t="s">
        <v>22</v>
      </c>
      <c r="C689" s="35" t="s">
        <v>23</v>
      </c>
      <c r="D689" s="35" t="s">
        <v>24</v>
      </c>
      <c r="E689" s="35" t="s">
        <v>29</v>
      </c>
      <c r="F689" s="35" t="s">
        <v>25</v>
      </c>
      <c r="G689" s="35" t="s">
        <v>25</v>
      </c>
      <c r="H689" s="35" t="s">
        <v>25</v>
      </c>
      <c r="I689" s="55">
        <v>44562</v>
      </c>
      <c r="J689" s="56">
        <f>EFEITO!$J$689*EFEITO!$Y$646</f>
        <v>0</v>
      </c>
      <c r="K689" s="56">
        <f ca="1">EFEITO!$L$689*EFEITO!$Z$737</f>
        <v>33375.567936851316</v>
      </c>
      <c r="L689" s="56">
        <f>EFEITO!$N$689*EFEITO!$AA$737</f>
        <v>37515.163034607889</v>
      </c>
      <c r="M689" s="56">
        <f>$J$689-EFEITO!$K$689*EFEITO!$Y$689</f>
        <v>0</v>
      </c>
      <c r="N689" s="56">
        <f ca="1">$K$689-EFEITO!$M$689*EFEITO!$Z$689</f>
        <v>21694.119158953356</v>
      </c>
      <c r="O689" s="56">
        <f>$L$689-EFEITO!$O$689*EFEITO!$AA$689</f>
        <v>24384.855972495126</v>
      </c>
      <c r="P689" s="39"/>
      <c r="Q689" s="39"/>
      <c r="R689" s="39"/>
      <c r="S689" s="39"/>
      <c r="T689" s="39"/>
      <c r="U689" s="39"/>
      <c r="V689" s="39"/>
      <c r="W689" s="3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35" t="s">
        <v>21</v>
      </c>
      <c r="B690" s="35" t="s">
        <v>22</v>
      </c>
      <c r="C690" s="35" t="s">
        <v>23</v>
      </c>
      <c r="D690" s="35" t="s">
        <v>24</v>
      </c>
      <c r="E690" s="35" t="s">
        <v>29</v>
      </c>
      <c r="F690" s="35" t="s">
        <v>25</v>
      </c>
      <c r="G690" s="35" t="s">
        <v>25</v>
      </c>
      <c r="H690" s="35" t="s">
        <v>25</v>
      </c>
      <c r="I690" s="55">
        <v>44593</v>
      </c>
      <c r="J690" s="56">
        <f>EFEITO!$J$690*EFEITO!$Y$646</f>
        <v>0</v>
      </c>
      <c r="K690" s="56">
        <f ca="1">EFEITO!$L$690*EFEITO!$Z$737</f>
        <v>34598.254510242747</v>
      </c>
      <c r="L690" s="56">
        <f>EFEITO!$N$690*EFEITO!$AA$737</f>
        <v>38889.500281176799</v>
      </c>
      <c r="M690" s="56">
        <f>$J$690-EFEITO!$K$690*EFEITO!$Y$690</f>
        <v>0</v>
      </c>
      <c r="N690" s="56">
        <f ca="1">$K$690-EFEITO!$M$690*EFEITO!$Z$690</f>
        <v>22488.865431657785</v>
      </c>
      <c r="O690" s="56">
        <f>$L$690-EFEITO!$O$690*EFEITO!$AA$690</f>
        <v>25278.17518276492</v>
      </c>
      <c r="P690" s="39"/>
      <c r="Q690" s="39"/>
      <c r="R690" s="39"/>
      <c r="S690" s="39"/>
      <c r="T690" s="39"/>
      <c r="U690" s="39"/>
      <c r="V690" s="39"/>
      <c r="W690" s="3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35" t="s">
        <v>21</v>
      </c>
      <c r="B691" s="35" t="s">
        <v>22</v>
      </c>
      <c r="C691" s="35" t="s">
        <v>23</v>
      </c>
      <c r="D691" s="35" t="s">
        <v>24</v>
      </c>
      <c r="E691" s="35" t="s">
        <v>29</v>
      </c>
      <c r="F691" s="35" t="s">
        <v>25</v>
      </c>
      <c r="G691" s="35" t="s">
        <v>25</v>
      </c>
      <c r="H691" s="35" t="s">
        <v>25</v>
      </c>
      <c r="I691" s="55">
        <v>44621</v>
      </c>
      <c r="J691" s="56">
        <f>EFEITO!$J$691*EFEITO!$Y$646</f>
        <v>0</v>
      </c>
      <c r="K691" s="56">
        <f ca="1">EFEITO!$L$691*EFEITO!$Z$737</f>
        <v>37232.161473469001</v>
      </c>
      <c r="L691" s="56">
        <f>EFEITO!$N$691*EFEITO!$AA$737</f>
        <v>41850.092572231719</v>
      </c>
      <c r="M691" s="56">
        <f>$J$691-EFEITO!$K$691*EFEITO!$Y$691</f>
        <v>0</v>
      </c>
      <c r="N691" s="56">
        <f ca="1">$K$691-EFEITO!$M$691*EFEITO!$Z$691</f>
        <v>24200.90495775485</v>
      </c>
      <c r="O691" s="56">
        <f>$L$691-EFEITO!$O$691*EFEITO!$AA$691</f>
        <v>27202.560171950616</v>
      </c>
      <c r="P691" s="39"/>
      <c r="Q691" s="39"/>
      <c r="R691" s="39"/>
      <c r="S691" s="39"/>
      <c r="T691" s="39"/>
      <c r="U691" s="39"/>
      <c r="V691" s="39"/>
      <c r="W691" s="3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35" t="s">
        <v>21</v>
      </c>
      <c r="B692" s="35" t="s">
        <v>22</v>
      </c>
      <c r="C692" s="35" t="s">
        <v>23</v>
      </c>
      <c r="D692" s="35" t="s">
        <v>24</v>
      </c>
      <c r="E692" s="35" t="s">
        <v>29</v>
      </c>
      <c r="F692" s="35" t="s">
        <v>25</v>
      </c>
      <c r="G692" s="35" t="s">
        <v>25</v>
      </c>
      <c r="H692" s="35" t="s">
        <v>25</v>
      </c>
      <c r="I692" s="55">
        <v>44652</v>
      </c>
      <c r="J692" s="56">
        <f>EFEITO!$J$692*EFEITO!$Y$646</f>
        <v>0</v>
      </c>
      <c r="K692" s="56">
        <f ca="1">EFEITO!$L$692*EFEITO!$Z$737</f>
        <v>37472.729655169533</v>
      </c>
      <c r="L692" s="56">
        <f>EFEITO!$N$692*EFEITO!$AA$737</f>
        <v>42120.498594220931</v>
      </c>
      <c r="M692" s="56">
        <f>$J$692-EFEITO!$K$692*EFEITO!$Y$692</f>
        <v>0</v>
      </c>
      <c r="N692" s="56">
        <f ca="1">$K$692-EFEITO!$M$692*EFEITO!$Z$692</f>
        <v>24357.274275860196</v>
      </c>
      <c r="O692" s="56">
        <f>$L$692-EFEITO!$O$692*EFEITO!$AA$692</f>
        <v>27378.324086243607</v>
      </c>
      <c r="P692" s="39"/>
      <c r="Q692" s="39"/>
      <c r="R692" s="39"/>
      <c r="S692" s="39"/>
      <c r="T692" s="39"/>
      <c r="U692" s="39"/>
      <c r="V692" s="39"/>
      <c r="W692" s="3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35" t="s">
        <v>21</v>
      </c>
      <c r="B693" s="35" t="s">
        <v>22</v>
      </c>
      <c r="C693" s="35" t="s">
        <v>23</v>
      </c>
      <c r="D693" s="35" t="s">
        <v>24</v>
      </c>
      <c r="E693" s="35" t="s">
        <v>29</v>
      </c>
      <c r="F693" s="35" t="s">
        <v>25</v>
      </c>
      <c r="G693" s="35" t="s">
        <v>25</v>
      </c>
      <c r="H693" s="35" t="s">
        <v>25</v>
      </c>
      <c r="I693" s="55">
        <v>44682</v>
      </c>
      <c r="J693" s="56">
        <f>EFEITO!$J$693*EFEITO!$Y$646</f>
        <v>0</v>
      </c>
      <c r="K693" s="56">
        <f ca="1">EFEITO!$L$693*EFEITO!$Z$737</f>
        <v>37819.786770419596</v>
      </c>
      <c r="L693" s="56">
        <f>EFEITO!$N$693*EFEITO!$AA$737</f>
        <v>42510.601446869354</v>
      </c>
      <c r="M693" s="56">
        <f>$J$693-EFEITO!$K$693*EFEITO!$Y$693</f>
        <v>0</v>
      </c>
      <c r="N693" s="56">
        <f ca="1">$K$693-EFEITO!$M$693*EFEITO!$Z$693</f>
        <v>24582.861400772737</v>
      </c>
      <c r="O693" s="56">
        <f>$L$693-EFEITO!$O$693*EFEITO!$AA$693</f>
        <v>27631.890940465084</v>
      </c>
      <c r="P693" s="39"/>
      <c r="Q693" s="39"/>
      <c r="R693" s="39"/>
      <c r="S693" s="39"/>
      <c r="T693" s="39"/>
      <c r="U693" s="39"/>
      <c r="V693" s="39"/>
      <c r="W693" s="3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35" t="s">
        <v>27</v>
      </c>
      <c r="B694" s="35" t="s">
        <v>22</v>
      </c>
      <c r="C694" s="35" t="s">
        <v>23</v>
      </c>
      <c r="D694" s="35" t="s">
        <v>24</v>
      </c>
      <c r="E694" s="35" t="s">
        <v>29</v>
      </c>
      <c r="F694" s="35" t="s">
        <v>25</v>
      </c>
      <c r="G694" s="35" t="s">
        <v>25</v>
      </c>
      <c r="H694" s="35" t="s">
        <v>25</v>
      </c>
      <c r="I694" s="55">
        <v>44682</v>
      </c>
      <c r="J694" s="56">
        <f>EFEITO!$J$694*EFEITO!$Y$646</f>
        <v>0</v>
      </c>
      <c r="K694" s="56">
        <f ca="1">EFEITO!$L$694*EFEITO!$Z$737</f>
        <v>14.521218211299736</v>
      </c>
      <c r="L694" s="56">
        <f>EFEITO!$N$694*EFEITO!$AA$737</f>
        <v>16.322295089892052</v>
      </c>
      <c r="M694" s="56">
        <f>$J$694-EFEITO!$K$694*EFEITO!$Y$694</f>
        <v>0</v>
      </c>
      <c r="N694" s="56">
        <f ca="1">$K$694-EFEITO!$M$694*EFEITO!$Z$694</f>
        <v>9.4387918373448283</v>
      </c>
      <c r="O694" s="56">
        <f>$L$694-EFEITO!$O$694*EFEITO!$AA$694</f>
        <v>10.609491808429834</v>
      </c>
      <c r="P694" s="39"/>
      <c r="Q694" s="39"/>
      <c r="R694" s="39"/>
      <c r="S694" s="39"/>
      <c r="T694" s="39"/>
      <c r="U694" s="39"/>
      <c r="V694" s="39"/>
      <c r="W694" s="39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35" t="s">
        <v>21</v>
      </c>
      <c r="B695" s="35" t="s">
        <v>22</v>
      </c>
      <c r="C695" s="35" t="s">
        <v>23</v>
      </c>
      <c r="D695" s="35" t="s">
        <v>24</v>
      </c>
      <c r="E695" s="35" t="s">
        <v>30</v>
      </c>
      <c r="F695" s="35" t="s">
        <v>25</v>
      </c>
      <c r="G695" s="35" t="s">
        <v>25</v>
      </c>
      <c r="H695" s="35" t="s">
        <v>25</v>
      </c>
      <c r="I695" s="55">
        <v>44348</v>
      </c>
      <c r="J695" s="56">
        <f>EFEITO!$J$695*EFEITO!$Y$646</f>
        <v>0</v>
      </c>
      <c r="K695" s="56">
        <f ca="1">EFEITO!$L$695*EFEITO!$Z$737</f>
        <v>63347.846365581005</v>
      </c>
      <c r="L695" s="56">
        <f>EFEITO!$N$695*EFEITO!$AA$737</f>
        <v>71204.92417664807</v>
      </c>
      <c r="M695" s="56">
        <f>$J$695-EFEITO!$K$695*EFEITO!$Y$695</f>
        <v>0</v>
      </c>
      <c r="N695" s="56">
        <f ca="1">$K$695-EFEITO!$M$695*EFEITO!$Z$695</f>
        <v>25339.138546232396</v>
      </c>
      <c r="O695" s="56">
        <f>$L$695-EFEITO!$O$695*EFEITO!$AA$695</f>
        <v>28481.969670659222</v>
      </c>
      <c r="P695" s="39"/>
      <c r="Q695" s="39"/>
      <c r="R695" s="39"/>
      <c r="S695" s="39"/>
      <c r="T695" s="39"/>
      <c r="U695" s="39"/>
      <c r="V695" s="39"/>
      <c r="W695" s="39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35" t="s">
        <v>27</v>
      </c>
      <c r="B696" s="35" t="s">
        <v>22</v>
      </c>
      <c r="C696" s="35" t="s">
        <v>23</v>
      </c>
      <c r="D696" s="35" t="s">
        <v>24</v>
      </c>
      <c r="E696" s="35" t="s">
        <v>30</v>
      </c>
      <c r="F696" s="35" t="s">
        <v>25</v>
      </c>
      <c r="G696" s="35" t="s">
        <v>25</v>
      </c>
      <c r="H696" s="35" t="s">
        <v>25</v>
      </c>
      <c r="I696" s="55">
        <v>44348</v>
      </c>
      <c r="J696" s="56">
        <f>EFEITO!$J$696*EFEITO!$Y$646</f>
        <v>0</v>
      </c>
      <c r="K696" s="56">
        <f ca="1">EFEITO!$L$696*EFEITO!$Z$737</f>
        <v>-2.1781827316949602</v>
      </c>
      <c r="L696" s="56">
        <f>EFEITO!$N$696*EFEITO!$AA$737</f>
        <v>-2.4483442634838073</v>
      </c>
      <c r="M696" s="56">
        <f>$J$696-EFEITO!$K$696*EFEITO!$Y$696</f>
        <v>0</v>
      </c>
      <c r="N696" s="56">
        <f ca="1">$K$696-EFEITO!$M$696*EFEITO!$Z$696</f>
        <v>-0.87127309267798392</v>
      </c>
      <c r="O696" s="56">
        <f>$L$696-EFEITO!$O$696*EFEITO!$AA$696</f>
        <v>-0.97933770539352283</v>
      </c>
      <c r="P696" s="39"/>
      <c r="Q696" s="39"/>
      <c r="R696" s="39"/>
      <c r="S696" s="39"/>
      <c r="T696" s="39"/>
      <c r="U696" s="39"/>
      <c r="V696" s="39"/>
      <c r="W696" s="39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35" t="s">
        <v>21</v>
      </c>
      <c r="B697" s="35" t="s">
        <v>22</v>
      </c>
      <c r="C697" s="35" t="s">
        <v>23</v>
      </c>
      <c r="D697" s="35" t="s">
        <v>24</v>
      </c>
      <c r="E697" s="35" t="s">
        <v>30</v>
      </c>
      <c r="F697" s="35" t="s">
        <v>25</v>
      </c>
      <c r="G697" s="35" t="s">
        <v>25</v>
      </c>
      <c r="H697" s="35" t="s">
        <v>25</v>
      </c>
      <c r="I697" s="55">
        <v>44378</v>
      </c>
      <c r="J697" s="56">
        <f>EFEITO!$J$697*EFEITO!$Y$646</f>
        <v>0</v>
      </c>
      <c r="K697" s="56">
        <f ca="1">EFEITO!$L$697*EFEITO!$Z$737</f>
        <v>63316.383726123197</v>
      </c>
      <c r="L697" s="56">
        <f>EFEITO!$N$697*EFEITO!$AA$737</f>
        <v>71169.559203953308</v>
      </c>
      <c r="M697" s="56">
        <f>$J$697-EFEITO!$K$697*EFEITO!$Y$697</f>
        <v>0</v>
      </c>
      <c r="N697" s="56">
        <f ca="1">$K$697-EFEITO!$M$697*EFEITO!$Z$697</f>
        <v>25326.553490449282</v>
      </c>
      <c r="O697" s="56">
        <f>$L$697-EFEITO!$O$697*EFEITO!$AA$697</f>
        <v>28467.823681581322</v>
      </c>
      <c r="P697" s="39"/>
      <c r="Q697" s="39"/>
      <c r="R697" s="39"/>
      <c r="S697" s="39"/>
      <c r="T697" s="39"/>
      <c r="U697" s="39"/>
      <c r="V697" s="39"/>
      <c r="W697" s="39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35" t="s">
        <v>27</v>
      </c>
      <c r="B698" s="35" t="s">
        <v>22</v>
      </c>
      <c r="C698" s="35" t="s">
        <v>23</v>
      </c>
      <c r="D698" s="35" t="s">
        <v>24</v>
      </c>
      <c r="E698" s="35" t="s">
        <v>30</v>
      </c>
      <c r="F698" s="35" t="s">
        <v>25</v>
      </c>
      <c r="G698" s="35" t="s">
        <v>25</v>
      </c>
      <c r="H698" s="35" t="s">
        <v>25</v>
      </c>
      <c r="I698" s="55">
        <v>44378</v>
      </c>
      <c r="J698" s="56">
        <f>EFEITO!$J$698*EFEITO!$Y$646</f>
        <v>0</v>
      </c>
      <c r="K698" s="56">
        <f ca="1">EFEITO!$L$698*EFEITO!$Z$737</f>
        <v>-0.96808121408664916</v>
      </c>
      <c r="L698" s="56">
        <f>EFEITO!$N$698*EFEITO!$AA$737</f>
        <v>-1.0881530059928035</v>
      </c>
      <c r="M698" s="56">
        <f>$J$698-EFEITO!$K$698*EFEITO!$Y$698</f>
        <v>0</v>
      </c>
      <c r="N698" s="56">
        <f ca="1">$K$698-EFEITO!$M$698*EFEITO!$Z$698</f>
        <v>-0.38723248563465962</v>
      </c>
      <c r="O698" s="56">
        <f>$L$698-EFEITO!$O$698*EFEITO!$AA$698</f>
        <v>-0.43526120239712141</v>
      </c>
      <c r="P698" s="39"/>
      <c r="Q698" s="39"/>
      <c r="R698" s="39"/>
      <c r="S698" s="39"/>
      <c r="T698" s="39"/>
      <c r="U698" s="39"/>
      <c r="V698" s="39"/>
      <c r="W698" s="39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35" t="s">
        <v>21</v>
      </c>
      <c r="B699" s="35" t="s">
        <v>22</v>
      </c>
      <c r="C699" s="35" t="s">
        <v>23</v>
      </c>
      <c r="D699" s="35" t="s">
        <v>24</v>
      </c>
      <c r="E699" s="35" t="s">
        <v>30</v>
      </c>
      <c r="F699" s="35" t="s">
        <v>25</v>
      </c>
      <c r="G699" s="35" t="s">
        <v>25</v>
      </c>
      <c r="H699" s="35" t="s">
        <v>25</v>
      </c>
      <c r="I699" s="55">
        <v>44409</v>
      </c>
      <c r="J699" s="56">
        <f>EFEITO!$J$699*EFEITO!$Y$646</f>
        <v>0</v>
      </c>
      <c r="K699" s="56">
        <f ca="1">EFEITO!$L$699*EFEITO!$Z$737</f>
        <v>64294.387772654227</v>
      </c>
      <c r="L699" s="56">
        <f>EFEITO!$N$699*EFEITO!$AA$737</f>
        <v>72268.865778257532</v>
      </c>
      <c r="M699" s="56">
        <f>$J$699-EFEITO!$K$699*EFEITO!$Y$699</f>
        <v>0</v>
      </c>
      <c r="N699" s="56">
        <f ca="1">$K$699-EFEITO!$M$699*EFEITO!$Z$699</f>
        <v>25717.755109061691</v>
      </c>
      <c r="O699" s="56">
        <f>$L$699-EFEITO!$O$699*EFEITO!$AA$699</f>
        <v>28907.546311303005</v>
      </c>
      <c r="P699" s="39"/>
      <c r="Q699" s="39"/>
      <c r="R699" s="39"/>
      <c r="S699" s="39"/>
      <c r="T699" s="39"/>
      <c r="U699" s="39"/>
      <c r="V699" s="39"/>
      <c r="W699" s="39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35" t="s">
        <v>27</v>
      </c>
      <c r="B700" s="35" t="s">
        <v>22</v>
      </c>
      <c r="C700" s="35" t="s">
        <v>23</v>
      </c>
      <c r="D700" s="35" t="s">
        <v>24</v>
      </c>
      <c r="E700" s="35" t="s">
        <v>30</v>
      </c>
      <c r="F700" s="35" t="s">
        <v>25</v>
      </c>
      <c r="G700" s="35" t="s">
        <v>25</v>
      </c>
      <c r="H700" s="35" t="s">
        <v>25</v>
      </c>
      <c r="I700" s="55">
        <v>44409</v>
      </c>
      <c r="J700" s="56">
        <f>EFEITO!$J$700*EFEITO!$Y$646</f>
        <v>0</v>
      </c>
      <c r="K700" s="56">
        <f ca="1">EFEITO!$L$700*EFEITO!$Z$737</f>
        <v>-9.4387918373448283</v>
      </c>
      <c r="L700" s="56">
        <f>EFEITO!$N$700*EFEITO!$AA$737</f>
        <v>-10.609491808429834</v>
      </c>
      <c r="M700" s="56">
        <f>$J$700-EFEITO!$K$700*EFEITO!$Y$700</f>
        <v>0</v>
      </c>
      <c r="N700" s="56">
        <f ca="1">$K$700-EFEITO!$M$700*EFEITO!$Z$700</f>
        <v>-3.7755167349379306</v>
      </c>
      <c r="O700" s="56">
        <f>$L$700-EFEITO!$O$700*EFEITO!$AA$700</f>
        <v>-4.2437967233719336</v>
      </c>
      <c r="P700" s="39"/>
      <c r="Q700" s="39"/>
      <c r="R700" s="39"/>
      <c r="S700" s="39"/>
      <c r="T700" s="39"/>
      <c r="U700" s="39"/>
      <c r="V700" s="39"/>
      <c r="W700" s="39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35" t="s">
        <v>21</v>
      </c>
      <c r="B701" s="35" t="s">
        <v>22</v>
      </c>
      <c r="C701" s="35" t="s">
        <v>23</v>
      </c>
      <c r="D701" s="35" t="s">
        <v>24</v>
      </c>
      <c r="E701" s="35" t="s">
        <v>30</v>
      </c>
      <c r="F701" s="35" t="s">
        <v>25</v>
      </c>
      <c r="G701" s="35" t="s">
        <v>25</v>
      </c>
      <c r="H701" s="35" t="s">
        <v>25</v>
      </c>
      <c r="I701" s="55">
        <v>44440</v>
      </c>
      <c r="J701" s="56">
        <f>EFEITO!$J$701*EFEITO!$Y$646</f>
        <v>0</v>
      </c>
      <c r="K701" s="56">
        <f ca="1">EFEITO!$L$701*EFEITO!$Z$737</f>
        <v>66160.364312806254</v>
      </c>
      <c r="L701" s="56">
        <f>EFEITO!$N$701*EFEITO!$AA$737</f>
        <v>74366.28069730867</v>
      </c>
      <c r="M701" s="56">
        <f>$J$701-EFEITO!$K$701*EFEITO!$Y$701</f>
        <v>0</v>
      </c>
      <c r="N701" s="56">
        <f ca="1">$K$701-EFEITO!$M$701*EFEITO!$Z$701</f>
        <v>26464.1457251225</v>
      </c>
      <c r="O701" s="56">
        <f>$L$701-EFEITO!$O$701*EFEITO!$AA$701</f>
        <v>29746.512278923459</v>
      </c>
      <c r="P701" s="39"/>
      <c r="Q701" s="39"/>
      <c r="R701" s="39"/>
      <c r="S701" s="39"/>
      <c r="T701" s="39"/>
      <c r="U701" s="39"/>
      <c r="V701" s="39"/>
      <c r="W701" s="39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35" t="s">
        <v>27</v>
      </c>
      <c r="B702" s="35" t="s">
        <v>22</v>
      </c>
      <c r="C702" s="35" t="s">
        <v>23</v>
      </c>
      <c r="D702" s="35" t="s">
        <v>24</v>
      </c>
      <c r="E702" s="35" t="s">
        <v>30</v>
      </c>
      <c r="F702" s="35" t="s">
        <v>25</v>
      </c>
      <c r="G702" s="35" t="s">
        <v>25</v>
      </c>
      <c r="H702" s="35" t="s">
        <v>25</v>
      </c>
      <c r="I702" s="55">
        <v>44440</v>
      </c>
      <c r="J702" s="56">
        <f>EFEITO!$J$702*EFEITO!$Y$646</f>
        <v>0</v>
      </c>
      <c r="K702" s="56">
        <f ca="1">EFEITO!$L$702*EFEITO!$Z$737</f>
        <v>-32.672740975424411</v>
      </c>
      <c r="L702" s="56">
        <f>EFEITO!$N$702*EFEITO!$AA$737</f>
        <v>-36.72516395225712</v>
      </c>
      <c r="M702" s="56">
        <f>$J$702-EFEITO!$K$702*EFEITO!$Y$702</f>
        <v>0</v>
      </c>
      <c r="N702" s="56">
        <f ca="1">$K$702-EFEITO!$M$702*EFEITO!$Z$702</f>
        <v>-13.069096390169765</v>
      </c>
      <c r="O702" s="56">
        <f>$L$702-EFEITO!$O$702*EFEITO!$AA$702</f>
        <v>-14.69006558090285</v>
      </c>
      <c r="P702" s="39"/>
      <c r="Q702" s="39"/>
      <c r="R702" s="39"/>
      <c r="S702" s="39"/>
      <c r="T702" s="39"/>
      <c r="U702" s="39"/>
      <c r="V702" s="39"/>
      <c r="W702" s="39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35" t="s">
        <v>21</v>
      </c>
      <c r="B703" s="35" t="s">
        <v>22</v>
      </c>
      <c r="C703" s="35" t="s">
        <v>23</v>
      </c>
      <c r="D703" s="35" t="s">
        <v>24</v>
      </c>
      <c r="E703" s="35" t="s">
        <v>30</v>
      </c>
      <c r="F703" s="35" t="s">
        <v>25</v>
      </c>
      <c r="G703" s="35" t="s">
        <v>25</v>
      </c>
      <c r="H703" s="35" t="s">
        <v>25</v>
      </c>
      <c r="I703" s="55">
        <v>44470</v>
      </c>
      <c r="J703" s="56">
        <f>EFEITO!$J$703*EFEITO!$Y$646</f>
        <v>0</v>
      </c>
      <c r="K703" s="56">
        <f ca="1">EFEITO!$L$703*EFEITO!$Z$737</f>
        <v>66267.579307266351</v>
      </c>
      <c r="L703" s="56">
        <f>EFEITO!$N$703*EFEITO!$AA$737</f>
        <v>74486.793642722376</v>
      </c>
      <c r="M703" s="56">
        <f>$J$703-EFEITO!$K$703*EFEITO!$Y$703</f>
        <v>0</v>
      </c>
      <c r="N703" s="56">
        <f ca="1">$K$703-EFEITO!$M$703*EFEITO!$Z$703</f>
        <v>26507.03172290654</v>
      </c>
      <c r="O703" s="56">
        <f>$L$703-EFEITO!$O$703*EFEITO!$AA$703</f>
        <v>29794.717457088947</v>
      </c>
      <c r="P703" s="39"/>
      <c r="Q703" s="39"/>
      <c r="R703" s="39"/>
      <c r="S703" s="39"/>
      <c r="T703" s="39"/>
      <c r="U703" s="39"/>
      <c r="V703" s="39"/>
      <c r="W703" s="39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35" t="s">
        <v>27</v>
      </c>
      <c r="B704" s="35" t="s">
        <v>22</v>
      </c>
      <c r="C704" s="35" t="s">
        <v>23</v>
      </c>
      <c r="D704" s="35" t="s">
        <v>24</v>
      </c>
      <c r="E704" s="35" t="s">
        <v>30</v>
      </c>
      <c r="F704" s="35" t="s">
        <v>25</v>
      </c>
      <c r="G704" s="35" t="s">
        <v>25</v>
      </c>
      <c r="H704" s="35" t="s">
        <v>25</v>
      </c>
      <c r="I704" s="55">
        <v>44470</v>
      </c>
      <c r="J704" s="56">
        <f>EFEITO!$J$704*EFEITO!$Y$646</f>
        <v>0</v>
      </c>
      <c r="K704" s="56">
        <f ca="1">EFEITO!$L$704*EFEITO!$Z$737</f>
        <v>-15.731319728908048</v>
      </c>
      <c r="L704" s="56">
        <f>EFEITO!$N$704*EFEITO!$AA$737</f>
        <v>-17.682486347383055</v>
      </c>
      <c r="M704" s="56">
        <f>$J$704-EFEITO!$K$704*EFEITO!$Y$704</f>
        <v>0</v>
      </c>
      <c r="N704" s="56">
        <f ca="1">$K$704-EFEITO!$M$704*EFEITO!$Z$704</f>
        <v>-6.2925278915632177</v>
      </c>
      <c r="O704" s="56">
        <f>$L$704-EFEITO!$O$704*EFEITO!$AA$704</f>
        <v>-7.0729945389532212</v>
      </c>
      <c r="P704" s="39"/>
      <c r="Q704" s="39"/>
      <c r="R704" s="39"/>
      <c r="S704" s="39"/>
      <c r="T704" s="39"/>
      <c r="U704" s="39"/>
      <c r="V704" s="39"/>
      <c r="W704" s="39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35" t="s">
        <v>21</v>
      </c>
      <c r="B705" s="35" t="s">
        <v>22</v>
      </c>
      <c r="C705" s="35" t="s">
        <v>23</v>
      </c>
      <c r="D705" s="35" t="s">
        <v>24</v>
      </c>
      <c r="E705" s="35" t="s">
        <v>30</v>
      </c>
      <c r="F705" s="35" t="s">
        <v>25</v>
      </c>
      <c r="G705" s="35" t="s">
        <v>25</v>
      </c>
      <c r="H705" s="35" t="s">
        <v>25</v>
      </c>
      <c r="I705" s="55">
        <v>44501</v>
      </c>
      <c r="J705" s="56">
        <f>EFEITO!$J$705*EFEITO!$Y$646</f>
        <v>0</v>
      </c>
      <c r="K705" s="56">
        <f ca="1">EFEITO!$L$705*EFEITO!$Z$737</f>
        <v>64289.305346280285</v>
      </c>
      <c r="L705" s="56">
        <f>EFEITO!$N$705*EFEITO!$AA$737</f>
        <v>72263.152974976081</v>
      </c>
      <c r="M705" s="56">
        <f>$J$705-EFEITO!$K$705*EFEITO!$Y$705</f>
        <v>0</v>
      </c>
      <c r="N705" s="56">
        <f ca="1">$K$705-EFEITO!$M$705*EFEITO!$Z$705</f>
        <v>25715.722138512116</v>
      </c>
      <c r="O705" s="56">
        <f>$L$705-EFEITO!$O$705*EFEITO!$AA$705</f>
        <v>28905.26118999043</v>
      </c>
      <c r="P705" s="39"/>
      <c r="Q705" s="39"/>
      <c r="R705" s="39"/>
      <c r="S705" s="39"/>
      <c r="T705" s="39"/>
      <c r="U705" s="39"/>
      <c r="V705" s="39"/>
      <c r="W705" s="39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35" t="s">
        <v>27</v>
      </c>
      <c r="B706" s="35" t="s">
        <v>22</v>
      </c>
      <c r="C706" s="35" t="s">
        <v>23</v>
      </c>
      <c r="D706" s="35" t="s">
        <v>24</v>
      </c>
      <c r="E706" s="35" t="s">
        <v>30</v>
      </c>
      <c r="F706" s="35" t="s">
        <v>25</v>
      </c>
      <c r="G706" s="35" t="s">
        <v>25</v>
      </c>
      <c r="H706" s="35" t="s">
        <v>25</v>
      </c>
      <c r="I706" s="55">
        <v>44501</v>
      </c>
      <c r="J706" s="56">
        <f>EFEITO!$J$706*EFEITO!$Y$646</f>
        <v>0</v>
      </c>
      <c r="K706" s="56">
        <f ca="1">EFEITO!$L$706*EFEITO!$Z$737</f>
        <v>-15.489299425386386</v>
      </c>
      <c r="L706" s="56">
        <f>EFEITO!$N$706*EFEITO!$AA$737</f>
        <v>-17.410448095884856</v>
      </c>
      <c r="M706" s="56">
        <f>$J$706-EFEITO!$K$706*EFEITO!$Y$706</f>
        <v>0</v>
      </c>
      <c r="N706" s="56">
        <f ca="1">$K$706-EFEITO!$M$706*EFEITO!$Z$706</f>
        <v>-6.1957197701545539</v>
      </c>
      <c r="O706" s="56">
        <f>$L$706-EFEITO!$O$706*EFEITO!$AA$706</f>
        <v>-6.9641792383539425</v>
      </c>
      <c r="P706" s="39"/>
      <c r="Q706" s="39"/>
      <c r="R706" s="39"/>
      <c r="S706" s="39"/>
      <c r="T706" s="39"/>
      <c r="U706" s="39"/>
      <c r="V706" s="39"/>
      <c r="W706" s="39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35" t="s">
        <v>21</v>
      </c>
      <c r="B707" s="35" t="s">
        <v>22</v>
      </c>
      <c r="C707" s="35" t="s">
        <v>23</v>
      </c>
      <c r="D707" s="35" t="s">
        <v>24</v>
      </c>
      <c r="E707" s="35" t="s">
        <v>30</v>
      </c>
      <c r="F707" s="35" t="s">
        <v>25</v>
      </c>
      <c r="G707" s="35" t="s">
        <v>25</v>
      </c>
      <c r="H707" s="35" t="s">
        <v>25</v>
      </c>
      <c r="I707" s="55">
        <v>44531</v>
      </c>
      <c r="J707" s="56">
        <f>EFEITO!$J$707*EFEITO!$Y$646</f>
        <v>0</v>
      </c>
      <c r="K707" s="56">
        <f ca="1">EFEITO!$L$707*EFEITO!$Z$737</f>
        <v>63806.47484075457</v>
      </c>
      <c r="L707" s="56">
        <f>EFEITO!$N$707*EFEITO!$AA$737</f>
        <v>71720.436663237182</v>
      </c>
      <c r="M707" s="56">
        <f>$J$707-EFEITO!$K$707*EFEITO!$Y$707</f>
        <v>0</v>
      </c>
      <c r="N707" s="56">
        <f ca="1">$K$707-EFEITO!$M$707*EFEITO!$Z$707</f>
        <v>25522.589936301825</v>
      </c>
      <c r="O707" s="56">
        <f>$L$707-EFEITO!$O$707*EFEITO!$AA$707</f>
        <v>28688.174665294879</v>
      </c>
      <c r="P707" s="39"/>
      <c r="Q707" s="39"/>
      <c r="R707" s="39"/>
      <c r="S707" s="39"/>
      <c r="T707" s="39"/>
      <c r="U707" s="39"/>
      <c r="V707" s="39"/>
      <c r="W707" s="39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35" t="s">
        <v>27</v>
      </c>
      <c r="B708" s="35" t="s">
        <v>22</v>
      </c>
      <c r="C708" s="35" t="s">
        <v>23</v>
      </c>
      <c r="D708" s="35" t="s">
        <v>24</v>
      </c>
      <c r="E708" s="35" t="s">
        <v>30</v>
      </c>
      <c r="F708" s="35" t="s">
        <v>25</v>
      </c>
      <c r="G708" s="35" t="s">
        <v>25</v>
      </c>
      <c r="H708" s="35" t="s">
        <v>25</v>
      </c>
      <c r="I708" s="55">
        <v>44531</v>
      </c>
      <c r="J708" s="56">
        <f>EFEITO!$J$708*EFEITO!$Y$646</f>
        <v>0</v>
      </c>
      <c r="K708" s="56">
        <f ca="1">EFEITO!$L$708*EFEITO!$Z$737</f>
        <v>3.8723248563465966</v>
      </c>
      <c r="L708" s="56">
        <f>EFEITO!$N$708*EFEITO!$AA$737</f>
        <v>4.3526120239712141</v>
      </c>
      <c r="M708" s="56">
        <f>$J$708-EFEITO!$K$708*EFEITO!$Y$708</f>
        <v>0</v>
      </c>
      <c r="N708" s="56">
        <f ca="1">$K$708-EFEITO!$M$708*EFEITO!$Z$708</f>
        <v>1.5489299425386385</v>
      </c>
      <c r="O708" s="56">
        <f>$L$708-EFEITO!$O$708*EFEITO!$AA$708</f>
        <v>1.7410448095884856</v>
      </c>
      <c r="P708" s="39"/>
      <c r="Q708" s="39"/>
      <c r="R708" s="39"/>
      <c r="S708" s="39"/>
      <c r="T708" s="39"/>
      <c r="U708" s="39"/>
      <c r="V708" s="39"/>
      <c r="W708" s="39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35" t="s">
        <v>21</v>
      </c>
      <c r="B709" s="35" t="s">
        <v>22</v>
      </c>
      <c r="C709" s="35" t="s">
        <v>23</v>
      </c>
      <c r="D709" s="35" t="s">
        <v>24</v>
      </c>
      <c r="E709" s="35" t="s">
        <v>30</v>
      </c>
      <c r="F709" s="35" t="s">
        <v>25</v>
      </c>
      <c r="G709" s="35" t="s">
        <v>25</v>
      </c>
      <c r="H709" s="35" t="s">
        <v>25</v>
      </c>
      <c r="I709" s="55">
        <v>44562</v>
      </c>
      <c r="J709" s="56">
        <f>EFEITO!$J$709*EFEITO!$Y$646</f>
        <v>0</v>
      </c>
      <c r="K709" s="56">
        <f ca="1">EFEITO!$L$709*EFEITO!$Z$737</f>
        <v>64801.904349139164</v>
      </c>
      <c r="L709" s="56">
        <f>EFEITO!$N$709*EFEITO!$AA$737</f>
        <v>72839.329991649269</v>
      </c>
      <c r="M709" s="56">
        <f>$J$709-EFEITO!$K$709*EFEITO!$Y$709</f>
        <v>0</v>
      </c>
      <c r="N709" s="56">
        <f ca="1">$K$709-EFEITO!$M$709*EFEITO!$Z$709</f>
        <v>25920.761739655667</v>
      </c>
      <c r="O709" s="56">
        <f>$L$709-EFEITO!$O$709*EFEITO!$AA$709</f>
        <v>29135.731996659699</v>
      </c>
      <c r="P709" s="39"/>
      <c r="Q709" s="39"/>
      <c r="R709" s="39"/>
      <c r="S709" s="39"/>
      <c r="T709" s="39"/>
      <c r="U709" s="39"/>
      <c r="V709" s="39"/>
      <c r="W709" s="39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35" t="s">
        <v>27</v>
      </c>
      <c r="B710" s="35" t="s">
        <v>22</v>
      </c>
      <c r="C710" s="35" t="s">
        <v>23</v>
      </c>
      <c r="D710" s="35" t="s">
        <v>24</v>
      </c>
      <c r="E710" s="35" t="s">
        <v>30</v>
      </c>
      <c r="F710" s="35" t="s">
        <v>25</v>
      </c>
      <c r="G710" s="35" t="s">
        <v>25</v>
      </c>
      <c r="H710" s="35" t="s">
        <v>25</v>
      </c>
      <c r="I710" s="55">
        <v>44562</v>
      </c>
      <c r="J710" s="56">
        <f>EFEITO!$J$710*EFEITO!$Y$646</f>
        <v>0</v>
      </c>
      <c r="K710" s="56">
        <f ca="1">EFEITO!$L$710*EFEITO!$Z$737</f>
        <v>-21.781827316949602</v>
      </c>
      <c r="L710" s="56">
        <f>EFEITO!$N$710*EFEITO!$AA$737</f>
        <v>-24.483442634838077</v>
      </c>
      <c r="M710" s="56">
        <f>$J$710-EFEITO!$K$710*EFEITO!$Y$710</f>
        <v>0</v>
      </c>
      <c r="N710" s="56">
        <f ca="1">$K$710-EFEITO!$M$710*EFEITO!$Z$710</f>
        <v>-8.7127309267798392</v>
      </c>
      <c r="O710" s="56">
        <f>$L$710-EFEITO!$O$710*EFEITO!$AA$710</f>
        <v>-9.7933770539352309</v>
      </c>
      <c r="P710" s="39"/>
      <c r="Q710" s="39"/>
      <c r="R710" s="39"/>
      <c r="S710" s="39"/>
      <c r="T710" s="39"/>
      <c r="U710" s="39"/>
      <c r="V710" s="39"/>
      <c r="W710" s="39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35" t="s">
        <v>21</v>
      </c>
      <c r="B711" s="35" t="s">
        <v>22</v>
      </c>
      <c r="C711" s="35" t="s">
        <v>23</v>
      </c>
      <c r="D711" s="35" t="s">
        <v>24</v>
      </c>
      <c r="E711" s="35" t="s">
        <v>30</v>
      </c>
      <c r="F711" s="35" t="s">
        <v>25</v>
      </c>
      <c r="G711" s="35" t="s">
        <v>25</v>
      </c>
      <c r="H711" s="35" t="s">
        <v>25</v>
      </c>
      <c r="I711" s="55">
        <v>44593</v>
      </c>
      <c r="J711" s="56">
        <f>EFEITO!$J$711*EFEITO!$Y$646</f>
        <v>0</v>
      </c>
      <c r="K711" s="56">
        <f ca="1">EFEITO!$L$711*EFEITO!$Z$737</f>
        <v>68514.737825464981</v>
      </c>
      <c r="L711" s="56">
        <f>EFEITO!$N$711*EFEITO!$AA$737</f>
        <v>77012.668807883179</v>
      </c>
      <c r="M711" s="56">
        <f>$J$711-EFEITO!$K$711*EFEITO!$Y$711</f>
        <v>0</v>
      </c>
      <c r="N711" s="56">
        <f ca="1">$K$711-EFEITO!$M$711*EFEITO!$Z$711</f>
        <v>27405.895130185985</v>
      </c>
      <c r="O711" s="56">
        <f>$L$711-EFEITO!$O$711*EFEITO!$AA$711</f>
        <v>30805.067523153273</v>
      </c>
      <c r="P711" s="39"/>
      <c r="Q711" s="39"/>
      <c r="R711" s="39"/>
      <c r="S711" s="39"/>
      <c r="T711" s="39"/>
      <c r="U711" s="39"/>
      <c r="V711" s="39"/>
      <c r="W711" s="39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35" t="s">
        <v>21</v>
      </c>
      <c r="B712" s="35" t="s">
        <v>22</v>
      </c>
      <c r="C712" s="35" t="s">
        <v>23</v>
      </c>
      <c r="D712" s="35" t="s">
        <v>24</v>
      </c>
      <c r="E712" s="35" t="s">
        <v>30</v>
      </c>
      <c r="F712" s="35" t="s">
        <v>25</v>
      </c>
      <c r="G712" s="35" t="s">
        <v>25</v>
      </c>
      <c r="H712" s="35" t="s">
        <v>25</v>
      </c>
      <c r="I712" s="55">
        <v>44621</v>
      </c>
      <c r="J712" s="56">
        <f>EFEITO!$J$712*EFEITO!$Y$646</f>
        <v>0</v>
      </c>
      <c r="K712" s="56">
        <f ca="1">EFEITO!$L$712*EFEITO!$Z$737</f>
        <v>72384.884499079883</v>
      </c>
      <c r="L712" s="56">
        <f>EFEITO!$N$712*EFEITO!$AA$737</f>
        <v>81362.832487590902</v>
      </c>
      <c r="M712" s="56">
        <f>$J$712-EFEITO!$K$712*EFEITO!$Y$712</f>
        <v>0</v>
      </c>
      <c r="N712" s="56">
        <f ca="1">$K$712-EFEITO!$M$712*EFEITO!$Z$712</f>
        <v>28953.953799631949</v>
      </c>
      <c r="O712" s="56">
        <f>$L$712-EFEITO!$O$712*EFEITO!$AA$712</f>
        <v>32545.132995036358</v>
      </c>
      <c r="P712" s="39"/>
      <c r="Q712" s="39"/>
      <c r="R712" s="39"/>
      <c r="S712" s="39"/>
      <c r="T712" s="39"/>
      <c r="U712" s="39"/>
      <c r="V712" s="39"/>
      <c r="W712" s="39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35" t="s">
        <v>21</v>
      </c>
      <c r="B713" s="35" t="s">
        <v>22</v>
      </c>
      <c r="C713" s="35" t="s">
        <v>23</v>
      </c>
      <c r="D713" s="35" t="s">
        <v>24</v>
      </c>
      <c r="E713" s="35" t="s">
        <v>30</v>
      </c>
      <c r="F713" s="35" t="s">
        <v>25</v>
      </c>
      <c r="G713" s="35" t="s">
        <v>25</v>
      </c>
      <c r="H713" s="35" t="s">
        <v>25</v>
      </c>
      <c r="I713" s="55">
        <v>44652</v>
      </c>
      <c r="J713" s="56">
        <f>EFEITO!$J$713*EFEITO!$Y$646</f>
        <v>0</v>
      </c>
      <c r="K713" s="56">
        <f ca="1">EFEITO!$L$713*EFEITO!$Z$737</f>
        <v>71401.556005871375</v>
      </c>
      <c r="L713" s="56">
        <f>EFEITO!$N$713*EFEITO!$AA$737</f>
        <v>80257.541071753716</v>
      </c>
      <c r="M713" s="56">
        <f>$J$713-EFEITO!$K$713*EFEITO!$Y$713</f>
        <v>0</v>
      </c>
      <c r="N713" s="56">
        <f ca="1">$K$713-EFEITO!$M$713*EFEITO!$Z$713</f>
        <v>28560.622402348548</v>
      </c>
      <c r="O713" s="56">
        <f>$L$713-EFEITO!$O$713*EFEITO!$AA$713</f>
        <v>32103.016428701485</v>
      </c>
      <c r="P713" s="39"/>
      <c r="Q713" s="39"/>
      <c r="R713" s="39"/>
      <c r="S713" s="39"/>
      <c r="T713" s="39"/>
      <c r="U713" s="39"/>
      <c r="V713" s="39"/>
      <c r="W713" s="39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35" t="s">
        <v>21</v>
      </c>
      <c r="B714" s="35" t="s">
        <v>22</v>
      </c>
      <c r="C714" s="35" t="s">
        <v>23</v>
      </c>
      <c r="D714" s="35" t="s">
        <v>24</v>
      </c>
      <c r="E714" s="35" t="s">
        <v>30</v>
      </c>
      <c r="F714" s="35" t="s">
        <v>25</v>
      </c>
      <c r="G714" s="35" t="s">
        <v>25</v>
      </c>
      <c r="H714" s="35" t="s">
        <v>25</v>
      </c>
      <c r="I714" s="55">
        <v>44682</v>
      </c>
      <c r="J714" s="56">
        <f>EFEITO!$J$714*EFEITO!$Y$646</f>
        <v>0</v>
      </c>
      <c r="K714" s="56">
        <f ca="1">EFEITO!$L$714*EFEITO!$Z$737</f>
        <v>71784.674146346151</v>
      </c>
      <c r="L714" s="56">
        <f>EFEITO!$N$714*EFEITO!$AA$737</f>
        <v>80688.177623875366</v>
      </c>
      <c r="M714" s="56">
        <f>$J$714-EFEITO!$K$714*EFEITO!$Y$714</f>
        <v>0</v>
      </c>
      <c r="N714" s="56">
        <f ca="1">$K$714-EFEITO!$M$714*EFEITO!$Z$714</f>
        <v>28713.869658538453</v>
      </c>
      <c r="O714" s="56">
        <f>$L$714-EFEITO!$O$714*EFEITO!$AA$714</f>
        <v>32275.271049550152</v>
      </c>
      <c r="P714" s="39"/>
      <c r="Q714" s="39"/>
      <c r="R714" s="39"/>
      <c r="S714" s="39"/>
      <c r="T714" s="39"/>
      <c r="U714" s="39"/>
      <c r="V714" s="39"/>
      <c r="W714" s="39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35" t="s">
        <v>27</v>
      </c>
      <c r="B715" s="35" t="s">
        <v>22</v>
      </c>
      <c r="C715" s="35" t="s">
        <v>23</v>
      </c>
      <c r="D715" s="35" t="s">
        <v>24</v>
      </c>
      <c r="E715" s="35" t="s">
        <v>30</v>
      </c>
      <c r="F715" s="35" t="s">
        <v>25</v>
      </c>
      <c r="G715" s="35" t="s">
        <v>25</v>
      </c>
      <c r="H715" s="35" t="s">
        <v>25</v>
      </c>
      <c r="I715" s="55">
        <v>44682</v>
      </c>
      <c r="J715" s="56">
        <f>EFEITO!$J$715*EFEITO!$Y$646</f>
        <v>0</v>
      </c>
      <c r="K715" s="56">
        <f ca="1">EFEITO!$L$715*EFEITO!$Z$737</f>
        <v>16.941421246516359</v>
      </c>
      <c r="L715" s="56">
        <f>EFEITO!$N$715*EFEITO!$AA$737</f>
        <v>19.042677604874061</v>
      </c>
      <c r="M715" s="56">
        <f>$J$715-EFEITO!$K$715*EFEITO!$Y$715</f>
        <v>0</v>
      </c>
      <c r="N715" s="56">
        <f ca="1">$K$715-EFEITO!$M$715*EFEITO!$Z$715</f>
        <v>6.776568498606542</v>
      </c>
      <c r="O715" s="56">
        <f>$L$715-EFEITO!$O$715*EFEITO!$AA$715</f>
        <v>7.6170710419496235</v>
      </c>
      <c r="P715" s="39"/>
      <c r="Q715" s="39"/>
      <c r="R715" s="39"/>
      <c r="S715" s="39"/>
      <c r="T715" s="39"/>
      <c r="U715" s="39"/>
      <c r="V715" s="39"/>
      <c r="W715" s="39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35" t="s">
        <v>21</v>
      </c>
      <c r="B716" s="35" t="s">
        <v>22</v>
      </c>
      <c r="C716" s="35" t="s">
        <v>23</v>
      </c>
      <c r="D716" s="35" t="s">
        <v>24</v>
      </c>
      <c r="E716" s="35" t="s">
        <v>31</v>
      </c>
      <c r="F716" s="35" t="s">
        <v>25</v>
      </c>
      <c r="G716" s="35" t="s">
        <v>25</v>
      </c>
      <c r="H716" s="35" t="s">
        <v>25</v>
      </c>
      <c r="I716" s="55">
        <v>44348</v>
      </c>
      <c r="J716" s="56">
        <f>EFEITO!$J$716*EFEITO!$Y$646</f>
        <v>0</v>
      </c>
      <c r="K716" s="56">
        <f ca="1">EFEITO!$L$716*EFEITO!$Z$737</f>
        <v>39972.557370244787</v>
      </c>
      <c r="L716" s="56">
        <f>EFEITO!$N$716*EFEITO!$AA$737</f>
        <v>44930.381693945848</v>
      </c>
      <c r="M716" s="56">
        <f>$J$716-EFEITO!$K$716*EFEITO!$Y$716</f>
        <v>0</v>
      </c>
      <c r="N716" s="56">
        <f ca="1">$K$716-EFEITO!$M$716*EFEITO!$Z$716</f>
        <v>3997.2557370244758</v>
      </c>
      <c r="O716" s="56">
        <f>$L$716-EFEITO!$O$716*EFEITO!$AA$716</f>
        <v>4493.0381693945819</v>
      </c>
      <c r="P716" s="39"/>
      <c r="Q716" s="39"/>
      <c r="R716" s="39"/>
      <c r="S716" s="39"/>
      <c r="T716" s="39"/>
      <c r="U716" s="39"/>
      <c r="V716" s="39"/>
      <c r="W716" s="39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35" t="s">
        <v>27</v>
      </c>
      <c r="B717" s="35" t="s">
        <v>22</v>
      </c>
      <c r="C717" s="35" t="s">
        <v>23</v>
      </c>
      <c r="D717" s="35" t="s">
        <v>24</v>
      </c>
      <c r="E717" s="35" t="s">
        <v>31</v>
      </c>
      <c r="F717" s="35" t="s">
        <v>25</v>
      </c>
      <c r="G717" s="35" t="s">
        <v>25</v>
      </c>
      <c r="H717" s="35" t="s">
        <v>25</v>
      </c>
      <c r="I717" s="55">
        <v>44348</v>
      </c>
      <c r="J717" s="56">
        <f>EFEITO!$J$717*EFEITO!$Y$646</f>
        <v>0</v>
      </c>
      <c r="K717" s="56">
        <f ca="1">EFEITO!$L$717*EFEITO!$Z$737</f>
        <v>-33.882842493032719</v>
      </c>
      <c r="L717" s="56">
        <f>EFEITO!$N$717*EFEITO!$AA$737</f>
        <v>-38.085355209748123</v>
      </c>
      <c r="M717" s="56">
        <f>$J$717-EFEITO!$K$717*EFEITO!$Y$717</f>
        <v>0</v>
      </c>
      <c r="N717" s="56">
        <f ca="1">$K$717-EFEITO!$M$717*EFEITO!$Z$717</f>
        <v>-3.3882842493032683</v>
      </c>
      <c r="O717" s="56">
        <f>$L$717-EFEITO!$O$717*EFEITO!$AA$717</f>
        <v>-3.8085355209748144</v>
      </c>
      <c r="P717" s="39"/>
      <c r="Q717" s="39"/>
      <c r="R717" s="39"/>
      <c r="S717" s="39"/>
      <c r="T717" s="39"/>
      <c r="U717" s="39"/>
      <c r="V717" s="39"/>
      <c r="W717" s="39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35" t="s">
        <v>21</v>
      </c>
      <c r="B718" s="35" t="s">
        <v>22</v>
      </c>
      <c r="C718" s="35" t="s">
        <v>23</v>
      </c>
      <c r="D718" s="35" t="s">
        <v>24</v>
      </c>
      <c r="E718" s="35" t="s">
        <v>31</v>
      </c>
      <c r="F718" s="35" t="s">
        <v>25</v>
      </c>
      <c r="G718" s="35" t="s">
        <v>25</v>
      </c>
      <c r="H718" s="35" t="s">
        <v>25</v>
      </c>
      <c r="I718" s="55">
        <v>44378</v>
      </c>
      <c r="J718" s="56">
        <f>EFEITO!$J$718*EFEITO!$Y$646</f>
        <v>0</v>
      </c>
      <c r="K718" s="56">
        <f ca="1">EFEITO!$L$718*EFEITO!$Z$737</f>
        <v>39783.539513194366</v>
      </c>
      <c r="L718" s="56">
        <f>EFEITO!$N$718*EFEITO!$AA$737</f>
        <v>44717.919819525756</v>
      </c>
      <c r="M718" s="56">
        <f>$J$718-EFEITO!$K$718*EFEITO!$Y$718</f>
        <v>0</v>
      </c>
      <c r="N718" s="56">
        <f ca="1">$K$718-EFEITO!$M$718*EFEITO!$Z$718</f>
        <v>3978.3539513194337</v>
      </c>
      <c r="O718" s="56">
        <f>$L$718-EFEITO!$O$718*EFEITO!$AA$718</f>
        <v>4471.7919819525778</v>
      </c>
      <c r="P718" s="39"/>
      <c r="Q718" s="39"/>
      <c r="R718" s="39"/>
      <c r="S718" s="39"/>
      <c r="T718" s="39"/>
      <c r="U718" s="39"/>
      <c r="V718" s="39"/>
      <c r="W718" s="39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35" t="s">
        <v>27</v>
      </c>
      <c r="B719" s="35" t="s">
        <v>22</v>
      </c>
      <c r="C719" s="35" t="s">
        <v>23</v>
      </c>
      <c r="D719" s="35" t="s">
        <v>24</v>
      </c>
      <c r="E719" s="35" t="s">
        <v>31</v>
      </c>
      <c r="F719" s="35" t="s">
        <v>25</v>
      </c>
      <c r="G719" s="35" t="s">
        <v>25</v>
      </c>
      <c r="H719" s="35" t="s">
        <v>25</v>
      </c>
      <c r="I719" s="55">
        <v>44378</v>
      </c>
      <c r="J719" s="56">
        <f>EFEITO!$J$719*EFEITO!$Y$646</f>
        <v>0</v>
      </c>
      <c r="K719" s="56">
        <f ca="1">EFEITO!$L$719*EFEITO!$Z$737</f>
        <v>-33.640822189511056</v>
      </c>
      <c r="L719" s="56">
        <f>EFEITO!$N$719*EFEITO!$AA$737</f>
        <v>-37.813316958249921</v>
      </c>
      <c r="M719" s="56">
        <f>$J$719-EFEITO!$K$719*EFEITO!$Y$719</f>
        <v>0</v>
      </c>
      <c r="N719" s="56">
        <f ca="1">$K$719-EFEITO!$M$719*EFEITO!$Z$719</f>
        <v>-3.3640822189511006</v>
      </c>
      <c r="O719" s="56">
        <f>$L$719-EFEITO!$O$719*EFEITO!$AA$719</f>
        <v>-3.7813316958249885</v>
      </c>
      <c r="P719" s="39"/>
      <c r="Q719" s="39"/>
      <c r="R719" s="39"/>
      <c r="S719" s="39"/>
      <c r="T719" s="39"/>
      <c r="U719" s="39"/>
      <c r="V719" s="39"/>
      <c r="W719" s="39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35" t="s">
        <v>21</v>
      </c>
      <c r="B720" s="35" t="s">
        <v>22</v>
      </c>
      <c r="C720" s="35" t="s">
        <v>23</v>
      </c>
      <c r="D720" s="35" t="s">
        <v>24</v>
      </c>
      <c r="E720" s="35" t="s">
        <v>31</v>
      </c>
      <c r="F720" s="35" t="s">
        <v>25</v>
      </c>
      <c r="G720" s="35" t="s">
        <v>25</v>
      </c>
      <c r="H720" s="35" t="s">
        <v>25</v>
      </c>
      <c r="I720" s="55">
        <v>44409</v>
      </c>
      <c r="J720" s="56">
        <f>EFEITO!$J$720*EFEITO!$Y$646</f>
        <v>0</v>
      </c>
      <c r="K720" s="56">
        <f ca="1">EFEITO!$L$720*EFEITO!$Z$737</f>
        <v>41697.43607344367</v>
      </c>
      <c r="L720" s="56">
        <f>EFEITO!$N$720*EFEITO!$AA$737</f>
        <v>46869.198312373526</v>
      </c>
      <c r="M720" s="56">
        <f>$J$720-EFEITO!$K$720*EFEITO!$Y$720</f>
        <v>0</v>
      </c>
      <c r="N720" s="56">
        <f ca="1">$K$720-EFEITO!$M$720*EFEITO!$Z$720</f>
        <v>4169.7436073443678</v>
      </c>
      <c r="O720" s="56">
        <f>$L$720-EFEITO!$O$720*EFEITO!$AA$720</f>
        <v>4686.9198312373555</v>
      </c>
      <c r="P720" s="39"/>
      <c r="Q720" s="39"/>
      <c r="R720" s="39"/>
      <c r="S720" s="39"/>
      <c r="T720" s="39"/>
      <c r="U720" s="39"/>
      <c r="V720" s="39"/>
      <c r="W720" s="39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35" t="s">
        <v>27</v>
      </c>
      <c r="B721" s="35" t="s">
        <v>22</v>
      </c>
      <c r="C721" s="35" t="s">
        <v>23</v>
      </c>
      <c r="D721" s="35" t="s">
        <v>24</v>
      </c>
      <c r="E721" s="35" t="s">
        <v>31</v>
      </c>
      <c r="F721" s="35" t="s">
        <v>25</v>
      </c>
      <c r="G721" s="35" t="s">
        <v>25</v>
      </c>
      <c r="H721" s="35" t="s">
        <v>25</v>
      </c>
      <c r="I721" s="55">
        <v>44409</v>
      </c>
      <c r="J721" s="56">
        <f>EFEITO!$J$721*EFEITO!$Y$646</f>
        <v>0</v>
      </c>
      <c r="K721" s="56">
        <f ca="1">EFEITO!$L$721*EFEITO!$Z$737</f>
        <v>-99.712365050924845</v>
      </c>
      <c r="L721" s="56">
        <f>EFEITO!$N$721*EFEITO!$AA$737</f>
        <v>-112.07975961725874</v>
      </c>
      <c r="M721" s="56">
        <f>$J$721-EFEITO!$K$721*EFEITO!$Y$721</f>
        <v>0</v>
      </c>
      <c r="N721" s="56">
        <f ca="1">$K$721-EFEITO!$M$721*EFEITO!$Z$721</f>
        <v>-9.9712365050924774</v>
      </c>
      <c r="O721" s="56">
        <f>$L$721-EFEITO!$O$721*EFEITO!$AA$721</f>
        <v>-11.207975961725879</v>
      </c>
      <c r="P721" s="39"/>
      <c r="Q721" s="39"/>
      <c r="R721" s="39"/>
      <c r="S721" s="39"/>
      <c r="T721" s="39"/>
      <c r="U721" s="39"/>
      <c r="V721" s="39"/>
      <c r="W721" s="39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35" t="s">
        <v>21</v>
      </c>
      <c r="B722" s="35" t="s">
        <v>22</v>
      </c>
      <c r="C722" s="35" t="s">
        <v>23</v>
      </c>
      <c r="D722" s="35" t="s">
        <v>24</v>
      </c>
      <c r="E722" s="35" t="s">
        <v>31</v>
      </c>
      <c r="F722" s="35" t="s">
        <v>25</v>
      </c>
      <c r="G722" s="35" t="s">
        <v>25</v>
      </c>
      <c r="H722" s="35" t="s">
        <v>25</v>
      </c>
      <c r="I722" s="55">
        <v>44440</v>
      </c>
      <c r="J722" s="56">
        <f>EFEITO!$J$722*EFEITO!$Y$646</f>
        <v>0</v>
      </c>
      <c r="K722" s="56">
        <f ca="1">EFEITO!$L$722*EFEITO!$Z$737</f>
        <v>41693.321728283801</v>
      </c>
      <c r="L722" s="56">
        <f>EFEITO!$N$722*EFEITO!$AA$737</f>
        <v>46864.573662098053</v>
      </c>
      <c r="M722" s="56">
        <f>$J$722-EFEITO!$K$722*EFEITO!$Y$722</f>
        <v>0</v>
      </c>
      <c r="N722" s="56">
        <f ca="1">$K$722-EFEITO!$M$722*EFEITO!$Z$722</f>
        <v>4169.3321728283772</v>
      </c>
      <c r="O722" s="56">
        <f>$L$722-EFEITO!$O$722*EFEITO!$AA$722</f>
        <v>4686.4573662098046</v>
      </c>
      <c r="P722" s="39"/>
      <c r="Q722" s="39"/>
      <c r="R722" s="39"/>
      <c r="S722" s="39"/>
      <c r="T722" s="39"/>
      <c r="U722" s="39"/>
      <c r="V722" s="39"/>
      <c r="W722" s="39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35" t="s">
        <v>27</v>
      </c>
      <c r="B723" s="35" t="s">
        <v>22</v>
      </c>
      <c r="C723" s="35" t="s">
        <v>23</v>
      </c>
      <c r="D723" s="35" t="s">
        <v>24</v>
      </c>
      <c r="E723" s="35" t="s">
        <v>31</v>
      </c>
      <c r="F723" s="35" t="s">
        <v>25</v>
      </c>
      <c r="G723" s="35" t="s">
        <v>25</v>
      </c>
      <c r="H723" s="35" t="s">
        <v>25</v>
      </c>
      <c r="I723" s="55">
        <v>44440</v>
      </c>
      <c r="J723" s="56">
        <f>EFEITO!$J$723*EFEITO!$Y$646</f>
        <v>0</v>
      </c>
      <c r="K723" s="56">
        <f ca="1">EFEITO!$L$723*EFEITO!$Z$737</f>
        <v>-56.148710417025647</v>
      </c>
      <c r="L723" s="56">
        <f>EFEITO!$N$723*EFEITO!$AA$737</f>
        <v>-63.112874347582597</v>
      </c>
      <c r="M723" s="56">
        <f>$J$723-EFEITO!$K$723*EFEITO!$Y$723</f>
        <v>0</v>
      </c>
      <c r="N723" s="56">
        <f ca="1">$K$723-EFEITO!$M$723*EFEITO!$Z$723</f>
        <v>-5.614871041702564</v>
      </c>
      <c r="O723" s="56">
        <f>$L$723-EFEITO!$O$723*EFEITO!$AA$723</f>
        <v>-6.3112874347582562</v>
      </c>
      <c r="P723" s="39"/>
      <c r="Q723" s="39"/>
      <c r="R723" s="39"/>
      <c r="S723" s="39"/>
      <c r="T723" s="39"/>
      <c r="U723" s="39"/>
      <c r="V723" s="39"/>
      <c r="W723" s="39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35" t="s">
        <v>21</v>
      </c>
      <c r="B724" s="35" t="s">
        <v>22</v>
      </c>
      <c r="C724" s="35" t="s">
        <v>23</v>
      </c>
      <c r="D724" s="35" t="s">
        <v>24</v>
      </c>
      <c r="E724" s="35" t="s">
        <v>31</v>
      </c>
      <c r="F724" s="35" t="s">
        <v>25</v>
      </c>
      <c r="G724" s="35" t="s">
        <v>25</v>
      </c>
      <c r="H724" s="35" t="s">
        <v>25</v>
      </c>
      <c r="I724" s="55">
        <v>44470</v>
      </c>
      <c r="J724" s="56">
        <f>EFEITO!$J$724*EFEITO!$Y$646</f>
        <v>0</v>
      </c>
      <c r="K724" s="56">
        <f ca="1">EFEITO!$L$724*EFEITO!$Z$737</f>
        <v>41934.373950591376</v>
      </c>
      <c r="L724" s="56">
        <f>EFEITO!$N$724*EFEITO!$AA$737</f>
        <v>47135.523760590266</v>
      </c>
      <c r="M724" s="56">
        <f>$J$724-EFEITO!$K$724*EFEITO!$Y$724</f>
        <v>0</v>
      </c>
      <c r="N724" s="56">
        <f ca="1">$K$724-EFEITO!$M$724*EFEITO!$Z$724</f>
        <v>4193.4373950591325</v>
      </c>
      <c r="O724" s="56">
        <f>$L$724-EFEITO!$O$724*EFEITO!$AA$724</f>
        <v>4713.5523760590295</v>
      </c>
      <c r="P724" s="39"/>
      <c r="Q724" s="39"/>
      <c r="R724" s="39"/>
      <c r="S724" s="39"/>
      <c r="T724" s="39"/>
      <c r="U724" s="39"/>
      <c r="V724" s="39"/>
      <c r="W724" s="39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35" t="s">
        <v>27</v>
      </c>
      <c r="B725" s="35" t="s">
        <v>22</v>
      </c>
      <c r="C725" s="35" t="s">
        <v>23</v>
      </c>
      <c r="D725" s="35" t="s">
        <v>24</v>
      </c>
      <c r="E725" s="35" t="s">
        <v>31</v>
      </c>
      <c r="F725" s="35" t="s">
        <v>25</v>
      </c>
      <c r="G725" s="35" t="s">
        <v>25</v>
      </c>
      <c r="H725" s="35" t="s">
        <v>25</v>
      </c>
      <c r="I725" s="55">
        <v>44470</v>
      </c>
      <c r="J725" s="56">
        <f>EFEITO!$J$725*EFEITO!$Y$646</f>
        <v>0</v>
      </c>
      <c r="K725" s="56">
        <f ca="1">EFEITO!$L$725*EFEITO!$Z$737</f>
        <v>-77.930537733975257</v>
      </c>
      <c r="L725" s="56">
        <f>EFEITO!$N$725*EFEITO!$AA$737</f>
        <v>-87.596316982420674</v>
      </c>
      <c r="M725" s="56">
        <f>$J$725-EFEITO!$K$725*EFEITO!$Y$725</f>
        <v>0</v>
      </c>
      <c r="N725" s="56">
        <f ca="1">$K$725-EFEITO!$M$725*EFEITO!$Z$725</f>
        <v>-7.7930537733975314</v>
      </c>
      <c r="O725" s="56">
        <f>$L$725-EFEITO!$O$725*EFEITO!$AA$725</f>
        <v>-8.7596316982420745</v>
      </c>
      <c r="P725" s="39"/>
      <c r="Q725" s="39"/>
      <c r="R725" s="39"/>
      <c r="S725" s="39"/>
      <c r="T725" s="39"/>
      <c r="U725" s="39"/>
      <c r="V725" s="39"/>
      <c r="W725" s="39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35" t="s">
        <v>21</v>
      </c>
      <c r="B726" s="35" t="s">
        <v>22</v>
      </c>
      <c r="C726" s="35" t="s">
        <v>23</v>
      </c>
      <c r="D726" s="35" t="s">
        <v>24</v>
      </c>
      <c r="E726" s="35" t="s">
        <v>31</v>
      </c>
      <c r="F726" s="35" t="s">
        <v>25</v>
      </c>
      <c r="G726" s="35" t="s">
        <v>25</v>
      </c>
      <c r="H726" s="35" t="s">
        <v>25</v>
      </c>
      <c r="I726" s="55">
        <v>44501</v>
      </c>
      <c r="J726" s="56">
        <f>EFEITO!$J$726*EFEITO!$Y$646</f>
        <v>0</v>
      </c>
      <c r="K726" s="56">
        <f ca="1">EFEITO!$L$726*EFEITO!$Z$737</f>
        <v>39686.489371482174</v>
      </c>
      <c r="L726" s="56">
        <f>EFEITO!$N$726*EFEITO!$AA$737</f>
        <v>44608.832480674973</v>
      </c>
      <c r="M726" s="56">
        <f>$J$726-EFEITO!$K$726*EFEITO!$Y$726</f>
        <v>0</v>
      </c>
      <c r="N726" s="56">
        <f ca="1">$K$726-EFEITO!$M$726*EFEITO!$Z$726</f>
        <v>3968.6489371482166</v>
      </c>
      <c r="O726" s="56">
        <f>$L$726-EFEITO!$O$726*EFEITO!$AA$726</f>
        <v>4460.8832480674973</v>
      </c>
      <c r="P726" s="39"/>
      <c r="Q726" s="39"/>
      <c r="R726" s="39"/>
      <c r="S726" s="39"/>
      <c r="T726" s="39"/>
      <c r="U726" s="39"/>
      <c r="V726" s="39"/>
      <c r="W726" s="39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35" t="s">
        <v>27</v>
      </c>
      <c r="B727" s="35" t="s">
        <v>22</v>
      </c>
      <c r="C727" s="35" t="s">
        <v>23</v>
      </c>
      <c r="D727" s="35" t="s">
        <v>24</v>
      </c>
      <c r="E727" s="35" t="s">
        <v>31</v>
      </c>
      <c r="F727" s="35" t="s">
        <v>25</v>
      </c>
      <c r="G727" s="35" t="s">
        <v>25</v>
      </c>
      <c r="H727" s="35" t="s">
        <v>25</v>
      </c>
      <c r="I727" s="55">
        <v>44501</v>
      </c>
      <c r="J727" s="56">
        <f>EFEITO!$J$727*EFEITO!$Y$646</f>
        <v>0</v>
      </c>
      <c r="K727" s="56">
        <f ca="1">EFEITO!$L$727*EFEITO!$Z$737</f>
        <v>-40.417390688117599</v>
      </c>
      <c r="L727" s="56">
        <f>EFEITO!$N$727*EFEITO!$AA$737</f>
        <v>-45.430388000199542</v>
      </c>
      <c r="M727" s="56">
        <f>$J$727-EFEITO!$K$727*EFEITO!$Y$727</f>
        <v>0</v>
      </c>
      <c r="N727" s="56">
        <f ca="1">$K$727-EFEITO!$M$727*EFEITO!$Z$727</f>
        <v>-4.0417390688117578</v>
      </c>
      <c r="O727" s="56">
        <f>$L$727-EFEITO!$O$727*EFEITO!$AA$727</f>
        <v>-4.54303880001995</v>
      </c>
      <c r="P727" s="39"/>
      <c r="Q727" s="39"/>
      <c r="R727" s="39"/>
      <c r="S727" s="39"/>
      <c r="T727" s="39"/>
      <c r="U727" s="39"/>
      <c r="V727" s="39"/>
      <c r="W727" s="39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35" t="s">
        <v>21</v>
      </c>
      <c r="B728" s="35" t="s">
        <v>22</v>
      </c>
      <c r="C728" s="35" t="s">
        <v>23</v>
      </c>
      <c r="D728" s="35" t="s">
        <v>24</v>
      </c>
      <c r="E728" s="35" t="s">
        <v>31</v>
      </c>
      <c r="F728" s="35" t="s">
        <v>25</v>
      </c>
      <c r="G728" s="35" t="s">
        <v>25</v>
      </c>
      <c r="H728" s="35" t="s">
        <v>25</v>
      </c>
      <c r="I728" s="55">
        <v>44531</v>
      </c>
      <c r="J728" s="56">
        <f>EFEITO!$J$728*EFEITO!$Y$646</f>
        <v>0</v>
      </c>
      <c r="K728" s="56">
        <f ca="1">EFEITO!$L$728*EFEITO!$Z$737</f>
        <v>38114.325479805462</v>
      </c>
      <c r="L728" s="56">
        <f>EFEITO!$N$728*EFEITO!$AA$737</f>
        <v>42841.671998942664</v>
      </c>
      <c r="M728" s="56">
        <f>$J$728-EFEITO!$K$728*EFEITO!$Y$728</f>
        <v>0</v>
      </c>
      <c r="N728" s="56">
        <f ca="1">$K$728-EFEITO!$M$728*EFEITO!$Z$728</f>
        <v>3811.4325479805411</v>
      </c>
      <c r="O728" s="56">
        <f>$L$728-EFEITO!$O$728*EFEITO!$AA$728</f>
        <v>4284.1671998942693</v>
      </c>
      <c r="P728" s="39"/>
      <c r="Q728" s="39"/>
      <c r="R728" s="39"/>
      <c r="S728" s="39"/>
      <c r="T728" s="39"/>
      <c r="U728" s="39"/>
      <c r="V728" s="39"/>
      <c r="W728" s="39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35" t="s">
        <v>27</v>
      </c>
      <c r="B729" s="35" t="s">
        <v>22</v>
      </c>
      <c r="C729" s="35" t="s">
        <v>23</v>
      </c>
      <c r="D729" s="35" t="s">
        <v>24</v>
      </c>
      <c r="E729" s="35" t="s">
        <v>31</v>
      </c>
      <c r="F729" s="35" t="s">
        <v>25</v>
      </c>
      <c r="G729" s="35" t="s">
        <v>25</v>
      </c>
      <c r="H729" s="35" t="s">
        <v>25</v>
      </c>
      <c r="I729" s="55">
        <v>44531</v>
      </c>
      <c r="J729" s="56">
        <f>EFEITO!$J$729*EFEITO!$Y$646</f>
        <v>0</v>
      </c>
      <c r="K729" s="56">
        <f ca="1">EFEITO!$L$729*EFEITO!$Z$737</f>
        <v>-80.592761072713543</v>
      </c>
      <c r="L729" s="56">
        <f>EFEITO!$N$729*EFEITO!$AA$737</f>
        <v>-90.588737748900883</v>
      </c>
      <c r="M729" s="56">
        <f>$J$729-EFEITO!$K$729*EFEITO!$Y$729</f>
        <v>0</v>
      </c>
      <c r="N729" s="56">
        <f ca="1">$K$729-EFEITO!$M$729*EFEITO!$Z$729</f>
        <v>-8.0592761072713586</v>
      </c>
      <c r="O729" s="56">
        <f>$L$729-EFEITO!$O$729*EFEITO!$AA$729</f>
        <v>-9.0588737748900883</v>
      </c>
      <c r="P729" s="39"/>
      <c r="Q729" s="39"/>
      <c r="R729" s="39"/>
      <c r="S729" s="39"/>
      <c r="T729" s="39"/>
      <c r="U729" s="39"/>
      <c r="V729" s="39"/>
      <c r="W729" s="39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35" t="s">
        <v>21</v>
      </c>
      <c r="B730" s="35" t="s">
        <v>22</v>
      </c>
      <c r="C730" s="35" t="s">
        <v>23</v>
      </c>
      <c r="D730" s="35" t="s">
        <v>24</v>
      </c>
      <c r="E730" s="35" t="s">
        <v>31</v>
      </c>
      <c r="F730" s="35" t="s">
        <v>25</v>
      </c>
      <c r="G730" s="35" t="s">
        <v>25</v>
      </c>
      <c r="H730" s="35" t="s">
        <v>25</v>
      </c>
      <c r="I730" s="55">
        <v>44562</v>
      </c>
      <c r="J730" s="56">
        <f>EFEITO!$J$730*EFEITO!$Y$646</f>
        <v>0</v>
      </c>
      <c r="K730" s="56">
        <f ca="1">EFEITO!$L$730*EFEITO!$Z$737</f>
        <v>39834.847817540955</v>
      </c>
      <c r="L730" s="56">
        <f>EFEITO!$N$730*EFEITO!$AA$737</f>
        <v>44775.591928843372</v>
      </c>
      <c r="M730" s="56">
        <f>$J$730-EFEITO!$K$730*EFEITO!$Y$730</f>
        <v>0</v>
      </c>
      <c r="N730" s="56">
        <f ca="1">$K$730-EFEITO!$M$730*EFEITO!$Z$730</f>
        <v>3983.484781754094</v>
      </c>
      <c r="O730" s="56">
        <f>$L$730-EFEITO!$O$730*EFEITO!$AA$730</f>
        <v>4477.5591928843423</v>
      </c>
      <c r="P730" s="39"/>
      <c r="Q730" s="39"/>
      <c r="R730" s="39"/>
      <c r="S730" s="39"/>
      <c r="T730" s="39"/>
      <c r="U730" s="39"/>
      <c r="V730" s="39"/>
      <c r="W730" s="39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35" t="s">
        <v>27</v>
      </c>
      <c r="B731" s="35" t="s">
        <v>22</v>
      </c>
      <c r="C731" s="35" t="s">
        <v>23</v>
      </c>
      <c r="D731" s="35" t="s">
        <v>24</v>
      </c>
      <c r="E731" s="35" t="s">
        <v>31</v>
      </c>
      <c r="F731" s="35" t="s">
        <v>25</v>
      </c>
      <c r="G731" s="35" t="s">
        <v>25</v>
      </c>
      <c r="H731" s="35" t="s">
        <v>25</v>
      </c>
      <c r="I731" s="55">
        <v>44562</v>
      </c>
      <c r="J731" s="56">
        <f>EFEITO!$J$731*EFEITO!$Y$646</f>
        <v>0</v>
      </c>
      <c r="K731" s="56">
        <f ca="1">EFEITO!$L$731*EFEITO!$Z$737</f>
        <v>-75.752355002280297</v>
      </c>
      <c r="L731" s="56">
        <f>EFEITO!$N$731*EFEITO!$AA$737</f>
        <v>-85.14797271893687</v>
      </c>
      <c r="M731" s="56">
        <f>$J$731-EFEITO!$K$731*EFEITO!$Y$731</f>
        <v>0</v>
      </c>
      <c r="N731" s="56">
        <f ca="1">$K$731-EFEITO!$M$731*EFEITO!$Z$731</f>
        <v>-7.5752355002280325</v>
      </c>
      <c r="O731" s="56">
        <f>$L$731-EFEITO!$O$731*EFEITO!$AA$731</f>
        <v>-8.5147972718936984</v>
      </c>
      <c r="P731" s="39"/>
      <c r="Q731" s="39"/>
      <c r="R731" s="39"/>
      <c r="S731" s="39"/>
      <c r="T731" s="39"/>
      <c r="U731" s="39"/>
      <c r="V731" s="39"/>
      <c r="W731" s="39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35" t="s">
        <v>21</v>
      </c>
      <c r="B732" s="35" t="s">
        <v>22</v>
      </c>
      <c r="C732" s="35" t="s">
        <v>23</v>
      </c>
      <c r="D732" s="35" t="s">
        <v>24</v>
      </c>
      <c r="E732" s="35" t="s">
        <v>31</v>
      </c>
      <c r="F732" s="35" t="s">
        <v>25</v>
      </c>
      <c r="G732" s="35" t="s">
        <v>25</v>
      </c>
      <c r="H732" s="35" t="s">
        <v>25</v>
      </c>
      <c r="I732" s="55">
        <v>44593</v>
      </c>
      <c r="J732" s="56">
        <f>EFEITO!$J$732*EFEITO!$Y$646</f>
        <v>0</v>
      </c>
      <c r="K732" s="56">
        <f ca="1">EFEITO!$L$732*EFEITO!$Z$737</f>
        <v>46412.475626652689</v>
      </c>
      <c r="L732" s="56">
        <f>EFEITO!$N$732*EFEITO!$AA$737</f>
        <v>52169.04752806147</v>
      </c>
      <c r="M732" s="56">
        <f>$J$732-EFEITO!$K$732*EFEITO!$Y$732</f>
        <v>0</v>
      </c>
      <c r="N732" s="56">
        <f ca="1">$K$732-EFEITO!$M$732*EFEITO!$Z$732</f>
        <v>4641.2475626652667</v>
      </c>
      <c r="O732" s="56">
        <f>$L$732-EFEITO!$O$732*EFEITO!$AA$732</f>
        <v>5216.9047528061492</v>
      </c>
      <c r="P732" s="39"/>
      <c r="Q732" s="39"/>
      <c r="R732" s="39"/>
      <c r="S732" s="39"/>
      <c r="T732" s="39"/>
      <c r="U732" s="39"/>
      <c r="V732" s="39"/>
      <c r="W732" s="39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35" t="s">
        <v>21</v>
      </c>
      <c r="B733" s="35" t="s">
        <v>22</v>
      </c>
      <c r="C733" s="35" t="s">
        <v>23</v>
      </c>
      <c r="D733" s="35" t="s">
        <v>24</v>
      </c>
      <c r="E733" s="35" t="s">
        <v>31</v>
      </c>
      <c r="F733" s="35" t="s">
        <v>25</v>
      </c>
      <c r="G733" s="35" t="s">
        <v>25</v>
      </c>
      <c r="H733" s="35" t="s">
        <v>25</v>
      </c>
      <c r="I733" s="55">
        <v>44621</v>
      </c>
      <c r="J733" s="56">
        <f>EFEITO!$J$733*EFEITO!$Y$646</f>
        <v>0</v>
      </c>
      <c r="K733" s="56">
        <f ca="1">EFEITO!$L$733*EFEITO!$Z$737</f>
        <v>46773.085878899969</v>
      </c>
      <c r="L733" s="56">
        <f>EFEITO!$N$733*EFEITO!$AA$737</f>
        <v>52574.384522793793</v>
      </c>
      <c r="M733" s="56">
        <f>$J$733-EFEITO!$K$733*EFEITO!$Y$733</f>
        <v>0</v>
      </c>
      <c r="N733" s="56">
        <f ca="1">$K$733-EFEITO!$M$733*EFEITO!$Z$733</f>
        <v>4677.3085878899947</v>
      </c>
      <c r="O733" s="56">
        <f>$L$733-EFEITO!$O$733*EFEITO!$AA$733</f>
        <v>5257.4384522793771</v>
      </c>
      <c r="P733" s="39"/>
      <c r="Q733" s="39"/>
      <c r="R733" s="39"/>
      <c r="S733" s="39"/>
      <c r="T733" s="39"/>
      <c r="U733" s="39"/>
      <c r="V733" s="39"/>
      <c r="W733" s="39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35" t="s">
        <v>21</v>
      </c>
      <c r="B734" s="35" t="s">
        <v>22</v>
      </c>
      <c r="C734" s="35" t="s">
        <v>23</v>
      </c>
      <c r="D734" s="35" t="s">
        <v>24</v>
      </c>
      <c r="E734" s="35" t="s">
        <v>31</v>
      </c>
      <c r="F734" s="35" t="s">
        <v>25</v>
      </c>
      <c r="G734" s="35" t="s">
        <v>25</v>
      </c>
      <c r="H734" s="35" t="s">
        <v>25</v>
      </c>
      <c r="I734" s="55">
        <v>44652</v>
      </c>
      <c r="J734" s="56">
        <f>EFEITO!$J$734*EFEITO!$Y$646</f>
        <v>0</v>
      </c>
      <c r="K734" s="56">
        <f ca="1">EFEITO!$L$734*EFEITO!$Z$737</f>
        <v>44290.199585071241</v>
      </c>
      <c r="L734" s="56">
        <f>EFEITO!$N$734*EFEITO!$AA$737</f>
        <v>49783.544100673753</v>
      </c>
      <c r="M734" s="56">
        <f>$J$734-EFEITO!$K$734*EFEITO!$Y$734</f>
        <v>0</v>
      </c>
      <c r="N734" s="56">
        <f ca="1">$K$734-EFEITO!$M$734*EFEITO!$Z$734</f>
        <v>4429.0199585071241</v>
      </c>
      <c r="O734" s="56">
        <f>$L$734-EFEITO!$O$734*EFEITO!$AA$734</f>
        <v>4978.3544100673753</v>
      </c>
      <c r="P734" s="39"/>
      <c r="Q734" s="39"/>
      <c r="R734" s="39"/>
      <c r="S734" s="39"/>
      <c r="T734" s="39"/>
      <c r="U734" s="39"/>
      <c r="V734" s="39"/>
      <c r="W734" s="39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35" t="s">
        <v>21</v>
      </c>
      <c r="B735" s="35" t="s">
        <v>22</v>
      </c>
      <c r="C735" s="35" t="s">
        <v>23</v>
      </c>
      <c r="D735" s="35" t="s">
        <v>24</v>
      </c>
      <c r="E735" s="35" t="s">
        <v>31</v>
      </c>
      <c r="F735" s="35" t="s">
        <v>25</v>
      </c>
      <c r="G735" s="35" t="s">
        <v>25</v>
      </c>
      <c r="H735" s="35" t="s">
        <v>25</v>
      </c>
      <c r="I735" s="55">
        <v>44682</v>
      </c>
      <c r="J735" s="56">
        <f>EFEITO!$J$735*EFEITO!$Y$646</f>
        <v>0</v>
      </c>
      <c r="K735" s="56">
        <f ca="1">EFEITO!$L$735*EFEITO!$Z$737</f>
        <v>44911.465704211347</v>
      </c>
      <c r="L735" s="56">
        <f>EFEITO!$N$735*EFEITO!$AA$737</f>
        <v>50481.866292269631</v>
      </c>
      <c r="M735" s="56">
        <f>$J$735-EFEITO!$K$735*EFEITO!$Y$735</f>
        <v>0</v>
      </c>
      <c r="N735" s="56">
        <f ca="1">$K$735-EFEITO!$M$735*EFEITO!$Z$735</f>
        <v>4491.1465704211369</v>
      </c>
      <c r="O735" s="56">
        <f>$L$735-EFEITO!$O$735*EFEITO!$AA$735</f>
        <v>5048.1866292269624</v>
      </c>
      <c r="P735" s="39"/>
      <c r="Q735" s="39"/>
      <c r="R735" s="39"/>
      <c r="S735" s="39"/>
      <c r="T735" s="39"/>
      <c r="U735" s="39"/>
      <c r="V735" s="39"/>
      <c r="W735" s="39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35" t="s">
        <v>27</v>
      </c>
      <c r="B736" s="35" t="s">
        <v>22</v>
      </c>
      <c r="C736" s="35" t="s">
        <v>23</v>
      </c>
      <c r="D736" s="35" t="s">
        <v>24</v>
      </c>
      <c r="E736" s="35" t="s">
        <v>31</v>
      </c>
      <c r="F736" s="35" t="s">
        <v>25</v>
      </c>
      <c r="G736" s="35" t="s">
        <v>25</v>
      </c>
      <c r="H736" s="35" t="s">
        <v>25</v>
      </c>
      <c r="I736" s="55">
        <v>44682</v>
      </c>
      <c r="J736" s="56">
        <f>EFEITO!$J$736*EFEITO!$Y$646</f>
        <v>0</v>
      </c>
      <c r="K736" s="56">
        <f ca="1">EFEITO!$L$736*EFEITO!$Z$737</f>
        <v>-37.997187652900976</v>
      </c>
      <c r="L736" s="56">
        <f>EFEITO!$N$736*EFEITO!$AA$737</f>
        <v>-42.710005485217536</v>
      </c>
      <c r="M736" s="56">
        <f>$J$736-EFEITO!$K$736*EFEITO!$Y$736</f>
        <v>0</v>
      </c>
      <c r="N736" s="56">
        <f ca="1">$K$736-EFEITO!$M$736*EFEITO!$Z$736</f>
        <v>-3.7997187652900948</v>
      </c>
      <c r="O736" s="56">
        <f>$L$736-EFEITO!$O$736*EFEITO!$AA$736</f>
        <v>-4.271000548521755</v>
      </c>
      <c r="P736" s="39"/>
      <c r="Q736" s="39"/>
      <c r="R736" s="39"/>
      <c r="S736" s="39"/>
      <c r="T736" s="39"/>
      <c r="U736" s="39"/>
      <c r="V736" s="39"/>
      <c r="W736" s="39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35" t="s">
        <v>21</v>
      </c>
      <c r="B737" s="35" t="s">
        <v>22</v>
      </c>
      <c r="C737" s="35" t="s">
        <v>23</v>
      </c>
      <c r="D737" s="35" t="s">
        <v>24</v>
      </c>
      <c r="E737" s="35" t="s">
        <v>32</v>
      </c>
      <c r="F737" s="35" t="s">
        <v>25</v>
      </c>
      <c r="G737" s="35" t="s">
        <v>25</v>
      </c>
      <c r="H737" s="35" t="s">
        <v>25</v>
      </c>
      <c r="I737" s="55">
        <v>44348</v>
      </c>
      <c r="J737" s="56">
        <f>EFEITO!$J$737*EFEITO!$Y$646</f>
        <v>0</v>
      </c>
      <c r="K737" s="56">
        <f ca="1">EFEITO!$L$737*EFEITO!$Z$737</f>
        <v>7867.838047185719</v>
      </c>
      <c r="L737" s="56">
        <f>EFEITO!$N$737*EFEITO!$AA$737</f>
        <v>8843.6915179550124</v>
      </c>
      <c r="M737" s="56">
        <f>$J$737-EFEITO!$K$737*EFEITO!$Y$737</f>
        <v>0</v>
      </c>
      <c r="N737" s="56">
        <f ca="1">$K$737-EFEITO!$M$737*EFEITO!$Z$737</f>
        <v>0</v>
      </c>
      <c r="O737" s="56">
        <f>$L$737-EFEITO!$O$737*EFEITO!$AA$737</f>
        <v>0</v>
      </c>
      <c r="P737" s="39"/>
      <c r="Q737" s="39"/>
      <c r="R737" s="39"/>
      <c r="S737" s="39"/>
      <c r="T737" s="39"/>
      <c r="U737" s="39"/>
      <c r="V737" s="39"/>
      <c r="W737" s="39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35" t="s">
        <v>27</v>
      </c>
      <c r="B738" s="35" t="s">
        <v>22</v>
      </c>
      <c r="C738" s="35" t="s">
        <v>23</v>
      </c>
      <c r="D738" s="35" t="s">
        <v>24</v>
      </c>
      <c r="E738" s="35" t="s">
        <v>32</v>
      </c>
      <c r="F738" s="35" t="s">
        <v>25</v>
      </c>
      <c r="G738" s="35" t="s">
        <v>25</v>
      </c>
      <c r="H738" s="35" t="s">
        <v>25</v>
      </c>
      <c r="I738" s="55">
        <v>44348</v>
      </c>
      <c r="J738" s="56">
        <f>EFEITO!$J$738*EFEITO!$Y$646</f>
        <v>0</v>
      </c>
      <c r="K738" s="56">
        <f ca="1">EFEITO!$L$738*EFEITO!$Z$737</f>
        <v>-39.449309474030954</v>
      </c>
      <c r="L738" s="56">
        <f>EFEITO!$N$738*EFEITO!$AA$737</f>
        <v>-44.342234994206741</v>
      </c>
      <c r="M738" s="56">
        <f>$J$738-EFEITO!$K$738*EFEITO!$Y$738</f>
        <v>0</v>
      </c>
      <c r="N738" s="56">
        <f ca="1">$K$738-EFEITO!$M$738*EFEITO!$Z$738</f>
        <v>0</v>
      </c>
      <c r="O738" s="56">
        <f>$L$738-EFEITO!$O$738*EFEITO!$AA$738</f>
        <v>0</v>
      </c>
      <c r="P738" s="39"/>
      <c r="Q738" s="39"/>
      <c r="R738" s="39"/>
      <c r="S738" s="39"/>
      <c r="T738" s="39"/>
      <c r="U738" s="39"/>
      <c r="V738" s="39"/>
      <c r="W738" s="39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35" t="s">
        <v>21</v>
      </c>
      <c r="B739" s="35" t="s">
        <v>22</v>
      </c>
      <c r="C739" s="35" t="s">
        <v>23</v>
      </c>
      <c r="D739" s="35" t="s">
        <v>24</v>
      </c>
      <c r="E739" s="35" t="s">
        <v>32</v>
      </c>
      <c r="F739" s="35" t="s">
        <v>25</v>
      </c>
      <c r="G739" s="35" t="s">
        <v>25</v>
      </c>
      <c r="H739" s="35" t="s">
        <v>25</v>
      </c>
      <c r="I739" s="55">
        <v>44378</v>
      </c>
      <c r="J739" s="56">
        <f>EFEITO!$J$739*EFEITO!$Y$646</f>
        <v>0</v>
      </c>
      <c r="K739" s="56">
        <f ca="1">EFEITO!$L$739*EFEITO!$Z$737</f>
        <v>9120.0510976067999</v>
      </c>
      <c r="L739" s="56">
        <f>EFEITO!$N$739*EFEITO!$AA$737</f>
        <v>10251.217431206702</v>
      </c>
      <c r="M739" s="56">
        <f>$J$739-EFEITO!$K$739*EFEITO!$Y$739</f>
        <v>0</v>
      </c>
      <c r="N739" s="56">
        <f ca="1">$K$739-EFEITO!$M$739*EFEITO!$Z$739</f>
        <v>0</v>
      </c>
      <c r="O739" s="56">
        <f>$L$739-EFEITO!$O$739*EFEITO!$AA$739</f>
        <v>0</v>
      </c>
      <c r="P739" s="39"/>
      <c r="Q739" s="39"/>
      <c r="R739" s="39"/>
      <c r="S739" s="39"/>
      <c r="T739" s="39"/>
      <c r="U739" s="39"/>
      <c r="V739" s="39"/>
      <c r="W739" s="39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35" t="s">
        <v>27</v>
      </c>
      <c r="B740" s="35" t="s">
        <v>22</v>
      </c>
      <c r="C740" s="35" t="s">
        <v>23</v>
      </c>
      <c r="D740" s="35" t="s">
        <v>24</v>
      </c>
      <c r="E740" s="35" t="s">
        <v>32</v>
      </c>
      <c r="F740" s="35" t="s">
        <v>25</v>
      </c>
      <c r="G740" s="35" t="s">
        <v>25</v>
      </c>
      <c r="H740" s="35" t="s">
        <v>25</v>
      </c>
      <c r="I740" s="55">
        <v>44378</v>
      </c>
      <c r="J740" s="56">
        <f>EFEITO!$J$740*EFEITO!$Y$646</f>
        <v>0</v>
      </c>
      <c r="K740" s="56">
        <f ca="1">EFEITO!$L$740*EFEITO!$Z$737</f>
        <v>-191.19603978211319</v>
      </c>
      <c r="L740" s="56">
        <f>EFEITO!$N$740*EFEITO!$AA$737</f>
        <v>-214.91021868357868</v>
      </c>
      <c r="M740" s="56">
        <f>$J$740-EFEITO!$K$740*EFEITO!$Y$740</f>
        <v>0</v>
      </c>
      <c r="N740" s="56">
        <f ca="1">$K$740-EFEITO!$M$740*EFEITO!$Z$740</f>
        <v>0</v>
      </c>
      <c r="O740" s="56">
        <f>$L$740-EFEITO!$O$740*EFEITO!$AA$740</f>
        <v>0</v>
      </c>
      <c r="P740" s="39"/>
      <c r="Q740" s="39"/>
      <c r="R740" s="39"/>
      <c r="S740" s="39"/>
      <c r="T740" s="39"/>
      <c r="U740" s="39"/>
      <c r="V740" s="39"/>
      <c r="W740" s="39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35" t="s">
        <v>21</v>
      </c>
      <c r="B741" s="35" t="s">
        <v>22</v>
      </c>
      <c r="C741" s="35" t="s">
        <v>23</v>
      </c>
      <c r="D741" s="35" t="s">
        <v>24</v>
      </c>
      <c r="E741" s="35" t="s">
        <v>32</v>
      </c>
      <c r="F741" s="35" t="s">
        <v>25</v>
      </c>
      <c r="G741" s="35" t="s">
        <v>25</v>
      </c>
      <c r="H741" s="35" t="s">
        <v>25</v>
      </c>
      <c r="I741" s="55">
        <v>44409</v>
      </c>
      <c r="J741" s="56">
        <f>EFEITO!$J$741*EFEITO!$Y$646</f>
        <v>0</v>
      </c>
      <c r="K741" s="56">
        <f ca="1">EFEITO!$L$741*EFEITO!$Z$737</f>
        <v>9154.4179807068758</v>
      </c>
      <c r="L741" s="56">
        <f>EFEITO!$N$741*EFEITO!$AA$737</f>
        <v>10289.846862919449</v>
      </c>
      <c r="M741" s="56">
        <f>$J$741-EFEITO!$K$741*EFEITO!$Y$741</f>
        <v>0</v>
      </c>
      <c r="N741" s="56">
        <f ca="1">$K$741-EFEITO!$M$741*EFEITO!$Z$741</f>
        <v>0</v>
      </c>
      <c r="O741" s="56">
        <f>$L$741-EFEITO!$O$741*EFEITO!$AA$741</f>
        <v>0</v>
      </c>
      <c r="P741" s="39"/>
      <c r="Q741" s="39"/>
      <c r="R741" s="39"/>
      <c r="S741" s="39"/>
      <c r="T741" s="39"/>
      <c r="U741" s="39"/>
      <c r="V741" s="39"/>
      <c r="W741" s="39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35" t="s">
        <v>27</v>
      </c>
      <c r="B742" s="35" t="s">
        <v>22</v>
      </c>
      <c r="C742" s="35" t="s">
        <v>23</v>
      </c>
      <c r="D742" s="35" t="s">
        <v>24</v>
      </c>
      <c r="E742" s="35" t="s">
        <v>32</v>
      </c>
      <c r="F742" s="35" t="s">
        <v>25</v>
      </c>
      <c r="G742" s="35" t="s">
        <v>25</v>
      </c>
      <c r="H742" s="35" t="s">
        <v>25</v>
      </c>
      <c r="I742" s="55">
        <v>44409</v>
      </c>
      <c r="J742" s="56">
        <f>EFEITO!$J$742*EFEITO!$Y$646</f>
        <v>0</v>
      </c>
      <c r="K742" s="56">
        <f ca="1">EFEITO!$L$742*EFEITO!$Z$737</f>
        <v>-83.981045322016797</v>
      </c>
      <c r="L742" s="56">
        <f>EFEITO!$N$742*EFEITO!$AA$737</f>
        <v>-94.397273269875683</v>
      </c>
      <c r="M742" s="56">
        <f>$J$742-EFEITO!$K$742*EFEITO!$Y$742</f>
        <v>0</v>
      </c>
      <c r="N742" s="56">
        <f ca="1">$K$742-EFEITO!$M$742*EFEITO!$Z$742</f>
        <v>0</v>
      </c>
      <c r="O742" s="56">
        <f>$L$742-EFEITO!$O$742*EFEITO!$AA$742</f>
        <v>0</v>
      </c>
      <c r="P742" s="39"/>
      <c r="Q742" s="39"/>
      <c r="R742" s="39"/>
      <c r="S742" s="39"/>
      <c r="T742" s="39"/>
      <c r="U742" s="39"/>
      <c r="V742" s="39"/>
      <c r="W742" s="39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35" t="s">
        <v>21</v>
      </c>
      <c r="B743" s="35" t="s">
        <v>22</v>
      </c>
      <c r="C743" s="35" t="s">
        <v>23</v>
      </c>
      <c r="D743" s="35" t="s">
        <v>24</v>
      </c>
      <c r="E743" s="35" t="s">
        <v>32</v>
      </c>
      <c r="F743" s="35" t="s">
        <v>25</v>
      </c>
      <c r="G743" s="35" t="s">
        <v>25</v>
      </c>
      <c r="H743" s="35" t="s">
        <v>25</v>
      </c>
      <c r="I743" s="55">
        <v>44440</v>
      </c>
      <c r="J743" s="56">
        <f>EFEITO!$J$743*EFEITO!$Y$646</f>
        <v>0</v>
      </c>
      <c r="K743" s="56">
        <f ca="1">EFEITO!$L$743*EFEITO!$Z$737</f>
        <v>7411.3877547438642</v>
      </c>
      <c r="L743" s="56">
        <f>EFEITO!$N$743*EFEITO!$AA$737</f>
        <v>8330.6273756294049</v>
      </c>
      <c r="M743" s="56">
        <f>$J$743-EFEITO!$K$743*EFEITO!$Y$743</f>
        <v>0</v>
      </c>
      <c r="N743" s="56">
        <f ca="1">$K$743-EFEITO!$M$743*EFEITO!$Z$743</f>
        <v>0</v>
      </c>
      <c r="O743" s="56">
        <f>$L$743-EFEITO!$O$743*EFEITO!$AA$743</f>
        <v>0</v>
      </c>
      <c r="P743" s="39"/>
      <c r="Q743" s="39"/>
      <c r="R743" s="39"/>
      <c r="S743" s="39"/>
      <c r="T743" s="39"/>
      <c r="U743" s="39"/>
      <c r="V743" s="39"/>
      <c r="W743" s="39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35" t="s">
        <v>27</v>
      </c>
      <c r="B744" s="35" t="s">
        <v>22</v>
      </c>
      <c r="C744" s="35" t="s">
        <v>23</v>
      </c>
      <c r="D744" s="35" t="s">
        <v>24</v>
      </c>
      <c r="E744" s="35" t="s">
        <v>32</v>
      </c>
      <c r="F744" s="35" t="s">
        <v>25</v>
      </c>
      <c r="G744" s="35" t="s">
        <v>25</v>
      </c>
      <c r="H744" s="35" t="s">
        <v>25</v>
      </c>
      <c r="I744" s="55">
        <v>44440</v>
      </c>
      <c r="J744" s="56">
        <f>EFEITO!$J$744*EFEITO!$Y$646</f>
        <v>0</v>
      </c>
      <c r="K744" s="56">
        <f ca="1">EFEITO!$L$744*EFEITO!$Z$737</f>
        <v>-4.5983857669115826</v>
      </c>
      <c r="L744" s="56">
        <f>EFEITO!$N$744*EFEITO!$AA$737</f>
        <v>-5.1687267784658157</v>
      </c>
      <c r="M744" s="56">
        <f>$J$744-EFEITO!$K$744*EFEITO!$Y$744</f>
        <v>0</v>
      </c>
      <c r="N744" s="56">
        <f ca="1">$K$744-EFEITO!$M$744*EFEITO!$Z$744</f>
        <v>0</v>
      </c>
      <c r="O744" s="56">
        <f>$L$744-EFEITO!$O$744*EFEITO!$AA$744</f>
        <v>0</v>
      </c>
      <c r="P744" s="39"/>
      <c r="Q744" s="39"/>
      <c r="R744" s="39"/>
      <c r="S744" s="39"/>
      <c r="T744" s="39"/>
      <c r="U744" s="39"/>
      <c r="V744" s="39"/>
      <c r="W744" s="39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35" t="s">
        <v>21</v>
      </c>
      <c r="B745" s="35" t="s">
        <v>22</v>
      </c>
      <c r="C745" s="35" t="s">
        <v>23</v>
      </c>
      <c r="D745" s="35" t="s">
        <v>24</v>
      </c>
      <c r="E745" s="35" t="s">
        <v>32</v>
      </c>
      <c r="F745" s="35" t="s">
        <v>25</v>
      </c>
      <c r="G745" s="35" t="s">
        <v>25</v>
      </c>
      <c r="H745" s="35" t="s">
        <v>25</v>
      </c>
      <c r="I745" s="55">
        <v>44470</v>
      </c>
      <c r="J745" s="56">
        <f>EFEITO!$J$745*EFEITO!$Y$646</f>
        <v>0</v>
      </c>
      <c r="K745" s="56">
        <f ca="1">EFEITO!$L$745*EFEITO!$Z$737</f>
        <v>7689.9531240972974</v>
      </c>
      <c r="L745" s="56">
        <f>EFEITO!$N$745*EFEITO!$AA$737</f>
        <v>8643.7434031038338</v>
      </c>
      <c r="M745" s="56">
        <f>$J$745-EFEITO!$K$745*EFEITO!$Y$745</f>
        <v>0</v>
      </c>
      <c r="N745" s="56">
        <f ca="1">$K$745-EFEITO!$M$745*EFEITO!$Z$745</f>
        <v>0</v>
      </c>
      <c r="O745" s="56">
        <f>$L$745-EFEITO!$O$745*EFEITO!$AA$745</f>
        <v>0</v>
      </c>
      <c r="P745" s="39"/>
      <c r="Q745" s="39"/>
      <c r="R745" s="39"/>
      <c r="S745" s="39"/>
      <c r="T745" s="39"/>
      <c r="U745" s="39"/>
      <c r="V745" s="39"/>
      <c r="W745" s="39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35" t="s">
        <v>27</v>
      </c>
      <c r="B746" s="35" t="s">
        <v>22</v>
      </c>
      <c r="C746" s="35" t="s">
        <v>23</v>
      </c>
      <c r="D746" s="35" t="s">
        <v>24</v>
      </c>
      <c r="E746" s="35" t="s">
        <v>32</v>
      </c>
      <c r="F746" s="35" t="s">
        <v>25</v>
      </c>
      <c r="G746" s="35" t="s">
        <v>25</v>
      </c>
      <c r="H746" s="35" t="s">
        <v>25</v>
      </c>
      <c r="I746" s="55">
        <v>44470</v>
      </c>
      <c r="J746" s="56">
        <f>EFEITO!$J$746*EFEITO!$Y$646</f>
        <v>0</v>
      </c>
      <c r="K746" s="56">
        <f ca="1">EFEITO!$L$746*EFEITO!$Z$737</f>
        <v>-146.18026332708402</v>
      </c>
      <c r="L746" s="56">
        <f>EFEITO!$N$746*EFEITO!$AA$737</f>
        <v>-164.3111039049133</v>
      </c>
      <c r="M746" s="56">
        <f>$J$746-EFEITO!$K$746*EFEITO!$Y$746</f>
        <v>0</v>
      </c>
      <c r="N746" s="56">
        <f ca="1">$K$746-EFEITO!$M$746*EFEITO!$Z$746</f>
        <v>0</v>
      </c>
      <c r="O746" s="56">
        <f>$L$746-EFEITO!$O$746*EFEITO!$AA$746</f>
        <v>0</v>
      </c>
      <c r="P746" s="39"/>
      <c r="Q746" s="39"/>
      <c r="R746" s="39"/>
      <c r="S746" s="39"/>
      <c r="T746" s="39"/>
      <c r="U746" s="39"/>
      <c r="V746" s="39"/>
      <c r="W746" s="39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35" t="s">
        <v>21</v>
      </c>
      <c r="B747" s="35" t="s">
        <v>22</v>
      </c>
      <c r="C747" s="35" t="s">
        <v>23</v>
      </c>
      <c r="D747" s="35" t="s">
        <v>24</v>
      </c>
      <c r="E747" s="35" t="s">
        <v>32</v>
      </c>
      <c r="F747" s="35" t="s">
        <v>25</v>
      </c>
      <c r="G747" s="35" t="s">
        <v>25</v>
      </c>
      <c r="H747" s="35" t="s">
        <v>25</v>
      </c>
      <c r="I747" s="55">
        <v>44501</v>
      </c>
      <c r="J747" s="56">
        <f>EFEITO!$J$747*EFEITO!$Y$646</f>
        <v>0</v>
      </c>
      <c r="K747" s="56">
        <f ca="1">EFEITO!$L$747*EFEITO!$Z$737</f>
        <v>7402.4330035135617</v>
      </c>
      <c r="L747" s="56">
        <f>EFEITO!$N$747*EFEITO!$AA$737</f>
        <v>8320.5619603239702</v>
      </c>
      <c r="M747" s="56">
        <f>$J$747-EFEITO!$K$747*EFEITO!$Y$747</f>
        <v>0</v>
      </c>
      <c r="N747" s="56">
        <f ca="1">$K$747-EFEITO!$M$747*EFEITO!$Z$747</f>
        <v>0</v>
      </c>
      <c r="O747" s="56">
        <f>$L$747-EFEITO!$O$747*EFEITO!$AA$747</f>
        <v>0</v>
      </c>
      <c r="P747" s="39"/>
      <c r="Q747" s="39"/>
      <c r="R747" s="39"/>
      <c r="S747" s="39"/>
      <c r="T747" s="39"/>
      <c r="U747" s="39"/>
      <c r="V747" s="39"/>
      <c r="W747" s="39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35" t="s">
        <v>27</v>
      </c>
      <c r="B748" s="35" t="s">
        <v>22</v>
      </c>
      <c r="C748" s="35" t="s">
        <v>23</v>
      </c>
      <c r="D748" s="35" t="s">
        <v>24</v>
      </c>
      <c r="E748" s="35" t="s">
        <v>32</v>
      </c>
      <c r="F748" s="35" t="s">
        <v>25</v>
      </c>
      <c r="G748" s="35" t="s">
        <v>25</v>
      </c>
      <c r="H748" s="35" t="s">
        <v>25</v>
      </c>
      <c r="I748" s="55">
        <v>44501</v>
      </c>
      <c r="J748" s="56">
        <f>EFEITO!$J$748*EFEITO!$Y$646</f>
        <v>0</v>
      </c>
      <c r="K748" s="56">
        <f ca="1">EFEITO!$L$748*EFEITO!$Z$737</f>
        <v>-109.15115688826968</v>
      </c>
      <c r="L748" s="56">
        <f>EFEITO!$N$748*EFEITO!$AA$737</f>
        <v>-122.68925142568858</v>
      </c>
      <c r="M748" s="56">
        <f>$J$748-EFEITO!$K$748*EFEITO!$Y$748</f>
        <v>0</v>
      </c>
      <c r="N748" s="56">
        <f ca="1">$K$748-EFEITO!$M$748*EFEITO!$Z$748</f>
        <v>0</v>
      </c>
      <c r="O748" s="56">
        <f>$L$748-EFEITO!$O$748*EFEITO!$AA$748</f>
        <v>0</v>
      </c>
      <c r="P748" s="39"/>
      <c r="Q748" s="39"/>
      <c r="R748" s="39"/>
      <c r="S748" s="39"/>
      <c r="T748" s="39"/>
      <c r="U748" s="39"/>
      <c r="V748" s="39"/>
      <c r="W748" s="39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35" t="s">
        <v>21</v>
      </c>
      <c r="B749" s="35" t="s">
        <v>22</v>
      </c>
      <c r="C749" s="35" t="s">
        <v>23</v>
      </c>
      <c r="D749" s="35" t="s">
        <v>24</v>
      </c>
      <c r="E749" s="35" t="s">
        <v>32</v>
      </c>
      <c r="F749" s="35" t="s">
        <v>25</v>
      </c>
      <c r="G749" s="35" t="s">
        <v>25</v>
      </c>
      <c r="H749" s="35" t="s">
        <v>25</v>
      </c>
      <c r="I749" s="55">
        <v>44531</v>
      </c>
      <c r="J749" s="56">
        <f>EFEITO!$J$749*EFEITO!$Y$646</f>
        <v>0</v>
      </c>
      <c r="K749" s="56">
        <f ca="1">EFEITO!$L$749*EFEITO!$Z$737</f>
        <v>6290.3497088315244</v>
      </c>
      <c r="L749" s="56">
        <f>EFEITO!$N$749*EFEITO!$AA$737</f>
        <v>7070.5461946897385</v>
      </c>
      <c r="M749" s="56">
        <f>$J$749-EFEITO!$K$749*EFEITO!$Y$749</f>
        <v>0</v>
      </c>
      <c r="N749" s="56">
        <f ca="1">$K$749-EFEITO!$M$749*EFEITO!$Z$749</f>
        <v>0</v>
      </c>
      <c r="O749" s="56">
        <f>$L$749-EFEITO!$O$749*EFEITO!$AA$749</f>
        <v>0</v>
      </c>
      <c r="P749" s="39"/>
      <c r="Q749" s="39"/>
      <c r="R749" s="39"/>
      <c r="S749" s="39"/>
      <c r="T749" s="39"/>
      <c r="U749" s="39"/>
      <c r="V749" s="39"/>
      <c r="W749" s="39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35" t="s">
        <v>27</v>
      </c>
      <c r="B750" s="35" t="s">
        <v>22</v>
      </c>
      <c r="C750" s="35" t="s">
        <v>23</v>
      </c>
      <c r="D750" s="35" t="s">
        <v>24</v>
      </c>
      <c r="E750" s="35" t="s">
        <v>32</v>
      </c>
      <c r="F750" s="35" t="s">
        <v>25</v>
      </c>
      <c r="G750" s="35" t="s">
        <v>25</v>
      </c>
      <c r="H750" s="35" t="s">
        <v>25</v>
      </c>
      <c r="I750" s="55">
        <v>44531</v>
      </c>
      <c r="J750" s="56">
        <f>EFEITO!$J$750*EFEITO!$Y$646</f>
        <v>0</v>
      </c>
      <c r="K750" s="56">
        <f ca="1">EFEITO!$L$750*EFEITO!$Z$737</f>
        <v>-1.6941421246516359</v>
      </c>
      <c r="L750" s="56">
        <f>EFEITO!$N$750*EFEITO!$AA$737</f>
        <v>-1.9042677604874061</v>
      </c>
      <c r="M750" s="56">
        <f>$J$750-EFEITO!$K$750*EFEITO!$Y$750</f>
        <v>0</v>
      </c>
      <c r="N750" s="56">
        <f ca="1">$K$750-EFEITO!$M$750*EFEITO!$Z$750</f>
        <v>0</v>
      </c>
      <c r="O750" s="56">
        <f>$L$750-EFEITO!$O$750*EFEITO!$AA$750</f>
        <v>0</v>
      </c>
      <c r="P750" s="39"/>
      <c r="Q750" s="39"/>
      <c r="R750" s="39"/>
      <c r="S750" s="39"/>
      <c r="T750" s="39"/>
      <c r="U750" s="39"/>
      <c r="V750" s="39"/>
      <c r="W750" s="39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35" t="s">
        <v>21</v>
      </c>
      <c r="B751" s="35" t="s">
        <v>22</v>
      </c>
      <c r="C751" s="35" t="s">
        <v>23</v>
      </c>
      <c r="D751" s="35" t="s">
        <v>24</v>
      </c>
      <c r="E751" s="35" t="s">
        <v>32</v>
      </c>
      <c r="F751" s="35" t="s">
        <v>25</v>
      </c>
      <c r="G751" s="35" t="s">
        <v>25</v>
      </c>
      <c r="H751" s="35" t="s">
        <v>25</v>
      </c>
      <c r="I751" s="55">
        <v>44562</v>
      </c>
      <c r="J751" s="56">
        <f>EFEITO!$J$751*EFEITO!$Y$646</f>
        <v>0</v>
      </c>
      <c r="K751" s="56">
        <f ca="1">EFEITO!$L$751*EFEITO!$Z$737</f>
        <v>7292.0717451076844</v>
      </c>
      <c r="L751" s="56">
        <f>EFEITO!$N$751*EFEITO!$AA$737</f>
        <v>8196.512517640791</v>
      </c>
      <c r="M751" s="56">
        <f>$J$751-EFEITO!$K$751*EFEITO!$Y$751</f>
        <v>0</v>
      </c>
      <c r="N751" s="56">
        <f ca="1">$K$751-EFEITO!$M$751*EFEITO!$Z$751</f>
        <v>0</v>
      </c>
      <c r="O751" s="56">
        <f>$L$751-EFEITO!$O$751*EFEITO!$AA$751</f>
        <v>0</v>
      </c>
      <c r="P751" s="39"/>
      <c r="Q751" s="39"/>
      <c r="R751" s="39"/>
      <c r="S751" s="39"/>
      <c r="T751" s="39"/>
      <c r="U751" s="39"/>
      <c r="V751" s="39"/>
      <c r="W751" s="39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35" t="s">
        <v>27</v>
      </c>
      <c r="B752" s="35" t="s">
        <v>22</v>
      </c>
      <c r="C752" s="35" t="s">
        <v>23</v>
      </c>
      <c r="D752" s="35" t="s">
        <v>24</v>
      </c>
      <c r="E752" s="35" t="s">
        <v>32</v>
      </c>
      <c r="F752" s="35" t="s">
        <v>25</v>
      </c>
      <c r="G752" s="35" t="s">
        <v>25</v>
      </c>
      <c r="H752" s="35" t="s">
        <v>25</v>
      </c>
      <c r="I752" s="55">
        <v>44562</v>
      </c>
      <c r="J752" s="56">
        <f>EFEITO!$J$752*EFEITO!$Y$646</f>
        <v>0</v>
      </c>
      <c r="K752" s="56">
        <f ca="1">EFEITO!$L$752*EFEITO!$Z$737</f>
        <v>-44.289715544464194</v>
      </c>
      <c r="L752" s="56">
        <f>EFEITO!$N$752*EFEITO!$AA$737</f>
        <v>-49.783000024170754</v>
      </c>
      <c r="M752" s="56">
        <f>$J$752-EFEITO!$K$752*EFEITO!$Y$752</f>
        <v>0</v>
      </c>
      <c r="N752" s="56">
        <f ca="1">$K$752-EFEITO!$M$752*EFEITO!$Z$752</f>
        <v>0</v>
      </c>
      <c r="O752" s="56">
        <f>$L$752-EFEITO!$O$752*EFEITO!$AA$752</f>
        <v>0</v>
      </c>
      <c r="P752" s="39"/>
      <c r="Q752" s="39"/>
      <c r="R752" s="39"/>
      <c r="S752" s="39"/>
      <c r="T752" s="39"/>
      <c r="U752" s="39"/>
      <c r="V752" s="39"/>
      <c r="W752" s="39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35" t="s">
        <v>21</v>
      </c>
      <c r="B753" s="35" t="s">
        <v>22</v>
      </c>
      <c r="C753" s="35" t="s">
        <v>23</v>
      </c>
      <c r="D753" s="35" t="s">
        <v>24</v>
      </c>
      <c r="E753" s="35" t="s">
        <v>32</v>
      </c>
      <c r="F753" s="35" t="s">
        <v>25</v>
      </c>
      <c r="G753" s="35" t="s">
        <v>25</v>
      </c>
      <c r="H753" s="35" t="s">
        <v>25</v>
      </c>
      <c r="I753" s="55">
        <v>44593</v>
      </c>
      <c r="J753" s="56">
        <f>EFEITO!$J$753*EFEITO!$Y$646</f>
        <v>0</v>
      </c>
      <c r="K753" s="56">
        <f ca="1">EFEITO!$L$753*EFEITO!$Z$737</f>
        <v>10106.525854761096</v>
      </c>
      <c r="L753" s="56">
        <f>EFEITO!$N$753*EFEITO!$AA$737</f>
        <v>11360.04534431337</v>
      </c>
      <c r="M753" s="56">
        <f>$J$753-EFEITO!$K$753*EFEITO!$Y$753</f>
        <v>0</v>
      </c>
      <c r="N753" s="56">
        <f ca="1">$K$753-EFEITO!$M$753*EFEITO!$Z$753</f>
        <v>0</v>
      </c>
      <c r="O753" s="56">
        <f>$L$753-EFEITO!$O$753*EFEITO!$AA$753</f>
        <v>0</v>
      </c>
      <c r="P753" s="39"/>
      <c r="Q753" s="39"/>
      <c r="R753" s="39"/>
      <c r="S753" s="39"/>
      <c r="T753" s="39"/>
      <c r="U753" s="39"/>
      <c r="V753" s="39"/>
      <c r="W753" s="39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35" t="s">
        <v>21</v>
      </c>
      <c r="B754" s="35" t="s">
        <v>22</v>
      </c>
      <c r="C754" s="35" t="s">
        <v>23</v>
      </c>
      <c r="D754" s="35" t="s">
        <v>24</v>
      </c>
      <c r="E754" s="35" t="s">
        <v>32</v>
      </c>
      <c r="F754" s="35" t="s">
        <v>25</v>
      </c>
      <c r="G754" s="35" t="s">
        <v>25</v>
      </c>
      <c r="H754" s="35" t="s">
        <v>25</v>
      </c>
      <c r="I754" s="55">
        <v>44621</v>
      </c>
      <c r="J754" s="56">
        <f>EFEITO!$J$754*EFEITO!$Y$646</f>
        <v>0</v>
      </c>
      <c r="K754" s="56">
        <f ca="1">EFEITO!$L$754*EFEITO!$Z$737</f>
        <v>10584.7579745199</v>
      </c>
      <c r="L754" s="56">
        <f>EFEITO!$N$754*EFEITO!$AA$737</f>
        <v>11897.592929273815</v>
      </c>
      <c r="M754" s="56">
        <f>$J$754-EFEITO!$K$754*EFEITO!$Y$754</f>
        <v>0</v>
      </c>
      <c r="N754" s="56">
        <f ca="1">$K$754-EFEITO!$M$754*EFEITO!$Z$754</f>
        <v>0</v>
      </c>
      <c r="O754" s="56">
        <f>$L$754-EFEITO!$O$754*EFEITO!$AA$754</f>
        <v>0</v>
      </c>
      <c r="P754" s="39"/>
      <c r="Q754" s="39"/>
      <c r="R754" s="39"/>
      <c r="S754" s="39"/>
      <c r="T754" s="39"/>
      <c r="U754" s="39"/>
      <c r="V754" s="39"/>
      <c r="W754" s="39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35" t="s">
        <v>21</v>
      </c>
      <c r="B755" s="35" t="s">
        <v>22</v>
      </c>
      <c r="C755" s="35" t="s">
        <v>23</v>
      </c>
      <c r="D755" s="35" t="s">
        <v>24</v>
      </c>
      <c r="E755" s="35" t="s">
        <v>32</v>
      </c>
      <c r="F755" s="35" t="s">
        <v>25</v>
      </c>
      <c r="G755" s="35" t="s">
        <v>25</v>
      </c>
      <c r="H755" s="35" t="s">
        <v>25</v>
      </c>
      <c r="I755" s="55">
        <v>44652</v>
      </c>
      <c r="J755" s="56">
        <f>EFEITO!$J$755*EFEITO!$Y$646</f>
        <v>0</v>
      </c>
      <c r="K755" s="56">
        <f ca="1">EFEITO!$L$755*EFEITO!$Z$737</f>
        <v>8424.0007046784995</v>
      </c>
      <c r="L755" s="56">
        <f>EFEITO!$N$755*EFEITO!$AA$737</f>
        <v>9468.8354198978777</v>
      </c>
      <c r="M755" s="56">
        <f>$J$755-EFEITO!$K$755*EFEITO!$Y$755</f>
        <v>0</v>
      </c>
      <c r="N755" s="56">
        <f ca="1">$K$755-EFEITO!$M$755*EFEITO!$Z$755</f>
        <v>0</v>
      </c>
      <c r="O755" s="56">
        <f>$L$755-EFEITO!$O$755*EFEITO!$AA$755</f>
        <v>0</v>
      </c>
      <c r="P755" s="39"/>
      <c r="Q755" s="39"/>
      <c r="R755" s="39"/>
      <c r="S755" s="39"/>
      <c r="T755" s="39"/>
      <c r="U755" s="39"/>
      <c r="V755" s="39"/>
      <c r="W755" s="39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35" t="s">
        <v>21</v>
      </c>
      <c r="B756" s="35" t="s">
        <v>22</v>
      </c>
      <c r="C756" s="35" t="s">
        <v>23</v>
      </c>
      <c r="D756" s="35" t="s">
        <v>24</v>
      </c>
      <c r="E756" s="35" t="s">
        <v>32</v>
      </c>
      <c r="F756" s="35" t="s">
        <v>25</v>
      </c>
      <c r="G756" s="35" t="s">
        <v>25</v>
      </c>
      <c r="H756" s="35" t="s">
        <v>25</v>
      </c>
      <c r="I756" s="55">
        <v>44682</v>
      </c>
      <c r="J756" s="56">
        <f>EFEITO!$J$756*EFEITO!$Y$646</f>
        <v>0</v>
      </c>
      <c r="K756" s="56">
        <f ca="1">EFEITO!$L$756*EFEITO!$Z$737</f>
        <v>9136.0244376392293</v>
      </c>
      <c r="L756" s="56">
        <f>EFEITO!$N$756*EFEITO!$AA$737</f>
        <v>10269.171955805585</v>
      </c>
      <c r="M756" s="56">
        <f>$J$756-EFEITO!$K$756*EFEITO!$Y$756</f>
        <v>0</v>
      </c>
      <c r="N756" s="56">
        <f ca="1">$K$756-EFEITO!$M$756*EFEITO!$Z$756</f>
        <v>0</v>
      </c>
      <c r="O756" s="56">
        <f>$L$756-EFEITO!$O$756*EFEITO!$AA$756</f>
        <v>0</v>
      </c>
      <c r="P756" s="39"/>
      <c r="Q756" s="39"/>
      <c r="R756" s="39"/>
      <c r="S756" s="39"/>
      <c r="T756" s="39"/>
      <c r="U756" s="39"/>
      <c r="V756" s="39"/>
      <c r="W756" s="39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35" t="s">
        <v>27</v>
      </c>
      <c r="B757" s="35" t="s">
        <v>22</v>
      </c>
      <c r="C757" s="35" t="s">
        <v>23</v>
      </c>
      <c r="D757" s="35" t="s">
        <v>24</v>
      </c>
      <c r="E757" s="35" t="s">
        <v>32</v>
      </c>
      <c r="F757" s="35" t="s">
        <v>25</v>
      </c>
      <c r="G757" s="35" t="s">
        <v>25</v>
      </c>
      <c r="H757" s="35" t="s">
        <v>25</v>
      </c>
      <c r="I757" s="55">
        <v>44682</v>
      </c>
      <c r="J757" s="56">
        <f>EFEITO!$J$757*EFEITO!$Y$646</f>
        <v>0</v>
      </c>
      <c r="K757" s="56">
        <f ca="1">EFEITO!$L$757*EFEITO!$Z$737</f>
        <v>-95.113979284013283</v>
      </c>
      <c r="L757" s="56">
        <f>EFEITO!$N$757*EFEITO!$AA$737</f>
        <v>-106.91103283879293</v>
      </c>
      <c r="M757" s="56">
        <f>$J$757-EFEITO!$K$757*EFEITO!$Y$757</f>
        <v>0</v>
      </c>
      <c r="N757" s="56">
        <f ca="1">$K$757-EFEITO!$M$757*EFEITO!$Z$757</f>
        <v>0</v>
      </c>
      <c r="O757" s="56">
        <f>$L$757-EFEITO!$O$757*EFEITO!$AA$757</f>
        <v>0</v>
      </c>
      <c r="P757" s="39"/>
      <c r="Q757" s="39"/>
      <c r="R757" s="39"/>
      <c r="S757" s="39"/>
      <c r="T757" s="39"/>
      <c r="U757" s="39"/>
      <c r="V757" s="39"/>
      <c r="W757" s="39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35" t="s">
        <v>21</v>
      </c>
      <c r="B758" s="35" t="s">
        <v>44</v>
      </c>
      <c r="C758" s="35" t="s">
        <v>23</v>
      </c>
      <c r="D758" s="35" t="s">
        <v>45</v>
      </c>
      <c r="E758" s="35" t="s">
        <v>25</v>
      </c>
      <c r="F758" s="35" t="s">
        <v>25</v>
      </c>
      <c r="G758" s="35" t="s">
        <v>25</v>
      </c>
      <c r="H758" s="35" t="s">
        <v>25</v>
      </c>
      <c r="I758" s="55">
        <v>44348</v>
      </c>
      <c r="J758" s="56">
        <f>EFEITO!$J$758*EFEITO!$Y$646</f>
        <v>0</v>
      </c>
      <c r="K758" s="56">
        <f ca="1">EFEITO!$L$758*EFEITO!$Z$646</f>
        <v>195274.33183941411</v>
      </c>
      <c r="L758" s="56">
        <f>EFEITO!$N$758*EFEITO!$AA$646</f>
        <v>146548.63831158981</v>
      </c>
      <c r="M758" s="56">
        <f>$J$758-EFEITO!$K$758*EFEITO!$Y$758</f>
        <v>0</v>
      </c>
      <c r="N758" s="56">
        <f ca="1">$K$758-EFEITO!$M$758*EFEITO!$Z$758</f>
        <v>11716.459910364851</v>
      </c>
      <c r="O758" s="56">
        <f>$L$758-EFEITO!$O$758*EFEITO!$AA$758</f>
        <v>8792.9182986954111</v>
      </c>
      <c r="P758" s="39"/>
      <c r="Q758" s="39"/>
      <c r="R758" s="39"/>
      <c r="S758" s="39"/>
      <c r="T758" s="39"/>
      <c r="U758" s="39"/>
      <c r="V758" s="39"/>
      <c r="W758" s="39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35" t="s">
        <v>27</v>
      </c>
      <c r="B759" s="35" t="s">
        <v>44</v>
      </c>
      <c r="C759" s="35" t="s">
        <v>23</v>
      </c>
      <c r="D759" s="35" t="s">
        <v>45</v>
      </c>
      <c r="E759" s="35" t="s">
        <v>25</v>
      </c>
      <c r="F759" s="35" t="s">
        <v>25</v>
      </c>
      <c r="G759" s="35" t="s">
        <v>25</v>
      </c>
      <c r="H759" s="35" t="s">
        <v>25</v>
      </c>
      <c r="I759" s="55">
        <v>44348</v>
      </c>
      <c r="J759" s="56">
        <f>EFEITO!$J$759*EFEITO!$Y$646</f>
        <v>0</v>
      </c>
      <c r="K759" s="56">
        <f ca="1">EFEITO!$L$759*EFEITO!$Z$646</f>
        <v>209.51792592468126</v>
      </c>
      <c r="L759" s="56">
        <f>EFEITO!$N$759*EFEITO!$AA$646</f>
        <v>157.23810936596007</v>
      </c>
      <c r="M759" s="56">
        <f>$J$759-EFEITO!$K$759*EFEITO!$Y$759</f>
        <v>0</v>
      </c>
      <c r="N759" s="56">
        <f ca="1">$K$759-EFEITO!$M$759*EFEITO!$Z$759</f>
        <v>12.571075555480888</v>
      </c>
      <c r="O759" s="56">
        <f>$L$759-EFEITO!$O$759*EFEITO!$AA$759</f>
        <v>9.434286561957606</v>
      </c>
      <c r="P759" s="39"/>
      <c r="Q759" s="39"/>
      <c r="R759" s="39"/>
      <c r="S759" s="39"/>
      <c r="T759" s="39"/>
      <c r="U759" s="39"/>
      <c r="V759" s="39"/>
      <c r="W759" s="39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35" t="s">
        <v>28</v>
      </c>
      <c r="B760" s="35" t="s">
        <v>44</v>
      </c>
      <c r="C760" s="35" t="s">
        <v>23</v>
      </c>
      <c r="D760" s="35" t="s">
        <v>45</v>
      </c>
      <c r="E760" s="35" t="s">
        <v>25</v>
      </c>
      <c r="F760" s="35" t="s">
        <v>25</v>
      </c>
      <c r="G760" s="35" t="s">
        <v>25</v>
      </c>
      <c r="H760" s="35" t="s">
        <v>25</v>
      </c>
      <c r="I760" s="55">
        <v>44348</v>
      </c>
      <c r="J760" s="56">
        <f>EFEITO!$J$760*EFEITO!$Y$646</f>
        <v>0</v>
      </c>
      <c r="K760" s="56">
        <f ca="1">EFEITO!$L$760*EFEITO!$Z$646</f>
        <v>529.23213122843367</v>
      </c>
      <c r="L760" s="56">
        <f>EFEITO!$N$760*EFEITO!$AA$646</f>
        <v>397.17584718737322</v>
      </c>
      <c r="M760" s="56">
        <f>$J$760-EFEITO!$K$760*EFEITO!$Y$760</f>
        <v>0</v>
      </c>
      <c r="N760" s="56">
        <f ca="1">$K$760-EFEITO!$M$760*EFEITO!$Z$760</f>
        <v>31.753927873706061</v>
      </c>
      <c r="O760" s="56">
        <f>$L$760-EFEITO!$O$760*EFEITO!$AA$760</f>
        <v>23.830550831242419</v>
      </c>
      <c r="P760" s="39"/>
      <c r="Q760" s="39"/>
      <c r="R760" s="39"/>
      <c r="S760" s="39"/>
      <c r="T760" s="39"/>
      <c r="U760" s="39"/>
      <c r="V760" s="39"/>
      <c r="W760" s="39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35" t="s">
        <v>21</v>
      </c>
      <c r="B761" s="35" t="s">
        <v>44</v>
      </c>
      <c r="C761" s="35" t="s">
        <v>23</v>
      </c>
      <c r="D761" s="35" t="s">
        <v>45</v>
      </c>
      <c r="E761" s="35" t="s">
        <v>25</v>
      </c>
      <c r="F761" s="35" t="s">
        <v>25</v>
      </c>
      <c r="G761" s="35" t="s">
        <v>25</v>
      </c>
      <c r="H761" s="35" t="s">
        <v>25</v>
      </c>
      <c r="I761" s="55">
        <v>44378</v>
      </c>
      <c r="J761" s="56">
        <f>EFEITO!$J$761*EFEITO!$Y$646</f>
        <v>0</v>
      </c>
      <c r="K761" s="56">
        <f ca="1">EFEITO!$L$761*EFEITO!$Z$646</f>
        <v>204066.8349730284</v>
      </c>
      <c r="L761" s="56">
        <f>EFEITO!$N$761*EFEITO!$AA$646</f>
        <v>153147.19813993014</v>
      </c>
      <c r="M761" s="56">
        <f>$J$761-EFEITO!$K$761*EFEITO!$Y$761</f>
        <v>0</v>
      </c>
      <c r="N761" s="56">
        <f ca="1">$K$761-EFEITO!$M$761*EFEITO!$Z$761</f>
        <v>12244.010098381696</v>
      </c>
      <c r="O761" s="56">
        <f>$L$761-EFEITO!$O$761*EFEITO!$AA$761</f>
        <v>9188.8318883958273</v>
      </c>
      <c r="P761" s="39"/>
      <c r="Q761" s="39"/>
      <c r="R761" s="39"/>
      <c r="S761" s="39"/>
      <c r="T761" s="39"/>
      <c r="U761" s="39"/>
      <c r="V761" s="39"/>
      <c r="W761" s="39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35" t="s">
        <v>27</v>
      </c>
      <c r="B762" s="35" t="s">
        <v>44</v>
      </c>
      <c r="C762" s="35" t="s">
        <v>23</v>
      </c>
      <c r="D762" s="35" t="s">
        <v>45</v>
      </c>
      <c r="E762" s="35" t="s">
        <v>25</v>
      </c>
      <c r="F762" s="35" t="s">
        <v>25</v>
      </c>
      <c r="G762" s="35" t="s">
        <v>25</v>
      </c>
      <c r="H762" s="35" t="s">
        <v>25</v>
      </c>
      <c r="I762" s="55">
        <v>44378</v>
      </c>
      <c r="J762" s="56">
        <f>EFEITO!$J$762*EFEITO!$Y$646</f>
        <v>0</v>
      </c>
      <c r="K762" s="56">
        <f ca="1">EFEITO!$L$762*EFEITO!$Z$646</f>
        <v>-39.873653722690207</v>
      </c>
      <c r="L762" s="56">
        <f>EFEITO!$N$762*EFEITO!$AA$646</f>
        <v>-29.924207664802093</v>
      </c>
      <c r="M762" s="56">
        <f>$J$762-EFEITO!$K$762*EFEITO!$Y$762</f>
        <v>0</v>
      </c>
      <c r="N762" s="56">
        <f ca="1">$K$762-EFEITO!$M$762*EFEITO!$Z$762</f>
        <v>-2.392419223361415</v>
      </c>
      <c r="O762" s="56">
        <f>$L$762-EFEITO!$O$762*EFEITO!$AA$762</f>
        <v>-1.7954524598881285</v>
      </c>
      <c r="P762" s="39"/>
      <c r="Q762" s="39"/>
      <c r="R762" s="39"/>
      <c r="S762" s="39"/>
      <c r="T762" s="39"/>
      <c r="U762" s="39"/>
      <c r="V762" s="39"/>
      <c r="W762" s="39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35" t="s">
        <v>28</v>
      </c>
      <c r="B763" s="35" t="s">
        <v>44</v>
      </c>
      <c r="C763" s="35" t="s">
        <v>23</v>
      </c>
      <c r="D763" s="35" t="s">
        <v>45</v>
      </c>
      <c r="E763" s="35" t="s">
        <v>25</v>
      </c>
      <c r="F763" s="35" t="s">
        <v>25</v>
      </c>
      <c r="G763" s="35" t="s">
        <v>25</v>
      </c>
      <c r="H763" s="35" t="s">
        <v>25</v>
      </c>
      <c r="I763" s="55">
        <v>44378</v>
      </c>
      <c r="J763" s="56">
        <f>EFEITO!$J$763*EFEITO!$Y$646</f>
        <v>0</v>
      </c>
      <c r="K763" s="56">
        <f ca="1">EFEITO!$L$763*EFEITO!$Z$646</f>
        <v>305.21469485913775</v>
      </c>
      <c r="L763" s="56">
        <f>EFEITO!$N$763*EFEITO!$AA$646</f>
        <v>229.0562077614851</v>
      </c>
      <c r="M763" s="56">
        <f>$J$763-EFEITO!$K$763*EFEITO!$Y$763</f>
        <v>0</v>
      </c>
      <c r="N763" s="56">
        <f ca="1">$K$763-EFEITO!$M$763*EFEITO!$Z$763</f>
        <v>18.312881691548284</v>
      </c>
      <c r="O763" s="56">
        <f>$L$763-EFEITO!$O$763*EFEITO!$AA$763</f>
        <v>13.743372465689106</v>
      </c>
      <c r="P763" s="39"/>
      <c r="Q763" s="39"/>
      <c r="R763" s="39"/>
      <c r="S763" s="39"/>
      <c r="T763" s="39"/>
      <c r="U763" s="39"/>
      <c r="V763" s="39"/>
      <c r="W763" s="39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35" t="s">
        <v>21</v>
      </c>
      <c r="B764" s="35" t="s">
        <v>44</v>
      </c>
      <c r="C764" s="35" t="s">
        <v>23</v>
      </c>
      <c r="D764" s="35" t="s">
        <v>45</v>
      </c>
      <c r="E764" s="35" t="s">
        <v>25</v>
      </c>
      <c r="F764" s="35" t="s">
        <v>25</v>
      </c>
      <c r="G764" s="35" t="s">
        <v>25</v>
      </c>
      <c r="H764" s="35" t="s">
        <v>25</v>
      </c>
      <c r="I764" s="55">
        <v>44409</v>
      </c>
      <c r="J764" s="56">
        <f>EFEITO!$J$764*EFEITO!$Y$646</f>
        <v>0</v>
      </c>
      <c r="K764" s="56">
        <f ca="1">EFEITO!$L$764*EFEITO!$Z$646</f>
        <v>195386.70304535984</v>
      </c>
      <c r="L764" s="56">
        <f>EFEITO!$N$764*EFEITO!$AA$646</f>
        <v>146632.97016955423</v>
      </c>
      <c r="M764" s="56">
        <f>$J$764-EFEITO!$K$764*EFEITO!$Y$764</f>
        <v>0</v>
      </c>
      <c r="N764" s="56">
        <f ca="1">$K$764-EFEITO!$M$764*EFEITO!$Z$764</f>
        <v>11723.202182721579</v>
      </c>
      <c r="O764" s="56">
        <f>$L$764-EFEITO!$O$764*EFEITO!$AA$764</f>
        <v>8797.9782101732853</v>
      </c>
      <c r="P764" s="39"/>
      <c r="Q764" s="39"/>
      <c r="R764" s="39"/>
      <c r="S764" s="39"/>
      <c r="T764" s="39"/>
      <c r="U764" s="39"/>
      <c r="V764" s="39"/>
      <c r="W764" s="39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35" t="s">
        <v>27</v>
      </c>
      <c r="B765" s="35" t="s">
        <v>44</v>
      </c>
      <c r="C765" s="35" t="s">
        <v>23</v>
      </c>
      <c r="D765" s="35" t="s">
        <v>45</v>
      </c>
      <c r="E765" s="35" t="s">
        <v>25</v>
      </c>
      <c r="F765" s="35" t="s">
        <v>25</v>
      </c>
      <c r="G765" s="35" t="s">
        <v>25</v>
      </c>
      <c r="H765" s="35" t="s">
        <v>25</v>
      </c>
      <c r="I765" s="55">
        <v>44409</v>
      </c>
      <c r="J765" s="56">
        <f>EFEITO!$J$765*EFEITO!$Y$646</f>
        <v>0</v>
      </c>
      <c r="K765" s="56">
        <f ca="1">EFEITO!$L$765*EFEITO!$Z$646</f>
        <v>32.623898500382893</v>
      </c>
      <c r="L765" s="56">
        <f>EFEITO!$N$765*EFEITO!$AA$646</f>
        <v>24.483442634838077</v>
      </c>
      <c r="M765" s="56">
        <f>$J$765-EFEITO!$K$765*EFEITO!$Y$765</f>
        <v>0</v>
      </c>
      <c r="N765" s="56">
        <f ca="1">$K$765-EFEITO!$M$765*EFEITO!$Z$765</f>
        <v>1.9574339100229707</v>
      </c>
      <c r="O765" s="56">
        <f>$L$765-EFEITO!$O$765*EFEITO!$AA$765</f>
        <v>1.4690065580902889</v>
      </c>
      <c r="P765" s="39"/>
      <c r="Q765" s="39"/>
      <c r="R765" s="39"/>
      <c r="S765" s="39"/>
      <c r="T765" s="39"/>
      <c r="U765" s="39"/>
      <c r="V765" s="39"/>
      <c r="W765" s="39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35" t="s">
        <v>28</v>
      </c>
      <c r="B766" s="35" t="s">
        <v>44</v>
      </c>
      <c r="C766" s="35" t="s">
        <v>23</v>
      </c>
      <c r="D766" s="35" t="s">
        <v>45</v>
      </c>
      <c r="E766" s="35" t="s">
        <v>25</v>
      </c>
      <c r="F766" s="35" t="s">
        <v>25</v>
      </c>
      <c r="G766" s="35" t="s">
        <v>25</v>
      </c>
      <c r="H766" s="35" t="s">
        <v>25</v>
      </c>
      <c r="I766" s="55">
        <v>44409</v>
      </c>
      <c r="J766" s="56">
        <f>EFEITO!$J$766*EFEITO!$Y$646</f>
        <v>0</v>
      </c>
      <c r="K766" s="56">
        <f ca="1">EFEITO!$L$766*EFEITO!$Z$646</f>
        <v>714.46337715838547</v>
      </c>
      <c r="L766" s="56">
        <f>EFEITO!$N$766*EFEITO!$AA$646</f>
        <v>536.18739370295395</v>
      </c>
      <c r="M766" s="56">
        <f>$J$766-EFEITO!$K$766*EFEITO!$Y$766</f>
        <v>0</v>
      </c>
      <c r="N766" s="56">
        <f ca="1">$K$766-EFEITO!$M$766*EFEITO!$Z$766</f>
        <v>42.867802629503103</v>
      </c>
      <c r="O766" s="56">
        <f>$L$766-EFEITO!$O$766*EFEITO!$AA$766</f>
        <v>32.171243622177315</v>
      </c>
      <c r="P766" s="39"/>
      <c r="Q766" s="39"/>
      <c r="R766" s="39"/>
      <c r="S766" s="39"/>
      <c r="T766" s="39"/>
      <c r="U766" s="39"/>
      <c r="V766" s="39"/>
      <c r="W766" s="39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35" t="s">
        <v>21</v>
      </c>
      <c r="B767" s="35" t="s">
        <v>44</v>
      </c>
      <c r="C767" s="35" t="s">
        <v>23</v>
      </c>
      <c r="D767" s="35" t="s">
        <v>45</v>
      </c>
      <c r="E767" s="35" t="s">
        <v>25</v>
      </c>
      <c r="F767" s="35" t="s">
        <v>25</v>
      </c>
      <c r="G767" s="35" t="s">
        <v>25</v>
      </c>
      <c r="H767" s="35" t="s">
        <v>25</v>
      </c>
      <c r="I767" s="55">
        <v>44440</v>
      </c>
      <c r="J767" s="56">
        <f>EFEITO!$J$767*EFEITO!$Y$646</f>
        <v>0</v>
      </c>
      <c r="K767" s="56">
        <f ca="1">EFEITO!$L$767*EFEITO!$Z$646</f>
        <v>190559.45353058653</v>
      </c>
      <c r="L767" s="56">
        <f>EFEITO!$N$767*EFEITO!$AA$646</f>
        <v>143010.23677435267</v>
      </c>
      <c r="M767" s="56">
        <f>$J$767-EFEITO!$K$767*EFEITO!$Y$767</f>
        <v>0</v>
      </c>
      <c r="N767" s="56">
        <f ca="1">$K$767-EFEITO!$M$767*EFEITO!$Z$767</f>
        <v>11433.567211835209</v>
      </c>
      <c r="O767" s="56">
        <f>$L$767-EFEITO!$O$767*EFEITO!$AA$767</f>
        <v>8580.6142064611486</v>
      </c>
      <c r="P767" s="39"/>
      <c r="Q767" s="39"/>
      <c r="R767" s="39"/>
      <c r="S767" s="39"/>
      <c r="T767" s="39"/>
      <c r="U767" s="39"/>
      <c r="V767" s="39"/>
      <c r="W767" s="39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35" t="s">
        <v>27</v>
      </c>
      <c r="B768" s="35" t="s">
        <v>44</v>
      </c>
      <c r="C768" s="35" t="s">
        <v>23</v>
      </c>
      <c r="D768" s="35" t="s">
        <v>45</v>
      </c>
      <c r="E768" s="35" t="s">
        <v>25</v>
      </c>
      <c r="F768" s="35" t="s">
        <v>25</v>
      </c>
      <c r="G768" s="35" t="s">
        <v>25</v>
      </c>
      <c r="H768" s="35" t="s">
        <v>25</v>
      </c>
      <c r="I768" s="55">
        <v>44440</v>
      </c>
      <c r="J768" s="56">
        <f>EFEITO!$J$768*EFEITO!$Y$646</f>
        <v>0</v>
      </c>
      <c r="K768" s="56">
        <f ca="1">EFEITO!$L$768*EFEITO!$Z$646</f>
        <v>-96.784232217802597</v>
      </c>
      <c r="L768" s="56">
        <f>EFEITO!$N$768*EFEITO!$AA$646</f>
        <v>-72.634213150019633</v>
      </c>
      <c r="M768" s="56">
        <f>$J$768-EFEITO!$K$768*EFEITO!$Y$768</f>
        <v>0</v>
      </c>
      <c r="N768" s="56">
        <f ca="1">$K$768-EFEITO!$M$768*EFEITO!$Z$768</f>
        <v>-5.807053933068147</v>
      </c>
      <c r="O768" s="56">
        <f>$L$768-EFEITO!$O$768*EFEITO!$AA$768</f>
        <v>-4.358052789001178</v>
      </c>
      <c r="P768" s="39"/>
      <c r="Q768" s="39"/>
      <c r="R768" s="39"/>
      <c r="S768" s="39"/>
      <c r="T768" s="39"/>
      <c r="U768" s="39"/>
      <c r="V768" s="39"/>
      <c r="W768" s="39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35" t="s">
        <v>28</v>
      </c>
      <c r="B769" s="35" t="s">
        <v>44</v>
      </c>
      <c r="C769" s="35" t="s">
        <v>23</v>
      </c>
      <c r="D769" s="35" t="s">
        <v>45</v>
      </c>
      <c r="E769" s="35" t="s">
        <v>25</v>
      </c>
      <c r="F769" s="35" t="s">
        <v>25</v>
      </c>
      <c r="G769" s="35" t="s">
        <v>25</v>
      </c>
      <c r="H769" s="35" t="s">
        <v>25</v>
      </c>
      <c r="I769" s="55">
        <v>44440</v>
      </c>
      <c r="J769" s="56">
        <f>EFEITO!$J$769*EFEITO!$Y$646</f>
        <v>0</v>
      </c>
      <c r="K769" s="56">
        <f ca="1">EFEITO!$L$769*EFEITO!$Z$646</f>
        <v>916.369060099644</v>
      </c>
      <c r="L769" s="56">
        <f>EFEITO!$N$769*EFEITO!$AA$646</f>
        <v>687.71269978745181</v>
      </c>
      <c r="M769" s="56">
        <f>$J$769-EFEITO!$K$769*EFEITO!$Y$769</f>
        <v>0</v>
      </c>
      <c r="N769" s="56">
        <f ca="1">$K$769-EFEITO!$M$769*EFEITO!$Z$769</f>
        <v>54.982143605978649</v>
      </c>
      <c r="O769" s="56">
        <f>$L$769-EFEITO!$O$769*EFEITO!$AA$769</f>
        <v>41.262761987247245</v>
      </c>
      <c r="P769" s="39"/>
      <c r="Q769" s="39"/>
      <c r="R769" s="39"/>
      <c r="S769" s="39"/>
      <c r="T769" s="39"/>
      <c r="U769" s="39"/>
      <c r="V769" s="39"/>
      <c r="W769" s="39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35" t="s">
        <v>21</v>
      </c>
      <c r="B770" s="35" t="s">
        <v>44</v>
      </c>
      <c r="C770" s="35" t="s">
        <v>23</v>
      </c>
      <c r="D770" s="35" t="s">
        <v>45</v>
      </c>
      <c r="E770" s="35" t="s">
        <v>25</v>
      </c>
      <c r="F770" s="35" t="s">
        <v>25</v>
      </c>
      <c r="G770" s="35" t="s">
        <v>25</v>
      </c>
      <c r="H770" s="35" t="s">
        <v>25</v>
      </c>
      <c r="I770" s="55">
        <v>44470</v>
      </c>
      <c r="J770" s="56">
        <f>EFEITO!$J$770*EFEITO!$Y$646</f>
        <v>0</v>
      </c>
      <c r="K770" s="56">
        <f ca="1">EFEITO!$L$770*EFEITO!$Z$646</f>
        <v>196247.97396576998</v>
      </c>
      <c r="L770" s="56">
        <f>EFEITO!$N$770*EFEITO!$AA$646</f>
        <v>147279.33305511397</v>
      </c>
      <c r="M770" s="56">
        <f>$J$770-EFEITO!$K$770*EFEITO!$Y$770</f>
        <v>0</v>
      </c>
      <c r="N770" s="56">
        <f ca="1">$K$770-EFEITO!$M$770*EFEITO!$Z$770</f>
        <v>11774.878437946201</v>
      </c>
      <c r="O770" s="56">
        <f>$L$770-EFEITO!$O$770*EFEITO!$AA$770</f>
        <v>8836.759983306838</v>
      </c>
      <c r="P770" s="39"/>
      <c r="Q770" s="39"/>
      <c r="R770" s="39"/>
      <c r="S770" s="39"/>
      <c r="T770" s="39"/>
      <c r="U770" s="39"/>
      <c r="V770" s="39"/>
      <c r="W770" s="39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35" t="s">
        <v>27</v>
      </c>
      <c r="B771" s="35" t="s">
        <v>44</v>
      </c>
      <c r="C771" s="35" t="s">
        <v>23</v>
      </c>
      <c r="D771" s="35" t="s">
        <v>45</v>
      </c>
      <c r="E771" s="35" t="s">
        <v>25</v>
      </c>
      <c r="F771" s="35" t="s">
        <v>25</v>
      </c>
      <c r="G771" s="35" t="s">
        <v>25</v>
      </c>
      <c r="H771" s="35" t="s">
        <v>25</v>
      </c>
      <c r="I771" s="55">
        <v>44470</v>
      </c>
      <c r="J771" s="56">
        <f>EFEITO!$J$771*EFEITO!$Y$646</f>
        <v>0</v>
      </c>
      <c r="K771" s="56">
        <f ca="1">EFEITO!$L$771*EFEITO!$Z$646</f>
        <v>-294.34006202567684</v>
      </c>
      <c r="L771" s="56">
        <f>EFEITO!$N$771*EFEITO!$AA$646</f>
        <v>-220.89506021653909</v>
      </c>
      <c r="M771" s="56">
        <f>$J$771-EFEITO!$K$771*EFEITO!$Y$771</f>
        <v>0</v>
      </c>
      <c r="N771" s="56">
        <f ca="1">$K$771-EFEITO!$M$771*EFEITO!$Z$771</f>
        <v>-17.660403721540661</v>
      </c>
      <c r="O771" s="56">
        <f>$L$771-EFEITO!$O$771*EFEITO!$AA$771</f>
        <v>-13.253703612992354</v>
      </c>
      <c r="P771" s="39"/>
      <c r="Q771" s="39"/>
      <c r="R771" s="39"/>
      <c r="S771" s="39"/>
      <c r="T771" s="39"/>
      <c r="U771" s="39"/>
      <c r="V771" s="39"/>
      <c r="W771" s="39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35" t="s">
        <v>28</v>
      </c>
      <c r="B772" s="35" t="s">
        <v>44</v>
      </c>
      <c r="C772" s="35" t="s">
        <v>23</v>
      </c>
      <c r="D772" s="35" t="s">
        <v>45</v>
      </c>
      <c r="E772" s="35" t="s">
        <v>25</v>
      </c>
      <c r="F772" s="35" t="s">
        <v>25</v>
      </c>
      <c r="G772" s="35" t="s">
        <v>25</v>
      </c>
      <c r="H772" s="35" t="s">
        <v>25</v>
      </c>
      <c r="I772" s="55">
        <v>44470</v>
      </c>
      <c r="J772" s="56">
        <f>EFEITO!$J$772*EFEITO!$Y$646</f>
        <v>0</v>
      </c>
      <c r="K772" s="56">
        <f ca="1">EFEITO!$L$772*EFEITO!$Z$646</f>
        <v>627.46631449069775</v>
      </c>
      <c r="L772" s="56">
        <f>EFEITO!$N$772*EFEITO!$AA$646</f>
        <v>470.89821334338569</v>
      </c>
      <c r="M772" s="56">
        <f>$J$772-EFEITO!$K$772*EFEITO!$Y$772</f>
        <v>0</v>
      </c>
      <c r="N772" s="56">
        <f ca="1">$K$772-EFEITO!$M$772*EFEITO!$Z$772</f>
        <v>37.647978869441886</v>
      </c>
      <c r="O772" s="56">
        <f>$L$772-EFEITO!$O$772*EFEITO!$AA$772</f>
        <v>28.253892800603182</v>
      </c>
      <c r="P772" s="39"/>
      <c r="Q772" s="39"/>
      <c r="R772" s="39"/>
      <c r="S772" s="39"/>
      <c r="T772" s="39"/>
      <c r="U772" s="39"/>
      <c r="V772" s="39"/>
      <c r="W772" s="39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35" t="s">
        <v>21</v>
      </c>
      <c r="B773" s="35" t="s">
        <v>44</v>
      </c>
      <c r="C773" s="35" t="s">
        <v>23</v>
      </c>
      <c r="D773" s="35" t="s">
        <v>45</v>
      </c>
      <c r="E773" s="35" t="s">
        <v>25</v>
      </c>
      <c r="F773" s="35" t="s">
        <v>25</v>
      </c>
      <c r="G773" s="35" t="s">
        <v>25</v>
      </c>
      <c r="H773" s="35" t="s">
        <v>25</v>
      </c>
      <c r="I773" s="55">
        <v>44501</v>
      </c>
      <c r="J773" s="56">
        <f>EFEITO!$J$773*EFEITO!$Y$646</f>
        <v>0</v>
      </c>
      <c r="K773" s="56">
        <f ca="1">EFEITO!$L$773*EFEITO!$Z$646</f>
        <v>185810.86385997527</v>
      </c>
      <c r="L773" s="56">
        <f>EFEITO!$N$773*EFEITO!$AA$646</f>
        <v>139446.53567972628</v>
      </c>
      <c r="M773" s="56">
        <f>$J$773-EFEITO!$K$773*EFEITO!$Y$773</f>
        <v>0</v>
      </c>
      <c r="N773" s="56">
        <f ca="1">$K$773-EFEITO!$M$773*EFEITO!$Z$773</f>
        <v>11148.651831598516</v>
      </c>
      <c r="O773" s="56">
        <f>$L$773-EFEITO!$O$773*EFEITO!$AA$773</f>
        <v>8366.7921407835966</v>
      </c>
      <c r="P773" s="39"/>
      <c r="Q773" s="39"/>
      <c r="R773" s="39"/>
      <c r="S773" s="39"/>
      <c r="T773" s="39"/>
      <c r="U773" s="39"/>
      <c r="V773" s="39"/>
      <c r="W773" s="39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35" t="s">
        <v>27</v>
      </c>
      <c r="B774" s="35" t="s">
        <v>44</v>
      </c>
      <c r="C774" s="35" t="s">
        <v>23</v>
      </c>
      <c r="D774" s="35" t="s">
        <v>45</v>
      </c>
      <c r="E774" s="35" t="s">
        <v>25</v>
      </c>
      <c r="F774" s="35" t="s">
        <v>25</v>
      </c>
      <c r="G774" s="35" t="s">
        <v>25</v>
      </c>
      <c r="H774" s="35" t="s">
        <v>25</v>
      </c>
      <c r="I774" s="55">
        <v>44501</v>
      </c>
      <c r="J774" s="56">
        <f>EFEITO!$J$774*EFEITO!$Y$646</f>
        <v>0</v>
      </c>
      <c r="K774" s="56">
        <f ca="1">EFEITO!$L$774*EFEITO!$Z$646</f>
        <v>-67.060235806342618</v>
      </c>
      <c r="L774" s="56">
        <f>EFEITO!$N$774*EFEITO!$AA$646</f>
        <v>-50.327076527167158</v>
      </c>
      <c r="M774" s="56">
        <f>$J$774-EFEITO!$K$774*EFEITO!$Y$774</f>
        <v>0</v>
      </c>
      <c r="N774" s="56">
        <f ca="1">$K$774-EFEITO!$M$774*EFEITO!$Z$774</f>
        <v>-4.0236141483805525</v>
      </c>
      <c r="O774" s="56">
        <f>$L$774-EFEITO!$O$774*EFEITO!$AA$774</f>
        <v>-3.0196245916300342</v>
      </c>
      <c r="P774" s="39"/>
      <c r="Q774" s="39"/>
      <c r="R774" s="39"/>
      <c r="S774" s="39"/>
      <c r="T774" s="39"/>
      <c r="U774" s="39"/>
      <c r="V774" s="39"/>
      <c r="W774" s="39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35" t="s">
        <v>28</v>
      </c>
      <c r="B775" s="35" t="s">
        <v>44</v>
      </c>
      <c r="C775" s="35" t="s">
        <v>23</v>
      </c>
      <c r="D775" s="35" t="s">
        <v>45</v>
      </c>
      <c r="E775" s="35" t="s">
        <v>25</v>
      </c>
      <c r="F775" s="35" t="s">
        <v>25</v>
      </c>
      <c r="G775" s="35" t="s">
        <v>25</v>
      </c>
      <c r="H775" s="35" t="s">
        <v>25</v>
      </c>
      <c r="I775" s="55">
        <v>44501</v>
      </c>
      <c r="J775" s="56">
        <f>EFEITO!$J$775*EFEITO!$Y$646</f>
        <v>0</v>
      </c>
      <c r="K775" s="56">
        <f ca="1">EFEITO!$L$775*EFEITO!$Z$646</f>
        <v>686.55181955250225</v>
      </c>
      <c r="L775" s="56">
        <f>EFEITO!$N$775*EFEITO!$AA$646</f>
        <v>515.2404483375924</v>
      </c>
      <c r="M775" s="56">
        <f>$J$775-EFEITO!$K$775*EFEITO!$Y$775</f>
        <v>0</v>
      </c>
      <c r="N775" s="56">
        <f ca="1">$K$775-EFEITO!$M$775*EFEITO!$Z$775</f>
        <v>41.193109173150106</v>
      </c>
      <c r="O775" s="56">
        <f>$L$775-EFEITO!$O$775*EFEITO!$AA$775</f>
        <v>30.914426900255592</v>
      </c>
      <c r="P775" s="39"/>
      <c r="Q775" s="39"/>
      <c r="R775" s="39"/>
      <c r="S775" s="39"/>
      <c r="T775" s="39"/>
      <c r="U775" s="39"/>
      <c r="V775" s="39"/>
      <c r="W775" s="39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35" t="s">
        <v>21</v>
      </c>
      <c r="B776" s="35" t="s">
        <v>44</v>
      </c>
      <c r="C776" s="35" t="s">
        <v>23</v>
      </c>
      <c r="D776" s="35" t="s">
        <v>45</v>
      </c>
      <c r="E776" s="35" t="s">
        <v>25</v>
      </c>
      <c r="F776" s="35" t="s">
        <v>25</v>
      </c>
      <c r="G776" s="35" t="s">
        <v>25</v>
      </c>
      <c r="H776" s="35" t="s">
        <v>25</v>
      </c>
      <c r="I776" s="55">
        <v>44531</v>
      </c>
      <c r="J776" s="56">
        <f>EFEITO!$J$776*EFEITO!$Y$646</f>
        <v>0</v>
      </c>
      <c r="K776" s="56">
        <f ca="1">EFEITO!$L$776*EFEITO!$Z$646</f>
        <v>196993.97377814542</v>
      </c>
      <c r="L776" s="56">
        <f>EFEITO!$N$776*EFEITO!$AA$646</f>
        <v>147839.18777669728</v>
      </c>
      <c r="M776" s="56">
        <f>$J$776-EFEITO!$K$776*EFEITO!$Y$776</f>
        <v>0</v>
      </c>
      <c r="N776" s="56">
        <f ca="1">$K$776-EFEITO!$M$776*EFEITO!$Z$776</f>
        <v>11819.638426688733</v>
      </c>
      <c r="O776" s="56">
        <f>$L$776-EFEITO!$O$776*EFEITO!$AA$776</f>
        <v>8870.3512666018505</v>
      </c>
      <c r="P776" s="39"/>
      <c r="Q776" s="39"/>
      <c r="R776" s="39"/>
      <c r="S776" s="39"/>
      <c r="T776" s="39"/>
      <c r="U776" s="39"/>
      <c r="V776" s="39"/>
      <c r="W776" s="39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35" t="s">
        <v>27</v>
      </c>
      <c r="B777" s="35" t="s">
        <v>44</v>
      </c>
      <c r="C777" s="35" t="s">
        <v>23</v>
      </c>
      <c r="D777" s="35" t="s">
        <v>45</v>
      </c>
      <c r="E777" s="35" t="s">
        <v>25</v>
      </c>
      <c r="F777" s="35" t="s">
        <v>25</v>
      </c>
      <c r="G777" s="35" t="s">
        <v>25</v>
      </c>
      <c r="H777" s="35" t="s">
        <v>25</v>
      </c>
      <c r="I777" s="55">
        <v>44531</v>
      </c>
      <c r="J777" s="56">
        <f>EFEITO!$J$777*EFEITO!$Y$646</f>
        <v>0</v>
      </c>
      <c r="K777" s="56">
        <f ca="1">EFEITO!$L$777*EFEITO!$Z$646</f>
        <v>-56.185602972881654</v>
      </c>
      <c r="L777" s="56">
        <f>EFEITO!$N$777*EFEITO!$AA$646</f>
        <v>-42.165928982221132</v>
      </c>
      <c r="M777" s="56">
        <f>$J$777-EFEITO!$K$777*EFEITO!$Y$777</f>
        <v>0</v>
      </c>
      <c r="N777" s="56">
        <f ca="1">$K$777-EFEITO!$M$777*EFEITO!$Z$777</f>
        <v>-3.3711361783729004</v>
      </c>
      <c r="O777" s="56">
        <f>$L$777-EFEITO!$O$777*EFEITO!$AA$777</f>
        <v>-2.5299557389332676</v>
      </c>
      <c r="P777" s="39"/>
      <c r="Q777" s="39"/>
      <c r="R777" s="39"/>
      <c r="S777" s="39"/>
      <c r="T777" s="39"/>
      <c r="U777" s="39"/>
      <c r="V777" s="39"/>
      <c r="W777" s="39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35" t="s">
        <v>28</v>
      </c>
      <c r="B778" s="35" t="s">
        <v>44</v>
      </c>
      <c r="C778" s="35" t="s">
        <v>23</v>
      </c>
      <c r="D778" s="35" t="s">
        <v>45</v>
      </c>
      <c r="E778" s="35" t="s">
        <v>25</v>
      </c>
      <c r="F778" s="35" t="s">
        <v>25</v>
      </c>
      <c r="G778" s="35" t="s">
        <v>25</v>
      </c>
      <c r="H778" s="35" t="s">
        <v>25</v>
      </c>
      <c r="I778" s="55">
        <v>44531</v>
      </c>
      <c r="J778" s="56">
        <f>EFEITO!$J$778*EFEITO!$Y$646</f>
        <v>0</v>
      </c>
      <c r="K778" s="56">
        <f ca="1">EFEITO!$L$778*EFEITO!$Z$646</f>
        <v>983.42929590598669</v>
      </c>
      <c r="L778" s="56">
        <f>EFEITO!$N$778*EFEITO!$AA$646</f>
        <v>738.03977631461896</v>
      </c>
      <c r="M778" s="56">
        <f>$J$778-EFEITO!$K$778*EFEITO!$Y$778</f>
        <v>0</v>
      </c>
      <c r="N778" s="56">
        <f ca="1">$K$778-EFEITO!$M$778*EFEITO!$Z$778</f>
        <v>59.005757754359252</v>
      </c>
      <c r="O778" s="56">
        <f>$L$778-EFEITO!$O$778*EFEITO!$AA$778</f>
        <v>44.282386578877208</v>
      </c>
      <c r="P778" s="39"/>
      <c r="Q778" s="39"/>
      <c r="R778" s="39"/>
      <c r="S778" s="39"/>
      <c r="T778" s="39"/>
      <c r="U778" s="39"/>
      <c r="V778" s="39"/>
      <c r="W778" s="39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35" t="s">
        <v>21</v>
      </c>
      <c r="B779" s="35" t="s">
        <v>44</v>
      </c>
      <c r="C779" s="35" t="s">
        <v>23</v>
      </c>
      <c r="D779" s="35" t="s">
        <v>45</v>
      </c>
      <c r="E779" s="35" t="s">
        <v>25</v>
      </c>
      <c r="F779" s="35" t="s">
        <v>25</v>
      </c>
      <c r="G779" s="35" t="s">
        <v>25</v>
      </c>
      <c r="H779" s="35" t="s">
        <v>25</v>
      </c>
      <c r="I779" s="55">
        <v>44562</v>
      </c>
      <c r="J779" s="56">
        <f>EFEITO!$J$779*EFEITO!$Y$646</f>
        <v>0</v>
      </c>
      <c r="K779" s="56">
        <f ca="1">EFEITO!$L$779*EFEITO!$Z$646</f>
        <v>189715.94451047108</v>
      </c>
      <c r="L779" s="56">
        <f>EFEITO!$N$779*EFEITO!$AA$646</f>
        <v>142377.20376311635</v>
      </c>
      <c r="M779" s="56">
        <f>$J$779-EFEITO!$K$779*EFEITO!$Y$779</f>
        <v>0</v>
      </c>
      <c r="N779" s="56">
        <f ca="1">$K$779-EFEITO!$M$779*EFEITO!$Z$779</f>
        <v>11382.956670628279</v>
      </c>
      <c r="O779" s="56">
        <f>$L$779-EFEITO!$O$779*EFEITO!$AA$779</f>
        <v>8542.6322257869761</v>
      </c>
      <c r="P779" s="39"/>
      <c r="Q779" s="39"/>
      <c r="R779" s="39"/>
      <c r="S779" s="39"/>
      <c r="T779" s="39"/>
      <c r="U779" s="39"/>
      <c r="V779" s="39"/>
      <c r="W779" s="39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35" t="s">
        <v>27</v>
      </c>
      <c r="B780" s="35" t="s">
        <v>44</v>
      </c>
      <c r="C780" s="35" t="s">
        <v>23</v>
      </c>
      <c r="D780" s="35" t="s">
        <v>45</v>
      </c>
      <c r="E780" s="35" t="s">
        <v>25</v>
      </c>
      <c r="F780" s="35" t="s">
        <v>25</v>
      </c>
      <c r="G780" s="35" t="s">
        <v>25</v>
      </c>
      <c r="H780" s="35" t="s">
        <v>25</v>
      </c>
      <c r="I780" s="55">
        <v>44562</v>
      </c>
      <c r="J780" s="56">
        <f>EFEITO!$J$780*EFEITO!$Y$646</f>
        <v>0</v>
      </c>
      <c r="K780" s="56">
        <f ca="1">EFEITO!$L$780*EFEITO!$Z$646</f>
        <v>-353.78805484859674</v>
      </c>
      <c r="L780" s="56">
        <f>EFEITO!$N$780*EFEITO!$AA$646</f>
        <v>-265.509333462244</v>
      </c>
      <c r="M780" s="56">
        <f>$J$780-EFEITO!$K$780*EFEITO!$Y$780</f>
        <v>0</v>
      </c>
      <c r="N780" s="56">
        <f ca="1">$K$780-EFEITO!$M$780*EFEITO!$Z$780</f>
        <v>-21.227283290915807</v>
      </c>
      <c r="O780" s="56">
        <f>$L$780-EFEITO!$O$780*EFEITO!$AA$780</f>
        <v>-15.930560007734641</v>
      </c>
      <c r="P780" s="39"/>
      <c r="Q780" s="39"/>
      <c r="R780" s="39"/>
      <c r="S780" s="39"/>
      <c r="T780" s="39"/>
      <c r="U780" s="39"/>
      <c r="V780" s="39"/>
      <c r="W780" s="39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35" t="s">
        <v>28</v>
      </c>
      <c r="B781" s="35" t="s">
        <v>44</v>
      </c>
      <c r="C781" s="35" t="s">
        <v>23</v>
      </c>
      <c r="D781" s="35" t="s">
        <v>45</v>
      </c>
      <c r="E781" s="35" t="s">
        <v>25</v>
      </c>
      <c r="F781" s="35" t="s">
        <v>25</v>
      </c>
      <c r="G781" s="35" t="s">
        <v>25</v>
      </c>
      <c r="H781" s="35" t="s">
        <v>25</v>
      </c>
      <c r="I781" s="55">
        <v>44562</v>
      </c>
      <c r="J781" s="56">
        <f>EFEITO!$J$781*EFEITO!$Y$646</f>
        <v>0</v>
      </c>
      <c r="K781" s="56">
        <f ca="1">EFEITO!$L$781*EFEITO!$Z$646</f>
        <v>1346.6420325435829</v>
      </c>
      <c r="L781" s="56">
        <f>EFEITO!$N$781*EFEITO!$AA$646</f>
        <v>1010.6221043158162</v>
      </c>
      <c r="M781" s="56">
        <f>$J$781-EFEITO!$K$781*EFEITO!$Y$781</f>
        <v>0</v>
      </c>
      <c r="N781" s="56">
        <f ca="1">$K$781-EFEITO!$M$781*EFEITO!$Z$781</f>
        <v>80.798521952614919</v>
      </c>
      <c r="O781" s="56">
        <f>$L$781-EFEITO!$O$781*EFEITO!$AA$781</f>
        <v>60.637326258949088</v>
      </c>
      <c r="P781" s="39"/>
      <c r="Q781" s="39"/>
      <c r="R781" s="39"/>
      <c r="S781" s="39"/>
      <c r="T781" s="39"/>
      <c r="U781" s="39"/>
      <c r="V781" s="39"/>
      <c r="W781" s="39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35" t="s">
        <v>21</v>
      </c>
      <c r="B782" s="35" t="s">
        <v>44</v>
      </c>
      <c r="C782" s="35" t="s">
        <v>23</v>
      </c>
      <c r="D782" s="35" t="s">
        <v>45</v>
      </c>
      <c r="E782" s="35" t="s">
        <v>25</v>
      </c>
      <c r="F782" s="35" t="s">
        <v>25</v>
      </c>
      <c r="G782" s="35" t="s">
        <v>25</v>
      </c>
      <c r="H782" s="35" t="s">
        <v>25</v>
      </c>
      <c r="I782" s="55">
        <v>44593</v>
      </c>
      <c r="J782" s="56">
        <f>EFEITO!$J$782*EFEITO!$Y$646</f>
        <v>0</v>
      </c>
      <c r="K782" s="56">
        <f ca="1">EFEITO!$L$782*EFEITO!$Z$646</f>
        <v>188879.68524557794</v>
      </c>
      <c r="L782" s="56">
        <f>EFEITO!$N$782*EFEITO!$AA$646</f>
        <v>141749.61151691005</v>
      </c>
      <c r="M782" s="56">
        <f>$J$782-EFEITO!$K$782*EFEITO!$Y$782</f>
        <v>0</v>
      </c>
      <c r="N782" s="56">
        <f ca="1">$K$782-EFEITO!$M$782*EFEITO!$Z$782</f>
        <v>11332.78111473468</v>
      </c>
      <c r="O782" s="56">
        <f>$L$782-EFEITO!$O$782*EFEITO!$AA$782</f>
        <v>8504.9766910146282</v>
      </c>
      <c r="P782" s="39"/>
      <c r="Q782" s="39"/>
      <c r="R782" s="39"/>
      <c r="S782" s="39"/>
      <c r="T782" s="39"/>
      <c r="U782" s="39"/>
      <c r="V782" s="39"/>
      <c r="W782" s="39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35" t="s">
        <v>21</v>
      </c>
      <c r="B783" s="35" t="s">
        <v>44</v>
      </c>
      <c r="C783" s="35" t="s">
        <v>23</v>
      </c>
      <c r="D783" s="35" t="s">
        <v>45</v>
      </c>
      <c r="E783" s="35" t="s">
        <v>25</v>
      </c>
      <c r="F783" s="35" t="s">
        <v>25</v>
      </c>
      <c r="G783" s="35" t="s">
        <v>25</v>
      </c>
      <c r="H783" s="35" t="s">
        <v>25</v>
      </c>
      <c r="I783" s="55">
        <v>44621</v>
      </c>
      <c r="J783" s="56">
        <f>EFEITO!$J$783*EFEITO!$Y$646</f>
        <v>0</v>
      </c>
      <c r="K783" s="56">
        <f ca="1">EFEITO!$L$783*EFEITO!$Z$646</f>
        <v>184473.28402145955</v>
      </c>
      <c r="L783" s="56">
        <f>EFEITO!$N$783*EFEITO!$AA$646</f>
        <v>138442.71453169789</v>
      </c>
      <c r="M783" s="56">
        <f>$J$783-EFEITO!$K$783*EFEITO!$Y$783</f>
        <v>0</v>
      </c>
      <c r="N783" s="56">
        <f ca="1">$K$783-EFEITO!$M$783*EFEITO!$Z$783</f>
        <v>11068.397041287564</v>
      </c>
      <c r="O783" s="56">
        <f>$L$783-EFEITO!$O$783*EFEITO!$AA$783</f>
        <v>8306.5628719018714</v>
      </c>
      <c r="P783" s="39"/>
      <c r="Q783" s="39"/>
      <c r="R783" s="39"/>
      <c r="S783" s="39"/>
      <c r="T783" s="39"/>
      <c r="U783" s="39"/>
      <c r="V783" s="39"/>
      <c r="W783" s="39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35" t="s">
        <v>28</v>
      </c>
      <c r="B784" s="35" t="s">
        <v>44</v>
      </c>
      <c r="C784" s="35" t="s">
        <v>23</v>
      </c>
      <c r="D784" s="35" t="s">
        <v>45</v>
      </c>
      <c r="E784" s="35" t="s">
        <v>25</v>
      </c>
      <c r="F784" s="35" t="s">
        <v>25</v>
      </c>
      <c r="G784" s="35" t="s">
        <v>25</v>
      </c>
      <c r="H784" s="35" t="s">
        <v>25</v>
      </c>
      <c r="I784" s="55">
        <v>44621</v>
      </c>
      <c r="J784" s="56">
        <f>EFEITO!$J$784*EFEITO!$Y$646</f>
        <v>0</v>
      </c>
      <c r="K784" s="56">
        <f ca="1">EFEITO!$L$784*EFEITO!$Z$646</f>
        <v>2107.1413553636198</v>
      </c>
      <c r="L784" s="56">
        <f>EFEITO!$N$784*EFEITO!$AA$646</f>
        <v>1581.3583559590415</v>
      </c>
      <c r="M784" s="56">
        <f>$J$784-EFEITO!$K$784*EFEITO!$Y$784</f>
        <v>0</v>
      </c>
      <c r="N784" s="56">
        <f ca="1">$K$784-EFEITO!$M$784*EFEITO!$Z$784</f>
        <v>126.42848132181734</v>
      </c>
      <c r="O784" s="56">
        <f>$L$784-EFEITO!$O$784*EFEITO!$AA$784</f>
        <v>94.881501357542675</v>
      </c>
      <c r="P784" s="39"/>
      <c r="Q784" s="39"/>
      <c r="R784" s="39"/>
      <c r="S784" s="39"/>
      <c r="T784" s="39"/>
      <c r="U784" s="39"/>
      <c r="V784" s="39"/>
      <c r="W784" s="39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35" t="s">
        <v>21</v>
      </c>
      <c r="B785" s="35" t="s">
        <v>44</v>
      </c>
      <c r="C785" s="35" t="s">
        <v>23</v>
      </c>
      <c r="D785" s="35" t="s">
        <v>45</v>
      </c>
      <c r="E785" s="35" t="s">
        <v>25</v>
      </c>
      <c r="F785" s="35" t="s">
        <v>25</v>
      </c>
      <c r="G785" s="35" t="s">
        <v>25</v>
      </c>
      <c r="H785" s="35" t="s">
        <v>25</v>
      </c>
      <c r="I785" s="55">
        <v>44652</v>
      </c>
      <c r="J785" s="56">
        <f>EFEITO!$J$785*EFEITO!$Y$646</f>
        <v>0</v>
      </c>
      <c r="K785" s="56">
        <f ca="1">EFEITO!$L$785*EFEITO!$Z$646</f>
        <v>175782.27746095756</v>
      </c>
      <c r="L785" s="56">
        <f>EFEITO!$N$785*EFEITO!$AA$646</f>
        <v>131920.32541377703</v>
      </c>
      <c r="M785" s="56">
        <f>$J$785-EFEITO!$K$785*EFEITO!$Y$785</f>
        <v>0</v>
      </c>
      <c r="N785" s="56">
        <f ca="1">$K$785-EFEITO!$M$785*EFEITO!$Z$785</f>
        <v>10546.93664765748</v>
      </c>
      <c r="O785" s="56">
        <f>$L$785-EFEITO!$O$785*EFEITO!$AA$785</f>
        <v>7915.2195248266216</v>
      </c>
      <c r="P785" s="39"/>
      <c r="Q785" s="39"/>
      <c r="R785" s="39"/>
      <c r="S785" s="39"/>
      <c r="T785" s="39"/>
      <c r="U785" s="39"/>
      <c r="V785" s="39"/>
      <c r="W785" s="39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35" t="s">
        <v>28</v>
      </c>
      <c r="B786" s="35" t="s">
        <v>44</v>
      </c>
      <c r="C786" s="35" t="s">
        <v>23</v>
      </c>
      <c r="D786" s="35" t="s">
        <v>45</v>
      </c>
      <c r="E786" s="35" t="s">
        <v>25</v>
      </c>
      <c r="F786" s="35" t="s">
        <v>25</v>
      </c>
      <c r="G786" s="35" t="s">
        <v>25</v>
      </c>
      <c r="H786" s="35" t="s">
        <v>25</v>
      </c>
      <c r="I786" s="55">
        <v>44652</v>
      </c>
      <c r="J786" s="56">
        <f>EFEITO!$J$786*EFEITO!$Y$646</f>
        <v>0</v>
      </c>
      <c r="K786" s="56">
        <f ca="1">EFEITO!$L$786*EFEITO!$Z$646</f>
        <v>2713.9458674707416</v>
      </c>
      <c r="L786" s="56">
        <f>EFEITO!$N$786*EFEITO!$AA$646</f>
        <v>2036.7503889670297</v>
      </c>
      <c r="M786" s="56">
        <f>$J$786-EFEITO!$K$786*EFEITO!$Y$786</f>
        <v>0</v>
      </c>
      <c r="N786" s="56">
        <f ca="1">$K$786-EFEITO!$M$786*EFEITO!$Z$786</f>
        <v>162.83675204824431</v>
      </c>
      <c r="O786" s="56">
        <f>$L$786-EFEITO!$O$786*EFEITO!$AA$786</f>
        <v>122.20502333802187</v>
      </c>
      <c r="P786" s="39"/>
      <c r="Q786" s="39"/>
      <c r="R786" s="39"/>
      <c r="S786" s="39"/>
      <c r="T786" s="39"/>
      <c r="U786" s="39"/>
      <c r="V786" s="39"/>
      <c r="W786" s="39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35" t="s">
        <v>21</v>
      </c>
      <c r="B787" s="35" t="s">
        <v>44</v>
      </c>
      <c r="C787" s="35" t="s">
        <v>23</v>
      </c>
      <c r="D787" s="35" t="s">
        <v>45</v>
      </c>
      <c r="E787" s="35" t="s">
        <v>25</v>
      </c>
      <c r="F787" s="35" t="s">
        <v>25</v>
      </c>
      <c r="G787" s="35" t="s">
        <v>25</v>
      </c>
      <c r="H787" s="35" t="s">
        <v>25</v>
      </c>
      <c r="I787" s="55">
        <v>44682</v>
      </c>
      <c r="J787" s="56">
        <f>EFEITO!$J$787*EFEITO!$Y$646</f>
        <v>0</v>
      </c>
      <c r="K787" s="56">
        <f ca="1">EFEITO!$L$787*EFEITO!$Z$646</f>
        <v>182978.38449461979</v>
      </c>
      <c r="L787" s="56">
        <f>EFEITO!$N$787*EFEITO!$AA$646</f>
        <v>137320.82878251933</v>
      </c>
      <c r="M787" s="56">
        <f>$J$787-EFEITO!$K$787*EFEITO!$Y$787</f>
        <v>0</v>
      </c>
      <c r="N787" s="56">
        <f ca="1">$K$787-EFEITO!$M$787*EFEITO!$Z$787</f>
        <v>10978.703069677198</v>
      </c>
      <c r="O787" s="56">
        <f>$L$787-EFEITO!$O$787*EFEITO!$AA$787</f>
        <v>8239.2497269511659</v>
      </c>
      <c r="P787" s="39"/>
      <c r="Q787" s="39"/>
      <c r="R787" s="39"/>
      <c r="S787" s="39"/>
      <c r="T787" s="39"/>
      <c r="U787" s="39"/>
      <c r="V787" s="39"/>
      <c r="W787" s="39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35" t="s">
        <v>27</v>
      </c>
      <c r="B788" s="35" t="s">
        <v>44</v>
      </c>
      <c r="C788" s="35" t="s">
        <v>23</v>
      </c>
      <c r="D788" s="35" t="s">
        <v>45</v>
      </c>
      <c r="E788" s="35" t="s">
        <v>25</v>
      </c>
      <c r="F788" s="35" t="s">
        <v>25</v>
      </c>
      <c r="G788" s="35" t="s">
        <v>25</v>
      </c>
      <c r="H788" s="35" t="s">
        <v>25</v>
      </c>
      <c r="I788" s="55">
        <v>44682</v>
      </c>
      <c r="J788" s="56">
        <f>EFEITO!$J$788*EFEITO!$Y$646</f>
        <v>0</v>
      </c>
      <c r="K788" s="56">
        <f ca="1">EFEITO!$L$788*EFEITO!$Z$646</f>
        <v>99.684134306725525</v>
      </c>
      <c r="L788" s="56">
        <f>EFEITO!$N$788*EFEITO!$AA$646</f>
        <v>74.810519162005235</v>
      </c>
      <c r="M788" s="56">
        <f>$J$788-EFEITO!$K$788*EFEITO!$Y$788</f>
        <v>0</v>
      </c>
      <c r="N788" s="56">
        <f ca="1">$K$788-EFEITO!$M$788*EFEITO!$Z$788</f>
        <v>5.9810480584035304</v>
      </c>
      <c r="O788" s="56">
        <f>$L$788-EFEITO!$O$788*EFEITO!$AA$788</f>
        <v>4.4886311497203195</v>
      </c>
      <c r="P788" s="39"/>
      <c r="Q788" s="39"/>
      <c r="R788" s="39"/>
      <c r="S788" s="39"/>
      <c r="T788" s="39"/>
      <c r="U788" s="39"/>
      <c r="V788" s="39"/>
      <c r="W788" s="39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35" t="s">
        <v>28</v>
      </c>
      <c r="B789" s="35" t="s">
        <v>44</v>
      </c>
      <c r="C789" s="35" t="s">
        <v>23</v>
      </c>
      <c r="D789" s="35" t="s">
        <v>45</v>
      </c>
      <c r="E789" s="35" t="s">
        <v>25</v>
      </c>
      <c r="F789" s="35" t="s">
        <v>25</v>
      </c>
      <c r="G789" s="35" t="s">
        <v>25</v>
      </c>
      <c r="H789" s="35" t="s">
        <v>25</v>
      </c>
      <c r="I789" s="55">
        <v>44682</v>
      </c>
      <c r="J789" s="56">
        <f>EFEITO!$J$789*EFEITO!$Y$646</f>
        <v>0</v>
      </c>
      <c r="K789" s="56">
        <f ca="1">EFEITO!$L$789*EFEITO!$Z$646</f>
        <v>3224.3286351211759</v>
      </c>
      <c r="L789" s="56">
        <f>EFEITO!$N$789*EFEITO!$AA$646</f>
        <v>2419.7802470764964</v>
      </c>
      <c r="M789" s="56">
        <f>$J$789-EFEITO!$K$789*EFEITO!$Y$789</f>
        <v>0</v>
      </c>
      <c r="N789" s="56">
        <f ca="1">$K$789-EFEITO!$M$789*EFEITO!$Z$789</f>
        <v>193.45971810727042</v>
      </c>
      <c r="O789" s="56">
        <f>$L$789-EFEITO!$O$789*EFEITO!$AA$789</f>
        <v>145.18681482458987</v>
      </c>
      <c r="P789" s="39"/>
      <c r="Q789" s="39"/>
      <c r="R789" s="39"/>
      <c r="S789" s="39"/>
      <c r="T789" s="39"/>
      <c r="U789" s="39"/>
      <c r="V789" s="39"/>
      <c r="W789" s="39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35" t="s">
        <v>21</v>
      </c>
      <c r="B790" s="35" t="s">
        <v>39</v>
      </c>
      <c r="C790" s="35" t="s">
        <v>36</v>
      </c>
      <c r="D790" s="35" t="s">
        <v>43</v>
      </c>
      <c r="E790" s="35" t="s">
        <v>25</v>
      </c>
      <c r="F790" s="35" t="s">
        <v>25</v>
      </c>
      <c r="G790" s="35" t="s">
        <v>25</v>
      </c>
      <c r="H790" s="35" t="s">
        <v>35</v>
      </c>
      <c r="I790" s="55">
        <v>44348</v>
      </c>
      <c r="J790" s="56">
        <f>EFEITO!$J$790*EFEITO!$Y$790</f>
        <v>0</v>
      </c>
      <c r="K790" s="56">
        <f ca="1">EFEITO!$L$790*EFEITO!$Z$790</f>
        <v>9040.0933108929294</v>
      </c>
      <c r="L790" s="56">
        <f>EFEITO!$N$790*EFEITO!$AA$790</f>
        <v>7901.1397179073838</v>
      </c>
      <c r="M790" s="56">
        <f>$J$790-EFEITO!$K$790*EFEITO!$Y$790</f>
        <v>0</v>
      </c>
      <c r="N790" s="56">
        <f ca="1">$K$790-EFEITO!$M$790*EFEITO!$Z$790</f>
        <v>0</v>
      </c>
      <c r="O790" s="56">
        <f>$L$790-EFEITO!$O$790*EFEITO!$AA$790</f>
        <v>0</v>
      </c>
      <c r="P790" s="39"/>
      <c r="Q790" s="39"/>
      <c r="R790" s="39"/>
      <c r="S790" s="39"/>
      <c r="T790" s="39"/>
      <c r="U790" s="39"/>
      <c r="V790" s="39"/>
      <c r="W790" s="39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35" t="s">
        <v>21</v>
      </c>
      <c r="B791" s="35" t="s">
        <v>39</v>
      </c>
      <c r="C791" s="35" t="s">
        <v>36</v>
      </c>
      <c r="D791" s="35" t="s">
        <v>43</v>
      </c>
      <c r="E791" s="35" t="s">
        <v>25</v>
      </c>
      <c r="F791" s="35" t="s">
        <v>25</v>
      </c>
      <c r="G791" s="35" t="s">
        <v>25</v>
      </c>
      <c r="H791" s="35" t="s">
        <v>35</v>
      </c>
      <c r="I791" s="55">
        <v>44378</v>
      </c>
      <c r="J791" s="56">
        <f>EFEITO!$J$791*EFEITO!$Y$791</f>
        <v>0</v>
      </c>
      <c r="K791" s="56">
        <f ca="1">EFEITO!$L$791*EFEITO!$Z$791</f>
        <v>9481.1023872357491</v>
      </c>
      <c r="L791" s="56">
        <f>EFEITO!$N$791*EFEITO!$AA$791</f>
        <v>8286.5864394419114</v>
      </c>
      <c r="M791" s="56">
        <f>$J$791-EFEITO!$K$791*EFEITO!$Y$791</f>
        <v>0</v>
      </c>
      <c r="N791" s="56">
        <f ca="1">$K$791-EFEITO!$M$791*EFEITO!$Z$791</f>
        <v>0</v>
      </c>
      <c r="O791" s="56">
        <f>$L$791-EFEITO!$O$791*EFEITO!$AA$791</f>
        <v>0</v>
      </c>
      <c r="P791" s="39"/>
      <c r="Q791" s="39"/>
      <c r="R791" s="39"/>
      <c r="S791" s="39"/>
      <c r="T791" s="39"/>
      <c r="U791" s="39"/>
      <c r="V791" s="39"/>
      <c r="W791" s="39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35" t="s">
        <v>21</v>
      </c>
      <c r="B792" s="35" t="s">
        <v>39</v>
      </c>
      <c r="C792" s="35" t="s">
        <v>36</v>
      </c>
      <c r="D792" s="35" t="s">
        <v>43</v>
      </c>
      <c r="E792" s="35" t="s">
        <v>25</v>
      </c>
      <c r="F792" s="35" t="s">
        <v>25</v>
      </c>
      <c r="G792" s="35" t="s">
        <v>25</v>
      </c>
      <c r="H792" s="35" t="s">
        <v>35</v>
      </c>
      <c r="I792" s="55">
        <v>44409</v>
      </c>
      <c r="J792" s="56">
        <f>EFEITO!$J$792*EFEITO!$Y$792</f>
        <v>0</v>
      </c>
      <c r="K792" s="56">
        <f ca="1">EFEITO!$L$792*EFEITO!$Z$792</f>
        <v>9692.419236316684</v>
      </c>
      <c r="L792" s="56">
        <f>EFEITO!$N$792*EFEITO!$AA$792</f>
        <v>8471.2796601772079</v>
      </c>
      <c r="M792" s="56">
        <f>$J$792-EFEITO!$K$792*EFEITO!$Y$792</f>
        <v>0</v>
      </c>
      <c r="N792" s="56">
        <f ca="1">$K$792-EFEITO!$M$792*EFEITO!$Z$792</f>
        <v>0</v>
      </c>
      <c r="O792" s="56">
        <f>$L$792-EFEITO!$O$792*EFEITO!$AA$792</f>
        <v>0</v>
      </c>
      <c r="P792" s="39"/>
      <c r="Q792" s="39"/>
      <c r="R792" s="39"/>
      <c r="S792" s="39"/>
      <c r="T792" s="39"/>
      <c r="U792" s="39"/>
      <c r="V792" s="39"/>
      <c r="W792" s="39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35" t="s">
        <v>21</v>
      </c>
      <c r="B793" s="35" t="s">
        <v>39</v>
      </c>
      <c r="C793" s="35" t="s">
        <v>36</v>
      </c>
      <c r="D793" s="35" t="s">
        <v>43</v>
      </c>
      <c r="E793" s="35" t="s">
        <v>25</v>
      </c>
      <c r="F793" s="35" t="s">
        <v>25</v>
      </c>
      <c r="G793" s="35" t="s">
        <v>25</v>
      </c>
      <c r="H793" s="35" t="s">
        <v>35</v>
      </c>
      <c r="I793" s="55">
        <v>44440</v>
      </c>
      <c r="J793" s="56">
        <f>EFEITO!$J$793*EFEITO!$Y$793</f>
        <v>0</v>
      </c>
      <c r="K793" s="56">
        <f ca="1">EFEITO!$L$793*EFEITO!$Z$793</f>
        <v>10337.039357987136</v>
      </c>
      <c r="L793" s="56">
        <f>EFEITO!$N$793*EFEITO!$AA$793</f>
        <v>9034.6846462911853</v>
      </c>
      <c r="M793" s="56">
        <f>$J$793-EFEITO!$K$793*EFEITO!$Y$793</f>
        <v>0</v>
      </c>
      <c r="N793" s="56">
        <f ca="1">$K$793-EFEITO!$M$793*EFEITO!$Z$793</f>
        <v>0</v>
      </c>
      <c r="O793" s="56">
        <f>$L$793-EFEITO!$O$793*EFEITO!$AA$793</f>
        <v>0</v>
      </c>
      <c r="P793" s="39"/>
      <c r="Q793" s="39"/>
      <c r="R793" s="39"/>
      <c r="S793" s="39"/>
      <c r="T793" s="39"/>
      <c r="U793" s="39"/>
      <c r="V793" s="39"/>
      <c r="W793" s="39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35" t="s">
        <v>21</v>
      </c>
      <c r="B794" s="35" t="s">
        <v>39</v>
      </c>
      <c r="C794" s="35" t="s">
        <v>36</v>
      </c>
      <c r="D794" s="35" t="s">
        <v>43</v>
      </c>
      <c r="E794" s="35" t="s">
        <v>25</v>
      </c>
      <c r="F794" s="35" t="s">
        <v>25</v>
      </c>
      <c r="G794" s="35" t="s">
        <v>25</v>
      </c>
      <c r="H794" s="35" t="s">
        <v>35</v>
      </c>
      <c r="I794" s="55">
        <v>44470</v>
      </c>
      <c r="J794" s="56">
        <f>EFEITO!$J$794*EFEITO!$Y$794</f>
        <v>0</v>
      </c>
      <c r="K794" s="56">
        <f ca="1">EFEITO!$L$794*EFEITO!$Z$794</f>
        <v>10539.464895045028</v>
      </c>
      <c r="L794" s="56">
        <f>EFEITO!$N$794*EFEITO!$AA$794</f>
        <v>9211.6067637697361</v>
      </c>
      <c r="M794" s="56">
        <f>$J$794-EFEITO!$K$794*EFEITO!$Y$794</f>
        <v>0</v>
      </c>
      <c r="N794" s="56">
        <f ca="1">$K$794-EFEITO!$M$794*EFEITO!$Z$794</f>
        <v>0</v>
      </c>
      <c r="O794" s="56">
        <f>$L$794-EFEITO!$O$794*EFEITO!$AA$794</f>
        <v>0</v>
      </c>
      <c r="P794" s="39"/>
      <c r="Q794" s="39"/>
      <c r="R794" s="39"/>
      <c r="S794" s="39"/>
      <c r="T794" s="39"/>
      <c r="U794" s="39"/>
      <c r="V794" s="39"/>
      <c r="W794" s="39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35" t="s">
        <v>21</v>
      </c>
      <c r="B795" s="35" t="s">
        <v>39</v>
      </c>
      <c r="C795" s="35" t="s">
        <v>36</v>
      </c>
      <c r="D795" s="35" t="s">
        <v>43</v>
      </c>
      <c r="E795" s="35" t="s">
        <v>25</v>
      </c>
      <c r="F795" s="35" t="s">
        <v>25</v>
      </c>
      <c r="G795" s="35" t="s">
        <v>25</v>
      </c>
      <c r="H795" s="35" t="s">
        <v>35</v>
      </c>
      <c r="I795" s="55">
        <v>44501</v>
      </c>
      <c r="J795" s="56">
        <f>EFEITO!$J$795*EFEITO!$Y$795</f>
        <v>0</v>
      </c>
      <c r="K795" s="56">
        <f ca="1">EFEITO!$L$795*EFEITO!$Z$795</f>
        <v>10366.084310595736</v>
      </c>
      <c r="L795" s="56">
        <f>EFEITO!$N$795*EFEITO!$AA$795</f>
        <v>9060.0702502632175</v>
      </c>
      <c r="M795" s="56">
        <f>$J$795-EFEITO!$K$795*EFEITO!$Y$795</f>
        <v>0</v>
      </c>
      <c r="N795" s="56">
        <f ca="1">$K$795-EFEITO!$M$795*EFEITO!$Z$795</f>
        <v>0</v>
      </c>
      <c r="O795" s="56">
        <f>$L$795-EFEITO!$O$795*EFEITO!$AA$795</f>
        <v>0</v>
      </c>
      <c r="P795" s="39"/>
      <c r="Q795" s="39"/>
      <c r="R795" s="39"/>
      <c r="S795" s="39"/>
      <c r="T795" s="39"/>
      <c r="U795" s="39"/>
      <c r="V795" s="39"/>
      <c r="W795" s="39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35" t="s">
        <v>21</v>
      </c>
      <c r="B796" s="35" t="s">
        <v>39</v>
      </c>
      <c r="C796" s="35" t="s">
        <v>36</v>
      </c>
      <c r="D796" s="35" t="s">
        <v>43</v>
      </c>
      <c r="E796" s="35" t="s">
        <v>25</v>
      </c>
      <c r="F796" s="35" t="s">
        <v>25</v>
      </c>
      <c r="G796" s="35" t="s">
        <v>25</v>
      </c>
      <c r="H796" s="35" t="s">
        <v>35</v>
      </c>
      <c r="I796" s="55">
        <v>44531</v>
      </c>
      <c r="J796" s="56">
        <f>EFEITO!$J$796*EFEITO!$Y$796</f>
        <v>0</v>
      </c>
      <c r="K796" s="56">
        <f ca="1">EFEITO!$L$796*EFEITO!$Z$796</f>
        <v>11636.652798688252</v>
      </c>
      <c r="L796" s="56">
        <f>EFEITO!$N$796*EFEITO!$AA$796</f>
        <v>10170.56090565201</v>
      </c>
      <c r="M796" s="56">
        <f>$J$796-EFEITO!$K$796*EFEITO!$Y$796</f>
        <v>0</v>
      </c>
      <c r="N796" s="56">
        <f ca="1">$K$796-EFEITO!$M$796*EFEITO!$Z$796</f>
        <v>0</v>
      </c>
      <c r="O796" s="56">
        <f>$L$796-EFEITO!$O$796*EFEITO!$AA$796</f>
        <v>0</v>
      </c>
      <c r="P796" s="39"/>
      <c r="Q796" s="39"/>
      <c r="R796" s="39"/>
      <c r="S796" s="39"/>
      <c r="T796" s="39"/>
      <c r="U796" s="39"/>
      <c r="V796" s="39"/>
      <c r="W796" s="39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35" t="s">
        <v>21</v>
      </c>
      <c r="B797" s="35" t="s">
        <v>39</v>
      </c>
      <c r="C797" s="35" t="s">
        <v>36</v>
      </c>
      <c r="D797" s="35" t="s">
        <v>43</v>
      </c>
      <c r="E797" s="35" t="s">
        <v>25</v>
      </c>
      <c r="F797" s="35" t="s">
        <v>25</v>
      </c>
      <c r="G797" s="35" t="s">
        <v>25</v>
      </c>
      <c r="H797" s="35" t="s">
        <v>35</v>
      </c>
      <c r="I797" s="55">
        <v>44562</v>
      </c>
      <c r="J797" s="56">
        <f>EFEITO!$J$797*EFEITO!$Y$797</f>
        <v>0</v>
      </c>
      <c r="K797" s="56">
        <f ca="1">EFEITO!$L$797*EFEITO!$Z$797</f>
        <v>10465.66700525379</v>
      </c>
      <c r="L797" s="56">
        <f>EFEITO!$N$797*EFEITO!$AA$797</f>
        <v>9147.1066067387565</v>
      </c>
      <c r="M797" s="56">
        <f>$J$797-EFEITO!$K$797*EFEITO!$Y$797</f>
        <v>0</v>
      </c>
      <c r="N797" s="56">
        <f ca="1">$K$797-EFEITO!$M$797*EFEITO!$Z$797</f>
        <v>0</v>
      </c>
      <c r="O797" s="56">
        <f>$L$797-EFEITO!$O$797*EFEITO!$AA$797</f>
        <v>0</v>
      </c>
      <c r="P797" s="39"/>
      <c r="Q797" s="39"/>
      <c r="R797" s="39"/>
      <c r="S797" s="39"/>
      <c r="T797" s="39"/>
      <c r="U797" s="39"/>
      <c r="V797" s="39"/>
      <c r="W797" s="39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35" t="s">
        <v>21</v>
      </c>
      <c r="B798" s="35" t="s">
        <v>39</v>
      </c>
      <c r="C798" s="35" t="s">
        <v>36</v>
      </c>
      <c r="D798" s="35" t="s">
        <v>43</v>
      </c>
      <c r="E798" s="35" t="s">
        <v>25</v>
      </c>
      <c r="F798" s="35" t="s">
        <v>25</v>
      </c>
      <c r="G798" s="35" t="s">
        <v>25</v>
      </c>
      <c r="H798" s="35" t="s">
        <v>35</v>
      </c>
      <c r="I798" s="55">
        <v>44593</v>
      </c>
      <c r="J798" s="56">
        <f>EFEITO!$J$798*EFEITO!$Y$798</f>
        <v>0</v>
      </c>
      <c r="K798" s="56">
        <f ca="1">EFEITO!$L$798*EFEITO!$Z$798</f>
        <v>12124.193074618319</v>
      </c>
      <c r="L798" s="56">
        <f>EFEITO!$N$798*EFEITO!$AA$798</f>
        <v>10596.676400896835</v>
      </c>
      <c r="M798" s="56">
        <f>$J$798-EFEITO!$K$798*EFEITO!$Y$798</f>
        <v>0</v>
      </c>
      <c r="N798" s="56">
        <f ca="1">$K$798-EFEITO!$M$798*EFEITO!$Z$798</f>
        <v>0</v>
      </c>
      <c r="O798" s="56">
        <f>$L$798-EFEITO!$O$798*EFEITO!$AA$798</f>
        <v>0</v>
      </c>
      <c r="P798" s="39"/>
      <c r="Q798" s="39"/>
      <c r="R798" s="39"/>
      <c r="S798" s="39"/>
      <c r="T798" s="39"/>
      <c r="U798" s="39"/>
      <c r="V798" s="39"/>
      <c r="W798" s="39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35" t="s">
        <v>21</v>
      </c>
      <c r="B799" s="35" t="s">
        <v>39</v>
      </c>
      <c r="C799" s="35" t="s">
        <v>36</v>
      </c>
      <c r="D799" s="35" t="s">
        <v>43</v>
      </c>
      <c r="E799" s="35" t="s">
        <v>25</v>
      </c>
      <c r="F799" s="35" t="s">
        <v>25</v>
      </c>
      <c r="G799" s="35" t="s">
        <v>25</v>
      </c>
      <c r="H799" s="35" t="s">
        <v>35</v>
      </c>
      <c r="I799" s="55">
        <v>44621</v>
      </c>
      <c r="J799" s="56">
        <f>EFEITO!$J$799*EFEITO!$Y$799</f>
        <v>0</v>
      </c>
      <c r="K799" s="56">
        <f ca="1">EFEITO!$L$799*EFEITO!$Z$799</f>
        <v>11044.195040886309</v>
      </c>
      <c r="L799" s="56">
        <f>EFEITO!$N$799*EFEITO!$AA$799</f>
        <v>9652.7463919776001</v>
      </c>
      <c r="M799" s="56">
        <f>$J$799-EFEITO!$K$799*EFEITO!$Y$799</f>
        <v>0</v>
      </c>
      <c r="N799" s="56">
        <f ca="1">$K$799-EFEITO!$M$799*EFEITO!$Z$799</f>
        <v>0</v>
      </c>
      <c r="O799" s="56">
        <f>$L$799-EFEITO!$O$799*EFEITO!$AA$799</f>
        <v>0</v>
      </c>
      <c r="P799" s="39"/>
      <c r="Q799" s="39"/>
      <c r="R799" s="39"/>
      <c r="S799" s="39"/>
      <c r="T799" s="39"/>
      <c r="U799" s="39"/>
      <c r="V799" s="39"/>
      <c r="W799" s="39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35" t="s">
        <v>21</v>
      </c>
      <c r="B800" s="35" t="s">
        <v>39</v>
      </c>
      <c r="C800" s="35" t="s">
        <v>36</v>
      </c>
      <c r="D800" s="35" t="s">
        <v>43</v>
      </c>
      <c r="E800" s="35" t="s">
        <v>25</v>
      </c>
      <c r="F800" s="35" t="s">
        <v>25</v>
      </c>
      <c r="G800" s="35" t="s">
        <v>25</v>
      </c>
      <c r="H800" s="35" t="s">
        <v>35</v>
      </c>
      <c r="I800" s="55">
        <v>44652</v>
      </c>
      <c r="J800" s="56">
        <f>EFEITO!$J$800*EFEITO!$Y$800</f>
        <v>0</v>
      </c>
      <c r="K800" s="56">
        <f ca="1">EFEITO!$L$800*EFEITO!$Z$800</f>
        <v>9132.5629559325535</v>
      </c>
      <c r="L800" s="56">
        <f>EFEITO!$N$800*EFEITO!$AA$800</f>
        <v>7981.9591917775269</v>
      </c>
      <c r="M800" s="56">
        <f>$J$800-EFEITO!$K$800*EFEITO!$Y$800</f>
        <v>0</v>
      </c>
      <c r="N800" s="56">
        <f ca="1">$K$800-EFEITO!$M$800*EFEITO!$Z$800</f>
        <v>0</v>
      </c>
      <c r="O800" s="56">
        <f>$L$800-EFEITO!$O$800*EFEITO!$AA$800</f>
        <v>0</v>
      </c>
      <c r="P800" s="39"/>
      <c r="Q800" s="39"/>
      <c r="R800" s="39"/>
      <c r="S800" s="39"/>
      <c r="T800" s="39"/>
      <c r="U800" s="39"/>
      <c r="V800" s="39"/>
      <c r="W800" s="39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35" t="s">
        <v>28</v>
      </c>
      <c r="B801" s="35" t="s">
        <v>39</v>
      </c>
      <c r="C801" s="35" t="s">
        <v>36</v>
      </c>
      <c r="D801" s="35" t="s">
        <v>43</v>
      </c>
      <c r="E801" s="35" t="s">
        <v>25</v>
      </c>
      <c r="F801" s="35" t="s">
        <v>25</v>
      </c>
      <c r="G801" s="35" t="s">
        <v>25</v>
      </c>
      <c r="H801" s="35" t="s">
        <v>35</v>
      </c>
      <c r="I801" s="55">
        <v>44652</v>
      </c>
      <c r="J801" s="56">
        <f>EFEITO!$J$801*EFEITO!$Y$801</f>
        <v>0</v>
      </c>
      <c r="K801" s="56">
        <f ca="1">EFEITO!$L$801*EFEITO!$Z$801</f>
        <v>68.166725509978818</v>
      </c>
      <c r="L801" s="56">
        <f>EFEITO!$N$801*EFEITO!$AA$801</f>
        <v>59.578458301708032</v>
      </c>
      <c r="M801" s="56">
        <f>$J$801-EFEITO!$K$801*EFEITO!$Y$801</f>
        <v>0</v>
      </c>
      <c r="N801" s="56">
        <f ca="1">$K$801-EFEITO!$M$801*EFEITO!$Z$801</f>
        <v>0</v>
      </c>
      <c r="O801" s="56">
        <f>$L$801-EFEITO!$O$801*EFEITO!$AA$801</f>
        <v>0</v>
      </c>
      <c r="P801" s="39"/>
      <c r="Q801" s="39"/>
      <c r="R801" s="39"/>
      <c r="S801" s="39"/>
      <c r="T801" s="39"/>
      <c r="U801" s="39"/>
      <c r="V801" s="39"/>
      <c r="W801" s="39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35" t="s">
        <v>21</v>
      </c>
      <c r="B802" s="35" t="s">
        <v>39</v>
      </c>
      <c r="C802" s="35" t="s">
        <v>36</v>
      </c>
      <c r="D802" s="35" t="s">
        <v>43</v>
      </c>
      <c r="E802" s="35" t="s">
        <v>25</v>
      </c>
      <c r="F802" s="35" t="s">
        <v>25</v>
      </c>
      <c r="G802" s="35" t="s">
        <v>25</v>
      </c>
      <c r="H802" s="35" t="s">
        <v>35</v>
      </c>
      <c r="I802" s="55">
        <v>44682</v>
      </c>
      <c r="J802" s="56">
        <f>EFEITO!$J$802*EFEITO!$Y$802</f>
        <v>0</v>
      </c>
      <c r="K802" s="56">
        <f ca="1">EFEITO!$L$802*EFEITO!$Z$802</f>
        <v>9573.2756552079391</v>
      </c>
      <c r="L802" s="56">
        <f>EFEITO!$N$802*EFEITO!$AA$802</f>
        <v>8367.1468765368318</v>
      </c>
      <c r="M802" s="56">
        <f>$J$802-EFEITO!$K$802*EFEITO!$Y$802</f>
        <v>0</v>
      </c>
      <c r="N802" s="56">
        <f ca="1">$K$802-EFEITO!$M$802*EFEITO!$Z$802</f>
        <v>0</v>
      </c>
      <c r="O802" s="56">
        <f>$L$802-EFEITO!$O$802*EFEITO!$AA$802</f>
        <v>0</v>
      </c>
      <c r="P802" s="39"/>
      <c r="Q802" s="39"/>
      <c r="R802" s="39"/>
      <c r="S802" s="39"/>
      <c r="T802" s="39"/>
      <c r="U802" s="39"/>
      <c r="V802" s="39"/>
      <c r="W802" s="39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35" t="s">
        <v>21</v>
      </c>
      <c r="B803" s="35" t="s">
        <v>39</v>
      </c>
      <c r="C803" s="35" t="s">
        <v>36</v>
      </c>
      <c r="D803" s="35" t="s">
        <v>43</v>
      </c>
      <c r="E803" s="35" t="s">
        <v>25</v>
      </c>
      <c r="F803" s="35" t="s">
        <v>25</v>
      </c>
      <c r="G803" s="35" t="s">
        <v>25</v>
      </c>
      <c r="H803" s="35" t="s">
        <v>38</v>
      </c>
      <c r="I803" s="55">
        <v>44348</v>
      </c>
      <c r="J803" s="56">
        <f>EFEITO!$J$803*EFEITO!$Y$803</f>
        <v>0</v>
      </c>
      <c r="K803" s="56">
        <f ca="1">EFEITO!$L$803*EFEITO!$Z$803</f>
        <v>606.68385703881154</v>
      </c>
      <c r="L803" s="56">
        <f>EFEITO!$N$803*EFEITO!$AA$803</f>
        <v>530.24827888520144</v>
      </c>
      <c r="M803" s="56">
        <f>$J$803-EFEITO!$K$803*EFEITO!$Y$803</f>
        <v>0</v>
      </c>
      <c r="N803" s="56">
        <f ca="1">$K$803-EFEITO!$M$803*EFEITO!$Z$803</f>
        <v>0</v>
      </c>
      <c r="O803" s="56">
        <f>$L$803-EFEITO!$O$803*EFEITO!$AA$803</f>
        <v>0</v>
      </c>
      <c r="P803" s="39"/>
      <c r="Q803" s="39"/>
      <c r="R803" s="39"/>
      <c r="S803" s="39"/>
      <c r="T803" s="39"/>
      <c r="U803" s="39"/>
      <c r="V803" s="39"/>
      <c r="W803" s="39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35" t="s">
        <v>21</v>
      </c>
      <c r="B804" s="35" t="s">
        <v>39</v>
      </c>
      <c r="C804" s="35" t="s">
        <v>36</v>
      </c>
      <c r="D804" s="35" t="s">
        <v>43</v>
      </c>
      <c r="E804" s="35" t="s">
        <v>25</v>
      </c>
      <c r="F804" s="35" t="s">
        <v>25</v>
      </c>
      <c r="G804" s="35" t="s">
        <v>25</v>
      </c>
      <c r="H804" s="35" t="s">
        <v>38</v>
      </c>
      <c r="I804" s="55">
        <v>44378</v>
      </c>
      <c r="J804" s="56">
        <f>EFEITO!$J$804*EFEITO!$Y$804</f>
        <v>0</v>
      </c>
      <c r="K804" s="56">
        <f ca="1">EFEITO!$L$804*EFEITO!$Z$804</f>
        <v>635.72880964741114</v>
      </c>
      <c r="L804" s="56">
        <f>EFEITO!$N$804*EFEITO!$AA$804</f>
        <v>555.63388285723363</v>
      </c>
      <c r="M804" s="56">
        <f>$J$804-EFEITO!$K$804*EFEITO!$Y$804</f>
        <v>0</v>
      </c>
      <c r="N804" s="56">
        <f ca="1">$K$804-EFEITO!$M$804*EFEITO!$Z$804</f>
        <v>0</v>
      </c>
      <c r="O804" s="56">
        <f>$L$804-EFEITO!$O$804*EFEITO!$AA$804</f>
        <v>0</v>
      </c>
      <c r="P804" s="39"/>
      <c r="Q804" s="39"/>
      <c r="R804" s="39"/>
      <c r="S804" s="39"/>
      <c r="T804" s="39"/>
      <c r="U804" s="39"/>
      <c r="V804" s="39"/>
      <c r="W804" s="39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35" t="s">
        <v>21</v>
      </c>
      <c r="B805" s="35" t="s">
        <v>39</v>
      </c>
      <c r="C805" s="35" t="s">
        <v>36</v>
      </c>
      <c r="D805" s="35" t="s">
        <v>43</v>
      </c>
      <c r="E805" s="35" t="s">
        <v>25</v>
      </c>
      <c r="F805" s="35" t="s">
        <v>25</v>
      </c>
      <c r="G805" s="35" t="s">
        <v>25</v>
      </c>
      <c r="H805" s="35" t="s">
        <v>38</v>
      </c>
      <c r="I805" s="55">
        <v>44409</v>
      </c>
      <c r="J805" s="56">
        <f>EFEITO!$J$805*EFEITO!$Y$805</f>
        <v>0</v>
      </c>
      <c r="K805" s="56">
        <f ca="1">EFEITO!$L$805*EFEITO!$Z$805</f>
        <v>638.98895738919282</v>
      </c>
      <c r="L805" s="56">
        <f>EFEITO!$N$805*EFEITO!$AA$805</f>
        <v>558.48328738470661</v>
      </c>
      <c r="M805" s="56">
        <f>$J$805-EFEITO!$K$805*EFEITO!$Y$805</f>
        <v>0</v>
      </c>
      <c r="N805" s="56">
        <f ca="1">$K$805-EFEITO!$M$805*EFEITO!$Z$805</f>
        <v>0</v>
      </c>
      <c r="O805" s="56">
        <f>$L$805-EFEITO!$O$805*EFEITO!$AA$805</f>
        <v>0</v>
      </c>
      <c r="P805" s="39"/>
      <c r="Q805" s="39"/>
      <c r="R805" s="39"/>
      <c r="S805" s="39"/>
      <c r="T805" s="39"/>
      <c r="U805" s="39"/>
      <c r="V805" s="39"/>
      <c r="W805" s="39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35" t="s">
        <v>21</v>
      </c>
      <c r="B806" s="35" t="s">
        <v>39</v>
      </c>
      <c r="C806" s="35" t="s">
        <v>36</v>
      </c>
      <c r="D806" s="35" t="s">
        <v>43</v>
      </c>
      <c r="E806" s="35" t="s">
        <v>25</v>
      </c>
      <c r="F806" s="35" t="s">
        <v>25</v>
      </c>
      <c r="G806" s="35" t="s">
        <v>25</v>
      </c>
      <c r="H806" s="35" t="s">
        <v>38</v>
      </c>
      <c r="I806" s="55">
        <v>44440</v>
      </c>
      <c r="J806" s="56">
        <f>EFEITO!$J$806*EFEITO!$Y$806</f>
        <v>0</v>
      </c>
      <c r="K806" s="56">
        <f ca="1">EFEITO!$L$806*EFEITO!$Z$806</f>
        <v>669.81217240240051</v>
      </c>
      <c r="L806" s="56">
        <f>EFEITO!$N$806*EFEITO!$AA$806</f>
        <v>585.42311200808751</v>
      </c>
      <c r="M806" s="56">
        <f>$J$806-EFEITO!$K$806*EFEITO!$Y$806</f>
        <v>0</v>
      </c>
      <c r="N806" s="56">
        <f ca="1">$K$806-EFEITO!$M$806*EFEITO!$Z$806</f>
        <v>0</v>
      </c>
      <c r="O806" s="56">
        <f>$L$806-EFEITO!$O$806*EFEITO!$AA$806</f>
        <v>0</v>
      </c>
      <c r="P806" s="39"/>
      <c r="Q806" s="39"/>
      <c r="R806" s="39"/>
      <c r="S806" s="39"/>
      <c r="T806" s="39"/>
      <c r="U806" s="39"/>
      <c r="V806" s="39"/>
      <c r="W806" s="39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35" t="s">
        <v>21</v>
      </c>
      <c r="B807" s="35" t="s">
        <v>39</v>
      </c>
      <c r="C807" s="35" t="s">
        <v>36</v>
      </c>
      <c r="D807" s="35" t="s">
        <v>43</v>
      </c>
      <c r="E807" s="35" t="s">
        <v>25</v>
      </c>
      <c r="F807" s="35" t="s">
        <v>25</v>
      </c>
      <c r="G807" s="35" t="s">
        <v>25</v>
      </c>
      <c r="H807" s="35" t="s">
        <v>38</v>
      </c>
      <c r="I807" s="55">
        <v>44470</v>
      </c>
      <c r="J807" s="56">
        <f>EFEITO!$J$807*EFEITO!$Y$807</f>
        <v>0</v>
      </c>
      <c r="K807" s="56">
        <f ca="1">EFEITO!$L$807*EFEITO!$Z$807</f>
        <v>653.80781076092728</v>
      </c>
      <c r="L807" s="56">
        <f>EFEITO!$N$807*EFEITO!$AA$807</f>
        <v>571.43512614594738</v>
      </c>
      <c r="M807" s="56">
        <f>$J$807-EFEITO!$K$807*EFEITO!$Y$807</f>
        <v>0</v>
      </c>
      <c r="N807" s="56">
        <f ca="1">$K$807-EFEITO!$M$807*EFEITO!$Z$807</f>
        <v>0</v>
      </c>
      <c r="O807" s="56">
        <f>$L$807-EFEITO!$O$807*EFEITO!$AA$807</f>
        <v>0</v>
      </c>
      <c r="P807" s="39"/>
      <c r="Q807" s="39"/>
      <c r="R807" s="39"/>
      <c r="S807" s="39"/>
      <c r="T807" s="39"/>
      <c r="U807" s="39"/>
      <c r="V807" s="39"/>
      <c r="W807" s="39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35" t="s">
        <v>21</v>
      </c>
      <c r="B808" s="35" t="s">
        <v>39</v>
      </c>
      <c r="C808" s="35" t="s">
        <v>36</v>
      </c>
      <c r="D808" s="35" t="s">
        <v>43</v>
      </c>
      <c r="E808" s="35" t="s">
        <v>25</v>
      </c>
      <c r="F808" s="35" t="s">
        <v>25</v>
      </c>
      <c r="G808" s="35" t="s">
        <v>25</v>
      </c>
      <c r="H808" s="35" t="s">
        <v>38</v>
      </c>
      <c r="I808" s="55">
        <v>44501</v>
      </c>
      <c r="J808" s="56">
        <f>EFEITO!$J$808*EFEITO!$Y$808</f>
        <v>0</v>
      </c>
      <c r="K808" s="56">
        <f ca="1">EFEITO!$L$808*EFEITO!$Z$808</f>
        <v>635.1360555125417</v>
      </c>
      <c r="L808" s="56">
        <f>EFEITO!$N$808*EFEITO!$AA$808</f>
        <v>555.11580930678383</v>
      </c>
      <c r="M808" s="56">
        <f>$J$808-EFEITO!$K$808*EFEITO!$Y$808</f>
        <v>0</v>
      </c>
      <c r="N808" s="56">
        <f ca="1">$K$808-EFEITO!$M$808*EFEITO!$Z$808</f>
        <v>0</v>
      </c>
      <c r="O808" s="56">
        <f>$L$808-EFEITO!$O$808*EFEITO!$AA$808</f>
        <v>0</v>
      </c>
      <c r="P808" s="39"/>
      <c r="Q808" s="39"/>
      <c r="R808" s="39"/>
      <c r="S808" s="39"/>
      <c r="T808" s="39"/>
      <c r="U808" s="39"/>
      <c r="V808" s="39"/>
      <c r="W808" s="39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35" t="s">
        <v>21</v>
      </c>
      <c r="B809" s="35" t="s">
        <v>39</v>
      </c>
      <c r="C809" s="35" t="s">
        <v>36</v>
      </c>
      <c r="D809" s="35" t="s">
        <v>43</v>
      </c>
      <c r="E809" s="35" t="s">
        <v>25</v>
      </c>
      <c r="F809" s="35" t="s">
        <v>25</v>
      </c>
      <c r="G809" s="35" t="s">
        <v>25</v>
      </c>
      <c r="H809" s="35" t="s">
        <v>38</v>
      </c>
      <c r="I809" s="55">
        <v>44531</v>
      </c>
      <c r="J809" s="56">
        <f>EFEITO!$J$809*EFEITO!$Y$809</f>
        <v>0</v>
      </c>
      <c r="K809" s="56">
        <f ca="1">EFEITO!$L$809*EFEITO!$Z$809</f>
        <v>710.71220770838784</v>
      </c>
      <c r="L809" s="56">
        <f>EFEITO!$N$809*EFEITO!$AA$809</f>
        <v>621.17018698911249</v>
      </c>
      <c r="M809" s="56">
        <f>$J$809-EFEITO!$K$809*EFEITO!$Y$809</f>
        <v>0</v>
      </c>
      <c r="N809" s="56">
        <f ca="1">$K$809-EFEITO!$M$809*EFEITO!$Z$809</f>
        <v>0</v>
      </c>
      <c r="O809" s="56">
        <f>$L$809-EFEITO!$O$809*EFEITO!$AA$809</f>
        <v>0</v>
      </c>
      <c r="P809" s="39"/>
      <c r="Q809" s="39"/>
      <c r="R809" s="39"/>
      <c r="S809" s="39"/>
      <c r="T809" s="39"/>
      <c r="U809" s="39"/>
      <c r="V809" s="39"/>
      <c r="W809" s="39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35" t="s">
        <v>21</v>
      </c>
      <c r="B810" s="35" t="s">
        <v>39</v>
      </c>
      <c r="C810" s="35" t="s">
        <v>36</v>
      </c>
      <c r="D810" s="35" t="s">
        <v>43</v>
      </c>
      <c r="E810" s="35" t="s">
        <v>25</v>
      </c>
      <c r="F810" s="35" t="s">
        <v>25</v>
      </c>
      <c r="G810" s="35" t="s">
        <v>25</v>
      </c>
      <c r="H810" s="35" t="s">
        <v>38</v>
      </c>
      <c r="I810" s="55">
        <v>44562</v>
      </c>
      <c r="J810" s="56">
        <f>EFEITO!$J$810*EFEITO!$Y$810</f>
        <v>0</v>
      </c>
      <c r="K810" s="56">
        <f ca="1">EFEITO!$L$810*EFEITO!$Z$810</f>
        <v>745.38832459824664</v>
      </c>
      <c r="L810" s="56">
        <f>EFEITO!$N$810*EFEITO!$AA$810</f>
        <v>651.47748969041606</v>
      </c>
      <c r="M810" s="56">
        <f>$J$810-EFEITO!$K$810*EFEITO!$Y$810</f>
        <v>0</v>
      </c>
      <c r="N810" s="56">
        <f ca="1">$K$810-EFEITO!$M$810*EFEITO!$Z$810</f>
        <v>0</v>
      </c>
      <c r="O810" s="56">
        <f>$L$810-EFEITO!$O$810*EFEITO!$AA$810</f>
        <v>0</v>
      </c>
      <c r="P810" s="39"/>
      <c r="Q810" s="39"/>
      <c r="R810" s="39"/>
      <c r="S810" s="39"/>
      <c r="T810" s="39"/>
      <c r="U810" s="39"/>
      <c r="V810" s="39"/>
      <c r="W810" s="39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35" t="s">
        <v>21</v>
      </c>
      <c r="B811" s="35" t="s">
        <v>39</v>
      </c>
      <c r="C811" s="35" t="s">
        <v>36</v>
      </c>
      <c r="D811" s="35" t="s">
        <v>43</v>
      </c>
      <c r="E811" s="35" t="s">
        <v>25</v>
      </c>
      <c r="F811" s="35" t="s">
        <v>25</v>
      </c>
      <c r="G811" s="35" t="s">
        <v>25</v>
      </c>
      <c r="H811" s="35" t="s">
        <v>38</v>
      </c>
      <c r="I811" s="55">
        <v>44593</v>
      </c>
      <c r="J811" s="56">
        <f>EFEITO!$J$811*EFEITO!$Y$811</f>
        <v>0</v>
      </c>
      <c r="K811" s="56">
        <f ca="1">EFEITO!$L$811*EFEITO!$Z$811</f>
        <v>885.87105456228983</v>
      </c>
      <c r="L811" s="56">
        <f>EFEITO!$N$811*EFEITO!$AA$811</f>
        <v>774.26092114697951</v>
      </c>
      <c r="M811" s="56">
        <f>$J$811-EFEITO!$K$811*EFEITO!$Y$811</f>
        <v>0</v>
      </c>
      <c r="N811" s="56">
        <f ca="1">$K$811-EFEITO!$M$811*EFEITO!$Z$811</f>
        <v>0</v>
      </c>
      <c r="O811" s="56">
        <f>$L$811-EFEITO!$O$811*EFEITO!$AA$811</f>
        <v>0</v>
      </c>
      <c r="P811" s="39"/>
      <c r="Q811" s="39"/>
      <c r="R811" s="39"/>
      <c r="S811" s="39"/>
      <c r="T811" s="39"/>
      <c r="U811" s="39"/>
      <c r="V811" s="39"/>
      <c r="W811" s="39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35" t="s">
        <v>21</v>
      </c>
      <c r="B812" s="35" t="s">
        <v>39</v>
      </c>
      <c r="C812" s="35" t="s">
        <v>36</v>
      </c>
      <c r="D812" s="35" t="s">
        <v>43</v>
      </c>
      <c r="E812" s="35" t="s">
        <v>25</v>
      </c>
      <c r="F812" s="35" t="s">
        <v>25</v>
      </c>
      <c r="G812" s="35" t="s">
        <v>25</v>
      </c>
      <c r="H812" s="35" t="s">
        <v>38</v>
      </c>
      <c r="I812" s="55">
        <v>44621</v>
      </c>
      <c r="J812" s="56">
        <f>EFEITO!$J$812*EFEITO!$Y$812</f>
        <v>0</v>
      </c>
      <c r="K812" s="56">
        <f ca="1">EFEITO!$L$812*EFEITO!$Z$812</f>
        <v>746.87020993542012</v>
      </c>
      <c r="L812" s="56">
        <f>EFEITO!$N$812*EFEITO!$AA$812</f>
        <v>652.77267356654011</v>
      </c>
      <c r="M812" s="56">
        <f>$J$812-EFEITO!$K$812*EFEITO!$Y$812</f>
        <v>0</v>
      </c>
      <c r="N812" s="56">
        <f ca="1">$K$812-EFEITO!$M$812*EFEITO!$Z$812</f>
        <v>0</v>
      </c>
      <c r="O812" s="56">
        <f>$L$812-EFEITO!$O$812*EFEITO!$AA$812</f>
        <v>0</v>
      </c>
      <c r="P812" s="39"/>
      <c r="Q812" s="39"/>
      <c r="R812" s="39"/>
      <c r="S812" s="39"/>
      <c r="T812" s="39"/>
      <c r="U812" s="39"/>
      <c r="V812" s="39"/>
      <c r="W812" s="39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35" t="s">
        <v>21</v>
      </c>
      <c r="B813" s="35" t="s">
        <v>39</v>
      </c>
      <c r="C813" s="35" t="s">
        <v>36</v>
      </c>
      <c r="D813" s="35" t="s">
        <v>43</v>
      </c>
      <c r="E813" s="35" t="s">
        <v>25</v>
      </c>
      <c r="F813" s="35" t="s">
        <v>25</v>
      </c>
      <c r="G813" s="35" t="s">
        <v>25</v>
      </c>
      <c r="H813" s="35" t="s">
        <v>38</v>
      </c>
      <c r="I813" s="55">
        <v>44652</v>
      </c>
      <c r="J813" s="56">
        <f>EFEITO!$J$813*EFEITO!$Y$813</f>
        <v>0</v>
      </c>
      <c r="K813" s="56">
        <f ca="1">EFEITO!$L$813*EFEITO!$Z$813</f>
        <v>620.31720214080724</v>
      </c>
      <c r="L813" s="56">
        <f>EFEITO!$N$813*EFEITO!$AA$813</f>
        <v>542.16397054554307</v>
      </c>
      <c r="M813" s="56">
        <f>$J$813-EFEITO!$K$813*EFEITO!$Y$813</f>
        <v>0</v>
      </c>
      <c r="N813" s="56">
        <f ca="1">$K$813-EFEITO!$M$813*EFEITO!$Z$813</f>
        <v>0</v>
      </c>
      <c r="O813" s="56">
        <f>$L$813-EFEITO!$O$813*EFEITO!$AA$813</f>
        <v>0</v>
      </c>
      <c r="P813" s="39"/>
      <c r="Q813" s="39"/>
      <c r="R813" s="39"/>
      <c r="S813" s="39"/>
      <c r="T813" s="39"/>
      <c r="U813" s="39"/>
      <c r="V813" s="39"/>
      <c r="W813" s="39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35" t="s">
        <v>28</v>
      </c>
      <c r="B814" s="35" t="s">
        <v>39</v>
      </c>
      <c r="C814" s="35" t="s">
        <v>36</v>
      </c>
      <c r="D814" s="35" t="s">
        <v>43</v>
      </c>
      <c r="E814" s="35" t="s">
        <v>25</v>
      </c>
      <c r="F814" s="35" t="s">
        <v>25</v>
      </c>
      <c r="G814" s="35" t="s">
        <v>25</v>
      </c>
      <c r="H814" s="35" t="s">
        <v>38</v>
      </c>
      <c r="I814" s="55">
        <v>44652</v>
      </c>
      <c r="J814" s="56">
        <f>EFEITO!$J$814*EFEITO!$Y$814</f>
        <v>0</v>
      </c>
      <c r="K814" s="56">
        <f ca="1">EFEITO!$L$814*EFEITO!$Z$814</f>
        <v>15.115230439169215</v>
      </c>
      <c r="L814" s="56">
        <f>EFEITO!$N$814*EFEITO!$AA$814</f>
        <v>13.210875536465693</v>
      </c>
      <c r="M814" s="56">
        <f>$J$814-EFEITO!$K$814*EFEITO!$Y$814</f>
        <v>0</v>
      </c>
      <c r="N814" s="56">
        <f ca="1">$K$814-EFEITO!$M$814*EFEITO!$Z$814</f>
        <v>0</v>
      </c>
      <c r="O814" s="56">
        <f>$L$814-EFEITO!$O$814*EFEITO!$AA$814</f>
        <v>0</v>
      </c>
      <c r="P814" s="39"/>
      <c r="Q814" s="39"/>
      <c r="R814" s="39"/>
      <c r="S814" s="39"/>
      <c r="T814" s="39"/>
      <c r="U814" s="39"/>
      <c r="V814" s="39"/>
      <c r="W814" s="39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35" t="s">
        <v>21</v>
      </c>
      <c r="B815" s="35" t="s">
        <v>39</v>
      </c>
      <c r="C815" s="35" t="s">
        <v>36</v>
      </c>
      <c r="D815" s="35" t="s">
        <v>43</v>
      </c>
      <c r="E815" s="35" t="s">
        <v>25</v>
      </c>
      <c r="F815" s="35" t="s">
        <v>25</v>
      </c>
      <c r="G815" s="35" t="s">
        <v>25</v>
      </c>
      <c r="H815" s="35" t="s">
        <v>38</v>
      </c>
      <c r="I815" s="55">
        <v>44682</v>
      </c>
      <c r="J815" s="56">
        <f>EFEITO!$J$815*EFEITO!$Y$815</f>
        <v>0</v>
      </c>
      <c r="K815" s="56">
        <f ca="1">EFEITO!$L$815*EFEITO!$Z$815</f>
        <v>638.39620325432327</v>
      </c>
      <c r="L815" s="56">
        <f>EFEITO!$N$815*EFEITO!$AA$815</f>
        <v>557.96521383425693</v>
      </c>
      <c r="M815" s="56">
        <f>$J$815-EFEITO!$K$815*EFEITO!$Y$815</f>
        <v>0</v>
      </c>
      <c r="N815" s="56">
        <f ca="1">$K$815-EFEITO!$M$815*EFEITO!$Z$815</f>
        <v>0</v>
      </c>
      <c r="O815" s="56">
        <f>$L$815-EFEITO!$O$815*EFEITO!$AA$815</f>
        <v>0</v>
      </c>
      <c r="P815" s="39"/>
      <c r="Q815" s="39"/>
      <c r="R815" s="39"/>
      <c r="S815" s="39"/>
      <c r="T815" s="39"/>
      <c r="U815" s="39"/>
      <c r="V815" s="39"/>
      <c r="W815" s="39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35" t="s">
        <v>21</v>
      </c>
      <c r="B816" s="35" t="s">
        <v>39</v>
      </c>
      <c r="C816" s="35" t="s">
        <v>36</v>
      </c>
      <c r="D816" s="35" t="s">
        <v>43</v>
      </c>
      <c r="E816" s="35" t="s">
        <v>25</v>
      </c>
      <c r="F816" s="35" t="s">
        <v>25</v>
      </c>
      <c r="G816" s="35" t="s">
        <v>25</v>
      </c>
      <c r="H816" s="35" t="s">
        <v>37</v>
      </c>
      <c r="I816" s="55">
        <v>44348</v>
      </c>
      <c r="J816" s="56">
        <f>EFEITO!$J$816*EFEITO!$Y$816</f>
        <v>0</v>
      </c>
      <c r="K816" s="56">
        <f ca="1">EFEITO!$L$816*EFEITO!$Z$816</f>
        <v>2579.4711640759579</v>
      </c>
      <c r="L816" s="56">
        <f>EFEITO!$N$816*EFEITO!$AA$816</f>
        <v>1172.1138811872975</v>
      </c>
      <c r="M816" s="56">
        <f>$J$816-EFEITO!$K$816*EFEITO!$Y$816</f>
        <v>0</v>
      </c>
      <c r="N816" s="56">
        <f ca="1">$K$816-EFEITO!$M$816*EFEITO!$Z$816</f>
        <v>0</v>
      </c>
      <c r="O816" s="56">
        <f>$L$816-EFEITO!$O$816*EFEITO!$AA$816</f>
        <v>0</v>
      </c>
      <c r="P816" s="39"/>
      <c r="Q816" s="39"/>
      <c r="R816" s="39"/>
      <c r="S816" s="39"/>
      <c r="T816" s="39"/>
      <c r="U816" s="39"/>
      <c r="V816" s="39"/>
      <c r="W816" s="39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35" t="s">
        <v>21</v>
      </c>
      <c r="B817" s="35" t="s">
        <v>39</v>
      </c>
      <c r="C817" s="35" t="s">
        <v>36</v>
      </c>
      <c r="D817" s="35" t="s">
        <v>43</v>
      </c>
      <c r="E817" s="35" t="s">
        <v>25</v>
      </c>
      <c r="F817" s="35" t="s">
        <v>25</v>
      </c>
      <c r="G817" s="35" t="s">
        <v>25</v>
      </c>
      <c r="H817" s="35" t="s">
        <v>37</v>
      </c>
      <c r="I817" s="55">
        <v>44378</v>
      </c>
      <c r="J817" s="56">
        <f>EFEITO!$J$817*EFEITO!$Y$817</f>
        <v>0</v>
      </c>
      <c r="K817" s="56">
        <f ca="1">EFEITO!$L$817*EFEITO!$Z$817</f>
        <v>2750.278921753792</v>
      </c>
      <c r="L817" s="56">
        <f>EFEITO!$N$817*EFEITO!$AA$817</f>
        <v>1249.7290709118106</v>
      </c>
      <c r="M817" s="56">
        <f>$J$817-EFEITO!$K$817*EFEITO!$Y$817</f>
        <v>0</v>
      </c>
      <c r="N817" s="56">
        <f ca="1">$K$817-EFEITO!$M$817*EFEITO!$Z$817</f>
        <v>0</v>
      </c>
      <c r="O817" s="56">
        <f>$L$817-EFEITO!$O$817*EFEITO!$AA$817</f>
        <v>0</v>
      </c>
      <c r="P817" s="39"/>
      <c r="Q817" s="39"/>
      <c r="R817" s="39"/>
      <c r="S817" s="39"/>
      <c r="T817" s="39"/>
      <c r="U817" s="39"/>
      <c r="V817" s="39"/>
      <c r="W817" s="39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35" t="s">
        <v>21</v>
      </c>
      <c r="B818" s="35" t="s">
        <v>39</v>
      </c>
      <c r="C818" s="35" t="s">
        <v>36</v>
      </c>
      <c r="D818" s="35" t="s">
        <v>43</v>
      </c>
      <c r="E818" s="35" t="s">
        <v>25</v>
      </c>
      <c r="F818" s="35" t="s">
        <v>25</v>
      </c>
      <c r="G818" s="35" t="s">
        <v>25</v>
      </c>
      <c r="H818" s="35" t="s">
        <v>37</v>
      </c>
      <c r="I818" s="55">
        <v>44409</v>
      </c>
      <c r="J818" s="56">
        <f>EFEITO!$J$818*EFEITO!$Y$818</f>
        <v>0</v>
      </c>
      <c r="K818" s="56">
        <f ca="1">EFEITO!$L$818*EFEITO!$Z$818</f>
        <v>2786.815340508409</v>
      </c>
      <c r="L818" s="56">
        <f>EFEITO!$N$818*EFEITO!$AA$818</f>
        <v>1266.3312505320273</v>
      </c>
      <c r="M818" s="56">
        <f>$J$818-EFEITO!$K$818*EFEITO!$Y$818</f>
        <v>0</v>
      </c>
      <c r="N818" s="56">
        <f ca="1">$K$818-EFEITO!$M$818*EFEITO!$Z$818</f>
        <v>0</v>
      </c>
      <c r="O818" s="56">
        <f>$L$818-EFEITO!$O$818*EFEITO!$AA$818</f>
        <v>0</v>
      </c>
      <c r="P818" s="39"/>
      <c r="Q818" s="39"/>
      <c r="R818" s="39"/>
      <c r="S818" s="39"/>
      <c r="T818" s="39"/>
      <c r="U818" s="39"/>
      <c r="V818" s="39"/>
      <c r="W818" s="39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35" t="s">
        <v>21</v>
      </c>
      <c r="B819" s="35" t="s">
        <v>39</v>
      </c>
      <c r="C819" s="35" t="s">
        <v>36</v>
      </c>
      <c r="D819" s="35" t="s">
        <v>43</v>
      </c>
      <c r="E819" s="35" t="s">
        <v>25</v>
      </c>
      <c r="F819" s="35" t="s">
        <v>25</v>
      </c>
      <c r="G819" s="35" t="s">
        <v>25</v>
      </c>
      <c r="H819" s="35" t="s">
        <v>37</v>
      </c>
      <c r="I819" s="55">
        <v>44440</v>
      </c>
      <c r="J819" s="56">
        <f>EFEITO!$J$819*EFEITO!$Y$819</f>
        <v>0</v>
      </c>
      <c r="K819" s="56">
        <f ca="1">EFEITO!$L$819*EFEITO!$Z$819</f>
        <v>2679.9463156511547</v>
      </c>
      <c r="L819" s="56">
        <f>EFEITO!$N$819*EFEITO!$AA$819</f>
        <v>1217.7698751428936</v>
      </c>
      <c r="M819" s="56">
        <f>$J$819-EFEITO!$K$819*EFEITO!$Y$819</f>
        <v>0</v>
      </c>
      <c r="N819" s="56">
        <f ca="1">$K$819-EFEITO!$M$819*EFEITO!$Z$819</f>
        <v>0</v>
      </c>
      <c r="O819" s="56">
        <f>$L$819-EFEITO!$O$819*EFEITO!$AA$819</f>
        <v>0</v>
      </c>
      <c r="P819" s="39"/>
      <c r="Q819" s="39"/>
      <c r="R819" s="39"/>
      <c r="S819" s="39"/>
      <c r="T819" s="39"/>
      <c r="U819" s="39"/>
      <c r="V819" s="39"/>
      <c r="W819" s="39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35" t="s">
        <v>21</v>
      </c>
      <c r="B820" s="35" t="s">
        <v>39</v>
      </c>
      <c r="C820" s="35" t="s">
        <v>36</v>
      </c>
      <c r="D820" s="35" t="s">
        <v>43</v>
      </c>
      <c r="E820" s="35" t="s">
        <v>25</v>
      </c>
      <c r="F820" s="35" t="s">
        <v>25</v>
      </c>
      <c r="G820" s="35" t="s">
        <v>25</v>
      </c>
      <c r="H820" s="35" t="s">
        <v>37</v>
      </c>
      <c r="I820" s="55">
        <v>44470</v>
      </c>
      <c r="J820" s="56">
        <f>EFEITO!$J$820*EFEITO!$Y$820</f>
        <v>0</v>
      </c>
      <c r="K820" s="56">
        <f ca="1">EFEITO!$L$820*EFEITO!$Z$820</f>
        <v>3321.1604647946824</v>
      </c>
      <c r="L820" s="56">
        <f>EFEITO!$N$820*EFEITO!$AA$820</f>
        <v>1509.1381274776963</v>
      </c>
      <c r="M820" s="56">
        <f>$J$820-EFEITO!$K$820*EFEITO!$Y$820</f>
        <v>0</v>
      </c>
      <c r="N820" s="56">
        <f ca="1">$K$820-EFEITO!$M$820*EFEITO!$Z$820</f>
        <v>0</v>
      </c>
      <c r="O820" s="56">
        <f>$L$820-EFEITO!$O$820*EFEITO!$AA$820</f>
        <v>0</v>
      </c>
      <c r="P820" s="39"/>
      <c r="Q820" s="39"/>
      <c r="R820" s="39"/>
      <c r="S820" s="39"/>
      <c r="T820" s="39"/>
      <c r="U820" s="39"/>
      <c r="V820" s="39"/>
      <c r="W820" s="39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35" t="s">
        <v>21</v>
      </c>
      <c r="B821" s="35" t="s">
        <v>39</v>
      </c>
      <c r="C821" s="35" t="s">
        <v>36</v>
      </c>
      <c r="D821" s="35" t="s">
        <v>43</v>
      </c>
      <c r="E821" s="35" t="s">
        <v>25</v>
      </c>
      <c r="F821" s="35" t="s">
        <v>25</v>
      </c>
      <c r="G821" s="35" t="s">
        <v>25</v>
      </c>
      <c r="H821" s="35" t="s">
        <v>37</v>
      </c>
      <c r="I821" s="55">
        <v>44501</v>
      </c>
      <c r="J821" s="56">
        <f>EFEITO!$J$821*EFEITO!$Y$821</f>
        <v>0</v>
      </c>
      <c r="K821" s="56">
        <f ca="1">EFEITO!$L$821*EFEITO!$Z$821</f>
        <v>3927.6650161213238</v>
      </c>
      <c r="L821" s="56">
        <f>EFEITO!$N$821*EFEITO!$AA$821</f>
        <v>1784.734309173293</v>
      </c>
      <c r="M821" s="56">
        <f>$J$821-EFEITO!$K$821*EFEITO!$Y$821</f>
        <v>0</v>
      </c>
      <c r="N821" s="56">
        <f ca="1">$K$821-EFEITO!$M$821*EFEITO!$Z$821</f>
        <v>0</v>
      </c>
      <c r="O821" s="56">
        <f>$L$821-EFEITO!$O$821*EFEITO!$AA$821</f>
        <v>0</v>
      </c>
      <c r="P821" s="39"/>
      <c r="Q821" s="39"/>
      <c r="R821" s="39"/>
      <c r="S821" s="39"/>
      <c r="T821" s="39"/>
      <c r="U821" s="39"/>
      <c r="V821" s="39"/>
      <c r="W821" s="39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35" t="s">
        <v>21</v>
      </c>
      <c r="B822" s="35" t="s">
        <v>39</v>
      </c>
      <c r="C822" s="35" t="s">
        <v>36</v>
      </c>
      <c r="D822" s="35" t="s">
        <v>43</v>
      </c>
      <c r="E822" s="35" t="s">
        <v>25</v>
      </c>
      <c r="F822" s="35" t="s">
        <v>25</v>
      </c>
      <c r="G822" s="35" t="s">
        <v>25</v>
      </c>
      <c r="H822" s="35" t="s">
        <v>37</v>
      </c>
      <c r="I822" s="55">
        <v>44531</v>
      </c>
      <c r="J822" s="56">
        <f>EFEITO!$J$822*EFEITO!$Y$822</f>
        <v>0</v>
      </c>
      <c r="K822" s="56">
        <f ca="1">EFEITO!$L$822*EFEITO!$Z$822</f>
        <v>4902.2739864007317</v>
      </c>
      <c r="L822" s="56">
        <f>EFEITO!$N$822*EFEITO!$AA$822</f>
        <v>2227.5974505425729</v>
      </c>
      <c r="M822" s="56">
        <f>$J$822-EFEITO!$K$822*EFEITO!$Y$822</f>
        <v>0</v>
      </c>
      <c r="N822" s="56">
        <f ca="1">$K$822-EFEITO!$M$822*EFEITO!$Z$822</f>
        <v>0</v>
      </c>
      <c r="O822" s="56">
        <f>$L$822-EFEITO!$O$822*EFEITO!$AA$822</f>
        <v>0</v>
      </c>
      <c r="P822" s="39"/>
      <c r="Q822" s="39"/>
      <c r="R822" s="39"/>
      <c r="S822" s="39"/>
      <c r="T822" s="39"/>
      <c r="U822" s="39"/>
      <c r="V822" s="39"/>
      <c r="W822" s="39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35" t="s">
        <v>21</v>
      </c>
      <c r="B823" s="35" t="s">
        <v>39</v>
      </c>
      <c r="C823" s="35" t="s">
        <v>36</v>
      </c>
      <c r="D823" s="35" t="s">
        <v>43</v>
      </c>
      <c r="E823" s="35" t="s">
        <v>25</v>
      </c>
      <c r="F823" s="35" t="s">
        <v>25</v>
      </c>
      <c r="G823" s="35" t="s">
        <v>25</v>
      </c>
      <c r="H823" s="35" t="s">
        <v>37</v>
      </c>
      <c r="I823" s="55">
        <v>44562</v>
      </c>
      <c r="J823" s="56">
        <f>EFEITO!$J$823*EFEITO!$Y$823</f>
        <v>0</v>
      </c>
      <c r="K823" s="56">
        <f ca="1">EFEITO!$L$823*EFEITO!$Z$823</f>
        <v>3081.8469219519411</v>
      </c>
      <c r="L823" s="56">
        <f>EFEITO!$N$823*EFEITO!$AA$823</f>
        <v>1400.3938509652769</v>
      </c>
      <c r="M823" s="56">
        <f>$J$823-EFEITO!$K$823*EFEITO!$Y$823</f>
        <v>0</v>
      </c>
      <c r="N823" s="56">
        <f ca="1">$K$823-EFEITO!$M$823*EFEITO!$Z$823</f>
        <v>0</v>
      </c>
      <c r="O823" s="56">
        <f>$L$823-EFEITO!$O$823*EFEITO!$AA$823</f>
        <v>0</v>
      </c>
      <c r="P823" s="39"/>
      <c r="Q823" s="39"/>
      <c r="R823" s="39"/>
      <c r="S823" s="39"/>
      <c r="T823" s="39"/>
      <c r="U823" s="39"/>
      <c r="V823" s="39"/>
      <c r="W823" s="39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35" t="s">
        <v>21</v>
      </c>
      <c r="B824" s="35" t="s">
        <v>39</v>
      </c>
      <c r="C824" s="35" t="s">
        <v>36</v>
      </c>
      <c r="D824" s="35" t="s">
        <v>43</v>
      </c>
      <c r="E824" s="35" t="s">
        <v>25</v>
      </c>
      <c r="F824" s="35" t="s">
        <v>25</v>
      </c>
      <c r="G824" s="35" t="s">
        <v>25</v>
      </c>
      <c r="H824" s="35" t="s">
        <v>37</v>
      </c>
      <c r="I824" s="55">
        <v>44593</v>
      </c>
      <c r="J824" s="56">
        <f>EFEITO!$J$824*EFEITO!$Y$824</f>
        <v>0</v>
      </c>
      <c r="K824" s="56">
        <f ca="1">EFEITO!$L$824*EFEITO!$Z$824</f>
        <v>3538.5521563846532</v>
      </c>
      <c r="L824" s="56">
        <f>EFEITO!$N$824*EFEITO!$AA$824</f>
        <v>1607.9210962179855</v>
      </c>
      <c r="M824" s="56">
        <f>$J$824-EFEITO!$K$824*EFEITO!$Y$824</f>
        <v>0</v>
      </c>
      <c r="N824" s="56">
        <f ca="1">$K$824-EFEITO!$M$824*EFEITO!$Z$824</f>
        <v>0</v>
      </c>
      <c r="O824" s="56">
        <f>$L$824-EFEITO!$O$824*EFEITO!$AA$824</f>
        <v>0</v>
      </c>
      <c r="P824" s="39"/>
      <c r="Q824" s="39"/>
      <c r="R824" s="39"/>
      <c r="S824" s="39"/>
      <c r="T824" s="39"/>
      <c r="U824" s="39"/>
      <c r="V824" s="39"/>
      <c r="W824" s="39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35" t="s">
        <v>21</v>
      </c>
      <c r="B825" s="35" t="s">
        <v>39</v>
      </c>
      <c r="C825" s="35" t="s">
        <v>36</v>
      </c>
      <c r="D825" s="35" t="s">
        <v>43</v>
      </c>
      <c r="E825" s="35" t="s">
        <v>25</v>
      </c>
      <c r="F825" s="35" t="s">
        <v>25</v>
      </c>
      <c r="G825" s="35" t="s">
        <v>25</v>
      </c>
      <c r="H825" s="35" t="s">
        <v>37</v>
      </c>
      <c r="I825" s="55">
        <v>44621</v>
      </c>
      <c r="J825" s="56">
        <f>EFEITO!$J$825*EFEITO!$Y$825</f>
        <v>0</v>
      </c>
      <c r="K825" s="56">
        <f ca="1">EFEITO!$L$825*EFEITO!$Z$825</f>
        <v>3005.1204425672454</v>
      </c>
      <c r="L825" s="56">
        <f>EFEITO!$N$825*EFEITO!$AA$825</f>
        <v>1365.529273762822</v>
      </c>
      <c r="M825" s="56">
        <f>$J$825-EFEITO!$K$825*EFEITO!$Y$825</f>
        <v>0</v>
      </c>
      <c r="N825" s="56">
        <f ca="1">$K$825-EFEITO!$M$825*EFEITO!$Z$825</f>
        <v>0</v>
      </c>
      <c r="O825" s="56">
        <f>$L$825-EFEITO!$O$825*EFEITO!$AA$825</f>
        <v>0</v>
      </c>
      <c r="P825" s="39"/>
      <c r="Q825" s="39"/>
      <c r="R825" s="39"/>
      <c r="S825" s="39"/>
      <c r="T825" s="39"/>
      <c r="U825" s="39"/>
      <c r="V825" s="39"/>
      <c r="W825" s="39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35" t="s">
        <v>21</v>
      </c>
      <c r="B826" s="35" t="s">
        <v>39</v>
      </c>
      <c r="C826" s="35" t="s">
        <v>36</v>
      </c>
      <c r="D826" s="35" t="s">
        <v>43</v>
      </c>
      <c r="E826" s="35" t="s">
        <v>25</v>
      </c>
      <c r="F826" s="35" t="s">
        <v>25</v>
      </c>
      <c r="G826" s="35" t="s">
        <v>25</v>
      </c>
      <c r="H826" s="35" t="s">
        <v>37</v>
      </c>
      <c r="I826" s="55">
        <v>44652</v>
      </c>
      <c r="J826" s="56">
        <f>EFEITO!$J$826*EFEITO!$Y$826</f>
        <v>0</v>
      </c>
      <c r="K826" s="56">
        <f ca="1">EFEITO!$L$826*EFEITO!$Z$826</f>
        <v>2290.8334559144837</v>
      </c>
      <c r="L826" s="56">
        <f>EFEITO!$N$826*EFEITO!$AA$826</f>
        <v>1040.9566621875858</v>
      </c>
      <c r="M826" s="56">
        <f>$J$826-EFEITO!$K$826*EFEITO!$Y$826</f>
        <v>0</v>
      </c>
      <c r="N826" s="56">
        <f ca="1">$K$826-EFEITO!$M$826*EFEITO!$Z$826</f>
        <v>0</v>
      </c>
      <c r="O826" s="56">
        <f>$L$826-EFEITO!$O$826*EFEITO!$AA$826</f>
        <v>0</v>
      </c>
      <c r="P826" s="39"/>
      <c r="Q826" s="39"/>
      <c r="R826" s="39"/>
      <c r="S826" s="39"/>
      <c r="T826" s="39"/>
      <c r="U826" s="39"/>
      <c r="V826" s="39"/>
      <c r="W826" s="39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35" t="s">
        <v>28</v>
      </c>
      <c r="B827" s="35" t="s">
        <v>39</v>
      </c>
      <c r="C827" s="35" t="s">
        <v>36</v>
      </c>
      <c r="D827" s="35" t="s">
        <v>43</v>
      </c>
      <c r="E827" s="35" t="s">
        <v>25</v>
      </c>
      <c r="F827" s="35" t="s">
        <v>25</v>
      </c>
      <c r="G827" s="35" t="s">
        <v>25</v>
      </c>
      <c r="H827" s="35" t="s">
        <v>37</v>
      </c>
      <c r="I827" s="55">
        <v>44652</v>
      </c>
      <c r="J827" s="56">
        <f>EFEITO!$J$827*EFEITO!$Y$827</f>
        <v>0</v>
      </c>
      <c r="K827" s="56">
        <f ca="1">EFEITO!$L$827*EFEITO!$Z$827</f>
        <v>753.56363681397488</v>
      </c>
      <c r="L827" s="56">
        <f>EFEITO!$N$827*EFEITO!$AA$827</f>
        <v>342.41995466696898</v>
      </c>
      <c r="M827" s="56">
        <f>$J$827-EFEITO!$K$827*EFEITO!$Y$827</f>
        <v>0</v>
      </c>
      <c r="N827" s="56">
        <f ca="1">$K$827-EFEITO!$M$827*EFEITO!$Z$827</f>
        <v>0</v>
      </c>
      <c r="O827" s="56">
        <f>$L$827-EFEITO!$O$827*EFEITO!$AA$827</f>
        <v>0</v>
      </c>
      <c r="P827" s="39"/>
      <c r="Q827" s="39"/>
      <c r="R827" s="39"/>
      <c r="S827" s="39"/>
      <c r="T827" s="39"/>
      <c r="U827" s="39"/>
      <c r="V827" s="39"/>
      <c r="W827" s="39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35" t="s">
        <v>21</v>
      </c>
      <c r="B828" s="35" t="s">
        <v>39</v>
      </c>
      <c r="C828" s="35" t="s">
        <v>36</v>
      </c>
      <c r="D828" s="35" t="s">
        <v>43</v>
      </c>
      <c r="E828" s="35" t="s">
        <v>25</v>
      </c>
      <c r="F828" s="35" t="s">
        <v>25</v>
      </c>
      <c r="G828" s="35" t="s">
        <v>25</v>
      </c>
      <c r="H828" s="35" t="s">
        <v>37</v>
      </c>
      <c r="I828" s="55">
        <v>44682</v>
      </c>
      <c r="J828" s="56">
        <f>EFEITO!$J$828*EFEITO!$Y$828</f>
        <v>0</v>
      </c>
      <c r="K828" s="56">
        <f ca="1">EFEITO!$L$828*EFEITO!$Z$828</f>
        <v>2624.2282770503639</v>
      </c>
      <c r="L828" s="56">
        <f>EFEITO!$N$828*EFEITO!$AA$828</f>
        <v>1192.451551222063</v>
      </c>
      <c r="M828" s="56">
        <f>$J$828-EFEITO!$K$828*EFEITO!$Y$828</f>
        <v>0</v>
      </c>
      <c r="N828" s="56">
        <f ca="1">$K$828-EFEITO!$M$828*EFEITO!$Z$828</f>
        <v>0</v>
      </c>
      <c r="O828" s="56">
        <f>$L$828-EFEITO!$O$828*EFEITO!$AA$828</f>
        <v>0</v>
      </c>
      <c r="P828" s="39"/>
      <c r="Q828" s="39"/>
      <c r="R828" s="39"/>
      <c r="S828" s="39"/>
      <c r="T828" s="39"/>
      <c r="U828" s="39"/>
      <c r="V828" s="39"/>
      <c r="W828" s="39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35" t="s">
        <v>21</v>
      </c>
      <c r="B829" s="35" t="s">
        <v>39</v>
      </c>
      <c r="C829" s="35" t="s">
        <v>36</v>
      </c>
      <c r="D829" s="35" t="s">
        <v>40</v>
      </c>
      <c r="E829" s="35" t="s">
        <v>25</v>
      </c>
      <c r="F829" s="35" t="s">
        <v>25</v>
      </c>
      <c r="G829" s="35" t="s">
        <v>25</v>
      </c>
      <c r="H829" s="35" t="s">
        <v>35</v>
      </c>
      <c r="I829" s="55">
        <v>44348</v>
      </c>
      <c r="J829" s="56">
        <f>EFEITO!$J$829*EFEITO!$Y$829</f>
        <v>0</v>
      </c>
      <c r="K829" s="56">
        <f ca="1">EFEITO!$L$829*EFEITO!$Z$829</f>
        <v>584.45557698120967</v>
      </c>
      <c r="L829" s="56">
        <f>EFEITO!$N$829*EFEITO!$AA$829</f>
        <v>510.82052074334013</v>
      </c>
      <c r="M829" s="56">
        <f>$J$829-EFEITO!$K$829*EFEITO!$Y$829</f>
        <v>0</v>
      </c>
      <c r="N829" s="56">
        <f ca="1">$K$829-EFEITO!$M$829*EFEITO!$Z$829</f>
        <v>0</v>
      </c>
      <c r="O829" s="56">
        <f>$L$829-EFEITO!$O$829*EFEITO!$AA$829</f>
        <v>0</v>
      </c>
      <c r="P829" s="39"/>
      <c r="Q829" s="39"/>
      <c r="R829" s="39"/>
      <c r="S829" s="39"/>
      <c r="T829" s="39"/>
      <c r="U829" s="39"/>
      <c r="V829" s="39"/>
      <c r="W829" s="39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35" t="s">
        <v>21</v>
      </c>
      <c r="B830" s="35" t="s">
        <v>39</v>
      </c>
      <c r="C830" s="35" t="s">
        <v>36</v>
      </c>
      <c r="D830" s="35" t="s">
        <v>40</v>
      </c>
      <c r="E830" s="35" t="s">
        <v>25</v>
      </c>
      <c r="F830" s="35" t="s">
        <v>25</v>
      </c>
      <c r="G830" s="35" t="s">
        <v>25</v>
      </c>
      <c r="H830" s="35" t="s">
        <v>35</v>
      </c>
      <c r="I830" s="55">
        <v>44378</v>
      </c>
      <c r="J830" s="56">
        <f>EFEITO!$J$830*EFEITO!$Y$830</f>
        <v>0</v>
      </c>
      <c r="K830" s="56">
        <f ca="1">EFEITO!$L$830*EFEITO!$Z$830</f>
        <v>642.5454821984091</v>
      </c>
      <c r="L830" s="56">
        <f>EFEITO!$N$830*EFEITO!$AA$830</f>
        <v>561.59172868740438</v>
      </c>
      <c r="M830" s="56">
        <f>$J$830-EFEITO!$K$830*EFEITO!$Y$830</f>
        <v>0</v>
      </c>
      <c r="N830" s="56">
        <f ca="1">$K$830-EFEITO!$M$830*EFEITO!$Z$830</f>
        <v>0</v>
      </c>
      <c r="O830" s="56">
        <f>$L$830-EFEITO!$O$830*EFEITO!$AA$830</f>
        <v>0</v>
      </c>
      <c r="P830" s="39"/>
      <c r="Q830" s="39"/>
      <c r="R830" s="39"/>
      <c r="S830" s="39"/>
      <c r="T830" s="39"/>
      <c r="U830" s="39"/>
      <c r="V830" s="39"/>
      <c r="W830" s="39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35" t="s">
        <v>21</v>
      </c>
      <c r="B831" s="35" t="s">
        <v>39</v>
      </c>
      <c r="C831" s="35" t="s">
        <v>36</v>
      </c>
      <c r="D831" s="35" t="s">
        <v>40</v>
      </c>
      <c r="E831" s="35" t="s">
        <v>25</v>
      </c>
      <c r="F831" s="35" t="s">
        <v>25</v>
      </c>
      <c r="G831" s="35" t="s">
        <v>25</v>
      </c>
      <c r="H831" s="35" t="s">
        <v>35</v>
      </c>
      <c r="I831" s="55">
        <v>44409</v>
      </c>
      <c r="J831" s="56">
        <f>EFEITO!$J$831*EFEITO!$Y$831</f>
        <v>0</v>
      </c>
      <c r="K831" s="56">
        <f ca="1">EFEITO!$L$831*EFEITO!$Z$831</f>
        <v>643.43461340071303</v>
      </c>
      <c r="L831" s="56">
        <f>EFEITO!$N$831*EFEITO!$AA$831</f>
        <v>562.36883901307874</v>
      </c>
      <c r="M831" s="56">
        <f>$J$831-EFEITO!$K$831*EFEITO!$Y$831</f>
        <v>0</v>
      </c>
      <c r="N831" s="56">
        <f ca="1">$K$831-EFEITO!$M$831*EFEITO!$Z$831</f>
        <v>0</v>
      </c>
      <c r="O831" s="56">
        <f>$L$831-EFEITO!$O$831*EFEITO!$AA$831</f>
        <v>0</v>
      </c>
      <c r="P831" s="39"/>
      <c r="Q831" s="39"/>
      <c r="R831" s="39"/>
      <c r="S831" s="39"/>
      <c r="T831" s="39"/>
      <c r="U831" s="39"/>
      <c r="V831" s="39"/>
      <c r="W831" s="39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35" t="s">
        <v>21</v>
      </c>
      <c r="B832" s="35" t="s">
        <v>39</v>
      </c>
      <c r="C832" s="35" t="s">
        <v>36</v>
      </c>
      <c r="D832" s="35" t="s">
        <v>40</v>
      </c>
      <c r="E832" s="35" t="s">
        <v>25</v>
      </c>
      <c r="F832" s="35" t="s">
        <v>25</v>
      </c>
      <c r="G832" s="35" t="s">
        <v>25</v>
      </c>
      <c r="H832" s="35" t="s">
        <v>35</v>
      </c>
      <c r="I832" s="55">
        <v>44440</v>
      </c>
      <c r="J832" s="56">
        <f>EFEITO!$J$832*EFEITO!$Y$832</f>
        <v>0</v>
      </c>
      <c r="K832" s="56">
        <f ca="1">EFEITO!$L$832*EFEITO!$Z$832</f>
        <v>609.35125064572367</v>
      </c>
      <c r="L832" s="56">
        <f>EFEITO!$N$832*EFEITO!$AA$832</f>
        <v>532.57960986222486</v>
      </c>
      <c r="M832" s="56">
        <f>$J$832-EFEITO!$K$832*EFEITO!$Y$832</f>
        <v>0</v>
      </c>
      <c r="N832" s="56">
        <f ca="1">$K$832-EFEITO!$M$832*EFEITO!$Z$832</f>
        <v>0</v>
      </c>
      <c r="O832" s="56">
        <f>$L$832-EFEITO!$O$832*EFEITO!$AA$832</f>
        <v>0</v>
      </c>
      <c r="P832" s="39"/>
      <c r="Q832" s="39"/>
      <c r="R832" s="39"/>
      <c r="S832" s="39"/>
      <c r="T832" s="39"/>
      <c r="U832" s="39"/>
      <c r="V832" s="39"/>
      <c r="W832" s="39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35" t="s">
        <v>21</v>
      </c>
      <c r="B833" s="35" t="s">
        <v>39</v>
      </c>
      <c r="C833" s="35" t="s">
        <v>36</v>
      </c>
      <c r="D833" s="35" t="s">
        <v>40</v>
      </c>
      <c r="E833" s="35" t="s">
        <v>25</v>
      </c>
      <c r="F833" s="35" t="s">
        <v>25</v>
      </c>
      <c r="G833" s="35" t="s">
        <v>25</v>
      </c>
      <c r="H833" s="35" t="s">
        <v>35</v>
      </c>
      <c r="I833" s="55">
        <v>44470</v>
      </c>
      <c r="J833" s="56">
        <f>EFEITO!$J$833*EFEITO!$Y$833</f>
        <v>0</v>
      </c>
      <c r="K833" s="56">
        <f ca="1">EFEITO!$L$833*EFEITO!$Z$833</f>
        <v>599.86718448781357</v>
      </c>
      <c r="L833" s="56">
        <f>EFEITO!$N$833*EFEITO!$AA$833</f>
        <v>524.29043305503069</v>
      </c>
      <c r="M833" s="56">
        <f>$J$833-EFEITO!$K$833*EFEITO!$Y$833</f>
        <v>0</v>
      </c>
      <c r="N833" s="56">
        <f ca="1">$K$833-EFEITO!$M$833*EFEITO!$Z$833</f>
        <v>0</v>
      </c>
      <c r="O833" s="56">
        <f>$L$833-EFEITO!$O$833*EFEITO!$AA$833</f>
        <v>0</v>
      </c>
      <c r="P833" s="39"/>
      <c r="Q833" s="39"/>
      <c r="R833" s="39"/>
      <c r="S833" s="39"/>
      <c r="T833" s="39"/>
      <c r="U833" s="39"/>
      <c r="V833" s="39"/>
      <c r="W833" s="39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35" t="s">
        <v>21</v>
      </c>
      <c r="B834" s="35" t="s">
        <v>39</v>
      </c>
      <c r="C834" s="35" t="s">
        <v>36</v>
      </c>
      <c r="D834" s="35" t="s">
        <v>40</v>
      </c>
      <c r="E834" s="35" t="s">
        <v>25</v>
      </c>
      <c r="F834" s="35" t="s">
        <v>25</v>
      </c>
      <c r="G834" s="35" t="s">
        <v>25</v>
      </c>
      <c r="H834" s="35" t="s">
        <v>35</v>
      </c>
      <c r="I834" s="55">
        <v>44501</v>
      </c>
      <c r="J834" s="56">
        <f>EFEITO!$J$834*EFEITO!$Y$834</f>
        <v>0</v>
      </c>
      <c r="K834" s="56">
        <f ca="1">EFEITO!$L$834*EFEITO!$Z$834</f>
        <v>598.08892208320538</v>
      </c>
      <c r="L834" s="56">
        <f>EFEITO!$N$834*EFEITO!$AA$834</f>
        <v>522.73621240368175</v>
      </c>
      <c r="M834" s="56">
        <f>$J$834-EFEITO!$K$834*EFEITO!$Y$834</f>
        <v>0</v>
      </c>
      <c r="N834" s="56">
        <f ca="1">$K$834-EFEITO!$M$834*EFEITO!$Z$834</f>
        <v>0</v>
      </c>
      <c r="O834" s="56">
        <f>$L$834-EFEITO!$O$834*EFEITO!$AA$834</f>
        <v>0</v>
      </c>
      <c r="P834" s="39"/>
      <c r="Q834" s="39"/>
      <c r="R834" s="39"/>
      <c r="S834" s="39"/>
      <c r="T834" s="39"/>
      <c r="U834" s="39"/>
      <c r="V834" s="39"/>
      <c r="W834" s="39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35" t="s">
        <v>21</v>
      </c>
      <c r="B835" s="35" t="s">
        <v>39</v>
      </c>
      <c r="C835" s="35" t="s">
        <v>36</v>
      </c>
      <c r="D835" s="35" t="s">
        <v>40</v>
      </c>
      <c r="E835" s="35" t="s">
        <v>25</v>
      </c>
      <c r="F835" s="35" t="s">
        <v>25</v>
      </c>
      <c r="G835" s="35" t="s">
        <v>25</v>
      </c>
      <c r="H835" s="35" t="s">
        <v>35</v>
      </c>
      <c r="I835" s="55">
        <v>44531</v>
      </c>
      <c r="J835" s="56">
        <f>EFEITO!$J$835*EFEITO!$Y$835</f>
        <v>0</v>
      </c>
      <c r="K835" s="56">
        <f ca="1">EFEITO!$L$835*EFEITO!$Z$835</f>
        <v>616.46430026415624</v>
      </c>
      <c r="L835" s="56">
        <f>EFEITO!$N$835*EFEITO!$AA$835</f>
        <v>538.79649246762051</v>
      </c>
      <c r="M835" s="56">
        <f>$J$835-EFEITO!$K$835*EFEITO!$Y$835</f>
        <v>0</v>
      </c>
      <c r="N835" s="56">
        <f ca="1">$K$835-EFEITO!$M$835*EFEITO!$Z$835</f>
        <v>0</v>
      </c>
      <c r="O835" s="56">
        <f>$L$835-EFEITO!$O$835*EFEITO!$AA$835</f>
        <v>0</v>
      </c>
      <c r="P835" s="39"/>
      <c r="Q835" s="39"/>
      <c r="R835" s="39"/>
      <c r="S835" s="39"/>
      <c r="T835" s="39"/>
      <c r="U835" s="39"/>
      <c r="V835" s="39"/>
      <c r="W835" s="39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35" t="s">
        <v>21</v>
      </c>
      <c r="B836" s="35" t="s">
        <v>39</v>
      </c>
      <c r="C836" s="35" t="s">
        <v>36</v>
      </c>
      <c r="D836" s="35" t="s">
        <v>40</v>
      </c>
      <c r="E836" s="35" t="s">
        <v>25</v>
      </c>
      <c r="F836" s="35" t="s">
        <v>25</v>
      </c>
      <c r="G836" s="35" t="s">
        <v>25</v>
      </c>
      <c r="H836" s="35" t="s">
        <v>35</v>
      </c>
      <c r="I836" s="55">
        <v>44562</v>
      </c>
      <c r="J836" s="56">
        <f>EFEITO!$J$836*EFEITO!$Y$836</f>
        <v>0</v>
      </c>
      <c r="K836" s="56">
        <f ca="1">EFEITO!$L$836*EFEITO!$Z$836</f>
        <v>561.63454278873849</v>
      </c>
      <c r="L836" s="56">
        <f>EFEITO!$N$836*EFEITO!$AA$836</f>
        <v>490.87468905102918</v>
      </c>
      <c r="M836" s="56">
        <f>$J$836-EFEITO!$K$836*EFEITO!$Y$836</f>
        <v>0</v>
      </c>
      <c r="N836" s="56">
        <f ca="1">$K$836-EFEITO!$M$836*EFEITO!$Z$836</f>
        <v>0</v>
      </c>
      <c r="O836" s="56">
        <f>$L$836-EFEITO!$O$836*EFEITO!$AA$836</f>
        <v>0</v>
      </c>
      <c r="P836" s="39"/>
      <c r="Q836" s="39"/>
      <c r="R836" s="39"/>
      <c r="S836" s="39"/>
      <c r="T836" s="39"/>
      <c r="U836" s="39"/>
      <c r="V836" s="39"/>
      <c r="W836" s="39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35" t="s">
        <v>21</v>
      </c>
      <c r="B837" s="35" t="s">
        <v>39</v>
      </c>
      <c r="C837" s="35" t="s">
        <v>36</v>
      </c>
      <c r="D837" s="35" t="s">
        <v>40</v>
      </c>
      <c r="E837" s="35" t="s">
        <v>25</v>
      </c>
      <c r="F837" s="35" t="s">
        <v>25</v>
      </c>
      <c r="G837" s="35" t="s">
        <v>25</v>
      </c>
      <c r="H837" s="35" t="s">
        <v>35</v>
      </c>
      <c r="I837" s="55">
        <v>44593</v>
      </c>
      <c r="J837" s="56">
        <f>EFEITO!$J$837*EFEITO!$Y$837</f>
        <v>0</v>
      </c>
      <c r="K837" s="56">
        <f ca="1">EFEITO!$L$837*EFEITO!$Z$837</f>
        <v>660.32810624449053</v>
      </c>
      <c r="L837" s="56">
        <f>EFEITO!$N$837*EFEITO!$AA$837</f>
        <v>577.13393520089346</v>
      </c>
      <c r="M837" s="56">
        <f>$J$837-EFEITO!$K$837*EFEITO!$Y$837</f>
        <v>0</v>
      </c>
      <c r="N837" s="56">
        <f ca="1">$K$837-EFEITO!$M$837*EFEITO!$Z$837</f>
        <v>0</v>
      </c>
      <c r="O837" s="56">
        <f>$L$837-EFEITO!$O$837*EFEITO!$AA$837</f>
        <v>0</v>
      </c>
      <c r="P837" s="39"/>
      <c r="Q837" s="39"/>
      <c r="R837" s="39"/>
      <c r="S837" s="39"/>
      <c r="T837" s="39"/>
      <c r="U837" s="39"/>
      <c r="V837" s="39"/>
      <c r="W837" s="39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35" t="s">
        <v>21</v>
      </c>
      <c r="B838" s="35" t="s">
        <v>39</v>
      </c>
      <c r="C838" s="35" t="s">
        <v>36</v>
      </c>
      <c r="D838" s="35" t="s">
        <v>40</v>
      </c>
      <c r="E838" s="35" t="s">
        <v>25</v>
      </c>
      <c r="F838" s="35" t="s">
        <v>25</v>
      </c>
      <c r="G838" s="35" t="s">
        <v>25</v>
      </c>
      <c r="H838" s="35" t="s">
        <v>35</v>
      </c>
      <c r="I838" s="55">
        <v>44621</v>
      </c>
      <c r="J838" s="56">
        <f>EFEITO!$J$838*EFEITO!$Y$838</f>
        <v>0</v>
      </c>
      <c r="K838" s="56">
        <f ca="1">EFEITO!$L$838*EFEITO!$Z$838</f>
        <v>634.24692431023766</v>
      </c>
      <c r="L838" s="56">
        <f>EFEITO!$N$838*EFEITO!$AA$838</f>
        <v>554.33869898110947</v>
      </c>
      <c r="M838" s="56">
        <f>$J$838-EFEITO!$K$838*EFEITO!$Y$838</f>
        <v>0</v>
      </c>
      <c r="N838" s="56">
        <f ca="1">$K$838-EFEITO!$M$838*EFEITO!$Z$838</f>
        <v>0</v>
      </c>
      <c r="O838" s="56">
        <f>$L$838-EFEITO!$O$838*EFEITO!$AA$838</f>
        <v>0</v>
      </c>
      <c r="P838" s="39"/>
      <c r="Q838" s="39"/>
      <c r="R838" s="39"/>
      <c r="S838" s="39"/>
      <c r="T838" s="39"/>
      <c r="U838" s="39"/>
      <c r="V838" s="39"/>
      <c r="W838" s="39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35" t="s">
        <v>21</v>
      </c>
      <c r="B839" s="35" t="s">
        <v>39</v>
      </c>
      <c r="C839" s="35" t="s">
        <v>36</v>
      </c>
      <c r="D839" s="35" t="s">
        <v>40</v>
      </c>
      <c r="E839" s="35" t="s">
        <v>25</v>
      </c>
      <c r="F839" s="35" t="s">
        <v>25</v>
      </c>
      <c r="G839" s="35" t="s">
        <v>25</v>
      </c>
      <c r="H839" s="35" t="s">
        <v>35</v>
      </c>
      <c r="I839" s="55">
        <v>44652</v>
      </c>
      <c r="J839" s="56">
        <f>EFEITO!$J$839*EFEITO!$Y$839</f>
        <v>0</v>
      </c>
      <c r="K839" s="56">
        <f ca="1">EFEITO!$L$839*EFEITO!$Z$839</f>
        <v>606.68385703881154</v>
      </c>
      <c r="L839" s="56">
        <f>EFEITO!$N$839*EFEITO!$AA$839</f>
        <v>530.24827888520144</v>
      </c>
      <c r="M839" s="56">
        <f>$J$839-EFEITO!$K$839*EFEITO!$Y$839</f>
        <v>0</v>
      </c>
      <c r="N839" s="56">
        <f ca="1">$K$839-EFEITO!$M$839*EFEITO!$Z$839</f>
        <v>0</v>
      </c>
      <c r="O839" s="56">
        <f>$L$839-EFEITO!$O$839*EFEITO!$AA$839</f>
        <v>0</v>
      </c>
      <c r="P839" s="39"/>
      <c r="Q839" s="39"/>
      <c r="R839" s="39"/>
      <c r="S839" s="39"/>
      <c r="T839" s="39"/>
      <c r="U839" s="39"/>
      <c r="V839" s="39"/>
      <c r="W839" s="39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35" t="s">
        <v>21</v>
      </c>
      <c r="B840" s="35" t="s">
        <v>39</v>
      </c>
      <c r="C840" s="35" t="s">
        <v>36</v>
      </c>
      <c r="D840" s="35" t="s">
        <v>40</v>
      </c>
      <c r="E840" s="35" t="s">
        <v>25</v>
      </c>
      <c r="F840" s="35" t="s">
        <v>25</v>
      </c>
      <c r="G840" s="35" t="s">
        <v>25</v>
      </c>
      <c r="H840" s="35" t="s">
        <v>35</v>
      </c>
      <c r="I840" s="55">
        <v>44682</v>
      </c>
      <c r="J840" s="56">
        <f>EFEITO!$J$840*EFEITO!$Y$840</f>
        <v>0</v>
      </c>
      <c r="K840" s="56">
        <f ca="1">EFEITO!$L$840*EFEITO!$Z$840</f>
        <v>644.02736753558247</v>
      </c>
      <c r="L840" s="56">
        <f>EFEITO!$N$840*EFEITO!$AA$840</f>
        <v>562.88691256352843</v>
      </c>
      <c r="M840" s="56">
        <f>$J$840-EFEITO!$K$840*EFEITO!$Y$840</f>
        <v>0</v>
      </c>
      <c r="N840" s="56">
        <f ca="1">$K$840-EFEITO!$M$840*EFEITO!$Z$840</f>
        <v>0</v>
      </c>
      <c r="O840" s="56">
        <f>$L$840-EFEITO!$O$840*EFEITO!$AA$840</f>
        <v>0</v>
      </c>
      <c r="P840" s="39"/>
      <c r="Q840" s="39"/>
      <c r="R840" s="39"/>
      <c r="S840" s="39"/>
      <c r="T840" s="39"/>
      <c r="U840" s="39"/>
      <c r="V840" s="39"/>
      <c r="W840" s="39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35" t="s">
        <v>21</v>
      </c>
      <c r="B841" s="35" t="s">
        <v>39</v>
      </c>
      <c r="C841" s="35" t="s">
        <v>36</v>
      </c>
      <c r="D841" s="35" t="s">
        <v>40</v>
      </c>
      <c r="E841" s="35" t="s">
        <v>25</v>
      </c>
      <c r="F841" s="35" t="s">
        <v>25</v>
      </c>
      <c r="G841" s="35" t="s">
        <v>25</v>
      </c>
      <c r="H841" s="35" t="s">
        <v>38</v>
      </c>
      <c r="I841" s="55">
        <v>44348</v>
      </c>
      <c r="J841" s="56">
        <f>EFEITO!$J$841*EFEITO!$Y$841</f>
        <v>0</v>
      </c>
      <c r="K841" s="56">
        <f ca="1">EFEITO!$L$841*EFEITO!$Z$841</f>
        <v>24.302919529644623</v>
      </c>
      <c r="L841" s="56">
        <f>EFEITO!$N$841*EFEITO!$AA$841</f>
        <v>21.241015568435039</v>
      </c>
      <c r="M841" s="56">
        <f>$J$841-EFEITO!$K$841*EFEITO!$Y$841</f>
        <v>0</v>
      </c>
      <c r="N841" s="56">
        <f ca="1">$K$841-EFEITO!$M$841*EFEITO!$Z$841</f>
        <v>0</v>
      </c>
      <c r="O841" s="56">
        <f>$L$841-EFEITO!$O$841*EFEITO!$AA$841</f>
        <v>0</v>
      </c>
      <c r="P841" s="39"/>
      <c r="Q841" s="39"/>
      <c r="R841" s="39"/>
      <c r="S841" s="39"/>
      <c r="T841" s="39"/>
      <c r="U841" s="39"/>
      <c r="V841" s="39"/>
      <c r="W841" s="39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35" t="s">
        <v>21</v>
      </c>
      <c r="B842" s="35" t="s">
        <v>39</v>
      </c>
      <c r="C842" s="35" t="s">
        <v>36</v>
      </c>
      <c r="D842" s="35" t="s">
        <v>40</v>
      </c>
      <c r="E842" s="35" t="s">
        <v>25</v>
      </c>
      <c r="F842" s="35" t="s">
        <v>25</v>
      </c>
      <c r="G842" s="35" t="s">
        <v>25</v>
      </c>
      <c r="H842" s="35" t="s">
        <v>38</v>
      </c>
      <c r="I842" s="55">
        <v>44378</v>
      </c>
      <c r="J842" s="56">
        <f>EFEITO!$J$842*EFEITO!$Y$842</f>
        <v>0</v>
      </c>
      <c r="K842" s="56">
        <f ca="1">EFEITO!$L$842*EFEITO!$Z$842</f>
        <v>27.266690203991526</v>
      </c>
      <c r="L842" s="56">
        <f>EFEITO!$N$842*EFEITO!$AA$842</f>
        <v>23.831383320683212</v>
      </c>
      <c r="M842" s="56">
        <f>$J$842-EFEITO!$K$842*EFEITO!$Y$842</f>
        <v>0</v>
      </c>
      <c r="N842" s="56">
        <f ca="1">$K$842-EFEITO!$M$842*EFEITO!$Z$842</f>
        <v>0</v>
      </c>
      <c r="O842" s="56">
        <f>$L$842-EFEITO!$O$842*EFEITO!$AA$842</f>
        <v>0</v>
      </c>
      <c r="P842" s="39"/>
      <c r="Q842" s="39"/>
      <c r="R842" s="39"/>
      <c r="S842" s="39"/>
      <c r="T842" s="39"/>
      <c r="U842" s="39"/>
      <c r="V842" s="39"/>
      <c r="W842" s="39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35" t="s">
        <v>21</v>
      </c>
      <c r="B843" s="35" t="s">
        <v>39</v>
      </c>
      <c r="C843" s="35" t="s">
        <v>36</v>
      </c>
      <c r="D843" s="35" t="s">
        <v>40</v>
      </c>
      <c r="E843" s="35" t="s">
        <v>25</v>
      </c>
      <c r="F843" s="35" t="s">
        <v>25</v>
      </c>
      <c r="G843" s="35" t="s">
        <v>25</v>
      </c>
      <c r="H843" s="35" t="s">
        <v>38</v>
      </c>
      <c r="I843" s="55">
        <v>44409</v>
      </c>
      <c r="J843" s="56">
        <f>EFEITO!$J$843*EFEITO!$Y$843</f>
        <v>0</v>
      </c>
      <c r="K843" s="56">
        <f ca="1">EFEITO!$L$843*EFEITO!$Z$843</f>
        <v>28.155821406295598</v>
      </c>
      <c r="L843" s="56">
        <f>EFEITO!$N$843*EFEITO!$AA$843</f>
        <v>24.608493646357665</v>
      </c>
      <c r="M843" s="56">
        <f>$J$843-EFEITO!$K$843*EFEITO!$Y$843</f>
        <v>0</v>
      </c>
      <c r="N843" s="56">
        <f ca="1">$K$843-EFEITO!$M$843*EFEITO!$Z$843</f>
        <v>0</v>
      </c>
      <c r="O843" s="56">
        <f>$L$843-EFEITO!$O$843*EFEITO!$AA$843</f>
        <v>0</v>
      </c>
      <c r="P843" s="39"/>
      <c r="Q843" s="39"/>
      <c r="R843" s="39"/>
      <c r="S843" s="39"/>
      <c r="T843" s="39"/>
      <c r="U843" s="39"/>
      <c r="V843" s="39"/>
      <c r="W843" s="39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35" t="s">
        <v>21</v>
      </c>
      <c r="B844" s="35" t="s">
        <v>39</v>
      </c>
      <c r="C844" s="35" t="s">
        <v>36</v>
      </c>
      <c r="D844" s="35" t="s">
        <v>40</v>
      </c>
      <c r="E844" s="35" t="s">
        <v>25</v>
      </c>
      <c r="F844" s="35" t="s">
        <v>25</v>
      </c>
      <c r="G844" s="35" t="s">
        <v>25</v>
      </c>
      <c r="H844" s="35" t="s">
        <v>38</v>
      </c>
      <c r="I844" s="55">
        <v>44440</v>
      </c>
      <c r="J844" s="56">
        <f>EFEITO!$J$844*EFEITO!$Y$844</f>
        <v>0</v>
      </c>
      <c r="K844" s="56">
        <f ca="1">EFEITO!$L$844*EFEITO!$Z$844</f>
        <v>28.748575541164978</v>
      </c>
      <c r="L844" s="56">
        <f>EFEITO!$N$844*EFEITO!$AA$844</f>
        <v>25.126567196807301</v>
      </c>
      <c r="M844" s="56">
        <f>$J$844-EFEITO!$K$844*EFEITO!$Y$844</f>
        <v>0</v>
      </c>
      <c r="N844" s="56">
        <f ca="1">$K$844-EFEITO!$M$844*EFEITO!$Z$844</f>
        <v>0</v>
      </c>
      <c r="O844" s="56">
        <f>$L$844-EFEITO!$O$844*EFEITO!$AA$844</f>
        <v>0</v>
      </c>
      <c r="P844" s="39"/>
      <c r="Q844" s="39"/>
      <c r="R844" s="39"/>
      <c r="S844" s="39"/>
      <c r="T844" s="39"/>
      <c r="U844" s="39"/>
      <c r="V844" s="39"/>
      <c r="W844" s="39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35" t="s">
        <v>21</v>
      </c>
      <c r="B845" s="35" t="s">
        <v>39</v>
      </c>
      <c r="C845" s="35" t="s">
        <v>36</v>
      </c>
      <c r="D845" s="35" t="s">
        <v>40</v>
      </c>
      <c r="E845" s="35" t="s">
        <v>25</v>
      </c>
      <c r="F845" s="35" t="s">
        <v>25</v>
      </c>
      <c r="G845" s="35" t="s">
        <v>25</v>
      </c>
      <c r="H845" s="35" t="s">
        <v>38</v>
      </c>
      <c r="I845" s="55">
        <v>44470</v>
      </c>
      <c r="J845" s="56">
        <f>EFEITO!$J$845*EFEITO!$Y$845</f>
        <v>0</v>
      </c>
      <c r="K845" s="56">
        <f ca="1">EFEITO!$L$845*EFEITO!$Z$845</f>
        <v>24.599296597079313</v>
      </c>
      <c r="L845" s="56">
        <f>EFEITO!$N$845*EFEITO!$AA$845</f>
        <v>21.500052343659856</v>
      </c>
      <c r="M845" s="56">
        <f>$J$845-EFEITO!$K$845*EFEITO!$Y$845</f>
        <v>0</v>
      </c>
      <c r="N845" s="56">
        <f ca="1">$K$845-EFEITO!$M$845*EFEITO!$Z$845</f>
        <v>0</v>
      </c>
      <c r="O845" s="56">
        <f>$L$845-EFEITO!$O$845*EFEITO!$AA$845</f>
        <v>0</v>
      </c>
      <c r="P845" s="39"/>
      <c r="Q845" s="39"/>
      <c r="R845" s="39"/>
      <c r="S845" s="39"/>
      <c r="T845" s="39"/>
      <c r="U845" s="39"/>
      <c r="V845" s="39"/>
      <c r="W845" s="39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35" t="s">
        <v>21</v>
      </c>
      <c r="B846" s="35" t="s">
        <v>39</v>
      </c>
      <c r="C846" s="35" t="s">
        <v>36</v>
      </c>
      <c r="D846" s="35" t="s">
        <v>40</v>
      </c>
      <c r="E846" s="35" t="s">
        <v>25</v>
      </c>
      <c r="F846" s="35" t="s">
        <v>25</v>
      </c>
      <c r="G846" s="35" t="s">
        <v>25</v>
      </c>
      <c r="H846" s="35" t="s">
        <v>38</v>
      </c>
      <c r="I846" s="55">
        <v>44501</v>
      </c>
      <c r="J846" s="56">
        <f>EFEITO!$J$846*EFEITO!$Y$846</f>
        <v>0</v>
      </c>
      <c r="K846" s="56">
        <f ca="1">EFEITO!$L$846*EFEITO!$Z$846</f>
        <v>26.377559001687452</v>
      </c>
      <c r="L846" s="56">
        <f>EFEITO!$N$846*EFEITO!$AA$846</f>
        <v>23.054272995008759</v>
      </c>
      <c r="M846" s="56">
        <f>$J$846-EFEITO!$K$846*EFEITO!$Y$846</f>
        <v>0</v>
      </c>
      <c r="N846" s="56">
        <f ca="1">$K$846-EFEITO!$M$846*EFEITO!$Z$846</f>
        <v>0</v>
      </c>
      <c r="O846" s="56">
        <f>$L$846-EFEITO!$O$846*EFEITO!$AA$846</f>
        <v>0</v>
      </c>
      <c r="P846" s="39"/>
      <c r="Q846" s="39"/>
      <c r="R846" s="39"/>
      <c r="S846" s="39"/>
      <c r="T846" s="39"/>
      <c r="U846" s="39"/>
      <c r="V846" s="39"/>
      <c r="W846" s="39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35" t="s">
        <v>21</v>
      </c>
      <c r="B847" s="35" t="s">
        <v>39</v>
      </c>
      <c r="C847" s="35" t="s">
        <v>36</v>
      </c>
      <c r="D847" s="35" t="s">
        <v>40</v>
      </c>
      <c r="E847" s="35" t="s">
        <v>25</v>
      </c>
      <c r="F847" s="35" t="s">
        <v>25</v>
      </c>
      <c r="G847" s="35" t="s">
        <v>25</v>
      </c>
      <c r="H847" s="35" t="s">
        <v>38</v>
      </c>
      <c r="I847" s="55">
        <v>44531</v>
      </c>
      <c r="J847" s="56">
        <f>EFEITO!$J$847*EFEITO!$Y$847</f>
        <v>0</v>
      </c>
      <c r="K847" s="56">
        <f ca="1">EFEITO!$L$847*EFEITO!$Z$847</f>
        <v>32.601477417815957</v>
      </c>
      <c r="L847" s="56">
        <f>EFEITO!$N$847*EFEITO!$AA$847</f>
        <v>28.494045274729928</v>
      </c>
      <c r="M847" s="56">
        <f>$J$847-EFEITO!$K$847*EFEITO!$Y$847</f>
        <v>0</v>
      </c>
      <c r="N847" s="56">
        <f ca="1">$K$847-EFEITO!$M$847*EFEITO!$Z$847</f>
        <v>0</v>
      </c>
      <c r="O847" s="56">
        <f>$L$847-EFEITO!$O$847*EFEITO!$AA$847</f>
        <v>0</v>
      </c>
      <c r="P847" s="39"/>
      <c r="Q847" s="39"/>
      <c r="R847" s="39"/>
      <c r="S847" s="39"/>
      <c r="T847" s="39"/>
      <c r="U847" s="39"/>
      <c r="V847" s="39"/>
      <c r="W847" s="39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35" t="s">
        <v>21</v>
      </c>
      <c r="B848" s="35" t="s">
        <v>39</v>
      </c>
      <c r="C848" s="35" t="s">
        <v>36</v>
      </c>
      <c r="D848" s="35" t="s">
        <v>40</v>
      </c>
      <c r="E848" s="35" t="s">
        <v>25</v>
      </c>
      <c r="F848" s="35" t="s">
        <v>25</v>
      </c>
      <c r="G848" s="35" t="s">
        <v>25</v>
      </c>
      <c r="H848" s="35" t="s">
        <v>38</v>
      </c>
      <c r="I848" s="55">
        <v>44562</v>
      </c>
      <c r="J848" s="56">
        <f>EFEITO!$J$848*EFEITO!$Y$848</f>
        <v>0</v>
      </c>
      <c r="K848" s="56">
        <f ca="1">EFEITO!$L$848*EFEITO!$Z$848</f>
        <v>30.823215013207811</v>
      </c>
      <c r="L848" s="56">
        <f>EFEITO!$N$848*EFEITO!$AA$848</f>
        <v>26.939824623381021</v>
      </c>
      <c r="M848" s="56">
        <f>$J$848-EFEITO!$K$848*EFEITO!$Y$848</f>
        <v>0</v>
      </c>
      <c r="N848" s="56">
        <f ca="1">$K$848-EFEITO!$M$848*EFEITO!$Z$848</f>
        <v>0</v>
      </c>
      <c r="O848" s="56">
        <f>$L$848-EFEITO!$O$848*EFEITO!$AA$848</f>
        <v>0</v>
      </c>
      <c r="P848" s="39"/>
      <c r="Q848" s="39"/>
      <c r="R848" s="39"/>
      <c r="S848" s="39"/>
      <c r="T848" s="39"/>
      <c r="U848" s="39"/>
      <c r="V848" s="39"/>
      <c r="W848" s="39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35" t="s">
        <v>21</v>
      </c>
      <c r="B849" s="35" t="s">
        <v>39</v>
      </c>
      <c r="C849" s="35" t="s">
        <v>36</v>
      </c>
      <c r="D849" s="35" t="s">
        <v>40</v>
      </c>
      <c r="E849" s="35" t="s">
        <v>25</v>
      </c>
      <c r="F849" s="35" t="s">
        <v>25</v>
      </c>
      <c r="G849" s="35" t="s">
        <v>25</v>
      </c>
      <c r="H849" s="35" t="s">
        <v>38</v>
      </c>
      <c r="I849" s="55">
        <v>44593</v>
      </c>
      <c r="J849" s="56">
        <f>EFEITO!$J$849*EFEITO!$Y$849</f>
        <v>0</v>
      </c>
      <c r="K849" s="56">
        <f ca="1">EFEITO!$L$849*EFEITO!$Z$849</f>
        <v>34.97249395729348</v>
      </c>
      <c r="L849" s="56">
        <f>EFEITO!$N$849*EFEITO!$AA$849</f>
        <v>30.566339476528466</v>
      </c>
      <c r="M849" s="56">
        <f>$J$849-EFEITO!$K$849*EFEITO!$Y$849</f>
        <v>0</v>
      </c>
      <c r="N849" s="56">
        <f ca="1">$K$849-EFEITO!$M$849*EFEITO!$Z$849</f>
        <v>0</v>
      </c>
      <c r="O849" s="56">
        <f>$L$849-EFEITO!$O$849*EFEITO!$AA$849</f>
        <v>0</v>
      </c>
      <c r="P849" s="39"/>
      <c r="Q849" s="39"/>
      <c r="R849" s="39"/>
      <c r="S849" s="39"/>
      <c r="T849" s="39"/>
      <c r="U849" s="39"/>
      <c r="V849" s="39"/>
      <c r="W849" s="39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35" t="s">
        <v>21</v>
      </c>
      <c r="B850" s="35" t="s">
        <v>39</v>
      </c>
      <c r="C850" s="35" t="s">
        <v>36</v>
      </c>
      <c r="D850" s="35" t="s">
        <v>40</v>
      </c>
      <c r="E850" s="35" t="s">
        <v>25</v>
      </c>
      <c r="F850" s="35" t="s">
        <v>25</v>
      </c>
      <c r="G850" s="35" t="s">
        <v>25</v>
      </c>
      <c r="H850" s="35" t="s">
        <v>38</v>
      </c>
      <c r="I850" s="55">
        <v>44621</v>
      </c>
      <c r="J850" s="56">
        <f>EFEITO!$J$850*EFEITO!$Y$850</f>
        <v>0</v>
      </c>
      <c r="K850" s="56">
        <f ca="1">EFEITO!$L$850*EFEITO!$Z$850</f>
        <v>26.970313136556836</v>
      </c>
      <c r="L850" s="56">
        <f>EFEITO!$N$850*EFEITO!$AA$850</f>
        <v>23.572346545458394</v>
      </c>
      <c r="M850" s="56">
        <f>$J$850-EFEITO!$K$850*EFEITO!$Y$850</f>
        <v>0</v>
      </c>
      <c r="N850" s="56">
        <f ca="1">$K$850-EFEITO!$M$850*EFEITO!$Z$850</f>
        <v>0</v>
      </c>
      <c r="O850" s="56">
        <f>$L$850-EFEITO!$O$850*EFEITO!$AA$850</f>
        <v>0</v>
      </c>
      <c r="P850" s="39"/>
      <c r="Q850" s="39"/>
      <c r="R850" s="39"/>
      <c r="S850" s="39"/>
      <c r="T850" s="39"/>
      <c r="U850" s="39"/>
      <c r="V850" s="39"/>
      <c r="W850" s="39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35" t="s">
        <v>21</v>
      </c>
      <c r="B851" s="35" t="s">
        <v>39</v>
      </c>
      <c r="C851" s="35" t="s">
        <v>36</v>
      </c>
      <c r="D851" s="35" t="s">
        <v>40</v>
      </c>
      <c r="E851" s="35" t="s">
        <v>25</v>
      </c>
      <c r="F851" s="35" t="s">
        <v>25</v>
      </c>
      <c r="G851" s="35" t="s">
        <v>25</v>
      </c>
      <c r="H851" s="35" t="s">
        <v>38</v>
      </c>
      <c r="I851" s="55">
        <v>44652</v>
      </c>
      <c r="J851" s="56">
        <f>EFEITO!$J$851*EFEITO!$Y$851</f>
        <v>0</v>
      </c>
      <c r="K851" s="56">
        <f ca="1">EFEITO!$L$851*EFEITO!$Z$851</f>
        <v>26.673936069122146</v>
      </c>
      <c r="L851" s="56">
        <f>EFEITO!$N$851*EFEITO!$AA$851</f>
        <v>23.313309770233577</v>
      </c>
      <c r="M851" s="56">
        <f>$J$851-EFEITO!$K$851*EFEITO!$Y$851</f>
        <v>0</v>
      </c>
      <c r="N851" s="56">
        <f ca="1">$K$851-EFEITO!$M$851*EFEITO!$Z$851</f>
        <v>0</v>
      </c>
      <c r="O851" s="56">
        <f>$L$851-EFEITO!$O$851*EFEITO!$AA$851</f>
        <v>0</v>
      </c>
      <c r="P851" s="39"/>
      <c r="Q851" s="39"/>
      <c r="R851" s="39"/>
      <c r="S851" s="39"/>
      <c r="T851" s="39"/>
      <c r="U851" s="39"/>
      <c r="V851" s="39"/>
      <c r="W851" s="39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35" t="s">
        <v>21</v>
      </c>
      <c r="B852" s="35" t="s">
        <v>39</v>
      </c>
      <c r="C852" s="35" t="s">
        <v>36</v>
      </c>
      <c r="D852" s="35" t="s">
        <v>40</v>
      </c>
      <c r="E852" s="35" t="s">
        <v>25</v>
      </c>
      <c r="F852" s="35" t="s">
        <v>25</v>
      </c>
      <c r="G852" s="35" t="s">
        <v>25</v>
      </c>
      <c r="H852" s="35" t="s">
        <v>38</v>
      </c>
      <c r="I852" s="55">
        <v>44682</v>
      </c>
      <c r="J852" s="56">
        <f>EFEITO!$J$852*EFEITO!$Y$852</f>
        <v>0</v>
      </c>
      <c r="K852" s="56">
        <f ca="1">EFEITO!$L$852*EFEITO!$Z$852</f>
        <v>31.712346215511882</v>
      </c>
      <c r="L852" s="56">
        <f>EFEITO!$N$852*EFEITO!$AA$852</f>
        <v>27.716934949055474</v>
      </c>
      <c r="M852" s="56">
        <f>$J$852-EFEITO!$K$852*EFEITO!$Y$852</f>
        <v>0</v>
      </c>
      <c r="N852" s="56">
        <f ca="1">$K$852-EFEITO!$M$852*EFEITO!$Z$852</f>
        <v>0</v>
      </c>
      <c r="O852" s="56">
        <f>$L$852-EFEITO!$O$852*EFEITO!$AA$852</f>
        <v>0</v>
      </c>
      <c r="P852" s="39"/>
      <c r="Q852" s="39"/>
      <c r="R852" s="39"/>
      <c r="S852" s="39"/>
      <c r="T852" s="39"/>
      <c r="U852" s="39"/>
      <c r="V852" s="39"/>
      <c r="W852" s="39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35" t="s">
        <v>21</v>
      </c>
      <c r="B853" s="35" t="s">
        <v>39</v>
      </c>
      <c r="C853" s="35" t="s">
        <v>36</v>
      </c>
      <c r="D853" s="35" t="s">
        <v>40</v>
      </c>
      <c r="E853" s="35" t="s">
        <v>25</v>
      </c>
      <c r="F853" s="35" t="s">
        <v>25</v>
      </c>
      <c r="G853" s="35" t="s">
        <v>25</v>
      </c>
      <c r="H853" s="35" t="s">
        <v>37</v>
      </c>
      <c r="I853" s="55">
        <v>44348</v>
      </c>
      <c r="J853" s="56">
        <f>EFEITO!$J$853*EFEITO!$Y$853</f>
        <v>0</v>
      </c>
      <c r="K853" s="56">
        <f ca="1">EFEITO!$L$853*EFEITO!$Z$853</f>
        <v>100.47515157519666</v>
      </c>
      <c r="L853" s="56">
        <f>EFEITO!$N$853*EFEITO!$AA$853</f>
        <v>45.655993955595868</v>
      </c>
      <c r="M853" s="56">
        <f>$J$853-EFEITO!$K$853*EFEITO!$Y$853</f>
        <v>0</v>
      </c>
      <c r="N853" s="56">
        <f ca="1">$K$853-EFEITO!$M$853*EFEITO!$Z$853</f>
        <v>0</v>
      </c>
      <c r="O853" s="56">
        <f>$L$853-EFEITO!$O$853*EFEITO!$AA$853</f>
        <v>0</v>
      </c>
      <c r="P853" s="39"/>
      <c r="Q853" s="39"/>
      <c r="R853" s="39"/>
      <c r="S853" s="39"/>
      <c r="T853" s="39"/>
      <c r="U853" s="39"/>
      <c r="V853" s="39"/>
      <c r="W853" s="39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35" t="s">
        <v>21</v>
      </c>
      <c r="B854" s="35" t="s">
        <v>39</v>
      </c>
      <c r="C854" s="35" t="s">
        <v>36</v>
      </c>
      <c r="D854" s="35" t="s">
        <v>40</v>
      </c>
      <c r="E854" s="35" t="s">
        <v>25</v>
      </c>
      <c r="F854" s="35" t="s">
        <v>25</v>
      </c>
      <c r="G854" s="35" t="s">
        <v>25</v>
      </c>
      <c r="H854" s="35" t="s">
        <v>37</v>
      </c>
      <c r="I854" s="55">
        <v>44378</v>
      </c>
      <c r="J854" s="56">
        <f>EFEITO!$J$854*EFEITO!$Y$854</f>
        <v>0</v>
      </c>
      <c r="K854" s="56">
        <f ca="1">EFEITO!$L$854*EFEITO!$Z$854</f>
        <v>103.21538298179293</v>
      </c>
      <c r="L854" s="56">
        <f>EFEITO!$N$854*EFEITO!$AA$854</f>
        <v>46.901157427112125</v>
      </c>
      <c r="M854" s="56">
        <f>$J$854-EFEITO!$K$854*EFEITO!$Y$854</f>
        <v>0</v>
      </c>
      <c r="N854" s="56">
        <f ca="1">$K$854-EFEITO!$M$854*EFEITO!$Z$854</f>
        <v>0</v>
      </c>
      <c r="O854" s="56">
        <f>$L$854-EFEITO!$O$854*EFEITO!$AA$854</f>
        <v>0</v>
      </c>
      <c r="P854" s="39"/>
      <c r="Q854" s="39"/>
      <c r="R854" s="39"/>
      <c r="S854" s="39"/>
      <c r="T854" s="39"/>
      <c r="U854" s="39"/>
      <c r="V854" s="39"/>
      <c r="W854" s="39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35" t="s">
        <v>21</v>
      </c>
      <c r="B855" s="35" t="s">
        <v>39</v>
      </c>
      <c r="C855" s="35" t="s">
        <v>36</v>
      </c>
      <c r="D855" s="35" t="s">
        <v>40</v>
      </c>
      <c r="E855" s="35" t="s">
        <v>25</v>
      </c>
      <c r="F855" s="35" t="s">
        <v>25</v>
      </c>
      <c r="G855" s="35" t="s">
        <v>25</v>
      </c>
      <c r="H855" s="35" t="s">
        <v>37</v>
      </c>
      <c r="I855" s="55">
        <v>44409</v>
      </c>
      <c r="J855" s="56">
        <f>EFEITO!$J$855*EFEITO!$Y$855</f>
        <v>0</v>
      </c>
      <c r="K855" s="56">
        <f ca="1">EFEITO!$L$855*EFEITO!$Z$855</f>
        <v>94.994688762004103</v>
      </c>
      <c r="L855" s="56">
        <f>EFEITO!$N$855*EFEITO!$AA$855</f>
        <v>43.165667012563368</v>
      </c>
      <c r="M855" s="56">
        <f>$J$855-EFEITO!$K$855*EFEITO!$Y$855</f>
        <v>0</v>
      </c>
      <c r="N855" s="56">
        <f ca="1">$K$855-EFEITO!$M$855*EFEITO!$Z$855</f>
        <v>0</v>
      </c>
      <c r="O855" s="56">
        <f>$L$855-EFEITO!$O$855*EFEITO!$AA$855</f>
        <v>0</v>
      </c>
      <c r="P855" s="39"/>
      <c r="Q855" s="39"/>
      <c r="R855" s="39"/>
      <c r="S855" s="39"/>
      <c r="T855" s="39"/>
      <c r="U855" s="39"/>
      <c r="V855" s="39"/>
      <c r="W855" s="39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35" t="s">
        <v>21</v>
      </c>
      <c r="B856" s="35" t="s">
        <v>39</v>
      </c>
      <c r="C856" s="35" t="s">
        <v>36</v>
      </c>
      <c r="D856" s="35" t="s">
        <v>40</v>
      </c>
      <c r="E856" s="35" t="s">
        <v>25</v>
      </c>
      <c r="F856" s="35" t="s">
        <v>25</v>
      </c>
      <c r="G856" s="35" t="s">
        <v>25</v>
      </c>
      <c r="H856" s="35" t="s">
        <v>37</v>
      </c>
      <c r="I856" s="55">
        <v>44440</v>
      </c>
      <c r="J856" s="56">
        <f>EFEITO!$J$856*EFEITO!$Y$856</f>
        <v>0</v>
      </c>
      <c r="K856" s="56">
        <f ca="1">EFEITO!$L$856*EFEITO!$Z$856</f>
        <v>98.648330637465804</v>
      </c>
      <c r="L856" s="56">
        <f>EFEITO!$N$856*EFEITO!$AA$856</f>
        <v>44.825884974585037</v>
      </c>
      <c r="M856" s="56">
        <f>$J$856-EFEITO!$K$856*EFEITO!$Y$856</f>
        <v>0</v>
      </c>
      <c r="N856" s="56">
        <f ca="1">$K$856-EFEITO!$M$856*EFEITO!$Z$856</f>
        <v>0</v>
      </c>
      <c r="O856" s="56">
        <f>$L$856-EFEITO!$O$856*EFEITO!$AA$856</f>
        <v>0</v>
      </c>
      <c r="P856" s="39"/>
      <c r="Q856" s="39"/>
      <c r="R856" s="39"/>
      <c r="S856" s="39"/>
      <c r="T856" s="39"/>
      <c r="U856" s="39"/>
      <c r="V856" s="39"/>
      <c r="W856" s="39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35" t="s">
        <v>21</v>
      </c>
      <c r="B857" s="35" t="s">
        <v>39</v>
      </c>
      <c r="C857" s="35" t="s">
        <v>36</v>
      </c>
      <c r="D857" s="35" t="s">
        <v>40</v>
      </c>
      <c r="E857" s="35" t="s">
        <v>25</v>
      </c>
      <c r="F857" s="35" t="s">
        <v>25</v>
      </c>
      <c r="G857" s="35" t="s">
        <v>25</v>
      </c>
      <c r="H857" s="35" t="s">
        <v>37</v>
      </c>
      <c r="I857" s="55">
        <v>44470</v>
      </c>
      <c r="J857" s="56">
        <f>EFEITO!$J$857*EFEITO!$Y$857</f>
        <v>0</v>
      </c>
      <c r="K857" s="56">
        <f ca="1">EFEITO!$L$857*EFEITO!$Z$857</f>
        <v>102.30197251292751</v>
      </c>
      <c r="L857" s="56">
        <f>EFEITO!$N$857*EFEITO!$AA$857</f>
        <v>46.486102936606706</v>
      </c>
      <c r="M857" s="56">
        <f>$J$857-EFEITO!$K$857*EFEITO!$Y$857</f>
        <v>0</v>
      </c>
      <c r="N857" s="56">
        <f ca="1">$K$857-EFEITO!$M$857*EFEITO!$Z$857</f>
        <v>0</v>
      </c>
      <c r="O857" s="56">
        <f>$L$857-EFEITO!$O$857*EFEITO!$AA$857</f>
        <v>0</v>
      </c>
      <c r="P857" s="39"/>
      <c r="Q857" s="39"/>
      <c r="R857" s="39"/>
      <c r="S857" s="39"/>
      <c r="T857" s="39"/>
      <c r="U857" s="39"/>
      <c r="V857" s="39"/>
      <c r="W857" s="39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35" t="s">
        <v>21</v>
      </c>
      <c r="B858" s="35" t="s">
        <v>39</v>
      </c>
      <c r="C858" s="35" t="s">
        <v>36</v>
      </c>
      <c r="D858" s="35" t="s">
        <v>40</v>
      </c>
      <c r="E858" s="35" t="s">
        <v>25</v>
      </c>
      <c r="F858" s="35" t="s">
        <v>25</v>
      </c>
      <c r="G858" s="35" t="s">
        <v>25</v>
      </c>
      <c r="H858" s="35" t="s">
        <v>37</v>
      </c>
      <c r="I858" s="55">
        <v>44501</v>
      </c>
      <c r="J858" s="56">
        <f>EFEITO!$J$858*EFEITO!$Y$858</f>
        <v>0</v>
      </c>
      <c r="K858" s="56">
        <f ca="1">EFEITO!$L$858*EFEITO!$Z$858</f>
        <v>93.167867824273259</v>
      </c>
      <c r="L858" s="56">
        <f>EFEITO!$N$858*EFEITO!$AA$858</f>
        <v>42.33555803155253</v>
      </c>
      <c r="M858" s="56">
        <f>$J$858-EFEITO!$K$858*EFEITO!$Y$858</f>
        <v>0</v>
      </c>
      <c r="N858" s="56">
        <f ca="1">$K$858-EFEITO!$M$858*EFEITO!$Z$858</f>
        <v>0</v>
      </c>
      <c r="O858" s="56">
        <f>$L$858-EFEITO!$O$858*EFEITO!$AA$858</f>
        <v>0</v>
      </c>
      <c r="P858" s="39"/>
      <c r="Q858" s="39"/>
      <c r="R858" s="39"/>
      <c r="S858" s="39"/>
      <c r="T858" s="39"/>
      <c r="U858" s="39"/>
      <c r="V858" s="39"/>
      <c r="W858" s="39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35" t="s">
        <v>21</v>
      </c>
      <c r="B859" s="35" t="s">
        <v>39</v>
      </c>
      <c r="C859" s="35" t="s">
        <v>36</v>
      </c>
      <c r="D859" s="35" t="s">
        <v>40</v>
      </c>
      <c r="E859" s="35" t="s">
        <v>25</v>
      </c>
      <c r="F859" s="35" t="s">
        <v>25</v>
      </c>
      <c r="G859" s="35" t="s">
        <v>25</v>
      </c>
      <c r="H859" s="35" t="s">
        <v>37</v>
      </c>
      <c r="I859" s="55">
        <v>44531</v>
      </c>
      <c r="J859" s="56">
        <f>EFEITO!$J$859*EFEITO!$Y$859</f>
        <v>0</v>
      </c>
      <c r="K859" s="56">
        <f ca="1">EFEITO!$L$859*EFEITO!$Z$859</f>
        <v>114.17630860817802</v>
      </c>
      <c r="L859" s="56">
        <f>EFEITO!$N$859*EFEITO!$AA$859</f>
        <v>51.881811313177124</v>
      </c>
      <c r="M859" s="56">
        <f>$J$859-EFEITO!$K$859*EFEITO!$Y$859</f>
        <v>0</v>
      </c>
      <c r="N859" s="56">
        <f ca="1">$K$859-EFEITO!$M$859*EFEITO!$Z$859</f>
        <v>0</v>
      </c>
      <c r="O859" s="56">
        <f>$L$859-EFEITO!$O$859*EFEITO!$AA$859</f>
        <v>0</v>
      </c>
      <c r="P859" s="39"/>
      <c r="Q859" s="39"/>
      <c r="R859" s="39"/>
      <c r="S859" s="39"/>
      <c r="T859" s="39"/>
      <c r="U859" s="39"/>
      <c r="V859" s="39"/>
      <c r="W859" s="39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35" t="s">
        <v>21</v>
      </c>
      <c r="B860" s="35" t="s">
        <v>39</v>
      </c>
      <c r="C860" s="35" t="s">
        <v>36</v>
      </c>
      <c r="D860" s="35" t="s">
        <v>40</v>
      </c>
      <c r="E860" s="35" t="s">
        <v>25</v>
      </c>
      <c r="F860" s="35" t="s">
        <v>25</v>
      </c>
      <c r="G860" s="35" t="s">
        <v>25</v>
      </c>
      <c r="H860" s="35" t="s">
        <v>37</v>
      </c>
      <c r="I860" s="55">
        <v>44562</v>
      </c>
      <c r="J860" s="56">
        <f>EFEITO!$J$860*EFEITO!$Y$860</f>
        <v>0</v>
      </c>
      <c r="K860" s="56">
        <f ca="1">EFEITO!$L$860*EFEITO!$Z$860</f>
        <v>114.17630860817802</v>
      </c>
      <c r="L860" s="56">
        <f>EFEITO!$N$860*EFEITO!$AA$860</f>
        <v>51.881811313177124</v>
      </c>
      <c r="M860" s="56">
        <f>$J$860-EFEITO!$K$860*EFEITO!$Y$860</f>
        <v>0</v>
      </c>
      <c r="N860" s="56">
        <f ca="1">$K$860-EFEITO!$M$860*EFEITO!$Z$860</f>
        <v>0</v>
      </c>
      <c r="O860" s="56">
        <f>$L$860-EFEITO!$O$860*EFEITO!$AA$860</f>
        <v>0</v>
      </c>
      <c r="P860" s="39"/>
      <c r="Q860" s="39"/>
      <c r="R860" s="39"/>
      <c r="S860" s="39"/>
      <c r="T860" s="39"/>
      <c r="U860" s="39"/>
      <c r="V860" s="39"/>
      <c r="W860" s="39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35" t="s">
        <v>21</v>
      </c>
      <c r="B861" s="35" t="s">
        <v>39</v>
      </c>
      <c r="C861" s="35" t="s">
        <v>36</v>
      </c>
      <c r="D861" s="35" t="s">
        <v>40</v>
      </c>
      <c r="E861" s="35" t="s">
        <v>25</v>
      </c>
      <c r="F861" s="35" t="s">
        <v>25</v>
      </c>
      <c r="G861" s="35" t="s">
        <v>25</v>
      </c>
      <c r="H861" s="35" t="s">
        <v>37</v>
      </c>
      <c r="I861" s="55">
        <v>44593</v>
      </c>
      <c r="J861" s="56">
        <f>EFEITO!$J$861*EFEITO!$Y$861</f>
        <v>0</v>
      </c>
      <c r="K861" s="56">
        <f ca="1">EFEITO!$L$861*EFEITO!$Z$861</f>
        <v>113.2628981393126</v>
      </c>
      <c r="L861" s="56">
        <f>EFEITO!$N$861*EFEITO!$AA$861</f>
        <v>51.466756822671705</v>
      </c>
      <c r="M861" s="56">
        <f>$J$861-EFEITO!$K$861*EFEITO!$Y$861</f>
        <v>0</v>
      </c>
      <c r="N861" s="56">
        <f ca="1">$K$861-EFEITO!$M$861*EFEITO!$Z$861</f>
        <v>0</v>
      </c>
      <c r="O861" s="56">
        <f>$L$861-EFEITO!$O$861*EFEITO!$AA$861</f>
        <v>0</v>
      </c>
      <c r="P861" s="39"/>
      <c r="Q861" s="39"/>
      <c r="R861" s="39"/>
      <c r="S861" s="39"/>
      <c r="T861" s="39"/>
      <c r="U861" s="39"/>
      <c r="V861" s="39"/>
      <c r="W861" s="39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35" t="s">
        <v>21</v>
      </c>
      <c r="B862" s="35" t="s">
        <v>39</v>
      </c>
      <c r="C862" s="35" t="s">
        <v>36</v>
      </c>
      <c r="D862" s="35" t="s">
        <v>40</v>
      </c>
      <c r="E862" s="35" t="s">
        <v>25</v>
      </c>
      <c r="F862" s="35" t="s">
        <v>25</v>
      </c>
      <c r="G862" s="35" t="s">
        <v>25</v>
      </c>
      <c r="H862" s="35" t="s">
        <v>37</v>
      </c>
      <c r="I862" s="55">
        <v>44621</v>
      </c>
      <c r="J862" s="56">
        <f>EFEITO!$J$862*EFEITO!$Y$862</f>
        <v>0</v>
      </c>
      <c r="K862" s="56">
        <f ca="1">EFEITO!$L$862*EFEITO!$Z$862</f>
        <v>104.12879345065836</v>
      </c>
      <c r="L862" s="56">
        <f>EFEITO!$N$862*EFEITO!$AA$862</f>
        <v>47.316211917617537</v>
      </c>
      <c r="M862" s="56">
        <f>$J$862-EFEITO!$K$862*EFEITO!$Y$862</f>
        <v>0</v>
      </c>
      <c r="N862" s="56">
        <f ca="1">$K$862-EFEITO!$M$862*EFEITO!$Z$862</f>
        <v>0</v>
      </c>
      <c r="O862" s="56">
        <f>$L$862-EFEITO!$O$862*EFEITO!$AA$862</f>
        <v>0</v>
      </c>
      <c r="P862" s="39"/>
      <c r="Q862" s="39"/>
      <c r="R862" s="39"/>
      <c r="S862" s="39"/>
      <c r="T862" s="39"/>
      <c r="U862" s="39"/>
      <c r="V862" s="39"/>
      <c r="W862" s="39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35" t="s">
        <v>21</v>
      </c>
      <c r="B863" s="35" t="s">
        <v>39</v>
      </c>
      <c r="C863" s="35" t="s">
        <v>36</v>
      </c>
      <c r="D863" s="35" t="s">
        <v>40</v>
      </c>
      <c r="E863" s="35" t="s">
        <v>25</v>
      </c>
      <c r="F863" s="35" t="s">
        <v>25</v>
      </c>
      <c r="G863" s="35" t="s">
        <v>25</v>
      </c>
      <c r="H863" s="35" t="s">
        <v>37</v>
      </c>
      <c r="I863" s="55">
        <v>44652</v>
      </c>
      <c r="J863" s="56">
        <f>EFEITO!$J$863*EFEITO!$Y$863</f>
        <v>0</v>
      </c>
      <c r="K863" s="56">
        <f ca="1">EFEITO!$L$863*EFEITO!$Z$863</f>
        <v>105.95561438838921</v>
      </c>
      <c r="L863" s="56">
        <f>EFEITO!$N$863*EFEITO!$AA$863</f>
        <v>48.146320898628375</v>
      </c>
      <c r="M863" s="56">
        <f>$J$863-EFEITO!$K$863*EFEITO!$Y$863</f>
        <v>0</v>
      </c>
      <c r="N863" s="56">
        <f ca="1">$K$863-EFEITO!$M$863*EFEITO!$Z$863</f>
        <v>0</v>
      </c>
      <c r="O863" s="56">
        <f>$L$863-EFEITO!$O$863*EFEITO!$AA$863</f>
        <v>0</v>
      </c>
      <c r="P863" s="39"/>
      <c r="Q863" s="39"/>
      <c r="R863" s="39"/>
      <c r="S863" s="39"/>
      <c r="T863" s="39"/>
      <c r="U863" s="39"/>
      <c r="V863" s="39"/>
      <c r="W863" s="39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35" t="s">
        <v>21</v>
      </c>
      <c r="B864" s="35" t="s">
        <v>39</v>
      </c>
      <c r="C864" s="35" t="s">
        <v>36</v>
      </c>
      <c r="D864" s="35" t="s">
        <v>40</v>
      </c>
      <c r="E864" s="35" t="s">
        <v>25</v>
      </c>
      <c r="F864" s="35" t="s">
        <v>25</v>
      </c>
      <c r="G864" s="35" t="s">
        <v>25</v>
      </c>
      <c r="H864" s="35" t="s">
        <v>37</v>
      </c>
      <c r="I864" s="55">
        <v>44682</v>
      </c>
      <c r="J864" s="56">
        <f>EFEITO!$J$864*EFEITO!$Y$864</f>
        <v>0</v>
      </c>
      <c r="K864" s="56">
        <f ca="1">EFEITO!$L$864*EFEITO!$Z$864</f>
        <v>104.12879345065836</v>
      </c>
      <c r="L864" s="56">
        <f>EFEITO!$N$864*EFEITO!$AA$864</f>
        <v>47.316211917617537</v>
      </c>
      <c r="M864" s="56">
        <f>$J$864-EFEITO!$K$864*EFEITO!$Y$864</f>
        <v>0</v>
      </c>
      <c r="N864" s="56">
        <f ca="1">$K$864-EFEITO!$M$864*EFEITO!$Z$864</f>
        <v>0</v>
      </c>
      <c r="O864" s="56">
        <f>$L$864-EFEITO!$O$864*EFEITO!$AA$864</f>
        <v>0</v>
      </c>
      <c r="P864" s="39"/>
      <c r="Q864" s="39"/>
      <c r="R864" s="39"/>
      <c r="S864" s="39"/>
      <c r="T864" s="39"/>
      <c r="U864" s="39"/>
      <c r="V864" s="39"/>
      <c r="W864" s="39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35" t="s">
        <v>21</v>
      </c>
      <c r="B865" s="35" t="s">
        <v>39</v>
      </c>
      <c r="C865" s="35" t="s">
        <v>23</v>
      </c>
      <c r="D865" s="35" t="s">
        <v>43</v>
      </c>
      <c r="E865" s="35" t="s">
        <v>25</v>
      </c>
      <c r="F865" s="35" t="s">
        <v>25</v>
      </c>
      <c r="G865" s="35" t="s">
        <v>25</v>
      </c>
      <c r="H865" s="35" t="s">
        <v>25</v>
      </c>
      <c r="I865" s="55">
        <v>44348</v>
      </c>
      <c r="J865" s="56">
        <f>EFEITO!$J$865*EFEITO!$Y$865</f>
        <v>0</v>
      </c>
      <c r="K865" s="56">
        <f ca="1">EFEITO!$L$865*EFEITO!$Z$865</f>
        <v>618229.03887419484</v>
      </c>
      <c r="L865" s="56">
        <f>EFEITO!$N$865*EFEITO!$AA$865</f>
        <v>463965.86258045706</v>
      </c>
      <c r="M865" s="56">
        <f>$J$865-EFEITO!$K$865*EFEITO!$Y$865</f>
        <v>0</v>
      </c>
      <c r="N865" s="56">
        <f ca="1">$K$865-EFEITO!$M$865*EFEITO!$Z$865</f>
        <v>0</v>
      </c>
      <c r="O865" s="56">
        <f>$L$865-EFEITO!$O$865*EFEITO!$AA$865</f>
        <v>0</v>
      </c>
      <c r="P865" s="39"/>
      <c r="Q865" s="39"/>
      <c r="R865" s="39"/>
      <c r="S865" s="39"/>
      <c r="T865" s="39"/>
      <c r="U865" s="39"/>
      <c r="V865" s="39"/>
      <c r="W865" s="39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35" t="s">
        <v>27</v>
      </c>
      <c r="B866" s="35" t="s">
        <v>39</v>
      </c>
      <c r="C866" s="35" t="s">
        <v>23</v>
      </c>
      <c r="D866" s="35" t="s">
        <v>43</v>
      </c>
      <c r="E866" s="35" t="s">
        <v>25</v>
      </c>
      <c r="F866" s="35" t="s">
        <v>25</v>
      </c>
      <c r="G866" s="35" t="s">
        <v>25</v>
      </c>
      <c r="H866" s="35" t="s">
        <v>25</v>
      </c>
      <c r="I866" s="55">
        <v>44348</v>
      </c>
      <c r="J866" s="56">
        <f>EFEITO!$J$866*EFEITO!$Y$866</f>
        <v>0</v>
      </c>
      <c r="K866" s="56">
        <f ca="1">EFEITO!$L$866*EFEITO!$Z$866</f>
        <v>-295.06503754790754</v>
      </c>
      <c r="L866" s="56">
        <f>EFEITO!$N$866*EFEITO!$AA$866</f>
        <v>-221.43913671953547</v>
      </c>
      <c r="M866" s="56">
        <f>$J$866-EFEITO!$K$866*EFEITO!$Y$866</f>
        <v>0</v>
      </c>
      <c r="N866" s="56">
        <f ca="1">$K$866-EFEITO!$M$866*EFEITO!$Z$866</f>
        <v>0</v>
      </c>
      <c r="O866" s="56">
        <f>$L$866-EFEITO!$O$866*EFEITO!$AA$866</f>
        <v>0</v>
      </c>
      <c r="P866" s="39"/>
      <c r="Q866" s="39"/>
      <c r="R866" s="39"/>
      <c r="S866" s="39"/>
      <c r="T866" s="39"/>
      <c r="U866" s="39"/>
      <c r="V866" s="39"/>
      <c r="W866" s="39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35" t="s">
        <v>28</v>
      </c>
      <c r="B867" s="35" t="s">
        <v>39</v>
      </c>
      <c r="C867" s="35" t="s">
        <v>23</v>
      </c>
      <c r="D867" s="35" t="s">
        <v>43</v>
      </c>
      <c r="E867" s="35" t="s">
        <v>25</v>
      </c>
      <c r="F867" s="35" t="s">
        <v>25</v>
      </c>
      <c r="G867" s="35" t="s">
        <v>25</v>
      </c>
      <c r="H867" s="35" t="s">
        <v>25</v>
      </c>
      <c r="I867" s="55">
        <v>44348</v>
      </c>
      <c r="J867" s="56">
        <f>EFEITO!$J$867*EFEITO!$Y$867</f>
        <v>0</v>
      </c>
      <c r="K867" s="56">
        <f ca="1">EFEITO!$L$867*EFEITO!$Z$867</f>
        <v>15231.73572206766</v>
      </c>
      <c r="L867" s="56">
        <f>EFEITO!$N$867*EFEITO!$AA$867</f>
        <v>11431.0473279544</v>
      </c>
      <c r="M867" s="56">
        <f>$J$867-EFEITO!$K$867*EFEITO!$Y$867</f>
        <v>0</v>
      </c>
      <c r="N867" s="56">
        <f ca="1">$K$867-EFEITO!$M$867*EFEITO!$Z$867</f>
        <v>0</v>
      </c>
      <c r="O867" s="56">
        <f>$L$867-EFEITO!$O$867*EFEITO!$AA$867</f>
        <v>0</v>
      </c>
      <c r="P867" s="39"/>
      <c r="Q867" s="39"/>
      <c r="R867" s="39"/>
      <c r="S867" s="39"/>
      <c r="T867" s="39"/>
      <c r="U867" s="39"/>
      <c r="V867" s="39"/>
      <c r="W867" s="39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35" t="s">
        <v>21</v>
      </c>
      <c r="B868" s="35" t="s">
        <v>39</v>
      </c>
      <c r="C868" s="35" t="s">
        <v>23</v>
      </c>
      <c r="D868" s="35" t="s">
        <v>43</v>
      </c>
      <c r="E868" s="35" t="s">
        <v>25</v>
      </c>
      <c r="F868" s="35" t="s">
        <v>25</v>
      </c>
      <c r="G868" s="35" t="s">
        <v>25</v>
      </c>
      <c r="H868" s="35" t="s">
        <v>25</v>
      </c>
      <c r="I868" s="55">
        <v>44378</v>
      </c>
      <c r="J868" s="56">
        <f>EFEITO!$J$868*EFEITO!$Y$868</f>
        <v>0</v>
      </c>
      <c r="K868" s="56">
        <f ca="1">EFEITO!$L$868*EFEITO!$Z$868</f>
        <v>638649.78689662903</v>
      </c>
      <c r="L868" s="56">
        <f>EFEITO!$N$868*EFEITO!$AA$868</f>
        <v>479291.13747860817</v>
      </c>
      <c r="M868" s="56">
        <f>$J$868-EFEITO!$K$868*EFEITO!$Y$868</f>
        <v>0</v>
      </c>
      <c r="N868" s="56">
        <f ca="1">$K$868-EFEITO!$M$868*EFEITO!$Z$868</f>
        <v>0</v>
      </c>
      <c r="O868" s="56">
        <f>$L$868-EFEITO!$O$868*EFEITO!$AA$868</f>
        <v>0</v>
      </c>
      <c r="P868" s="39"/>
      <c r="Q868" s="39"/>
      <c r="R868" s="39"/>
      <c r="S868" s="39"/>
      <c r="T868" s="39"/>
      <c r="U868" s="39"/>
      <c r="V868" s="39"/>
      <c r="W868" s="39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35" t="s">
        <v>27</v>
      </c>
      <c r="B869" s="35" t="s">
        <v>39</v>
      </c>
      <c r="C869" s="35" t="s">
        <v>23</v>
      </c>
      <c r="D869" s="35" t="s">
        <v>43</v>
      </c>
      <c r="E869" s="35" t="s">
        <v>25</v>
      </c>
      <c r="F869" s="35" t="s">
        <v>25</v>
      </c>
      <c r="G869" s="35" t="s">
        <v>25</v>
      </c>
      <c r="H869" s="35" t="s">
        <v>25</v>
      </c>
      <c r="I869" s="55">
        <v>44378</v>
      </c>
      <c r="J869" s="56">
        <f>EFEITO!$J$869*EFEITO!$Y$869</f>
        <v>0</v>
      </c>
      <c r="K869" s="56">
        <f ca="1">EFEITO!$L$869*EFEITO!$Z$869</f>
        <v>-184.14378264660567</v>
      </c>
      <c r="L869" s="56">
        <f>EFEITO!$N$869*EFEITO!$AA$869</f>
        <v>-138.19543176108604</v>
      </c>
      <c r="M869" s="56">
        <f>$J$869-EFEITO!$K$869*EFEITO!$Y$869</f>
        <v>0</v>
      </c>
      <c r="N869" s="56">
        <f ca="1">$K$869-EFEITO!$M$869*EFEITO!$Z$869</f>
        <v>0</v>
      </c>
      <c r="O869" s="56">
        <f>$L$869-EFEITO!$O$869*EFEITO!$AA$869</f>
        <v>0</v>
      </c>
      <c r="P869" s="39"/>
      <c r="Q869" s="39"/>
      <c r="R869" s="39"/>
      <c r="S869" s="39"/>
      <c r="T869" s="39"/>
      <c r="U869" s="39"/>
      <c r="V869" s="39"/>
      <c r="W869" s="39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35" t="s">
        <v>28</v>
      </c>
      <c r="B870" s="35" t="s">
        <v>39</v>
      </c>
      <c r="C870" s="35" t="s">
        <v>23</v>
      </c>
      <c r="D870" s="35" t="s">
        <v>43</v>
      </c>
      <c r="E870" s="35" t="s">
        <v>25</v>
      </c>
      <c r="F870" s="35" t="s">
        <v>25</v>
      </c>
      <c r="G870" s="35" t="s">
        <v>25</v>
      </c>
      <c r="H870" s="35" t="s">
        <v>25</v>
      </c>
      <c r="I870" s="55">
        <v>44378</v>
      </c>
      <c r="J870" s="56">
        <f>EFEITO!$J$870*EFEITO!$Y$870</f>
        <v>0</v>
      </c>
      <c r="K870" s="56">
        <f ca="1">EFEITO!$L$870*EFEITO!$Z$870</f>
        <v>16161.879317089686</v>
      </c>
      <c r="L870" s="56">
        <f>EFEITO!$N$870*EFEITO!$AA$870</f>
        <v>12129.097481298782</v>
      </c>
      <c r="M870" s="56">
        <f>$J$870-EFEITO!$K$870*EFEITO!$Y$870</f>
        <v>0</v>
      </c>
      <c r="N870" s="56">
        <f ca="1">$K$870-EFEITO!$M$870*EFEITO!$Z$870</f>
        <v>0</v>
      </c>
      <c r="O870" s="56">
        <f>$L$870-EFEITO!$O$870*EFEITO!$AA$870</f>
        <v>0</v>
      </c>
      <c r="P870" s="39"/>
      <c r="Q870" s="39"/>
      <c r="R870" s="39"/>
      <c r="S870" s="39"/>
      <c r="T870" s="39"/>
      <c r="U870" s="39"/>
      <c r="V870" s="39"/>
      <c r="W870" s="39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35" t="s">
        <v>21</v>
      </c>
      <c r="B871" s="35" t="s">
        <v>39</v>
      </c>
      <c r="C871" s="35" t="s">
        <v>23</v>
      </c>
      <c r="D871" s="35" t="s">
        <v>43</v>
      </c>
      <c r="E871" s="35" t="s">
        <v>25</v>
      </c>
      <c r="F871" s="35" t="s">
        <v>25</v>
      </c>
      <c r="G871" s="35" t="s">
        <v>25</v>
      </c>
      <c r="H871" s="35" t="s">
        <v>25</v>
      </c>
      <c r="I871" s="55">
        <v>44409</v>
      </c>
      <c r="J871" s="56">
        <f>EFEITO!$J$871*EFEITO!$Y$871</f>
        <v>0</v>
      </c>
      <c r="K871" s="56">
        <f ca="1">EFEITO!$L$871*EFEITO!$Z$871</f>
        <v>653644.81811068836</v>
      </c>
      <c r="L871" s="56">
        <f>EFEITO!$N$871*EFEITO!$AA$871</f>
        <v>490544.54382833425</v>
      </c>
      <c r="M871" s="56">
        <f>$J$871-EFEITO!$K$871*EFEITO!$Y$871</f>
        <v>0</v>
      </c>
      <c r="N871" s="56">
        <f ca="1">$K$871-EFEITO!$M$871*EFEITO!$Z$871</f>
        <v>0</v>
      </c>
      <c r="O871" s="56">
        <f>$L$871-EFEITO!$O$871*EFEITO!$AA$871</f>
        <v>0</v>
      </c>
      <c r="P871" s="39"/>
      <c r="Q871" s="39"/>
      <c r="R871" s="39"/>
      <c r="S871" s="39"/>
      <c r="T871" s="39"/>
      <c r="U871" s="39"/>
      <c r="V871" s="39"/>
      <c r="W871" s="39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35" t="s">
        <v>27</v>
      </c>
      <c r="B872" s="35" t="s">
        <v>39</v>
      </c>
      <c r="C872" s="35" t="s">
        <v>23</v>
      </c>
      <c r="D872" s="35" t="s">
        <v>43</v>
      </c>
      <c r="E872" s="35" t="s">
        <v>25</v>
      </c>
      <c r="F872" s="35" t="s">
        <v>25</v>
      </c>
      <c r="G872" s="35" t="s">
        <v>25</v>
      </c>
      <c r="H872" s="35" t="s">
        <v>25</v>
      </c>
      <c r="I872" s="55">
        <v>44409</v>
      </c>
      <c r="J872" s="56">
        <f>EFEITO!$J$872*EFEITO!$Y$872</f>
        <v>0</v>
      </c>
      <c r="K872" s="56">
        <f ca="1">EFEITO!$L$872*EFEITO!$Z$872</f>
        <v>-174.3566130964908</v>
      </c>
      <c r="L872" s="56">
        <f>EFEITO!$N$872*EFEITO!$AA$872</f>
        <v>-130.85039897063461</v>
      </c>
      <c r="M872" s="56">
        <f>$J$872-EFEITO!$K$872*EFEITO!$Y$872</f>
        <v>0</v>
      </c>
      <c r="N872" s="56">
        <f ca="1">$K$872-EFEITO!$M$872*EFEITO!$Z$872</f>
        <v>0</v>
      </c>
      <c r="O872" s="56">
        <f>$L$872-EFEITO!$O$872*EFEITO!$AA$872</f>
        <v>0</v>
      </c>
      <c r="P872" s="39"/>
      <c r="Q872" s="39"/>
      <c r="R872" s="39"/>
      <c r="S872" s="39"/>
      <c r="T872" s="39"/>
      <c r="U872" s="39"/>
      <c r="V872" s="39"/>
      <c r="W872" s="39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35" t="s">
        <v>28</v>
      </c>
      <c r="B873" s="35" t="s">
        <v>39</v>
      </c>
      <c r="C873" s="35" t="s">
        <v>23</v>
      </c>
      <c r="D873" s="35" t="s">
        <v>43</v>
      </c>
      <c r="E873" s="35" t="s">
        <v>25</v>
      </c>
      <c r="F873" s="35" t="s">
        <v>25</v>
      </c>
      <c r="G873" s="35" t="s">
        <v>25</v>
      </c>
      <c r="H873" s="35" t="s">
        <v>25</v>
      </c>
      <c r="I873" s="55">
        <v>44409</v>
      </c>
      <c r="J873" s="56">
        <f>EFEITO!$J$873*EFEITO!$Y$873</f>
        <v>0</v>
      </c>
      <c r="K873" s="56">
        <f ca="1">EFEITO!$L$873*EFEITO!$Z$873</f>
        <v>17937.344371032748</v>
      </c>
      <c r="L873" s="56">
        <f>EFEITO!$N$873*EFEITO!$AA$873</f>
        <v>13461.540837136972</v>
      </c>
      <c r="M873" s="56">
        <f>$J$873-EFEITO!$K$873*EFEITO!$Y$873</f>
        <v>0</v>
      </c>
      <c r="N873" s="56">
        <f ca="1">$K$873-EFEITO!$M$873*EFEITO!$Z$873</f>
        <v>0</v>
      </c>
      <c r="O873" s="56">
        <f>$L$873-EFEITO!$O$873*EFEITO!$AA$873</f>
        <v>0</v>
      </c>
      <c r="P873" s="39"/>
      <c r="Q873" s="39"/>
      <c r="R873" s="39"/>
      <c r="S873" s="39"/>
      <c r="T873" s="39"/>
      <c r="U873" s="39"/>
      <c r="V873" s="39"/>
      <c r="W873" s="39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35" t="s">
        <v>21</v>
      </c>
      <c r="B874" s="35" t="s">
        <v>39</v>
      </c>
      <c r="C874" s="35" t="s">
        <v>23</v>
      </c>
      <c r="D874" s="35" t="s">
        <v>43</v>
      </c>
      <c r="E874" s="35" t="s">
        <v>25</v>
      </c>
      <c r="F874" s="35" t="s">
        <v>25</v>
      </c>
      <c r="G874" s="35" t="s">
        <v>25</v>
      </c>
      <c r="H874" s="35" t="s">
        <v>25</v>
      </c>
      <c r="I874" s="55">
        <v>44440</v>
      </c>
      <c r="J874" s="56">
        <f>EFEITO!$J$874*EFEITO!$Y$874</f>
        <v>0</v>
      </c>
      <c r="K874" s="56">
        <f ca="1">EFEITO!$L$874*EFEITO!$Z$874</f>
        <v>647232.04712879634</v>
      </c>
      <c r="L874" s="56">
        <f>EFEITO!$N$874*EFEITO!$AA$874</f>
        <v>485731.9151210796</v>
      </c>
      <c r="M874" s="56">
        <f>$J$874-EFEITO!$K$874*EFEITO!$Y$874</f>
        <v>0</v>
      </c>
      <c r="N874" s="56">
        <f ca="1">$K$874-EFEITO!$M$874*EFEITO!$Z$874</f>
        <v>0</v>
      </c>
      <c r="O874" s="56">
        <f>$L$874-EFEITO!$O$874*EFEITO!$AA$874</f>
        <v>0</v>
      </c>
      <c r="P874" s="39"/>
      <c r="Q874" s="39"/>
      <c r="R874" s="39"/>
      <c r="S874" s="39"/>
      <c r="T874" s="39"/>
      <c r="U874" s="39"/>
      <c r="V874" s="39"/>
      <c r="W874" s="39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35" t="s">
        <v>27</v>
      </c>
      <c r="B875" s="35" t="s">
        <v>39</v>
      </c>
      <c r="C875" s="35" t="s">
        <v>23</v>
      </c>
      <c r="D875" s="35" t="s">
        <v>43</v>
      </c>
      <c r="E875" s="35" t="s">
        <v>25</v>
      </c>
      <c r="F875" s="35" t="s">
        <v>25</v>
      </c>
      <c r="G875" s="35" t="s">
        <v>25</v>
      </c>
      <c r="H875" s="35" t="s">
        <v>25</v>
      </c>
      <c r="I875" s="55">
        <v>44440</v>
      </c>
      <c r="J875" s="56">
        <f>EFEITO!$J$875*EFEITO!$Y$875</f>
        <v>0</v>
      </c>
      <c r="K875" s="56">
        <f ca="1">EFEITO!$L$875*EFEITO!$Z$875</f>
        <v>530.31959451177977</v>
      </c>
      <c r="L875" s="56">
        <f>EFEITO!$N$875*EFEITO!$AA$875</f>
        <v>397.99196194186788</v>
      </c>
      <c r="M875" s="56">
        <f>$J$875-EFEITO!$K$875*EFEITO!$Y$875</f>
        <v>0</v>
      </c>
      <c r="N875" s="56">
        <f ca="1">$K$875-EFEITO!$M$875*EFEITO!$Z$875</f>
        <v>0</v>
      </c>
      <c r="O875" s="56">
        <f>$L$875-EFEITO!$O$875*EFEITO!$AA$875</f>
        <v>0</v>
      </c>
      <c r="P875" s="39"/>
      <c r="Q875" s="39"/>
      <c r="R875" s="39"/>
      <c r="S875" s="39"/>
      <c r="T875" s="39"/>
      <c r="U875" s="39"/>
      <c r="V875" s="39"/>
      <c r="W875" s="39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35" t="s">
        <v>28</v>
      </c>
      <c r="B876" s="35" t="s">
        <v>39</v>
      </c>
      <c r="C876" s="35" t="s">
        <v>23</v>
      </c>
      <c r="D876" s="35" t="s">
        <v>43</v>
      </c>
      <c r="E876" s="35" t="s">
        <v>25</v>
      </c>
      <c r="F876" s="35" t="s">
        <v>25</v>
      </c>
      <c r="G876" s="35" t="s">
        <v>25</v>
      </c>
      <c r="H876" s="35" t="s">
        <v>25</v>
      </c>
      <c r="I876" s="55">
        <v>44440</v>
      </c>
      <c r="J876" s="56">
        <f>EFEITO!$J$876*EFEITO!$Y$876</f>
        <v>0</v>
      </c>
      <c r="K876" s="56">
        <f ca="1">EFEITO!$L$876*EFEITO!$Z$876</f>
        <v>13140.543828193115</v>
      </c>
      <c r="L876" s="56">
        <f>EFEITO!$N$876*EFEITO!$AA$876</f>
        <v>9861.6586550612792</v>
      </c>
      <c r="M876" s="56">
        <f>$J$876-EFEITO!$K$876*EFEITO!$Y$876</f>
        <v>0</v>
      </c>
      <c r="N876" s="56">
        <f ca="1">$K$876-EFEITO!$M$876*EFEITO!$Z$876</f>
        <v>0</v>
      </c>
      <c r="O876" s="56">
        <f>$L$876-EFEITO!$O$876*EFEITO!$AA$876</f>
        <v>0</v>
      </c>
      <c r="P876" s="39"/>
      <c r="Q876" s="39"/>
      <c r="R876" s="39"/>
      <c r="S876" s="39"/>
      <c r="T876" s="39"/>
      <c r="U876" s="39"/>
      <c r="V876" s="39"/>
      <c r="W876" s="39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35" t="s">
        <v>21</v>
      </c>
      <c r="B877" s="35" t="s">
        <v>39</v>
      </c>
      <c r="C877" s="35" t="s">
        <v>23</v>
      </c>
      <c r="D877" s="35" t="s">
        <v>43</v>
      </c>
      <c r="E877" s="35" t="s">
        <v>25</v>
      </c>
      <c r="F877" s="35" t="s">
        <v>25</v>
      </c>
      <c r="G877" s="35" t="s">
        <v>25</v>
      </c>
      <c r="H877" s="35" t="s">
        <v>25</v>
      </c>
      <c r="I877" s="55">
        <v>44470</v>
      </c>
      <c r="J877" s="56">
        <f>EFEITO!$J$877*EFEITO!$Y$877</f>
        <v>0</v>
      </c>
      <c r="K877" s="56">
        <f ca="1">EFEITO!$L$877*EFEITO!$Z$877</f>
        <v>661844.29126711783</v>
      </c>
      <c r="L877" s="56">
        <f>EFEITO!$N$877*EFEITO!$AA$877</f>
        <v>496698.04907722352</v>
      </c>
      <c r="M877" s="56">
        <f>$J$877-EFEITO!$K$877*EFEITO!$Y$877</f>
        <v>0</v>
      </c>
      <c r="N877" s="56">
        <f ca="1">$K$877-EFEITO!$M$877*EFEITO!$Z$877</f>
        <v>0</v>
      </c>
      <c r="O877" s="56">
        <f>$L$877-EFEITO!$O$877*EFEITO!$AA$877</f>
        <v>0</v>
      </c>
      <c r="P877" s="39"/>
      <c r="Q877" s="39"/>
      <c r="R877" s="39"/>
      <c r="S877" s="39"/>
      <c r="T877" s="39"/>
      <c r="U877" s="39"/>
      <c r="V877" s="39"/>
      <c r="W877" s="39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35" t="s">
        <v>27</v>
      </c>
      <c r="B878" s="35" t="s">
        <v>39</v>
      </c>
      <c r="C878" s="35" t="s">
        <v>23</v>
      </c>
      <c r="D878" s="35" t="s">
        <v>43</v>
      </c>
      <c r="E878" s="35" t="s">
        <v>25</v>
      </c>
      <c r="F878" s="35" t="s">
        <v>25</v>
      </c>
      <c r="G878" s="35" t="s">
        <v>25</v>
      </c>
      <c r="H878" s="35" t="s">
        <v>25</v>
      </c>
      <c r="I878" s="55">
        <v>44470</v>
      </c>
      <c r="J878" s="56">
        <f>EFEITO!$J$878*EFEITO!$Y$878</f>
        <v>0</v>
      </c>
      <c r="K878" s="56">
        <f ca="1">EFEITO!$L$878*EFEITO!$Z$878</f>
        <v>717.00079148619295</v>
      </c>
      <c r="L878" s="56">
        <f>EFEITO!$N$878*EFEITO!$AA$878</f>
        <v>538.09166146344126</v>
      </c>
      <c r="M878" s="56">
        <f>$J$878-EFEITO!$K$878*EFEITO!$Y$878</f>
        <v>0</v>
      </c>
      <c r="N878" s="56">
        <f ca="1">$K$878-EFEITO!$M$878*EFEITO!$Z$878</f>
        <v>0</v>
      </c>
      <c r="O878" s="56">
        <f>$L$878-EFEITO!$O$878*EFEITO!$AA$878</f>
        <v>0</v>
      </c>
      <c r="P878" s="39"/>
      <c r="Q878" s="39"/>
      <c r="R878" s="39"/>
      <c r="S878" s="39"/>
      <c r="T878" s="39"/>
      <c r="U878" s="39"/>
      <c r="V878" s="39"/>
      <c r="W878" s="39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35" t="s">
        <v>28</v>
      </c>
      <c r="B879" s="35" t="s">
        <v>39</v>
      </c>
      <c r="C879" s="35" t="s">
        <v>23</v>
      </c>
      <c r="D879" s="35" t="s">
        <v>43</v>
      </c>
      <c r="E879" s="35" t="s">
        <v>25</v>
      </c>
      <c r="F879" s="35" t="s">
        <v>25</v>
      </c>
      <c r="G879" s="35" t="s">
        <v>25</v>
      </c>
      <c r="H879" s="35" t="s">
        <v>25</v>
      </c>
      <c r="I879" s="55">
        <v>44470</v>
      </c>
      <c r="J879" s="56">
        <f>EFEITO!$J$879*EFEITO!$Y$879</f>
        <v>0</v>
      </c>
      <c r="K879" s="56">
        <f ca="1">EFEITO!$L$879*EFEITO!$Z$879</f>
        <v>16346.023099736292</v>
      </c>
      <c r="L879" s="56">
        <f>EFEITO!$N$879*EFEITO!$AA$879</f>
        <v>12267.29291305987</v>
      </c>
      <c r="M879" s="56">
        <f>$J$879-EFEITO!$K$879*EFEITO!$Y$879</f>
        <v>0</v>
      </c>
      <c r="N879" s="56">
        <f ca="1">$K$879-EFEITO!$M$879*EFEITO!$Z$879</f>
        <v>0</v>
      </c>
      <c r="O879" s="56">
        <f>$L$879-EFEITO!$O$879*EFEITO!$AA$879</f>
        <v>0</v>
      </c>
      <c r="P879" s="39"/>
      <c r="Q879" s="39"/>
      <c r="R879" s="39"/>
      <c r="S879" s="39"/>
      <c r="T879" s="39"/>
      <c r="U879" s="39"/>
      <c r="V879" s="39"/>
      <c r="W879" s="39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35" t="s">
        <v>21</v>
      </c>
      <c r="B880" s="35" t="s">
        <v>39</v>
      </c>
      <c r="C880" s="35" t="s">
        <v>23</v>
      </c>
      <c r="D880" s="35" t="s">
        <v>43</v>
      </c>
      <c r="E880" s="35" t="s">
        <v>25</v>
      </c>
      <c r="F880" s="35" t="s">
        <v>25</v>
      </c>
      <c r="G880" s="35" t="s">
        <v>25</v>
      </c>
      <c r="H880" s="35" t="s">
        <v>25</v>
      </c>
      <c r="I880" s="55">
        <v>44501</v>
      </c>
      <c r="J880" s="56">
        <f>EFEITO!$J$880*EFEITO!$Y$880</f>
        <v>0</v>
      </c>
      <c r="K880" s="56">
        <f ca="1">EFEITO!$L$880*EFEITO!$Z$880</f>
        <v>669025.53630257444</v>
      </c>
      <c r="L880" s="56">
        <f>EFEITO!$N$880*EFEITO!$AA$880</f>
        <v>502087.3988776544</v>
      </c>
      <c r="M880" s="56">
        <f>$J$880-EFEITO!$K$880*EFEITO!$Y$880</f>
        <v>0</v>
      </c>
      <c r="N880" s="56">
        <f ca="1">$K$880-EFEITO!$M$880*EFEITO!$Z$880</f>
        <v>0</v>
      </c>
      <c r="O880" s="56">
        <f>$L$880-EFEITO!$O$880*EFEITO!$AA$880</f>
        <v>0</v>
      </c>
      <c r="P880" s="39"/>
      <c r="Q880" s="39"/>
      <c r="R880" s="39"/>
      <c r="S880" s="39"/>
      <c r="T880" s="39"/>
      <c r="U880" s="39"/>
      <c r="V880" s="39"/>
      <c r="W880" s="39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35" t="s">
        <v>27</v>
      </c>
      <c r="B881" s="35" t="s">
        <v>39</v>
      </c>
      <c r="C881" s="35" t="s">
        <v>23</v>
      </c>
      <c r="D881" s="35" t="s">
        <v>43</v>
      </c>
      <c r="E881" s="35" t="s">
        <v>25</v>
      </c>
      <c r="F881" s="35" t="s">
        <v>25</v>
      </c>
      <c r="G881" s="35" t="s">
        <v>25</v>
      </c>
      <c r="H881" s="35" t="s">
        <v>25</v>
      </c>
      <c r="I881" s="55">
        <v>44501</v>
      </c>
      <c r="J881" s="56">
        <f>EFEITO!$J$881*EFEITO!$Y$881</f>
        <v>0</v>
      </c>
      <c r="K881" s="56">
        <f ca="1">EFEITO!$L$881*EFEITO!$Z$881</f>
        <v>-128.68315519595475</v>
      </c>
      <c r="L881" s="56">
        <f>EFEITO!$N$881*EFEITO!$AA$881</f>
        <v>-96.573579281861299</v>
      </c>
      <c r="M881" s="56">
        <f>$J$881-EFEITO!$K$881*EFEITO!$Y$881</f>
        <v>0</v>
      </c>
      <c r="N881" s="56">
        <f ca="1">$K$881-EFEITO!$M$881*EFEITO!$Z$881</f>
        <v>0</v>
      </c>
      <c r="O881" s="56">
        <f>$L$881-EFEITO!$O$881*EFEITO!$AA$881</f>
        <v>0</v>
      </c>
      <c r="P881" s="39"/>
      <c r="Q881" s="39"/>
      <c r="R881" s="39"/>
      <c r="S881" s="39"/>
      <c r="T881" s="39"/>
      <c r="U881" s="39"/>
      <c r="V881" s="39"/>
      <c r="W881" s="39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35" t="s">
        <v>28</v>
      </c>
      <c r="B882" s="35" t="s">
        <v>39</v>
      </c>
      <c r="C882" s="35" t="s">
        <v>23</v>
      </c>
      <c r="D882" s="35" t="s">
        <v>43</v>
      </c>
      <c r="E882" s="35" t="s">
        <v>25</v>
      </c>
      <c r="F882" s="35" t="s">
        <v>25</v>
      </c>
      <c r="G882" s="35" t="s">
        <v>25</v>
      </c>
      <c r="H882" s="35" t="s">
        <v>25</v>
      </c>
      <c r="I882" s="55">
        <v>44501</v>
      </c>
      <c r="J882" s="56">
        <f>EFEITO!$J$882*EFEITO!$Y$882</f>
        <v>0</v>
      </c>
      <c r="K882" s="56">
        <f ca="1">EFEITO!$L$882*EFEITO!$Z$882</f>
        <v>12794.36801632794</v>
      </c>
      <c r="L882" s="56">
        <f>EFEITO!$N$882*EFEITO!$AA$882</f>
        <v>9601.8621248804975</v>
      </c>
      <c r="M882" s="56">
        <f>$J$882-EFEITO!$K$882*EFEITO!$Y$882</f>
        <v>0</v>
      </c>
      <c r="N882" s="56">
        <f ca="1">$K$882-EFEITO!$M$882*EFEITO!$Z$882</f>
        <v>0</v>
      </c>
      <c r="O882" s="56">
        <f>$L$882-EFEITO!$O$882*EFEITO!$AA$882</f>
        <v>0</v>
      </c>
      <c r="P882" s="39"/>
      <c r="Q882" s="39"/>
      <c r="R882" s="39"/>
      <c r="S882" s="39"/>
      <c r="T882" s="39"/>
      <c r="U882" s="39"/>
      <c r="V882" s="39"/>
      <c r="W882" s="39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35" t="s">
        <v>21</v>
      </c>
      <c r="B883" s="35" t="s">
        <v>39</v>
      </c>
      <c r="C883" s="35" t="s">
        <v>23</v>
      </c>
      <c r="D883" s="35" t="s">
        <v>43</v>
      </c>
      <c r="E883" s="35" t="s">
        <v>25</v>
      </c>
      <c r="F883" s="35" t="s">
        <v>25</v>
      </c>
      <c r="G883" s="35" t="s">
        <v>25</v>
      </c>
      <c r="H883" s="35" t="s">
        <v>25</v>
      </c>
      <c r="I883" s="55">
        <v>44531</v>
      </c>
      <c r="J883" s="56">
        <f>EFEITO!$J$883*EFEITO!$Y$883</f>
        <v>0</v>
      </c>
      <c r="K883" s="56">
        <f ca="1">EFEITO!$L$883*EFEITO!$Z$883</f>
        <v>711280.73461579252</v>
      </c>
      <c r="L883" s="56">
        <f>EFEITO!$N$883*EFEITO!$AA$883</f>
        <v>533798.89785479964</v>
      </c>
      <c r="M883" s="56">
        <f>$J$883-EFEITO!$K$883*EFEITO!$Y$883</f>
        <v>0</v>
      </c>
      <c r="N883" s="56">
        <f ca="1">$K$883-EFEITO!$M$883*EFEITO!$Z$883</f>
        <v>0</v>
      </c>
      <c r="O883" s="56">
        <f>$L$883-EFEITO!$O$883*EFEITO!$AA$883</f>
        <v>0</v>
      </c>
      <c r="P883" s="39"/>
      <c r="Q883" s="39"/>
      <c r="R883" s="39"/>
      <c r="S883" s="39"/>
      <c r="T883" s="39"/>
      <c r="U883" s="39"/>
      <c r="V883" s="39"/>
      <c r="W883" s="39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35" t="s">
        <v>27</v>
      </c>
      <c r="B884" s="35" t="s">
        <v>39</v>
      </c>
      <c r="C884" s="35" t="s">
        <v>23</v>
      </c>
      <c r="D884" s="35" t="s">
        <v>43</v>
      </c>
      <c r="E884" s="35" t="s">
        <v>25</v>
      </c>
      <c r="F884" s="35" t="s">
        <v>25</v>
      </c>
      <c r="G884" s="35" t="s">
        <v>25</v>
      </c>
      <c r="H884" s="35" t="s">
        <v>25</v>
      </c>
      <c r="I884" s="55">
        <v>44531</v>
      </c>
      <c r="J884" s="56">
        <f>EFEITO!$J$884*EFEITO!$Y$884</f>
        <v>0</v>
      </c>
      <c r="K884" s="56">
        <f ca="1">EFEITO!$L$884*EFEITO!$Z$884</f>
        <v>-766.6616147589981</v>
      </c>
      <c r="L884" s="56">
        <f>EFEITO!$N$884*EFEITO!$AA$884</f>
        <v>-575.36090191869482</v>
      </c>
      <c r="M884" s="56">
        <f>$J$884-EFEITO!$K$884*EFEITO!$Y$884</f>
        <v>0</v>
      </c>
      <c r="N884" s="56">
        <f ca="1">$K$884-EFEITO!$M$884*EFEITO!$Z$884</f>
        <v>0</v>
      </c>
      <c r="O884" s="56">
        <f>$L$884-EFEITO!$O$884*EFEITO!$AA$884</f>
        <v>0</v>
      </c>
      <c r="P884" s="39"/>
      <c r="Q884" s="39"/>
      <c r="R884" s="39"/>
      <c r="S884" s="39"/>
      <c r="T884" s="39"/>
      <c r="U884" s="39"/>
      <c r="V884" s="39"/>
      <c r="W884" s="39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35" t="s">
        <v>28</v>
      </c>
      <c r="B885" s="35" t="s">
        <v>39</v>
      </c>
      <c r="C885" s="35" t="s">
        <v>23</v>
      </c>
      <c r="D885" s="35" t="s">
        <v>43</v>
      </c>
      <c r="E885" s="35" t="s">
        <v>25</v>
      </c>
      <c r="F885" s="35" t="s">
        <v>25</v>
      </c>
      <c r="G885" s="35" t="s">
        <v>25</v>
      </c>
      <c r="H885" s="35" t="s">
        <v>25</v>
      </c>
      <c r="I885" s="55">
        <v>44531</v>
      </c>
      <c r="J885" s="56">
        <f>EFEITO!$J$885*EFEITO!$Y$885</f>
        <v>0</v>
      </c>
      <c r="K885" s="56">
        <f ca="1">EFEITO!$L$885*EFEITO!$Z$885</f>
        <v>11001.141062090228</v>
      </c>
      <c r="L885" s="56">
        <f>EFEITO!$N$885*EFEITO!$AA$885</f>
        <v>8256.0888947188978</v>
      </c>
      <c r="M885" s="56">
        <f>$J$885-EFEITO!$K$885*EFEITO!$Y$885</f>
        <v>0</v>
      </c>
      <c r="N885" s="56">
        <f ca="1">$K$885-EFEITO!$M$885*EFEITO!$Z$885</f>
        <v>0</v>
      </c>
      <c r="O885" s="56">
        <f>$L$885-EFEITO!$O$885*EFEITO!$AA$885</f>
        <v>0</v>
      </c>
      <c r="P885" s="39"/>
      <c r="Q885" s="39"/>
      <c r="R885" s="39"/>
      <c r="S885" s="39"/>
      <c r="T885" s="39"/>
      <c r="U885" s="39"/>
      <c r="V885" s="39"/>
      <c r="W885" s="39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35" t="s">
        <v>21</v>
      </c>
      <c r="B886" s="35" t="s">
        <v>39</v>
      </c>
      <c r="C886" s="35" t="s">
        <v>23</v>
      </c>
      <c r="D886" s="35" t="s">
        <v>43</v>
      </c>
      <c r="E886" s="35" t="s">
        <v>25</v>
      </c>
      <c r="F886" s="35" t="s">
        <v>25</v>
      </c>
      <c r="G886" s="35" t="s">
        <v>25</v>
      </c>
      <c r="H886" s="35" t="s">
        <v>25</v>
      </c>
      <c r="I886" s="55">
        <v>44562</v>
      </c>
      <c r="J886" s="56">
        <f>EFEITO!$J$886*EFEITO!$Y$886</f>
        <v>0</v>
      </c>
      <c r="K886" s="56">
        <f ca="1">EFEITO!$L$886*EFEITO!$Z$886</f>
        <v>685776.4582314766</v>
      </c>
      <c r="L886" s="56">
        <f>EFEITO!$N$886*EFEITO!$AA$886</f>
        <v>514658.55851763778</v>
      </c>
      <c r="M886" s="56">
        <f>$J$886-EFEITO!$K$886*EFEITO!$Y$886</f>
        <v>0</v>
      </c>
      <c r="N886" s="56">
        <f ca="1">$K$886-EFEITO!$M$886*EFEITO!$Z$886</f>
        <v>0</v>
      </c>
      <c r="O886" s="56">
        <f>$L$886-EFEITO!$O$886*EFEITO!$AA$886</f>
        <v>0</v>
      </c>
      <c r="P886" s="39"/>
      <c r="Q886" s="39"/>
      <c r="R886" s="39"/>
      <c r="S886" s="39"/>
      <c r="T886" s="39"/>
      <c r="U886" s="39"/>
      <c r="V886" s="39"/>
      <c r="W886" s="39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35" t="s">
        <v>27</v>
      </c>
      <c r="B887" s="35" t="s">
        <v>39</v>
      </c>
      <c r="C887" s="35" t="s">
        <v>23</v>
      </c>
      <c r="D887" s="35" t="s">
        <v>43</v>
      </c>
      <c r="E887" s="35" t="s">
        <v>25</v>
      </c>
      <c r="F887" s="35" t="s">
        <v>25</v>
      </c>
      <c r="G887" s="35" t="s">
        <v>25</v>
      </c>
      <c r="H887" s="35" t="s">
        <v>25</v>
      </c>
      <c r="I887" s="55">
        <v>44562</v>
      </c>
      <c r="J887" s="56">
        <f>EFEITO!$J$887*EFEITO!$Y$887</f>
        <v>0</v>
      </c>
      <c r="K887" s="56">
        <f ca="1">EFEITO!$L$887*EFEITO!$Z$887</f>
        <v>-1279.5817967372402</v>
      </c>
      <c r="L887" s="56">
        <f>EFEITO!$N$887*EFEITO!$AA$887</f>
        <v>-960.29502778864889</v>
      </c>
      <c r="M887" s="56">
        <f>$J$887-EFEITO!$K$887*EFEITO!$Y$887</f>
        <v>0</v>
      </c>
      <c r="N887" s="56">
        <f ca="1">$K$887-EFEITO!$M$887*EFEITO!$Z$887</f>
        <v>0</v>
      </c>
      <c r="O887" s="56">
        <f>$L$887-EFEITO!$O$887*EFEITO!$AA$887</f>
        <v>0</v>
      </c>
      <c r="P887" s="39"/>
      <c r="Q887" s="39"/>
      <c r="R887" s="39"/>
      <c r="S887" s="39"/>
      <c r="T887" s="39"/>
      <c r="U887" s="39"/>
      <c r="V887" s="39"/>
      <c r="W887" s="39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35" t="s">
        <v>28</v>
      </c>
      <c r="B888" s="35" t="s">
        <v>39</v>
      </c>
      <c r="C888" s="35" t="s">
        <v>23</v>
      </c>
      <c r="D888" s="35" t="s">
        <v>43</v>
      </c>
      <c r="E888" s="35" t="s">
        <v>25</v>
      </c>
      <c r="F888" s="35" t="s">
        <v>25</v>
      </c>
      <c r="G888" s="35" t="s">
        <v>25</v>
      </c>
      <c r="H888" s="35" t="s">
        <v>25</v>
      </c>
      <c r="I888" s="55">
        <v>44562</v>
      </c>
      <c r="J888" s="56">
        <f>EFEITO!$J$888*EFEITO!$Y$888</f>
        <v>0</v>
      </c>
      <c r="K888" s="56">
        <f ca="1">EFEITO!$L$888*EFEITO!$Z$888</f>
        <v>15793.229264035361</v>
      </c>
      <c r="L888" s="56">
        <f>EFEITO!$N$888*EFEITO!$AA$888</f>
        <v>11852.434579525114</v>
      </c>
      <c r="M888" s="56">
        <f>$J$888-EFEITO!$K$888*EFEITO!$Y$888</f>
        <v>0</v>
      </c>
      <c r="N888" s="56">
        <f ca="1">$K$888-EFEITO!$M$888*EFEITO!$Z$888</f>
        <v>0</v>
      </c>
      <c r="O888" s="56">
        <f>$L$888-EFEITO!$O$888*EFEITO!$AA$888</f>
        <v>0</v>
      </c>
      <c r="P888" s="39"/>
      <c r="Q888" s="39"/>
      <c r="R888" s="39"/>
      <c r="S888" s="39"/>
      <c r="T888" s="39"/>
      <c r="U888" s="39"/>
      <c r="V888" s="39"/>
      <c r="W888" s="39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35" t="s">
        <v>21</v>
      </c>
      <c r="B889" s="35" t="s">
        <v>39</v>
      </c>
      <c r="C889" s="35" t="s">
        <v>23</v>
      </c>
      <c r="D889" s="35" t="s">
        <v>43</v>
      </c>
      <c r="E889" s="35" t="s">
        <v>25</v>
      </c>
      <c r="F889" s="35" t="s">
        <v>25</v>
      </c>
      <c r="G889" s="35" t="s">
        <v>25</v>
      </c>
      <c r="H889" s="35" t="s">
        <v>25</v>
      </c>
      <c r="I889" s="55">
        <v>44593</v>
      </c>
      <c r="J889" s="56">
        <f>EFEITO!$J$889*EFEITO!$Y$889</f>
        <v>0</v>
      </c>
      <c r="K889" s="56">
        <f ca="1">EFEITO!$L$889*EFEITO!$Z$889</f>
        <v>728572.48828427878</v>
      </c>
      <c r="L889" s="56">
        <f>EFEITO!$N$889*EFEITO!$AA$889</f>
        <v>546775.93856601836</v>
      </c>
      <c r="M889" s="56">
        <f>$J$889-EFEITO!$K$889*EFEITO!$Y$889</f>
        <v>0</v>
      </c>
      <c r="N889" s="56">
        <f ca="1">$K$889-EFEITO!$M$889*EFEITO!$Z$889</f>
        <v>0</v>
      </c>
      <c r="O889" s="56">
        <f>$L$889-EFEITO!$O$889*EFEITO!$AA$889</f>
        <v>0</v>
      </c>
      <c r="P889" s="39"/>
      <c r="Q889" s="39"/>
      <c r="R889" s="39"/>
      <c r="S889" s="39"/>
      <c r="T889" s="39"/>
      <c r="U889" s="39"/>
      <c r="V889" s="39"/>
      <c r="W889" s="39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35" t="s">
        <v>28</v>
      </c>
      <c r="B890" s="35" t="s">
        <v>39</v>
      </c>
      <c r="C890" s="35" t="s">
        <v>23</v>
      </c>
      <c r="D890" s="35" t="s">
        <v>43</v>
      </c>
      <c r="E890" s="35" t="s">
        <v>25</v>
      </c>
      <c r="F890" s="35" t="s">
        <v>25</v>
      </c>
      <c r="G890" s="35" t="s">
        <v>25</v>
      </c>
      <c r="H890" s="35" t="s">
        <v>25</v>
      </c>
      <c r="I890" s="55">
        <v>44593</v>
      </c>
      <c r="J890" s="56">
        <f>EFEITO!$J$890*EFEITO!$Y$890</f>
        <v>0</v>
      </c>
      <c r="K890" s="56">
        <f ca="1">EFEITO!$L$890*EFEITO!$Z$890</f>
        <v>17800.323997331139</v>
      </c>
      <c r="L890" s="56">
        <f>EFEITO!$N$890*EFEITO!$AA$890</f>
        <v>13358.710378070651</v>
      </c>
      <c r="M890" s="56">
        <f>$J$890-EFEITO!$K$890*EFEITO!$Y$890</f>
        <v>0</v>
      </c>
      <c r="N890" s="56">
        <f ca="1">$K$890-EFEITO!$M$890*EFEITO!$Z$890</f>
        <v>0</v>
      </c>
      <c r="O890" s="56">
        <f>$L$890-EFEITO!$O$890*EFEITO!$AA$890</f>
        <v>0</v>
      </c>
      <c r="P890" s="39"/>
      <c r="Q890" s="39"/>
      <c r="R890" s="39"/>
      <c r="S890" s="39"/>
      <c r="T890" s="39"/>
      <c r="U890" s="39"/>
      <c r="V890" s="39"/>
      <c r="W890" s="39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35" t="s">
        <v>21</v>
      </c>
      <c r="B891" s="35" t="s">
        <v>39</v>
      </c>
      <c r="C891" s="35" t="s">
        <v>23</v>
      </c>
      <c r="D891" s="35" t="s">
        <v>43</v>
      </c>
      <c r="E891" s="35" t="s">
        <v>25</v>
      </c>
      <c r="F891" s="35" t="s">
        <v>25</v>
      </c>
      <c r="G891" s="35" t="s">
        <v>25</v>
      </c>
      <c r="H891" s="35" t="s">
        <v>25</v>
      </c>
      <c r="I891" s="55">
        <v>44621</v>
      </c>
      <c r="J891" s="56">
        <f>EFEITO!$J$891*EFEITO!$Y$891</f>
        <v>0</v>
      </c>
      <c r="K891" s="56">
        <f ca="1">EFEITO!$L$891*EFEITO!$Z$891</f>
        <v>726035.79893199343</v>
      </c>
      <c r="L891" s="56">
        <f>EFEITO!$N$891*EFEITO!$AA$891</f>
        <v>544872.21488203388</v>
      </c>
      <c r="M891" s="56">
        <f>$J$891-EFEITO!$K$891*EFEITO!$Y$891</f>
        <v>0</v>
      </c>
      <c r="N891" s="56">
        <f ca="1">$K$891-EFEITO!$M$891*EFEITO!$Z$891</f>
        <v>0</v>
      </c>
      <c r="O891" s="56">
        <f>$L$891-EFEITO!$O$891*EFEITO!$AA$891</f>
        <v>0</v>
      </c>
      <c r="P891" s="39"/>
      <c r="Q891" s="39"/>
      <c r="R891" s="39"/>
      <c r="S891" s="39"/>
      <c r="T891" s="39"/>
      <c r="U891" s="39"/>
      <c r="V891" s="39"/>
      <c r="W891" s="39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35" t="s">
        <v>28</v>
      </c>
      <c r="B892" s="35" t="s">
        <v>39</v>
      </c>
      <c r="C892" s="35" t="s">
        <v>23</v>
      </c>
      <c r="D892" s="35" t="s">
        <v>43</v>
      </c>
      <c r="E892" s="35" t="s">
        <v>25</v>
      </c>
      <c r="F892" s="35" t="s">
        <v>25</v>
      </c>
      <c r="G892" s="35" t="s">
        <v>25</v>
      </c>
      <c r="H892" s="35" t="s">
        <v>25</v>
      </c>
      <c r="I892" s="55">
        <v>44621</v>
      </c>
      <c r="J892" s="56">
        <f>EFEITO!$J$892*EFEITO!$Y$892</f>
        <v>0</v>
      </c>
      <c r="K892" s="56">
        <f ca="1">EFEITO!$L$892*EFEITO!$Z$892</f>
        <v>20047.385628485288</v>
      </c>
      <c r="L892" s="56">
        <f>EFEITO!$N$892*EFEITO!$AA$892</f>
        <v>15045.075499107998</v>
      </c>
      <c r="M892" s="56">
        <f>$J$892-EFEITO!$K$892*EFEITO!$Y$892</f>
        <v>0</v>
      </c>
      <c r="N892" s="56">
        <f ca="1">$K$892-EFEITO!$M$892*EFEITO!$Z$892</f>
        <v>0</v>
      </c>
      <c r="O892" s="56">
        <f>$L$892-EFEITO!$O$892*EFEITO!$AA$892</f>
        <v>0</v>
      </c>
      <c r="P892" s="39"/>
      <c r="Q892" s="39"/>
      <c r="R892" s="39"/>
      <c r="S892" s="39"/>
      <c r="T892" s="39"/>
      <c r="U892" s="39"/>
      <c r="V892" s="39"/>
      <c r="W892" s="39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35" t="s">
        <v>21</v>
      </c>
      <c r="B893" s="35" t="s">
        <v>39</v>
      </c>
      <c r="C893" s="35" t="s">
        <v>23</v>
      </c>
      <c r="D893" s="35" t="s">
        <v>43</v>
      </c>
      <c r="E893" s="35" t="s">
        <v>25</v>
      </c>
      <c r="F893" s="35" t="s">
        <v>25</v>
      </c>
      <c r="G893" s="35" t="s">
        <v>25</v>
      </c>
      <c r="H893" s="35" t="s">
        <v>25</v>
      </c>
      <c r="I893" s="55">
        <v>44652</v>
      </c>
      <c r="J893" s="56">
        <f>EFEITO!$J$893*EFEITO!$Y$893</f>
        <v>0</v>
      </c>
      <c r="K893" s="56">
        <f ca="1">EFEITO!$L$893*EFEITO!$Z$893</f>
        <v>653782.56345991208</v>
      </c>
      <c r="L893" s="56">
        <f>EFEITO!$N$893*EFEITO!$AA$893</f>
        <v>490647.91836390353</v>
      </c>
      <c r="M893" s="56">
        <f>$J$893-EFEITO!$K$893*EFEITO!$Y$893</f>
        <v>0</v>
      </c>
      <c r="N893" s="56">
        <f ca="1">$K$893-EFEITO!$M$893*EFEITO!$Z$893</f>
        <v>0</v>
      </c>
      <c r="O893" s="56">
        <f>$L$893-EFEITO!$O$893*EFEITO!$AA$893</f>
        <v>0</v>
      </c>
      <c r="P893" s="39"/>
      <c r="Q893" s="39"/>
      <c r="R893" s="39"/>
      <c r="S893" s="39"/>
      <c r="T893" s="39"/>
      <c r="U893" s="39"/>
      <c r="V893" s="39"/>
      <c r="W893" s="39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35" t="s">
        <v>27</v>
      </c>
      <c r="B894" s="35" t="s">
        <v>39</v>
      </c>
      <c r="C894" s="35" t="s">
        <v>23</v>
      </c>
      <c r="D894" s="35" t="s">
        <v>43</v>
      </c>
      <c r="E894" s="35" t="s">
        <v>25</v>
      </c>
      <c r="F894" s="35" t="s">
        <v>25</v>
      </c>
      <c r="G894" s="35" t="s">
        <v>25</v>
      </c>
      <c r="H894" s="35" t="s">
        <v>25</v>
      </c>
      <c r="I894" s="55">
        <v>44652</v>
      </c>
      <c r="J894" s="56">
        <f>EFEITO!$J$894*EFEITO!$Y$894</f>
        <v>0</v>
      </c>
      <c r="K894" s="56">
        <f ca="1">EFEITO!$L$894*EFEITO!$Z$894</f>
        <v>-1855.2123613884407</v>
      </c>
      <c r="L894" s="56">
        <f>EFEITO!$N$894*EFEITO!$AA$894</f>
        <v>-1392.2917711677921</v>
      </c>
      <c r="M894" s="56">
        <f>$J$894-EFEITO!$K$894*EFEITO!$Y$894</f>
        <v>0</v>
      </c>
      <c r="N894" s="56">
        <f ca="1">$K$894-EFEITO!$M$894*EFEITO!$Z$894</f>
        <v>0</v>
      </c>
      <c r="O894" s="56">
        <f>$L$894-EFEITO!$O$894*EFEITO!$AA$894</f>
        <v>0</v>
      </c>
      <c r="P894" s="39"/>
      <c r="Q894" s="39"/>
      <c r="R894" s="39"/>
      <c r="S894" s="39"/>
      <c r="T894" s="39"/>
      <c r="U894" s="39"/>
      <c r="V894" s="39"/>
      <c r="W894" s="39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35" t="s">
        <v>28</v>
      </c>
      <c r="B895" s="35" t="s">
        <v>39</v>
      </c>
      <c r="C895" s="35" t="s">
        <v>23</v>
      </c>
      <c r="D895" s="35" t="s">
        <v>43</v>
      </c>
      <c r="E895" s="35" t="s">
        <v>25</v>
      </c>
      <c r="F895" s="35" t="s">
        <v>25</v>
      </c>
      <c r="G895" s="35" t="s">
        <v>25</v>
      </c>
      <c r="H895" s="35" t="s">
        <v>25</v>
      </c>
      <c r="I895" s="55">
        <v>44652</v>
      </c>
      <c r="J895" s="56">
        <f>EFEITO!$J$895*EFEITO!$Y$895</f>
        <v>0</v>
      </c>
      <c r="K895" s="56">
        <f ca="1">EFEITO!$L$895*EFEITO!$Z$895</f>
        <v>24412.825735597635</v>
      </c>
      <c r="L895" s="56">
        <f>EFEITO!$N$895*EFEITO!$AA$895</f>
        <v>18321.232161900829</v>
      </c>
      <c r="M895" s="56">
        <f>$J$895-EFEITO!$K$895*EFEITO!$Y$895</f>
        <v>0</v>
      </c>
      <c r="N895" s="56">
        <f ca="1">$K$895-EFEITO!$M$895*EFEITO!$Z$895</f>
        <v>0</v>
      </c>
      <c r="O895" s="56">
        <f>$L$895-EFEITO!$O$895*EFEITO!$AA$895</f>
        <v>0</v>
      </c>
      <c r="P895" s="39"/>
      <c r="Q895" s="39"/>
      <c r="R895" s="39"/>
      <c r="S895" s="39"/>
      <c r="T895" s="39"/>
      <c r="U895" s="39"/>
      <c r="V895" s="39"/>
      <c r="W895" s="39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35" t="s">
        <v>21</v>
      </c>
      <c r="B896" s="35" t="s">
        <v>39</v>
      </c>
      <c r="C896" s="35" t="s">
        <v>23</v>
      </c>
      <c r="D896" s="35" t="s">
        <v>43</v>
      </c>
      <c r="E896" s="35" t="s">
        <v>25</v>
      </c>
      <c r="F896" s="35" t="s">
        <v>25</v>
      </c>
      <c r="G896" s="35" t="s">
        <v>25</v>
      </c>
      <c r="H896" s="35" t="s">
        <v>25</v>
      </c>
      <c r="I896" s="55">
        <v>44682</v>
      </c>
      <c r="J896" s="56">
        <f>EFEITO!$J$896*EFEITO!$Y$896</f>
        <v>0</v>
      </c>
      <c r="K896" s="56">
        <f ca="1">EFEITO!$L$896*EFEITO!$Z$896</f>
        <v>632946.40446323983</v>
      </c>
      <c r="L896" s="56">
        <f>EFEITO!$N$896*EFEITO!$AA$896</f>
        <v>475010.88762953546</v>
      </c>
      <c r="M896" s="56">
        <f>$J$896-EFEITO!$K$896*EFEITO!$Y$896</f>
        <v>0</v>
      </c>
      <c r="N896" s="56">
        <f ca="1">$K$896-EFEITO!$M$896*EFEITO!$Z$896</f>
        <v>0</v>
      </c>
      <c r="O896" s="56">
        <f>$L$896-EFEITO!$O$896*EFEITO!$AA$896</f>
        <v>0</v>
      </c>
      <c r="P896" s="39"/>
      <c r="Q896" s="39"/>
      <c r="R896" s="39"/>
      <c r="S896" s="39"/>
      <c r="T896" s="39"/>
      <c r="U896" s="39"/>
      <c r="V896" s="39"/>
      <c r="W896" s="39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35" t="s">
        <v>27</v>
      </c>
      <c r="B897" s="35" t="s">
        <v>39</v>
      </c>
      <c r="C897" s="35" t="s">
        <v>23</v>
      </c>
      <c r="D897" s="35" t="s">
        <v>43</v>
      </c>
      <c r="E897" s="35" t="s">
        <v>25</v>
      </c>
      <c r="F897" s="35" t="s">
        <v>25</v>
      </c>
      <c r="G897" s="35" t="s">
        <v>25</v>
      </c>
      <c r="H897" s="35" t="s">
        <v>25</v>
      </c>
      <c r="I897" s="55">
        <v>44682</v>
      </c>
      <c r="J897" s="56">
        <f>EFEITO!$J$897*EFEITO!$Y$897</f>
        <v>0</v>
      </c>
      <c r="K897" s="56">
        <f ca="1">EFEITO!$L$897*EFEITO!$Z$897</f>
        <v>-1292.9938438985089</v>
      </c>
      <c r="L897" s="56">
        <f>EFEITO!$N$897*EFEITO!$AA$897</f>
        <v>-970.36044309408248</v>
      </c>
      <c r="M897" s="56">
        <f>$J$897-EFEITO!$K$897*EFEITO!$Y$897</f>
        <v>0</v>
      </c>
      <c r="N897" s="56">
        <f ca="1">$K$897-EFEITO!$M$897*EFEITO!$Z$897</f>
        <v>0</v>
      </c>
      <c r="O897" s="56">
        <f>$L$897-EFEITO!$O$897*EFEITO!$AA$897</f>
        <v>0</v>
      </c>
      <c r="P897" s="39"/>
      <c r="Q897" s="39"/>
      <c r="R897" s="39"/>
      <c r="S897" s="39"/>
      <c r="T897" s="39"/>
      <c r="U897" s="39"/>
      <c r="V897" s="39"/>
      <c r="W897" s="39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35" t="s">
        <v>28</v>
      </c>
      <c r="B898" s="35" t="s">
        <v>39</v>
      </c>
      <c r="C898" s="35" t="s">
        <v>23</v>
      </c>
      <c r="D898" s="35" t="s">
        <v>43</v>
      </c>
      <c r="E898" s="35" t="s">
        <v>25</v>
      </c>
      <c r="F898" s="35" t="s">
        <v>25</v>
      </c>
      <c r="G898" s="35" t="s">
        <v>25</v>
      </c>
      <c r="H898" s="35" t="s">
        <v>25</v>
      </c>
      <c r="I898" s="55">
        <v>44682</v>
      </c>
      <c r="J898" s="56">
        <f>EFEITO!$J$898*EFEITO!$Y$898</f>
        <v>0</v>
      </c>
      <c r="K898" s="56">
        <f ca="1">EFEITO!$L$898*EFEITO!$Z$898</f>
        <v>22406.455977824091</v>
      </c>
      <c r="L898" s="56">
        <f>EFEITO!$N$898*EFEITO!$AA$898</f>
        <v>16815.50043985829</v>
      </c>
      <c r="M898" s="56">
        <f>$J$898-EFEITO!$K$898*EFEITO!$Y$898</f>
        <v>0</v>
      </c>
      <c r="N898" s="56">
        <f ca="1">$K$898-EFEITO!$M$898*EFEITO!$Z$898</f>
        <v>0</v>
      </c>
      <c r="O898" s="56">
        <f>$L$898-EFEITO!$O$898*EFEITO!$AA$898</f>
        <v>0</v>
      </c>
      <c r="P898" s="39"/>
      <c r="Q898" s="39"/>
      <c r="R898" s="39"/>
      <c r="S898" s="39"/>
      <c r="T898" s="39"/>
      <c r="U898" s="39"/>
      <c r="V898" s="39"/>
      <c r="W898" s="39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35" t="s">
        <v>21</v>
      </c>
      <c r="B899" s="35" t="s">
        <v>39</v>
      </c>
      <c r="C899" s="35" t="s">
        <v>23</v>
      </c>
      <c r="D899" s="35" t="s">
        <v>52</v>
      </c>
      <c r="E899" s="35" t="s">
        <v>25</v>
      </c>
      <c r="F899" s="35" t="s">
        <v>25</v>
      </c>
      <c r="G899" s="35" t="s">
        <v>25</v>
      </c>
      <c r="H899" s="35" t="s">
        <v>25</v>
      </c>
      <c r="I899" s="55">
        <v>44348</v>
      </c>
      <c r="J899" s="56">
        <f>EFEITO!$J$899*EFEITO!$Y$899</f>
        <v>0</v>
      </c>
      <c r="K899" s="56">
        <f ca="1">EFEITO!$L$899*EFEITO!$Z$899</f>
        <v>3916.6802588515243</v>
      </c>
      <c r="L899" s="56">
        <f>EFEITO!$N$899*EFEITO!$AA$899</f>
        <v>2939.3733074380602</v>
      </c>
      <c r="M899" s="56">
        <f>$J$899-EFEITO!$K$899*EFEITO!$Y$899</f>
        <v>0</v>
      </c>
      <c r="N899" s="56">
        <f ca="1">$K$899-EFEITO!$M$899*EFEITO!$Z$899</f>
        <v>0</v>
      </c>
      <c r="O899" s="56">
        <f>$L$899-EFEITO!$O$899*EFEITO!$AA$899</f>
        <v>0</v>
      </c>
      <c r="P899" s="39"/>
      <c r="Q899" s="39"/>
      <c r="R899" s="39"/>
      <c r="S899" s="39"/>
      <c r="T899" s="39"/>
      <c r="U899" s="39"/>
      <c r="V899" s="39"/>
      <c r="W899" s="39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35" t="s">
        <v>21</v>
      </c>
      <c r="B900" s="35" t="s">
        <v>39</v>
      </c>
      <c r="C900" s="35" t="s">
        <v>23</v>
      </c>
      <c r="D900" s="35" t="s">
        <v>52</v>
      </c>
      <c r="E900" s="35" t="s">
        <v>25</v>
      </c>
      <c r="F900" s="35" t="s">
        <v>25</v>
      </c>
      <c r="G900" s="35" t="s">
        <v>25</v>
      </c>
      <c r="H900" s="35" t="s">
        <v>25</v>
      </c>
      <c r="I900" s="55">
        <v>44378</v>
      </c>
      <c r="J900" s="56">
        <f>EFEITO!$J$900*EFEITO!$Y$900</f>
        <v>0</v>
      </c>
      <c r="K900" s="56">
        <f ca="1">EFEITO!$L$900*EFEITO!$Z$900</f>
        <v>4174.7715447656647</v>
      </c>
      <c r="L900" s="56">
        <f>EFEITO!$N$900*EFEITO!$AA$900</f>
        <v>3133.0645425047792</v>
      </c>
      <c r="M900" s="56">
        <f>$J$900-EFEITO!$K$900*EFEITO!$Y$900</f>
        <v>0</v>
      </c>
      <c r="N900" s="56">
        <f ca="1">$K$900-EFEITO!$M$900*EFEITO!$Z$900</f>
        <v>0</v>
      </c>
      <c r="O900" s="56">
        <f>$L$900-EFEITO!$O$900*EFEITO!$AA$900</f>
        <v>0</v>
      </c>
      <c r="P900" s="39"/>
      <c r="Q900" s="39"/>
      <c r="R900" s="39"/>
      <c r="S900" s="39"/>
      <c r="T900" s="39"/>
      <c r="U900" s="39"/>
      <c r="V900" s="39"/>
      <c r="W900" s="39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35" t="s">
        <v>21</v>
      </c>
      <c r="B901" s="35" t="s">
        <v>39</v>
      </c>
      <c r="C901" s="35" t="s">
        <v>23</v>
      </c>
      <c r="D901" s="35" t="s">
        <v>52</v>
      </c>
      <c r="E901" s="35" t="s">
        <v>25</v>
      </c>
      <c r="F901" s="35" t="s">
        <v>25</v>
      </c>
      <c r="G901" s="35" t="s">
        <v>25</v>
      </c>
      <c r="H901" s="35" t="s">
        <v>25</v>
      </c>
      <c r="I901" s="55">
        <v>44409</v>
      </c>
      <c r="J901" s="56">
        <f>EFEITO!$J$901*EFEITO!$Y$901</f>
        <v>0</v>
      </c>
      <c r="K901" s="56">
        <f ca="1">EFEITO!$L$901*EFEITO!$Z$901</f>
        <v>4481.4361906692639</v>
      </c>
      <c r="L901" s="56">
        <f>EFEITO!$N$901*EFEITO!$AA$901</f>
        <v>3363.208903272257</v>
      </c>
      <c r="M901" s="56">
        <f>$J$901-EFEITO!$K$901*EFEITO!$Y$901</f>
        <v>0</v>
      </c>
      <c r="N901" s="56">
        <f ca="1">$K$901-EFEITO!$M$901*EFEITO!$Z$901</f>
        <v>0</v>
      </c>
      <c r="O901" s="56">
        <f>$L$901-EFEITO!$O$901*EFEITO!$AA$901</f>
        <v>0</v>
      </c>
      <c r="P901" s="39"/>
      <c r="Q901" s="39"/>
      <c r="R901" s="39"/>
      <c r="S901" s="39"/>
      <c r="T901" s="39"/>
      <c r="U901" s="39"/>
      <c r="V901" s="39"/>
      <c r="W901" s="39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35" t="s">
        <v>21</v>
      </c>
      <c r="B902" s="35" t="s">
        <v>39</v>
      </c>
      <c r="C902" s="35" t="s">
        <v>23</v>
      </c>
      <c r="D902" s="35" t="s">
        <v>52</v>
      </c>
      <c r="E902" s="35" t="s">
        <v>25</v>
      </c>
      <c r="F902" s="35" t="s">
        <v>25</v>
      </c>
      <c r="G902" s="35" t="s">
        <v>25</v>
      </c>
      <c r="H902" s="35" t="s">
        <v>25</v>
      </c>
      <c r="I902" s="55">
        <v>44440</v>
      </c>
      <c r="J902" s="56">
        <f>EFEITO!$J$902*EFEITO!$Y$902</f>
        <v>0</v>
      </c>
      <c r="K902" s="56">
        <f ca="1">EFEITO!$L$902*EFEITO!$Z$902</f>
        <v>3998.602492863597</v>
      </c>
      <c r="L902" s="56">
        <f>EFEITO!$N$902*EFEITO!$AA$902</f>
        <v>3000.8539522766537</v>
      </c>
      <c r="M902" s="56">
        <f>$J$902-EFEITO!$K$902*EFEITO!$Y$902</f>
        <v>0</v>
      </c>
      <c r="N902" s="56">
        <f ca="1">$K$902-EFEITO!$M$902*EFEITO!$Z$902</f>
        <v>0</v>
      </c>
      <c r="O902" s="56">
        <f>$L$902-EFEITO!$O$902*EFEITO!$AA$902</f>
        <v>0</v>
      </c>
      <c r="P902" s="39"/>
      <c r="Q902" s="39"/>
      <c r="R902" s="39"/>
      <c r="S902" s="39"/>
      <c r="T902" s="39"/>
      <c r="U902" s="39"/>
      <c r="V902" s="39"/>
      <c r="W902" s="39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35" t="s">
        <v>21</v>
      </c>
      <c r="B903" s="35" t="s">
        <v>39</v>
      </c>
      <c r="C903" s="35" t="s">
        <v>23</v>
      </c>
      <c r="D903" s="35" t="s">
        <v>52</v>
      </c>
      <c r="E903" s="35" t="s">
        <v>25</v>
      </c>
      <c r="F903" s="35" t="s">
        <v>25</v>
      </c>
      <c r="G903" s="35" t="s">
        <v>25</v>
      </c>
      <c r="H903" s="35" t="s">
        <v>25</v>
      </c>
      <c r="I903" s="55">
        <v>44470</v>
      </c>
      <c r="J903" s="56">
        <f>EFEITO!$J$903*EFEITO!$Y$903</f>
        <v>0</v>
      </c>
      <c r="K903" s="56">
        <f ca="1">EFEITO!$L$903*EFEITO!$Z$903</f>
        <v>3856.5072905063735</v>
      </c>
      <c r="L903" s="56">
        <f>EFEITO!$N$903*EFEITO!$AA$903</f>
        <v>2894.2149576893585</v>
      </c>
      <c r="M903" s="56">
        <f>$J$903-EFEITO!$K$903*EFEITO!$Y$903</f>
        <v>0</v>
      </c>
      <c r="N903" s="56">
        <f ca="1">$K$903-EFEITO!$M$903*EFEITO!$Z$903</f>
        <v>0</v>
      </c>
      <c r="O903" s="56">
        <f>$L$903-EFEITO!$O$903*EFEITO!$AA$903</f>
        <v>0</v>
      </c>
      <c r="P903" s="39"/>
      <c r="Q903" s="39"/>
      <c r="R903" s="39"/>
      <c r="S903" s="39"/>
      <c r="T903" s="39"/>
      <c r="U903" s="39"/>
      <c r="V903" s="39"/>
      <c r="W903" s="39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35" t="s">
        <v>21</v>
      </c>
      <c r="B904" s="35" t="s">
        <v>39</v>
      </c>
      <c r="C904" s="35" t="s">
        <v>23</v>
      </c>
      <c r="D904" s="35" t="s">
        <v>52</v>
      </c>
      <c r="E904" s="35" t="s">
        <v>25</v>
      </c>
      <c r="F904" s="35" t="s">
        <v>25</v>
      </c>
      <c r="G904" s="35" t="s">
        <v>25</v>
      </c>
      <c r="H904" s="35" t="s">
        <v>25</v>
      </c>
      <c r="I904" s="55">
        <v>44501</v>
      </c>
      <c r="J904" s="56">
        <f>EFEITO!$J$904*EFEITO!$Y$904</f>
        <v>0</v>
      </c>
      <c r="K904" s="56">
        <f ca="1">EFEITO!$L$904*EFEITO!$Z$904</f>
        <v>3940.9669388462539</v>
      </c>
      <c r="L904" s="56">
        <f>EFEITO!$N$904*EFEITO!$AA$904</f>
        <v>2957.5998702884394</v>
      </c>
      <c r="M904" s="56">
        <f>$J$904-EFEITO!$K$904*EFEITO!$Y$904</f>
        <v>0</v>
      </c>
      <c r="N904" s="56">
        <f ca="1">$K$904-EFEITO!$M$904*EFEITO!$Z$904</f>
        <v>0</v>
      </c>
      <c r="O904" s="56">
        <f>$L$904-EFEITO!$O$904*EFEITO!$AA$904</f>
        <v>0</v>
      </c>
      <c r="P904" s="39"/>
      <c r="Q904" s="39"/>
      <c r="R904" s="39"/>
      <c r="S904" s="39"/>
      <c r="T904" s="39"/>
      <c r="U904" s="39"/>
      <c r="V904" s="39"/>
      <c r="W904" s="39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35" t="s">
        <v>21</v>
      </c>
      <c r="B905" s="35" t="s">
        <v>39</v>
      </c>
      <c r="C905" s="35" t="s">
        <v>23</v>
      </c>
      <c r="D905" s="35" t="s">
        <v>52</v>
      </c>
      <c r="E905" s="35" t="s">
        <v>25</v>
      </c>
      <c r="F905" s="35" t="s">
        <v>25</v>
      </c>
      <c r="G905" s="35" t="s">
        <v>25</v>
      </c>
      <c r="H905" s="35" t="s">
        <v>25</v>
      </c>
      <c r="I905" s="55">
        <v>44531</v>
      </c>
      <c r="J905" s="56">
        <f>EFEITO!$J$905*EFEITO!$Y$905</f>
        <v>0</v>
      </c>
      <c r="K905" s="56">
        <f ca="1">EFEITO!$L$905*EFEITO!$Z$905</f>
        <v>4029.7764403195188</v>
      </c>
      <c r="L905" s="56">
        <f>EFEITO!$N$905*EFEITO!$AA$905</f>
        <v>3024.2492419054993</v>
      </c>
      <c r="M905" s="56">
        <f>$J$905-EFEITO!$K$905*EFEITO!$Y$905</f>
        <v>0</v>
      </c>
      <c r="N905" s="56">
        <f ca="1">$K$905-EFEITO!$M$905*EFEITO!$Z$905</f>
        <v>0</v>
      </c>
      <c r="O905" s="56">
        <f>$L$905-EFEITO!$O$905*EFEITO!$AA$905</f>
        <v>0</v>
      </c>
      <c r="P905" s="39"/>
      <c r="Q905" s="39"/>
      <c r="R905" s="39"/>
      <c r="S905" s="39"/>
      <c r="T905" s="39"/>
      <c r="U905" s="39"/>
      <c r="V905" s="39"/>
      <c r="W905" s="39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35" t="s">
        <v>21</v>
      </c>
      <c r="B906" s="35" t="s">
        <v>39</v>
      </c>
      <c r="C906" s="35" t="s">
        <v>23</v>
      </c>
      <c r="D906" s="35" t="s">
        <v>52</v>
      </c>
      <c r="E906" s="35" t="s">
        <v>25</v>
      </c>
      <c r="F906" s="35" t="s">
        <v>25</v>
      </c>
      <c r="G906" s="35" t="s">
        <v>25</v>
      </c>
      <c r="H906" s="35" t="s">
        <v>25</v>
      </c>
      <c r="I906" s="55">
        <v>44562</v>
      </c>
      <c r="J906" s="56">
        <f>EFEITO!$J$906*EFEITO!$Y$906</f>
        <v>0</v>
      </c>
      <c r="K906" s="56">
        <f ca="1">EFEITO!$L$906*EFEITO!$Z$906</f>
        <v>4129.0980868651286</v>
      </c>
      <c r="L906" s="56">
        <f>EFEITO!$N$906*EFEITO!$AA$906</f>
        <v>3098.787722816006</v>
      </c>
      <c r="M906" s="56">
        <f>$J$906-EFEITO!$K$906*EFEITO!$Y$906</f>
        <v>0</v>
      </c>
      <c r="N906" s="56">
        <f ca="1">$K$906-EFEITO!$M$906*EFEITO!$Z$906</f>
        <v>0</v>
      </c>
      <c r="O906" s="56">
        <f>$L$906-EFEITO!$O$906*EFEITO!$AA$906</f>
        <v>0</v>
      </c>
      <c r="P906" s="39"/>
      <c r="Q906" s="39"/>
      <c r="R906" s="39"/>
      <c r="S906" s="39"/>
      <c r="T906" s="39"/>
      <c r="U906" s="39"/>
      <c r="V906" s="39"/>
      <c r="W906" s="39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35" t="s">
        <v>21</v>
      </c>
      <c r="B907" s="35" t="s">
        <v>39</v>
      </c>
      <c r="C907" s="35" t="s">
        <v>23</v>
      </c>
      <c r="D907" s="35" t="s">
        <v>52</v>
      </c>
      <c r="E907" s="35" t="s">
        <v>25</v>
      </c>
      <c r="F907" s="35" t="s">
        <v>25</v>
      </c>
      <c r="G907" s="35" t="s">
        <v>25</v>
      </c>
      <c r="H907" s="35" t="s">
        <v>25</v>
      </c>
      <c r="I907" s="55">
        <v>44593</v>
      </c>
      <c r="J907" s="56">
        <f>EFEITO!$J$907*EFEITO!$Y$907</f>
        <v>0</v>
      </c>
      <c r="K907" s="56">
        <f ca="1">EFEITO!$L$907*EFEITO!$Z$907</f>
        <v>3823.5209042448755</v>
      </c>
      <c r="L907" s="56">
        <f>EFEITO!$N$907*EFEITO!$AA$907</f>
        <v>2869.4594768030224</v>
      </c>
      <c r="M907" s="56">
        <f>$J$907-EFEITO!$K$907*EFEITO!$Y$907</f>
        <v>0</v>
      </c>
      <c r="N907" s="56">
        <f ca="1">$K$907-EFEITO!$M$907*EFEITO!$Z$907</f>
        <v>0</v>
      </c>
      <c r="O907" s="56">
        <f>$L$907-EFEITO!$O$907*EFEITO!$AA$907</f>
        <v>0</v>
      </c>
      <c r="P907" s="39"/>
      <c r="Q907" s="39"/>
      <c r="R907" s="39"/>
      <c r="S907" s="39"/>
      <c r="T907" s="39"/>
      <c r="U907" s="39"/>
      <c r="V907" s="39"/>
      <c r="W907" s="39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35" t="s">
        <v>21</v>
      </c>
      <c r="B908" s="35" t="s">
        <v>39</v>
      </c>
      <c r="C908" s="35" t="s">
        <v>23</v>
      </c>
      <c r="D908" s="35" t="s">
        <v>52</v>
      </c>
      <c r="E908" s="35" t="s">
        <v>25</v>
      </c>
      <c r="F908" s="35" t="s">
        <v>25</v>
      </c>
      <c r="G908" s="35" t="s">
        <v>25</v>
      </c>
      <c r="H908" s="35" t="s">
        <v>25</v>
      </c>
      <c r="I908" s="55">
        <v>44621</v>
      </c>
      <c r="J908" s="56">
        <f>EFEITO!$J$908*EFEITO!$Y$908</f>
        <v>0</v>
      </c>
      <c r="K908" s="56">
        <f ca="1">EFEITO!$L$908*EFEITO!$Z$908</f>
        <v>4219.7200271439697</v>
      </c>
      <c r="L908" s="56">
        <f>EFEITO!$N$908*EFEITO!$AA$908</f>
        <v>3166.7972856905562</v>
      </c>
      <c r="M908" s="56">
        <f>$J$908-EFEITO!$K$908*EFEITO!$Y$908</f>
        <v>0</v>
      </c>
      <c r="N908" s="56">
        <f ca="1">$K$908-EFEITO!$M$908*EFEITO!$Z$908</f>
        <v>0</v>
      </c>
      <c r="O908" s="56">
        <f>$L$908-EFEITO!$O$908*EFEITO!$AA$908</f>
        <v>0</v>
      </c>
      <c r="P908" s="39"/>
      <c r="Q908" s="39"/>
      <c r="R908" s="39"/>
      <c r="S908" s="39"/>
      <c r="T908" s="39"/>
      <c r="U908" s="39"/>
      <c r="V908" s="39"/>
      <c r="W908" s="39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35" t="s">
        <v>21</v>
      </c>
      <c r="B909" s="35" t="s">
        <v>39</v>
      </c>
      <c r="C909" s="35" t="s">
        <v>23</v>
      </c>
      <c r="D909" s="35" t="s">
        <v>52</v>
      </c>
      <c r="E909" s="35" t="s">
        <v>25</v>
      </c>
      <c r="F909" s="35" t="s">
        <v>25</v>
      </c>
      <c r="G909" s="35" t="s">
        <v>25</v>
      </c>
      <c r="H909" s="35" t="s">
        <v>25</v>
      </c>
      <c r="I909" s="55">
        <v>44652</v>
      </c>
      <c r="J909" s="56">
        <f>EFEITO!$J$909*EFEITO!$Y$909</f>
        <v>0</v>
      </c>
      <c r="K909" s="56">
        <f ca="1">EFEITO!$L$909*EFEITO!$Z$909</f>
        <v>3866.2944600564888</v>
      </c>
      <c r="L909" s="56">
        <f>EFEITO!$N$909*EFEITO!$AA$909</f>
        <v>2901.5599904798105</v>
      </c>
      <c r="M909" s="56">
        <f>$J$909-EFEITO!$K$909*EFEITO!$Y$909</f>
        <v>0</v>
      </c>
      <c r="N909" s="56">
        <f ca="1">$K$909-EFEITO!$M$909*EFEITO!$Z$909</f>
        <v>0</v>
      </c>
      <c r="O909" s="56">
        <f>$L$909-EFEITO!$O$909*EFEITO!$AA$909</f>
        <v>0</v>
      </c>
      <c r="P909" s="39"/>
      <c r="Q909" s="39"/>
      <c r="R909" s="39"/>
      <c r="S909" s="39"/>
      <c r="T909" s="39"/>
      <c r="U909" s="39"/>
      <c r="V909" s="39"/>
      <c r="W909" s="39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35" t="s">
        <v>21</v>
      </c>
      <c r="B910" s="35" t="s">
        <v>39</v>
      </c>
      <c r="C910" s="35" t="s">
        <v>23</v>
      </c>
      <c r="D910" s="35" t="s">
        <v>52</v>
      </c>
      <c r="E910" s="35" t="s">
        <v>25</v>
      </c>
      <c r="F910" s="35" t="s">
        <v>25</v>
      </c>
      <c r="G910" s="35" t="s">
        <v>25</v>
      </c>
      <c r="H910" s="35" t="s">
        <v>25</v>
      </c>
      <c r="I910" s="55">
        <v>44682</v>
      </c>
      <c r="J910" s="56">
        <f>EFEITO!$J$910*EFEITO!$Y$910</f>
        <v>0</v>
      </c>
      <c r="K910" s="56">
        <f ca="1">EFEITO!$L$910*EFEITO!$Z$910</f>
        <v>3720.9368678492274</v>
      </c>
      <c r="L910" s="56">
        <f>EFEITO!$N$910*EFEITO!$AA$910</f>
        <v>2792.472651629032</v>
      </c>
      <c r="M910" s="56">
        <f>$J$910-EFEITO!$K$910*EFEITO!$Y$910</f>
        <v>0</v>
      </c>
      <c r="N910" s="56">
        <f ca="1">$K$910-EFEITO!$M$910*EFEITO!$Z$910</f>
        <v>0</v>
      </c>
      <c r="O910" s="56">
        <f>$L$910-EFEITO!$O$910*EFEITO!$AA$910</f>
        <v>0</v>
      </c>
      <c r="P910" s="39"/>
      <c r="Q910" s="39"/>
      <c r="R910" s="39"/>
      <c r="S910" s="39"/>
      <c r="T910" s="39"/>
      <c r="U910" s="39"/>
      <c r="V910" s="39"/>
      <c r="W910" s="39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35" t="s">
        <v>21</v>
      </c>
      <c r="B911" s="35" t="s">
        <v>39</v>
      </c>
      <c r="C911" s="35" t="s">
        <v>23</v>
      </c>
      <c r="D911" s="35" t="s">
        <v>40</v>
      </c>
      <c r="E911" s="35" t="s">
        <v>25</v>
      </c>
      <c r="F911" s="35" t="s">
        <v>25</v>
      </c>
      <c r="G911" s="35" t="s">
        <v>25</v>
      </c>
      <c r="H911" s="35" t="s">
        <v>25</v>
      </c>
      <c r="I911" s="55">
        <v>44348</v>
      </c>
      <c r="J911" s="56">
        <f>EFEITO!$J$911*EFEITO!$Y$911</f>
        <v>0</v>
      </c>
      <c r="K911" s="56">
        <f ca="1">EFEITO!$L$911*EFEITO!$Z$911</f>
        <v>101061.22531120278</v>
      </c>
      <c r="L911" s="56">
        <f>EFEITO!$N$911*EFEITO!$AA$911</f>
        <v>75843.992479446897</v>
      </c>
      <c r="M911" s="56">
        <f>$J$911-EFEITO!$K$911*EFEITO!$Y$911</f>
        <v>0</v>
      </c>
      <c r="N911" s="56">
        <f ca="1">$K$911-EFEITO!$M$911*EFEITO!$Z$911</f>
        <v>0</v>
      </c>
      <c r="O911" s="56">
        <f>$L$911-EFEITO!$O$911*EFEITO!$AA$911</f>
        <v>0</v>
      </c>
      <c r="P911" s="39"/>
      <c r="Q911" s="39"/>
      <c r="R911" s="39"/>
      <c r="S911" s="39"/>
      <c r="T911" s="39"/>
      <c r="U911" s="39"/>
      <c r="V911" s="39"/>
      <c r="W911" s="39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35" t="s">
        <v>27</v>
      </c>
      <c r="B912" s="35" t="s">
        <v>39</v>
      </c>
      <c r="C912" s="35" t="s">
        <v>23</v>
      </c>
      <c r="D912" s="35" t="s">
        <v>40</v>
      </c>
      <c r="E912" s="35" t="s">
        <v>25</v>
      </c>
      <c r="F912" s="35" t="s">
        <v>25</v>
      </c>
      <c r="G912" s="35" t="s">
        <v>25</v>
      </c>
      <c r="H912" s="35" t="s">
        <v>25</v>
      </c>
      <c r="I912" s="55">
        <v>44348</v>
      </c>
      <c r="J912" s="56">
        <f>EFEITO!$J$912*EFEITO!$Y$912</f>
        <v>0</v>
      </c>
      <c r="K912" s="56">
        <f ca="1">EFEITO!$L$912*EFEITO!$Z$912</f>
        <v>-6.5247797000765786</v>
      </c>
      <c r="L912" s="56">
        <f>EFEITO!$N$912*EFEITO!$AA$912</f>
        <v>-4.8966885269676146</v>
      </c>
      <c r="M912" s="56">
        <f>$J$912-EFEITO!$K$912*EFEITO!$Y$912</f>
        <v>0</v>
      </c>
      <c r="N912" s="56">
        <f ca="1">$K$912-EFEITO!$M$912*EFEITO!$Z$912</f>
        <v>0</v>
      </c>
      <c r="O912" s="56">
        <f>$L$912-EFEITO!$O$912*EFEITO!$AA$912</f>
        <v>0</v>
      </c>
      <c r="P912" s="39"/>
      <c r="Q912" s="39"/>
      <c r="R912" s="39"/>
      <c r="S912" s="39"/>
      <c r="T912" s="39"/>
      <c r="U912" s="39"/>
      <c r="V912" s="39"/>
      <c r="W912" s="39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35" t="s">
        <v>28</v>
      </c>
      <c r="B913" s="35" t="s">
        <v>39</v>
      </c>
      <c r="C913" s="35" t="s">
        <v>23</v>
      </c>
      <c r="D913" s="35" t="s">
        <v>40</v>
      </c>
      <c r="E913" s="35" t="s">
        <v>25</v>
      </c>
      <c r="F913" s="35" t="s">
        <v>25</v>
      </c>
      <c r="G913" s="35" t="s">
        <v>25</v>
      </c>
      <c r="H913" s="35" t="s">
        <v>25</v>
      </c>
      <c r="I913" s="55">
        <v>44348</v>
      </c>
      <c r="J913" s="56">
        <f>EFEITO!$J$913*EFEITO!$Y$913</f>
        <v>0</v>
      </c>
      <c r="K913" s="56">
        <f ca="1">EFEITO!$L$913*EFEITO!$Z$913</f>
        <v>602.45465897373742</v>
      </c>
      <c r="L913" s="56">
        <f>EFEITO!$N$913*EFEITO!$AA$913</f>
        <v>452.12757399000981</v>
      </c>
      <c r="M913" s="56">
        <f>$J$913-EFEITO!$K$913*EFEITO!$Y$913</f>
        <v>0</v>
      </c>
      <c r="N913" s="56">
        <f ca="1">$K$913-EFEITO!$M$913*EFEITO!$Z$913</f>
        <v>0</v>
      </c>
      <c r="O913" s="56">
        <f>$L$913-EFEITO!$O$913*EFEITO!$AA$913</f>
        <v>0</v>
      </c>
      <c r="P913" s="39"/>
      <c r="Q913" s="39"/>
      <c r="R913" s="39"/>
      <c r="S913" s="39"/>
      <c r="T913" s="39"/>
      <c r="U913" s="39"/>
      <c r="V913" s="39"/>
      <c r="W913" s="39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35" t="s">
        <v>21</v>
      </c>
      <c r="B914" s="35" t="s">
        <v>39</v>
      </c>
      <c r="C914" s="35" t="s">
        <v>23</v>
      </c>
      <c r="D914" s="35" t="s">
        <v>40</v>
      </c>
      <c r="E914" s="35" t="s">
        <v>25</v>
      </c>
      <c r="F914" s="35" t="s">
        <v>25</v>
      </c>
      <c r="G914" s="35" t="s">
        <v>25</v>
      </c>
      <c r="H914" s="35" t="s">
        <v>25</v>
      </c>
      <c r="I914" s="55">
        <v>44378</v>
      </c>
      <c r="J914" s="56">
        <f>EFEITO!$J$914*EFEITO!$Y$914</f>
        <v>0</v>
      </c>
      <c r="K914" s="56">
        <f ca="1">EFEITO!$L$914*EFEITO!$Z$914</f>
        <v>105649.59539140109</v>
      </c>
      <c r="L914" s="56">
        <f>EFEITO!$N$914*EFEITO!$AA$914</f>
        <v>79287.452666911122</v>
      </c>
      <c r="M914" s="56">
        <f>$J$914-EFEITO!$K$914*EFEITO!$Y$914</f>
        <v>0</v>
      </c>
      <c r="N914" s="56">
        <f ca="1">$K$914-EFEITO!$M$914*EFEITO!$Z$914</f>
        <v>0</v>
      </c>
      <c r="O914" s="56">
        <f>$L$914-EFEITO!$O$914*EFEITO!$AA$914</f>
        <v>0</v>
      </c>
      <c r="P914" s="39"/>
      <c r="Q914" s="39"/>
      <c r="R914" s="39"/>
      <c r="S914" s="39"/>
      <c r="T914" s="39"/>
      <c r="U914" s="39"/>
      <c r="V914" s="39"/>
      <c r="W914" s="39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35" t="s">
        <v>27</v>
      </c>
      <c r="B915" s="35" t="s">
        <v>39</v>
      </c>
      <c r="C915" s="35" t="s">
        <v>23</v>
      </c>
      <c r="D915" s="35" t="s">
        <v>40</v>
      </c>
      <c r="E915" s="35" t="s">
        <v>25</v>
      </c>
      <c r="F915" s="35" t="s">
        <v>25</v>
      </c>
      <c r="G915" s="35" t="s">
        <v>25</v>
      </c>
      <c r="H915" s="35" t="s">
        <v>25</v>
      </c>
      <c r="I915" s="55">
        <v>44378</v>
      </c>
      <c r="J915" s="56">
        <f>EFEITO!$J$915*EFEITO!$Y$915</f>
        <v>0</v>
      </c>
      <c r="K915" s="56">
        <f ca="1">EFEITO!$L$915*EFEITO!$Z$915</f>
        <v>-187.40617249664399</v>
      </c>
      <c r="L915" s="56">
        <f>EFEITO!$N$915*EFEITO!$AA$915</f>
        <v>-140.64377602456983</v>
      </c>
      <c r="M915" s="56">
        <f>$J$915-EFEITO!$K$915*EFEITO!$Y$915</f>
        <v>0</v>
      </c>
      <c r="N915" s="56">
        <f ca="1">$K$915-EFEITO!$M$915*EFEITO!$Z$915</f>
        <v>0</v>
      </c>
      <c r="O915" s="56">
        <f>$L$915-EFEITO!$O$915*EFEITO!$AA$915</f>
        <v>0</v>
      </c>
      <c r="P915" s="39"/>
      <c r="Q915" s="39"/>
      <c r="R915" s="39"/>
      <c r="S915" s="39"/>
      <c r="T915" s="39"/>
      <c r="U915" s="39"/>
      <c r="V915" s="39"/>
      <c r="W915" s="39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35" t="s">
        <v>28</v>
      </c>
      <c r="B916" s="35" t="s">
        <v>39</v>
      </c>
      <c r="C916" s="35" t="s">
        <v>23</v>
      </c>
      <c r="D916" s="35" t="s">
        <v>40</v>
      </c>
      <c r="E916" s="35" t="s">
        <v>25</v>
      </c>
      <c r="F916" s="35" t="s">
        <v>25</v>
      </c>
      <c r="G916" s="35" t="s">
        <v>25</v>
      </c>
      <c r="H916" s="35" t="s">
        <v>25</v>
      </c>
      <c r="I916" s="55">
        <v>44378</v>
      </c>
      <c r="J916" s="56">
        <f>EFEITO!$J$916*EFEITO!$Y$916</f>
        <v>0</v>
      </c>
      <c r="K916" s="56">
        <f ca="1">EFEITO!$L$916*EFEITO!$Z$916</f>
        <v>381.33712469336456</v>
      </c>
      <c r="L916" s="56">
        <f>EFEITO!$N$916*EFEITO!$AA$916</f>
        <v>286.1842405761073</v>
      </c>
      <c r="M916" s="56">
        <f>$J$916-EFEITO!$K$916*EFEITO!$Y$916</f>
        <v>0</v>
      </c>
      <c r="N916" s="56">
        <f ca="1">$K$916-EFEITO!$M$916*EFEITO!$Z$916</f>
        <v>0</v>
      </c>
      <c r="O916" s="56">
        <f>$L$916-EFEITO!$O$916*EFEITO!$AA$916</f>
        <v>0</v>
      </c>
      <c r="P916" s="39"/>
      <c r="Q916" s="39"/>
      <c r="R916" s="39"/>
      <c r="S916" s="39"/>
      <c r="T916" s="39"/>
      <c r="U916" s="39"/>
      <c r="V916" s="39"/>
      <c r="W916" s="39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35" t="s">
        <v>21</v>
      </c>
      <c r="B917" s="35" t="s">
        <v>39</v>
      </c>
      <c r="C917" s="35" t="s">
        <v>23</v>
      </c>
      <c r="D917" s="35" t="s">
        <v>40</v>
      </c>
      <c r="E917" s="35" t="s">
        <v>25</v>
      </c>
      <c r="F917" s="35" t="s">
        <v>25</v>
      </c>
      <c r="G917" s="35" t="s">
        <v>25</v>
      </c>
      <c r="H917" s="35" t="s">
        <v>25</v>
      </c>
      <c r="I917" s="55">
        <v>44409</v>
      </c>
      <c r="J917" s="56">
        <f>EFEITO!$J$917*EFEITO!$Y$917</f>
        <v>0</v>
      </c>
      <c r="K917" s="56">
        <f ca="1">EFEITO!$L$917*EFEITO!$Z$917</f>
        <v>109662.33490694818</v>
      </c>
      <c r="L917" s="56">
        <f>EFEITO!$N$917*EFEITO!$AA$917</f>
        <v>82298.916110996201</v>
      </c>
      <c r="M917" s="56">
        <f>$J$917-EFEITO!$K$917*EFEITO!$Y$917</f>
        <v>0</v>
      </c>
      <c r="N917" s="56">
        <f ca="1">$K$917-EFEITO!$M$917*EFEITO!$Z$917</f>
        <v>0</v>
      </c>
      <c r="O917" s="56">
        <f>$L$917-EFEITO!$O$917*EFEITO!$AA$917</f>
        <v>0</v>
      </c>
      <c r="P917" s="39"/>
      <c r="Q917" s="39"/>
      <c r="R917" s="39"/>
      <c r="S917" s="39"/>
      <c r="T917" s="39"/>
      <c r="U917" s="39"/>
      <c r="V917" s="39"/>
      <c r="W917" s="39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35" t="s">
        <v>27</v>
      </c>
      <c r="B918" s="35" t="s">
        <v>39</v>
      </c>
      <c r="C918" s="35" t="s">
        <v>23</v>
      </c>
      <c r="D918" s="35" t="s">
        <v>40</v>
      </c>
      <c r="E918" s="35" t="s">
        <v>25</v>
      </c>
      <c r="F918" s="35" t="s">
        <v>25</v>
      </c>
      <c r="G918" s="35" t="s">
        <v>25</v>
      </c>
      <c r="H918" s="35" t="s">
        <v>25</v>
      </c>
      <c r="I918" s="55">
        <v>44409</v>
      </c>
      <c r="J918" s="56">
        <f>EFEITO!$J$918*EFEITO!$Y$918</f>
        <v>0</v>
      </c>
      <c r="K918" s="56">
        <f ca="1">EFEITO!$L$918*EFEITO!$Z$918</f>
        <v>-123.24583877922429</v>
      </c>
      <c r="L918" s="56">
        <f>EFEITO!$N$918*EFEITO!$AA$918</f>
        <v>-92.493005509388297</v>
      </c>
      <c r="M918" s="56">
        <f>$J$918-EFEITO!$K$918*EFEITO!$Y$918</f>
        <v>0</v>
      </c>
      <c r="N918" s="56">
        <f ca="1">$K$918-EFEITO!$M$918*EFEITO!$Z$918</f>
        <v>0</v>
      </c>
      <c r="O918" s="56">
        <f>$L$918-EFEITO!$O$918*EFEITO!$AA$918</f>
        <v>0</v>
      </c>
      <c r="P918" s="39"/>
      <c r="Q918" s="39"/>
      <c r="R918" s="39"/>
      <c r="S918" s="39"/>
      <c r="T918" s="39"/>
      <c r="U918" s="39"/>
      <c r="V918" s="39"/>
      <c r="W918" s="39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35" t="s">
        <v>28</v>
      </c>
      <c r="B919" s="35" t="s">
        <v>39</v>
      </c>
      <c r="C919" s="35" t="s">
        <v>23</v>
      </c>
      <c r="D919" s="35" t="s">
        <v>40</v>
      </c>
      <c r="E919" s="35" t="s">
        <v>25</v>
      </c>
      <c r="F919" s="35" t="s">
        <v>25</v>
      </c>
      <c r="G919" s="35" t="s">
        <v>25</v>
      </c>
      <c r="H919" s="35" t="s">
        <v>25</v>
      </c>
      <c r="I919" s="55">
        <v>44409</v>
      </c>
      <c r="J919" s="56">
        <f>EFEITO!$J$919*EFEITO!$Y$919</f>
        <v>0</v>
      </c>
      <c r="K919" s="56">
        <f ca="1">EFEITO!$L$919*EFEITO!$Z$919</f>
        <v>267.15347994202438</v>
      </c>
      <c r="L919" s="56">
        <f>EFEITO!$N$919*EFEITO!$AA$919</f>
        <v>200.49219135417403</v>
      </c>
      <c r="M919" s="56">
        <f>$J$919-EFEITO!$K$919*EFEITO!$Y$919</f>
        <v>0</v>
      </c>
      <c r="N919" s="56">
        <f ca="1">$K$919-EFEITO!$M$919*EFEITO!$Z$919</f>
        <v>0</v>
      </c>
      <c r="O919" s="56">
        <f>$L$919-EFEITO!$O$919*EFEITO!$AA$919</f>
        <v>0</v>
      </c>
      <c r="P919" s="39"/>
      <c r="Q919" s="39"/>
      <c r="R919" s="39"/>
      <c r="S919" s="39"/>
      <c r="T919" s="39"/>
      <c r="U919" s="39"/>
      <c r="V919" s="39"/>
      <c r="W919" s="39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35" t="s">
        <v>21</v>
      </c>
      <c r="B920" s="35" t="s">
        <v>39</v>
      </c>
      <c r="C920" s="35" t="s">
        <v>23</v>
      </c>
      <c r="D920" s="35" t="s">
        <v>40</v>
      </c>
      <c r="E920" s="35" t="s">
        <v>25</v>
      </c>
      <c r="F920" s="35" t="s">
        <v>25</v>
      </c>
      <c r="G920" s="35" t="s">
        <v>25</v>
      </c>
      <c r="H920" s="35" t="s">
        <v>25</v>
      </c>
      <c r="I920" s="55">
        <v>44440</v>
      </c>
      <c r="J920" s="56">
        <f>EFEITO!$J$920*EFEITO!$Y$920</f>
        <v>0</v>
      </c>
      <c r="K920" s="56">
        <f ca="1">EFEITO!$L$920*EFEITO!$Z$920</f>
        <v>106994.78747290021</v>
      </c>
      <c r="L920" s="56">
        <f>EFEITO!$N$920*EFEITO!$AA$920</f>
        <v>80296.986618220952</v>
      </c>
      <c r="M920" s="56">
        <f>$J$920-EFEITO!$K$920*EFEITO!$Y$920</f>
        <v>0</v>
      </c>
      <c r="N920" s="56">
        <f ca="1">$K$920-EFEITO!$M$920*EFEITO!$Z$920</f>
        <v>0</v>
      </c>
      <c r="O920" s="56">
        <f>$L$920-EFEITO!$O$920*EFEITO!$AA$920</f>
        <v>0</v>
      </c>
      <c r="P920" s="39"/>
      <c r="Q920" s="39"/>
      <c r="R920" s="39"/>
      <c r="S920" s="39"/>
      <c r="T920" s="39"/>
      <c r="U920" s="39"/>
      <c r="V920" s="39"/>
      <c r="W920" s="39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35" t="s">
        <v>28</v>
      </c>
      <c r="B921" s="35" t="s">
        <v>39</v>
      </c>
      <c r="C921" s="35" t="s">
        <v>23</v>
      </c>
      <c r="D921" s="35" t="s">
        <v>40</v>
      </c>
      <c r="E921" s="35" t="s">
        <v>25</v>
      </c>
      <c r="F921" s="35" t="s">
        <v>25</v>
      </c>
      <c r="G921" s="35" t="s">
        <v>25</v>
      </c>
      <c r="H921" s="35" t="s">
        <v>25</v>
      </c>
      <c r="I921" s="55">
        <v>44440</v>
      </c>
      <c r="J921" s="56">
        <f>EFEITO!$J$921*EFEITO!$Y$921</f>
        <v>0</v>
      </c>
      <c r="K921" s="56">
        <f ca="1">EFEITO!$L$921*EFEITO!$Z$921</f>
        <v>213.86777905806565</v>
      </c>
      <c r="L921" s="56">
        <f>EFEITO!$N$921*EFEITO!$AA$921</f>
        <v>160.5025683839385</v>
      </c>
      <c r="M921" s="56">
        <f>$J$921-EFEITO!$K$921*EFEITO!$Y$921</f>
        <v>0</v>
      </c>
      <c r="N921" s="56">
        <f ca="1">$K$921-EFEITO!$M$921*EFEITO!$Z$921</f>
        <v>0</v>
      </c>
      <c r="O921" s="56">
        <f>$L$921-EFEITO!$O$921*EFEITO!$AA$921</f>
        <v>0</v>
      </c>
      <c r="P921" s="39"/>
      <c r="Q921" s="39"/>
      <c r="R921" s="39"/>
      <c r="S921" s="39"/>
      <c r="T921" s="39"/>
      <c r="U921" s="39"/>
      <c r="V921" s="39"/>
      <c r="W921" s="39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35" t="s">
        <v>21</v>
      </c>
      <c r="B922" s="35" t="s">
        <v>39</v>
      </c>
      <c r="C922" s="35" t="s">
        <v>23</v>
      </c>
      <c r="D922" s="35" t="s">
        <v>40</v>
      </c>
      <c r="E922" s="35" t="s">
        <v>25</v>
      </c>
      <c r="F922" s="35" t="s">
        <v>25</v>
      </c>
      <c r="G922" s="35" t="s">
        <v>25</v>
      </c>
      <c r="H922" s="35" t="s">
        <v>25</v>
      </c>
      <c r="I922" s="55">
        <v>44470</v>
      </c>
      <c r="J922" s="56">
        <f>EFEITO!$J$922*EFEITO!$Y$922</f>
        <v>0</v>
      </c>
      <c r="K922" s="56">
        <f ca="1">EFEITO!$L$922*EFEITO!$Z$922</f>
        <v>108027.51510431788</v>
      </c>
      <c r="L922" s="56">
        <f>EFEITO!$N$922*EFEITO!$AA$922</f>
        <v>81072.023596739324</v>
      </c>
      <c r="M922" s="56">
        <f>$J$922-EFEITO!$K$922*EFEITO!$Y$922</f>
        <v>0</v>
      </c>
      <c r="N922" s="56">
        <f ca="1">$K$922-EFEITO!$M$922*EFEITO!$Z$922</f>
        <v>0</v>
      </c>
      <c r="O922" s="56">
        <f>$L$922-EFEITO!$O$922*EFEITO!$AA$922</f>
        <v>0</v>
      </c>
      <c r="P922" s="39"/>
      <c r="Q922" s="39"/>
      <c r="R922" s="39"/>
      <c r="S922" s="39"/>
      <c r="T922" s="39"/>
      <c r="U922" s="39"/>
      <c r="V922" s="39"/>
      <c r="W922" s="39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35" t="s">
        <v>28</v>
      </c>
      <c r="B923" s="35" t="s">
        <v>39</v>
      </c>
      <c r="C923" s="35" t="s">
        <v>23</v>
      </c>
      <c r="D923" s="35" t="s">
        <v>40</v>
      </c>
      <c r="E923" s="35" t="s">
        <v>25</v>
      </c>
      <c r="F923" s="35" t="s">
        <v>25</v>
      </c>
      <c r="G923" s="35" t="s">
        <v>25</v>
      </c>
      <c r="H923" s="35" t="s">
        <v>25</v>
      </c>
      <c r="I923" s="55">
        <v>44470</v>
      </c>
      <c r="J923" s="56">
        <f>EFEITO!$J$923*EFEITO!$Y$923</f>
        <v>0</v>
      </c>
      <c r="K923" s="56">
        <f ca="1">EFEITO!$L$923*EFEITO!$Z$923</f>
        <v>248.66660412514076</v>
      </c>
      <c r="L923" s="56">
        <f>EFEITO!$N$923*EFEITO!$AA$923</f>
        <v>186.61824052776581</v>
      </c>
      <c r="M923" s="56">
        <f>$J$923-EFEITO!$K$923*EFEITO!$Y$923</f>
        <v>0</v>
      </c>
      <c r="N923" s="56">
        <f ca="1">$K$923-EFEITO!$M$923*EFEITO!$Z$923</f>
        <v>0</v>
      </c>
      <c r="O923" s="56">
        <f>$L$923-EFEITO!$O$923*EFEITO!$AA$923</f>
        <v>0</v>
      </c>
      <c r="P923" s="39"/>
      <c r="Q923" s="39"/>
      <c r="R923" s="39"/>
      <c r="S923" s="39"/>
      <c r="T923" s="39"/>
      <c r="U923" s="39"/>
      <c r="V923" s="39"/>
      <c r="W923" s="39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35" t="s">
        <v>21</v>
      </c>
      <c r="B924" s="35" t="s">
        <v>39</v>
      </c>
      <c r="C924" s="35" t="s">
        <v>23</v>
      </c>
      <c r="D924" s="35" t="s">
        <v>40</v>
      </c>
      <c r="E924" s="35" t="s">
        <v>25</v>
      </c>
      <c r="F924" s="35" t="s">
        <v>25</v>
      </c>
      <c r="G924" s="35" t="s">
        <v>25</v>
      </c>
      <c r="H924" s="35" t="s">
        <v>25</v>
      </c>
      <c r="I924" s="55">
        <v>44501</v>
      </c>
      <c r="J924" s="56">
        <f>EFEITO!$J$924*EFEITO!$Y$924</f>
        <v>0</v>
      </c>
      <c r="K924" s="56">
        <f ca="1">EFEITO!$L$924*EFEITO!$Z$924</f>
        <v>107205.75534986935</v>
      </c>
      <c r="L924" s="56">
        <f>EFEITO!$N$924*EFEITO!$AA$924</f>
        <v>80455.312880592901</v>
      </c>
      <c r="M924" s="56">
        <f>$J$924-EFEITO!$K$924*EFEITO!$Y$924</f>
        <v>0</v>
      </c>
      <c r="N924" s="56">
        <f ca="1">$K$924-EFEITO!$M$924*EFEITO!$Z$924</f>
        <v>0</v>
      </c>
      <c r="O924" s="56">
        <f>$L$924-EFEITO!$O$924*EFEITO!$AA$924</f>
        <v>0</v>
      </c>
      <c r="P924" s="39"/>
      <c r="Q924" s="39"/>
      <c r="R924" s="39"/>
      <c r="S924" s="39"/>
      <c r="T924" s="39"/>
      <c r="U924" s="39"/>
      <c r="V924" s="39"/>
      <c r="W924" s="39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35" t="s">
        <v>28</v>
      </c>
      <c r="B925" s="35" t="s">
        <v>39</v>
      </c>
      <c r="C925" s="35" t="s">
        <v>23</v>
      </c>
      <c r="D925" s="35" t="s">
        <v>40</v>
      </c>
      <c r="E925" s="35" t="s">
        <v>25</v>
      </c>
      <c r="F925" s="35" t="s">
        <v>25</v>
      </c>
      <c r="G925" s="35" t="s">
        <v>25</v>
      </c>
      <c r="H925" s="35" t="s">
        <v>25</v>
      </c>
      <c r="I925" s="55">
        <v>44501</v>
      </c>
      <c r="J925" s="56">
        <f>EFEITO!$J$925*EFEITO!$Y$925</f>
        <v>0</v>
      </c>
      <c r="K925" s="56">
        <f ca="1">EFEITO!$L$925*EFEITO!$Z$925</f>
        <v>194.29343995783591</v>
      </c>
      <c r="L925" s="56">
        <f>EFEITO!$N$925*EFEITO!$AA$925</f>
        <v>145.81250280303567</v>
      </c>
      <c r="M925" s="56">
        <f>$J$925-EFEITO!$K$925*EFEITO!$Y$925</f>
        <v>0</v>
      </c>
      <c r="N925" s="56">
        <f ca="1">$K$925-EFEITO!$M$925*EFEITO!$Z$925</f>
        <v>0</v>
      </c>
      <c r="O925" s="56">
        <f>$L$925-EFEITO!$O$925*EFEITO!$AA$925</f>
        <v>0</v>
      </c>
      <c r="P925" s="39"/>
      <c r="Q925" s="39"/>
      <c r="R925" s="39"/>
      <c r="S925" s="39"/>
      <c r="T925" s="39"/>
      <c r="U925" s="39"/>
      <c r="V925" s="39"/>
      <c r="W925" s="39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35" t="s">
        <v>21</v>
      </c>
      <c r="B926" s="35" t="s">
        <v>39</v>
      </c>
      <c r="C926" s="35" t="s">
        <v>23</v>
      </c>
      <c r="D926" s="35" t="s">
        <v>40</v>
      </c>
      <c r="E926" s="35" t="s">
        <v>25</v>
      </c>
      <c r="F926" s="35" t="s">
        <v>25</v>
      </c>
      <c r="G926" s="35" t="s">
        <v>25</v>
      </c>
      <c r="H926" s="35" t="s">
        <v>25</v>
      </c>
      <c r="I926" s="55">
        <v>44531</v>
      </c>
      <c r="J926" s="56">
        <f>EFEITO!$J$926*EFEITO!$Y$926</f>
        <v>0</v>
      </c>
      <c r="K926" s="56">
        <f ca="1">EFEITO!$L$926*EFEITO!$Z$926</f>
        <v>109617.38642456988</v>
      </c>
      <c r="L926" s="56">
        <f>EFEITO!$N$926*EFEITO!$AA$926</f>
        <v>82265.18336781043</v>
      </c>
      <c r="M926" s="56">
        <f>$J$926-EFEITO!$K$926*EFEITO!$Y$926</f>
        <v>0</v>
      </c>
      <c r="N926" s="56">
        <f ca="1">$K$926-EFEITO!$M$926*EFEITO!$Z$926</f>
        <v>0</v>
      </c>
      <c r="O926" s="56">
        <f>$L$926-EFEITO!$O$926*EFEITO!$AA$926</f>
        <v>0</v>
      </c>
      <c r="P926" s="39"/>
      <c r="Q926" s="39"/>
      <c r="R926" s="39"/>
      <c r="S926" s="39"/>
      <c r="T926" s="39"/>
      <c r="U926" s="39"/>
      <c r="V926" s="39"/>
      <c r="W926" s="39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35" t="s">
        <v>27</v>
      </c>
      <c r="B927" s="35" t="s">
        <v>39</v>
      </c>
      <c r="C927" s="35" t="s">
        <v>23</v>
      </c>
      <c r="D927" s="35" t="s">
        <v>40</v>
      </c>
      <c r="E927" s="35" t="s">
        <v>25</v>
      </c>
      <c r="F927" s="35" t="s">
        <v>25</v>
      </c>
      <c r="G927" s="35" t="s">
        <v>25</v>
      </c>
      <c r="H927" s="35" t="s">
        <v>25</v>
      </c>
      <c r="I927" s="55">
        <v>44531</v>
      </c>
      <c r="J927" s="56">
        <f>EFEITO!$J$927*EFEITO!$Y$927</f>
        <v>0</v>
      </c>
      <c r="K927" s="56">
        <f ca="1">EFEITO!$L$927*EFEITO!$Z$927</f>
        <v>-35.886288350421189</v>
      </c>
      <c r="L927" s="56">
        <f>EFEITO!$N$927*EFEITO!$AA$927</f>
        <v>-26.931786898321885</v>
      </c>
      <c r="M927" s="56">
        <f>$J$927-EFEITO!$K$927*EFEITO!$Y$927</f>
        <v>0</v>
      </c>
      <c r="N927" s="56">
        <f ca="1">$K$927-EFEITO!$M$927*EFEITO!$Z$927</f>
        <v>0</v>
      </c>
      <c r="O927" s="56">
        <f>$L$927-EFEITO!$O$927*EFEITO!$AA$927</f>
        <v>0</v>
      </c>
      <c r="P927" s="39"/>
      <c r="Q927" s="39"/>
      <c r="R927" s="39"/>
      <c r="S927" s="39"/>
      <c r="T927" s="39"/>
      <c r="U927" s="39"/>
      <c r="V927" s="39"/>
      <c r="W927" s="39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35" t="s">
        <v>28</v>
      </c>
      <c r="B928" s="35" t="s">
        <v>39</v>
      </c>
      <c r="C928" s="35" t="s">
        <v>23</v>
      </c>
      <c r="D928" s="35" t="s">
        <v>40</v>
      </c>
      <c r="E928" s="35" t="s">
        <v>25</v>
      </c>
      <c r="F928" s="35" t="s">
        <v>25</v>
      </c>
      <c r="G928" s="35" t="s">
        <v>25</v>
      </c>
      <c r="H928" s="35" t="s">
        <v>25</v>
      </c>
      <c r="I928" s="55">
        <v>44531</v>
      </c>
      <c r="J928" s="56">
        <f>EFEITO!$J$928*EFEITO!$Y$928</f>
        <v>0</v>
      </c>
      <c r="K928" s="56">
        <f ca="1">EFEITO!$L$928*EFEITO!$Z$928</f>
        <v>134.84544713491596</v>
      </c>
      <c r="L928" s="56">
        <f>EFEITO!$N$928*EFEITO!$AA$928</f>
        <v>101.19822955733072</v>
      </c>
      <c r="M928" s="56">
        <f>$J$928-EFEITO!$K$928*EFEITO!$Y$928</f>
        <v>0</v>
      </c>
      <c r="N928" s="56">
        <f ca="1">$K$928-EFEITO!$M$928*EFEITO!$Z$928</f>
        <v>0</v>
      </c>
      <c r="O928" s="56">
        <f>$L$928-EFEITO!$O$928*EFEITO!$AA$928</f>
        <v>0</v>
      </c>
      <c r="P928" s="39"/>
      <c r="Q928" s="39"/>
      <c r="R928" s="39"/>
      <c r="S928" s="39"/>
      <c r="T928" s="39"/>
      <c r="U928" s="39"/>
      <c r="V928" s="39"/>
      <c r="W928" s="39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35" t="s">
        <v>21</v>
      </c>
      <c r="B929" s="35" t="s">
        <v>39</v>
      </c>
      <c r="C929" s="35" t="s">
        <v>23</v>
      </c>
      <c r="D929" s="35" t="s">
        <v>40</v>
      </c>
      <c r="E929" s="35" t="s">
        <v>25</v>
      </c>
      <c r="F929" s="35" t="s">
        <v>25</v>
      </c>
      <c r="G929" s="35" t="s">
        <v>25</v>
      </c>
      <c r="H929" s="35" t="s">
        <v>25</v>
      </c>
      <c r="I929" s="55">
        <v>44562</v>
      </c>
      <c r="J929" s="56">
        <f>EFEITO!$J$929*EFEITO!$Y$929</f>
        <v>0</v>
      </c>
      <c r="K929" s="56">
        <f ca="1">EFEITO!$L$929*EFEITO!$Z$929</f>
        <v>87038.748760215996</v>
      </c>
      <c r="L929" s="56">
        <f>EFEITO!$N$929*EFEITO!$AA$929</f>
        <v>65320.464758490496</v>
      </c>
      <c r="M929" s="56">
        <f>$J$929-EFEITO!$K$929*EFEITO!$Y$929</f>
        <v>0</v>
      </c>
      <c r="N929" s="56">
        <f ca="1">$K$929-EFEITO!$M$929*EFEITO!$Z$929</f>
        <v>0</v>
      </c>
      <c r="O929" s="56">
        <f>$L$929-EFEITO!$O$929*EFEITO!$AA$929</f>
        <v>0</v>
      </c>
      <c r="P929" s="39"/>
      <c r="Q929" s="39"/>
      <c r="R929" s="39"/>
      <c r="S929" s="39"/>
      <c r="T929" s="39"/>
      <c r="U929" s="39"/>
      <c r="V929" s="39"/>
      <c r="W929" s="39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35" t="s">
        <v>27</v>
      </c>
      <c r="B930" s="35" t="s">
        <v>39</v>
      </c>
      <c r="C930" s="35" t="s">
        <v>23</v>
      </c>
      <c r="D930" s="35" t="s">
        <v>40</v>
      </c>
      <c r="E930" s="35" t="s">
        <v>25</v>
      </c>
      <c r="F930" s="35" t="s">
        <v>25</v>
      </c>
      <c r="G930" s="35" t="s">
        <v>25</v>
      </c>
      <c r="H930" s="35" t="s">
        <v>25</v>
      </c>
      <c r="I930" s="55">
        <v>44562</v>
      </c>
      <c r="J930" s="56">
        <f>EFEITO!$J$930*EFEITO!$Y$930</f>
        <v>0</v>
      </c>
      <c r="K930" s="56">
        <f ca="1">EFEITO!$L$930*EFEITO!$Z$930</f>
        <v>113.82115699022478</v>
      </c>
      <c r="L930" s="56">
        <f>EFEITO!$N$930*EFEITO!$AA$930</f>
        <v>85.420010970435072</v>
      </c>
      <c r="M930" s="56">
        <f>$J$930-EFEITO!$K$930*EFEITO!$Y$930</f>
        <v>0</v>
      </c>
      <c r="N930" s="56">
        <f ca="1">$K$930-EFEITO!$M$930*EFEITO!$Z$930</f>
        <v>0</v>
      </c>
      <c r="O930" s="56">
        <f>$L$930-EFEITO!$O$930*EFEITO!$AA$930</f>
        <v>0</v>
      </c>
      <c r="P930" s="39"/>
      <c r="Q930" s="39"/>
      <c r="R930" s="39"/>
      <c r="S930" s="39"/>
      <c r="T930" s="39"/>
      <c r="U930" s="39"/>
      <c r="V930" s="39"/>
      <c r="W930" s="39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35" t="s">
        <v>28</v>
      </c>
      <c r="B931" s="35" t="s">
        <v>39</v>
      </c>
      <c r="C931" s="35" t="s">
        <v>23</v>
      </c>
      <c r="D931" s="35" t="s">
        <v>40</v>
      </c>
      <c r="E931" s="35" t="s">
        <v>25</v>
      </c>
      <c r="F931" s="35" t="s">
        <v>25</v>
      </c>
      <c r="G931" s="35" t="s">
        <v>25</v>
      </c>
      <c r="H931" s="35" t="s">
        <v>25</v>
      </c>
      <c r="I931" s="55">
        <v>44562</v>
      </c>
      <c r="J931" s="56">
        <f>EFEITO!$J$931*EFEITO!$Y$931</f>
        <v>0</v>
      </c>
      <c r="K931" s="56">
        <f ca="1">EFEITO!$L$931*EFEITO!$Z$931</f>
        <v>133.39549609045451</v>
      </c>
      <c r="L931" s="56">
        <f>EFEITO!$N$931*EFEITO!$AA$931</f>
        <v>100.11007655133791</v>
      </c>
      <c r="M931" s="56">
        <f>$J$931-EFEITO!$K$931*EFEITO!$Y$931</f>
        <v>0</v>
      </c>
      <c r="N931" s="56">
        <f ca="1">$K$931-EFEITO!$M$931*EFEITO!$Z$931</f>
        <v>0</v>
      </c>
      <c r="O931" s="56">
        <f>$L$931-EFEITO!$O$931*EFEITO!$AA$931</f>
        <v>0</v>
      </c>
      <c r="P931" s="39"/>
      <c r="Q931" s="39"/>
      <c r="R931" s="39"/>
      <c r="S931" s="39"/>
      <c r="T931" s="39"/>
      <c r="U931" s="39"/>
      <c r="V931" s="39"/>
      <c r="W931" s="39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35" t="s">
        <v>21</v>
      </c>
      <c r="B932" s="35" t="s">
        <v>39</v>
      </c>
      <c r="C932" s="35" t="s">
        <v>23</v>
      </c>
      <c r="D932" s="35" t="s">
        <v>40</v>
      </c>
      <c r="E932" s="35" t="s">
        <v>25</v>
      </c>
      <c r="F932" s="35" t="s">
        <v>25</v>
      </c>
      <c r="G932" s="35" t="s">
        <v>25</v>
      </c>
      <c r="H932" s="35" t="s">
        <v>25</v>
      </c>
      <c r="I932" s="55">
        <v>44593</v>
      </c>
      <c r="J932" s="56">
        <f>EFEITO!$J$932*EFEITO!$Y$932</f>
        <v>0</v>
      </c>
      <c r="K932" s="56">
        <f ca="1">EFEITO!$L$932*EFEITO!$Z$932</f>
        <v>102988.57273705318</v>
      </c>
      <c r="L932" s="56">
        <f>EFEITO!$N$932*EFEITO!$AA$932</f>
        <v>77290.419862662835</v>
      </c>
      <c r="M932" s="56">
        <f>$J$932-EFEITO!$K$932*EFEITO!$Y$932</f>
        <v>0</v>
      </c>
      <c r="N932" s="56">
        <f ca="1">$K$932-EFEITO!$M$932*EFEITO!$Z$932</f>
        <v>0</v>
      </c>
      <c r="O932" s="56">
        <f>$L$932-EFEITO!$O$932*EFEITO!$AA$932</f>
        <v>0</v>
      </c>
      <c r="P932" s="39"/>
      <c r="Q932" s="39"/>
      <c r="R932" s="39"/>
      <c r="S932" s="39"/>
      <c r="T932" s="39"/>
      <c r="U932" s="39"/>
      <c r="V932" s="39"/>
      <c r="W932" s="39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35" t="s">
        <v>28</v>
      </c>
      <c r="B933" s="35" t="s">
        <v>39</v>
      </c>
      <c r="C933" s="35" t="s">
        <v>23</v>
      </c>
      <c r="D933" s="35" t="s">
        <v>40</v>
      </c>
      <c r="E933" s="35" t="s">
        <v>25</v>
      </c>
      <c r="F933" s="35" t="s">
        <v>25</v>
      </c>
      <c r="G933" s="35" t="s">
        <v>25</v>
      </c>
      <c r="H933" s="35" t="s">
        <v>25</v>
      </c>
      <c r="I933" s="55">
        <v>44593</v>
      </c>
      <c r="J933" s="56">
        <f>EFEITO!$J$933*EFEITO!$Y$933</f>
        <v>0</v>
      </c>
      <c r="K933" s="56">
        <f ca="1">EFEITO!$L$933*EFEITO!$Z$933</f>
        <v>185.59373369106714</v>
      </c>
      <c r="L933" s="56">
        <f>EFEITO!$N$933*EFEITO!$AA$933</f>
        <v>139.28358476707885</v>
      </c>
      <c r="M933" s="56">
        <f>$J$933-EFEITO!$K$933*EFEITO!$Y$933</f>
        <v>0</v>
      </c>
      <c r="N933" s="56">
        <f ca="1">$K$933-EFEITO!$M$933*EFEITO!$Z$933</f>
        <v>0</v>
      </c>
      <c r="O933" s="56">
        <f>$L$933-EFEITO!$O$933*EFEITO!$AA$933</f>
        <v>0</v>
      </c>
      <c r="P933" s="39"/>
      <c r="Q933" s="39"/>
      <c r="R933" s="39"/>
      <c r="S933" s="39"/>
      <c r="T933" s="39"/>
      <c r="U933" s="39"/>
      <c r="V933" s="39"/>
      <c r="W933" s="39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35" t="s">
        <v>21</v>
      </c>
      <c r="B934" s="35" t="s">
        <v>39</v>
      </c>
      <c r="C934" s="35" t="s">
        <v>23</v>
      </c>
      <c r="D934" s="35" t="s">
        <v>40</v>
      </c>
      <c r="E934" s="35" t="s">
        <v>25</v>
      </c>
      <c r="F934" s="35" t="s">
        <v>25</v>
      </c>
      <c r="G934" s="35" t="s">
        <v>25</v>
      </c>
      <c r="H934" s="35" t="s">
        <v>25</v>
      </c>
      <c r="I934" s="55">
        <v>44621</v>
      </c>
      <c r="J934" s="56">
        <f>EFEITO!$J$934*EFEITO!$Y$934</f>
        <v>0</v>
      </c>
      <c r="K934" s="56">
        <f ca="1">EFEITO!$L$934*EFEITO!$Z$934</f>
        <v>104942.74425722612</v>
      </c>
      <c r="L934" s="56">
        <f>EFEITO!$N$934*EFEITO!$AA$934</f>
        <v>78756.978076489628</v>
      </c>
      <c r="M934" s="56">
        <f>$J$934-EFEITO!$K$934*EFEITO!$Y$934</f>
        <v>0</v>
      </c>
      <c r="N934" s="56">
        <f ca="1">$K$934-EFEITO!$M$934*EFEITO!$Z$934</f>
        <v>0</v>
      </c>
      <c r="O934" s="56">
        <f>$L$934-EFEITO!$O$934*EFEITO!$AA$934</f>
        <v>0</v>
      </c>
      <c r="P934" s="39"/>
      <c r="Q934" s="39"/>
      <c r="R934" s="39"/>
      <c r="S934" s="39"/>
      <c r="T934" s="39"/>
      <c r="U934" s="39"/>
      <c r="V934" s="39"/>
      <c r="W934" s="39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35" t="s">
        <v>28</v>
      </c>
      <c r="B935" s="35" t="s">
        <v>39</v>
      </c>
      <c r="C935" s="35" t="s">
        <v>23</v>
      </c>
      <c r="D935" s="35" t="s">
        <v>40</v>
      </c>
      <c r="E935" s="35" t="s">
        <v>25</v>
      </c>
      <c r="F935" s="35" t="s">
        <v>25</v>
      </c>
      <c r="G935" s="35" t="s">
        <v>25</v>
      </c>
      <c r="H935" s="35" t="s">
        <v>25</v>
      </c>
      <c r="I935" s="55">
        <v>44621</v>
      </c>
      <c r="J935" s="56">
        <f>EFEITO!$J$935*EFEITO!$Y$935</f>
        <v>0</v>
      </c>
      <c r="K935" s="56">
        <f ca="1">EFEITO!$L$935*EFEITO!$Z$935</f>
        <v>182.69383160214423</v>
      </c>
      <c r="L935" s="56">
        <f>EFEITO!$N$935*EFEITO!$AA$935</f>
        <v>137.10727875509323</v>
      </c>
      <c r="M935" s="56">
        <f>$J$935-EFEITO!$K$935*EFEITO!$Y$935</f>
        <v>0</v>
      </c>
      <c r="N935" s="56">
        <f ca="1">$K$935-EFEITO!$M$935*EFEITO!$Z$935</f>
        <v>0</v>
      </c>
      <c r="O935" s="56">
        <f>$L$935-EFEITO!$O$935*EFEITO!$AA$935</f>
        <v>0</v>
      </c>
      <c r="P935" s="39"/>
      <c r="Q935" s="39"/>
      <c r="R935" s="39"/>
      <c r="S935" s="39"/>
      <c r="T935" s="39"/>
      <c r="U935" s="39"/>
      <c r="V935" s="39"/>
      <c r="W935" s="39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35" t="s">
        <v>21</v>
      </c>
      <c r="B936" s="35" t="s">
        <v>39</v>
      </c>
      <c r="C936" s="35" t="s">
        <v>23</v>
      </c>
      <c r="D936" s="35" t="s">
        <v>40</v>
      </c>
      <c r="E936" s="35" t="s">
        <v>25</v>
      </c>
      <c r="F936" s="35" t="s">
        <v>25</v>
      </c>
      <c r="G936" s="35" t="s">
        <v>25</v>
      </c>
      <c r="H936" s="35" t="s">
        <v>25</v>
      </c>
      <c r="I936" s="55">
        <v>44652</v>
      </c>
      <c r="J936" s="56">
        <f>EFEITO!$J$936*EFEITO!$Y$936</f>
        <v>0</v>
      </c>
      <c r="K936" s="56">
        <f ca="1">EFEITO!$L$936*EFEITO!$Z$936</f>
        <v>98342.567102837536</v>
      </c>
      <c r="L936" s="56">
        <f>EFEITO!$N$936*EFEITO!$AA$936</f>
        <v>73803.705593210383</v>
      </c>
      <c r="M936" s="56">
        <f>$J$936-EFEITO!$K$936*EFEITO!$Y$936</f>
        <v>0</v>
      </c>
      <c r="N936" s="56">
        <f ca="1">$K$936-EFEITO!$M$936*EFEITO!$Z$936</f>
        <v>0</v>
      </c>
      <c r="O936" s="56">
        <f>$L$936-EFEITO!$O$936*EFEITO!$AA$936</f>
        <v>0</v>
      </c>
      <c r="P936" s="39"/>
      <c r="Q936" s="39"/>
      <c r="R936" s="39"/>
      <c r="S936" s="39"/>
      <c r="T936" s="39"/>
      <c r="U936" s="39"/>
      <c r="V936" s="39"/>
      <c r="W936" s="39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35" t="s">
        <v>28</v>
      </c>
      <c r="B937" s="35" t="s">
        <v>39</v>
      </c>
      <c r="C937" s="35" t="s">
        <v>23</v>
      </c>
      <c r="D937" s="35" t="s">
        <v>40</v>
      </c>
      <c r="E937" s="35" t="s">
        <v>25</v>
      </c>
      <c r="F937" s="35" t="s">
        <v>25</v>
      </c>
      <c r="G937" s="35" t="s">
        <v>25</v>
      </c>
      <c r="H937" s="35" t="s">
        <v>25</v>
      </c>
      <c r="I937" s="55">
        <v>44652</v>
      </c>
      <c r="J937" s="56">
        <f>EFEITO!$J$937*EFEITO!$Y$937</f>
        <v>0</v>
      </c>
      <c r="K937" s="56">
        <f ca="1">EFEITO!$L$937*EFEITO!$Z$937</f>
        <v>213.50529129695028</v>
      </c>
      <c r="L937" s="56">
        <f>EFEITO!$N$937*EFEITO!$AA$937</f>
        <v>160.23053013244029</v>
      </c>
      <c r="M937" s="56">
        <f>$J$937-EFEITO!$K$937*EFEITO!$Y$937</f>
        <v>0</v>
      </c>
      <c r="N937" s="56">
        <f ca="1">$K$937-EFEITO!$M$937*EFEITO!$Z$937</f>
        <v>0</v>
      </c>
      <c r="O937" s="56">
        <f>$L$937-EFEITO!$O$937*EFEITO!$AA$937</f>
        <v>0</v>
      </c>
      <c r="P937" s="39"/>
      <c r="Q937" s="39"/>
      <c r="R937" s="39"/>
      <c r="S937" s="39"/>
      <c r="T937" s="39"/>
      <c r="U937" s="39"/>
      <c r="V937" s="39"/>
      <c r="W937" s="39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35" t="s">
        <v>21</v>
      </c>
      <c r="B938" s="35" t="s">
        <v>39</v>
      </c>
      <c r="C938" s="35" t="s">
        <v>23</v>
      </c>
      <c r="D938" s="35" t="s">
        <v>40</v>
      </c>
      <c r="E938" s="35" t="s">
        <v>25</v>
      </c>
      <c r="F938" s="35" t="s">
        <v>25</v>
      </c>
      <c r="G938" s="35" t="s">
        <v>25</v>
      </c>
      <c r="H938" s="35" t="s">
        <v>25</v>
      </c>
      <c r="I938" s="55">
        <v>44682</v>
      </c>
      <c r="J938" s="56">
        <f>EFEITO!$J$938*EFEITO!$Y$938</f>
        <v>0</v>
      </c>
      <c r="K938" s="56">
        <f ca="1">EFEITO!$L$938*EFEITO!$Z$938</f>
        <v>96775.532511535828</v>
      </c>
      <c r="L938" s="56">
        <f>EFEITO!$N$938*EFEITO!$AA$938</f>
        <v>72627.684231983672</v>
      </c>
      <c r="M938" s="56">
        <f>$J$938-EFEITO!$K$938*EFEITO!$Y$938</f>
        <v>0</v>
      </c>
      <c r="N938" s="56">
        <f ca="1">$K$938-EFEITO!$M$938*EFEITO!$Z$938</f>
        <v>0</v>
      </c>
      <c r="O938" s="56">
        <f>$L$938-EFEITO!$O$938*EFEITO!$AA$938</f>
        <v>0</v>
      </c>
      <c r="P938" s="39"/>
      <c r="Q938" s="39"/>
      <c r="R938" s="39"/>
      <c r="S938" s="39"/>
      <c r="T938" s="39"/>
      <c r="U938" s="39"/>
      <c r="V938" s="39"/>
      <c r="W938" s="39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35" t="s">
        <v>28</v>
      </c>
      <c r="B939" s="35" t="s">
        <v>39</v>
      </c>
      <c r="C939" s="35" t="s">
        <v>23</v>
      </c>
      <c r="D939" s="35" t="s">
        <v>40</v>
      </c>
      <c r="E939" s="35" t="s">
        <v>25</v>
      </c>
      <c r="F939" s="35" t="s">
        <v>25</v>
      </c>
      <c r="G939" s="35" t="s">
        <v>25</v>
      </c>
      <c r="H939" s="35" t="s">
        <v>25</v>
      </c>
      <c r="I939" s="55">
        <v>44682</v>
      </c>
      <c r="J939" s="56">
        <f>EFEITO!$J$939*EFEITO!$Y$939</f>
        <v>0</v>
      </c>
      <c r="K939" s="56">
        <f ca="1">EFEITO!$L$939*EFEITO!$Z$939</f>
        <v>209.51792592468126</v>
      </c>
      <c r="L939" s="56">
        <f>EFEITO!$N$939*EFEITO!$AA$939</f>
        <v>157.23810936596007</v>
      </c>
      <c r="M939" s="56">
        <f>$J$939-EFEITO!$K$939*EFEITO!$Y$939</f>
        <v>0</v>
      </c>
      <c r="N939" s="56">
        <f ca="1">$K$939-EFEITO!$M$939*EFEITO!$Z$939</f>
        <v>0</v>
      </c>
      <c r="O939" s="56">
        <f>$L$939-EFEITO!$O$939*EFEITO!$AA$939</f>
        <v>0</v>
      </c>
      <c r="P939" s="39"/>
      <c r="Q939" s="39"/>
      <c r="R939" s="39"/>
      <c r="S939" s="39"/>
      <c r="T939" s="39"/>
      <c r="U939" s="39"/>
      <c r="V939" s="39"/>
      <c r="W939" s="39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35" t="s">
        <v>21</v>
      </c>
      <c r="B940" s="35" t="s">
        <v>39</v>
      </c>
      <c r="C940" s="35" t="s">
        <v>23</v>
      </c>
      <c r="D940" s="35" t="s">
        <v>46</v>
      </c>
      <c r="E940" s="35" t="s">
        <v>25</v>
      </c>
      <c r="F940" s="35" t="s">
        <v>25</v>
      </c>
      <c r="G940" s="35" t="s">
        <v>25</v>
      </c>
      <c r="H940" s="35" t="s">
        <v>25</v>
      </c>
      <c r="I940" s="55">
        <v>44348</v>
      </c>
      <c r="J940" s="56">
        <f>EFEITO!$J$940*EFEITO!$Y$940</f>
        <v>0</v>
      </c>
      <c r="K940" s="56">
        <f ca="1">EFEITO!$L$940*EFEITO!$Z$940</f>
        <v>42081.20418788278</v>
      </c>
      <c r="L940" s="56">
        <f>EFEITO!$N$940*EFEITO!$AA$940</f>
        <v>31580.920616426138</v>
      </c>
      <c r="M940" s="56">
        <f>$J$940-EFEITO!$K$940*EFEITO!$Y$940</f>
        <v>0</v>
      </c>
      <c r="N940" s="56">
        <f ca="1">$K$940-EFEITO!$M$940*EFEITO!$Z$940</f>
        <v>0</v>
      </c>
      <c r="O940" s="56">
        <f>$L$940-EFEITO!$O$940*EFEITO!$AA$940</f>
        <v>0</v>
      </c>
      <c r="P940" s="39"/>
      <c r="Q940" s="39"/>
      <c r="R940" s="39"/>
      <c r="S940" s="39"/>
      <c r="T940" s="39"/>
      <c r="U940" s="39"/>
      <c r="V940" s="39"/>
      <c r="W940" s="39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35" t="s">
        <v>28</v>
      </c>
      <c r="B941" s="35" t="s">
        <v>39</v>
      </c>
      <c r="C941" s="35" t="s">
        <v>23</v>
      </c>
      <c r="D941" s="35" t="s">
        <v>46</v>
      </c>
      <c r="E941" s="35" t="s">
        <v>25</v>
      </c>
      <c r="F941" s="35" t="s">
        <v>25</v>
      </c>
      <c r="G941" s="35" t="s">
        <v>25</v>
      </c>
      <c r="H941" s="35" t="s">
        <v>25</v>
      </c>
      <c r="I941" s="55">
        <v>44348</v>
      </c>
      <c r="J941" s="56">
        <f>EFEITO!$J$941*EFEITO!$Y$941</f>
        <v>0</v>
      </c>
      <c r="K941" s="56">
        <f ca="1">EFEITO!$L$941*EFEITO!$Z$941</f>
        <v>205.53056055241223</v>
      </c>
      <c r="L941" s="56">
        <f>EFEITO!$N$941*EFEITO!$AA$941</f>
        <v>154.24568859947988</v>
      </c>
      <c r="M941" s="56">
        <f>$J$941-EFEITO!$K$941*EFEITO!$Y$941</f>
        <v>0</v>
      </c>
      <c r="N941" s="56">
        <f ca="1">$K$941-EFEITO!$M$941*EFEITO!$Z$941</f>
        <v>0</v>
      </c>
      <c r="O941" s="56">
        <f>$L$941-EFEITO!$O$941*EFEITO!$AA$941</f>
        <v>0</v>
      </c>
      <c r="P941" s="39"/>
      <c r="Q941" s="39"/>
      <c r="R941" s="39"/>
      <c r="S941" s="39"/>
      <c r="T941" s="39"/>
      <c r="U941" s="39"/>
      <c r="V941" s="39"/>
      <c r="W941" s="39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35" t="s">
        <v>21</v>
      </c>
      <c r="B942" s="35" t="s">
        <v>39</v>
      </c>
      <c r="C942" s="35" t="s">
        <v>23</v>
      </c>
      <c r="D942" s="35" t="s">
        <v>46</v>
      </c>
      <c r="E942" s="35" t="s">
        <v>25</v>
      </c>
      <c r="F942" s="35" t="s">
        <v>25</v>
      </c>
      <c r="G942" s="35" t="s">
        <v>25</v>
      </c>
      <c r="H942" s="35" t="s">
        <v>25</v>
      </c>
      <c r="I942" s="55">
        <v>44378</v>
      </c>
      <c r="J942" s="56">
        <f>EFEITO!$J$942*EFEITO!$Y$942</f>
        <v>0</v>
      </c>
      <c r="K942" s="56">
        <f ca="1">EFEITO!$L$942*EFEITO!$Z$942</f>
        <v>43707.324284246308</v>
      </c>
      <c r="L942" s="56">
        <f>EFEITO!$N$942*EFEITO!$AA$942</f>
        <v>32801.284212647064</v>
      </c>
      <c r="M942" s="56">
        <f>$J$942-EFEITO!$K$942*EFEITO!$Y$942</f>
        <v>0</v>
      </c>
      <c r="N942" s="56">
        <f ca="1">$K$942-EFEITO!$M$942*EFEITO!$Z$942</f>
        <v>0</v>
      </c>
      <c r="O942" s="56">
        <f>$L$942-EFEITO!$O$942*EFEITO!$AA$942</f>
        <v>0</v>
      </c>
      <c r="P942" s="39"/>
      <c r="Q942" s="39"/>
      <c r="R942" s="39"/>
      <c r="S942" s="39"/>
      <c r="T942" s="39"/>
      <c r="U942" s="39"/>
      <c r="V942" s="39"/>
      <c r="W942" s="39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35" t="s">
        <v>27</v>
      </c>
      <c r="B943" s="35" t="s">
        <v>39</v>
      </c>
      <c r="C943" s="35" t="s">
        <v>23</v>
      </c>
      <c r="D943" s="35" t="s">
        <v>46</v>
      </c>
      <c r="E943" s="35" t="s">
        <v>25</v>
      </c>
      <c r="F943" s="35" t="s">
        <v>25</v>
      </c>
      <c r="G943" s="35" t="s">
        <v>25</v>
      </c>
      <c r="H943" s="35" t="s">
        <v>25</v>
      </c>
      <c r="I943" s="55">
        <v>44378</v>
      </c>
      <c r="J943" s="56">
        <f>EFEITO!$J$943*EFEITO!$Y$943</f>
        <v>0</v>
      </c>
      <c r="K943" s="56">
        <f ca="1">EFEITO!$L$943*EFEITO!$Z$943</f>
        <v>-262.07865128640924</v>
      </c>
      <c r="L943" s="56">
        <f>EFEITO!$N$943*EFEITO!$AA$943</f>
        <v>-196.6836558331992</v>
      </c>
      <c r="M943" s="56">
        <f>$J$943-EFEITO!$K$943*EFEITO!$Y$943</f>
        <v>0</v>
      </c>
      <c r="N943" s="56">
        <f ca="1">$K$943-EFEITO!$M$943*EFEITO!$Z$943</f>
        <v>0</v>
      </c>
      <c r="O943" s="56">
        <f>$L$943-EFEITO!$O$943*EFEITO!$AA$943</f>
        <v>0</v>
      </c>
      <c r="P943" s="39"/>
      <c r="Q943" s="39"/>
      <c r="R943" s="39"/>
      <c r="S943" s="39"/>
      <c r="T943" s="39"/>
      <c r="U943" s="39"/>
      <c r="V943" s="39"/>
      <c r="W943" s="39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35" t="s">
        <v>28</v>
      </c>
      <c r="B944" s="35" t="s">
        <v>39</v>
      </c>
      <c r="C944" s="35" t="s">
        <v>23</v>
      </c>
      <c r="D944" s="35" t="s">
        <v>46</v>
      </c>
      <c r="E944" s="35" t="s">
        <v>25</v>
      </c>
      <c r="F944" s="35" t="s">
        <v>25</v>
      </c>
      <c r="G944" s="35" t="s">
        <v>25</v>
      </c>
      <c r="H944" s="35" t="s">
        <v>25</v>
      </c>
      <c r="I944" s="55">
        <v>44378</v>
      </c>
      <c r="J944" s="56">
        <f>EFEITO!$J$944*EFEITO!$Y$944</f>
        <v>0</v>
      </c>
      <c r="K944" s="56">
        <f ca="1">EFEITO!$L$944*EFEITO!$Z$944</f>
        <v>1737.403839025947</v>
      </c>
      <c r="L944" s="56">
        <f>EFEITO!$N$944*EFEITO!$AA$944</f>
        <v>1303.8793394308768</v>
      </c>
      <c r="M944" s="56">
        <f>$J$944-EFEITO!$K$944*EFEITO!$Y$944</f>
        <v>0</v>
      </c>
      <c r="N944" s="56">
        <f ca="1">$K$944-EFEITO!$M$944*EFEITO!$Z$944</f>
        <v>0</v>
      </c>
      <c r="O944" s="56">
        <f>$L$944-EFEITO!$O$944*EFEITO!$AA$944</f>
        <v>0</v>
      </c>
      <c r="P944" s="39"/>
      <c r="Q944" s="39"/>
      <c r="R944" s="39"/>
      <c r="S944" s="39"/>
      <c r="T944" s="39"/>
      <c r="U944" s="39"/>
      <c r="V944" s="39"/>
      <c r="W944" s="39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35" t="s">
        <v>21</v>
      </c>
      <c r="B945" s="35" t="s">
        <v>39</v>
      </c>
      <c r="C945" s="35" t="s">
        <v>23</v>
      </c>
      <c r="D945" s="35" t="s">
        <v>46</v>
      </c>
      <c r="E945" s="35" t="s">
        <v>25</v>
      </c>
      <c r="F945" s="35" t="s">
        <v>25</v>
      </c>
      <c r="G945" s="35" t="s">
        <v>25</v>
      </c>
      <c r="H945" s="35" t="s">
        <v>25</v>
      </c>
      <c r="I945" s="55">
        <v>44409</v>
      </c>
      <c r="J945" s="56">
        <f>EFEITO!$J$945*EFEITO!$Y$945</f>
        <v>0</v>
      </c>
      <c r="K945" s="56">
        <f ca="1">EFEITO!$L$945*EFEITO!$Z$945</f>
        <v>51856.049154119733</v>
      </c>
      <c r="L945" s="56">
        <f>EFEITO!$N$945*EFEITO!$AA$945</f>
        <v>38916.704106326622</v>
      </c>
      <c r="M945" s="56">
        <f>$J$945-EFEITO!$K$945*EFEITO!$Y$945</f>
        <v>0</v>
      </c>
      <c r="N945" s="56">
        <f ca="1">$K$945-EFEITO!$M$945*EFEITO!$Z$945</f>
        <v>0</v>
      </c>
      <c r="O945" s="56">
        <f>$L$945-EFEITO!$O$945*EFEITO!$AA$945</f>
        <v>0</v>
      </c>
      <c r="P945" s="39"/>
      <c r="Q945" s="39"/>
      <c r="R945" s="39"/>
      <c r="S945" s="39"/>
      <c r="T945" s="39"/>
      <c r="U945" s="39"/>
      <c r="V945" s="39"/>
      <c r="W945" s="39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35" t="s">
        <v>28</v>
      </c>
      <c r="B946" s="35" t="s">
        <v>39</v>
      </c>
      <c r="C946" s="35" t="s">
        <v>23</v>
      </c>
      <c r="D946" s="35" t="s">
        <v>46</v>
      </c>
      <c r="E946" s="35" t="s">
        <v>25</v>
      </c>
      <c r="F946" s="35" t="s">
        <v>25</v>
      </c>
      <c r="G946" s="35" t="s">
        <v>25</v>
      </c>
      <c r="H946" s="35" t="s">
        <v>25</v>
      </c>
      <c r="I946" s="55">
        <v>44409</v>
      </c>
      <c r="J946" s="56">
        <f>EFEITO!$J$946*EFEITO!$Y$946</f>
        <v>0</v>
      </c>
      <c r="K946" s="56">
        <f ca="1">EFEITO!$L$946*EFEITO!$Z$946</f>
        <v>1092.5381120017116</v>
      </c>
      <c r="L946" s="56">
        <f>EFEITO!$N$946*EFEITO!$AA$946</f>
        <v>819.92329001557732</v>
      </c>
      <c r="M946" s="56">
        <f>$J$946-EFEITO!$K$946*EFEITO!$Y$946</f>
        <v>0</v>
      </c>
      <c r="N946" s="56">
        <f ca="1">$K$946-EFEITO!$M$946*EFEITO!$Z$946</f>
        <v>0</v>
      </c>
      <c r="O946" s="56">
        <f>$L$946-EFEITO!$O$946*EFEITO!$AA$946</f>
        <v>0</v>
      </c>
      <c r="P946" s="39"/>
      <c r="Q946" s="39"/>
      <c r="R946" s="39"/>
      <c r="S946" s="39"/>
      <c r="T946" s="39"/>
      <c r="U946" s="39"/>
      <c r="V946" s="39"/>
      <c r="W946" s="39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35" t="s">
        <v>21</v>
      </c>
      <c r="B947" s="35" t="s">
        <v>39</v>
      </c>
      <c r="C947" s="35" t="s">
        <v>23</v>
      </c>
      <c r="D947" s="35" t="s">
        <v>46</v>
      </c>
      <c r="E947" s="35" t="s">
        <v>25</v>
      </c>
      <c r="F947" s="35" t="s">
        <v>25</v>
      </c>
      <c r="G947" s="35" t="s">
        <v>25</v>
      </c>
      <c r="H947" s="35" t="s">
        <v>25</v>
      </c>
      <c r="I947" s="55">
        <v>44440</v>
      </c>
      <c r="J947" s="56">
        <f>EFEITO!$J$947*EFEITO!$Y$947</f>
        <v>0</v>
      </c>
      <c r="K947" s="56">
        <f ca="1">EFEITO!$L$947*EFEITO!$Z$947</f>
        <v>51575.483627016438</v>
      </c>
      <c r="L947" s="56">
        <f>EFEITO!$N$947*EFEITO!$AA$947</f>
        <v>38706.146499667018</v>
      </c>
      <c r="M947" s="56">
        <f>$J$947-EFEITO!$K$947*EFEITO!$Y$947</f>
        <v>0</v>
      </c>
      <c r="N947" s="56">
        <f ca="1">$K$947-EFEITO!$M$947*EFEITO!$Z$947</f>
        <v>0</v>
      </c>
      <c r="O947" s="56">
        <f>$L$947-EFEITO!$O$947*EFEITO!$AA$947</f>
        <v>0</v>
      </c>
      <c r="P947" s="39"/>
      <c r="Q947" s="39"/>
      <c r="R947" s="39"/>
      <c r="S947" s="39"/>
      <c r="T947" s="39"/>
      <c r="U947" s="39"/>
      <c r="V947" s="39"/>
      <c r="W947" s="39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35" t="s">
        <v>28</v>
      </c>
      <c r="B948" s="35" t="s">
        <v>39</v>
      </c>
      <c r="C948" s="35" t="s">
        <v>23</v>
      </c>
      <c r="D948" s="35" t="s">
        <v>46</v>
      </c>
      <c r="E948" s="35" t="s">
        <v>25</v>
      </c>
      <c r="F948" s="35" t="s">
        <v>25</v>
      </c>
      <c r="G948" s="35" t="s">
        <v>25</v>
      </c>
      <c r="H948" s="35" t="s">
        <v>25</v>
      </c>
      <c r="I948" s="55">
        <v>44440</v>
      </c>
      <c r="J948" s="56">
        <f>EFEITO!$J$948*EFEITO!$Y$948</f>
        <v>0</v>
      </c>
      <c r="K948" s="56">
        <f ca="1">EFEITO!$L$948*EFEITO!$Z$948</f>
        <v>1872.6117739219783</v>
      </c>
      <c r="L948" s="56">
        <f>EFEITO!$N$948*EFEITO!$AA$948</f>
        <v>1405.3496072397056</v>
      </c>
      <c r="M948" s="56">
        <f>$J$948-EFEITO!$K$948*EFEITO!$Y$948</f>
        <v>0</v>
      </c>
      <c r="N948" s="56">
        <f ca="1">$K$948-EFEITO!$M$948*EFEITO!$Z$948</f>
        <v>0</v>
      </c>
      <c r="O948" s="56">
        <f>$L$948-EFEITO!$O$948*EFEITO!$AA$948</f>
        <v>0</v>
      </c>
      <c r="P948" s="39"/>
      <c r="Q948" s="39"/>
      <c r="R948" s="39"/>
      <c r="S948" s="39"/>
      <c r="T948" s="39"/>
      <c r="U948" s="39"/>
      <c r="V948" s="39"/>
      <c r="W948" s="39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35" t="s">
        <v>21</v>
      </c>
      <c r="B949" s="35" t="s">
        <v>39</v>
      </c>
      <c r="C949" s="35" t="s">
        <v>23</v>
      </c>
      <c r="D949" s="35" t="s">
        <v>46</v>
      </c>
      <c r="E949" s="35" t="s">
        <v>25</v>
      </c>
      <c r="F949" s="35" t="s">
        <v>25</v>
      </c>
      <c r="G949" s="35" t="s">
        <v>25</v>
      </c>
      <c r="H949" s="35" t="s">
        <v>25</v>
      </c>
      <c r="I949" s="55">
        <v>44470</v>
      </c>
      <c r="J949" s="56">
        <f>EFEITO!$J$949*EFEITO!$Y$949</f>
        <v>0</v>
      </c>
      <c r="K949" s="56">
        <f ca="1">EFEITO!$L$949*EFEITO!$Z$949</f>
        <v>51533.797534488171</v>
      </c>
      <c r="L949" s="56">
        <f>EFEITO!$N$949*EFEITO!$AA$949</f>
        <v>38674.862100744722</v>
      </c>
      <c r="M949" s="56">
        <f>$J$949-EFEITO!$K$949*EFEITO!$Y$949</f>
        <v>0</v>
      </c>
      <c r="N949" s="56">
        <f ca="1">$K$949-EFEITO!$M$949*EFEITO!$Z$949</f>
        <v>0</v>
      </c>
      <c r="O949" s="56">
        <f>$L$949-EFEITO!$O$949*EFEITO!$AA$949</f>
        <v>0</v>
      </c>
      <c r="P949" s="39"/>
      <c r="Q949" s="39"/>
      <c r="R949" s="39"/>
      <c r="S949" s="39"/>
      <c r="T949" s="39"/>
      <c r="U949" s="39"/>
      <c r="V949" s="39"/>
      <c r="W949" s="39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35" t="s">
        <v>28</v>
      </c>
      <c r="B950" s="35" t="s">
        <v>39</v>
      </c>
      <c r="C950" s="35" t="s">
        <v>23</v>
      </c>
      <c r="D950" s="35" t="s">
        <v>46</v>
      </c>
      <c r="E950" s="35" t="s">
        <v>25</v>
      </c>
      <c r="F950" s="35" t="s">
        <v>25</v>
      </c>
      <c r="G950" s="35" t="s">
        <v>25</v>
      </c>
      <c r="H950" s="35" t="s">
        <v>25</v>
      </c>
      <c r="I950" s="55">
        <v>44470</v>
      </c>
      <c r="J950" s="56">
        <f>EFEITO!$J$950*EFEITO!$Y$950</f>
        <v>0</v>
      </c>
      <c r="K950" s="56">
        <f ca="1">EFEITO!$L$950*EFEITO!$Z$950</f>
        <v>2261.923629359881</v>
      </c>
      <c r="L950" s="56">
        <f>EFEITO!$N$950*EFEITO!$AA$950</f>
        <v>1697.5186893487733</v>
      </c>
      <c r="M950" s="56">
        <f>$J$950-EFEITO!$K$950*EFEITO!$Y$950</f>
        <v>0</v>
      </c>
      <c r="N950" s="56">
        <f ca="1">$K$950-EFEITO!$M$950*EFEITO!$Z$950</f>
        <v>0</v>
      </c>
      <c r="O950" s="56">
        <f>$L$950-EFEITO!$O$950*EFEITO!$AA$950</f>
        <v>0</v>
      </c>
      <c r="P950" s="39"/>
      <c r="Q950" s="39"/>
      <c r="R950" s="39"/>
      <c r="S950" s="39"/>
      <c r="T950" s="39"/>
      <c r="U950" s="39"/>
      <c r="V950" s="39"/>
      <c r="W950" s="39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35" t="s">
        <v>21</v>
      </c>
      <c r="B951" s="35" t="s">
        <v>39</v>
      </c>
      <c r="C951" s="35" t="s">
        <v>23</v>
      </c>
      <c r="D951" s="35" t="s">
        <v>46</v>
      </c>
      <c r="E951" s="35" t="s">
        <v>25</v>
      </c>
      <c r="F951" s="35" t="s">
        <v>25</v>
      </c>
      <c r="G951" s="35" t="s">
        <v>25</v>
      </c>
      <c r="H951" s="35" t="s">
        <v>25</v>
      </c>
      <c r="I951" s="55">
        <v>44501</v>
      </c>
      <c r="J951" s="56">
        <f>EFEITO!$J$951*EFEITO!$Y$951</f>
        <v>0</v>
      </c>
      <c r="K951" s="56">
        <f ca="1">EFEITO!$L$951*EFEITO!$Z$951</f>
        <v>49538.302409548087</v>
      </c>
      <c r="L951" s="56">
        <f>EFEITO!$N$951*EFEITO!$AA$951</f>
        <v>37177.291526247129</v>
      </c>
      <c r="M951" s="56">
        <f>$J$951-EFEITO!$K$951*EFEITO!$Y$951</f>
        <v>0</v>
      </c>
      <c r="N951" s="56">
        <f ca="1">$K$951-EFEITO!$M$951*EFEITO!$Z$951</f>
        <v>0</v>
      </c>
      <c r="O951" s="56">
        <f>$L$951-EFEITO!$O$951*EFEITO!$AA$951</f>
        <v>0</v>
      </c>
      <c r="P951" s="39"/>
      <c r="Q951" s="39"/>
      <c r="R951" s="39"/>
      <c r="S951" s="39"/>
      <c r="T951" s="39"/>
      <c r="U951" s="39"/>
      <c r="V951" s="39"/>
      <c r="W951" s="39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35" t="s">
        <v>28</v>
      </c>
      <c r="B952" s="35" t="s">
        <v>39</v>
      </c>
      <c r="C952" s="35" t="s">
        <v>23</v>
      </c>
      <c r="D952" s="35" t="s">
        <v>46</v>
      </c>
      <c r="E952" s="35" t="s">
        <v>25</v>
      </c>
      <c r="F952" s="35" t="s">
        <v>25</v>
      </c>
      <c r="G952" s="35" t="s">
        <v>25</v>
      </c>
      <c r="H952" s="35" t="s">
        <v>25</v>
      </c>
      <c r="I952" s="55">
        <v>44501</v>
      </c>
      <c r="J952" s="56">
        <f>EFEITO!$J$952*EFEITO!$Y$952</f>
        <v>0</v>
      </c>
      <c r="K952" s="56">
        <f ca="1">EFEITO!$L$952*EFEITO!$Z$952</f>
        <v>2419.2433176839495</v>
      </c>
      <c r="L952" s="56">
        <f>EFEITO!$N$952*EFEITO!$AA$952</f>
        <v>1815.5832904989925</v>
      </c>
      <c r="M952" s="56">
        <f>$J$952-EFEITO!$K$952*EFEITO!$Y$952</f>
        <v>0</v>
      </c>
      <c r="N952" s="56">
        <f ca="1">$K$952-EFEITO!$M$952*EFEITO!$Z$952</f>
        <v>0</v>
      </c>
      <c r="O952" s="56">
        <f>$L$952-EFEITO!$O$952*EFEITO!$AA$952</f>
        <v>0</v>
      </c>
      <c r="P952" s="39"/>
      <c r="Q952" s="39"/>
      <c r="R952" s="39"/>
      <c r="S952" s="39"/>
      <c r="T952" s="39"/>
      <c r="U952" s="39"/>
      <c r="V952" s="39"/>
      <c r="W952" s="39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35" t="s">
        <v>21</v>
      </c>
      <c r="B953" s="35" t="s">
        <v>39</v>
      </c>
      <c r="C953" s="35" t="s">
        <v>23</v>
      </c>
      <c r="D953" s="35" t="s">
        <v>46</v>
      </c>
      <c r="E953" s="35" t="s">
        <v>25</v>
      </c>
      <c r="F953" s="35" t="s">
        <v>25</v>
      </c>
      <c r="G953" s="35" t="s">
        <v>25</v>
      </c>
      <c r="H953" s="35" t="s">
        <v>25</v>
      </c>
      <c r="I953" s="55">
        <v>44531</v>
      </c>
      <c r="J953" s="56">
        <f>EFEITO!$J$953*EFEITO!$Y$953</f>
        <v>0</v>
      </c>
      <c r="K953" s="56">
        <f ca="1">EFEITO!$L$953*EFEITO!$Z$953</f>
        <v>52699.195686474071</v>
      </c>
      <c r="L953" s="56">
        <f>EFEITO!$N$953*EFEITO!$AA$953</f>
        <v>39549.465079311434</v>
      </c>
      <c r="M953" s="56">
        <f>$J$953-EFEITO!$K$953*EFEITO!$Y$953</f>
        <v>0</v>
      </c>
      <c r="N953" s="56">
        <f ca="1">$K$953-EFEITO!$M$953*EFEITO!$Z$953</f>
        <v>0</v>
      </c>
      <c r="O953" s="56">
        <f>$L$953-EFEITO!$O$953*EFEITO!$AA$953</f>
        <v>0</v>
      </c>
      <c r="P953" s="39"/>
      <c r="Q953" s="39"/>
      <c r="R953" s="39"/>
      <c r="S953" s="39"/>
      <c r="T953" s="39"/>
      <c r="U953" s="39"/>
      <c r="V953" s="39"/>
      <c r="W953" s="39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35" t="s">
        <v>28</v>
      </c>
      <c r="B954" s="35" t="s">
        <v>39</v>
      </c>
      <c r="C954" s="35" t="s">
        <v>23</v>
      </c>
      <c r="D954" s="35" t="s">
        <v>46</v>
      </c>
      <c r="E954" s="35" t="s">
        <v>25</v>
      </c>
      <c r="F954" s="35" t="s">
        <v>25</v>
      </c>
      <c r="G954" s="35" t="s">
        <v>25</v>
      </c>
      <c r="H954" s="35" t="s">
        <v>25</v>
      </c>
      <c r="I954" s="55">
        <v>44531</v>
      </c>
      <c r="J954" s="56">
        <f>EFEITO!$J$954*EFEITO!$Y$954</f>
        <v>0</v>
      </c>
      <c r="K954" s="56">
        <f ca="1">EFEITO!$L$954*EFEITO!$Z$954</f>
        <v>2240.1743636929587</v>
      </c>
      <c r="L954" s="56">
        <f>EFEITO!$N$954*EFEITO!$AA$954</f>
        <v>1681.1963942588811</v>
      </c>
      <c r="M954" s="56">
        <f>$J$954-EFEITO!$K$954*EFEITO!$Y$954</f>
        <v>0</v>
      </c>
      <c r="N954" s="56">
        <f ca="1">$K$954-EFEITO!$M$954*EFEITO!$Z$954</f>
        <v>0</v>
      </c>
      <c r="O954" s="56">
        <f>$L$954-EFEITO!$O$954*EFEITO!$AA$954</f>
        <v>0</v>
      </c>
      <c r="P954" s="39"/>
      <c r="Q954" s="39"/>
      <c r="R954" s="39"/>
      <c r="S954" s="39"/>
      <c r="T954" s="39"/>
      <c r="U954" s="39"/>
      <c r="V954" s="39"/>
      <c r="W954" s="39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35" t="s">
        <v>21</v>
      </c>
      <c r="B955" s="35" t="s">
        <v>39</v>
      </c>
      <c r="C955" s="35" t="s">
        <v>23</v>
      </c>
      <c r="D955" s="35" t="s">
        <v>46</v>
      </c>
      <c r="E955" s="35" t="s">
        <v>25</v>
      </c>
      <c r="F955" s="35" t="s">
        <v>25</v>
      </c>
      <c r="G955" s="35" t="s">
        <v>25</v>
      </c>
      <c r="H955" s="35" t="s">
        <v>25</v>
      </c>
      <c r="I955" s="55">
        <v>44562</v>
      </c>
      <c r="J955" s="56">
        <f>EFEITO!$J$955*EFEITO!$Y$955</f>
        <v>0</v>
      </c>
      <c r="K955" s="56">
        <f ca="1">EFEITO!$L$955*EFEITO!$Z$955</f>
        <v>39710.171742427177</v>
      </c>
      <c r="L955" s="56">
        <f>EFEITO!$N$955*EFEITO!$AA$955</f>
        <v>29801.518413376405</v>
      </c>
      <c r="M955" s="56">
        <f>$J$955-EFEITO!$K$955*EFEITO!$Y$955</f>
        <v>0</v>
      </c>
      <c r="N955" s="56">
        <f ca="1">$K$955-EFEITO!$M$955*EFEITO!$Z$955</f>
        <v>0</v>
      </c>
      <c r="O955" s="56">
        <f>$L$955-EFEITO!$O$955*EFEITO!$AA$955</f>
        <v>0</v>
      </c>
      <c r="P955" s="39"/>
      <c r="Q955" s="39"/>
      <c r="R955" s="39"/>
      <c r="S955" s="39"/>
      <c r="T955" s="39"/>
      <c r="U955" s="39"/>
      <c r="V955" s="39"/>
      <c r="W955" s="39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35" t="s">
        <v>28</v>
      </c>
      <c r="B956" s="35" t="s">
        <v>39</v>
      </c>
      <c r="C956" s="35" t="s">
        <v>23</v>
      </c>
      <c r="D956" s="35" t="s">
        <v>46</v>
      </c>
      <c r="E956" s="35" t="s">
        <v>25</v>
      </c>
      <c r="F956" s="35" t="s">
        <v>25</v>
      </c>
      <c r="G956" s="35" t="s">
        <v>25</v>
      </c>
      <c r="H956" s="35" t="s">
        <v>25</v>
      </c>
      <c r="I956" s="55">
        <v>44562</v>
      </c>
      <c r="J956" s="56">
        <f>EFEITO!$J$956*EFEITO!$Y$956</f>
        <v>0</v>
      </c>
      <c r="K956" s="56">
        <f ca="1">EFEITO!$L$956*EFEITO!$Z$956</f>
        <v>2721.1956226930488</v>
      </c>
      <c r="L956" s="56">
        <f>EFEITO!$N$956*EFEITO!$AA$956</f>
        <v>2042.1911539969938</v>
      </c>
      <c r="M956" s="56">
        <f>$J$956-EFEITO!$K$956*EFEITO!$Y$956</f>
        <v>0</v>
      </c>
      <c r="N956" s="56">
        <f ca="1">$K$956-EFEITO!$M$956*EFEITO!$Z$956</f>
        <v>0</v>
      </c>
      <c r="O956" s="56">
        <f>$L$956-EFEITO!$O$956*EFEITO!$AA$956</f>
        <v>0</v>
      </c>
      <c r="P956" s="39"/>
      <c r="Q956" s="39"/>
      <c r="R956" s="39"/>
      <c r="S956" s="39"/>
      <c r="T956" s="39"/>
      <c r="U956" s="39"/>
      <c r="V956" s="39"/>
      <c r="W956" s="39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35" t="s">
        <v>21</v>
      </c>
      <c r="B957" s="35" t="s">
        <v>39</v>
      </c>
      <c r="C957" s="35" t="s">
        <v>23</v>
      </c>
      <c r="D957" s="35" t="s">
        <v>46</v>
      </c>
      <c r="E957" s="35" t="s">
        <v>25</v>
      </c>
      <c r="F957" s="35" t="s">
        <v>25</v>
      </c>
      <c r="G957" s="35" t="s">
        <v>25</v>
      </c>
      <c r="H957" s="35" t="s">
        <v>25</v>
      </c>
      <c r="I957" s="55">
        <v>44593</v>
      </c>
      <c r="J957" s="56">
        <f>EFEITO!$J$957*EFEITO!$Y$957</f>
        <v>0</v>
      </c>
      <c r="K957" s="56">
        <f ca="1">EFEITO!$L$957*EFEITO!$Z$957</f>
        <v>49246.137274089095</v>
      </c>
      <c r="L957" s="56">
        <f>EFEITO!$N$957*EFEITO!$AA$957</f>
        <v>36958.028695539571</v>
      </c>
      <c r="M957" s="56">
        <f>$J$957-EFEITO!$K$957*EFEITO!$Y$957</f>
        <v>0</v>
      </c>
      <c r="N957" s="56">
        <f ca="1">$K$957-EFEITO!$M$957*EFEITO!$Z$957</f>
        <v>0</v>
      </c>
      <c r="O957" s="56">
        <f>$L$957-EFEITO!$O$957*EFEITO!$AA$957</f>
        <v>0</v>
      </c>
      <c r="P957" s="39"/>
      <c r="Q957" s="39"/>
      <c r="R957" s="39"/>
      <c r="S957" s="39"/>
      <c r="T957" s="39"/>
      <c r="U957" s="39"/>
      <c r="V957" s="39"/>
      <c r="W957" s="39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35" t="s">
        <v>21</v>
      </c>
      <c r="B958" s="35" t="s">
        <v>39</v>
      </c>
      <c r="C958" s="35" t="s">
        <v>23</v>
      </c>
      <c r="D958" s="35" t="s">
        <v>46</v>
      </c>
      <c r="E958" s="35" t="s">
        <v>25</v>
      </c>
      <c r="F958" s="35" t="s">
        <v>25</v>
      </c>
      <c r="G958" s="35" t="s">
        <v>25</v>
      </c>
      <c r="H958" s="35" t="s">
        <v>25</v>
      </c>
      <c r="I958" s="55">
        <v>44621</v>
      </c>
      <c r="J958" s="56">
        <f>EFEITO!$J$958*EFEITO!$Y$958</f>
        <v>0</v>
      </c>
      <c r="K958" s="56">
        <f ca="1">EFEITO!$L$958*EFEITO!$Z$958</f>
        <v>58518.574203420147</v>
      </c>
      <c r="L958" s="56">
        <f>EFEITO!$N$958*EFEITO!$AA$958</f>
        <v>43916.767168863553</v>
      </c>
      <c r="M958" s="56">
        <f>$J$958-EFEITO!$K$958*EFEITO!$Y$958</f>
        <v>0</v>
      </c>
      <c r="N958" s="56">
        <f ca="1">$K$958-EFEITO!$M$958*EFEITO!$Z$958</f>
        <v>0</v>
      </c>
      <c r="O958" s="56">
        <f>$L$958-EFEITO!$O$958*EFEITO!$AA$958</f>
        <v>0</v>
      </c>
      <c r="P958" s="39"/>
      <c r="Q958" s="39"/>
      <c r="R958" s="39"/>
      <c r="S958" s="39"/>
      <c r="T958" s="39"/>
      <c r="U958" s="39"/>
      <c r="V958" s="39"/>
      <c r="W958" s="39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35" t="s">
        <v>28</v>
      </c>
      <c r="B959" s="35" t="s">
        <v>39</v>
      </c>
      <c r="C959" s="35" t="s">
        <v>23</v>
      </c>
      <c r="D959" s="35" t="s">
        <v>46</v>
      </c>
      <c r="E959" s="35" t="s">
        <v>25</v>
      </c>
      <c r="F959" s="35" t="s">
        <v>25</v>
      </c>
      <c r="G959" s="35" t="s">
        <v>25</v>
      </c>
      <c r="H959" s="35" t="s">
        <v>25</v>
      </c>
      <c r="I959" s="55">
        <v>44621</v>
      </c>
      <c r="J959" s="56">
        <f>EFEITO!$J$959*EFEITO!$Y$959</f>
        <v>0</v>
      </c>
      <c r="K959" s="56">
        <f ca="1">EFEITO!$L$959*EFEITO!$Z$959</f>
        <v>1368.7537859716201</v>
      </c>
      <c r="L959" s="56">
        <f>EFEITO!$N$959*EFEITO!$AA$959</f>
        <v>1027.2164376572064</v>
      </c>
      <c r="M959" s="56">
        <f>$J$959-EFEITO!$K$959*EFEITO!$Y$959</f>
        <v>0</v>
      </c>
      <c r="N959" s="56">
        <f ca="1">$K$959-EFEITO!$M$959*EFEITO!$Z$959</f>
        <v>0</v>
      </c>
      <c r="O959" s="56">
        <f>$L$959-EFEITO!$O$959*EFEITO!$AA$959</f>
        <v>0</v>
      </c>
      <c r="P959" s="39"/>
      <c r="Q959" s="39"/>
      <c r="R959" s="39"/>
      <c r="S959" s="39"/>
      <c r="T959" s="39"/>
      <c r="U959" s="39"/>
      <c r="V959" s="39"/>
      <c r="W959" s="39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35" t="s">
        <v>21</v>
      </c>
      <c r="B960" s="35" t="s">
        <v>39</v>
      </c>
      <c r="C960" s="35" t="s">
        <v>23</v>
      </c>
      <c r="D960" s="35" t="s">
        <v>46</v>
      </c>
      <c r="E960" s="35" t="s">
        <v>25</v>
      </c>
      <c r="F960" s="35" t="s">
        <v>25</v>
      </c>
      <c r="G960" s="35" t="s">
        <v>25</v>
      </c>
      <c r="H960" s="35" t="s">
        <v>25</v>
      </c>
      <c r="I960" s="55">
        <v>44652</v>
      </c>
      <c r="J960" s="56">
        <f>EFEITO!$J$960*EFEITO!$Y$960</f>
        <v>0</v>
      </c>
      <c r="K960" s="56">
        <f ca="1">EFEITO!$L$960*EFEITO!$Z$960</f>
        <v>54870.134887793996</v>
      </c>
      <c r="L960" s="56">
        <f>EFEITO!$N$960*EFEITO!$AA$960</f>
        <v>41178.70216753416</v>
      </c>
      <c r="M960" s="56">
        <f>$J$960-EFEITO!$K$960*EFEITO!$Y$960</f>
        <v>0</v>
      </c>
      <c r="N960" s="56">
        <f ca="1">$K$960-EFEITO!$M$960*EFEITO!$Z$960</f>
        <v>0</v>
      </c>
      <c r="O960" s="56">
        <f>$L$960-EFEITO!$O$960*EFEITO!$AA$960</f>
        <v>0</v>
      </c>
      <c r="P960" s="39"/>
      <c r="Q960" s="39"/>
      <c r="R960" s="39"/>
      <c r="S960" s="39"/>
      <c r="T960" s="39"/>
      <c r="U960" s="39"/>
      <c r="V960" s="39"/>
      <c r="W960" s="39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35" t="s">
        <v>28</v>
      </c>
      <c r="B961" s="35" t="s">
        <v>39</v>
      </c>
      <c r="C961" s="35" t="s">
        <v>23</v>
      </c>
      <c r="D961" s="35" t="s">
        <v>46</v>
      </c>
      <c r="E961" s="35" t="s">
        <v>25</v>
      </c>
      <c r="F961" s="35" t="s">
        <v>25</v>
      </c>
      <c r="G961" s="35" t="s">
        <v>25</v>
      </c>
      <c r="H961" s="35" t="s">
        <v>25</v>
      </c>
      <c r="I961" s="55">
        <v>44652</v>
      </c>
      <c r="J961" s="56">
        <f>EFEITO!$J$961*EFEITO!$Y$961</f>
        <v>0</v>
      </c>
      <c r="K961" s="56">
        <f ca="1">EFEITO!$L$961*EFEITO!$Z$961</f>
        <v>1908.8605500335148</v>
      </c>
      <c r="L961" s="56">
        <f>EFEITO!$N$961*EFEITO!$AA$961</f>
        <v>1432.5534323895256</v>
      </c>
      <c r="M961" s="56">
        <f>$J$961-EFEITO!$K$961*EFEITO!$Y$961</f>
        <v>0</v>
      </c>
      <c r="N961" s="56">
        <f ca="1">$K$961-EFEITO!$M$961*EFEITO!$Z$961</f>
        <v>0</v>
      </c>
      <c r="O961" s="56">
        <f>$L$961-EFEITO!$O$961*EFEITO!$AA$961</f>
        <v>0</v>
      </c>
      <c r="P961" s="39"/>
      <c r="Q961" s="39"/>
      <c r="R961" s="39"/>
      <c r="S961" s="39"/>
      <c r="T961" s="39"/>
      <c r="U961" s="39"/>
      <c r="V961" s="39"/>
      <c r="W961" s="39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35" t="s">
        <v>21</v>
      </c>
      <c r="B962" s="35" t="s">
        <v>39</v>
      </c>
      <c r="C962" s="35" t="s">
        <v>23</v>
      </c>
      <c r="D962" s="35" t="s">
        <v>46</v>
      </c>
      <c r="E962" s="35" t="s">
        <v>25</v>
      </c>
      <c r="F962" s="35" t="s">
        <v>25</v>
      </c>
      <c r="G962" s="35" t="s">
        <v>25</v>
      </c>
      <c r="H962" s="35" t="s">
        <v>25</v>
      </c>
      <c r="I962" s="55">
        <v>44682</v>
      </c>
      <c r="J962" s="56">
        <f>EFEITO!$J$962*EFEITO!$Y$962</f>
        <v>0</v>
      </c>
      <c r="K962" s="56">
        <f ca="1">EFEITO!$L$962*EFEITO!$Z$962</f>
        <v>55425.10365006161</v>
      </c>
      <c r="L962" s="56">
        <f>EFEITO!$N$962*EFEITO!$AA$962</f>
        <v>41595.192730577903</v>
      </c>
      <c r="M962" s="56">
        <f>$J$962-EFEITO!$K$962*EFEITO!$Y$962</f>
        <v>0</v>
      </c>
      <c r="N962" s="56">
        <f ca="1">$K$962-EFEITO!$M$962*EFEITO!$Z$962</f>
        <v>0</v>
      </c>
      <c r="O962" s="56">
        <f>$L$962-EFEITO!$O$962*EFEITO!$AA$962</f>
        <v>0</v>
      </c>
      <c r="P962" s="39"/>
      <c r="Q962" s="39"/>
      <c r="R962" s="39"/>
      <c r="S962" s="39"/>
      <c r="T962" s="39"/>
      <c r="U962" s="39"/>
      <c r="V962" s="39"/>
      <c r="W962" s="39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35" t="s">
        <v>28</v>
      </c>
      <c r="B963" s="35" t="s">
        <v>39</v>
      </c>
      <c r="C963" s="35" t="s">
        <v>23</v>
      </c>
      <c r="D963" s="35" t="s">
        <v>46</v>
      </c>
      <c r="E963" s="35" t="s">
        <v>25</v>
      </c>
      <c r="F963" s="35" t="s">
        <v>25</v>
      </c>
      <c r="G963" s="35" t="s">
        <v>25</v>
      </c>
      <c r="H963" s="35" t="s">
        <v>25</v>
      </c>
      <c r="I963" s="55">
        <v>44682</v>
      </c>
      <c r="J963" s="56">
        <f>EFEITO!$J$963*EFEITO!$Y$963</f>
        <v>0</v>
      </c>
      <c r="K963" s="56">
        <f ca="1">EFEITO!$L$963*EFEITO!$Z$963</f>
        <v>2239.0869004096126</v>
      </c>
      <c r="L963" s="56">
        <f>EFEITO!$N$963*EFEITO!$AA$963</f>
        <v>1680.3802795043866</v>
      </c>
      <c r="M963" s="56">
        <f>$J$963-EFEITO!$K$963*EFEITO!$Y$963</f>
        <v>0</v>
      </c>
      <c r="N963" s="56">
        <f ca="1">$K$963-EFEITO!$M$963*EFEITO!$Z$963</f>
        <v>0</v>
      </c>
      <c r="O963" s="56">
        <f>$L$963-EFEITO!$O$963*EFEITO!$AA$963</f>
        <v>0</v>
      </c>
      <c r="P963" s="39"/>
      <c r="Q963" s="39"/>
      <c r="R963" s="39"/>
      <c r="S963" s="39"/>
      <c r="T963" s="39"/>
      <c r="U963" s="39"/>
      <c r="V963" s="39"/>
      <c r="W963" s="39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35" t="s">
        <v>21</v>
      </c>
      <c r="B964" s="35" t="s">
        <v>39</v>
      </c>
      <c r="C964" s="35" t="s">
        <v>23</v>
      </c>
      <c r="D964" s="35" t="s">
        <v>50</v>
      </c>
      <c r="E964" s="35" t="s">
        <v>51</v>
      </c>
      <c r="F964" s="35" t="s">
        <v>25</v>
      </c>
      <c r="G964" s="35" t="s">
        <v>25</v>
      </c>
      <c r="H964" s="35" t="s">
        <v>25</v>
      </c>
      <c r="I964" s="55">
        <v>44348</v>
      </c>
      <c r="J964" s="56">
        <f>EFEITO!$J$964*EFEITO!$Y$963</f>
        <v>0</v>
      </c>
      <c r="K964" s="56">
        <f ca="1">EFEITO!$L$964*EFEITO!$Z$963</f>
        <v>15470.615156642685</v>
      </c>
      <c r="L964" s="56">
        <f>EFEITO!$N$964*EFEITO!$AA$963</f>
        <v>11610.320535691715</v>
      </c>
      <c r="M964" s="56">
        <f>$J$964-EFEITO!$K$964*EFEITO!$Y$964</f>
        <v>0</v>
      </c>
      <c r="N964" s="56">
        <f ca="1">$K$964-EFEITO!$M$964*EFEITO!$Z$964</f>
        <v>464.11845469928085</v>
      </c>
      <c r="O964" s="56">
        <f>$L$964-EFEITO!$O$964*EFEITO!$AA$964</f>
        <v>348.30961607075187</v>
      </c>
      <c r="P964" s="39"/>
      <c r="Q964" s="39"/>
      <c r="R964" s="39"/>
      <c r="S964" s="39"/>
      <c r="T964" s="39"/>
      <c r="U964" s="39"/>
      <c r="V964" s="39"/>
      <c r="W964" s="39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35" t="s">
        <v>21</v>
      </c>
      <c r="B965" s="35" t="s">
        <v>39</v>
      </c>
      <c r="C965" s="35" t="s">
        <v>23</v>
      </c>
      <c r="D965" s="35" t="s">
        <v>50</v>
      </c>
      <c r="E965" s="35" t="s">
        <v>51</v>
      </c>
      <c r="F965" s="35" t="s">
        <v>25</v>
      </c>
      <c r="G965" s="35" t="s">
        <v>25</v>
      </c>
      <c r="H965" s="35" t="s">
        <v>25</v>
      </c>
      <c r="I965" s="55">
        <v>44378</v>
      </c>
      <c r="J965" s="56">
        <f>EFEITO!$J$965*EFEITO!$Y$963</f>
        <v>0</v>
      </c>
      <c r="K965" s="56">
        <f ca="1">EFEITO!$L$965*EFEITO!$Z$963</f>
        <v>18147.224784718546</v>
      </c>
      <c r="L965" s="56">
        <f>EFEITO!$N$965*EFEITO!$AA$963</f>
        <v>13619.050984754429</v>
      </c>
      <c r="M965" s="56">
        <f>$J$965-EFEITO!$K$965*EFEITO!$Y$965</f>
        <v>0</v>
      </c>
      <c r="N965" s="56">
        <f ca="1">$K$965-EFEITO!$M$965*EFEITO!$Z$965</f>
        <v>544.41674354155839</v>
      </c>
      <c r="O965" s="56">
        <f>$L$965-EFEITO!$O$965*EFEITO!$AA$965</f>
        <v>408.57152954263074</v>
      </c>
      <c r="P965" s="39"/>
      <c r="Q965" s="39"/>
      <c r="R965" s="39"/>
      <c r="S965" s="39"/>
      <c r="T965" s="39"/>
      <c r="U965" s="39"/>
      <c r="V965" s="39"/>
      <c r="W965" s="39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35" t="s">
        <v>21</v>
      </c>
      <c r="B966" s="35" t="s">
        <v>39</v>
      </c>
      <c r="C966" s="35" t="s">
        <v>23</v>
      </c>
      <c r="D966" s="35" t="s">
        <v>50</v>
      </c>
      <c r="E966" s="35" t="s">
        <v>51</v>
      </c>
      <c r="F966" s="35" t="s">
        <v>25</v>
      </c>
      <c r="G966" s="35" t="s">
        <v>25</v>
      </c>
      <c r="H966" s="35" t="s">
        <v>25</v>
      </c>
      <c r="I966" s="55">
        <v>44409</v>
      </c>
      <c r="J966" s="56">
        <f>EFEITO!$J$966*EFEITO!$Y$963</f>
        <v>0</v>
      </c>
      <c r="K966" s="56">
        <f ca="1">EFEITO!$L$966*EFEITO!$Z$963</f>
        <v>18003.317143555741</v>
      </c>
      <c r="L966" s="56">
        <f>EFEITO!$N$966*EFEITO!$AA$963</f>
        <v>13511.051798909642</v>
      </c>
      <c r="M966" s="56">
        <f>$J$966-EFEITO!$K$966*EFEITO!$Y$966</f>
        <v>0</v>
      </c>
      <c r="N966" s="56">
        <f ca="1">$K$966-EFEITO!$M$966*EFEITO!$Z$966</f>
        <v>540.09951430667206</v>
      </c>
      <c r="O966" s="56">
        <f>$L$966-EFEITO!$O$966*EFEITO!$AA$966</f>
        <v>405.33155396728762</v>
      </c>
      <c r="P966" s="39"/>
      <c r="Q966" s="39"/>
      <c r="R966" s="39"/>
      <c r="S966" s="39"/>
      <c r="T966" s="39"/>
      <c r="U966" s="39"/>
      <c r="V966" s="39"/>
      <c r="W966" s="39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35" t="s">
        <v>21</v>
      </c>
      <c r="B967" s="35" t="s">
        <v>39</v>
      </c>
      <c r="C967" s="35" t="s">
        <v>23</v>
      </c>
      <c r="D967" s="35" t="s">
        <v>50</v>
      </c>
      <c r="E967" s="35" t="s">
        <v>51</v>
      </c>
      <c r="F967" s="35" t="s">
        <v>25</v>
      </c>
      <c r="G967" s="35" t="s">
        <v>25</v>
      </c>
      <c r="H967" s="35" t="s">
        <v>25</v>
      </c>
      <c r="I967" s="55">
        <v>44440</v>
      </c>
      <c r="J967" s="56">
        <f>EFEITO!$J$967*EFEITO!$Y$963</f>
        <v>0</v>
      </c>
      <c r="K967" s="56">
        <f ca="1">EFEITO!$L$967*EFEITO!$Z$963</f>
        <v>16990.526338999411</v>
      </c>
      <c r="L967" s="56">
        <f>EFEITO!$N$967*EFEITO!$AA$963</f>
        <v>12750.976924223671</v>
      </c>
      <c r="M967" s="56">
        <f>$J$967-EFEITO!$K$967*EFEITO!$Y$967</f>
        <v>0</v>
      </c>
      <c r="N967" s="56">
        <f ca="1">$K$967-EFEITO!$M$967*EFEITO!$Z$967</f>
        <v>509.7157901699793</v>
      </c>
      <c r="O967" s="56">
        <f>$L$967-EFEITO!$O$967*EFEITO!$AA$967</f>
        <v>382.52930772670879</v>
      </c>
      <c r="P967" s="39"/>
      <c r="Q967" s="39"/>
      <c r="R967" s="39"/>
      <c r="S967" s="39"/>
      <c r="T967" s="39"/>
      <c r="U967" s="39"/>
      <c r="V967" s="39"/>
      <c r="W967" s="39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35" t="s">
        <v>21</v>
      </c>
      <c r="B968" s="35" t="s">
        <v>39</v>
      </c>
      <c r="C968" s="35" t="s">
        <v>23</v>
      </c>
      <c r="D968" s="35" t="s">
        <v>50</v>
      </c>
      <c r="E968" s="35" t="s">
        <v>51</v>
      </c>
      <c r="F968" s="35" t="s">
        <v>25</v>
      </c>
      <c r="G968" s="35" t="s">
        <v>25</v>
      </c>
      <c r="H968" s="35" t="s">
        <v>25</v>
      </c>
      <c r="I968" s="55">
        <v>44470</v>
      </c>
      <c r="J968" s="56">
        <f>EFEITO!$J$968*EFEITO!$Y$963</f>
        <v>0</v>
      </c>
      <c r="K968" s="56">
        <f ca="1">EFEITO!$L$968*EFEITO!$Z$963</f>
        <v>16057.120354127344</v>
      </c>
      <c r="L968" s="56">
        <f>EFEITO!$N$968*EFEITO!$AA$963</f>
        <v>12050.478426615802</v>
      </c>
      <c r="M968" s="56">
        <f>$J$968-EFEITO!$K$968*EFEITO!$Y$968</f>
        <v>0</v>
      </c>
      <c r="N968" s="56">
        <f ca="1">$K$968-EFEITO!$M$968*EFEITO!$Z$968</f>
        <v>481.71361062381948</v>
      </c>
      <c r="O968" s="56">
        <f>$L$968-EFEITO!$O$968*EFEITO!$AA$968</f>
        <v>361.51435279847283</v>
      </c>
      <c r="P968" s="39"/>
      <c r="Q968" s="39"/>
      <c r="R968" s="39"/>
      <c r="S968" s="39"/>
      <c r="T968" s="39"/>
      <c r="U968" s="39"/>
      <c r="V968" s="39"/>
      <c r="W968" s="39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35" t="s">
        <v>21</v>
      </c>
      <c r="B969" s="35" t="s">
        <v>39</v>
      </c>
      <c r="C969" s="35" t="s">
        <v>23</v>
      </c>
      <c r="D969" s="35" t="s">
        <v>50</v>
      </c>
      <c r="E969" s="35" t="s">
        <v>51</v>
      </c>
      <c r="F969" s="35" t="s">
        <v>25</v>
      </c>
      <c r="G969" s="35" t="s">
        <v>25</v>
      </c>
      <c r="H969" s="35" t="s">
        <v>25</v>
      </c>
      <c r="I969" s="55">
        <v>44501</v>
      </c>
      <c r="J969" s="56">
        <f>EFEITO!$J$969*EFEITO!$Y$963</f>
        <v>0</v>
      </c>
      <c r="K969" s="56">
        <f ca="1">EFEITO!$L$969*EFEITO!$Z$963</f>
        <v>16144.842392317265</v>
      </c>
      <c r="L969" s="56">
        <f>EFEITO!$N$969*EFEITO!$AA$963</f>
        <v>12116.311683478369</v>
      </c>
      <c r="M969" s="56">
        <f>$J$969-EFEITO!$K$969*EFEITO!$Y$969</f>
        <v>0</v>
      </c>
      <c r="N969" s="56">
        <f ca="1">$K$969-EFEITO!$M$969*EFEITO!$Z$969</f>
        <v>484.34527176951815</v>
      </c>
      <c r="O969" s="56">
        <f>$L$969-EFEITO!$O$969*EFEITO!$AA$969</f>
        <v>363.48935050435102</v>
      </c>
      <c r="P969" s="39"/>
      <c r="Q969" s="39"/>
      <c r="R969" s="39"/>
      <c r="S969" s="39"/>
      <c r="T969" s="39"/>
      <c r="U969" s="39"/>
      <c r="V969" s="39"/>
      <c r="W969" s="39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35" t="s">
        <v>21</v>
      </c>
      <c r="B970" s="35" t="s">
        <v>39</v>
      </c>
      <c r="C970" s="35" t="s">
        <v>23</v>
      </c>
      <c r="D970" s="35" t="s">
        <v>50</v>
      </c>
      <c r="E970" s="35" t="s">
        <v>51</v>
      </c>
      <c r="F970" s="35" t="s">
        <v>25</v>
      </c>
      <c r="G970" s="35" t="s">
        <v>25</v>
      </c>
      <c r="H970" s="35" t="s">
        <v>25</v>
      </c>
      <c r="I970" s="55">
        <v>44531</v>
      </c>
      <c r="J970" s="56">
        <f>EFEITO!$J$970*EFEITO!$Y$963</f>
        <v>0</v>
      </c>
      <c r="K970" s="56">
        <f ca="1">EFEITO!$L$970*EFEITO!$Z$963</f>
        <v>20871.68279726163</v>
      </c>
      <c r="L970" s="56">
        <f>EFEITO!$N$970*EFEITO!$AA$963</f>
        <v>15663.690483014907</v>
      </c>
      <c r="M970" s="56">
        <f>$J$970-EFEITO!$K$970*EFEITO!$Y$970</f>
        <v>0</v>
      </c>
      <c r="N970" s="56">
        <f ca="1">$K$970-EFEITO!$M$970*EFEITO!$Z$970</f>
        <v>626.15048391784876</v>
      </c>
      <c r="O970" s="56">
        <f>$L$970-EFEITO!$O$970*EFEITO!$AA$970</f>
        <v>469.91071449044648</v>
      </c>
      <c r="P970" s="39"/>
      <c r="Q970" s="39"/>
      <c r="R970" s="39"/>
      <c r="S970" s="39"/>
      <c r="T970" s="39"/>
      <c r="U970" s="39"/>
      <c r="V970" s="39"/>
      <c r="W970" s="39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35" t="s">
        <v>21</v>
      </c>
      <c r="B971" s="35" t="s">
        <v>39</v>
      </c>
      <c r="C971" s="35" t="s">
        <v>23</v>
      </c>
      <c r="D971" s="35" t="s">
        <v>50</v>
      </c>
      <c r="E971" s="35" t="s">
        <v>51</v>
      </c>
      <c r="F971" s="35" t="s">
        <v>25</v>
      </c>
      <c r="G971" s="35" t="s">
        <v>25</v>
      </c>
      <c r="H971" s="35" t="s">
        <v>25</v>
      </c>
      <c r="I971" s="55">
        <v>44562</v>
      </c>
      <c r="J971" s="56">
        <f>EFEITO!$J$971*EFEITO!$Y$963</f>
        <v>0</v>
      </c>
      <c r="K971" s="56">
        <f ca="1">EFEITO!$L$971*EFEITO!$Z$963</f>
        <v>22269.073116361364</v>
      </c>
      <c r="L971" s="56">
        <f>EFEITO!$N$971*EFEITO!$AA$963</f>
        <v>16712.397942540469</v>
      </c>
      <c r="M971" s="56">
        <f>$J$971-EFEITO!$K$971*EFEITO!$Y$971</f>
        <v>0</v>
      </c>
      <c r="N971" s="56">
        <f ca="1">$K$971-EFEITO!$M$971*EFEITO!$Z$971</f>
        <v>668.07219349083971</v>
      </c>
      <c r="O971" s="56">
        <f>$L$971-EFEITO!$O$971*EFEITO!$AA$971</f>
        <v>501.37193827621195</v>
      </c>
      <c r="P971" s="39"/>
      <c r="Q971" s="39"/>
      <c r="R971" s="39"/>
      <c r="S971" s="39"/>
      <c r="T971" s="39"/>
      <c r="U971" s="39"/>
      <c r="V971" s="39"/>
      <c r="W971" s="39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35" t="s">
        <v>21</v>
      </c>
      <c r="B972" s="35" t="s">
        <v>39</v>
      </c>
      <c r="C972" s="35" t="s">
        <v>23</v>
      </c>
      <c r="D972" s="35" t="s">
        <v>50</v>
      </c>
      <c r="E972" s="35" t="s">
        <v>51</v>
      </c>
      <c r="F972" s="35" t="s">
        <v>25</v>
      </c>
      <c r="G972" s="35" t="s">
        <v>25</v>
      </c>
      <c r="H972" s="35" t="s">
        <v>25</v>
      </c>
      <c r="I972" s="55">
        <v>44593</v>
      </c>
      <c r="J972" s="56">
        <f>EFEITO!$J$972*EFEITO!$Y$963</f>
        <v>0</v>
      </c>
      <c r="K972" s="56">
        <f ca="1">EFEITO!$L$972*EFEITO!$Z$963</f>
        <v>24156.184400727958</v>
      </c>
      <c r="L972" s="56">
        <f>EFEITO!$N$972*EFEITO!$AA$963</f>
        <v>18128.629079840106</v>
      </c>
      <c r="M972" s="56">
        <f>$J$972-EFEITO!$K$972*EFEITO!$Y$972</f>
        <v>0</v>
      </c>
      <c r="N972" s="56">
        <f ca="1">$K$972-EFEITO!$M$972*EFEITO!$Z$972</f>
        <v>724.6855320218383</v>
      </c>
      <c r="O972" s="56">
        <f>$L$972-EFEITO!$O$972*EFEITO!$AA$972</f>
        <v>543.85887239520162</v>
      </c>
      <c r="P972" s="39"/>
      <c r="Q972" s="39"/>
      <c r="R972" s="39"/>
      <c r="S972" s="39"/>
      <c r="T972" s="39"/>
      <c r="U972" s="39"/>
      <c r="V972" s="39"/>
      <c r="W972" s="39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35" t="s">
        <v>21</v>
      </c>
      <c r="B973" s="35" t="s">
        <v>39</v>
      </c>
      <c r="C973" s="35" t="s">
        <v>23</v>
      </c>
      <c r="D973" s="35" t="s">
        <v>50</v>
      </c>
      <c r="E973" s="35" t="s">
        <v>51</v>
      </c>
      <c r="F973" s="35" t="s">
        <v>25</v>
      </c>
      <c r="G973" s="35" t="s">
        <v>25</v>
      </c>
      <c r="H973" s="35" t="s">
        <v>25</v>
      </c>
      <c r="I973" s="55">
        <v>44621</v>
      </c>
      <c r="J973" s="56">
        <f>EFEITO!$J$973*EFEITO!$Y$963</f>
        <v>0</v>
      </c>
      <c r="K973" s="56">
        <f ca="1">EFEITO!$L$973*EFEITO!$Z$963</f>
        <v>23690.387627694716</v>
      </c>
      <c r="L973" s="56">
        <f>EFEITO!$N$973*EFEITO!$AA$963</f>
        <v>17779.059926664919</v>
      </c>
      <c r="M973" s="56">
        <f>$J$973-EFEITO!$K$973*EFEITO!$Y$973</f>
        <v>0</v>
      </c>
      <c r="N973" s="56">
        <f ca="1">$K$973-EFEITO!$M$973*EFEITO!$Z$973</f>
        <v>710.71162883084253</v>
      </c>
      <c r="O973" s="56">
        <f>$L$973-EFEITO!$O$973*EFEITO!$AA$973</f>
        <v>533.37179779994767</v>
      </c>
      <c r="P973" s="39"/>
      <c r="Q973" s="39"/>
      <c r="R973" s="39"/>
      <c r="S973" s="39"/>
      <c r="T973" s="39"/>
      <c r="U973" s="39"/>
      <c r="V973" s="39"/>
      <c r="W973" s="39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35" t="s">
        <v>21</v>
      </c>
      <c r="B974" s="35" t="s">
        <v>39</v>
      </c>
      <c r="C974" s="35" t="s">
        <v>23</v>
      </c>
      <c r="D974" s="35" t="s">
        <v>50</v>
      </c>
      <c r="E974" s="35" t="s">
        <v>51</v>
      </c>
      <c r="F974" s="35" t="s">
        <v>25</v>
      </c>
      <c r="G974" s="35" t="s">
        <v>25</v>
      </c>
      <c r="H974" s="35" t="s">
        <v>25</v>
      </c>
      <c r="I974" s="55">
        <v>44652</v>
      </c>
      <c r="J974" s="56">
        <f>EFEITO!$J$974*EFEITO!$Y$963</f>
        <v>0</v>
      </c>
      <c r="K974" s="56">
        <f ca="1">EFEITO!$L$974*EFEITO!$Z$963</f>
        <v>23196.679297055587</v>
      </c>
      <c r="L974" s="56">
        <f>EFEITO!$N$974*EFEITO!$AA$963</f>
        <v>17408.543828124366</v>
      </c>
      <c r="M974" s="56">
        <f>$J$974-EFEITO!$K$974*EFEITO!$Y$974</f>
        <v>0</v>
      </c>
      <c r="N974" s="56">
        <f ca="1">$K$974-EFEITO!$M$974*EFEITO!$Z$974</f>
        <v>695.90037891166867</v>
      </c>
      <c r="O974" s="56">
        <f>$L$974-EFEITO!$O$974*EFEITO!$AA$974</f>
        <v>522.25631484372934</v>
      </c>
      <c r="P974" s="39"/>
      <c r="Q974" s="39"/>
      <c r="R974" s="39"/>
      <c r="S974" s="39"/>
      <c r="T974" s="39"/>
      <c r="U974" s="39"/>
      <c r="V974" s="39"/>
      <c r="W974" s="39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35" t="s">
        <v>21</v>
      </c>
      <c r="B975" s="35" t="s">
        <v>39</v>
      </c>
      <c r="C975" s="35" t="s">
        <v>23</v>
      </c>
      <c r="D975" s="35" t="s">
        <v>50</v>
      </c>
      <c r="E975" s="35" t="s">
        <v>51</v>
      </c>
      <c r="F975" s="35" t="s">
        <v>25</v>
      </c>
      <c r="G975" s="35" t="s">
        <v>25</v>
      </c>
      <c r="H975" s="35" t="s">
        <v>25</v>
      </c>
      <c r="I975" s="55">
        <v>44682</v>
      </c>
      <c r="J975" s="56">
        <f>EFEITO!$J$975*EFEITO!$Y$963</f>
        <v>0</v>
      </c>
      <c r="K975" s="56">
        <f ca="1">EFEITO!$L$975*EFEITO!$Z$963</f>
        <v>23736.061085595247</v>
      </c>
      <c r="L975" s="56">
        <f>EFEITO!$N$975*EFEITO!$AA$963</f>
        <v>17813.336746353689</v>
      </c>
      <c r="M975" s="56">
        <f>$J$975-EFEITO!$K$975*EFEITO!$Y$975</f>
        <v>0</v>
      </c>
      <c r="N975" s="56">
        <f ca="1">$K$975-EFEITO!$M$975*EFEITO!$Z$975</f>
        <v>712.0818325678556</v>
      </c>
      <c r="O975" s="56">
        <f>$L$975-EFEITO!$O$975*EFEITO!$AA$975</f>
        <v>534.40010239060939</v>
      </c>
      <c r="P975" s="39"/>
      <c r="Q975" s="39"/>
      <c r="R975" s="39"/>
      <c r="S975" s="39"/>
      <c r="T975" s="39"/>
      <c r="U975" s="39"/>
      <c r="V975" s="39"/>
      <c r="W975" s="39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35" t="s">
        <v>21</v>
      </c>
      <c r="B976" s="35" t="s">
        <v>47</v>
      </c>
      <c r="C976" s="35" t="s">
        <v>23</v>
      </c>
      <c r="D976" s="35" t="s">
        <v>48</v>
      </c>
      <c r="E976" s="35" t="s">
        <v>49</v>
      </c>
      <c r="F976" s="35" t="s">
        <v>25</v>
      </c>
      <c r="G976" s="35" t="s">
        <v>25</v>
      </c>
      <c r="H976" s="35" t="s">
        <v>25</v>
      </c>
      <c r="I976" s="55">
        <v>44348</v>
      </c>
      <c r="J976" s="56">
        <f>EFEITO!$J$976*EFEITO!$Y$976</f>
        <v>0</v>
      </c>
      <c r="K976" s="56">
        <f ca="1">EFEITO!$L$976*EFEITO!$Z$976</f>
        <v>198124.21061730312</v>
      </c>
      <c r="L976" s="56">
        <f>EFEITO!$N$976*EFEITO!$AA$976</f>
        <v>148687.40304486861</v>
      </c>
      <c r="M976" s="56">
        <f>$J$976-EFEITO!$K$976*EFEITO!$Y$976</f>
        <v>0</v>
      </c>
      <c r="N976" s="56">
        <f ca="1">$K$976-EFEITO!$M$976*EFEITO!$Z$976</f>
        <v>0</v>
      </c>
      <c r="O976" s="56">
        <f>$L$976-EFEITO!$O$976*EFEITO!$AA$976</f>
        <v>0</v>
      </c>
      <c r="P976" s="39"/>
      <c r="Q976" s="39"/>
      <c r="R976" s="39"/>
      <c r="S976" s="39"/>
      <c r="T976" s="39"/>
      <c r="U976" s="39"/>
      <c r="V976" s="39"/>
      <c r="W976" s="39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35" t="s">
        <v>21</v>
      </c>
      <c r="B977" s="35" t="s">
        <v>47</v>
      </c>
      <c r="C977" s="35" t="s">
        <v>23</v>
      </c>
      <c r="D977" s="35" t="s">
        <v>48</v>
      </c>
      <c r="E977" s="35" t="s">
        <v>49</v>
      </c>
      <c r="F977" s="35" t="s">
        <v>25</v>
      </c>
      <c r="G977" s="35" t="s">
        <v>25</v>
      </c>
      <c r="H977" s="35" t="s">
        <v>25</v>
      </c>
      <c r="I977" s="55">
        <v>44378</v>
      </c>
      <c r="J977" s="56">
        <f>EFEITO!$J$977*EFEITO!$Y$977</f>
        <v>0</v>
      </c>
      <c r="K977" s="56">
        <f ca="1">EFEITO!$L$977*EFEITO!$Z$977</f>
        <v>217936.63167903342</v>
      </c>
      <c r="L977" s="56">
        <f>EFEITO!$N$977*EFEITO!$AA$977</f>
        <v>163556.14334935547</v>
      </c>
      <c r="M977" s="56">
        <f>$J$977-EFEITO!$K$977*EFEITO!$Y$977</f>
        <v>0</v>
      </c>
      <c r="N977" s="56">
        <f ca="1">$K$977-EFEITO!$M$977*EFEITO!$Z$977</f>
        <v>0</v>
      </c>
      <c r="O977" s="56">
        <f>$L$977-EFEITO!$O$977*EFEITO!$AA$977</f>
        <v>0</v>
      </c>
      <c r="P977" s="39"/>
      <c r="Q977" s="39"/>
      <c r="R977" s="39"/>
      <c r="S977" s="39"/>
      <c r="T977" s="39"/>
      <c r="U977" s="39"/>
      <c r="V977" s="39"/>
      <c r="W977" s="39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35" t="s">
        <v>21</v>
      </c>
      <c r="B978" s="35" t="s">
        <v>47</v>
      </c>
      <c r="C978" s="35" t="s">
        <v>23</v>
      </c>
      <c r="D978" s="35" t="s">
        <v>48</v>
      </c>
      <c r="E978" s="35" t="s">
        <v>49</v>
      </c>
      <c r="F978" s="35" t="s">
        <v>25</v>
      </c>
      <c r="G978" s="35" t="s">
        <v>25</v>
      </c>
      <c r="H978" s="35" t="s">
        <v>25</v>
      </c>
      <c r="I978" s="55">
        <v>44409</v>
      </c>
      <c r="J978" s="56">
        <f>EFEITO!$J$978*EFEITO!$Y$978</f>
        <v>0</v>
      </c>
      <c r="K978" s="56">
        <f ca="1">EFEITO!$L$978*EFEITO!$Z$978</f>
        <v>217936.43231076482</v>
      </c>
      <c r="L978" s="56">
        <f>EFEITO!$N$978*EFEITO!$AA$978</f>
        <v>163555.99372831715</v>
      </c>
      <c r="M978" s="56">
        <f>$J$978-EFEITO!$K$978*EFEITO!$Y$978</f>
        <v>0</v>
      </c>
      <c r="N978" s="56">
        <f ca="1">$K$978-EFEITO!$M$978*EFEITO!$Z$978</f>
        <v>0</v>
      </c>
      <c r="O978" s="56">
        <f>$L$978-EFEITO!$O$978*EFEITO!$AA$978</f>
        <v>0</v>
      </c>
      <c r="P978" s="39"/>
      <c r="Q978" s="39"/>
      <c r="R978" s="39"/>
      <c r="S978" s="39"/>
      <c r="T978" s="39"/>
      <c r="U978" s="39"/>
      <c r="V978" s="39"/>
      <c r="W978" s="39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35" t="s">
        <v>21</v>
      </c>
      <c r="B979" s="35" t="s">
        <v>47</v>
      </c>
      <c r="C979" s="35" t="s">
        <v>23</v>
      </c>
      <c r="D979" s="35" t="s">
        <v>48</v>
      </c>
      <c r="E979" s="35" t="s">
        <v>49</v>
      </c>
      <c r="F979" s="35" t="s">
        <v>25</v>
      </c>
      <c r="G979" s="35" t="s">
        <v>25</v>
      </c>
      <c r="H979" s="35" t="s">
        <v>25</v>
      </c>
      <c r="I979" s="55">
        <v>44440</v>
      </c>
      <c r="J979" s="56">
        <f>EFEITO!$J$979*EFEITO!$Y$979</f>
        <v>0</v>
      </c>
      <c r="K979" s="56">
        <f ca="1">EFEITO!$L$979*EFEITO!$Z$979</f>
        <v>204728.28451512367</v>
      </c>
      <c r="L979" s="56">
        <f>EFEITO!$N$979*EFEITO!$AA$979</f>
        <v>153643.59993935146</v>
      </c>
      <c r="M979" s="56">
        <f>$J$979-EFEITO!$K$979*EFEITO!$Y$979</f>
        <v>0</v>
      </c>
      <c r="N979" s="56">
        <f ca="1">$K$979-EFEITO!$M$979*EFEITO!$Z$979</f>
        <v>0</v>
      </c>
      <c r="O979" s="56">
        <f>$L$979-EFEITO!$O$979*EFEITO!$AA$979</f>
        <v>0</v>
      </c>
      <c r="P979" s="39"/>
      <c r="Q979" s="39"/>
      <c r="R979" s="39"/>
      <c r="S979" s="39"/>
      <c r="T979" s="39"/>
      <c r="U979" s="39"/>
      <c r="V979" s="39"/>
      <c r="W979" s="39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35" t="s">
        <v>21</v>
      </c>
      <c r="B980" s="35" t="s">
        <v>47</v>
      </c>
      <c r="C980" s="35" t="s">
        <v>23</v>
      </c>
      <c r="D980" s="35" t="s">
        <v>48</v>
      </c>
      <c r="E980" s="35" t="s">
        <v>49</v>
      </c>
      <c r="F980" s="35" t="s">
        <v>25</v>
      </c>
      <c r="G980" s="35" t="s">
        <v>25</v>
      </c>
      <c r="H980" s="35" t="s">
        <v>25</v>
      </c>
      <c r="I980" s="55">
        <v>44470</v>
      </c>
      <c r="J980" s="56">
        <f>EFEITO!$J$980*EFEITO!$Y$980</f>
        <v>0</v>
      </c>
      <c r="K980" s="56">
        <f ca="1">EFEITO!$L$980*EFEITO!$Z$980</f>
        <v>204728.28451512367</v>
      </c>
      <c r="L980" s="56">
        <f>EFEITO!$N$980*EFEITO!$AA$980</f>
        <v>153643.59993935146</v>
      </c>
      <c r="M980" s="56">
        <f>$J$980-EFEITO!$K$980*EFEITO!$Y$980</f>
        <v>0</v>
      </c>
      <c r="N980" s="56">
        <f ca="1">$K$980-EFEITO!$M$980*EFEITO!$Z$980</f>
        <v>0</v>
      </c>
      <c r="O980" s="56">
        <f>$L$980-EFEITO!$O$980*EFEITO!$AA$980</f>
        <v>0</v>
      </c>
      <c r="P980" s="39"/>
      <c r="Q980" s="39"/>
      <c r="R980" s="39"/>
      <c r="S980" s="39"/>
      <c r="T980" s="39"/>
      <c r="U980" s="39"/>
      <c r="V980" s="39"/>
      <c r="W980" s="39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35" t="s">
        <v>21</v>
      </c>
      <c r="B981" s="35" t="s">
        <v>47</v>
      </c>
      <c r="C981" s="35" t="s">
        <v>23</v>
      </c>
      <c r="D981" s="35" t="s">
        <v>48</v>
      </c>
      <c r="E981" s="35" t="s">
        <v>49</v>
      </c>
      <c r="F981" s="35" t="s">
        <v>25</v>
      </c>
      <c r="G981" s="35" t="s">
        <v>25</v>
      </c>
      <c r="H981" s="35" t="s">
        <v>25</v>
      </c>
      <c r="I981" s="55">
        <v>44501</v>
      </c>
      <c r="J981" s="56">
        <f>EFEITO!$J$981*EFEITO!$Y$981</f>
        <v>0</v>
      </c>
      <c r="K981" s="56">
        <f ca="1">EFEITO!$L$981*EFEITO!$Z$981</f>
        <v>198124.21061730312</v>
      </c>
      <c r="L981" s="56">
        <f>EFEITO!$N$981*EFEITO!$AA$981</f>
        <v>148687.40304486861</v>
      </c>
      <c r="M981" s="56">
        <f>$J$981-EFEITO!$K$981*EFEITO!$Y$981</f>
        <v>0</v>
      </c>
      <c r="N981" s="56">
        <f ca="1">$K$981-EFEITO!$M$981*EFEITO!$Z$981</f>
        <v>0</v>
      </c>
      <c r="O981" s="56">
        <f>$L$981-EFEITO!$O$981*EFEITO!$AA$981</f>
        <v>0</v>
      </c>
      <c r="P981" s="39"/>
      <c r="Q981" s="39"/>
      <c r="R981" s="39"/>
      <c r="S981" s="39"/>
      <c r="T981" s="39"/>
      <c r="U981" s="39"/>
      <c r="V981" s="39"/>
      <c r="W981" s="39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35" t="s">
        <v>21</v>
      </c>
      <c r="B982" s="35" t="s">
        <v>47</v>
      </c>
      <c r="C982" s="35" t="s">
        <v>23</v>
      </c>
      <c r="D982" s="35" t="s">
        <v>48</v>
      </c>
      <c r="E982" s="35" t="s">
        <v>49</v>
      </c>
      <c r="F982" s="35" t="s">
        <v>25</v>
      </c>
      <c r="G982" s="35" t="s">
        <v>25</v>
      </c>
      <c r="H982" s="35" t="s">
        <v>25</v>
      </c>
      <c r="I982" s="55">
        <v>44531</v>
      </c>
      <c r="J982" s="56">
        <f>EFEITO!$J$982*EFEITO!$Y$982</f>
        <v>0</v>
      </c>
      <c r="K982" s="56">
        <f ca="1">EFEITO!$L$982*EFEITO!$Z$982</f>
        <v>204728.28451512367</v>
      </c>
      <c r="L982" s="56">
        <f>EFEITO!$N$982*EFEITO!$AA$982</f>
        <v>153643.59993935146</v>
      </c>
      <c r="M982" s="56">
        <f>$J$982-EFEITO!$K$982*EFEITO!$Y$982</f>
        <v>0</v>
      </c>
      <c r="N982" s="56">
        <f ca="1">$K$982-EFEITO!$M$982*EFEITO!$Z$982</f>
        <v>0</v>
      </c>
      <c r="O982" s="56">
        <f>$L$982-EFEITO!$O$982*EFEITO!$AA$982</f>
        <v>0</v>
      </c>
      <c r="P982" s="39"/>
      <c r="Q982" s="39"/>
      <c r="R982" s="39"/>
      <c r="S982" s="39"/>
      <c r="T982" s="39"/>
      <c r="U982" s="39"/>
      <c r="V982" s="39"/>
      <c r="W982" s="39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35" t="s">
        <v>21</v>
      </c>
      <c r="B983" s="35" t="s">
        <v>47</v>
      </c>
      <c r="C983" s="35" t="s">
        <v>23</v>
      </c>
      <c r="D983" s="35" t="s">
        <v>48</v>
      </c>
      <c r="E983" s="35" t="s">
        <v>49</v>
      </c>
      <c r="F983" s="35" t="s">
        <v>25</v>
      </c>
      <c r="G983" s="35" t="s">
        <v>25</v>
      </c>
      <c r="H983" s="35" t="s">
        <v>25</v>
      </c>
      <c r="I983" s="55">
        <v>44562</v>
      </c>
      <c r="J983" s="56">
        <f>EFEITO!$J$983*EFEITO!$Y$983</f>
        <v>0</v>
      </c>
      <c r="K983" s="56">
        <f ca="1">EFEITO!$L$983*EFEITO!$Z$983</f>
        <v>179318.79868033933</v>
      </c>
      <c r="L983" s="56">
        <f>EFEITO!$N$983*EFEITO!$AA$983</f>
        <v>134574.39860495631</v>
      </c>
      <c r="M983" s="56">
        <f>$J$983-EFEITO!$K$983*EFEITO!$Y$983</f>
        <v>0</v>
      </c>
      <c r="N983" s="56">
        <f ca="1">$K$983-EFEITO!$M$983*EFEITO!$Z$983</f>
        <v>0</v>
      </c>
      <c r="O983" s="56">
        <f>$L$983-EFEITO!$O$983*EFEITO!$AA$983</f>
        <v>0</v>
      </c>
      <c r="P983" s="39"/>
      <c r="Q983" s="39"/>
      <c r="R983" s="39"/>
      <c r="S983" s="39"/>
      <c r="T983" s="39"/>
      <c r="U983" s="39"/>
      <c r="V983" s="39"/>
      <c r="W983" s="39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35" t="s">
        <v>21</v>
      </c>
      <c r="B984" s="35" t="s">
        <v>47</v>
      </c>
      <c r="C984" s="35" t="s">
        <v>23</v>
      </c>
      <c r="D984" s="35" t="s">
        <v>48</v>
      </c>
      <c r="E984" s="35" t="s">
        <v>49</v>
      </c>
      <c r="F984" s="35" t="s">
        <v>25</v>
      </c>
      <c r="G984" s="35" t="s">
        <v>25</v>
      </c>
      <c r="H984" s="35" t="s">
        <v>25</v>
      </c>
      <c r="I984" s="55">
        <v>44593</v>
      </c>
      <c r="J984" s="56">
        <f>EFEITO!$J$984*EFEITO!$Y$984</f>
        <v>0</v>
      </c>
      <c r="K984" s="56">
        <f ca="1">EFEITO!$L$984*EFEITO!$Z$984</f>
        <v>171142.50661623309</v>
      </c>
      <c r="L984" s="56">
        <f>EFEITO!$N$984*EFEITO!$AA$984</f>
        <v>128438.29020225034</v>
      </c>
      <c r="M984" s="56">
        <f>$J$984-EFEITO!$K$984*EFEITO!$Y$984</f>
        <v>0</v>
      </c>
      <c r="N984" s="56">
        <f ca="1">$K$984-EFEITO!$M$984*EFEITO!$Z$984</f>
        <v>0</v>
      </c>
      <c r="O984" s="56">
        <f>$L$984-EFEITO!$O$984*EFEITO!$AA$984</f>
        <v>0</v>
      </c>
      <c r="P984" s="39"/>
      <c r="Q984" s="39"/>
      <c r="R984" s="39"/>
      <c r="S984" s="39"/>
      <c r="T984" s="39"/>
      <c r="U984" s="39"/>
      <c r="V984" s="39"/>
      <c r="W984" s="39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35" t="s">
        <v>21</v>
      </c>
      <c r="B985" s="35" t="s">
        <v>47</v>
      </c>
      <c r="C985" s="35" t="s">
        <v>23</v>
      </c>
      <c r="D985" s="35" t="s">
        <v>48</v>
      </c>
      <c r="E985" s="35" t="s">
        <v>49</v>
      </c>
      <c r="F985" s="35" t="s">
        <v>25</v>
      </c>
      <c r="G985" s="35" t="s">
        <v>25</v>
      </c>
      <c r="H985" s="35" t="s">
        <v>25</v>
      </c>
      <c r="I985" s="55">
        <v>44621</v>
      </c>
      <c r="J985" s="56">
        <f>EFEITO!$J$985*EFEITO!$Y$985</f>
        <v>0</v>
      </c>
      <c r="K985" s="56">
        <f ca="1">EFEITO!$L$985*EFEITO!$Z$985</f>
        <v>200239.30857902323</v>
      </c>
      <c r="L985" s="56">
        <f>EFEITO!$N$985*EFEITO!$AA$985</f>
        <v>150274.73264044806</v>
      </c>
      <c r="M985" s="56">
        <f>$J$985-EFEITO!$K$985*EFEITO!$Y$985</f>
        <v>0</v>
      </c>
      <c r="N985" s="56">
        <f ca="1">$K$985-EFEITO!$M$985*EFEITO!$Z$985</f>
        <v>0</v>
      </c>
      <c r="O985" s="56">
        <f>$L$985-EFEITO!$O$985*EFEITO!$AA$985</f>
        <v>0</v>
      </c>
      <c r="P985" s="39"/>
      <c r="Q985" s="39"/>
      <c r="R985" s="39"/>
      <c r="S985" s="39"/>
      <c r="T985" s="39"/>
      <c r="U985" s="39"/>
      <c r="V985" s="39"/>
      <c r="W985" s="39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35" t="s">
        <v>21</v>
      </c>
      <c r="B986" s="35" t="s">
        <v>47</v>
      </c>
      <c r="C986" s="35" t="s">
        <v>23</v>
      </c>
      <c r="D986" s="35" t="s">
        <v>48</v>
      </c>
      <c r="E986" s="35" t="s">
        <v>49</v>
      </c>
      <c r="F986" s="35" t="s">
        <v>25</v>
      </c>
      <c r="G986" s="35" t="s">
        <v>25</v>
      </c>
      <c r="H986" s="35" t="s">
        <v>25</v>
      </c>
      <c r="I986" s="55">
        <v>44652</v>
      </c>
      <c r="J986" s="56">
        <f>EFEITO!$J$986*EFEITO!$Y$986</f>
        <v>0</v>
      </c>
      <c r="K986" s="56">
        <f ca="1">EFEITO!$L$986*EFEITO!$Z$986</f>
        <v>208249.72624364306</v>
      </c>
      <c r="L986" s="56">
        <f>EFEITO!$N$986*EFEITO!$AA$986</f>
        <v>156286.35633926847</v>
      </c>
      <c r="M986" s="56">
        <f>$J$986-EFEITO!$K$986*EFEITO!$Y$986</f>
        <v>0</v>
      </c>
      <c r="N986" s="56">
        <f ca="1">$K$986-EFEITO!$M$986*EFEITO!$Z$986</f>
        <v>0</v>
      </c>
      <c r="O986" s="56">
        <f>$L$986-EFEITO!$O$986*EFEITO!$AA$986</f>
        <v>0</v>
      </c>
      <c r="P986" s="39"/>
      <c r="Q986" s="39"/>
      <c r="R986" s="39"/>
      <c r="S986" s="39"/>
      <c r="T986" s="39"/>
      <c r="U986" s="39"/>
      <c r="V986" s="39"/>
      <c r="W986" s="39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35" t="s">
        <v>21</v>
      </c>
      <c r="B987" s="35" t="s">
        <v>47</v>
      </c>
      <c r="C987" s="35" t="s">
        <v>23</v>
      </c>
      <c r="D987" s="35" t="s">
        <v>48</v>
      </c>
      <c r="E987" s="35" t="s">
        <v>49</v>
      </c>
      <c r="F987" s="35" t="s">
        <v>25</v>
      </c>
      <c r="G987" s="35" t="s">
        <v>25</v>
      </c>
      <c r="H987" s="35" t="s">
        <v>25</v>
      </c>
      <c r="I987" s="55">
        <v>44682</v>
      </c>
      <c r="J987" s="56">
        <f>EFEITO!$J$987*EFEITO!$Y$987</f>
        <v>0</v>
      </c>
      <c r="K987" s="56">
        <f ca="1">EFEITO!$L$987*EFEITO!$Z$987</f>
        <v>227137.07853900699</v>
      </c>
      <c r="L987" s="56">
        <f>EFEITO!$N$987*EFEITO!$AA$987</f>
        <v>170460.85502593193</v>
      </c>
      <c r="M987" s="56">
        <f>$J$987-EFEITO!$K$987*EFEITO!$Y$987</f>
        <v>0</v>
      </c>
      <c r="N987" s="56">
        <f ca="1">$K$987-EFEITO!$M$987*EFEITO!$Z$987</f>
        <v>0</v>
      </c>
      <c r="O987" s="56">
        <f>$L$987-EFEITO!$O$987*EFEITO!$AA$987</f>
        <v>0</v>
      </c>
      <c r="P987" s="39"/>
      <c r="Q987" s="39"/>
      <c r="R987" s="39"/>
      <c r="S987" s="39"/>
      <c r="T987" s="39"/>
      <c r="U987" s="39"/>
      <c r="V987" s="39"/>
      <c r="W987" s="39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21C5-815B-4407-995B-59D3B298A162}">
  <dimension ref="A1:BD123"/>
  <sheetViews>
    <sheetView showGridLines="0" topLeftCell="D43" workbookViewId="0">
      <selection activeCell="L63" sqref="L63:BD12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7.85546875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7" width="8.7109375" style="9" bestFit="1" customWidth="1"/>
    <col min="38" max="38" width="4.140625" style="9" bestFit="1" customWidth="1"/>
    <col min="39" max="39" width="4.42578125" style="9" bestFit="1" customWidth="1"/>
    <col min="40" max="41" width="10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7.85546875" style="9" bestFit="1" customWidth="1"/>
    <col min="57" max="16384" width="9.140625" style="9"/>
  </cols>
  <sheetData>
    <row r="1" spans="1:56" ht="11.25" customHeight="1" x14ac:dyDescent="0.25">
      <c r="A1" s="146" t="s">
        <v>61</v>
      </c>
      <c r="B1" s="146" t="s">
        <v>62</v>
      </c>
      <c r="C1" s="146" t="s">
        <v>63</v>
      </c>
      <c r="D1" s="146" t="s">
        <v>64</v>
      </c>
      <c r="E1" s="146" t="s">
        <v>65</v>
      </c>
      <c r="F1" s="146" t="s">
        <v>15</v>
      </c>
      <c r="G1" s="146" t="s">
        <v>67</v>
      </c>
      <c r="H1" s="146" t="s">
        <v>68</v>
      </c>
      <c r="I1" s="146" t="s">
        <v>682</v>
      </c>
      <c r="J1" s="140"/>
      <c r="L1" s="147" t="s">
        <v>882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I1" s="147" t="s">
        <v>883</v>
      </c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</row>
    <row r="2" spans="1:56" ht="11.25" customHeight="1" x14ac:dyDescent="0.25">
      <c r="A2" s="146"/>
      <c r="B2" s="146"/>
      <c r="C2" s="146"/>
      <c r="D2" s="146"/>
      <c r="E2" s="146"/>
      <c r="F2" s="146"/>
      <c r="G2" s="146"/>
      <c r="H2" s="146"/>
      <c r="I2" s="146"/>
      <c r="J2" s="140"/>
      <c r="L2" s="147" t="s">
        <v>581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I2" s="147" t="s">
        <v>581</v>
      </c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</row>
    <row r="3" spans="1:56" ht="11.25" customHeight="1" x14ac:dyDescent="0.25">
      <c r="A3" s="146"/>
      <c r="B3" s="146"/>
      <c r="C3" s="146"/>
      <c r="D3" s="146"/>
      <c r="E3" s="146"/>
      <c r="F3" s="146"/>
      <c r="G3" s="146"/>
      <c r="H3" s="146"/>
      <c r="I3" s="146"/>
      <c r="J3" s="140"/>
      <c r="L3" s="147" t="s">
        <v>582</v>
      </c>
      <c r="M3" s="147"/>
      <c r="N3" s="147"/>
      <c r="O3" s="147"/>
      <c r="P3" s="147"/>
      <c r="Q3" s="147"/>
      <c r="R3" s="147"/>
      <c r="S3" s="147"/>
      <c r="T3" s="147" t="s">
        <v>591</v>
      </c>
      <c r="U3" s="147"/>
      <c r="V3" s="147"/>
      <c r="W3" s="147"/>
      <c r="X3" s="147"/>
      <c r="Y3" s="147"/>
      <c r="Z3" s="147"/>
      <c r="AA3" s="10" t="s">
        <v>599</v>
      </c>
      <c r="AB3" s="147" t="s">
        <v>601</v>
      </c>
      <c r="AC3" s="147"/>
      <c r="AD3" s="147" t="s">
        <v>604</v>
      </c>
      <c r="AE3" s="147"/>
      <c r="AF3" s="147"/>
      <c r="AG3" s="147"/>
      <c r="AI3" s="147" t="s">
        <v>582</v>
      </c>
      <c r="AJ3" s="147"/>
      <c r="AK3" s="147"/>
      <c r="AL3" s="147"/>
      <c r="AM3" s="147"/>
      <c r="AN3" s="147"/>
      <c r="AO3" s="147"/>
      <c r="AP3" s="147"/>
      <c r="AQ3" s="147" t="s">
        <v>591</v>
      </c>
      <c r="AR3" s="147"/>
      <c r="AS3" s="147"/>
      <c r="AT3" s="147"/>
      <c r="AU3" s="147"/>
      <c r="AV3" s="147"/>
      <c r="AW3" s="147"/>
      <c r="AX3" s="10" t="s">
        <v>599</v>
      </c>
      <c r="AY3" s="147" t="s">
        <v>601</v>
      </c>
      <c r="AZ3" s="147"/>
      <c r="BA3" s="147" t="s">
        <v>604</v>
      </c>
      <c r="BB3" s="147"/>
      <c r="BC3" s="147"/>
      <c r="BD3" s="147"/>
    </row>
    <row r="4" spans="1:56" ht="11.25" customHeight="1" x14ac:dyDescent="0.25">
      <c r="A4" s="146"/>
      <c r="B4" s="146"/>
      <c r="C4" s="146"/>
      <c r="D4" s="146"/>
      <c r="E4" s="146"/>
      <c r="F4" s="146"/>
      <c r="G4" s="146"/>
      <c r="H4" s="146"/>
      <c r="I4" s="146"/>
      <c r="J4" s="140"/>
      <c r="L4" s="10" t="s">
        <v>667</v>
      </c>
      <c r="M4" s="10" t="s">
        <v>583</v>
      </c>
      <c r="N4" s="10" t="s">
        <v>584</v>
      </c>
      <c r="O4" s="10" t="s">
        <v>585</v>
      </c>
      <c r="P4" s="10" t="s">
        <v>586</v>
      </c>
      <c r="Q4" s="10" t="s">
        <v>587</v>
      </c>
      <c r="R4" s="10" t="s">
        <v>588</v>
      </c>
      <c r="S4" s="10" t="s">
        <v>589</v>
      </c>
      <c r="T4" s="10" t="s">
        <v>592</v>
      </c>
      <c r="U4" s="10" t="s">
        <v>593</v>
      </c>
      <c r="V4" s="10" t="s">
        <v>594</v>
      </c>
      <c r="W4" s="10" t="s">
        <v>595</v>
      </c>
      <c r="X4" s="10" t="s">
        <v>596</v>
      </c>
      <c r="Y4" s="10" t="s">
        <v>597</v>
      </c>
      <c r="Z4" s="10" t="s">
        <v>598</v>
      </c>
      <c r="AA4" s="10" t="s">
        <v>600</v>
      </c>
      <c r="AB4" s="10" t="s">
        <v>602</v>
      </c>
      <c r="AC4" s="10" t="s">
        <v>603</v>
      </c>
      <c r="AD4" s="10" t="s">
        <v>605</v>
      </c>
      <c r="AE4" s="10" t="s">
        <v>606</v>
      </c>
      <c r="AF4" s="10" t="s">
        <v>607</v>
      </c>
      <c r="AG4" s="10" t="s">
        <v>608</v>
      </c>
      <c r="AI4" s="10" t="s">
        <v>667</v>
      </c>
      <c r="AJ4" s="10" t="s">
        <v>583</v>
      </c>
      <c r="AK4" s="10" t="s">
        <v>584</v>
      </c>
      <c r="AL4" s="10" t="s">
        <v>585</v>
      </c>
      <c r="AM4" s="10" t="s">
        <v>586</v>
      </c>
      <c r="AN4" s="10" t="s">
        <v>587</v>
      </c>
      <c r="AO4" s="10" t="s">
        <v>588</v>
      </c>
      <c r="AP4" s="10" t="s">
        <v>589</v>
      </c>
      <c r="AQ4" s="10" t="s">
        <v>592</v>
      </c>
      <c r="AR4" s="10" t="s">
        <v>593</v>
      </c>
      <c r="AS4" s="10" t="s">
        <v>594</v>
      </c>
      <c r="AT4" s="10" t="s">
        <v>595</v>
      </c>
      <c r="AU4" s="10" t="s">
        <v>596</v>
      </c>
      <c r="AV4" s="10" t="s">
        <v>597</v>
      </c>
      <c r="AW4" s="10" t="s">
        <v>598</v>
      </c>
      <c r="AX4" s="10" t="s">
        <v>600</v>
      </c>
      <c r="AY4" s="10" t="s">
        <v>602</v>
      </c>
      <c r="AZ4" s="10" t="s">
        <v>603</v>
      </c>
      <c r="BA4" s="10" t="s">
        <v>605</v>
      </c>
      <c r="BB4" s="10" t="s">
        <v>606</v>
      </c>
      <c r="BC4" s="10" t="s">
        <v>607</v>
      </c>
      <c r="BD4" s="10" t="s">
        <v>608</v>
      </c>
    </row>
    <row r="5" spans="1:56" ht="11.25" customHeight="1" x14ac:dyDescent="0.25">
      <c r="A5" s="150" t="s">
        <v>42</v>
      </c>
      <c r="B5" s="150" t="s">
        <v>41</v>
      </c>
      <c r="C5" s="150" t="s">
        <v>25</v>
      </c>
      <c r="D5" s="150" t="s">
        <v>25</v>
      </c>
      <c r="E5" s="150" t="s">
        <v>25</v>
      </c>
      <c r="F5" s="150" t="s">
        <v>25</v>
      </c>
      <c r="G5" s="17" t="s">
        <v>77</v>
      </c>
      <c r="H5" s="17" t="s">
        <v>76</v>
      </c>
      <c r="I5" s="17">
        <f>'MERCADO TUSD'!$U$2</f>
        <v>0</v>
      </c>
      <c r="J5" s="15"/>
      <c r="L5" s="12">
        <f>('TUSD BE'!$L$5+'TUSD BF'!$L$5+'TUSD CVA'!$L$5)*1</f>
        <v>0</v>
      </c>
      <c r="M5" s="12">
        <f>('TUSD BE'!$M$5+'TUSD BF'!$M$5+'TUSD CVA'!$M$5)*1</f>
        <v>0</v>
      </c>
      <c r="N5" s="12">
        <f ca="1">('TUSD BE'!$N$5+'TUSD BF'!$N$5+'TUSD CVA'!$N$5)*1</f>
        <v>0</v>
      </c>
      <c r="O5" s="12">
        <f>('TUSD BE'!$O$5+'TUSD BF'!$O$5+'TUSD CVA'!$O$5)*1</f>
        <v>0</v>
      </c>
      <c r="P5" s="12">
        <f>('TUSD BE'!$P$5+'TUSD BF'!$P$5+'TUSD CVA'!$P$5)*1</f>
        <v>0</v>
      </c>
      <c r="Q5" s="12">
        <f>('TUSD BE'!$Q$5+'TUSD BF'!$Q$5+'TUSD CVA'!$Q$5)*1</f>
        <v>0</v>
      </c>
      <c r="R5" s="12">
        <f>('TUSD BE'!$R$5+'TUSD BF'!$R$5+'TUSD CVA'!$R$5)*1</f>
        <v>0</v>
      </c>
      <c r="S5" s="12">
        <f>('TUSD BE'!$S$5+'TUSD BF'!$S$5+'TUSD CVA'!$S$5)*1</f>
        <v>0</v>
      </c>
      <c r="T5" s="12">
        <f>('TUSD BE'!$U$5+'TUSD BF'!$U$5+'TUSD CVA'!$U$5)*1</f>
        <v>0</v>
      </c>
      <c r="U5" s="12">
        <f>('TUSD BE'!$V$5+'TUSD BF'!$V$5+'TUSD CVA'!$V$5)*1</f>
        <v>0</v>
      </c>
      <c r="V5" s="12">
        <f>('TUSD BE'!$W$5+'TUSD BF'!$W$5+'TUSD CVA'!$W$5)*1</f>
        <v>0</v>
      </c>
      <c r="W5" s="12">
        <f>('TUSD BE'!$X$5+'TUSD BF'!$X$5+'TUSD CVA'!$X$5)*1</f>
        <v>0</v>
      </c>
      <c r="X5" s="12">
        <f>('TUSD BE'!$Y$5+'TUSD BF'!$Y$5+'TUSD CVA'!$Y$5)*1</f>
        <v>25.23782857723371</v>
      </c>
      <c r="Y5" s="12">
        <f>('TUSD BE'!$Z$5+'TUSD BF'!$Z$5+'TUSD CVA'!$Z$5)*1</f>
        <v>0</v>
      </c>
      <c r="Z5" s="12">
        <f>('TUSD BE'!$AA$5+'TUSD BF'!$AA$5+'TUSD CVA'!$AA$5)*1</f>
        <v>0</v>
      </c>
      <c r="AA5" s="12">
        <f>('TUSD BE'!$AC$5+'TUSD BF'!$AC$5+'TUSD CVA'!$AC$5)*1</f>
        <v>17.186858792077725</v>
      </c>
      <c r="AB5" s="12">
        <f ca="1">('TUSD BE'!$AE$5+'TUSD BF'!$AE$5+'TUSD CVA'!$AE$5)*1</f>
        <v>0</v>
      </c>
      <c r="AC5" s="12">
        <f ca="1">('TUSD BE'!$AF$5+'TUSD BF'!$AF$5+'TUSD CVA'!$AF$5)*1</f>
        <v>0</v>
      </c>
      <c r="AD5" s="12">
        <f>('TUSD BE'!$AH$5+'TUSD BF'!$AH$5+'TUSD CVA'!$AH$5)*1</f>
        <v>0</v>
      </c>
      <c r="AE5" s="12">
        <f>('TUSD BE'!$AI$5+'TUSD BF'!$AI$5+'TUSD CVA'!$AI$5)*1</f>
        <v>0</v>
      </c>
      <c r="AF5" s="12">
        <f ca="1">('TUSD BE'!$AJ$5+'TUSD BF'!$AJ$5+'TUSD CVA'!$AJ$5)*1</f>
        <v>0</v>
      </c>
      <c r="AG5" s="12">
        <f ca="1">('TUSD BE'!$AK$5+'TUSD BF'!$AK$5+'TUSD CVA'!$AK$5)*1</f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19.5036266524186</v>
      </c>
      <c r="AV5" s="12">
        <v>0</v>
      </c>
      <c r="AW5" s="12">
        <v>0</v>
      </c>
      <c r="AX5" s="12">
        <v>12.219672701938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</row>
    <row r="6" spans="1:56" ht="11.25" customHeight="1" x14ac:dyDescent="0.25">
      <c r="A6" s="150"/>
      <c r="B6" s="150"/>
      <c r="C6" s="150"/>
      <c r="D6" s="150"/>
      <c r="E6" s="150"/>
      <c r="F6" s="150"/>
      <c r="G6" s="17" t="s">
        <v>78</v>
      </c>
      <c r="H6" s="17" t="s">
        <v>76</v>
      </c>
      <c r="I6" s="17">
        <f>'MERCADO TUSD'!$U$3</f>
        <v>0</v>
      </c>
      <c r="J6" s="15"/>
      <c r="L6" s="12">
        <f>('TUSD BE'!$L$6+'TUSD BF'!$L$6+'TUSD CVA'!$L$6)*1</f>
        <v>0</v>
      </c>
      <c r="M6" s="12">
        <f>('TUSD BE'!$M$6+'TUSD BF'!$M$6+'TUSD CVA'!$M$6)*1</f>
        <v>0</v>
      </c>
      <c r="N6" s="12">
        <f ca="1">('TUSD BE'!$N$6+'TUSD BF'!$N$6+'TUSD CVA'!$N$6)*1</f>
        <v>0</v>
      </c>
      <c r="O6" s="12">
        <f>('TUSD BE'!$O$6+'TUSD BF'!$O$6+'TUSD CVA'!$O$6)*1</f>
        <v>0</v>
      </c>
      <c r="P6" s="12">
        <f>('TUSD BE'!$P$6+'TUSD BF'!$P$6+'TUSD CVA'!$P$6)*1</f>
        <v>0</v>
      </c>
      <c r="Q6" s="12">
        <f>('TUSD BE'!$Q$6+'TUSD BF'!$Q$6+'TUSD CVA'!$Q$6)*1</f>
        <v>0</v>
      </c>
      <c r="R6" s="12">
        <f>('TUSD BE'!$R$6+'TUSD BF'!$R$6+'TUSD CVA'!$R$6)*1</f>
        <v>0</v>
      </c>
      <c r="S6" s="12">
        <f>('TUSD BE'!$S$6+'TUSD BF'!$S$6+'TUSD CVA'!$S$6)*1</f>
        <v>0</v>
      </c>
      <c r="T6" s="12">
        <f>('TUSD BE'!$U$6+'TUSD BF'!$U$6+'TUSD CVA'!$U$6)*1</f>
        <v>0</v>
      </c>
      <c r="U6" s="12">
        <f>('TUSD BE'!$V$6+'TUSD BF'!$V$6+'TUSD CVA'!$V$6)*1</f>
        <v>0</v>
      </c>
      <c r="V6" s="12">
        <f>('TUSD BE'!$W$6+'TUSD BF'!$W$6+'TUSD CVA'!$W$6)*1</f>
        <v>0</v>
      </c>
      <c r="W6" s="12">
        <f>('TUSD BE'!$X$6+'TUSD BF'!$X$6+'TUSD CVA'!$X$6)*1</f>
        <v>0</v>
      </c>
      <c r="X6" s="12">
        <f>('TUSD BE'!$Y$6+'TUSD BF'!$Y$6+'TUSD CVA'!$Y$6)*1</f>
        <v>11.0097291319749</v>
      </c>
      <c r="Y6" s="12">
        <f>('TUSD BE'!$Z$6+'TUSD BF'!$Z$6+'TUSD CVA'!$Z$6)*1</f>
        <v>0</v>
      </c>
      <c r="Z6" s="12">
        <f>('TUSD BE'!$AA$6+'TUSD BF'!$AA$6+'TUSD CVA'!$AA$6)*1</f>
        <v>0</v>
      </c>
      <c r="AA6" s="12">
        <f>('TUSD BE'!$AC$6+'TUSD BF'!$AC$6+'TUSD CVA'!$AC$6)*1</f>
        <v>5.5085755655725412</v>
      </c>
      <c r="AB6" s="12">
        <f ca="1">('TUSD BE'!$AE$6+'TUSD BF'!$AE$6+'TUSD CVA'!$AE$6)*1</f>
        <v>0</v>
      </c>
      <c r="AC6" s="12">
        <f ca="1">('TUSD BE'!$AF$6+'TUSD BF'!$AF$6+'TUSD CVA'!$AF$6)*1</f>
        <v>0</v>
      </c>
      <c r="AD6" s="12">
        <f>('TUSD BE'!$AH$6+'TUSD BF'!$AH$6+'TUSD CVA'!$AH$6)*1</f>
        <v>0</v>
      </c>
      <c r="AE6" s="12">
        <f>('TUSD BE'!$AI$6+'TUSD BF'!$AI$6+'TUSD CVA'!$AI$6)*1</f>
        <v>0</v>
      </c>
      <c r="AF6" s="12">
        <f ca="1">('TUSD BE'!$AJ$6+'TUSD BF'!$AJ$6+'TUSD CVA'!$AJ$6)*1</f>
        <v>0</v>
      </c>
      <c r="AG6" s="12">
        <f ca="1">('TUSD BE'!$AK$6+'TUSD BF'!$AK$6+'TUSD CVA'!$AK$6)*1</f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8.5082457025639702</v>
      </c>
      <c r="AV6" s="12">
        <v>0</v>
      </c>
      <c r="AW6" s="12">
        <v>0</v>
      </c>
      <c r="AX6" s="12">
        <v>3.9165382854147599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</row>
    <row r="7" spans="1:56" ht="11.25" customHeight="1" x14ac:dyDescent="0.25">
      <c r="A7" s="150"/>
      <c r="B7" s="150"/>
      <c r="C7" s="150"/>
      <c r="D7" s="150"/>
      <c r="E7" s="150"/>
      <c r="F7" s="150"/>
      <c r="G7" s="17" t="s">
        <v>75</v>
      </c>
      <c r="H7" s="17" t="s">
        <v>71</v>
      </c>
      <c r="I7" s="17">
        <f>'MERCADO TUSD'!$U$4</f>
        <v>0</v>
      </c>
      <c r="J7" s="15"/>
      <c r="L7" s="12">
        <f>('TUSD BE'!$L$7+'TUSD BF'!$L$7+'TUSD CVA'!$L$7)*1</f>
        <v>1.116848582548094</v>
      </c>
      <c r="M7" s="12">
        <f>('TUSD BE'!$M$7+'TUSD BF'!$M$7+'TUSD CVA'!$M$7)*1</f>
        <v>0.20450566132367845</v>
      </c>
      <c r="N7" s="12">
        <f ca="1">('TUSD BE'!$N$7+'TUSD BF'!$N$7+'TUSD CVA'!$N$7)*1</f>
        <v>0.26207207765761964</v>
      </c>
      <c r="O7" s="12">
        <f>('TUSD BE'!$O$7+'TUSD BF'!$O$7+'TUSD CVA'!$O$7)*1</f>
        <v>0</v>
      </c>
      <c r="P7" s="12">
        <f>('TUSD BE'!$P$7+'TUSD BF'!$P$7+'TUSD CVA'!$P$7)*1</f>
        <v>0</v>
      </c>
      <c r="Q7" s="12">
        <f>('TUSD BE'!$Q$7+'TUSD BF'!$Q$7+'TUSD CVA'!$Q$7)*1</f>
        <v>85.569438203586216</v>
      </c>
      <c r="R7" s="12">
        <f>('TUSD BE'!$R$7+'TUSD BF'!$R$7+'TUSD CVA'!$R$7)*1</f>
        <v>17.251426924059356</v>
      </c>
      <c r="S7" s="12">
        <f>('TUSD BE'!$S$7+'TUSD BF'!$S$7+'TUSD CVA'!$S$7)*1</f>
        <v>0</v>
      </c>
      <c r="T7" s="12">
        <f>('TUSD BE'!$U$7+'TUSD BF'!$U$7+'TUSD CVA'!$U$7)*1</f>
        <v>0</v>
      </c>
      <c r="U7" s="12">
        <f>('TUSD BE'!$V$7+'TUSD BF'!$V$7+'TUSD CVA'!$V$7)*1</f>
        <v>0</v>
      </c>
      <c r="V7" s="12">
        <f>('TUSD BE'!$W$7+'TUSD BF'!$W$7+'TUSD CVA'!$W$7)*1</f>
        <v>0</v>
      </c>
      <c r="W7" s="12">
        <f>('TUSD BE'!$X$7+'TUSD BF'!$X$7+'TUSD CVA'!$X$7)*1</f>
        <v>0</v>
      </c>
      <c r="X7" s="12">
        <f>('TUSD BE'!$Y$7+'TUSD BF'!$Y$7+'TUSD CVA'!$Y$7)*1</f>
        <v>0</v>
      </c>
      <c r="Y7" s="12">
        <f>('TUSD BE'!$Z$7+'TUSD BF'!$Z$7+'TUSD CVA'!$Z$7)*1</f>
        <v>0</v>
      </c>
      <c r="Z7" s="12">
        <f>('TUSD BE'!$AA$7+'TUSD BF'!$AA$7+'TUSD CVA'!$AA$7)*1</f>
        <v>0</v>
      </c>
      <c r="AA7" s="12">
        <f>('TUSD BE'!$AC$7+'TUSD BF'!$AC$7+'TUSD CVA'!$AC$7)*1</f>
        <v>0</v>
      </c>
      <c r="AB7" s="12">
        <f ca="1">('TUSD BE'!$AE$7+'TUSD BF'!$AE$7+'TUSD CVA'!$AE$7)*1</f>
        <v>0</v>
      </c>
      <c r="AC7" s="12">
        <f ca="1">('TUSD BE'!$AF$7+'TUSD BF'!$AF$7+'TUSD CVA'!$AF$7)*1</f>
        <v>0</v>
      </c>
      <c r="AD7" s="12">
        <f>('TUSD BE'!$AH$7+'TUSD BF'!$AH$7+'TUSD CVA'!$AH$7)*1</f>
        <v>5.107609495958874</v>
      </c>
      <c r="AE7" s="12">
        <f>('TUSD BE'!$AI$7+'TUSD BF'!$AI$7+'TUSD CVA'!$AI$7)*1</f>
        <v>0.18770146314677022</v>
      </c>
      <c r="AF7" s="12">
        <f ca="1">('TUSD BE'!$AJ$7+'TUSD BF'!$AJ$7+'TUSD CVA'!$AJ$7)*1</f>
        <v>1.3001745446743798</v>
      </c>
      <c r="AG7" s="12">
        <f ca="1">('TUSD BE'!$AK$7+'TUSD BF'!$AK$7+'TUSD CVA'!$AK$7)*1</f>
        <v>0.23672376060601216</v>
      </c>
      <c r="AI7" s="12">
        <v>2.90664077062744</v>
      </c>
      <c r="AJ7" s="12">
        <v>0.13945784591766</v>
      </c>
      <c r="AK7" s="12">
        <v>0.22013025250242799</v>
      </c>
      <c r="AL7" s="12">
        <v>0</v>
      </c>
      <c r="AM7" s="12">
        <v>0</v>
      </c>
      <c r="AN7" s="12">
        <v>49.919330194466298</v>
      </c>
      <c r="AO7" s="12">
        <v>8.9329376325248102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5.5694199950839298</v>
      </c>
      <c r="BB7" s="12">
        <v>0.17546243538790601</v>
      </c>
      <c r="BC7" s="12">
        <v>1.28116726808105</v>
      </c>
      <c r="BD7" s="12">
        <v>0.22528356863341201</v>
      </c>
    </row>
    <row r="8" spans="1:56" ht="11.25" customHeight="1" x14ac:dyDescent="0.25">
      <c r="A8" s="150"/>
      <c r="B8" s="150"/>
      <c r="C8" s="150"/>
      <c r="D8" s="150"/>
      <c r="E8" s="18" t="s">
        <v>79</v>
      </c>
      <c r="F8" s="18" t="s">
        <v>25</v>
      </c>
      <c r="G8" s="17" t="s">
        <v>75</v>
      </c>
      <c r="H8" s="17" t="s">
        <v>71</v>
      </c>
      <c r="I8" s="17">
        <f>'MERCADO TUSD'!$U$5</f>
        <v>0</v>
      </c>
      <c r="J8" s="15"/>
      <c r="L8" s="12">
        <f>('TUSD BE'!$L$8+'TUSD BF'!$L$8+'TUSD CVA'!$L$8)*1</f>
        <v>0</v>
      </c>
      <c r="M8" s="12">
        <f>('TUSD BE'!$M$8+'TUSD BF'!$M$8+'TUSD CVA'!$M$8)*1</f>
        <v>0.20450566132367845</v>
      </c>
      <c r="N8" s="12">
        <f ca="1">('TUSD BE'!$N$8+'TUSD BF'!$N$8+'TUSD CVA'!$N$8)*1</f>
        <v>0.24400186769741869</v>
      </c>
      <c r="O8" s="12">
        <f>('TUSD BE'!$O$8+'TUSD BF'!$O$8+'TUSD CVA'!$O$8)*1</f>
        <v>0</v>
      </c>
      <c r="P8" s="12">
        <f>('TUSD BE'!$P$8+'TUSD BF'!$P$8+'TUSD CVA'!$P$8)*1</f>
        <v>0</v>
      </c>
      <c r="Q8" s="12">
        <f>('TUSD BE'!$Q$8+'TUSD BF'!$Q$8+'TUSD CVA'!$Q$8)*1</f>
        <v>0</v>
      </c>
      <c r="R8" s="12">
        <f>('TUSD BE'!$R$8+'TUSD BF'!$R$8+'TUSD CVA'!$R$8)*1</f>
        <v>0</v>
      </c>
      <c r="S8" s="12">
        <f>('TUSD BE'!$S$8+'TUSD BF'!$S$8+'TUSD CVA'!$S$8)*1</f>
        <v>0</v>
      </c>
      <c r="T8" s="12">
        <f>('TUSD BE'!$U$8+'TUSD BF'!$U$8+'TUSD CVA'!$U$8)*1</f>
        <v>0</v>
      </c>
      <c r="U8" s="12">
        <f>('TUSD BE'!$V$8+'TUSD BF'!$V$8+'TUSD CVA'!$V$8)*1</f>
        <v>0</v>
      </c>
      <c r="V8" s="12">
        <f>('TUSD BE'!$W$8+'TUSD BF'!$W$8+'TUSD CVA'!$W$8)*1</f>
        <v>0</v>
      </c>
      <c r="W8" s="12">
        <f>('TUSD BE'!$X$8+'TUSD BF'!$X$8+'TUSD CVA'!$X$8)*1</f>
        <v>0</v>
      </c>
      <c r="X8" s="12">
        <f>('TUSD BE'!$Y$8+'TUSD BF'!$Y$8+'TUSD CVA'!$Y$8)*1</f>
        <v>0</v>
      </c>
      <c r="Y8" s="12">
        <f>('TUSD BE'!$Z$8+'TUSD BF'!$Z$8+'TUSD CVA'!$Z$8)*1</f>
        <v>0</v>
      </c>
      <c r="Z8" s="12">
        <f>('TUSD BE'!$AA$8+'TUSD BF'!$AA$8+'TUSD CVA'!$AA$8)*1</f>
        <v>0</v>
      </c>
      <c r="AA8" s="12">
        <f>('TUSD BE'!$AC$8+'TUSD BF'!$AC$8+'TUSD CVA'!$AC$8)*1</f>
        <v>0</v>
      </c>
      <c r="AB8" s="12">
        <f ca="1">('TUSD BE'!$AE$8+'TUSD BF'!$AE$8+'TUSD CVA'!$AE$8)*1</f>
        <v>0</v>
      </c>
      <c r="AC8" s="12">
        <f ca="1">('TUSD BE'!$AF$8+'TUSD BF'!$AF$8+'TUSD CVA'!$AF$8)*1</f>
        <v>0</v>
      </c>
      <c r="AD8" s="12">
        <f>('TUSD BE'!$AH$8+'TUSD BF'!$AH$8+'TUSD CVA'!$AH$8)*1</f>
        <v>5.107609495958874</v>
      </c>
      <c r="AE8" s="12">
        <f>('TUSD BE'!$AI$8+'TUSD BF'!$AI$8+'TUSD CVA'!$AI$8)*1</f>
        <v>0.18770146314677022</v>
      </c>
      <c r="AF8" s="12">
        <f ca="1">('TUSD BE'!$AJ$8+'TUSD BF'!$AJ$8+'TUSD CVA'!$AJ$8)*1</f>
        <v>1.3001745446743798</v>
      </c>
      <c r="AG8" s="12">
        <f ca="1">('TUSD BE'!$AK$8+'TUSD BF'!$AK$8+'TUSD CVA'!$AK$8)*1</f>
        <v>0.23672376060601216</v>
      </c>
      <c r="AI8" s="12">
        <v>0</v>
      </c>
      <c r="AJ8" s="12">
        <v>0.13945784591766</v>
      </c>
      <c r="AK8" s="12">
        <v>0.203890426674665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5.5694199950839298</v>
      </c>
      <c r="BB8" s="12">
        <v>0.17546243538790601</v>
      </c>
      <c r="BC8" s="12">
        <v>1.28116726808105</v>
      </c>
      <c r="BD8" s="12">
        <v>0.22528356863341201</v>
      </c>
    </row>
    <row r="9" spans="1:56" ht="11.25" customHeight="1" x14ac:dyDescent="0.25">
      <c r="A9" s="150"/>
      <c r="B9" s="18" t="s">
        <v>80</v>
      </c>
      <c r="C9" s="18" t="s">
        <v>25</v>
      </c>
      <c r="D9" s="18" t="s">
        <v>25</v>
      </c>
      <c r="E9" s="18" t="s">
        <v>25</v>
      </c>
      <c r="F9" s="18" t="s">
        <v>25</v>
      </c>
      <c r="G9" s="17" t="s">
        <v>9</v>
      </c>
      <c r="H9" s="17" t="s">
        <v>76</v>
      </c>
      <c r="I9" s="17">
        <f>'MERCADO TUSD'!$U$6</f>
        <v>0</v>
      </c>
      <c r="J9" s="15"/>
      <c r="L9" s="12">
        <f>('TUSD BE'!$L$9+'TUSD BF'!$L$9+'TUSD CVA'!$L$9)*1</f>
        <v>0</v>
      </c>
      <c r="M9" s="12">
        <f>('TUSD BE'!$M$9+'TUSD BF'!$M$9+'TUSD CVA'!$M$9)*1</f>
        <v>1.9394375897639326E-2</v>
      </c>
      <c r="N9" s="12">
        <f ca="1">('TUSD BE'!$N$9+'TUSD BF'!$N$9+'TUSD CVA'!$N$9)*1</f>
        <v>8.7821220406576403E-2</v>
      </c>
      <c r="O9" s="12">
        <f>('TUSD BE'!$O$9+'TUSD BF'!$O$9+'TUSD CVA'!$O$9)*1</f>
        <v>0</v>
      </c>
      <c r="P9" s="12">
        <f>('TUSD BE'!$P$9+'TUSD BF'!$P$9+'TUSD CVA'!$P$9)*1</f>
        <v>0</v>
      </c>
      <c r="Q9" s="12">
        <f>('TUSD BE'!$Q$9+'TUSD BF'!$Q$9+'TUSD CVA'!$Q$9)*1</f>
        <v>0</v>
      </c>
      <c r="R9" s="12">
        <f>('TUSD BE'!$R$9+'TUSD BF'!$R$9+'TUSD CVA'!$R$9)*1</f>
        <v>0</v>
      </c>
      <c r="S9" s="12">
        <f>('TUSD BE'!$S$9+'TUSD BF'!$S$9+'TUSD CVA'!$S$9)*1</f>
        <v>0</v>
      </c>
      <c r="T9" s="12">
        <f>('TUSD BE'!$U$9+'TUSD BF'!$U$9+'TUSD CVA'!$U$9)*1</f>
        <v>0</v>
      </c>
      <c r="U9" s="12">
        <f>('TUSD BE'!$V$9+'TUSD BF'!$V$9+'TUSD CVA'!$V$9)*1</f>
        <v>0</v>
      </c>
      <c r="V9" s="12">
        <f>('TUSD BE'!$W$9+'TUSD BF'!$W$9+'TUSD CVA'!$W$9)*1</f>
        <v>0</v>
      </c>
      <c r="W9" s="12">
        <f>('TUSD BE'!$X$9+'TUSD BF'!$X$9+'TUSD CVA'!$X$9)*1</f>
        <v>0</v>
      </c>
      <c r="X9" s="12">
        <f>('TUSD BE'!$Y$9+'TUSD BF'!$Y$9+'TUSD CVA'!$Y$9)*1</f>
        <v>0</v>
      </c>
      <c r="Y9" s="12">
        <f>('TUSD BE'!$Z$9+'TUSD BF'!$Z$9+'TUSD CVA'!$Z$9)*1</f>
        <v>0</v>
      </c>
      <c r="Z9" s="12">
        <f>('TUSD BE'!$AA$9+'TUSD BF'!$AA$9+'TUSD CVA'!$AA$9)*1</f>
        <v>0</v>
      </c>
      <c r="AA9" s="12">
        <f>('TUSD BE'!$AC$9+'TUSD BF'!$AC$9+'TUSD CVA'!$AC$9)*1</f>
        <v>5.6700243276588846</v>
      </c>
      <c r="AB9" s="12">
        <f ca="1">('TUSD BE'!$AE$9+'TUSD BF'!$AE$9+'TUSD CVA'!$AE$9)*1</f>
        <v>0</v>
      </c>
      <c r="AC9" s="12">
        <f ca="1">('TUSD BE'!$AF$9+'TUSD BF'!$AF$9+'TUSD CVA'!$AF$9)*1</f>
        <v>0</v>
      </c>
      <c r="AD9" s="12">
        <f>('TUSD BE'!$AH$9+'TUSD BF'!$AH$9+'TUSD CVA'!$AH$9)*1</f>
        <v>0</v>
      </c>
      <c r="AE9" s="12">
        <f>('TUSD BE'!$AI$9+'TUSD BF'!$AI$9+'TUSD CVA'!$AI$9)*1</f>
        <v>0</v>
      </c>
      <c r="AF9" s="12">
        <f ca="1">('TUSD BE'!$AJ$9+'TUSD BF'!$AJ$9+'TUSD CVA'!$AJ$9)*1</f>
        <v>0</v>
      </c>
      <c r="AG9" s="12">
        <f ca="1">('TUSD BE'!$AK$9+'TUSD BF'!$AK$9+'TUSD CVA'!$AK$9)*1</f>
        <v>0</v>
      </c>
      <c r="AI9" s="12">
        <v>0</v>
      </c>
      <c r="AJ9" s="12">
        <v>1.8812984383936499E-2</v>
      </c>
      <c r="AK9" s="12">
        <v>7.8925553522931693E-2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5.37510217034386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</row>
    <row r="10" spans="1:56" ht="11.25" customHeight="1" x14ac:dyDescent="0.25">
      <c r="A10" s="150"/>
      <c r="B10" s="150" t="s">
        <v>34</v>
      </c>
      <c r="C10" s="150" t="s">
        <v>25</v>
      </c>
      <c r="D10" s="150" t="s">
        <v>25</v>
      </c>
      <c r="E10" s="150" t="s">
        <v>25</v>
      </c>
      <c r="F10" s="150" t="s">
        <v>25</v>
      </c>
      <c r="G10" s="17" t="s">
        <v>9</v>
      </c>
      <c r="H10" s="17" t="s">
        <v>76</v>
      </c>
      <c r="I10" s="17">
        <f>'MERCADO TUSD'!$U$7</f>
        <v>50780</v>
      </c>
      <c r="J10" s="15"/>
      <c r="L10" s="12">
        <f>('TUSD BE'!$L$10+'TUSD BF'!$L$10+'TUSD CVA'!$L$10)*1</f>
        <v>0</v>
      </c>
      <c r="M10" s="12">
        <f>('TUSD BE'!$M$10+'TUSD BF'!$M$10+'TUSD CVA'!$M$10)*1</f>
        <v>0</v>
      </c>
      <c r="N10" s="12">
        <f ca="1">('TUSD BE'!$N$10+'TUSD BF'!$N$10+'TUSD CVA'!$N$10)*1</f>
        <v>0</v>
      </c>
      <c r="O10" s="12">
        <f>('TUSD BE'!$O$10+'TUSD BF'!$O$10+'TUSD CVA'!$O$10)*1</f>
        <v>0</v>
      </c>
      <c r="P10" s="12">
        <f>('TUSD BE'!$P$10+'TUSD BF'!$P$10+'TUSD CVA'!$P$10)*1</f>
        <v>0</v>
      </c>
      <c r="Q10" s="12">
        <f>('TUSD BE'!$Q$10+'TUSD BF'!$Q$10+'TUSD CVA'!$Q$10)*1</f>
        <v>0</v>
      </c>
      <c r="R10" s="12">
        <f>('TUSD BE'!$R$10+'TUSD BF'!$R$10+'TUSD CVA'!$R$10)*1</f>
        <v>0</v>
      </c>
      <c r="S10" s="12">
        <f>('TUSD BE'!$S$10+'TUSD BF'!$S$10+'TUSD CVA'!$S$10)*1</f>
        <v>0</v>
      </c>
      <c r="T10" s="12">
        <f>('TUSD BE'!$U$10+'TUSD BF'!$U$10+'TUSD CVA'!$U$10)*1</f>
        <v>0</v>
      </c>
      <c r="U10" s="12">
        <f>('TUSD BE'!$V$10+'TUSD BF'!$V$10+'TUSD CVA'!$V$10)*1</f>
        <v>0</v>
      </c>
      <c r="V10" s="12">
        <f>('TUSD BE'!$W$10+'TUSD BF'!$W$10+'TUSD CVA'!$W$10)*1</f>
        <v>0</v>
      </c>
      <c r="W10" s="12">
        <f>('TUSD BE'!$X$10+'TUSD BF'!$X$10+'TUSD CVA'!$X$10)*1</f>
        <v>0</v>
      </c>
      <c r="X10" s="12">
        <f>('TUSD BE'!$Y$10+'TUSD BF'!$Y$10+'TUSD CVA'!$Y$10)*1</f>
        <v>11.0097291319749</v>
      </c>
      <c r="Y10" s="12">
        <f>('TUSD BE'!$Z$10+'TUSD BF'!$Z$10+'TUSD CVA'!$Z$10)*1</f>
        <v>0</v>
      </c>
      <c r="Z10" s="12">
        <f>('TUSD BE'!$AA$10+'TUSD BF'!$AA$10+'TUSD CVA'!$AA$10)*1</f>
        <v>0</v>
      </c>
      <c r="AA10" s="12">
        <f>('TUSD BE'!$AC$10+'TUSD BF'!$AC$10+'TUSD CVA'!$AC$10)*1</f>
        <v>5.5085755655725412</v>
      </c>
      <c r="AB10" s="12">
        <f ca="1">('TUSD BE'!$AE$10+'TUSD BF'!$AE$10+'TUSD CVA'!$AE$10)*1</f>
        <v>0</v>
      </c>
      <c r="AC10" s="12">
        <f ca="1">('TUSD BE'!$AF$10+'TUSD BF'!$AF$10+'TUSD CVA'!$AF$10)*1</f>
        <v>0</v>
      </c>
      <c r="AD10" s="12">
        <f>('TUSD BE'!$AH$10+'TUSD BF'!$AH$10+'TUSD CVA'!$AH$10)*1</f>
        <v>0</v>
      </c>
      <c r="AE10" s="12">
        <f>('TUSD BE'!$AI$10+'TUSD BF'!$AI$10+'TUSD CVA'!$AI$10)*1</f>
        <v>0</v>
      </c>
      <c r="AF10" s="12">
        <f ca="1">('TUSD BE'!$AJ$10+'TUSD BF'!$AJ$10+'TUSD CVA'!$AJ$10)*1</f>
        <v>0</v>
      </c>
      <c r="AG10" s="12">
        <f ca="1">('TUSD BE'!$AK$10+'TUSD BF'!$AK$10+'TUSD CVA'!$AK$10)*1</f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8.5082457025639702</v>
      </c>
      <c r="AV10" s="12">
        <v>0</v>
      </c>
      <c r="AW10" s="12">
        <v>0</v>
      </c>
      <c r="AX10" s="12">
        <v>3.9165382854147599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</row>
    <row r="11" spans="1:56" ht="11.25" customHeight="1" x14ac:dyDescent="0.25">
      <c r="A11" s="150"/>
      <c r="B11" s="150"/>
      <c r="C11" s="150"/>
      <c r="D11" s="150"/>
      <c r="E11" s="150"/>
      <c r="F11" s="150"/>
      <c r="G11" s="17" t="s">
        <v>72</v>
      </c>
      <c r="H11" s="17" t="s">
        <v>71</v>
      </c>
      <c r="I11" s="17">
        <f>'MERCADO TUSD'!$U$8</f>
        <v>678.48799999999994</v>
      </c>
      <c r="J11" s="15"/>
      <c r="L11" s="12">
        <f>('TUSD BE'!$L$11+'TUSD BF'!$L$11+'TUSD CVA'!$L$11)*1</f>
        <v>1.116848582548094</v>
      </c>
      <c r="M11" s="12">
        <f>('TUSD BE'!$M$11+'TUSD BF'!$M$11+'TUSD CVA'!$M$11)*1</f>
        <v>0.20450566132367845</v>
      </c>
      <c r="N11" s="12">
        <f ca="1">('TUSD BE'!$N$11+'TUSD BF'!$N$11+'TUSD CVA'!$N$11)*1</f>
        <v>15.090858617323667</v>
      </c>
      <c r="O11" s="12">
        <f>('TUSD BE'!$O$11+'TUSD BF'!$O$11+'TUSD CVA'!$O$11)*1</f>
        <v>0</v>
      </c>
      <c r="P11" s="12">
        <f>('TUSD BE'!$P$11+'TUSD BF'!$P$11+'TUSD CVA'!$P$11)*1</f>
        <v>0</v>
      </c>
      <c r="Q11" s="12">
        <f>('TUSD BE'!$Q$11+'TUSD BF'!$Q$11+'TUSD CVA'!$Q$11)*1</f>
        <v>85.569438203586216</v>
      </c>
      <c r="R11" s="12">
        <f>('TUSD BE'!$R$11+'TUSD BF'!$R$11+'TUSD CVA'!$R$11)*1</f>
        <v>17.251426924059356</v>
      </c>
      <c r="S11" s="12">
        <f>('TUSD BE'!$S$11+'TUSD BF'!$S$11+'TUSD CVA'!$S$11)*1</f>
        <v>0</v>
      </c>
      <c r="T11" s="12">
        <f>('TUSD BE'!$U$11+'TUSD BF'!$U$11+'TUSD CVA'!$U$11)*1</f>
        <v>0</v>
      </c>
      <c r="U11" s="12">
        <f>('TUSD BE'!$V$11+'TUSD BF'!$V$11+'TUSD CVA'!$V$11)*1</f>
        <v>0</v>
      </c>
      <c r="V11" s="12">
        <f>('TUSD BE'!$W$11+'TUSD BF'!$W$11+'TUSD CVA'!$W$11)*1</f>
        <v>0</v>
      </c>
      <c r="W11" s="12">
        <f>('TUSD BE'!$X$11+'TUSD BF'!$X$11+'TUSD CVA'!$X$11)*1</f>
        <v>0</v>
      </c>
      <c r="X11" s="12">
        <f>('TUSD BE'!$Y$11+'TUSD BF'!$Y$11+'TUSD CVA'!$Y$11)*1</f>
        <v>606.970075856677</v>
      </c>
      <c r="Y11" s="12">
        <f>('TUSD BE'!$Z$11+'TUSD BF'!$Z$11+'TUSD CVA'!$Z$11)*1</f>
        <v>0</v>
      </c>
      <c r="Z11" s="12">
        <f>('TUSD BE'!$AA$11+'TUSD BF'!$AA$11+'TUSD CVA'!$AA$11)*1</f>
        <v>0</v>
      </c>
      <c r="AA11" s="12">
        <f>('TUSD BE'!$AC$11+'TUSD BF'!$AC$11+'TUSD CVA'!$AC$11)*1</f>
        <v>413.34477348633271</v>
      </c>
      <c r="AB11" s="12">
        <f ca="1">('TUSD BE'!$AE$11+'TUSD BF'!$AE$11+'TUSD CVA'!$AE$11)*1</f>
        <v>0</v>
      </c>
      <c r="AC11" s="12">
        <f ca="1">('TUSD BE'!$AF$11+'TUSD BF'!$AF$11+'TUSD CVA'!$AF$11)*1</f>
        <v>0</v>
      </c>
      <c r="AD11" s="12">
        <f>('TUSD BE'!$AH$11+'TUSD BF'!$AH$11+'TUSD CVA'!$AH$11)*1</f>
        <v>5.107609495958874</v>
      </c>
      <c r="AE11" s="12">
        <f>('TUSD BE'!$AI$11+'TUSD BF'!$AI$11+'TUSD CVA'!$AI$11)*1</f>
        <v>0.18770146314677022</v>
      </c>
      <c r="AF11" s="12">
        <f ca="1">('TUSD BE'!$AJ$11+'TUSD BF'!$AJ$11+'TUSD CVA'!$AJ$11)*1</f>
        <v>1.3001745446743798</v>
      </c>
      <c r="AG11" s="12">
        <f ca="1">('TUSD BE'!$AK$11+'TUSD BF'!$AK$11+'TUSD CVA'!$AK$11)*1</f>
        <v>0.23672376060601216</v>
      </c>
      <c r="AI11" s="12">
        <v>2.90664077062744</v>
      </c>
      <c r="AJ11" s="12">
        <v>0.13945784591766</v>
      </c>
      <c r="AK11" s="12">
        <v>10.2151819635087</v>
      </c>
      <c r="AL11" s="12">
        <v>0</v>
      </c>
      <c r="AM11" s="12">
        <v>0</v>
      </c>
      <c r="AN11" s="12">
        <v>49.919330194466298</v>
      </c>
      <c r="AO11" s="12">
        <v>8.9329376325248102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469.06245172683401</v>
      </c>
      <c r="AV11" s="12">
        <v>0</v>
      </c>
      <c r="AW11" s="12">
        <v>0</v>
      </c>
      <c r="AX11" s="12">
        <v>293.88371116355103</v>
      </c>
      <c r="AY11" s="12">
        <v>0</v>
      </c>
      <c r="AZ11" s="12">
        <v>0</v>
      </c>
      <c r="BA11" s="12">
        <v>5.5694199950839298</v>
      </c>
      <c r="BB11" s="12">
        <v>0.17546243538790601</v>
      </c>
      <c r="BC11" s="12">
        <v>1.28116726808105</v>
      </c>
      <c r="BD11" s="12">
        <v>0.22528356863341201</v>
      </c>
    </row>
    <row r="12" spans="1:56" ht="11.25" customHeight="1" x14ac:dyDescent="0.25">
      <c r="A12" s="150"/>
      <c r="B12" s="150"/>
      <c r="C12" s="150"/>
      <c r="D12" s="150"/>
      <c r="E12" s="150"/>
      <c r="F12" s="150"/>
      <c r="G12" s="17" t="s">
        <v>73</v>
      </c>
      <c r="H12" s="17" t="s">
        <v>71</v>
      </c>
      <c r="I12" s="17">
        <f>'MERCADO TUSD'!$U$9</f>
        <v>8521.732</v>
      </c>
      <c r="J12" s="15"/>
      <c r="L12" s="12">
        <f>('TUSD BE'!$L$12+'TUSD BF'!$L$12+'TUSD CVA'!$L$12)*1</f>
        <v>1.116848582548094</v>
      </c>
      <c r="M12" s="12">
        <f>('TUSD BE'!$M$12+'TUSD BF'!$M$12+'TUSD CVA'!$M$12)*1</f>
        <v>0.20450566132367845</v>
      </c>
      <c r="N12" s="12">
        <f ca="1">('TUSD BE'!$N$12+'TUSD BF'!$N$12+'TUSD CVA'!$N$12)*1</f>
        <v>0.26207207765761964</v>
      </c>
      <c r="O12" s="12">
        <f>('TUSD BE'!$O$12+'TUSD BF'!$O$12+'TUSD CVA'!$O$12)*1</f>
        <v>0</v>
      </c>
      <c r="P12" s="12">
        <f>('TUSD BE'!$P$12+'TUSD BF'!$P$12+'TUSD CVA'!$P$12)*1</f>
        <v>0</v>
      </c>
      <c r="Q12" s="12">
        <f>('TUSD BE'!$Q$12+'TUSD BF'!$Q$12+'TUSD CVA'!$Q$12)*1</f>
        <v>85.569438203586216</v>
      </c>
      <c r="R12" s="12">
        <f>('TUSD BE'!$R$12+'TUSD BF'!$R$12+'TUSD CVA'!$R$12)*1</f>
        <v>17.251426924059356</v>
      </c>
      <c r="S12" s="12">
        <f>('TUSD BE'!$S$12+'TUSD BF'!$S$12+'TUSD CVA'!$S$12)*1</f>
        <v>0</v>
      </c>
      <c r="T12" s="12">
        <f>('TUSD BE'!$U$12+'TUSD BF'!$U$12+'TUSD CVA'!$U$12)*1</f>
        <v>0</v>
      </c>
      <c r="U12" s="12">
        <f>('TUSD BE'!$V$12+'TUSD BF'!$V$12+'TUSD CVA'!$V$12)*1</f>
        <v>0</v>
      </c>
      <c r="V12" s="12">
        <f>('TUSD BE'!$W$12+'TUSD BF'!$W$12+'TUSD CVA'!$W$12)*1</f>
        <v>0</v>
      </c>
      <c r="W12" s="12">
        <f>('TUSD BE'!$X$12+'TUSD BF'!$X$12+'TUSD CVA'!$X$12)*1</f>
        <v>0</v>
      </c>
      <c r="X12" s="12">
        <f>('TUSD BE'!$Y$12+'TUSD BF'!$Y$12+'TUSD CVA'!$Y$12)*1</f>
        <v>0</v>
      </c>
      <c r="Y12" s="12">
        <f>('TUSD BE'!$Z$12+'TUSD BF'!$Z$12+'TUSD CVA'!$Z$12)*1</f>
        <v>0</v>
      </c>
      <c r="Z12" s="12">
        <f>('TUSD BE'!$AA$12+'TUSD BF'!$AA$12+'TUSD CVA'!$AA$12)*1</f>
        <v>0</v>
      </c>
      <c r="AA12" s="12">
        <f>('TUSD BE'!$AC$12+'TUSD BF'!$AC$12+'TUSD CVA'!$AC$12)*1</f>
        <v>0</v>
      </c>
      <c r="AB12" s="12">
        <f ca="1">('TUSD BE'!$AE$12+'TUSD BF'!$AE$12+'TUSD CVA'!$AE$12)*1</f>
        <v>0</v>
      </c>
      <c r="AC12" s="12">
        <f ca="1">('TUSD BE'!$AF$12+'TUSD BF'!$AF$12+'TUSD CVA'!$AF$12)*1</f>
        <v>0</v>
      </c>
      <c r="AD12" s="12">
        <f>('TUSD BE'!$AH$12+'TUSD BF'!$AH$12+'TUSD CVA'!$AH$12)*1</f>
        <v>5.107609495958874</v>
      </c>
      <c r="AE12" s="12">
        <f>('TUSD BE'!$AI$12+'TUSD BF'!$AI$12+'TUSD CVA'!$AI$12)*1</f>
        <v>0.18770146314677022</v>
      </c>
      <c r="AF12" s="12">
        <f ca="1">('TUSD BE'!$AJ$12+'TUSD BF'!$AJ$12+'TUSD CVA'!$AJ$12)*1</f>
        <v>1.3001745446743798</v>
      </c>
      <c r="AG12" s="12">
        <f ca="1">('TUSD BE'!$AK$12+'TUSD BF'!$AK$12+'TUSD CVA'!$AK$12)*1</f>
        <v>0.23672376060601216</v>
      </c>
      <c r="AI12" s="12">
        <v>2.90664077062744</v>
      </c>
      <c r="AJ12" s="12">
        <v>0.13945784591766</v>
      </c>
      <c r="AK12" s="12">
        <v>0.22013025250242799</v>
      </c>
      <c r="AL12" s="12">
        <v>0</v>
      </c>
      <c r="AM12" s="12">
        <v>0</v>
      </c>
      <c r="AN12" s="12">
        <v>49.919330194466298</v>
      </c>
      <c r="AO12" s="12">
        <v>8.9329376325248102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5.5694199950839298</v>
      </c>
      <c r="BB12" s="12">
        <v>0.17546243538790601</v>
      </c>
      <c r="BC12" s="12">
        <v>1.28116726808105</v>
      </c>
      <c r="BD12" s="12">
        <v>0.22528356863341201</v>
      </c>
    </row>
    <row r="13" spans="1:56" ht="11.25" customHeight="1" x14ac:dyDescent="0.25">
      <c r="A13" s="150"/>
      <c r="B13" s="150"/>
      <c r="C13" s="150"/>
      <c r="D13" s="150"/>
      <c r="E13" s="150" t="s">
        <v>79</v>
      </c>
      <c r="F13" s="150" t="s">
        <v>25</v>
      </c>
      <c r="G13" s="17" t="s">
        <v>72</v>
      </c>
      <c r="H13" s="17" t="s">
        <v>71</v>
      </c>
      <c r="I13" s="17">
        <f>'MERCADO TUSD'!$U$10</f>
        <v>0</v>
      </c>
      <c r="J13" s="15"/>
      <c r="L13" s="12">
        <f>('TUSD BE'!$L$13+'TUSD BF'!$L$13+'TUSD CVA'!$L$13)*1</f>
        <v>0</v>
      </c>
      <c r="M13" s="12">
        <f>('TUSD BE'!$M$13+'TUSD BF'!$M$13+'TUSD CVA'!$M$13)*1</f>
        <v>0.20450566132367845</v>
      </c>
      <c r="N13" s="12">
        <f ca="1">('TUSD BE'!$N$13+'TUSD BF'!$N$13+'TUSD CVA'!$N$13)*1</f>
        <v>15.072788407363463</v>
      </c>
      <c r="O13" s="12">
        <f>('TUSD BE'!$O$13+'TUSD BF'!$O$13+'TUSD CVA'!$O$13)*1</f>
        <v>0</v>
      </c>
      <c r="P13" s="12">
        <f>('TUSD BE'!$P$13+'TUSD BF'!$P$13+'TUSD CVA'!$P$13)*1</f>
        <v>0</v>
      </c>
      <c r="Q13" s="12">
        <f>('TUSD BE'!$Q$13+'TUSD BF'!$Q$13+'TUSD CVA'!$Q$13)*1</f>
        <v>0</v>
      </c>
      <c r="R13" s="12">
        <f>('TUSD BE'!$R$13+'TUSD BF'!$R$13+'TUSD CVA'!$R$13)*1</f>
        <v>0</v>
      </c>
      <c r="S13" s="12">
        <f>('TUSD BE'!$S$13+'TUSD BF'!$S$13+'TUSD CVA'!$S$13)*1</f>
        <v>0</v>
      </c>
      <c r="T13" s="12">
        <f>('TUSD BE'!$U$13+'TUSD BF'!$U$13+'TUSD CVA'!$U$13)*1</f>
        <v>0</v>
      </c>
      <c r="U13" s="12">
        <f>('TUSD BE'!$V$13+'TUSD BF'!$V$13+'TUSD CVA'!$V$13)*1</f>
        <v>0</v>
      </c>
      <c r="V13" s="12">
        <f>('TUSD BE'!$W$13+'TUSD BF'!$W$13+'TUSD CVA'!$W$13)*1</f>
        <v>0</v>
      </c>
      <c r="W13" s="12">
        <f>('TUSD BE'!$X$13+'TUSD BF'!$X$13+'TUSD CVA'!$X$13)*1</f>
        <v>0</v>
      </c>
      <c r="X13" s="12">
        <f>('TUSD BE'!$Y$13+'TUSD BF'!$Y$13+'TUSD CVA'!$Y$13)*1</f>
        <v>606.970075856677</v>
      </c>
      <c r="Y13" s="12">
        <f>('TUSD BE'!$Z$13+'TUSD BF'!$Z$13+'TUSD CVA'!$Z$13)*1</f>
        <v>0</v>
      </c>
      <c r="Z13" s="12">
        <f>('TUSD BE'!$AA$13+'TUSD BF'!$AA$13+'TUSD CVA'!$AA$13)*1</f>
        <v>0</v>
      </c>
      <c r="AA13" s="12">
        <f>('TUSD BE'!$AC$13+'TUSD BF'!$AC$13+'TUSD CVA'!$AC$13)*1</f>
        <v>413.34477348633271</v>
      </c>
      <c r="AB13" s="12">
        <f ca="1">('TUSD BE'!$AE$13+'TUSD BF'!$AE$13+'TUSD CVA'!$AE$13)*1</f>
        <v>0</v>
      </c>
      <c r="AC13" s="12">
        <f ca="1">('TUSD BE'!$AF$13+'TUSD BF'!$AF$13+'TUSD CVA'!$AF$13)*1</f>
        <v>0</v>
      </c>
      <c r="AD13" s="12">
        <f>('TUSD BE'!$AH$13+'TUSD BF'!$AH$13+'TUSD CVA'!$AH$13)*1</f>
        <v>5.107609495958874</v>
      </c>
      <c r="AE13" s="12">
        <f>('TUSD BE'!$AI$13+'TUSD BF'!$AI$13+'TUSD CVA'!$AI$13)*1</f>
        <v>0.18770146314677022</v>
      </c>
      <c r="AF13" s="12">
        <f ca="1">('TUSD BE'!$AJ$13+'TUSD BF'!$AJ$13+'TUSD CVA'!$AJ$13)*1</f>
        <v>1.3001745446743798</v>
      </c>
      <c r="AG13" s="12">
        <f ca="1">('TUSD BE'!$AK$13+'TUSD BF'!$AK$13+'TUSD CVA'!$AK$13)*1</f>
        <v>0.23672376060601216</v>
      </c>
      <c r="AI13" s="12">
        <v>0</v>
      </c>
      <c r="AJ13" s="12">
        <v>0.13945784591766</v>
      </c>
      <c r="AK13" s="12">
        <v>10.1989421376809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469.06245172683401</v>
      </c>
      <c r="AV13" s="12">
        <v>0</v>
      </c>
      <c r="AW13" s="12">
        <v>0</v>
      </c>
      <c r="AX13" s="12">
        <v>293.88371116355103</v>
      </c>
      <c r="AY13" s="12">
        <v>0</v>
      </c>
      <c r="AZ13" s="12">
        <v>0</v>
      </c>
      <c r="BA13" s="12">
        <v>5.5694199950839298</v>
      </c>
      <c r="BB13" s="12">
        <v>0.17546243538790601</v>
      </c>
      <c r="BC13" s="12">
        <v>1.28116726808105</v>
      </c>
      <c r="BD13" s="12">
        <v>0.22528356863341201</v>
      </c>
    </row>
    <row r="14" spans="1:56" ht="11.25" customHeight="1" x14ac:dyDescent="0.25">
      <c r="A14" s="150"/>
      <c r="B14" s="150"/>
      <c r="C14" s="150"/>
      <c r="D14" s="150"/>
      <c r="E14" s="150"/>
      <c r="F14" s="150"/>
      <c r="G14" s="17" t="s">
        <v>73</v>
      </c>
      <c r="H14" s="17" t="s">
        <v>71</v>
      </c>
      <c r="I14" s="17">
        <f>'MERCADO TUSD'!$U$11</f>
        <v>0</v>
      </c>
      <c r="J14" s="15"/>
      <c r="L14" s="12">
        <f>('TUSD BE'!$L$14+'TUSD BF'!$L$14+'TUSD CVA'!$L$14)*1</f>
        <v>0</v>
      </c>
      <c r="M14" s="12">
        <f>('TUSD BE'!$M$14+'TUSD BF'!$M$14+'TUSD CVA'!$M$14)*1</f>
        <v>0.20450566132367845</v>
      </c>
      <c r="N14" s="12">
        <f ca="1">('TUSD BE'!$N$14+'TUSD BF'!$N$14+'TUSD CVA'!$N$14)*1</f>
        <v>0.24400186769741869</v>
      </c>
      <c r="O14" s="12">
        <f>('TUSD BE'!$O$14+'TUSD BF'!$O$14+'TUSD CVA'!$O$14)*1</f>
        <v>0</v>
      </c>
      <c r="P14" s="12">
        <f>('TUSD BE'!$P$14+'TUSD BF'!$P$14+'TUSD CVA'!$P$14)*1</f>
        <v>0</v>
      </c>
      <c r="Q14" s="12">
        <f>('TUSD BE'!$Q$14+'TUSD BF'!$Q$14+'TUSD CVA'!$Q$14)*1</f>
        <v>0</v>
      </c>
      <c r="R14" s="12">
        <f>('TUSD BE'!$R$14+'TUSD BF'!$R$14+'TUSD CVA'!$R$14)*1</f>
        <v>0</v>
      </c>
      <c r="S14" s="12">
        <f>('TUSD BE'!$S$14+'TUSD BF'!$S$14+'TUSD CVA'!$S$14)*1</f>
        <v>0</v>
      </c>
      <c r="T14" s="12">
        <f>('TUSD BE'!$U$14+'TUSD BF'!$U$14+'TUSD CVA'!$U$14)*1</f>
        <v>0</v>
      </c>
      <c r="U14" s="12">
        <f>('TUSD BE'!$V$14+'TUSD BF'!$V$14+'TUSD CVA'!$V$14)*1</f>
        <v>0</v>
      </c>
      <c r="V14" s="12">
        <f>('TUSD BE'!$W$14+'TUSD BF'!$W$14+'TUSD CVA'!$W$14)*1</f>
        <v>0</v>
      </c>
      <c r="W14" s="12">
        <f>('TUSD BE'!$X$14+'TUSD BF'!$X$14+'TUSD CVA'!$X$14)*1</f>
        <v>0</v>
      </c>
      <c r="X14" s="12">
        <f>('TUSD BE'!$Y$14+'TUSD BF'!$Y$14+'TUSD CVA'!$Y$14)*1</f>
        <v>0</v>
      </c>
      <c r="Y14" s="12">
        <f>('TUSD BE'!$Z$14+'TUSD BF'!$Z$14+'TUSD CVA'!$Z$14)*1</f>
        <v>0</v>
      </c>
      <c r="Z14" s="12">
        <f>('TUSD BE'!$AA$14+'TUSD BF'!$AA$14+'TUSD CVA'!$AA$14)*1</f>
        <v>0</v>
      </c>
      <c r="AA14" s="12">
        <f>('TUSD BE'!$AC$14+'TUSD BF'!$AC$14+'TUSD CVA'!$AC$14)*1</f>
        <v>0</v>
      </c>
      <c r="AB14" s="12">
        <f ca="1">('TUSD BE'!$AE$14+'TUSD BF'!$AE$14+'TUSD CVA'!$AE$14)*1</f>
        <v>0</v>
      </c>
      <c r="AC14" s="12">
        <f ca="1">('TUSD BE'!$AF$14+'TUSD BF'!$AF$14+'TUSD CVA'!$AF$14)*1</f>
        <v>0</v>
      </c>
      <c r="AD14" s="12">
        <f>('TUSD BE'!$AH$14+'TUSD BF'!$AH$14+'TUSD CVA'!$AH$14)*1</f>
        <v>5.107609495958874</v>
      </c>
      <c r="AE14" s="12">
        <f>('TUSD BE'!$AI$14+'TUSD BF'!$AI$14+'TUSD CVA'!$AI$14)*1</f>
        <v>0.18770146314677022</v>
      </c>
      <c r="AF14" s="12">
        <f ca="1">('TUSD BE'!$AJ$14+'TUSD BF'!$AJ$14+'TUSD CVA'!$AJ$14)*1</f>
        <v>1.3001745446743798</v>
      </c>
      <c r="AG14" s="12">
        <f ca="1">('TUSD BE'!$AK$14+'TUSD BF'!$AK$14+'TUSD CVA'!$AK$14)*1</f>
        <v>0.23672376060601216</v>
      </c>
      <c r="AI14" s="12">
        <v>0</v>
      </c>
      <c r="AJ14" s="12">
        <v>0.13945784591766</v>
      </c>
      <c r="AK14" s="12">
        <v>0.203890426674665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5.5694199950839298</v>
      </c>
      <c r="BB14" s="12">
        <v>0.17546243538790601</v>
      </c>
      <c r="BC14" s="12">
        <v>1.28116726808105</v>
      </c>
      <c r="BD14" s="12">
        <v>0.22528356863341201</v>
      </c>
    </row>
    <row r="15" spans="1:56" ht="11.25" customHeight="1" x14ac:dyDescent="0.25">
      <c r="A15" s="150" t="s">
        <v>33</v>
      </c>
      <c r="B15" s="150" t="s">
        <v>41</v>
      </c>
      <c r="C15" s="150" t="s">
        <v>25</v>
      </c>
      <c r="D15" s="150" t="s">
        <v>25</v>
      </c>
      <c r="E15" s="150" t="s">
        <v>25</v>
      </c>
      <c r="F15" s="150" t="s">
        <v>25</v>
      </c>
      <c r="G15" s="17" t="s">
        <v>77</v>
      </c>
      <c r="H15" s="17" t="s">
        <v>76</v>
      </c>
      <c r="I15" s="17">
        <f>'MERCADO TUSD'!$U$12</f>
        <v>176625</v>
      </c>
      <c r="J15" s="15"/>
      <c r="L15" s="12">
        <f>('TUSD BE'!$L$15+'TUSD BF'!$L$15+'TUSD CVA'!$L$15)*1</f>
        <v>0</v>
      </c>
      <c r="M15" s="12">
        <f>('TUSD BE'!$M$15+'TUSD BF'!$M$15+'TUSD CVA'!$M$15)*1</f>
        <v>0</v>
      </c>
      <c r="N15" s="12">
        <f ca="1">('TUSD BE'!$N$15+'TUSD BF'!$N$15+'TUSD CVA'!$N$15)*1</f>
        <v>0</v>
      </c>
      <c r="O15" s="12">
        <f>('TUSD BE'!$O$15+'TUSD BF'!$O$15+'TUSD CVA'!$O$15)*1</f>
        <v>0</v>
      </c>
      <c r="P15" s="12">
        <f>('TUSD BE'!$P$15+'TUSD BF'!$P$15+'TUSD CVA'!$P$15)*1</f>
        <v>0</v>
      </c>
      <c r="Q15" s="12">
        <f>('TUSD BE'!$Q$15+'TUSD BF'!$Q$15+'TUSD CVA'!$Q$15)*1</f>
        <v>0</v>
      </c>
      <c r="R15" s="12">
        <f>('TUSD BE'!$R$15+'TUSD BF'!$R$15+'TUSD CVA'!$R$15)*1</f>
        <v>0</v>
      </c>
      <c r="S15" s="12">
        <f>('TUSD BE'!$S$15+'TUSD BF'!$S$15+'TUSD CVA'!$S$15)*1</f>
        <v>0</v>
      </c>
      <c r="T15" s="12">
        <f>('TUSD BE'!$U$15+'TUSD BF'!$U$15+'TUSD CVA'!$U$15)*1</f>
        <v>0</v>
      </c>
      <c r="U15" s="12">
        <f>('TUSD BE'!$V$15+'TUSD BF'!$V$15+'TUSD CVA'!$V$15)*1</f>
        <v>0</v>
      </c>
      <c r="V15" s="12">
        <f>('TUSD BE'!$W$15+'TUSD BF'!$W$15+'TUSD CVA'!$W$15)*1</f>
        <v>0</v>
      </c>
      <c r="W15" s="12">
        <f>('TUSD BE'!$X$15+'TUSD BF'!$X$15+'TUSD CVA'!$X$15)*1</f>
        <v>0</v>
      </c>
      <c r="X15" s="12">
        <f>('TUSD BE'!$Y$15+'TUSD BF'!$Y$15+'TUSD CVA'!$Y$15)*1</f>
        <v>25.23782857723371</v>
      </c>
      <c r="Y15" s="12">
        <f>('TUSD BE'!$Z$15+'TUSD BF'!$Z$15+'TUSD CVA'!$Z$15)*1</f>
        <v>0</v>
      </c>
      <c r="Z15" s="12">
        <f>('TUSD BE'!$AA$15+'TUSD BF'!$AA$15+'TUSD CVA'!$AA$15)*1</f>
        <v>0</v>
      </c>
      <c r="AA15" s="12">
        <f>('TUSD BE'!$AC$15+'TUSD BF'!$AC$15+'TUSD CVA'!$AC$15)*1</f>
        <v>17.186858792077725</v>
      </c>
      <c r="AB15" s="12">
        <f ca="1">('TUSD BE'!$AE$15+'TUSD BF'!$AE$15+'TUSD CVA'!$AE$15)*1</f>
        <v>0</v>
      </c>
      <c r="AC15" s="12">
        <f ca="1">('TUSD BE'!$AF$15+'TUSD BF'!$AF$15+'TUSD CVA'!$AF$15)*1</f>
        <v>0</v>
      </c>
      <c r="AD15" s="12">
        <f>('TUSD BE'!$AH$15+'TUSD BF'!$AH$15+'TUSD CVA'!$AH$15)*1</f>
        <v>0</v>
      </c>
      <c r="AE15" s="12">
        <f>('TUSD BE'!$AI$15+'TUSD BF'!$AI$15+'TUSD CVA'!$AI$15)*1</f>
        <v>0</v>
      </c>
      <c r="AF15" s="12">
        <f ca="1">('TUSD BE'!$AJ$15+'TUSD BF'!$AJ$15+'TUSD CVA'!$AJ$15)*1</f>
        <v>0</v>
      </c>
      <c r="AG15" s="12">
        <f ca="1">('TUSD BE'!$AK$15+'TUSD BF'!$AK$15+'TUSD CVA'!$AK$15)*1</f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19.5036266524186</v>
      </c>
      <c r="AV15" s="12">
        <v>0</v>
      </c>
      <c r="AW15" s="12">
        <v>0</v>
      </c>
      <c r="AX15" s="12">
        <v>12.219672701938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</row>
    <row r="16" spans="1:56" ht="11.25" customHeight="1" x14ac:dyDescent="0.25">
      <c r="A16" s="150"/>
      <c r="B16" s="150"/>
      <c r="C16" s="150"/>
      <c r="D16" s="150"/>
      <c r="E16" s="150"/>
      <c r="F16" s="150"/>
      <c r="G16" s="17" t="s">
        <v>78</v>
      </c>
      <c r="H16" s="17" t="s">
        <v>76</v>
      </c>
      <c r="I16" s="17">
        <f>'MERCADO TUSD'!$U$13</f>
        <v>187845</v>
      </c>
      <c r="J16" s="15"/>
      <c r="L16" s="12">
        <f>('TUSD BE'!$L$16+'TUSD BF'!$L$16+'TUSD CVA'!$L$16)*1</f>
        <v>0</v>
      </c>
      <c r="M16" s="12">
        <f>('TUSD BE'!$M$16+'TUSD BF'!$M$16+'TUSD CVA'!$M$16)*1</f>
        <v>0</v>
      </c>
      <c r="N16" s="12">
        <f ca="1">('TUSD BE'!$N$16+'TUSD BF'!$N$16+'TUSD CVA'!$N$16)*1</f>
        <v>0</v>
      </c>
      <c r="O16" s="12">
        <f>('TUSD BE'!$O$16+'TUSD BF'!$O$16+'TUSD CVA'!$O$16)*1</f>
        <v>0</v>
      </c>
      <c r="P16" s="12">
        <f>('TUSD BE'!$P$16+'TUSD BF'!$P$16+'TUSD CVA'!$P$16)*1</f>
        <v>0</v>
      </c>
      <c r="Q16" s="12">
        <f>('TUSD BE'!$Q$16+'TUSD BF'!$Q$16+'TUSD CVA'!$Q$16)*1</f>
        <v>0</v>
      </c>
      <c r="R16" s="12">
        <f>('TUSD BE'!$R$16+'TUSD BF'!$R$16+'TUSD CVA'!$R$16)*1</f>
        <v>0</v>
      </c>
      <c r="S16" s="12">
        <f>('TUSD BE'!$S$16+'TUSD BF'!$S$16+'TUSD CVA'!$S$16)*1</f>
        <v>0</v>
      </c>
      <c r="T16" s="12">
        <f>('TUSD BE'!$U$16+'TUSD BF'!$U$16+'TUSD CVA'!$U$16)*1</f>
        <v>0</v>
      </c>
      <c r="U16" s="12">
        <f>('TUSD BE'!$V$16+'TUSD BF'!$V$16+'TUSD CVA'!$V$16)*1</f>
        <v>0</v>
      </c>
      <c r="V16" s="12">
        <f>('TUSD BE'!$W$16+'TUSD BF'!$W$16+'TUSD CVA'!$W$16)*1</f>
        <v>0</v>
      </c>
      <c r="W16" s="12">
        <f>('TUSD BE'!$X$16+'TUSD BF'!$X$16+'TUSD CVA'!$X$16)*1</f>
        <v>0</v>
      </c>
      <c r="X16" s="12">
        <f>('TUSD BE'!$Y$16+'TUSD BF'!$Y$16+'TUSD CVA'!$Y$16)*1</f>
        <v>11.0097291319749</v>
      </c>
      <c r="Y16" s="12">
        <f>('TUSD BE'!$Z$16+'TUSD BF'!$Z$16+'TUSD CVA'!$Z$16)*1</f>
        <v>0</v>
      </c>
      <c r="Z16" s="12">
        <f>('TUSD BE'!$AA$16+'TUSD BF'!$AA$16+'TUSD CVA'!$AA$16)*1</f>
        <v>0</v>
      </c>
      <c r="AA16" s="12">
        <f>('TUSD BE'!$AC$16+'TUSD BF'!$AC$16+'TUSD CVA'!$AC$16)*1</f>
        <v>5.5085755655725412</v>
      </c>
      <c r="AB16" s="12">
        <f ca="1">('TUSD BE'!$AE$16+'TUSD BF'!$AE$16+'TUSD CVA'!$AE$16)*1</f>
        <v>0</v>
      </c>
      <c r="AC16" s="12">
        <f ca="1">('TUSD BE'!$AF$16+'TUSD BF'!$AF$16+'TUSD CVA'!$AF$16)*1</f>
        <v>0</v>
      </c>
      <c r="AD16" s="12">
        <f>('TUSD BE'!$AH$16+'TUSD BF'!$AH$16+'TUSD CVA'!$AH$16)*1</f>
        <v>0</v>
      </c>
      <c r="AE16" s="12">
        <f>('TUSD BE'!$AI$16+'TUSD BF'!$AI$16+'TUSD CVA'!$AI$16)*1</f>
        <v>0</v>
      </c>
      <c r="AF16" s="12">
        <f ca="1">('TUSD BE'!$AJ$16+'TUSD BF'!$AJ$16+'TUSD CVA'!$AJ$16)*1</f>
        <v>0</v>
      </c>
      <c r="AG16" s="12">
        <f ca="1">('TUSD BE'!$AK$16+'TUSD BF'!$AK$16+'TUSD CVA'!$AK$16)*1</f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8.5082457025639702</v>
      </c>
      <c r="AV16" s="12">
        <v>0</v>
      </c>
      <c r="AW16" s="12">
        <v>0</v>
      </c>
      <c r="AX16" s="12">
        <v>3.9165382854147599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</row>
    <row r="17" spans="1:56" ht="11.25" customHeight="1" x14ac:dyDescent="0.25">
      <c r="A17" s="150"/>
      <c r="B17" s="150"/>
      <c r="C17" s="150"/>
      <c r="D17" s="150"/>
      <c r="E17" s="150"/>
      <c r="F17" s="150"/>
      <c r="G17" s="17" t="s">
        <v>75</v>
      </c>
      <c r="H17" s="17" t="s">
        <v>71</v>
      </c>
      <c r="I17" s="17">
        <f>'MERCADO TUSD'!$U$14</f>
        <v>102751.91800000001</v>
      </c>
      <c r="J17" s="15"/>
      <c r="L17" s="12">
        <f>('TUSD BE'!$L$17+'TUSD BF'!$L$17+'TUSD CVA'!$L$17)*1</f>
        <v>1.116848582548094</v>
      </c>
      <c r="M17" s="12">
        <f>('TUSD BE'!$M$17+'TUSD BF'!$M$17+'TUSD CVA'!$M$17)*1</f>
        <v>0.20450566132367845</v>
      </c>
      <c r="N17" s="12">
        <f ca="1">('TUSD BE'!$N$17+'TUSD BF'!$N$17+'TUSD CVA'!$N$17)*1</f>
        <v>0.26207207765761964</v>
      </c>
      <c r="O17" s="12">
        <f>('TUSD BE'!$O$17+'TUSD BF'!$O$17+'TUSD CVA'!$O$17)*1</f>
        <v>0</v>
      </c>
      <c r="P17" s="12">
        <f>('TUSD BE'!$P$17+'TUSD BF'!$P$17+'TUSD CVA'!$P$17)*1</f>
        <v>0</v>
      </c>
      <c r="Q17" s="12">
        <f>('TUSD BE'!$Q$17+'TUSD BF'!$Q$17+'TUSD CVA'!$Q$17)*1</f>
        <v>85.569438203586216</v>
      </c>
      <c r="R17" s="12">
        <f>('TUSD BE'!$R$17+'TUSD BF'!$R$17+'TUSD CVA'!$R$17)*1</f>
        <v>17.251426924059356</v>
      </c>
      <c r="S17" s="12">
        <f>('TUSD BE'!$S$17+'TUSD BF'!$S$17+'TUSD CVA'!$S$17)*1</f>
        <v>0</v>
      </c>
      <c r="T17" s="12">
        <f>('TUSD BE'!$U$17+'TUSD BF'!$U$17+'TUSD CVA'!$U$17)*1</f>
        <v>0</v>
      </c>
      <c r="U17" s="12">
        <f>('TUSD BE'!$V$17+'TUSD BF'!$V$17+'TUSD CVA'!$V$17)*1</f>
        <v>0</v>
      </c>
      <c r="V17" s="12">
        <f>('TUSD BE'!$W$17+'TUSD BF'!$W$17+'TUSD CVA'!$W$17)*1</f>
        <v>0</v>
      </c>
      <c r="W17" s="12">
        <f>('TUSD BE'!$X$17+'TUSD BF'!$X$17+'TUSD CVA'!$X$17)*1</f>
        <v>0</v>
      </c>
      <c r="X17" s="12">
        <f>('TUSD BE'!$Y$17+'TUSD BF'!$Y$17+'TUSD CVA'!$Y$17)*1</f>
        <v>0</v>
      </c>
      <c r="Y17" s="12">
        <f>('TUSD BE'!$Z$17+'TUSD BF'!$Z$17+'TUSD CVA'!$Z$17)*1</f>
        <v>0</v>
      </c>
      <c r="Z17" s="12">
        <f>('TUSD BE'!$AA$17+'TUSD BF'!$AA$17+'TUSD CVA'!$AA$17)*1</f>
        <v>0</v>
      </c>
      <c r="AA17" s="12">
        <f>('TUSD BE'!$AC$17+'TUSD BF'!$AC$17+'TUSD CVA'!$AC$17)*1</f>
        <v>0</v>
      </c>
      <c r="AB17" s="12">
        <f ca="1">('TUSD BE'!$AE$17+'TUSD BF'!$AE$17+'TUSD CVA'!$AE$17)*1</f>
        <v>0</v>
      </c>
      <c r="AC17" s="12">
        <f ca="1">('TUSD BE'!$AF$17+'TUSD BF'!$AF$17+'TUSD CVA'!$AF$17)*1</f>
        <v>0</v>
      </c>
      <c r="AD17" s="12">
        <f>('TUSD BE'!$AH$17+'TUSD BF'!$AH$17+'TUSD CVA'!$AH$17)*1</f>
        <v>5.107609495958874</v>
      </c>
      <c r="AE17" s="12">
        <f>('TUSD BE'!$AI$17+'TUSD BF'!$AI$17+'TUSD CVA'!$AI$17)*1</f>
        <v>0.18770146314677022</v>
      </c>
      <c r="AF17" s="12">
        <f ca="1">('TUSD BE'!$AJ$17+'TUSD BF'!$AJ$17+'TUSD CVA'!$AJ$17)*1</f>
        <v>1.3001745446743798</v>
      </c>
      <c r="AG17" s="12">
        <f ca="1">('TUSD BE'!$AK$17+'TUSD BF'!$AK$17+'TUSD CVA'!$AK$17)*1</f>
        <v>0.23672376060601216</v>
      </c>
      <c r="AI17" s="12">
        <v>2.90664077062744</v>
      </c>
      <c r="AJ17" s="12">
        <v>0.13945784591766</v>
      </c>
      <c r="AK17" s="12">
        <v>0.22013025250242799</v>
      </c>
      <c r="AL17" s="12">
        <v>0</v>
      </c>
      <c r="AM17" s="12">
        <v>0</v>
      </c>
      <c r="AN17" s="12">
        <v>49.919330194466298</v>
      </c>
      <c r="AO17" s="12">
        <v>8.9329376325248102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5.5694199950839298</v>
      </c>
      <c r="BB17" s="12">
        <v>0.17546243538790601</v>
      </c>
      <c r="BC17" s="12">
        <v>1.28116726808105</v>
      </c>
      <c r="BD17" s="12">
        <v>0.22528356863341201</v>
      </c>
    </row>
    <row r="18" spans="1:56" ht="11.25" customHeight="1" x14ac:dyDescent="0.25">
      <c r="A18" s="150"/>
      <c r="B18" s="150"/>
      <c r="C18" s="150"/>
      <c r="D18" s="150"/>
      <c r="E18" s="18" t="s">
        <v>79</v>
      </c>
      <c r="F18" s="18" t="s">
        <v>25</v>
      </c>
      <c r="G18" s="17" t="s">
        <v>75</v>
      </c>
      <c r="H18" s="17" t="s">
        <v>71</v>
      </c>
      <c r="I18" s="17">
        <f>'MERCADO TUSD'!$U$15</f>
        <v>0</v>
      </c>
      <c r="J18" s="15"/>
      <c r="L18" s="12">
        <f>('TUSD BE'!$L$18+'TUSD BF'!$L$18+'TUSD CVA'!$L$18)*1</f>
        <v>0</v>
      </c>
      <c r="M18" s="12">
        <f>('TUSD BE'!$M$18+'TUSD BF'!$M$18+'TUSD CVA'!$M$18)*1</f>
        <v>0.20450566132367845</v>
      </c>
      <c r="N18" s="12">
        <f ca="1">('TUSD BE'!$N$18+'TUSD BF'!$N$18+'TUSD CVA'!$N$18)*1</f>
        <v>0.24400186769741869</v>
      </c>
      <c r="O18" s="12">
        <f>('TUSD BE'!$O$18+'TUSD BF'!$O$18+'TUSD CVA'!$O$18)*1</f>
        <v>0</v>
      </c>
      <c r="P18" s="12">
        <f>('TUSD BE'!$P$18+'TUSD BF'!$P$18+'TUSD CVA'!$P$18)*1</f>
        <v>0</v>
      </c>
      <c r="Q18" s="12">
        <f>('TUSD BE'!$Q$18+'TUSD BF'!$Q$18+'TUSD CVA'!$Q$18)*1</f>
        <v>0</v>
      </c>
      <c r="R18" s="12">
        <f>('TUSD BE'!$R$18+'TUSD BF'!$R$18+'TUSD CVA'!$R$18)*1</f>
        <v>0</v>
      </c>
      <c r="S18" s="12">
        <f>('TUSD BE'!$S$18+'TUSD BF'!$S$18+'TUSD CVA'!$S$18)*1</f>
        <v>0</v>
      </c>
      <c r="T18" s="12">
        <f>('TUSD BE'!$U$18+'TUSD BF'!$U$18+'TUSD CVA'!$U$18)*1</f>
        <v>0</v>
      </c>
      <c r="U18" s="12">
        <f>('TUSD BE'!$V$18+'TUSD BF'!$V$18+'TUSD CVA'!$V$18)*1</f>
        <v>0</v>
      </c>
      <c r="V18" s="12">
        <f>('TUSD BE'!$W$18+'TUSD BF'!$W$18+'TUSD CVA'!$W$18)*1</f>
        <v>0</v>
      </c>
      <c r="W18" s="12">
        <f>('TUSD BE'!$X$18+'TUSD BF'!$X$18+'TUSD CVA'!$X$18)*1</f>
        <v>0</v>
      </c>
      <c r="X18" s="12">
        <f>('TUSD BE'!$Y$18+'TUSD BF'!$Y$18+'TUSD CVA'!$Y$18)*1</f>
        <v>0</v>
      </c>
      <c r="Y18" s="12">
        <f>('TUSD BE'!$Z$18+'TUSD BF'!$Z$18+'TUSD CVA'!$Z$18)*1</f>
        <v>0</v>
      </c>
      <c r="Z18" s="12">
        <f>('TUSD BE'!$AA$18+'TUSD BF'!$AA$18+'TUSD CVA'!$AA$18)*1</f>
        <v>0</v>
      </c>
      <c r="AA18" s="12">
        <f>('TUSD BE'!$AC$18+'TUSD BF'!$AC$18+'TUSD CVA'!$AC$18)*1</f>
        <v>0</v>
      </c>
      <c r="AB18" s="12">
        <f ca="1">('TUSD BE'!$AE$18+'TUSD BF'!$AE$18+'TUSD CVA'!$AE$18)*1</f>
        <v>0</v>
      </c>
      <c r="AC18" s="12">
        <f ca="1">('TUSD BE'!$AF$18+'TUSD BF'!$AF$18+'TUSD CVA'!$AF$18)*1</f>
        <v>0</v>
      </c>
      <c r="AD18" s="12">
        <f>('TUSD BE'!$AH$18+'TUSD BF'!$AH$18+'TUSD CVA'!$AH$18)*1</f>
        <v>5.107609495958874</v>
      </c>
      <c r="AE18" s="12">
        <f>('TUSD BE'!$AI$18+'TUSD BF'!$AI$18+'TUSD CVA'!$AI$18)*1</f>
        <v>0.18770146314677022</v>
      </c>
      <c r="AF18" s="12">
        <f ca="1">('TUSD BE'!$AJ$18+'TUSD BF'!$AJ$18+'TUSD CVA'!$AJ$18)*1</f>
        <v>1.3001745446743798</v>
      </c>
      <c r="AG18" s="12">
        <f ca="1">('TUSD BE'!$AK$18+'TUSD BF'!$AK$18+'TUSD CVA'!$AK$18)*1</f>
        <v>0.23672376060601216</v>
      </c>
      <c r="AI18" s="12">
        <v>0</v>
      </c>
      <c r="AJ18" s="12">
        <v>0.13945784591766</v>
      </c>
      <c r="AK18" s="12">
        <v>0.203890426674665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5.5694199950839298</v>
      </c>
      <c r="BB18" s="12">
        <v>0.17546243538790601</v>
      </c>
      <c r="BC18" s="12">
        <v>1.28116726808105</v>
      </c>
      <c r="BD18" s="12">
        <v>0.22528356863341201</v>
      </c>
    </row>
    <row r="19" spans="1:56" ht="11.25" customHeight="1" x14ac:dyDescent="0.25">
      <c r="A19" s="150"/>
      <c r="B19" s="18" t="s">
        <v>80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76</v>
      </c>
      <c r="I19" s="17">
        <f>'MERCADO TUSD'!$U$16</f>
        <v>0</v>
      </c>
      <c r="J19" s="15"/>
      <c r="L19" s="12">
        <f>('TUSD BE'!$L$19+'TUSD BF'!$L$19+'TUSD CVA'!$L$19)*1</f>
        <v>0</v>
      </c>
      <c r="M19" s="12">
        <f>('TUSD BE'!$M$19+'TUSD BF'!$M$19+'TUSD CVA'!$M$19)*1</f>
        <v>1.9394375897639326E-2</v>
      </c>
      <c r="N19" s="12">
        <f ca="1">('TUSD BE'!$N$19+'TUSD BF'!$N$19+'TUSD CVA'!$N$19)*1</f>
        <v>8.7821220406576403E-2</v>
      </c>
      <c r="O19" s="12">
        <f>('TUSD BE'!$O$19+'TUSD BF'!$O$19+'TUSD CVA'!$O$19)*1</f>
        <v>0</v>
      </c>
      <c r="P19" s="12">
        <f>('TUSD BE'!$P$19+'TUSD BF'!$P$19+'TUSD CVA'!$P$19)*1</f>
        <v>0</v>
      </c>
      <c r="Q19" s="12">
        <f>('TUSD BE'!$Q$19+'TUSD BF'!$Q$19+'TUSD CVA'!$Q$19)*1</f>
        <v>0</v>
      </c>
      <c r="R19" s="12">
        <f>('TUSD BE'!$R$19+'TUSD BF'!$R$19+'TUSD CVA'!$R$19)*1</f>
        <v>0</v>
      </c>
      <c r="S19" s="12">
        <f>('TUSD BE'!$S$19+'TUSD BF'!$S$19+'TUSD CVA'!$S$19)*1</f>
        <v>0</v>
      </c>
      <c r="T19" s="12">
        <f>('TUSD BE'!$U$19+'TUSD BF'!$U$19+'TUSD CVA'!$U$19)*1</f>
        <v>0</v>
      </c>
      <c r="U19" s="12">
        <f>('TUSD BE'!$V$19+'TUSD BF'!$V$19+'TUSD CVA'!$V$19)*1</f>
        <v>0</v>
      </c>
      <c r="V19" s="12">
        <f>('TUSD BE'!$W$19+'TUSD BF'!$W$19+'TUSD CVA'!$W$19)*1</f>
        <v>0</v>
      </c>
      <c r="W19" s="12">
        <f>('TUSD BE'!$X$19+'TUSD BF'!$X$19+'TUSD CVA'!$X$19)*1</f>
        <v>0</v>
      </c>
      <c r="X19" s="12">
        <f>('TUSD BE'!$Y$19+'TUSD BF'!$Y$19+'TUSD CVA'!$Y$19)*1</f>
        <v>0</v>
      </c>
      <c r="Y19" s="12">
        <f>('TUSD BE'!$Z$19+'TUSD BF'!$Z$19+'TUSD CVA'!$Z$19)*1</f>
        <v>0</v>
      </c>
      <c r="Z19" s="12">
        <f>('TUSD BE'!$AA$19+'TUSD BF'!$AA$19+'TUSD CVA'!$AA$19)*1</f>
        <v>0</v>
      </c>
      <c r="AA19" s="12">
        <f>('TUSD BE'!$AC$19+'TUSD BF'!$AC$19+'TUSD CVA'!$AC$19)*1</f>
        <v>5.6700243276588846</v>
      </c>
      <c r="AB19" s="12">
        <f ca="1">('TUSD BE'!$AE$19+'TUSD BF'!$AE$19+'TUSD CVA'!$AE$19)*1</f>
        <v>0</v>
      </c>
      <c r="AC19" s="12">
        <f ca="1">('TUSD BE'!$AF$19+'TUSD BF'!$AF$19+'TUSD CVA'!$AF$19)*1</f>
        <v>0</v>
      </c>
      <c r="AD19" s="12">
        <f>('TUSD BE'!$AH$19+'TUSD BF'!$AH$19+'TUSD CVA'!$AH$19)*1</f>
        <v>0</v>
      </c>
      <c r="AE19" s="12">
        <f>('TUSD BE'!$AI$19+'TUSD BF'!$AI$19+'TUSD CVA'!$AI$19)*1</f>
        <v>0</v>
      </c>
      <c r="AF19" s="12">
        <f ca="1">('TUSD BE'!$AJ$19+'TUSD BF'!$AJ$19+'TUSD CVA'!$AJ$19)*1</f>
        <v>0</v>
      </c>
      <c r="AG19" s="12">
        <f ca="1">('TUSD BE'!$AK$19+'TUSD BF'!$AK$19+'TUSD CVA'!$AK$19)*1</f>
        <v>0</v>
      </c>
      <c r="AI19" s="12">
        <v>0</v>
      </c>
      <c r="AJ19" s="12">
        <v>1.8812984383936499E-2</v>
      </c>
      <c r="AK19" s="12">
        <v>7.8925553522931693E-2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5.37510217034386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</row>
    <row r="20" spans="1:56" ht="11.25" customHeight="1" x14ac:dyDescent="0.25">
      <c r="A20" s="150"/>
      <c r="B20" s="150" t="s">
        <v>34</v>
      </c>
      <c r="C20" s="150" t="s">
        <v>25</v>
      </c>
      <c r="D20" s="150" t="s">
        <v>25</v>
      </c>
      <c r="E20" s="150" t="s">
        <v>25</v>
      </c>
      <c r="F20" s="150" t="s">
        <v>25</v>
      </c>
      <c r="G20" s="17" t="s">
        <v>9</v>
      </c>
      <c r="H20" s="17" t="s">
        <v>76</v>
      </c>
      <c r="I20" s="17">
        <f>'MERCADO TUSD'!$U$17</f>
        <v>408542</v>
      </c>
      <c r="J20" s="15"/>
      <c r="L20" s="12">
        <f>('TUSD BE'!$L$20+'TUSD BF'!$L$20+'TUSD CVA'!$L$20)*1</f>
        <v>0</v>
      </c>
      <c r="M20" s="12">
        <f>('TUSD BE'!$M$20+'TUSD BF'!$M$20+'TUSD CVA'!$M$20)*1</f>
        <v>0</v>
      </c>
      <c r="N20" s="12">
        <f ca="1">('TUSD BE'!$N$20+'TUSD BF'!$N$20+'TUSD CVA'!$N$20)*1</f>
        <v>0</v>
      </c>
      <c r="O20" s="12">
        <f>('TUSD BE'!$O$20+'TUSD BF'!$O$20+'TUSD CVA'!$O$20)*1</f>
        <v>0</v>
      </c>
      <c r="P20" s="12">
        <f>('TUSD BE'!$P$20+'TUSD BF'!$P$20+'TUSD CVA'!$P$20)*1</f>
        <v>0</v>
      </c>
      <c r="Q20" s="12">
        <f>('TUSD BE'!$Q$20+'TUSD BF'!$Q$20+'TUSD CVA'!$Q$20)*1</f>
        <v>0</v>
      </c>
      <c r="R20" s="12">
        <f>('TUSD BE'!$R$20+'TUSD BF'!$R$20+'TUSD CVA'!$R$20)*1</f>
        <v>0</v>
      </c>
      <c r="S20" s="12">
        <f>('TUSD BE'!$S$20+'TUSD BF'!$S$20+'TUSD CVA'!$S$20)*1</f>
        <v>0</v>
      </c>
      <c r="T20" s="12">
        <f>('TUSD BE'!$U$20+'TUSD BF'!$U$20+'TUSD CVA'!$U$20)*1</f>
        <v>0</v>
      </c>
      <c r="U20" s="12">
        <f>('TUSD BE'!$V$20+'TUSD BF'!$V$20+'TUSD CVA'!$V$20)*1</f>
        <v>0</v>
      </c>
      <c r="V20" s="12">
        <f>('TUSD BE'!$W$20+'TUSD BF'!$W$20+'TUSD CVA'!$W$20)*1</f>
        <v>0</v>
      </c>
      <c r="W20" s="12">
        <f>('TUSD BE'!$X$20+'TUSD BF'!$X$20+'TUSD CVA'!$X$20)*1</f>
        <v>0</v>
      </c>
      <c r="X20" s="12">
        <f>('TUSD BE'!$Y$20+'TUSD BF'!$Y$20+'TUSD CVA'!$Y$20)*1</f>
        <v>11.0097291319749</v>
      </c>
      <c r="Y20" s="12">
        <f>('TUSD BE'!$Z$20+'TUSD BF'!$Z$20+'TUSD CVA'!$Z$20)*1</f>
        <v>0</v>
      </c>
      <c r="Z20" s="12">
        <f>('TUSD BE'!$AA$20+'TUSD BF'!$AA$20+'TUSD CVA'!$AA$20)*1</f>
        <v>0</v>
      </c>
      <c r="AA20" s="12">
        <f>('TUSD BE'!$AC$20+'TUSD BF'!$AC$20+'TUSD CVA'!$AC$20)*1</f>
        <v>5.5085755655725412</v>
      </c>
      <c r="AB20" s="12">
        <f ca="1">('TUSD BE'!$AE$20+'TUSD BF'!$AE$20+'TUSD CVA'!$AE$20)*1</f>
        <v>0</v>
      </c>
      <c r="AC20" s="12">
        <f ca="1">('TUSD BE'!$AF$20+'TUSD BF'!$AF$20+'TUSD CVA'!$AF$20)*1</f>
        <v>0</v>
      </c>
      <c r="AD20" s="12">
        <f>('TUSD BE'!$AH$20+'TUSD BF'!$AH$20+'TUSD CVA'!$AH$20)*1</f>
        <v>0</v>
      </c>
      <c r="AE20" s="12">
        <f>('TUSD BE'!$AI$20+'TUSD BF'!$AI$20+'TUSD CVA'!$AI$20)*1</f>
        <v>0</v>
      </c>
      <c r="AF20" s="12">
        <f ca="1">('TUSD BE'!$AJ$20+'TUSD BF'!$AJ$20+'TUSD CVA'!$AJ$20)*1</f>
        <v>0</v>
      </c>
      <c r="AG20" s="12">
        <f ca="1">('TUSD BE'!$AK$20+'TUSD BF'!$AK$20+'TUSD CVA'!$AK$20)*1</f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8.5082457025639702</v>
      </c>
      <c r="AV20" s="12">
        <v>0</v>
      </c>
      <c r="AW20" s="12">
        <v>0</v>
      </c>
      <c r="AX20" s="12">
        <v>3.9165382854147599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</row>
    <row r="21" spans="1:56" ht="11.25" customHeight="1" x14ac:dyDescent="0.25">
      <c r="A21" s="150"/>
      <c r="B21" s="150"/>
      <c r="C21" s="150"/>
      <c r="D21" s="150"/>
      <c r="E21" s="150"/>
      <c r="F21" s="150"/>
      <c r="G21" s="17" t="s">
        <v>72</v>
      </c>
      <c r="H21" s="17" t="s">
        <v>71</v>
      </c>
      <c r="I21" s="17">
        <f>'MERCADO TUSD'!$U$18</f>
        <v>7358.4650000000001</v>
      </c>
      <c r="J21" s="15"/>
      <c r="L21" s="12">
        <f>('TUSD BE'!$L$21+'TUSD BF'!$L$21+'TUSD CVA'!$L$21)*1</f>
        <v>1.116848582548094</v>
      </c>
      <c r="M21" s="12">
        <f>('TUSD BE'!$M$21+'TUSD BF'!$M$21+'TUSD CVA'!$M$21)*1</f>
        <v>0.20450566132367845</v>
      </c>
      <c r="N21" s="12">
        <f ca="1">('TUSD BE'!$N$21+'TUSD BF'!$N$21+'TUSD CVA'!$N$21)*1</f>
        <v>15.090858617323667</v>
      </c>
      <c r="O21" s="12">
        <f>('TUSD BE'!$O$21+'TUSD BF'!$O$21+'TUSD CVA'!$O$21)*1</f>
        <v>0</v>
      </c>
      <c r="P21" s="12">
        <f>('TUSD BE'!$P$21+'TUSD BF'!$P$21+'TUSD CVA'!$P$21)*1</f>
        <v>0</v>
      </c>
      <c r="Q21" s="12">
        <f>('TUSD BE'!$Q$21+'TUSD BF'!$Q$21+'TUSD CVA'!$Q$21)*1</f>
        <v>85.569438203586216</v>
      </c>
      <c r="R21" s="12">
        <f>('TUSD BE'!$R$21+'TUSD BF'!$R$21+'TUSD CVA'!$R$21)*1</f>
        <v>17.251426924059356</v>
      </c>
      <c r="S21" s="12">
        <f>('TUSD BE'!$S$21+'TUSD BF'!$S$21+'TUSD CVA'!$S$21)*1</f>
        <v>0</v>
      </c>
      <c r="T21" s="12">
        <f>('TUSD BE'!$U$21+'TUSD BF'!$U$21+'TUSD CVA'!$U$21)*1</f>
        <v>0</v>
      </c>
      <c r="U21" s="12">
        <f>('TUSD BE'!$V$21+'TUSD BF'!$V$21+'TUSD CVA'!$V$21)*1</f>
        <v>0</v>
      </c>
      <c r="V21" s="12">
        <f>('TUSD BE'!$W$21+'TUSD BF'!$W$21+'TUSD CVA'!$W$21)*1</f>
        <v>0</v>
      </c>
      <c r="W21" s="12">
        <f>('TUSD BE'!$X$21+'TUSD BF'!$X$21+'TUSD CVA'!$X$21)*1</f>
        <v>0</v>
      </c>
      <c r="X21" s="12">
        <f>('TUSD BE'!$Y$21+'TUSD BF'!$Y$21+'TUSD CVA'!$Y$21)*1</f>
        <v>606.970075856677</v>
      </c>
      <c r="Y21" s="12">
        <f>('TUSD BE'!$Z$21+'TUSD BF'!$Z$21+'TUSD CVA'!$Z$21)*1</f>
        <v>0</v>
      </c>
      <c r="Z21" s="12">
        <f>('TUSD BE'!$AA$21+'TUSD BF'!$AA$21+'TUSD CVA'!$AA$21)*1</f>
        <v>0</v>
      </c>
      <c r="AA21" s="12">
        <f>('TUSD BE'!$AC$21+'TUSD BF'!$AC$21+'TUSD CVA'!$AC$21)*1</f>
        <v>413.34477348633271</v>
      </c>
      <c r="AB21" s="12">
        <f ca="1">('TUSD BE'!$AE$21+'TUSD BF'!$AE$21+'TUSD CVA'!$AE$21)*1</f>
        <v>0</v>
      </c>
      <c r="AC21" s="12">
        <f ca="1">('TUSD BE'!$AF$21+'TUSD BF'!$AF$21+'TUSD CVA'!$AF$21)*1</f>
        <v>0</v>
      </c>
      <c r="AD21" s="12">
        <f>('TUSD BE'!$AH$21+'TUSD BF'!$AH$21+'TUSD CVA'!$AH$21)*1</f>
        <v>5.107609495958874</v>
      </c>
      <c r="AE21" s="12">
        <f>('TUSD BE'!$AI$21+'TUSD BF'!$AI$21+'TUSD CVA'!$AI$21)*1</f>
        <v>0.18770146314677022</v>
      </c>
      <c r="AF21" s="12">
        <f ca="1">('TUSD BE'!$AJ$21+'TUSD BF'!$AJ$21+'TUSD CVA'!$AJ$21)*1</f>
        <v>1.3001745446743798</v>
      </c>
      <c r="AG21" s="12">
        <f ca="1">('TUSD BE'!$AK$21+'TUSD BF'!$AK$21+'TUSD CVA'!$AK$21)*1</f>
        <v>0.23672376060601216</v>
      </c>
      <c r="AI21" s="12">
        <v>2.90664077062744</v>
      </c>
      <c r="AJ21" s="12">
        <v>0.13945784591766</v>
      </c>
      <c r="AK21" s="12">
        <v>10.2151819635087</v>
      </c>
      <c r="AL21" s="12">
        <v>0</v>
      </c>
      <c r="AM21" s="12">
        <v>0</v>
      </c>
      <c r="AN21" s="12">
        <v>49.919330194466298</v>
      </c>
      <c r="AO21" s="12">
        <v>8.9329376325248102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469.06245172683401</v>
      </c>
      <c r="AV21" s="12">
        <v>0</v>
      </c>
      <c r="AW21" s="12">
        <v>0</v>
      </c>
      <c r="AX21" s="12">
        <v>293.88371116355103</v>
      </c>
      <c r="AY21" s="12">
        <v>0</v>
      </c>
      <c r="AZ21" s="12">
        <v>0</v>
      </c>
      <c r="BA21" s="12">
        <v>5.5694199950839298</v>
      </c>
      <c r="BB21" s="12">
        <v>0.17546243538790601</v>
      </c>
      <c r="BC21" s="12">
        <v>1.28116726808105</v>
      </c>
      <c r="BD21" s="12">
        <v>0.22528356863341201</v>
      </c>
    </row>
    <row r="22" spans="1:56" ht="11.25" customHeight="1" x14ac:dyDescent="0.25">
      <c r="A22" s="150"/>
      <c r="B22" s="150"/>
      <c r="C22" s="150"/>
      <c r="D22" s="150"/>
      <c r="E22" s="150"/>
      <c r="F22" s="150"/>
      <c r="G22" s="17" t="s">
        <v>73</v>
      </c>
      <c r="H22" s="17" t="s">
        <v>71</v>
      </c>
      <c r="I22" s="17">
        <f>'MERCADO TUSD'!$U$19</f>
        <v>90681.956999999995</v>
      </c>
      <c r="J22" s="15"/>
      <c r="L22" s="12">
        <f>('TUSD BE'!$L$22+'TUSD BF'!$L$22+'TUSD CVA'!$L$22)*1</f>
        <v>1.116848582548094</v>
      </c>
      <c r="M22" s="12">
        <f>('TUSD BE'!$M$22+'TUSD BF'!$M$22+'TUSD CVA'!$M$22)*1</f>
        <v>0.20450566132367845</v>
      </c>
      <c r="N22" s="12">
        <f ca="1">('TUSD BE'!$N$22+'TUSD BF'!$N$22+'TUSD CVA'!$N$22)*1</f>
        <v>0.26207207765761964</v>
      </c>
      <c r="O22" s="12">
        <f>('TUSD BE'!$O$22+'TUSD BF'!$O$22+'TUSD CVA'!$O$22)*1</f>
        <v>0</v>
      </c>
      <c r="P22" s="12">
        <f>('TUSD BE'!$P$22+'TUSD BF'!$P$22+'TUSD CVA'!$P$22)*1</f>
        <v>0</v>
      </c>
      <c r="Q22" s="12">
        <f>('TUSD BE'!$Q$22+'TUSD BF'!$Q$22+'TUSD CVA'!$Q$22)*1</f>
        <v>85.569438203586216</v>
      </c>
      <c r="R22" s="12">
        <f>('TUSD BE'!$R$22+'TUSD BF'!$R$22+'TUSD CVA'!$R$22)*1</f>
        <v>17.251426924059356</v>
      </c>
      <c r="S22" s="12">
        <f>('TUSD BE'!$S$22+'TUSD BF'!$S$22+'TUSD CVA'!$S$22)*1</f>
        <v>0</v>
      </c>
      <c r="T22" s="12">
        <f>('TUSD BE'!$U$22+'TUSD BF'!$U$22+'TUSD CVA'!$U$22)*1</f>
        <v>0</v>
      </c>
      <c r="U22" s="12">
        <f>('TUSD BE'!$V$22+'TUSD BF'!$V$22+'TUSD CVA'!$V$22)*1</f>
        <v>0</v>
      </c>
      <c r="V22" s="12">
        <f>('TUSD BE'!$W$22+'TUSD BF'!$W$22+'TUSD CVA'!$W$22)*1</f>
        <v>0</v>
      </c>
      <c r="W22" s="12">
        <f>('TUSD BE'!$X$22+'TUSD BF'!$X$22+'TUSD CVA'!$X$22)*1</f>
        <v>0</v>
      </c>
      <c r="X22" s="12">
        <f>('TUSD BE'!$Y$22+'TUSD BF'!$Y$22+'TUSD CVA'!$Y$22)*1</f>
        <v>0</v>
      </c>
      <c r="Y22" s="12">
        <f>('TUSD BE'!$Z$22+'TUSD BF'!$Z$22+'TUSD CVA'!$Z$22)*1</f>
        <v>0</v>
      </c>
      <c r="Z22" s="12">
        <f>('TUSD BE'!$AA$22+'TUSD BF'!$AA$22+'TUSD CVA'!$AA$22)*1</f>
        <v>0</v>
      </c>
      <c r="AA22" s="12">
        <f>('TUSD BE'!$AC$22+'TUSD BF'!$AC$22+'TUSD CVA'!$AC$22)*1</f>
        <v>0</v>
      </c>
      <c r="AB22" s="12">
        <f ca="1">('TUSD BE'!$AE$22+'TUSD BF'!$AE$22+'TUSD CVA'!$AE$22)*1</f>
        <v>0</v>
      </c>
      <c r="AC22" s="12">
        <f ca="1">('TUSD BE'!$AF$22+'TUSD BF'!$AF$22+'TUSD CVA'!$AF$22)*1</f>
        <v>0</v>
      </c>
      <c r="AD22" s="12">
        <f>('TUSD BE'!$AH$22+'TUSD BF'!$AH$22+'TUSD CVA'!$AH$22)*1</f>
        <v>5.107609495958874</v>
      </c>
      <c r="AE22" s="12">
        <f>('TUSD BE'!$AI$22+'TUSD BF'!$AI$22+'TUSD CVA'!$AI$22)*1</f>
        <v>0.18770146314677022</v>
      </c>
      <c r="AF22" s="12">
        <f ca="1">('TUSD BE'!$AJ$22+'TUSD BF'!$AJ$22+'TUSD CVA'!$AJ$22)*1</f>
        <v>1.3001745446743798</v>
      </c>
      <c r="AG22" s="12">
        <f ca="1">('TUSD BE'!$AK$22+'TUSD BF'!$AK$22+'TUSD CVA'!$AK$22)*1</f>
        <v>0.23672376060601216</v>
      </c>
      <c r="AI22" s="12">
        <v>2.90664077062744</v>
      </c>
      <c r="AJ22" s="12">
        <v>0.13945784591766</v>
      </c>
      <c r="AK22" s="12">
        <v>0.22013025250242799</v>
      </c>
      <c r="AL22" s="12">
        <v>0</v>
      </c>
      <c r="AM22" s="12">
        <v>0</v>
      </c>
      <c r="AN22" s="12">
        <v>49.919330194466298</v>
      </c>
      <c r="AO22" s="12">
        <v>8.9329376325248102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5.5694199950839298</v>
      </c>
      <c r="BB22" s="12">
        <v>0.17546243538790601</v>
      </c>
      <c r="BC22" s="12">
        <v>1.28116726808105</v>
      </c>
      <c r="BD22" s="12">
        <v>0.22528356863341201</v>
      </c>
    </row>
    <row r="23" spans="1:56" ht="11.25" customHeight="1" x14ac:dyDescent="0.25">
      <c r="A23" s="150"/>
      <c r="B23" s="150"/>
      <c r="C23" s="150"/>
      <c r="D23" s="150"/>
      <c r="E23" s="150" t="s">
        <v>79</v>
      </c>
      <c r="F23" s="150" t="s">
        <v>25</v>
      </c>
      <c r="G23" s="17" t="s">
        <v>72</v>
      </c>
      <c r="H23" s="17" t="s">
        <v>71</v>
      </c>
      <c r="I23" s="17">
        <f>'MERCADO TUSD'!$U$20</f>
        <v>0</v>
      </c>
      <c r="J23" s="15"/>
      <c r="L23" s="12">
        <f>('TUSD BE'!$L$23+'TUSD BF'!$L$23+'TUSD CVA'!$L$23)*1</f>
        <v>0</v>
      </c>
      <c r="M23" s="12">
        <f>('TUSD BE'!$M$23+'TUSD BF'!$M$23+'TUSD CVA'!$M$23)*1</f>
        <v>0.20450566132367845</v>
      </c>
      <c r="N23" s="12">
        <f ca="1">('TUSD BE'!$N$23+'TUSD BF'!$N$23+'TUSD CVA'!$N$23)*1</f>
        <v>15.072788407363463</v>
      </c>
      <c r="O23" s="12">
        <f>('TUSD BE'!$O$23+'TUSD BF'!$O$23+'TUSD CVA'!$O$23)*1</f>
        <v>0</v>
      </c>
      <c r="P23" s="12">
        <f>('TUSD BE'!$P$23+'TUSD BF'!$P$23+'TUSD CVA'!$P$23)*1</f>
        <v>0</v>
      </c>
      <c r="Q23" s="12">
        <f>('TUSD BE'!$Q$23+'TUSD BF'!$Q$23+'TUSD CVA'!$Q$23)*1</f>
        <v>0</v>
      </c>
      <c r="R23" s="12">
        <f>('TUSD BE'!$R$23+'TUSD BF'!$R$23+'TUSD CVA'!$R$23)*1</f>
        <v>0</v>
      </c>
      <c r="S23" s="12">
        <f>('TUSD BE'!$S$23+'TUSD BF'!$S$23+'TUSD CVA'!$S$23)*1</f>
        <v>0</v>
      </c>
      <c r="T23" s="12">
        <f>('TUSD BE'!$U$23+'TUSD BF'!$U$23+'TUSD CVA'!$U$23)*1</f>
        <v>0</v>
      </c>
      <c r="U23" s="12">
        <f>('TUSD BE'!$V$23+'TUSD BF'!$V$23+'TUSD CVA'!$V$23)*1</f>
        <v>0</v>
      </c>
      <c r="V23" s="12">
        <f>('TUSD BE'!$W$23+'TUSD BF'!$W$23+'TUSD CVA'!$W$23)*1</f>
        <v>0</v>
      </c>
      <c r="W23" s="12">
        <f>('TUSD BE'!$X$23+'TUSD BF'!$X$23+'TUSD CVA'!$X$23)*1</f>
        <v>0</v>
      </c>
      <c r="X23" s="12">
        <f>('TUSD BE'!$Y$23+'TUSD BF'!$Y$23+'TUSD CVA'!$Y$23)*1</f>
        <v>606.970075856677</v>
      </c>
      <c r="Y23" s="12">
        <f>('TUSD BE'!$Z$23+'TUSD BF'!$Z$23+'TUSD CVA'!$Z$23)*1</f>
        <v>0</v>
      </c>
      <c r="Z23" s="12">
        <f>('TUSD BE'!$AA$23+'TUSD BF'!$AA$23+'TUSD CVA'!$AA$23)*1</f>
        <v>0</v>
      </c>
      <c r="AA23" s="12">
        <f>('TUSD BE'!$AC$23+'TUSD BF'!$AC$23+'TUSD CVA'!$AC$23)*1</f>
        <v>413.34477348633271</v>
      </c>
      <c r="AB23" s="12">
        <f ca="1">('TUSD BE'!$AE$23+'TUSD BF'!$AE$23+'TUSD CVA'!$AE$23)*1</f>
        <v>0</v>
      </c>
      <c r="AC23" s="12">
        <f ca="1">('TUSD BE'!$AF$23+'TUSD BF'!$AF$23+'TUSD CVA'!$AF$23)*1</f>
        <v>0</v>
      </c>
      <c r="AD23" s="12">
        <f>('TUSD BE'!$AH$23+'TUSD BF'!$AH$23+'TUSD CVA'!$AH$23)*1</f>
        <v>5.107609495958874</v>
      </c>
      <c r="AE23" s="12">
        <f>('TUSD BE'!$AI$23+'TUSD BF'!$AI$23+'TUSD CVA'!$AI$23)*1</f>
        <v>0.18770146314677022</v>
      </c>
      <c r="AF23" s="12">
        <f ca="1">('TUSD BE'!$AJ$23+'TUSD BF'!$AJ$23+'TUSD CVA'!$AJ$23)*1</f>
        <v>1.3001745446743798</v>
      </c>
      <c r="AG23" s="12">
        <f ca="1">('TUSD BE'!$AK$23+'TUSD BF'!$AK$23+'TUSD CVA'!$AK$23)*1</f>
        <v>0.23672376060601216</v>
      </c>
      <c r="AI23" s="12">
        <v>0</v>
      </c>
      <c r="AJ23" s="12">
        <v>0.13945784591766</v>
      </c>
      <c r="AK23" s="12">
        <v>10.1989421376809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469.06245172683401</v>
      </c>
      <c r="AV23" s="12">
        <v>0</v>
      </c>
      <c r="AW23" s="12">
        <v>0</v>
      </c>
      <c r="AX23" s="12">
        <v>293.88371116355103</v>
      </c>
      <c r="AY23" s="12">
        <v>0</v>
      </c>
      <c r="AZ23" s="12">
        <v>0</v>
      </c>
      <c r="BA23" s="12">
        <v>5.5694199950839298</v>
      </c>
      <c r="BB23" s="12">
        <v>0.17546243538790601</v>
      </c>
      <c r="BC23" s="12">
        <v>1.28116726808105</v>
      </c>
      <c r="BD23" s="12">
        <v>0.22528356863341201</v>
      </c>
    </row>
    <row r="24" spans="1:56" ht="11.25" customHeight="1" x14ac:dyDescent="0.25">
      <c r="A24" s="150"/>
      <c r="B24" s="150"/>
      <c r="C24" s="150"/>
      <c r="D24" s="150"/>
      <c r="E24" s="150"/>
      <c r="F24" s="150"/>
      <c r="G24" s="17" t="s">
        <v>73</v>
      </c>
      <c r="H24" s="17" t="s">
        <v>71</v>
      </c>
      <c r="I24" s="17">
        <f>'MERCADO TUSD'!$U$21</f>
        <v>0</v>
      </c>
      <c r="J24" s="15"/>
      <c r="L24" s="12">
        <f>('TUSD BE'!$L$24+'TUSD BF'!$L$24+'TUSD CVA'!$L$24)*1</f>
        <v>0</v>
      </c>
      <c r="M24" s="12">
        <f>('TUSD BE'!$M$24+'TUSD BF'!$M$24+'TUSD CVA'!$M$24)*1</f>
        <v>0.20450566132367845</v>
      </c>
      <c r="N24" s="12">
        <f ca="1">('TUSD BE'!$N$24+'TUSD BF'!$N$24+'TUSD CVA'!$N$24)*1</f>
        <v>0.24400186769741869</v>
      </c>
      <c r="O24" s="12">
        <f>('TUSD BE'!$O$24+'TUSD BF'!$O$24+'TUSD CVA'!$O$24)*1</f>
        <v>0</v>
      </c>
      <c r="P24" s="12">
        <f>('TUSD BE'!$P$24+'TUSD BF'!$P$24+'TUSD CVA'!$P$24)*1</f>
        <v>0</v>
      </c>
      <c r="Q24" s="12">
        <f>('TUSD BE'!$Q$24+'TUSD BF'!$Q$24+'TUSD CVA'!$Q$24)*1</f>
        <v>0</v>
      </c>
      <c r="R24" s="12">
        <f>('TUSD BE'!$R$24+'TUSD BF'!$R$24+'TUSD CVA'!$R$24)*1</f>
        <v>0</v>
      </c>
      <c r="S24" s="12">
        <f>('TUSD BE'!$S$24+'TUSD BF'!$S$24+'TUSD CVA'!$S$24)*1</f>
        <v>0</v>
      </c>
      <c r="T24" s="12">
        <f>('TUSD BE'!$U$24+'TUSD BF'!$U$24+'TUSD CVA'!$U$24)*1</f>
        <v>0</v>
      </c>
      <c r="U24" s="12">
        <f>('TUSD BE'!$V$24+'TUSD BF'!$V$24+'TUSD CVA'!$V$24)*1</f>
        <v>0</v>
      </c>
      <c r="V24" s="12">
        <f>('TUSD BE'!$W$24+'TUSD BF'!$W$24+'TUSD CVA'!$W$24)*1</f>
        <v>0</v>
      </c>
      <c r="W24" s="12">
        <f>('TUSD BE'!$X$24+'TUSD BF'!$X$24+'TUSD CVA'!$X$24)*1</f>
        <v>0</v>
      </c>
      <c r="X24" s="12">
        <f>('TUSD BE'!$Y$24+'TUSD BF'!$Y$24+'TUSD CVA'!$Y$24)*1</f>
        <v>0</v>
      </c>
      <c r="Y24" s="12">
        <f>('TUSD BE'!$Z$24+'TUSD BF'!$Z$24+'TUSD CVA'!$Z$24)*1</f>
        <v>0</v>
      </c>
      <c r="Z24" s="12">
        <f>('TUSD BE'!$AA$24+'TUSD BF'!$AA$24+'TUSD CVA'!$AA$24)*1</f>
        <v>0</v>
      </c>
      <c r="AA24" s="12">
        <f>('TUSD BE'!$AC$24+'TUSD BF'!$AC$24+'TUSD CVA'!$AC$24)*1</f>
        <v>0</v>
      </c>
      <c r="AB24" s="12">
        <f ca="1">('TUSD BE'!$AE$24+'TUSD BF'!$AE$24+'TUSD CVA'!$AE$24)*1</f>
        <v>0</v>
      </c>
      <c r="AC24" s="12">
        <f ca="1">('TUSD BE'!$AF$24+'TUSD BF'!$AF$24+'TUSD CVA'!$AF$24)*1</f>
        <v>0</v>
      </c>
      <c r="AD24" s="12">
        <f>('TUSD BE'!$AH$24+'TUSD BF'!$AH$24+'TUSD CVA'!$AH$24)*1</f>
        <v>5.107609495958874</v>
      </c>
      <c r="AE24" s="12">
        <f>('TUSD BE'!$AI$24+'TUSD BF'!$AI$24+'TUSD CVA'!$AI$24)*1</f>
        <v>0.18770146314677022</v>
      </c>
      <c r="AF24" s="12">
        <f ca="1">('TUSD BE'!$AJ$24+'TUSD BF'!$AJ$24+'TUSD CVA'!$AJ$24)*1</f>
        <v>1.3001745446743798</v>
      </c>
      <c r="AG24" s="12">
        <f ca="1">('TUSD BE'!$AK$24+'TUSD BF'!$AK$24+'TUSD CVA'!$AK$24)*1</f>
        <v>0.23672376060601216</v>
      </c>
      <c r="AI24" s="12">
        <v>0</v>
      </c>
      <c r="AJ24" s="12">
        <v>0.13945784591766</v>
      </c>
      <c r="AK24" s="12">
        <v>0.203890426674665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5.5694199950839298</v>
      </c>
      <c r="BB24" s="12">
        <v>0.17546243538790601</v>
      </c>
      <c r="BC24" s="12">
        <v>1.28116726808105</v>
      </c>
      <c r="BD24" s="12">
        <v>0.22528356863341201</v>
      </c>
    </row>
    <row r="25" spans="1:56" ht="11.25" customHeight="1" x14ac:dyDescent="0.25">
      <c r="A25" s="150" t="s">
        <v>81</v>
      </c>
      <c r="B25" s="150" t="s">
        <v>80</v>
      </c>
      <c r="C25" s="150" t="s">
        <v>25</v>
      </c>
      <c r="D25" s="150" t="s">
        <v>25</v>
      </c>
      <c r="E25" s="18" t="s">
        <v>82</v>
      </c>
      <c r="F25" s="18" t="s">
        <v>25</v>
      </c>
      <c r="G25" s="17" t="s">
        <v>9</v>
      </c>
      <c r="H25" s="17" t="s">
        <v>76</v>
      </c>
      <c r="I25" s="17">
        <f>'MERCADO TUSD'!$U$22+0.00000001</f>
        <v>1E-8</v>
      </c>
      <c r="J25" s="15"/>
      <c r="L25" s="12">
        <f>('TUSD BE'!$L$25+'TUSD BF'!$L$25+'TUSD CVA'!$L$25)*1</f>
        <v>0</v>
      </c>
      <c r="M25" s="12">
        <f>('TUSD BE'!$M$25+'TUSD BF'!$M$25+'TUSD CVA'!$M$25)*1</f>
        <v>1.0796869056417769E-2</v>
      </c>
      <c r="N25" s="12">
        <f ca="1">('TUSD BE'!$N$25+'TUSD BF'!$N$25+'TUSD CVA'!$N$25)*1</f>
        <v>4.8789566892542442E-2</v>
      </c>
      <c r="O25" s="12">
        <f>('TUSD BE'!$O$25+'TUSD BF'!$O$25+'TUSD CVA'!$O$25)*1</f>
        <v>0</v>
      </c>
      <c r="P25" s="12">
        <f>('TUSD BE'!$P$25+'TUSD BF'!$P$25+'TUSD CVA'!$P$25)*1</f>
        <v>0</v>
      </c>
      <c r="Q25" s="12">
        <f>('TUSD BE'!$Q$25+'TUSD BF'!$Q$25+'TUSD CVA'!$Q$25)*1</f>
        <v>0</v>
      </c>
      <c r="R25" s="12">
        <f>('TUSD BE'!$R$25+'TUSD BF'!$R$25+'TUSD CVA'!$R$25)*1</f>
        <v>0</v>
      </c>
      <c r="S25" s="12">
        <f>('TUSD BE'!$S$25+'TUSD BF'!$S$25+'TUSD CVA'!$S$25)*1</f>
        <v>0</v>
      </c>
      <c r="T25" s="12">
        <f>('TUSD BE'!$U$25+'TUSD BF'!$U$25+'TUSD CVA'!$U$25)*1</f>
        <v>0</v>
      </c>
      <c r="U25" s="12">
        <f>('TUSD BE'!$V$25+'TUSD BF'!$V$25+'TUSD CVA'!$V$25)*1</f>
        <v>0</v>
      </c>
      <c r="V25" s="12">
        <f>('TUSD BE'!$W$25+'TUSD BF'!$W$25+'TUSD CVA'!$W$25)*1</f>
        <v>0</v>
      </c>
      <c r="W25" s="12">
        <f>('TUSD BE'!$X$25+'TUSD BF'!$X$25+'TUSD CVA'!$X$25)*1</f>
        <v>0</v>
      </c>
      <c r="X25" s="12">
        <f>('TUSD BE'!$Y$25+'TUSD BF'!$Y$25+'TUSD CVA'!$Y$25)*1</f>
        <v>0</v>
      </c>
      <c r="Y25" s="12">
        <f>('TUSD BE'!$Z$25+'TUSD BF'!$Z$25+'TUSD CVA'!$Z$25)*1</f>
        <v>0</v>
      </c>
      <c r="Z25" s="12">
        <f>('TUSD BE'!$AA$25+'TUSD BF'!$AA$25+'TUSD CVA'!$AA$25)*1</f>
        <v>0</v>
      </c>
      <c r="AA25" s="12">
        <f>('TUSD BE'!$AC$25+'TUSD BF'!$AC$25+'TUSD CVA'!$AC$25)*1</f>
        <v>3.1512363164003006</v>
      </c>
      <c r="AB25" s="12">
        <f ca="1">('TUSD BE'!$AE$25+'TUSD BF'!$AE$25+'TUSD CVA'!$AE$25)*1</f>
        <v>0</v>
      </c>
      <c r="AC25" s="12">
        <f ca="1">('TUSD BE'!$AF$25+'TUSD BF'!$AF$25+'TUSD CVA'!$AF$25)*1</f>
        <v>0</v>
      </c>
      <c r="AD25" s="12">
        <f>('TUSD BE'!$AH$25+'TUSD BF'!$AH$25+'TUSD CVA'!$AH$25)*1</f>
        <v>0</v>
      </c>
      <c r="AE25" s="12">
        <f>('TUSD BE'!$AI$25+'TUSD BF'!$AI$25+'TUSD CVA'!$AI$25)*1</f>
        <v>0</v>
      </c>
      <c r="AF25" s="12">
        <f ca="1">('TUSD BE'!$AJ$25+'TUSD BF'!$AJ$25+'TUSD CVA'!$AJ$25)*1</f>
        <v>0</v>
      </c>
      <c r="AG25" s="12">
        <f ca="1">('TUSD BE'!$AK$25+'TUSD BF'!$AK$25+'TUSD CVA'!$AK$25)*1</f>
        <v>0</v>
      </c>
      <c r="AI25" s="12">
        <v>0</v>
      </c>
      <c r="AJ25" s="12">
        <v>1.04732078013667E-2</v>
      </c>
      <c r="AK25" s="12">
        <v>4.3847529734962101E-2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2.9873270703484498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</row>
    <row r="26" spans="1:56" ht="11.25" customHeight="1" x14ac:dyDescent="0.25">
      <c r="A26" s="150"/>
      <c r="B26" s="150"/>
      <c r="C26" s="150"/>
      <c r="D26" s="150"/>
      <c r="E26" s="18" t="s">
        <v>83</v>
      </c>
      <c r="F26" s="18" t="s">
        <v>25</v>
      </c>
      <c r="G26" s="17" t="s">
        <v>9</v>
      </c>
      <c r="H26" s="17" t="s">
        <v>76</v>
      </c>
      <c r="I26" s="17">
        <f>'MERCADO TUSD'!$U$23+0.00000001</f>
        <v>1E-8</v>
      </c>
      <c r="J26" s="15"/>
      <c r="L26" s="12">
        <f>('TUSD BE'!$L$26+'TUSD BF'!$L$26+'TUSD CVA'!$L$26)*1</f>
        <v>0</v>
      </c>
      <c r="M26" s="12">
        <f>('TUSD BE'!$M$26+'TUSD BF'!$M$26+'TUSD CVA'!$M$26)*1</f>
        <v>1.0796869056417769E-2</v>
      </c>
      <c r="N26" s="12">
        <f ca="1">('TUSD BE'!$N$26+'TUSD BF'!$N$26+'TUSD CVA'!$N$26)*1</f>
        <v>4.8789566892542442E-2</v>
      </c>
      <c r="O26" s="12">
        <f>('TUSD BE'!$O$26+'TUSD BF'!$O$26+'TUSD CVA'!$O$26)*1</f>
        <v>0</v>
      </c>
      <c r="P26" s="12">
        <f>('TUSD BE'!$P$26+'TUSD BF'!$P$26+'TUSD CVA'!$P$26)*1</f>
        <v>0</v>
      </c>
      <c r="Q26" s="12">
        <f>('TUSD BE'!$Q$26+'TUSD BF'!$Q$26+'TUSD CVA'!$Q$26)*1</f>
        <v>0</v>
      </c>
      <c r="R26" s="12">
        <f>('TUSD BE'!$R$26+'TUSD BF'!$R$26+'TUSD CVA'!$R$26)*1</f>
        <v>0</v>
      </c>
      <c r="S26" s="12">
        <f>('TUSD BE'!$S$26+'TUSD BF'!$S$26+'TUSD CVA'!$S$26)*1</f>
        <v>0</v>
      </c>
      <c r="T26" s="12">
        <f>('TUSD BE'!$U$26+'TUSD BF'!$U$26+'TUSD CVA'!$U$26)*1</f>
        <v>0</v>
      </c>
      <c r="U26" s="12">
        <f>('TUSD BE'!$V$26+'TUSD BF'!$V$26+'TUSD CVA'!$V$26)*1</f>
        <v>0</v>
      </c>
      <c r="V26" s="12">
        <f>('TUSD BE'!$W$26+'TUSD BF'!$W$26+'TUSD CVA'!$W$26)*1</f>
        <v>0</v>
      </c>
      <c r="W26" s="12">
        <f>('TUSD BE'!$X$26+'TUSD BF'!$X$26+'TUSD CVA'!$X$26)*1</f>
        <v>0</v>
      </c>
      <c r="X26" s="12">
        <f>('TUSD BE'!$Y$26+'TUSD BF'!$Y$26+'TUSD CVA'!$Y$26)*1</f>
        <v>0</v>
      </c>
      <c r="Y26" s="12">
        <f>('TUSD BE'!$Z$26+'TUSD BF'!$Z$26+'TUSD CVA'!$Z$26)*1</f>
        <v>0</v>
      </c>
      <c r="Z26" s="12">
        <f>('TUSD BE'!$AA$26+'TUSD BF'!$AA$26+'TUSD CVA'!$AA$26)*1</f>
        <v>0</v>
      </c>
      <c r="AA26" s="12">
        <f>('TUSD BE'!$AC$26+'TUSD BF'!$AC$26+'TUSD CVA'!$AC$26)*1</f>
        <v>10.420645371297427</v>
      </c>
      <c r="AB26" s="12">
        <f ca="1">('TUSD BE'!$AE$26+'TUSD BF'!$AE$26+'TUSD CVA'!$AE$26)*1</f>
        <v>0</v>
      </c>
      <c r="AC26" s="12">
        <f ca="1">('TUSD BE'!$AF$26+'TUSD BF'!$AF$26+'TUSD CVA'!$AF$26)*1</f>
        <v>0</v>
      </c>
      <c r="AD26" s="12">
        <f>('TUSD BE'!$AH$26+'TUSD BF'!$AH$26+'TUSD CVA'!$AH$26)*1</f>
        <v>0</v>
      </c>
      <c r="AE26" s="12">
        <f>('TUSD BE'!$AI$26+'TUSD BF'!$AI$26+'TUSD CVA'!$AI$26)*1</f>
        <v>0</v>
      </c>
      <c r="AF26" s="12">
        <f ca="1">('TUSD BE'!$AJ$26+'TUSD BF'!$AJ$26+'TUSD CVA'!$AJ$26)*1</f>
        <v>0</v>
      </c>
      <c r="AG26" s="12">
        <f ca="1">('TUSD BE'!$AK$26+'TUSD BF'!$AK$26+'TUSD CVA'!$AK$26)*1</f>
        <v>0</v>
      </c>
      <c r="AI26" s="12">
        <v>0</v>
      </c>
      <c r="AJ26" s="12">
        <v>1.04732078013667E-2</v>
      </c>
      <c r="AK26" s="12">
        <v>4.3847529734962101E-2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9.8786231442452301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</row>
    <row r="27" spans="1:56" ht="11.25" customHeight="1" x14ac:dyDescent="0.25">
      <c r="A27" s="150" t="s">
        <v>22</v>
      </c>
      <c r="B27" s="150" t="s">
        <v>36</v>
      </c>
      <c r="C27" s="150" t="s">
        <v>24</v>
      </c>
      <c r="D27" s="150" t="s">
        <v>24</v>
      </c>
      <c r="E27" s="150" t="s">
        <v>25</v>
      </c>
      <c r="F27" s="150" t="s">
        <v>25</v>
      </c>
      <c r="G27" s="17" t="s">
        <v>72</v>
      </c>
      <c r="H27" s="17" t="s">
        <v>71</v>
      </c>
      <c r="I27" s="17">
        <f>'MERCADO TUSD'!$U$24</f>
        <v>2.2189999999999999</v>
      </c>
      <c r="J27" s="15"/>
      <c r="L27" s="12">
        <f>('TUSD BE'!$L$27+'TUSD BF'!$L$27+'TUSD CVA'!$L$27)*1</f>
        <v>1.329581645890588</v>
      </c>
      <c r="M27" s="12">
        <f>('TUSD BE'!$M$27+'TUSD BF'!$M$27+'TUSD CVA'!$M$27)*1</f>
        <v>0.58156547260734304</v>
      </c>
      <c r="N27" s="12">
        <f ca="1">('TUSD BE'!$N$27+'TUSD BF'!$N$27+'TUSD CVA'!$N$27)*1</f>
        <v>18.143697863118664</v>
      </c>
      <c r="O27" s="12">
        <f>('TUSD BE'!$O$27+'TUSD BF'!$O$27+'TUSD CVA'!$O$27)*1</f>
        <v>0</v>
      </c>
      <c r="P27" s="12">
        <f>('TUSD BE'!$P$27+'TUSD BF'!$P$27+'TUSD CVA'!$P$27)*1</f>
        <v>0</v>
      </c>
      <c r="Q27" s="12">
        <f>('TUSD BE'!$Q$27+'TUSD BF'!$Q$27+'TUSD CVA'!$Q$27)*1</f>
        <v>101.86837881379311</v>
      </c>
      <c r="R27" s="12">
        <f>('TUSD BE'!$R$27+'TUSD BF'!$R$27+'TUSD CVA'!$R$27)*1</f>
        <v>17.251426924059356</v>
      </c>
      <c r="S27" s="12">
        <f>('TUSD BE'!$S$27+'TUSD BF'!$S$27+'TUSD CVA'!$S$27)*1</f>
        <v>0</v>
      </c>
      <c r="T27" s="12">
        <f>('TUSD BE'!$U$27+'TUSD BF'!$U$27+'TUSD CVA'!$U$27)*1</f>
        <v>0</v>
      </c>
      <c r="U27" s="12">
        <f>('TUSD BE'!$V$27+'TUSD BF'!$V$27+'TUSD CVA'!$V$27)*1</f>
        <v>0</v>
      </c>
      <c r="V27" s="12">
        <f>('TUSD BE'!$W$27+'TUSD BF'!$W$27+'TUSD CVA'!$W$27)*1</f>
        <v>0</v>
      </c>
      <c r="W27" s="12">
        <f>('TUSD BE'!$X$27+'TUSD BF'!$X$27+'TUSD CVA'!$X$27)*1</f>
        <v>0</v>
      </c>
      <c r="X27" s="12">
        <f>('TUSD BE'!$Y$27+'TUSD BF'!$Y$27+'TUSD CVA'!$Y$27)*1</f>
        <v>446.74243494269513</v>
      </c>
      <c r="Y27" s="12">
        <f>('TUSD BE'!$Z$27+'TUSD BF'!$Z$27+'TUSD CVA'!$Z$27)*1</f>
        <v>0</v>
      </c>
      <c r="Z27" s="12">
        <f>('TUSD BE'!$AA$27+'TUSD BF'!$AA$27+'TUSD CVA'!$AA$27)*1</f>
        <v>0</v>
      </c>
      <c r="AA27" s="12">
        <f>('TUSD BE'!$AC$27+'TUSD BF'!$AC$27+'TUSD CVA'!$AC$27)*1</f>
        <v>725.82891104279736</v>
      </c>
      <c r="AB27" s="12">
        <f ca="1">('TUSD BE'!$AE$27+'TUSD BF'!$AE$27+'TUSD CVA'!$AE$27)*1</f>
        <v>0</v>
      </c>
      <c r="AC27" s="12">
        <f ca="1">('TUSD BE'!$AF$27+'TUSD BF'!$AF$27+'TUSD CVA'!$AF$27)*1</f>
        <v>0</v>
      </c>
      <c r="AD27" s="12">
        <f>('TUSD BE'!$AH$27+'TUSD BF'!$AH$27+'TUSD CVA'!$AH$27)*1</f>
        <v>17.469796426082233</v>
      </c>
      <c r="AE27" s="12">
        <f>('TUSD BE'!$AI$27+'TUSD BF'!$AI$27+'TUSD CVA'!$AI$27)*1</f>
        <v>0.64200412201564572</v>
      </c>
      <c r="AF27" s="12">
        <f ca="1">('TUSD BE'!$AJ$27+'TUSD BF'!$AJ$27+'TUSD CVA'!$AJ$27)*1</f>
        <v>1.9066153397824548</v>
      </c>
      <c r="AG27" s="12">
        <f ca="1">('TUSD BE'!$AK$27+'TUSD BF'!$AK$27+'TUSD CVA'!$AK$27)*1</f>
        <v>0.34713889385939928</v>
      </c>
      <c r="AI27" s="12">
        <v>3.3409664030200501</v>
      </c>
      <c r="AJ27" s="12">
        <v>0.54063080331358204</v>
      </c>
      <c r="AK27" s="12">
        <v>16.292742321422899</v>
      </c>
      <c r="AL27" s="12">
        <v>0</v>
      </c>
      <c r="AM27" s="12">
        <v>0</v>
      </c>
      <c r="AN27" s="12">
        <v>57.378540453409599</v>
      </c>
      <c r="AO27" s="12">
        <v>8.9329376325248102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460.31945705368901</v>
      </c>
      <c r="AV27" s="12">
        <v>0</v>
      </c>
      <c r="AW27" s="12">
        <v>0</v>
      </c>
      <c r="AX27" s="12">
        <v>688.07545251844203</v>
      </c>
      <c r="AY27" s="12">
        <v>0</v>
      </c>
      <c r="AZ27" s="12">
        <v>0</v>
      </c>
      <c r="BA27" s="12">
        <v>19.049348546017299</v>
      </c>
      <c r="BB27" s="12">
        <v>0.60014240107364802</v>
      </c>
      <c r="BC27" s="12">
        <v>2.3182768394777402</v>
      </c>
      <c r="BD27" s="12">
        <v>0.40765143825442701</v>
      </c>
    </row>
    <row r="28" spans="1:56" ht="11.25" customHeight="1" x14ac:dyDescent="0.25">
      <c r="A28" s="150"/>
      <c r="B28" s="150"/>
      <c r="C28" s="150"/>
      <c r="D28" s="150"/>
      <c r="E28" s="150"/>
      <c r="F28" s="150"/>
      <c r="G28" s="17" t="s">
        <v>84</v>
      </c>
      <c r="H28" s="17" t="s">
        <v>71</v>
      </c>
      <c r="I28" s="17">
        <f>'MERCADO TUSD'!$U$25</f>
        <v>2.6760000000000006</v>
      </c>
      <c r="J28" s="15"/>
      <c r="L28" s="12">
        <f>('TUSD BE'!$L$28+'TUSD BF'!$L$28+'TUSD CVA'!$L$28)*1</f>
        <v>1.329581645890588</v>
      </c>
      <c r="M28" s="12">
        <f>('TUSD BE'!$M$28+'TUSD BF'!$M$28+'TUSD CVA'!$M$28)*1</f>
        <v>0.58156547260734304</v>
      </c>
      <c r="N28" s="12">
        <f ca="1">('TUSD BE'!$N$28+'TUSD BF'!$N$28+'TUSD CVA'!$N$28)*1</f>
        <v>5.0776042874193443</v>
      </c>
      <c r="O28" s="12">
        <f>('TUSD BE'!$O$28+'TUSD BF'!$O$28+'TUSD CVA'!$O$28)*1</f>
        <v>0</v>
      </c>
      <c r="P28" s="12">
        <f>('TUSD BE'!$P$28+'TUSD BF'!$P$28+'TUSD CVA'!$P$28)*1</f>
        <v>0</v>
      </c>
      <c r="Q28" s="12">
        <f>('TUSD BE'!$Q$28+'TUSD BF'!$Q$28+'TUSD CVA'!$Q$28)*1</f>
        <v>101.86837881379311</v>
      </c>
      <c r="R28" s="12">
        <f>('TUSD BE'!$R$28+'TUSD BF'!$R$28+'TUSD CVA'!$R$28)*1</f>
        <v>17.251426924059356</v>
      </c>
      <c r="S28" s="12">
        <f>('TUSD BE'!$S$28+'TUSD BF'!$S$28+'TUSD CVA'!$S$28)*1</f>
        <v>0</v>
      </c>
      <c r="T28" s="12">
        <f>('TUSD BE'!$U$28+'TUSD BF'!$U$28+'TUSD CVA'!$U$28)*1</f>
        <v>0</v>
      </c>
      <c r="U28" s="12">
        <f>('TUSD BE'!$V$28+'TUSD BF'!$V$28+'TUSD CVA'!$V$28)*1</f>
        <v>0</v>
      </c>
      <c r="V28" s="12">
        <f>('TUSD BE'!$W$28+'TUSD BF'!$W$28+'TUSD CVA'!$W$28)*1</f>
        <v>0</v>
      </c>
      <c r="W28" s="12">
        <f>('TUSD BE'!$X$28+'TUSD BF'!$X$28+'TUSD CVA'!$X$28)*1</f>
        <v>0</v>
      </c>
      <c r="X28" s="12">
        <f>('TUSD BE'!$Y$28+'TUSD BF'!$Y$28+'TUSD CVA'!$Y$28)*1</f>
        <v>111.68557628195569</v>
      </c>
      <c r="Y28" s="12">
        <f>('TUSD BE'!$Z$28+'TUSD BF'!$Z$28+'TUSD CVA'!$Z$28)*1</f>
        <v>0</v>
      </c>
      <c r="Z28" s="12">
        <f>('TUSD BE'!$AA$28+'TUSD BF'!$AA$28+'TUSD CVA'!$AA$28)*1</f>
        <v>0</v>
      </c>
      <c r="AA28" s="12">
        <f>('TUSD BE'!$AC$28+'TUSD BF'!$AC$28+'TUSD CVA'!$AC$28)*1</f>
        <v>181.45728629904676</v>
      </c>
      <c r="AB28" s="12">
        <f ca="1">('TUSD BE'!$AE$28+'TUSD BF'!$AE$28+'TUSD CVA'!$AE$28)*1</f>
        <v>0</v>
      </c>
      <c r="AC28" s="12">
        <f ca="1">('TUSD BE'!$AF$28+'TUSD BF'!$AF$28+'TUSD CVA'!$AF$28)*1</f>
        <v>0</v>
      </c>
      <c r="AD28" s="12">
        <f>('TUSD BE'!$AH$28+'TUSD BF'!$AH$28+'TUSD CVA'!$AH$28)*1</f>
        <v>17.469796426082233</v>
      </c>
      <c r="AE28" s="12">
        <f>('TUSD BE'!$AI$28+'TUSD BF'!$AI$28+'TUSD CVA'!$AI$28)*1</f>
        <v>0.64200412201564572</v>
      </c>
      <c r="AF28" s="12">
        <f ca="1">('TUSD BE'!$AJ$28+'TUSD BF'!$AJ$28+'TUSD CVA'!$AJ$28)*1</f>
        <v>1.9066153397824548</v>
      </c>
      <c r="AG28" s="12">
        <f ca="1">('TUSD BE'!$AK$28+'TUSD BF'!$AK$28+'TUSD CVA'!$AK$28)*1</f>
        <v>0.34713889385939928</v>
      </c>
      <c r="AI28" s="12">
        <v>3.3409664030200501</v>
      </c>
      <c r="AJ28" s="12">
        <v>0.54063080331358204</v>
      </c>
      <c r="AK28" s="12">
        <v>4.5501513727862104</v>
      </c>
      <c r="AL28" s="12">
        <v>0</v>
      </c>
      <c r="AM28" s="12">
        <v>0</v>
      </c>
      <c r="AN28" s="12">
        <v>57.378540453409599</v>
      </c>
      <c r="AO28" s="12">
        <v>8.9329376325248102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115.079830823398</v>
      </c>
      <c r="AV28" s="12">
        <v>0</v>
      </c>
      <c r="AW28" s="12">
        <v>0</v>
      </c>
      <c r="AX28" s="12">
        <v>172.018918623129</v>
      </c>
      <c r="AY28" s="12">
        <v>0</v>
      </c>
      <c r="AZ28" s="12">
        <v>0</v>
      </c>
      <c r="BA28" s="12">
        <v>19.049348546017299</v>
      </c>
      <c r="BB28" s="12">
        <v>0.60014240107364802</v>
      </c>
      <c r="BC28" s="12">
        <v>2.3182768394777402</v>
      </c>
      <c r="BD28" s="12">
        <v>0.40765143825442701</v>
      </c>
    </row>
    <row r="29" spans="1:56" ht="11.25" customHeight="1" x14ac:dyDescent="0.25">
      <c r="A29" s="150"/>
      <c r="B29" s="150"/>
      <c r="C29" s="150"/>
      <c r="D29" s="150"/>
      <c r="E29" s="150"/>
      <c r="F29" s="150"/>
      <c r="G29" s="17" t="s">
        <v>73</v>
      </c>
      <c r="H29" s="17" t="s">
        <v>71</v>
      </c>
      <c r="I29" s="17">
        <f>'MERCADO TUSD'!$U$26</f>
        <v>23.997999999999998</v>
      </c>
      <c r="J29" s="15"/>
      <c r="L29" s="12">
        <f>('TUSD BE'!$L$29+'TUSD BF'!$L$29+'TUSD CVA'!$L$29)*1</f>
        <v>1.329581645890588</v>
      </c>
      <c r="M29" s="12">
        <f>('TUSD BE'!$M$29+'TUSD BF'!$M$29+'TUSD CVA'!$M$29)*1</f>
        <v>0.58156547260734304</v>
      </c>
      <c r="N29" s="12">
        <f ca="1">('TUSD BE'!$N$29+'TUSD BF'!$N$29+'TUSD CVA'!$N$29)*1</f>
        <v>1.5933118239563921</v>
      </c>
      <c r="O29" s="12">
        <f>('TUSD BE'!$O$29+'TUSD BF'!$O$29+'TUSD CVA'!$O$29)*1</f>
        <v>0</v>
      </c>
      <c r="P29" s="12">
        <f>('TUSD BE'!$P$29+'TUSD BF'!$P$29+'TUSD CVA'!$P$29)*1</f>
        <v>0</v>
      </c>
      <c r="Q29" s="12">
        <f>('TUSD BE'!$Q$29+'TUSD BF'!$Q$29+'TUSD CVA'!$Q$29)*1</f>
        <v>101.86837881379311</v>
      </c>
      <c r="R29" s="12">
        <f>('TUSD BE'!$R$29+'TUSD BF'!$R$29+'TUSD CVA'!$R$29)*1</f>
        <v>17.251426924059356</v>
      </c>
      <c r="S29" s="12">
        <f>('TUSD BE'!$S$29+'TUSD BF'!$S$29+'TUSD CVA'!$S$29)*1</f>
        <v>0</v>
      </c>
      <c r="T29" s="12">
        <f>('TUSD BE'!$U$29+'TUSD BF'!$U$29+'TUSD CVA'!$U$29)*1</f>
        <v>0</v>
      </c>
      <c r="U29" s="12">
        <f>('TUSD BE'!$V$29+'TUSD BF'!$V$29+'TUSD CVA'!$V$29)*1</f>
        <v>0</v>
      </c>
      <c r="V29" s="12">
        <f>('TUSD BE'!$W$29+'TUSD BF'!$W$29+'TUSD CVA'!$W$29)*1</f>
        <v>0</v>
      </c>
      <c r="W29" s="12">
        <f>('TUSD BE'!$X$29+'TUSD BF'!$X$29+'TUSD CVA'!$X$29)*1</f>
        <v>0</v>
      </c>
      <c r="X29" s="12">
        <f>('TUSD BE'!$Y$29+'TUSD BF'!$Y$29+'TUSD CVA'!$Y$29)*1</f>
        <v>22.33711525639114</v>
      </c>
      <c r="Y29" s="12">
        <f>('TUSD BE'!$Z$29+'TUSD BF'!$Z$29+'TUSD CVA'!$Z$29)*1</f>
        <v>0</v>
      </c>
      <c r="Z29" s="12">
        <f>('TUSD BE'!$AA$29+'TUSD BF'!$AA$29+'TUSD CVA'!$AA$29)*1</f>
        <v>0</v>
      </c>
      <c r="AA29" s="12">
        <f>('TUSD BE'!$AC$29+'TUSD BF'!$AC$29+'TUSD CVA'!$AC$29)*1</f>
        <v>36.29143384447039</v>
      </c>
      <c r="AB29" s="12">
        <f ca="1">('TUSD BE'!$AE$29+'TUSD BF'!$AE$29+'TUSD CVA'!$AE$29)*1</f>
        <v>0</v>
      </c>
      <c r="AC29" s="12">
        <f ca="1">('TUSD BE'!$AF$29+'TUSD BF'!$AF$29+'TUSD CVA'!$AF$29)*1</f>
        <v>0</v>
      </c>
      <c r="AD29" s="12">
        <f>('TUSD BE'!$AH$29+'TUSD BF'!$AH$29+'TUSD CVA'!$AH$29)*1</f>
        <v>17.469796426082233</v>
      </c>
      <c r="AE29" s="12">
        <f>('TUSD BE'!$AI$29+'TUSD BF'!$AI$29+'TUSD CVA'!$AI$29)*1</f>
        <v>0.64200412201564572</v>
      </c>
      <c r="AF29" s="12">
        <f ca="1">('TUSD BE'!$AJ$29+'TUSD BF'!$AJ$29+'TUSD CVA'!$AJ$29)*1</f>
        <v>1.9066153397824548</v>
      </c>
      <c r="AG29" s="12">
        <f ca="1">('TUSD BE'!$AK$29+'TUSD BF'!$AK$29+'TUSD CVA'!$AK$29)*1</f>
        <v>0.34713889385939928</v>
      </c>
      <c r="AI29" s="12">
        <v>3.3409664030200501</v>
      </c>
      <c r="AJ29" s="12">
        <v>0.54063080331358204</v>
      </c>
      <c r="AK29" s="12">
        <v>1.41879302862456</v>
      </c>
      <c r="AL29" s="12">
        <v>0</v>
      </c>
      <c r="AM29" s="12">
        <v>0</v>
      </c>
      <c r="AN29" s="12">
        <v>57.378540453409599</v>
      </c>
      <c r="AO29" s="12">
        <v>8.9329376325248102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23.0159661646796</v>
      </c>
      <c r="AV29" s="12">
        <v>0</v>
      </c>
      <c r="AW29" s="12">
        <v>0</v>
      </c>
      <c r="AX29" s="12">
        <v>34.403761527218499</v>
      </c>
      <c r="AY29" s="12">
        <v>0</v>
      </c>
      <c r="AZ29" s="12">
        <v>0</v>
      </c>
      <c r="BA29" s="12">
        <v>19.049348546017299</v>
      </c>
      <c r="BB29" s="12">
        <v>0.60014240107364802</v>
      </c>
      <c r="BC29" s="12">
        <v>2.3182768394777402</v>
      </c>
      <c r="BD29" s="12">
        <v>0.40765143825442701</v>
      </c>
    </row>
    <row r="30" spans="1:56" ht="11.25" customHeight="1" x14ac:dyDescent="0.25">
      <c r="A30" s="150"/>
      <c r="B30" s="150" t="s">
        <v>23</v>
      </c>
      <c r="C30" s="150" t="s">
        <v>24</v>
      </c>
      <c r="D30" s="18" t="s">
        <v>24</v>
      </c>
      <c r="E30" s="18" t="s">
        <v>25</v>
      </c>
      <c r="F30" s="18" t="s">
        <v>25</v>
      </c>
      <c r="G30" s="17" t="s">
        <v>75</v>
      </c>
      <c r="H30" s="17" t="s">
        <v>71</v>
      </c>
      <c r="I30" s="17">
        <f>'MERCADO TUSD'!$U$27</f>
        <v>84272.327000000005</v>
      </c>
      <c r="J30" s="15"/>
      <c r="L30" s="12">
        <f>('TUSD BE'!$L$30+'TUSD BF'!$L$30+'TUSD CVA'!$L$30)*1</f>
        <v>1.329581645890588</v>
      </c>
      <c r="M30" s="12">
        <f>('TUSD BE'!$M$30+'TUSD BF'!$M$30+'TUSD CVA'!$M$30)*1</f>
        <v>0.58156547260734304</v>
      </c>
      <c r="N30" s="12">
        <f ca="1">('TUSD BE'!$N$30+'TUSD BF'!$N$30+'TUSD CVA'!$N$30)*1</f>
        <v>3.9484348144473049</v>
      </c>
      <c r="O30" s="12">
        <f>('TUSD BE'!$O$30+'TUSD BF'!$O$30+'TUSD CVA'!$O$30)*1</f>
        <v>0</v>
      </c>
      <c r="P30" s="12">
        <f>('TUSD BE'!$P$30+'TUSD BF'!$P$30+'TUSD CVA'!$P$30)*1</f>
        <v>0</v>
      </c>
      <c r="Q30" s="12">
        <f>('TUSD BE'!$Q$30+'TUSD BF'!$Q$30+'TUSD CVA'!$Q$30)*1</f>
        <v>101.86837881379311</v>
      </c>
      <c r="R30" s="12">
        <f>('TUSD BE'!$R$30+'TUSD BF'!$R$30+'TUSD CVA'!$R$30)*1</f>
        <v>17.251426924059356</v>
      </c>
      <c r="S30" s="12">
        <f>('TUSD BE'!$S$30+'TUSD BF'!$S$30+'TUSD CVA'!$S$30)*1</f>
        <v>0</v>
      </c>
      <c r="T30" s="12">
        <f>('TUSD BE'!$U$30+'TUSD BF'!$U$30+'TUSD CVA'!$U$30)*1</f>
        <v>0</v>
      </c>
      <c r="U30" s="12">
        <f>('TUSD BE'!$V$30+'TUSD BF'!$V$30+'TUSD CVA'!$V$30)*1</f>
        <v>0</v>
      </c>
      <c r="V30" s="12">
        <f>('TUSD BE'!$W$30+'TUSD BF'!$W$30+'TUSD CVA'!$W$30)*1</f>
        <v>0</v>
      </c>
      <c r="W30" s="12">
        <f>('TUSD BE'!$X$30+'TUSD BF'!$X$30+'TUSD CVA'!$X$30)*1</f>
        <v>0</v>
      </c>
      <c r="X30" s="12">
        <f>('TUSD BE'!$Y$30+'TUSD BF'!$Y$30+'TUSD CVA'!$Y$30)*1</f>
        <v>82.730109392692924</v>
      </c>
      <c r="Y30" s="12">
        <f>('TUSD BE'!$Z$30+'TUSD BF'!$Z$30+'TUSD CVA'!$Z$30)*1</f>
        <v>0</v>
      </c>
      <c r="Z30" s="12">
        <f>('TUSD BE'!$AA$30+'TUSD BF'!$AA$30+'TUSD CVA'!$AA$30)*1</f>
        <v>0</v>
      </c>
      <c r="AA30" s="12">
        <f>('TUSD BE'!$AC$30+'TUSD BF'!$AC$30+'TUSD CVA'!$AC$30)*1</f>
        <v>134.41270927013517</v>
      </c>
      <c r="AB30" s="12">
        <f ca="1">('TUSD BE'!$AE$30+'TUSD BF'!$AE$30+'TUSD CVA'!$AE$30)*1</f>
        <v>0</v>
      </c>
      <c r="AC30" s="12">
        <f ca="1">('TUSD BE'!$AF$30+'TUSD BF'!$AF$30+'TUSD CVA'!$AF$30)*1</f>
        <v>0</v>
      </c>
      <c r="AD30" s="12">
        <f>('TUSD BE'!$AH$30+'TUSD BF'!$AH$30+'TUSD CVA'!$AH$30)*1</f>
        <v>17.469796426082233</v>
      </c>
      <c r="AE30" s="12">
        <f>('TUSD BE'!$AI$30+'TUSD BF'!$AI$30+'TUSD CVA'!$AI$30)*1</f>
        <v>0.64200412201564572</v>
      </c>
      <c r="AF30" s="12">
        <f ca="1">('TUSD BE'!$AJ$30+'TUSD BF'!$AJ$30+'TUSD CVA'!$AJ$30)*1</f>
        <v>1.9066153397824548</v>
      </c>
      <c r="AG30" s="12">
        <f ca="1">('TUSD BE'!$AK$30+'TUSD BF'!$AK$30+'TUSD CVA'!$AK$30)*1</f>
        <v>0.34713889385939928</v>
      </c>
      <c r="AI30" s="12">
        <v>3.3409664030200501</v>
      </c>
      <c r="AJ30" s="12">
        <v>0.54063080331358204</v>
      </c>
      <c r="AK30" s="12">
        <v>3.5353587604435002</v>
      </c>
      <c r="AL30" s="12">
        <v>0</v>
      </c>
      <c r="AM30" s="12">
        <v>0</v>
      </c>
      <c r="AN30" s="12">
        <v>57.378540453409599</v>
      </c>
      <c r="AO30" s="12">
        <v>8.9329376325248102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85.244373623297307</v>
      </c>
      <c r="AV30" s="12">
        <v>0</v>
      </c>
      <c r="AW30" s="12">
        <v>0</v>
      </c>
      <c r="AX30" s="12">
        <v>127.42133076843599</v>
      </c>
      <c r="AY30" s="12">
        <v>0</v>
      </c>
      <c r="AZ30" s="12">
        <v>0</v>
      </c>
      <c r="BA30" s="12">
        <v>19.049348546017299</v>
      </c>
      <c r="BB30" s="12">
        <v>0.60014240107364802</v>
      </c>
      <c r="BC30" s="12">
        <v>2.3182768394777402</v>
      </c>
      <c r="BD30" s="12">
        <v>0.40765143825442701</v>
      </c>
    </row>
    <row r="31" spans="1:56" ht="11.25" customHeight="1" x14ac:dyDescent="0.25">
      <c r="A31" s="150"/>
      <c r="B31" s="150"/>
      <c r="C31" s="150"/>
      <c r="D31" s="18" t="s">
        <v>29</v>
      </c>
      <c r="E31" s="18" t="s">
        <v>25</v>
      </c>
      <c r="F31" s="18" t="s">
        <v>25</v>
      </c>
      <c r="G31" s="17" t="s">
        <v>75</v>
      </c>
      <c r="H31" s="17" t="s">
        <v>71</v>
      </c>
      <c r="I31" s="17">
        <f>'MERCADO TUSD'!$U$28</f>
        <v>1735.35</v>
      </c>
      <c r="J31" s="15"/>
      <c r="L31" s="12">
        <f>('TUSD BE'!$L$31+'TUSD BF'!$L$31+'TUSD CVA'!$L$31)*(1 - 0.65)</f>
        <v>0</v>
      </c>
      <c r="M31" s="12">
        <f>('TUSD BE'!$M$31+'TUSD BF'!$M$31+'TUSD CVA'!$M$31)*(1 - 0.65)</f>
        <v>0.20354791541257006</v>
      </c>
      <c r="N31" s="12">
        <f ca="1">('TUSD BE'!$N$31+'TUSD BF'!$N$31+'TUSD CVA'!$N$31)*(1 - 0.65)</f>
        <v>1.3756276115704864</v>
      </c>
      <c r="O31" s="12">
        <f>('TUSD BE'!$O$31+'TUSD BF'!$O$31+'TUSD CVA'!$O$31)*(1 - 0.65)</f>
        <v>0</v>
      </c>
      <c r="P31" s="12">
        <v>0</v>
      </c>
      <c r="Q31" s="12">
        <f>('TUSD BE'!$Q$31+'TUSD BF'!$Q$31+'TUSD CVA'!$Q$31)*(1 - 0.65)</f>
        <v>0</v>
      </c>
      <c r="R31" s="12">
        <v>0</v>
      </c>
      <c r="S31" s="12">
        <f>('TUSD BE'!$S$31+'TUSD BF'!$S$31+'TUSD CVA'!$S$31)*(1 - 0.65)</f>
        <v>0</v>
      </c>
      <c r="T31" s="12">
        <f>('TUSD BE'!$U$31+'TUSD BF'!$U$31+'TUSD CVA'!$U$31)*(1 - 0.65)</f>
        <v>0</v>
      </c>
      <c r="U31" s="12">
        <f>('TUSD BE'!$V$31+'TUSD BF'!$V$31+'TUSD CVA'!$V$31)*(1 - 0.65)</f>
        <v>0</v>
      </c>
      <c r="V31" s="12">
        <f>('TUSD BE'!$W$31+'TUSD BF'!$W$31+'TUSD CVA'!$W$31)*(1 - 0.65)</f>
        <v>0</v>
      </c>
      <c r="W31" s="12">
        <f>('TUSD BE'!$X$31+'TUSD BF'!$X$31+'TUSD CVA'!$X$31)*(1 - 0.65)</f>
        <v>0</v>
      </c>
      <c r="X31" s="12">
        <f>('TUSD BE'!$Y$31+'TUSD BF'!$Y$31+'TUSD CVA'!$Y$31)*(1 - 0.65)</f>
        <v>28.955538287442522</v>
      </c>
      <c r="Y31" s="12">
        <f>('TUSD BE'!$Z$31+'TUSD BF'!$Z$31+'TUSD CVA'!$Z$31)*(1 - 0.65)</f>
        <v>0</v>
      </c>
      <c r="Z31" s="12">
        <f>('TUSD BE'!$AA$31+'TUSD BF'!$AA$31+'TUSD CVA'!$AA$31)*(1 - 0.65)</f>
        <v>0</v>
      </c>
      <c r="AA31" s="12">
        <f>('TUSD BE'!$AC$31+'TUSD BF'!$AC$31+'TUSD CVA'!$AC$31)*(1 - 0.65)</f>
        <v>47.044448244547304</v>
      </c>
      <c r="AB31" s="12">
        <f ca="1">('TUSD BE'!$AE$31+'TUSD BF'!$AE$31+'TUSD CVA'!$AE$31)*(1 - 0.65)</f>
        <v>0</v>
      </c>
      <c r="AC31" s="12">
        <f ca="1">('TUSD BE'!$AF$31+'TUSD BF'!$AF$31+'TUSD CVA'!$AF$31)*(1 - 0.65)</f>
        <v>0</v>
      </c>
      <c r="AD31" s="12">
        <f>('TUSD BE'!$AH$31+'TUSD BF'!$AH$31+'TUSD CVA'!$AH$31)*(1 - 0.65)</f>
        <v>6.1144287491287814</v>
      </c>
      <c r="AE31" s="12">
        <f>('TUSD BE'!$AI$31+'TUSD BF'!$AI$31+'TUSD CVA'!$AI$31)*(1 - 0.65)</f>
        <v>0.22470144270547598</v>
      </c>
      <c r="AF31" s="12">
        <f ca="1">('TUSD BE'!$AJ$31+'TUSD BF'!$AJ$31+'TUSD CVA'!$AJ$31)*(1 - 0.65)</f>
        <v>0.66731536892385912</v>
      </c>
      <c r="AG31" s="12">
        <f ca="1">('TUSD BE'!$AK$31+'TUSD BF'!$AK$31+'TUSD CVA'!$AK$31)*(1 - 0.65)</f>
        <v>0.12149861285078974</v>
      </c>
      <c r="AI31" s="12">
        <v>0</v>
      </c>
      <c r="AJ31" s="12">
        <v>0.18922078115975399</v>
      </c>
      <c r="AK31" s="12">
        <v>1.2316916271155101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29.835530768154101</v>
      </c>
      <c r="AV31" s="12">
        <v>0</v>
      </c>
      <c r="AW31" s="12">
        <v>0</v>
      </c>
      <c r="AX31" s="12">
        <v>44.597465768952603</v>
      </c>
      <c r="AY31" s="12">
        <v>0</v>
      </c>
      <c r="AZ31" s="12">
        <v>0</v>
      </c>
      <c r="BA31" s="12">
        <v>6.6672719911060501</v>
      </c>
      <c r="BB31" s="12">
        <v>0.21004984037577701</v>
      </c>
      <c r="BC31" s="12">
        <v>0.81139689381720903</v>
      </c>
      <c r="BD31" s="12">
        <v>0.14267800338904901</v>
      </c>
    </row>
    <row r="32" spans="1:56" ht="11.25" customHeight="1" x14ac:dyDescent="0.25">
      <c r="A32" s="150"/>
      <c r="B32" s="150"/>
      <c r="C32" s="150"/>
      <c r="D32" s="18" t="s">
        <v>30</v>
      </c>
      <c r="E32" s="18" t="s">
        <v>25</v>
      </c>
      <c r="F32" s="18" t="s">
        <v>25</v>
      </c>
      <c r="G32" s="17" t="s">
        <v>75</v>
      </c>
      <c r="H32" s="17" t="s">
        <v>71</v>
      </c>
      <c r="I32" s="17">
        <f>'MERCADO TUSD'!$U$29</f>
        <v>3306.717000000001</v>
      </c>
      <c r="J32" s="15"/>
      <c r="L32" s="12">
        <f>('TUSD BE'!$L$32+'TUSD BF'!$L$32+'TUSD CVA'!$L$32)*(1 - 0.4)</f>
        <v>0</v>
      </c>
      <c r="M32" s="12">
        <f>('TUSD BE'!$M$32+'TUSD BF'!$M$32+'TUSD CVA'!$M$32)*(1 - 0.4)</f>
        <v>0.34893928356440579</v>
      </c>
      <c r="N32" s="12">
        <f ca="1">('TUSD BE'!$N$32+'TUSD BF'!$N$32+'TUSD CVA'!$N$32)*(1 - 0.4)</f>
        <v>2.3582187626922626</v>
      </c>
      <c r="O32" s="12">
        <f>('TUSD BE'!$O$32+'TUSD BF'!$O$32+'TUSD CVA'!$O$32)*(1 - 0.4)</f>
        <v>0</v>
      </c>
      <c r="P32" s="12">
        <v>0</v>
      </c>
      <c r="Q32" s="12">
        <f>('TUSD BE'!$Q$32+'TUSD BF'!$Q$32+'TUSD CVA'!$Q$32)*(1 - 0.4)</f>
        <v>0</v>
      </c>
      <c r="R32" s="12">
        <v>0</v>
      </c>
      <c r="S32" s="12">
        <f>('TUSD BE'!$S$32+'TUSD BF'!$S$32+'TUSD CVA'!$S$32)*(1 - 0.4)</f>
        <v>0</v>
      </c>
      <c r="T32" s="12">
        <f>('TUSD BE'!$U$32+'TUSD BF'!$U$32+'TUSD CVA'!$U$32)*(1 - 0.4)</f>
        <v>0</v>
      </c>
      <c r="U32" s="12">
        <f>('TUSD BE'!$V$32+'TUSD BF'!$V$32+'TUSD CVA'!$V$32)*(1 - 0.4)</f>
        <v>0</v>
      </c>
      <c r="V32" s="12">
        <f>('TUSD BE'!$W$32+'TUSD BF'!$W$32+'TUSD CVA'!$W$32)*(1 - 0.4)</f>
        <v>0</v>
      </c>
      <c r="W32" s="12">
        <f>('TUSD BE'!$X$32+'TUSD BF'!$X$32+'TUSD CVA'!$X$32)*(1 - 0.4)</f>
        <v>0</v>
      </c>
      <c r="X32" s="12">
        <f>('TUSD BE'!$Y$32+'TUSD BF'!$Y$32+'TUSD CVA'!$Y$32)*(1 - 0.4)</f>
        <v>49.638065635615753</v>
      </c>
      <c r="Y32" s="12">
        <f>('TUSD BE'!$Z$32+'TUSD BF'!$Z$32+'TUSD CVA'!$Z$32)*(1 - 0.4)</f>
        <v>0</v>
      </c>
      <c r="Z32" s="12">
        <f>('TUSD BE'!$AA$32+'TUSD BF'!$AA$32+'TUSD CVA'!$AA$32)*(1 - 0.4)</f>
        <v>0</v>
      </c>
      <c r="AA32" s="12">
        <f>('TUSD BE'!$AC$32+'TUSD BF'!$AC$32+'TUSD CVA'!$AC$32)*(1 - 0.4)</f>
        <v>80.647625562081103</v>
      </c>
      <c r="AB32" s="12">
        <f ca="1">('TUSD BE'!$AE$32+'TUSD BF'!$AE$32+'TUSD CVA'!$AE$32)*(1 - 0.4)</f>
        <v>0</v>
      </c>
      <c r="AC32" s="12">
        <f ca="1">('TUSD BE'!$AF$32+'TUSD BF'!$AF$32+'TUSD CVA'!$AF$32)*(1 - 0.4)</f>
        <v>0</v>
      </c>
      <c r="AD32" s="12">
        <f>('TUSD BE'!$AH$32+'TUSD BF'!$AH$32+'TUSD CVA'!$AH$32)*(1 - 0.4)</f>
        <v>10.481877855649339</v>
      </c>
      <c r="AE32" s="12">
        <f>('TUSD BE'!$AI$32+'TUSD BF'!$AI$32+'TUSD CVA'!$AI$32)*(1 - 0.4)</f>
        <v>0.38520247320938744</v>
      </c>
      <c r="AF32" s="12">
        <f ca="1">('TUSD BE'!$AJ$32+'TUSD BF'!$AJ$32+'TUSD CVA'!$AJ$32)*(1 - 0.4)</f>
        <v>1.1439692038694729</v>
      </c>
      <c r="AG32" s="12">
        <f ca="1">('TUSD BE'!$AK$32+'TUSD BF'!$AK$32+'TUSD CVA'!$AK$32)*(1 - 0.4)</f>
        <v>0.20828333631563956</v>
      </c>
      <c r="AI32" s="12">
        <v>0</v>
      </c>
      <c r="AJ32" s="12">
        <v>0.324378481988149</v>
      </c>
      <c r="AK32" s="12">
        <v>2.11147136076944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51.146624173978402</v>
      </c>
      <c r="AV32" s="12">
        <v>0</v>
      </c>
      <c r="AW32" s="12">
        <v>0</v>
      </c>
      <c r="AX32" s="12">
        <v>76.452798461061704</v>
      </c>
      <c r="AY32" s="12">
        <v>0</v>
      </c>
      <c r="AZ32" s="12">
        <v>0</v>
      </c>
      <c r="BA32" s="12">
        <v>11.4296091276104</v>
      </c>
      <c r="BB32" s="12">
        <v>0.36008544064418901</v>
      </c>
      <c r="BC32" s="12">
        <v>1.3909661036866401</v>
      </c>
      <c r="BD32" s="12">
        <v>0.244590862952656</v>
      </c>
    </row>
    <row r="33" spans="1:56" ht="11.25" customHeight="1" x14ac:dyDescent="0.25">
      <c r="A33" s="150"/>
      <c r="B33" s="150"/>
      <c r="C33" s="150"/>
      <c r="D33" s="18" t="s">
        <v>31</v>
      </c>
      <c r="E33" s="18" t="s">
        <v>25</v>
      </c>
      <c r="F33" s="18" t="s">
        <v>25</v>
      </c>
      <c r="G33" s="17" t="s">
        <v>75</v>
      </c>
      <c r="H33" s="17" t="s">
        <v>71</v>
      </c>
      <c r="I33" s="17">
        <f>'MERCADO TUSD'!$U$30</f>
        <v>2084.8169999999996</v>
      </c>
      <c r="J33" s="15"/>
      <c r="L33" s="12">
        <f>('TUSD BE'!$L$33+'TUSD BF'!$L$33+'TUSD CVA'!$L$33)*(1 - 0.1)</f>
        <v>0</v>
      </c>
      <c r="M33" s="12">
        <f>('TUSD BE'!$M$33+'TUSD BF'!$M$33+'TUSD CVA'!$M$33)*(1 - 0.1)</f>
        <v>0.52340892534660877</v>
      </c>
      <c r="N33" s="12">
        <f ca="1">('TUSD BE'!$N$33+'TUSD BF'!$N$33+'TUSD CVA'!$N$33)*(1 - 0.1)</f>
        <v>3.5373281440383941</v>
      </c>
      <c r="O33" s="12">
        <f>('TUSD BE'!$O$33+'TUSD BF'!$O$33+'TUSD CVA'!$O$33)*(1 - 0.1)</f>
        <v>0</v>
      </c>
      <c r="P33" s="12">
        <v>0</v>
      </c>
      <c r="Q33" s="12">
        <f>('TUSD BE'!$Q$33+'TUSD BF'!$Q$33+'TUSD CVA'!$Q$33)*(1 - 0.1)</f>
        <v>0</v>
      </c>
      <c r="R33" s="12">
        <v>0</v>
      </c>
      <c r="S33" s="12">
        <f>('TUSD BE'!$S$33+'TUSD BF'!$S$33+'TUSD CVA'!$S$33)*(1 - 0.1)</f>
        <v>0</v>
      </c>
      <c r="T33" s="12">
        <f>('TUSD BE'!$U$33+'TUSD BF'!$U$33+'TUSD CVA'!$U$33)*(1 - 0.1)</f>
        <v>0</v>
      </c>
      <c r="U33" s="12">
        <f>('TUSD BE'!$V$33+'TUSD BF'!$V$33+'TUSD CVA'!$V$33)*(1 - 0.1)</f>
        <v>0</v>
      </c>
      <c r="V33" s="12">
        <f>('TUSD BE'!$W$33+'TUSD BF'!$W$33+'TUSD CVA'!$W$33)*(1 - 0.1)</f>
        <v>0</v>
      </c>
      <c r="W33" s="12">
        <f>('TUSD BE'!$X$33+'TUSD BF'!$X$33+'TUSD CVA'!$X$33)*(1 - 0.1)</f>
        <v>0</v>
      </c>
      <c r="X33" s="12">
        <f>('TUSD BE'!$Y$33+'TUSD BF'!$Y$33+'TUSD CVA'!$Y$33)*(1 - 0.1)</f>
        <v>74.45709845342364</v>
      </c>
      <c r="Y33" s="12">
        <f>('TUSD BE'!$Z$33+'TUSD BF'!$Z$33+'TUSD CVA'!$Z$33)*(1 - 0.1)</f>
        <v>0</v>
      </c>
      <c r="Z33" s="12">
        <f>('TUSD BE'!$AA$33+'TUSD BF'!$AA$33+'TUSD CVA'!$AA$33)*(1 - 0.1)</f>
        <v>0</v>
      </c>
      <c r="AA33" s="12">
        <f>('TUSD BE'!$AC$33+'TUSD BF'!$AC$33+'TUSD CVA'!$AC$33)*(1 - 0.1)</f>
        <v>120.97143834312165</v>
      </c>
      <c r="AB33" s="12">
        <f ca="1">('TUSD BE'!$AE$33+'TUSD BF'!$AE$33+'TUSD CVA'!$AE$33)*(1 - 0.1)</f>
        <v>0</v>
      </c>
      <c r="AC33" s="12">
        <f ca="1">('TUSD BE'!$AF$33+'TUSD BF'!$AF$33+'TUSD CVA'!$AF$33)*(1 - 0.1)</f>
        <v>0</v>
      </c>
      <c r="AD33" s="12">
        <f>('TUSD BE'!$AH$33+'TUSD BF'!$AH$33+'TUSD CVA'!$AH$33)*(1 - 0.1)</f>
        <v>15.722816783474011</v>
      </c>
      <c r="AE33" s="12">
        <f>('TUSD BE'!$AI$33+'TUSD BF'!$AI$33+'TUSD CVA'!$AI$33)*(1 - 0.1)</f>
        <v>0.57780370981408113</v>
      </c>
      <c r="AF33" s="12">
        <f ca="1">('TUSD BE'!$AJ$33+'TUSD BF'!$AJ$33+'TUSD CVA'!$AJ$33)*(1 - 0.1)</f>
        <v>1.7159538058042094</v>
      </c>
      <c r="AG33" s="12">
        <f ca="1">('TUSD BE'!$AK$33+'TUSD BF'!$AK$33+'TUSD CVA'!$AK$33)*(1 - 0.1)</f>
        <v>0.31242500447345933</v>
      </c>
      <c r="AI33" s="12">
        <v>0</v>
      </c>
      <c r="AJ33" s="12">
        <v>0.486567722982224</v>
      </c>
      <c r="AK33" s="12">
        <v>3.16720704115416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76.7199362609676</v>
      </c>
      <c r="AV33" s="12">
        <v>0</v>
      </c>
      <c r="AW33" s="12">
        <v>0</v>
      </c>
      <c r="AX33" s="12">
        <v>114.679197691593</v>
      </c>
      <c r="AY33" s="12">
        <v>0</v>
      </c>
      <c r="AZ33" s="12">
        <v>0</v>
      </c>
      <c r="BA33" s="12">
        <v>17.1444136914156</v>
      </c>
      <c r="BB33" s="12">
        <v>0.54012816096628402</v>
      </c>
      <c r="BC33" s="12">
        <v>2.0864491555299698</v>
      </c>
      <c r="BD33" s="12">
        <v>0.36688629442898402</v>
      </c>
    </row>
    <row r="34" spans="1:56" ht="11.25" customHeight="1" x14ac:dyDescent="0.25">
      <c r="A34" s="150"/>
      <c r="B34" s="150"/>
      <c r="C34" s="150"/>
      <c r="D34" s="18" t="s">
        <v>32</v>
      </c>
      <c r="E34" s="18" t="s">
        <v>25</v>
      </c>
      <c r="F34" s="18" t="s">
        <v>25</v>
      </c>
      <c r="G34" s="17" t="s">
        <v>75</v>
      </c>
      <c r="H34" s="17" t="s">
        <v>71</v>
      </c>
      <c r="I34" s="17">
        <f>'MERCADO TUSD'!$U$31</f>
        <v>412.21400000000006</v>
      </c>
      <c r="J34" s="15"/>
      <c r="L34" s="12">
        <f>('TUSD BE'!$L$34+'TUSD BF'!$L$34+'TUSD CVA'!$L$34)*1</f>
        <v>0</v>
      </c>
      <c r="M34" s="12">
        <f>('TUSD BE'!$M$34+'TUSD BF'!$M$34+'TUSD CVA'!$M$34)*1</f>
        <v>0.58156547260734304</v>
      </c>
      <c r="N34" s="12">
        <f ca="1">('TUSD BE'!$N$34+'TUSD BF'!$N$34+'TUSD CVA'!$N$34)*1</f>
        <v>3.9303646044871043</v>
      </c>
      <c r="O34" s="12">
        <f>('TUSD BE'!$O$34+'TUSD BF'!$O$34+'TUSD CVA'!$O$34)*1</f>
        <v>0</v>
      </c>
      <c r="P34" s="12">
        <v>0</v>
      </c>
      <c r="Q34" s="12">
        <f>('TUSD BE'!$Q$34+'TUSD BF'!$Q$34+'TUSD CVA'!$Q$34)*1</f>
        <v>0</v>
      </c>
      <c r="R34" s="12">
        <v>0</v>
      </c>
      <c r="S34" s="12">
        <f>('TUSD BE'!$S$34+'TUSD BF'!$S$34+'TUSD CVA'!$S$34)*1</f>
        <v>0</v>
      </c>
      <c r="T34" s="12">
        <f>('TUSD BE'!$U$34+'TUSD BF'!$U$34+'TUSD CVA'!$U$34)*1</f>
        <v>0</v>
      </c>
      <c r="U34" s="12">
        <f>('TUSD BE'!$V$34+'TUSD BF'!$V$34+'TUSD CVA'!$V$34)*1</f>
        <v>0</v>
      </c>
      <c r="V34" s="12">
        <f>('TUSD BE'!$W$34+'TUSD BF'!$W$34+'TUSD CVA'!$W$34)*1</f>
        <v>0</v>
      </c>
      <c r="W34" s="12">
        <f>('TUSD BE'!$X$34+'TUSD BF'!$X$34+'TUSD CVA'!$X$34)*1</f>
        <v>0</v>
      </c>
      <c r="X34" s="12">
        <f>('TUSD BE'!$Y$34+'TUSD BF'!$Y$34+'TUSD CVA'!$Y$34)*1</f>
        <v>82.730109392692924</v>
      </c>
      <c r="Y34" s="12">
        <f>('TUSD BE'!$Z$34+'TUSD BF'!$Z$34+'TUSD CVA'!$Z$34)*1</f>
        <v>0</v>
      </c>
      <c r="Z34" s="12">
        <f>('TUSD BE'!$AA$34+'TUSD BF'!$AA$34+'TUSD CVA'!$AA$34)*1</f>
        <v>0</v>
      </c>
      <c r="AA34" s="12">
        <f>('TUSD BE'!$AC$34+'TUSD BF'!$AC$34+'TUSD CVA'!$AC$34)*1</f>
        <v>134.41270927013517</v>
      </c>
      <c r="AB34" s="12">
        <f ca="1">('TUSD BE'!$AE$34+'TUSD BF'!$AE$34+'TUSD CVA'!$AE$34)*1</f>
        <v>0</v>
      </c>
      <c r="AC34" s="12">
        <f ca="1">('TUSD BE'!$AF$34+'TUSD BF'!$AF$34+'TUSD CVA'!$AF$34)*1</f>
        <v>0</v>
      </c>
      <c r="AD34" s="12">
        <f>('TUSD BE'!$AH$34+'TUSD BF'!$AH$34+'TUSD CVA'!$AH$34)*1</f>
        <v>17.469796426082233</v>
      </c>
      <c r="AE34" s="12">
        <f>('TUSD BE'!$AI$34+'TUSD BF'!$AI$34+'TUSD CVA'!$AI$34)*1</f>
        <v>0.64200412201564572</v>
      </c>
      <c r="AF34" s="12">
        <f ca="1">('TUSD BE'!$AJ$34+'TUSD BF'!$AJ$34+'TUSD CVA'!$AJ$34)*1</f>
        <v>1.9066153397824548</v>
      </c>
      <c r="AG34" s="12">
        <f ca="1">('TUSD BE'!$AK$34+'TUSD BF'!$AK$34+'TUSD CVA'!$AK$34)*1</f>
        <v>0.34713889385939928</v>
      </c>
      <c r="AI34" s="12">
        <v>0</v>
      </c>
      <c r="AJ34" s="12">
        <v>0.54063080331358204</v>
      </c>
      <c r="AK34" s="12">
        <v>3.5191189346157299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85.244373623297307</v>
      </c>
      <c r="AV34" s="12">
        <v>0</v>
      </c>
      <c r="AW34" s="12">
        <v>0</v>
      </c>
      <c r="AX34" s="12">
        <v>127.42133076843599</v>
      </c>
      <c r="AY34" s="12">
        <v>0</v>
      </c>
      <c r="AZ34" s="12">
        <v>0</v>
      </c>
      <c r="BA34" s="12">
        <v>19.049348546017299</v>
      </c>
      <c r="BB34" s="12">
        <v>0.60014240107364802</v>
      </c>
      <c r="BC34" s="12">
        <v>2.3182768394777402</v>
      </c>
      <c r="BD34" s="12">
        <v>0.40765143825442701</v>
      </c>
    </row>
    <row r="35" spans="1:56" ht="11.25" customHeight="1" x14ac:dyDescent="0.25">
      <c r="A35" s="150"/>
      <c r="B35" s="150" t="s">
        <v>86</v>
      </c>
      <c r="C35" s="150" t="s">
        <v>24</v>
      </c>
      <c r="D35" s="18" t="s">
        <v>24</v>
      </c>
      <c r="E35" s="18" t="s">
        <v>25</v>
      </c>
      <c r="F35" s="18" t="s">
        <v>25</v>
      </c>
      <c r="G35" s="17" t="s">
        <v>75</v>
      </c>
      <c r="H35" s="17" t="s">
        <v>71</v>
      </c>
      <c r="I35" s="17">
        <f>'MERCADO TUSD'!$U$32</f>
        <v>0</v>
      </c>
      <c r="J35" s="15"/>
      <c r="L35" s="12">
        <f>('TUSD BE'!$L$35+'TUSD BF'!$L$35+'TUSD CVA'!$L$35)*1</f>
        <v>1.329581645890588</v>
      </c>
      <c r="M35" s="12">
        <f>('TUSD BE'!$M$35+'TUSD BF'!$M$35+'TUSD CVA'!$M$35)*1</f>
        <v>0.58156547260734304</v>
      </c>
      <c r="N35" s="12">
        <f ca="1">('TUSD BE'!$N$35+'TUSD BF'!$N$35+'TUSD CVA'!$N$35)*1</f>
        <v>3.9484348144473049</v>
      </c>
      <c r="O35" s="12">
        <f>('TUSD BE'!$O$35+'TUSD BF'!$O$35+'TUSD CVA'!$O$35)*1</f>
        <v>0</v>
      </c>
      <c r="P35" s="12">
        <f>('TUSD BE'!$P$35+'TUSD BF'!$P$35+'TUSD CVA'!$P$35)*1</f>
        <v>0</v>
      </c>
      <c r="Q35" s="12">
        <f>('TUSD BE'!$Q$35+'TUSD BF'!$Q$35+'TUSD CVA'!$Q$35)*1</f>
        <v>101.86837881379311</v>
      </c>
      <c r="R35" s="12">
        <f>('TUSD BE'!$R$35+'TUSD BF'!$R$35+'TUSD CVA'!$R$35)*1</f>
        <v>17.251426924059356</v>
      </c>
      <c r="S35" s="12">
        <f>('TUSD BE'!$S$35+'TUSD BF'!$S$35+'TUSD CVA'!$S$35)*1</f>
        <v>0</v>
      </c>
      <c r="T35" s="12">
        <f>('TUSD BE'!$U$35+'TUSD BF'!$U$35+'TUSD CVA'!$U$35)*1</f>
        <v>0</v>
      </c>
      <c r="U35" s="12">
        <f>('TUSD BE'!$V$35+'TUSD BF'!$V$35+'TUSD CVA'!$V$35)*1</f>
        <v>0</v>
      </c>
      <c r="V35" s="12">
        <f>('TUSD BE'!$W$35+'TUSD BF'!$W$35+'TUSD CVA'!$W$35)*1</f>
        <v>0</v>
      </c>
      <c r="W35" s="12">
        <f>('TUSD BE'!$X$35+'TUSD BF'!$X$35+'TUSD CVA'!$X$35)*1</f>
        <v>0</v>
      </c>
      <c r="X35" s="12">
        <f>('TUSD BE'!$Y$35+'TUSD BF'!$Y$35+'TUSD CVA'!$Y$35)*1</f>
        <v>82.730109392692924</v>
      </c>
      <c r="Y35" s="12">
        <f>('TUSD BE'!$Z$35+'TUSD BF'!$Z$35+'TUSD CVA'!$Z$35)*1</f>
        <v>0</v>
      </c>
      <c r="Z35" s="12">
        <f>('TUSD BE'!$AA$35+'TUSD BF'!$AA$35+'TUSD CVA'!$AA$35)*1</f>
        <v>0</v>
      </c>
      <c r="AA35" s="12">
        <f>('TUSD BE'!$AC$35+'TUSD BF'!$AC$35+'TUSD CVA'!$AC$35)*1</f>
        <v>134.41270927013517</v>
      </c>
      <c r="AB35" s="12">
        <f ca="1">('TUSD BE'!$AE$35+'TUSD BF'!$AE$35+'TUSD CVA'!$AE$35)*1</f>
        <v>0</v>
      </c>
      <c r="AC35" s="12">
        <f ca="1">('TUSD BE'!$AF$35+'TUSD BF'!$AF$35+'TUSD CVA'!$AF$35)*1</f>
        <v>0</v>
      </c>
      <c r="AD35" s="12">
        <f>('TUSD BE'!$AH$35+'TUSD BF'!$AH$35+'TUSD CVA'!$AH$35)*1</f>
        <v>17.469796426082233</v>
      </c>
      <c r="AE35" s="12">
        <f>('TUSD BE'!$AI$35+'TUSD BF'!$AI$35+'TUSD CVA'!$AI$35)*1</f>
        <v>0.64200412201564572</v>
      </c>
      <c r="AF35" s="12">
        <f ca="1">('TUSD BE'!$AJ$35+'TUSD BF'!$AJ$35+'TUSD CVA'!$AJ$35)*1</f>
        <v>1.9066153397824548</v>
      </c>
      <c r="AG35" s="12">
        <f ca="1">('TUSD BE'!$AK$35+'TUSD BF'!$AK$35+'TUSD CVA'!$AK$35)*1</f>
        <v>0.34713889385939928</v>
      </c>
      <c r="AI35" s="12">
        <v>3.3409664030200501</v>
      </c>
      <c r="AJ35" s="12">
        <v>0.54063080331358204</v>
      </c>
      <c r="AK35" s="12">
        <v>3.5353587604435002</v>
      </c>
      <c r="AL35" s="12">
        <v>0</v>
      </c>
      <c r="AM35" s="12">
        <v>0</v>
      </c>
      <c r="AN35" s="12">
        <v>57.378540453409599</v>
      </c>
      <c r="AO35" s="12">
        <v>8.9329376325248102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85.244373623297307</v>
      </c>
      <c r="AV35" s="12">
        <v>0</v>
      </c>
      <c r="AW35" s="12">
        <v>0</v>
      </c>
      <c r="AX35" s="12">
        <v>127.42133076843599</v>
      </c>
      <c r="AY35" s="12">
        <v>0</v>
      </c>
      <c r="AZ35" s="12">
        <v>0</v>
      </c>
      <c r="BA35" s="12">
        <v>19.049348546017299</v>
      </c>
      <c r="BB35" s="12">
        <v>0.60014240107364802</v>
      </c>
      <c r="BC35" s="12">
        <v>2.3182768394777402</v>
      </c>
      <c r="BD35" s="12">
        <v>0.40765143825442701</v>
      </c>
    </row>
    <row r="36" spans="1:56" ht="11.25" customHeight="1" x14ac:dyDescent="0.25">
      <c r="A36" s="150"/>
      <c r="B36" s="150"/>
      <c r="C36" s="150"/>
      <c r="D36" s="18" t="s">
        <v>29</v>
      </c>
      <c r="E36" s="18" t="s">
        <v>25</v>
      </c>
      <c r="F36" s="18" t="s">
        <v>25</v>
      </c>
      <c r="G36" s="17" t="s">
        <v>75</v>
      </c>
      <c r="H36" s="17" t="s">
        <v>71</v>
      </c>
      <c r="I36" s="17">
        <f>'MERCADO TUSD'!$U$33</f>
        <v>0</v>
      </c>
      <c r="J36" s="15"/>
      <c r="L36" s="12">
        <f>('TUSD BE'!$L$36+'TUSD BF'!$L$36+'TUSD CVA'!$L$36)*(1 - 0.65)</f>
        <v>0</v>
      </c>
      <c r="M36" s="12">
        <f>('TUSD BE'!$M$36+'TUSD BF'!$M$36+'TUSD CVA'!$M$36)*(1 - 0.65)</f>
        <v>0.20354791541257006</v>
      </c>
      <c r="N36" s="12">
        <f ca="1">('TUSD BE'!$N$36+'TUSD BF'!$N$36+'TUSD CVA'!$N$36)*(1 - 0.65)</f>
        <v>1.3756276115704864</v>
      </c>
      <c r="O36" s="12">
        <f>('TUSD BE'!$O$36+'TUSD BF'!$O$36+'TUSD CVA'!$O$36)*(1 - 0.65)</f>
        <v>0</v>
      </c>
      <c r="P36" s="12">
        <v>0</v>
      </c>
      <c r="Q36" s="12">
        <f>('TUSD BE'!$Q$36+'TUSD BF'!$Q$36+'TUSD CVA'!$Q$36)*(1 - 0.65)</f>
        <v>0</v>
      </c>
      <c r="R36" s="12">
        <v>0</v>
      </c>
      <c r="S36" s="12">
        <f>('TUSD BE'!$S$36+'TUSD BF'!$S$36+'TUSD CVA'!$S$36)*(1 - 0.65)</f>
        <v>0</v>
      </c>
      <c r="T36" s="12">
        <f>('TUSD BE'!$U$36+'TUSD BF'!$U$36+'TUSD CVA'!$U$36)*(1 - 0.65)</f>
        <v>0</v>
      </c>
      <c r="U36" s="12">
        <f>('TUSD BE'!$V$36+'TUSD BF'!$V$36+'TUSD CVA'!$V$36)*(1 - 0.65)</f>
        <v>0</v>
      </c>
      <c r="V36" s="12">
        <f>('TUSD BE'!$W$36+'TUSD BF'!$W$36+'TUSD CVA'!$W$36)*(1 - 0.65)</f>
        <v>0</v>
      </c>
      <c r="W36" s="12">
        <f>('TUSD BE'!$X$36+'TUSD BF'!$X$36+'TUSD CVA'!$X$36)*(1 - 0.65)</f>
        <v>0</v>
      </c>
      <c r="X36" s="12">
        <f>('TUSD BE'!$Y$36+'TUSD BF'!$Y$36+'TUSD CVA'!$Y$36)*(1 - 0.65)</f>
        <v>28.955538287442522</v>
      </c>
      <c r="Y36" s="12">
        <f>('TUSD BE'!$Z$36+'TUSD BF'!$Z$36+'TUSD CVA'!$Z$36)*(1 - 0.65)</f>
        <v>0</v>
      </c>
      <c r="Z36" s="12">
        <f>('TUSD BE'!$AA$36+'TUSD BF'!$AA$36+'TUSD CVA'!$AA$36)*(1 - 0.65)</f>
        <v>0</v>
      </c>
      <c r="AA36" s="12">
        <f>('TUSD BE'!$AC$36+'TUSD BF'!$AC$36+'TUSD CVA'!$AC$36)*(1 - 0.65)</f>
        <v>47.044448244547304</v>
      </c>
      <c r="AB36" s="12">
        <f ca="1">('TUSD BE'!$AE$36+'TUSD BF'!$AE$36+'TUSD CVA'!$AE$36)*(1 - 0.65)</f>
        <v>0</v>
      </c>
      <c r="AC36" s="12">
        <f ca="1">('TUSD BE'!$AF$36+'TUSD BF'!$AF$36+'TUSD CVA'!$AF$36)*(1 - 0.65)</f>
        <v>0</v>
      </c>
      <c r="AD36" s="12">
        <f>('TUSD BE'!$AH$36+'TUSD BF'!$AH$36+'TUSD CVA'!$AH$36)*(1 - 0.65)</f>
        <v>6.1144287491287814</v>
      </c>
      <c r="AE36" s="12">
        <f>('TUSD BE'!$AI$36+'TUSD BF'!$AI$36+'TUSD CVA'!$AI$36)*(1 - 0.65)</f>
        <v>0.22470144270547598</v>
      </c>
      <c r="AF36" s="12">
        <f ca="1">('TUSD BE'!$AJ$36+'TUSD BF'!$AJ$36+'TUSD CVA'!$AJ$36)*(1 - 0.65)</f>
        <v>0.66731536892385912</v>
      </c>
      <c r="AG36" s="12">
        <f ca="1">('TUSD BE'!$AK$36+'TUSD BF'!$AK$36+'TUSD CVA'!$AK$36)*(1 - 0.65)</f>
        <v>0.12149861285078974</v>
      </c>
      <c r="AI36" s="12">
        <v>0</v>
      </c>
      <c r="AJ36" s="12">
        <v>0.18922078115975399</v>
      </c>
      <c r="AK36" s="12">
        <v>1.2316916271155101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29.835530768154101</v>
      </c>
      <c r="AV36" s="12">
        <v>0</v>
      </c>
      <c r="AW36" s="12">
        <v>0</v>
      </c>
      <c r="AX36" s="12">
        <v>44.597465768952603</v>
      </c>
      <c r="AY36" s="12">
        <v>0</v>
      </c>
      <c r="AZ36" s="12">
        <v>0</v>
      </c>
      <c r="BA36" s="12">
        <v>6.6672719911060501</v>
      </c>
      <c r="BB36" s="12">
        <v>0.21004984037577701</v>
      </c>
      <c r="BC36" s="12">
        <v>0.81139689381720903</v>
      </c>
      <c r="BD36" s="12">
        <v>0.14267800338904901</v>
      </c>
    </row>
    <row r="37" spans="1:56" ht="11.25" customHeight="1" x14ac:dyDescent="0.25">
      <c r="A37" s="150"/>
      <c r="B37" s="150"/>
      <c r="C37" s="150"/>
      <c r="D37" s="18" t="s">
        <v>30</v>
      </c>
      <c r="E37" s="18" t="s">
        <v>25</v>
      </c>
      <c r="F37" s="18" t="s">
        <v>25</v>
      </c>
      <c r="G37" s="17" t="s">
        <v>75</v>
      </c>
      <c r="H37" s="17" t="s">
        <v>71</v>
      </c>
      <c r="I37" s="17">
        <f>'MERCADO TUSD'!$U$34</f>
        <v>0</v>
      </c>
      <c r="J37" s="15"/>
      <c r="L37" s="12">
        <f>('TUSD BE'!$L$37+'TUSD BF'!$L$37+'TUSD CVA'!$L$37)*(1 - 0.4)</f>
        <v>0</v>
      </c>
      <c r="M37" s="12">
        <f>('TUSD BE'!$M$37+'TUSD BF'!$M$37+'TUSD CVA'!$M$37)*(1 - 0.4)</f>
        <v>0.34893928356440579</v>
      </c>
      <c r="N37" s="12">
        <f ca="1">('TUSD BE'!$N$37+'TUSD BF'!$N$37+'TUSD CVA'!$N$37)*(1 - 0.4)</f>
        <v>2.3582187626922626</v>
      </c>
      <c r="O37" s="12">
        <f>('TUSD BE'!$O$37+'TUSD BF'!$O$37+'TUSD CVA'!$O$37)*(1 - 0.4)</f>
        <v>0</v>
      </c>
      <c r="P37" s="12">
        <v>0</v>
      </c>
      <c r="Q37" s="12">
        <f>('TUSD BE'!$Q$37+'TUSD BF'!$Q$37+'TUSD CVA'!$Q$37)*(1 - 0.4)</f>
        <v>0</v>
      </c>
      <c r="R37" s="12">
        <v>0</v>
      </c>
      <c r="S37" s="12">
        <f>('TUSD BE'!$S$37+'TUSD BF'!$S$37+'TUSD CVA'!$S$37)*(1 - 0.4)</f>
        <v>0</v>
      </c>
      <c r="T37" s="12">
        <f>('TUSD BE'!$U$37+'TUSD BF'!$U$37+'TUSD CVA'!$U$37)*(1 - 0.4)</f>
        <v>0</v>
      </c>
      <c r="U37" s="12">
        <f>('TUSD BE'!$V$37+'TUSD BF'!$V$37+'TUSD CVA'!$V$37)*(1 - 0.4)</f>
        <v>0</v>
      </c>
      <c r="V37" s="12">
        <f>('TUSD BE'!$W$37+'TUSD BF'!$W$37+'TUSD CVA'!$W$37)*(1 - 0.4)</f>
        <v>0</v>
      </c>
      <c r="W37" s="12">
        <f>('TUSD BE'!$X$37+'TUSD BF'!$X$37+'TUSD CVA'!$X$37)*(1 - 0.4)</f>
        <v>0</v>
      </c>
      <c r="X37" s="12">
        <f>('TUSD BE'!$Y$37+'TUSD BF'!$Y$37+'TUSD CVA'!$Y$37)*(1 - 0.4)</f>
        <v>49.638065635615753</v>
      </c>
      <c r="Y37" s="12">
        <f>('TUSD BE'!$Z$37+'TUSD BF'!$Z$37+'TUSD CVA'!$Z$37)*(1 - 0.4)</f>
        <v>0</v>
      </c>
      <c r="Z37" s="12">
        <f>('TUSD BE'!$AA$37+'TUSD BF'!$AA$37+'TUSD CVA'!$AA$37)*(1 - 0.4)</f>
        <v>0</v>
      </c>
      <c r="AA37" s="12">
        <f>('TUSD BE'!$AC$37+'TUSD BF'!$AC$37+'TUSD CVA'!$AC$37)*(1 - 0.4)</f>
        <v>80.647625562081103</v>
      </c>
      <c r="AB37" s="12">
        <f ca="1">('TUSD BE'!$AE$37+'TUSD BF'!$AE$37+'TUSD CVA'!$AE$37)*(1 - 0.4)</f>
        <v>0</v>
      </c>
      <c r="AC37" s="12">
        <f ca="1">('TUSD BE'!$AF$37+'TUSD BF'!$AF$37+'TUSD CVA'!$AF$37)*(1 - 0.4)</f>
        <v>0</v>
      </c>
      <c r="AD37" s="12">
        <f>('TUSD BE'!$AH$37+'TUSD BF'!$AH$37+'TUSD CVA'!$AH$37)*(1 - 0.4)</f>
        <v>10.481877855649339</v>
      </c>
      <c r="AE37" s="12">
        <f>('TUSD BE'!$AI$37+'TUSD BF'!$AI$37+'TUSD CVA'!$AI$37)*(1 - 0.4)</f>
        <v>0.38520247320938744</v>
      </c>
      <c r="AF37" s="12">
        <f ca="1">('TUSD BE'!$AJ$37+'TUSD BF'!$AJ$37+'TUSD CVA'!$AJ$37)*(1 - 0.4)</f>
        <v>1.1439692038694729</v>
      </c>
      <c r="AG37" s="12">
        <f ca="1">('TUSD BE'!$AK$37+'TUSD BF'!$AK$37+'TUSD CVA'!$AK$37)*(1 - 0.4)</f>
        <v>0.20828333631563956</v>
      </c>
      <c r="AI37" s="12">
        <v>0</v>
      </c>
      <c r="AJ37" s="12">
        <v>0.324378481988149</v>
      </c>
      <c r="AK37" s="12">
        <v>2.11147136076944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51.146624173978402</v>
      </c>
      <c r="AV37" s="12">
        <v>0</v>
      </c>
      <c r="AW37" s="12">
        <v>0</v>
      </c>
      <c r="AX37" s="12">
        <v>76.452798461061704</v>
      </c>
      <c r="AY37" s="12">
        <v>0</v>
      </c>
      <c r="AZ37" s="12">
        <v>0</v>
      </c>
      <c r="BA37" s="12">
        <v>11.4296091276104</v>
      </c>
      <c r="BB37" s="12">
        <v>0.36008544064418901</v>
      </c>
      <c r="BC37" s="12">
        <v>1.3909661036866401</v>
      </c>
      <c r="BD37" s="12">
        <v>0.244590862952656</v>
      </c>
    </row>
    <row r="38" spans="1:56" ht="11.25" customHeight="1" x14ac:dyDescent="0.25">
      <c r="A38" s="150"/>
      <c r="B38" s="150"/>
      <c r="C38" s="150"/>
      <c r="D38" s="18" t="s">
        <v>31</v>
      </c>
      <c r="E38" s="18" t="s">
        <v>25</v>
      </c>
      <c r="F38" s="18" t="s">
        <v>25</v>
      </c>
      <c r="G38" s="17" t="s">
        <v>75</v>
      </c>
      <c r="H38" s="17" t="s">
        <v>71</v>
      </c>
      <c r="I38" s="17">
        <f>'MERCADO TUSD'!$U$35</f>
        <v>0</v>
      </c>
      <c r="J38" s="15"/>
      <c r="L38" s="12">
        <f>('TUSD BE'!$L$38+'TUSD BF'!$L$38+'TUSD CVA'!$L$38)*(1 - 0.1)</f>
        <v>0</v>
      </c>
      <c r="M38" s="12">
        <f>('TUSD BE'!$M$38+'TUSD BF'!$M$38+'TUSD CVA'!$M$38)*(1 - 0.1)</f>
        <v>0.52340892534660877</v>
      </c>
      <c r="N38" s="12">
        <f ca="1">('TUSD BE'!$N$38+'TUSD BF'!$N$38+'TUSD CVA'!$N$38)*(1 - 0.1)</f>
        <v>3.5373281440383941</v>
      </c>
      <c r="O38" s="12">
        <f>('TUSD BE'!$O$38+'TUSD BF'!$O$38+'TUSD CVA'!$O$38)*(1 - 0.1)</f>
        <v>0</v>
      </c>
      <c r="P38" s="12">
        <v>0</v>
      </c>
      <c r="Q38" s="12">
        <f>('TUSD BE'!$Q$38+'TUSD BF'!$Q$38+'TUSD CVA'!$Q$38)*(1 - 0.1)</f>
        <v>0</v>
      </c>
      <c r="R38" s="12">
        <v>0</v>
      </c>
      <c r="S38" s="12">
        <f>('TUSD BE'!$S$38+'TUSD BF'!$S$38+'TUSD CVA'!$S$38)*(1 - 0.1)</f>
        <v>0</v>
      </c>
      <c r="T38" s="12">
        <f>('TUSD BE'!$U$38+'TUSD BF'!$U$38+'TUSD CVA'!$U$38)*(1 - 0.1)</f>
        <v>0</v>
      </c>
      <c r="U38" s="12">
        <f>('TUSD BE'!$V$38+'TUSD BF'!$V$38+'TUSD CVA'!$V$38)*(1 - 0.1)</f>
        <v>0</v>
      </c>
      <c r="V38" s="12">
        <f>('TUSD BE'!$W$38+'TUSD BF'!$W$38+'TUSD CVA'!$W$38)*(1 - 0.1)</f>
        <v>0</v>
      </c>
      <c r="W38" s="12">
        <f>('TUSD BE'!$X$38+'TUSD BF'!$X$38+'TUSD CVA'!$X$38)*(1 - 0.1)</f>
        <v>0</v>
      </c>
      <c r="X38" s="12">
        <f>('TUSD BE'!$Y$38+'TUSD BF'!$Y$38+'TUSD CVA'!$Y$38)*(1 - 0.1)</f>
        <v>74.45709845342364</v>
      </c>
      <c r="Y38" s="12">
        <f>('TUSD BE'!$Z$38+'TUSD BF'!$Z$38+'TUSD CVA'!$Z$38)*(1 - 0.1)</f>
        <v>0</v>
      </c>
      <c r="Z38" s="12">
        <f>('TUSD BE'!$AA$38+'TUSD BF'!$AA$38+'TUSD CVA'!$AA$38)*(1 - 0.1)</f>
        <v>0</v>
      </c>
      <c r="AA38" s="12">
        <f>('TUSD BE'!$AC$38+'TUSD BF'!$AC$38+'TUSD CVA'!$AC$38)*(1 - 0.1)</f>
        <v>120.97143834312165</v>
      </c>
      <c r="AB38" s="12">
        <f ca="1">('TUSD BE'!$AE$38+'TUSD BF'!$AE$38+'TUSD CVA'!$AE$38)*(1 - 0.1)</f>
        <v>0</v>
      </c>
      <c r="AC38" s="12">
        <f ca="1">('TUSD BE'!$AF$38+'TUSD BF'!$AF$38+'TUSD CVA'!$AF$38)*(1 - 0.1)</f>
        <v>0</v>
      </c>
      <c r="AD38" s="12">
        <f>('TUSD BE'!$AH$38+'TUSD BF'!$AH$38+'TUSD CVA'!$AH$38)*(1 - 0.1)</f>
        <v>15.722816783474011</v>
      </c>
      <c r="AE38" s="12">
        <f>('TUSD BE'!$AI$38+'TUSD BF'!$AI$38+'TUSD CVA'!$AI$38)*(1 - 0.1)</f>
        <v>0.57780370981408113</v>
      </c>
      <c r="AF38" s="12">
        <f ca="1">('TUSD BE'!$AJ$38+'TUSD BF'!$AJ$38+'TUSD CVA'!$AJ$38)*(1 - 0.1)</f>
        <v>1.7159538058042094</v>
      </c>
      <c r="AG38" s="12">
        <f ca="1">('TUSD BE'!$AK$38+'TUSD BF'!$AK$38+'TUSD CVA'!$AK$38)*(1 - 0.1)</f>
        <v>0.31242500447345933</v>
      </c>
      <c r="AI38" s="12">
        <v>0</v>
      </c>
      <c r="AJ38" s="12">
        <v>0.486567722982224</v>
      </c>
      <c r="AK38" s="12">
        <v>3.16720704115416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76.7199362609676</v>
      </c>
      <c r="AV38" s="12">
        <v>0</v>
      </c>
      <c r="AW38" s="12">
        <v>0</v>
      </c>
      <c r="AX38" s="12">
        <v>114.679197691593</v>
      </c>
      <c r="AY38" s="12">
        <v>0</v>
      </c>
      <c r="AZ38" s="12">
        <v>0</v>
      </c>
      <c r="BA38" s="12">
        <v>17.1444136914156</v>
      </c>
      <c r="BB38" s="12">
        <v>0.54012816096628402</v>
      </c>
      <c r="BC38" s="12">
        <v>2.0864491555299698</v>
      </c>
      <c r="BD38" s="12">
        <v>0.36688629442898402</v>
      </c>
    </row>
    <row r="39" spans="1:56" ht="11.25" customHeight="1" x14ac:dyDescent="0.25">
      <c r="A39" s="150"/>
      <c r="B39" s="150"/>
      <c r="C39" s="150"/>
      <c r="D39" s="18" t="s">
        <v>32</v>
      </c>
      <c r="E39" s="18" t="s">
        <v>25</v>
      </c>
      <c r="F39" s="18" t="s">
        <v>25</v>
      </c>
      <c r="G39" s="17" t="s">
        <v>75</v>
      </c>
      <c r="H39" s="17" t="s">
        <v>71</v>
      </c>
      <c r="I39" s="17">
        <f>'MERCADO TUSD'!$U$36</f>
        <v>0</v>
      </c>
      <c r="J39" s="15"/>
      <c r="L39" s="12">
        <f>('TUSD BE'!$L$39+'TUSD BF'!$L$39+'TUSD CVA'!$L$39)*1</f>
        <v>0</v>
      </c>
      <c r="M39" s="12">
        <f>('TUSD BE'!$M$39+'TUSD BF'!$M$39+'TUSD CVA'!$M$39)*1</f>
        <v>0.58156547260734304</v>
      </c>
      <c r="N39" s="12">
        <f ca="1">('TUSD BE'!$N$39+'TUSD BF'!$N$39+'TUSD CVA'!$N$39)*1</f>
        <v>3.9303646044871043</v>
      </c>
      <c r="O39" s="12">
        <f>('TUSD BE'!$O$39+'TUSD BF'!$O$39+'TUSD CVA'!$O$39)*1</f>
        <v>0</v>
      </c>
      <c r="P39" s="12">
        <v>0</v>
      </c>
      <c r="Q39" s="12">
        <f>('TUSD BE'!$Q$39+'TUSD BF'!$Q$39+'TUSD CVA'!$Q$39)*1</f>
        <v>0</v>
      </c>
      <c r="R39" s="12">
        <v>0</v>
      </c>
      <c r="S39" s="12">
        <f>('TUSD BE'!$S$39+'TUSD BF'!$S$39+'TUSD CVA'!$S$39)*1</f>
        <v>0</v>
      </c>
      <c r="T39" s="12">
        <f>('TUSD BE'!$U$39+'TUSD BF'!$U$39+'TUSD CVA'!$U$39)*1</f>
        <v>0</v>
      </c>
      <c r="U39" s="12">
        <f>('TUSD BE'!$V$39+'TUSD BF'!$V$39+'TUSD CVA'!$V$39)*1</f>
        <v>0</v>
      </c>
      <c r="V39" s="12">
        <f>('TUSD BE'!$W$39+'TUSD BF'!$W$39+'TUSD CVA'!$W$39)*1</f>
        <v>0</v>
      </c>
      <c r="W39" s="12">
        <f>('TUSD BE'!$X$39+'TUSD BF'!$X$39+'TUSD CVA'!$X$39)*1</f>
        <v>0</v>
      </c>
      <c r="X39" s="12">
        <f>('TUSD BE'!$Y$39+'TUSD BF'!$Y$39+'TUSD CVA'!$Y$39)*1</f>
        <v>82.730109392692924</v>
      </c>
      <c r="Y39" s="12">
        <f>('TUSD BE'!$Z$39+'TUSD BF'!$Z$39+'TUSD CVA'!$Z$39)*1</f>
        <v>0</v>
      </c>
      <c r="Z39" s="12">
        <f>('TUSD BE'!$AA$39+'TUSD BF'!$AA$39+'TUSD CVA'!$AA$39)*1</f>
        <v>0</v>
      </c>
      <c r="AA39" s="12">
        <f>('TUSD BE'!$AC$39+'TUSD BF'!$AC$39+'TUSD CVA'!$AC$39)*1</f>
        <v>134.41270927013517</v>
      </c>
      <c r="AB39" s="12">
        <f ca="1">('TUSD BE'!$AE$39+'TUSD BF'!$AE$39+'TUSD CVA'!$AE$39)*1</f>
        <v>0</v>
      </c>
      <c r="AC39" s="12">
        <f ca="1">('TUSD BE'!$AF$39+'TUSD BF'!$AF$39+'TUSD CVA'!$AF$39)*1</f>
        <v>0</v>
      </c>
      <c r="AD39" s="12">
        <f>('TUSD BE'!$AH$39+'TUSD BF'!$AH$39+'TUSD CVA'!$AH$39)*1</f>
        <v>17.469796426082233</v>
      </c>
      <c r="AE39" s="12">
        <f>('TUSD BE'!$AI$39+'TUSD BF'!$AI$39+'TUSD CVA'!$AI$39)*1</f>
        <v>0.64200412201564572</v>
      </c>
      <c r="AF39" s="12">
        <f ca="1">('TUSD BE'!$AJ$39+'TUSD BF'!$AJ$39+'TUSD CVA'!$AJ$39)*1</f>
        <v>1.9066153397824548</v>
      </c>
      <c r="AG39" s="12">
        <f ca="1">('TUSD BE'!$AK$39+'TUSD BF'!$AK$39+'TUSD CVA'!$AK$39)*1</f>
        <v>0.34713889385939928</v>
      </c>
      <c r="AI39" s="12">
        <v>0</v>
      </c>
      <c r="AJ39" s="12">
        <v>0.54063080331358204</v>
      </c>
      <c r="AK39" s="12">
        <v>3.5191189346157299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85.244373623297307</v>
      </c>
      <c r="AV39" s="12">
        <v>0</v>
      </c>
      <c r="AW39" s="12">
        <v>0</v>
      </c>
      <c r="AX39" s="12">
        <v>127.42133076843599</v>
      </c>
      <c r="AY39" s="12">
        <v>0</v>
      </c>
      <c r="AZ39" s="12">
        <v>0</v>
      </c>
      <c r="BA39" s="12">
        <v>19.049348546017299</v>
      </c>
      <c r="BB39" s="12">
        <v>0.60014240107364802</v>
      </c>
      <c r="BC39" s="12">
        <v>2.3182768394777402</v>
      </c>
      <c r="BD39" s="12">
        <v>0.40765143825442701</v>
      </c>
    </row>
    <row r="40" spans="1:56" ht="11.25" customHeight="1" x14ac:dyDescent="0.25">
      <c r="A40" s="150" t="s">
        <v>44</v>
      </c>
      <c r="B40" s="150" t="s">
        <v>36</v>
      </c>
      <c r="C40" s="150" t="s">
        <v>45</v>
      </c>
      <c r="D40" s="150" t="s">
        <v>25</v>
      </c>
      <c r="E40" s="150" t="s">
        <v>25</v>
      </c>
      <c r="F40" s="150" t="s">
        <v>25</v>
      </c>
      <c r="G40" s="17" t="s">
        <v>72</v>
      </c>
      <c r="H40" s="17" t="s">
        <v>71</v>
      </c>
      <c r="I40" s="17">
        <f>'MERCADO TUSD'!$U$37</f>
        <v>0</v>
      </c>
      <c r="J40" s="15"/>
      <c r="L40" s="12">
        <f>('TUSD BE'!$L$40+'TUSD BF'!$L$40+'TUSD CVA'!$L$40)*(1 - CUSTOS!$M$38)</f>
        <v>1.2498067471371528</v>
      </c>
      <c r="M40" s="12">
        <f>('TUSD BE'!$M$40+'TUSD BF'!$M$40+'TUSD CVA'!$M$40)*(1 - CUSTOS!$M$38)</f>
        <v>0.54667154425090247</v>
      </c>
      <c r="N40" s="12">
        <f ca="1">('TUSD BE'!$N$40+'TUSD BF'!$N$40+'TUSD CVA'!$N$40)*(1 - CUSTOS!$M$38)</f>
        <v>17.055075991331542</v>
      </c>
      <c r="O40" s="12">
        <f>('TUSD BE'!$O$40+'TUSD BF'!$O$40+'TUSD CVA'!$O$40)*(1 - CUSTOS!$M$38)</f>
        <v>0</v>
      </c>
      <c r="P40" s="12">
        <f>('TUSD BE'!$P$40+'TUSD BF'!$P$40+'TUSD CVA'!$P$40)*(1 - CUSTOS!$M$38)</f>
        <v>0</v>
      </c>
      <c r="Q40" s="12">
        <f>('TUSD BE'!$Q$40+'TUSD BF'!$Q$40+'TUSD CVA'!$Q$40)*(1 - CUSTOS!$M$38)</f>
        <v>95.756276084965521</v>
      </c>
      <c r="R40" s="12">
        <f>('TUSD BE'!$R$40+'TUSD BF'!$R$40+'TUSD CVA'!$R$40)*(1 - CUSTOS!$M$38)</f>
        <v>16.216341308615792</v>
      </c>
      <c r="S40" s="12">
        <f>('TUSD BE'!$S$40+'TUSD BF'!$S$40+'TUSD CVA'!$S$40)*(1 - CUSTOS!$M$38)</f>
        <v>0</v>
      </c>
      <c r="T40" s="12">
        <f>('TUSD BE'!$U$40+'TUSD BF'!$U$40+'TUSD CVA'!$U$40)*(1 - CUSTOS!$M$38)</f>
        <v>0</v>
      </c>
      <c r="U40" s="12">
        <f>('TUSD BE'!$V$40+'TUSD BF'!$V$40+'TUSD CVA'!$V$40)*(1 - CUSTOS!$M$38)</f>
        <v>0</v>
      </c>
      <c r="V40" s="12">
        <f>('TUSD BE'!$W$40+'TUSD BF'!$W$40+'TUSD CVA'!$W$40)*(1 - CUSTOS!$M$38)</f>
        <v>0</v>
      </c>
      <c r="W40" s="12">
        <f>('TUSD BE'!$X$40+'TUSD BF'!$X$40+'TUSD CVA'!$X$40)*(1 - CUSTOS!$M$38)</f>
        <v>0</v>
      </c>
      <c r="X40" s="12">
        <f>('TUSD BE'!$Y$40+'TUSD BF'!$Y$40+'TUSD CVA'!$Y$40)*(1 - CUSTOS!$M$38)</f>
        <v>419.93788884613338</v>
      </c>
      <c r="Y40" s="12">
        <f>('TUSD BE'!$Z$40+'TUSD BF'!$Z$40+'TUSD CVA'!$Z$40)*(1 - CUSTOS!$M$38)</f>
        <v>0</v>
      </c>
      <c r="Z40" s="12">
        <f>('TUSD BE'!$AA$40+'TUSD BF'!$AA$40+'TUSD CVA'!$AA$40)*(1 - CUSTOS!$M$38)</f>
        <v>0</v>
      </c>
      <c r="AA40" s="12">
        <f>('TUSD BE'!$AC$40+'TUSD BF'!$AC$40+'TUSD CVA'!$AC$40)*(1 - CUSTOS!$M$38)</f>
        <v>682.2791763802295</v>
      </c>
      <c r="AB40" s="12">
        <f ca="1">('TUSD BE'!$AE$40+'TUSD BF'!$AE$40+'TUSD CVA'!$AE$40)*(1 - CUSTOS!$M$38)</f>
        <v>0</v>
      </c>
      <c r="AC40" s="12">
        <f ca="1">('TUSD BE'!$AF$40+'TUSD BF'!$AF$40+'TUSD CVA'!$AF$40)*(1 - CUSTOS!$M$38)</f>
        <v>0</v>
      </c>
      <c r="AD40" s="12">
        <f>('TUSD BE'!$AH$40+'TUSD BF'!$AH$40+'TUSD CVA'!$AH$40)*(1 - CUSTOS!$M$38)</f>
        <v>16.421608640517299</v>
      </c>
      <c r="AE40" s="12">
        <f>('TUSD BE'!$AI$40+'TUSD BF'!$AI$40+'TUSD CVA'!$AI$40)*(1 - CUSTOS!$M$38)</f>
        <v>0.60348387469470699</v>
      </c>
      <c r="AF40" s="12">
        <f ca="1">('TUSD BE'!$AJ$40+'TUSD BF'!$AJ$40+'TUSD CVA'!$AJ$40)*(1 - CUSTOS!$M$38)</f>
        <v>1.7922184193955073</v>
      </c>
      <c r="AG40" s="12">
        <f ca="1">('TUSD BE'!$AK$40+'TUSD BF'!$AK$40+'TUSD CVA'!$AK$40)*(1 - CUSTOS!$M$38)</f>
        <v>0.32631056022783528</v>
      </c>
      <c r="AI40" s="12">
        <v>2.9400504346576399</v>
      </c>
      <c r="AJ40" s="12">
        <v>0.47575510691595202</v>
      </c>
      <c r="AK40" s="12">
        <v>14.3376132428521</v>
      </c>
      <c r="AL40" s="12">
        <v>0</v>
      </c>
      <c r="AM40" s="12">
        <v>0</v>
      </c>
      <c r="AN40" s="12">
        <v>50.493115599000397</v>
      </c>
      <c r="AO40" s="12">
        <v>7.8609851166218299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405.08112220724598</v>
      </c>
      <c r="AV40" s="12">
        <v>0</v>
      </c>
      <c r="AW40" s="12">
        <v>0</v>
      </c>
      <c r="AX40" s="12">
        <v>605.50639821622894</v>
      </c>
      <c r="AY40" s="12">
        <v>0</v>
      </c>
      <c r="AZ40" s="12">
        <v>0</v>
      </c>
      <c r="BA40" s="12">
        <v>16.7634267204952</v>
      </c>
      <c r="BB40" s="12">
        <v>0.52812531294481102</v>
      </c>
      <c r="BC40" s="12">
        <v>2.0400836187404101</v>
      </c>
      <c r="BD40" s="12">
        <v>0.35873326566389602</v>
      </c>
    </row>
    <row r="41" spans="1:56" ht="11.25" customHeight="1" x14ac:dyDescent="0.25">
      <c r="A41" s="150"/>
      <c r="B41" s="150"/>
      <c r="C41" s="150"/>
      <c r="D41" s="150"/>
      <c r="E41" s="150"/>
      <c r="F41" s="150"/>
      <c r="G41" s="17" t="s">
        <v>84</v>
      </c>
      <c r="H41" s="17" t="s">
        <v>71</v>
      </c>
      <c r="I41" s="17">
        <f>'MERCADO TUSD'!$U$38</f>
        <v>0</v>
      </c>
      <c r="J41" s="15"/>
      <c r="L41" s="12">
        <f>('TUSD BE'!$L$41+'TUSD BF'!$L$41+'TUSD CVA'!$L$41)*(1 - CUSTOS!$M$38)</f>
        <v>1.2498067471371528</v>
      </c>
      <c r="M41" s="12">
        <f>('TUSD BE'!$M$41+'TUSD BF'!$M$41+'TUSD CVA'!$M$41)*(1 - CUSTOS!$M$38)</f>
        <v>0.54667154425090247</v>
      </c>
      <c r="N41" s="12">
        <f ca="1">('TUSD BE'!$N$41+'TUSD BF'!$N$41+'TUSD CVA'!$N$41)*(1 - CUSTOS!$M$38)</f>
        <v>5.5917563344380428</v>
      </c>
      <c r="O41" s="12">
        <f>('TUSD BE'!$O$41+'TUSD BF'!$O$41+'TUSD CVA'!$O$41)*(1 - CUSTOS!$M$38)</f>
        <v>0</v>
      </c>
      <c r="P41" s="12">
        <f>('TUSD BE'!$P$41+'TUSD BF'!$P$41+'TUSD CVA'!$P$41)*(1 - CUSTOS!$M$38)</f>
        <v>0</v>
      </c>
      <c r="Q41" s="12">
        <f>('TUSD BE'!$Q$41+'TUSD BF'!$Q$41+'TUSD CVA'!$Q$41)*(1 - CUSTOS!$M$38)</f>
        <v>95.756276084965521</v>
      </c>
      <c r="R41" s="12">
        <f>('TUSD BE'!$R$41+'TUSD BF'!$R$41+'TUSD CVA'!$R$41)*(1 - CUSTOS!$M$38)</f>
        <v>16.216341308615792</v>
      </c>
      <c r="S41" s="12">
        <f>('TUSD BE'!$S$41+'TUSD BF'!$S$41+'TUSD CVA'!$S$41)*(1 - CUSTOS!$M$38)</f>
        <v>0</v>
      </c>
      <c r="T41" s="12">
        <f>('TUSD BE'!$U$41+'TUSD BF'!$U$41+'TUSD CVA'!$U$41)*(1 - CUSTOS!$M$38)</f>
        <v>0</v>
      </c>
      <c r="U41" s="12">
        <f>('TUSD BE'!$V$41+'TUSD BF'!$V$41+'TUSD CVA'!$V$41)*(1 - CUSTOS!$M$38)</f>
        <v>0</v>
      </c>
      <c r="V41" s="12">
        <f>('TUSD BE'!$W$41+'TUSD BF'!$W$41+'TUSD CVA'!$W$41)*(1 - CUSTOS!$M$38)</f>
        <v>0</v>
      </c>
      <c r="W41" s="12">
        <f>('TUSD BE'!$X$41+'TUSD BF'!$X$41+'TUSD CVA'!$X$41)*(1 - CUSTOS!$M$38)</f>
        <v>0</v>
      </c>
      <c r="X41" s="12">
        <f>('TUSD BE'!$Y$41+'TUSD BF'!$Y$41+'TUSD CVA'!$Y$41)*(1 - CUSTOS!$M$38)</f>
        <v>125.98133004604601</v>
      </c>
      <c r="Y41" s="12">
        <f>('TUSD BE'!$Z$41+'TUSD BF'!$Z$41+'TUSD CVA'!$Z$41)*(1 - CUSTOS!$M$38)</f>
        <v>0</v>
      </c>
      <c r="Z41" s="12">
        <f>('TUSD BE'!$AA$41+'TUSD BF'!$AA$41+'TUSD CVA'!$AA$41)*(1 - CUSTOS!$M$38)</f>
        <v>0</v>
      </c>
      <c r="AA41" s="12">
        <f>('TUSD BE'!$AC$41+'TUSD BF'!$AC$41+'TUSD CVA'!$AC$41)*(1 - CUSTOS!$M$38)</f>
        <v>204.68379693490607</v>
      </c>
      <c r="AB41" s="12">
        <f ca="1">('TUSD BE'!$AE$41+'TUSD BF'!$AE$41+'TUSD CVA'!$AE$41)*(1 - CUSTOS!$M$38)</f>
        <v>0</v>
      </c>
      <c r="AC41" s="12">
        <f ca="1">('TUSD BE'!$AF$41+'TUSD BF'!$AF$41+'TUSD CVA'!$AF$41)*(1 - CUSTOS!$M$38)</f>
        <v>0</v>
      </c>
      <c r="AD41" s="12">
        <f>('TUSD BE'!$AH$41+'TUSD BF'!$AH$41+'TUSD CVA'!$AH$41)*(1 - CUSTOS!$M$38)</f>
        <v>16.421608640517299</v>
      </c>
      <c r="AE41" s="12">
        <f>('TUSD BE'!$AI$41+'TUSD BF'!$AI$41+'TUSD CVA'!$AI$41)*(1 - CUSTOS!$M$38)</f>
        <v>0.60348387469470699</v>
      </c>
      <c r="AF41" s="12">
        <f ca="1">('TUSD BE'!$AJ$41+'TUSD BF'!$AJ$41+'TUSD CVA'!$AJ$41)*(1 - CUSTOS!$M$38)</f>
        <v>1.7922184193955073</v>
      </c>
      <c r="AG41" s="12">
        <f ca="1">('TUSD BE'!$AK$41+'TUSD BF'!$AK$41+'TUSD CVA'!$AK$41)*(1 - CUSTOS!$M$38)</f>
        <v>0.32631056022783528</v>
      </c>
      <c r="AI41" s="12">
        <v>2.9400504346576399</v>
      </c>
      <c r="AJ41" s="12">
        <v>0.47575510691595202</v>
      </c>
      <c r="AK41" s="12">
        <v>4.6930316864912598</v>
      </c>
      <c r="AL41" s="12">
        <v>0</v>
      </c>
      <c r="AM41" s="12">
        <v>0</v>
      </c>
      <c r="AN41" s="12">
        <v>50.493115599000397</v>
      </c>
      <c r="AO41" s="12">
        <v>7.8609851166218299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121.52430134950799</v>
      </c>
      <c r="AV41" s="12">
        <v>0</v>
      </c>
      <c r="AW41" s="12">
        <v>0</v>
      </c>
      <c r="AX41" s="12">
        <v>181.651958532306</v>
      </c>
      <c r="AY41" s="12">
        <v>0</v>
      </c>
      <c r="AZ41" s="12">
        <v>0</v>
      </c>
      <c r="BA41" s="12">
        <v>16.7634267204952</v>
      </c>
      <c r="BB41" s="12">
        <v>0.52812531294481102</v>
      </c>
      <c r="BC41" s="12">
        <v>2.0400836187404101</v>
      </c>
      <c r="BD41" s="12">
        <v>0.35873326566389602</v>
      </c>
    </row>
    <row r="42" spans="1:56" ht="11.25" customHeight="1" x14ac:dyDescent="0.25">
      <c r="A42" s="150"/>
      <c r="B42" s="150"/>
      <c r="C42" s="150"/>
      <c r="D42" s="150"/>
      <c r="E42" s="150"/>
      <c r="F42" s="150"/>
      <c r="G42" s="17" t="s">
        <v>73</v>
      </c>
      <c r="H42" s="17" t="s">
        <v>71</v>
      </c>
      <c r="I42" s="17">
        <f>'MERCADO TUSD'!$U$39</f>
        <v>0</v>
      </c>
      <c r="J42" s="15"/>
      <c r="L42" s="12">
        <f>('TUSD BE'!$L$42+'TUSD BF'!$L$42+'TUSD CVA'!$L$42)*(1 - CUSTOS!$M$38)</f>
        <v>1.2498067471371528</v>
      </c>
      <c r="M42" s="12">
        <f>('TUSD BE'!$M$42+'TUSD BF'!$M$42+'TUSD CVA'!$M$42)*(1 - CUSTOS!$M$38)</f>
        <v>0.54667154425090247</v>
      </c>
      <c r="N42" s="12">
        <f ca="1">('TUSD BE'!$N$42+'TUSD BF'!$N$42+'TUSD CVA'!$N$42)*(1 - CUSTOS!$M$38)</f>
        <v>2.3165214187828678</v>
      </c>
      <c r="O42" s="12">
        <f>('TUSD BE'!$O$42+'TUSD BF'!$O$42+'TUSD CVA'!$O$42)*(1 - CUSTOS!$M$38)</f>
        <v>0</v>
      </c>
      <c r="P42" s="12">
        <f>('TUSD BE'!$P$42+'TUSD BF'!$P$42+'TUSD CVA'!$P$42)*(1 - CUSTOS!$M$38)</f>
        <v>0</v>
      </c>
      <c r="Q42" s="12">
        <f>('TUSD BE'!$Q$42+'TUSD BF'!$Q$42+'TUSD CVA'!$Q$42)*(1 - CUSTOS!$M$38)</f>
        <v>95.756276084965521</v>
      </c>
      <c r="R42" s="12">
        <f>('TUSD BE'!$R$42+'TUSD BF'!$R$42+'TUSD CVA'!$R$42)*(1 - CUSTOS!$M$38)</f>
        <v>16.216341308615792</v>
      </c>
      <c r="S42" s="12">
        <f>('TUSD BE'!$S$42+'TUSD BF'!$S$42+'TUSD CVA'!$S$42)*(1 - CUSTOS!$M$38)</f>
        <v>0</v>
      </c>
      <c r="T42" s="12">
        <f>('TUSD BE'!$U$42+'TUSD BF'!$U$42+'TUSD CVA'!$U$42)*(1 - CUSTOS!$M$38)</f>
        <v>0</v>
      </c>
      <c r="U42" s="12">
        <f>('TUSD BE'!$V$42+'TUSD BF'!$V$42+'TUSD CVA'!$V$42)*(1 - CUSTOS!$M$38)</f>
        <v>0</v>
      </c>
      <c r="V42" s="12">
        <f>('TUSD BE'!$W$42+'TUSD BF'!$W$42+'TUSD CVA'!$W$42)*(1 - CUSTOS!$M$38)</f>
        <v>0</v>
      </c>
      <c r="W42" s="12">
        <f>('TUSD BE'!$X$42+'TUSD BF'!$X$42+'TUSD CVA'!$X$42)*(1 - CUSTOS!$M$38)</f>
        <v>0</v>
      </c>
      <c r="X42" s="12">
        <f>('TUSD BE'!$Y$42+'TUSD BF'!$Y$42+'TUSD CVA'!$Y$42)*(1 - CUSTOS!$M$38)</f>
        <v>41.993776682015344</v>
      </c>
      <c r="Y42" s="12">
        <f>('TUSD BE'!$Z$42+'TUSD BF'!$Z$42+'TUSD CVA'!$Z$42)*(1 - CUSTOS!$M$38)</f>
        <v>0</v>
      </c>
      <c r="Z42" s="12">
        <f>('TUSD BE'!$AA$42+'TUSD BF'!$AA$42+'TUSD CVA'!$AA$42)*(1 - CUSTOS!$M$38)</f>
        <v>0</v>
      </c>
      <c r="AA42" s="12">
        <f>('TUSD BE'!$AC$42+'TUSD BF'!$AC$42+'TUSD CVA'!$AC$42)*(1 - CUSTOS!$M$38)</f>
        <v>68.227895627604326</v>
      </c>
      <c r="AB42" s="12">
        <f ca="1">('TUSD BE'!$AE$42+'TUSD BF'!$AE$42+'TUSD CVA'!$AE$42)*(1 - CUSTOS!$M$38)</f>
        <v>0</v>
      </c>
      <c r="AC42" s="12">
        <f ca="1">('TUSD BE'!$AF$42+'TUSD BF'!$AF$42+'TUSD CVA'!$AF$42)*(1 - CUSTOS!$M$38)</f>
        <v>0</v>
      </c>
      <c r="AD42" s="12">
        <f>('TUSD BE'!$AH$42+'TUSD BF'!$AH$42+'TUSD CVA'!$AH$42)*(1 - CUSTOS!$M$38)</f>
        <v>16.421608640517299</v>
      </c>
      <c r="AE42" s="12">
        <f>('TUSD BE'!$AI$42+'TUSD BF'!$AI$42+'TUSD CVA'!$AI$42)*(1 - CUSTOS!$M$38)</f>
        <v>0.60348387469470699</v>
      </c>
      <c r="AF42" s="12">
        <f ca="1">('TUSD BE'!$AJ$42+'TUSD BF'!$AJ$42+'TUSD CVA'!$AJ$42)*(1 - CUSTOS!$M$38)</f>
        <v>1.7922184193955073</v>
      </c>
      <c r="AG42" s="12">
        <f ca="1">('TUSD BE'!$AK$42+'TUSD BF'!$AK$42+'TUSD CVA'!$AK$42)*(1 - CUSTOS!$M$38)</f>
        <v>0.32631056022783528</v>
      </c>
      <c r="AI42" s="12">
        <v>2.9400504346576399</v>
      </c>
      <c r="AJ42" s="12">
        <v>0.47575510691595202</v>
      </c>
      <c r="AK42" s="12">
        <v>1.9374363436290101</v>
      </c>
      <c r="AL42" s="12">
        <v>0</v>
      </c>
      <c r="AM42" s="12">
        <v>0</v>
      </c>
      <c r="AN42" s="12">
        <v>50.493115599000397</v>
      </c>
      <c r="AO42" s="12">
        <v>7.8609851166218299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40.5081004498361</v>
      </c>
      <c r="AV42" s="12">
        <v>0</v>
      </c>
      <c r="AW42" s="12">
        <v>0</v>
      </c>
      <c r="AX42" s="12">
        <v>60.550620287904501</v>
      </c>
      <c r="AY42" s="12">
        <v>0</v>
      </c>
      <c r="AZ42" s="12">
        <v>0</v>
      </c>
      <c r="BA42" s="12">
        <v>16.7634267204952</v>
      </c>
      <c r="BB42" s="12">
        <v>0.52812531294481102</v>
      </c>
      <c r="BC42" s="12">
        <v>2.0400836187404101</v>
      </c>
      <c r="BD42" s="12">
        <v>0.35873326566389602</v>
      </c>
    </row>
    <row r="43" spans="1:56" ht="11.25" customHeight="1" x14ac:dyDescent="0.25">
      <c r="A43" s="150"/>
      <c r="B43" s="18" t="s">
        <v>23</v>
      </c>
      <c r="C43" s="18" t="s">
        <v>45</v>
      </c>
      <c r="D43" s="18" t="s">
        <v>25</v>
      </c>
      <c r="E43" s="18" t="s">
        <v>25</v>
      </c>
      <c r="F43" s="18" t="s">
        <v>25</v>
      </c>
      <c r="G43" s="17" t="s">
        <v>75</v>
      </c>
      <c r="H43" s="17" t="s">
        <v>71</v>
      </c>
      <c r="I43" s="17">
        <f>'MERCADO TUSD'!$U$40</f>
        <v>6344.375</v>
      </c>
      <c r="J43" s="15"/>
      <c r="L43" s="12">
        <f>('TUSD BE'!$L$43+'TUSD BF'!$L$43+'TUSD CVA'!$L$43)*(1 - CUSTOS!$M$38)</f>
        <v>1.2498067471371528</v>
      </c>
      <c r="M43" s="12">
        <f>('TUSD BE'!$M$43+'TUSD BF'!$M$43+'TUSD CVA'!$M$43)*(1 - CUSTOS!$M$38)</f>
        <v>0.54667154425090247</v>
      </c>
      <c r="N43" s="12">
        <f ca="1">('TUSD BE'!$N$43+'TUSD BF'!$N$43+'TUSD CVA'!$N$43)*(1 - CUSTOS!$M$38)</f>
        <v>3.7115287255804663</v>
      </c>
      <c r="O43" s="12">
        <f>('TUSD BE'!$O$43+'TUSD BF'!$O$43+'TUSD CVA'!$O$43)*(1 - CUSTOS!$M$38)</f>
        <v>0</v>
      </c>
      <c r="P43" s="12">
        <f>('TUSD BE'!$P$43+'TUSD BF'!$P$43+'TUSD CVA'!$P$43)*(1 - CUSTOS!$M$38)</f>
        <v>0</v>
      </c>
      <c r="Q43" s="12">
        <f>('TUSD BE'!$Q$43+'TUSD BF'!$Q$43+'TUSD CVA'!$Q$43)*(1 - CUSTOS!$M$38)</f>
        <v>95.756276084965521</v>
      </c>
      <c r="R43" s="12">
        <f>('TUSD BE'!$R$43+'TUSD BF'!$R$43+'TUSD CVA'!$R$43)*(1 - CUSTOS!$M$38)</f>
        <v>16.216341308615792</v>
      </c>
      <c r="S43" s="12">
        <f>('TUSD BE'!$S$43+'TUSD BF'!$S$43+'TUSD CVA'!$S$43)*(1 - CUSTOS!$M$38)</f>
        <v>0</v>
      </c>
      <c r="T43" s="12">
        <f>('TUSD BE'!$U$43+'TUSD BF'!$U$43+'TUSD CVA'!$U$43)*(1 - CUSTOS!$M$38)</f>
        <v>0</v>
      </c>
      <c r="U43" s="12">
        <f>('TUSD BE'!$V$43+'TUSD BF'!$V$43+'TUSD CVA'!$V$43)*(1 - CUSTOS!$M$38)</f>
        <v>0</v>
      </c>
      <c r="V43" s="12">
        <f>('TUSD BE'!$W$43+'TUSD BF'!$W$43+'TUSD CVA'!$W$43)*(1 - CUSTOS!$M$38)</f>
        <v>0</v>
      </c>
      <c r="W43" s="12">
        <f>('TUSD BE'!$X$43+'TUSD BF'!$X$43+'TUSD CVA'!$X$43)*(1 - CUSTOS!$M$38)</f>
        <v>0</v>
      </c>
      <c r="X43" s="12">
        <f>('TUSD BE'!$Y$43+'TUSD BF'!$Y$43+'TUSD CVA'!$Y$43)*(1 - CUSTOS!$M$38)</f>
        <v>77.766302829131348</v>
      </c>
      <c r="Y43" s="12">
        <f>('TUSD BE'!$Z$43+'TUSD BF'!$Z$43+'TUSD CVA'!$Z$43)*(1 - CUSTOS!$M$38)</f>
        <v>0</v>
      </c>
      <c r="Z43" s="12">
        <f>('TUSD BE'!$AA$43+'TUSD BF'!$AA$43+'TUSD CVA'!$AA$43)*(1 - CUSTOS!$M$38)</f>
        <v>0</v>
      </c>
      <c r="AA43" s="12">
        <f>('TUSD BE'!$AC$43+'TUSD BF'!$AC$43+'TUSD CVA'!$AC$43)*(1 - CUSTOS!$M$38)</f>
        <v>126.34794671392704</v>
      </c>
      <c r="AB43" s="12">
        <f ca="1">('TUSD BE'!$AE$43+'TUSD BF'!$AE$43+'TUSD CVA'!$AE$43)*(1 - CUSTOS!$M$38)</f>
        <v>0</v>
      </c>
      <c r="AC43" s="12">
        <f ca="1">('TUSD BE'!$AF$43+'TUSD BF'!$AF$43+'TUSD CVA'!$AF$43)*(1 - CUSTOS!$M$38)</f>
        <v>0</v>
      </c>
      <c r="AD43" s="12">
        <f>('TUSD BE'!$AH$43+'TUSD BF'!$AH$43+'TUSD CVA'!$AH$43)*(1 - CUSTOS!$M$38)</f>
        <v>16.421608640517299</v>
      </c>
      <c r="AE43" s="12">
        <f>('TUSD BE'!$AI$43+'TUSD BF'!$AI$43+'TUSD CVA'!$AI$43)*(1 - CUSTOS!$M$38)</f>
        <v>0.60348387469470699</v>
      </c>
      <c r="AF43" s="12">
        <f ca="1">('TUSD BE'!$AJ$43+'TUSD BF'!$AJ$43+'TUSD CVA'!$AJ$43)*(1 - CUSTOS!$M$38)</f>
        <v>1.7922184193955073</v>
      </c>
      <c r="AG43" s="12">
        <f ca="1">('TUSD BE'!$AK$43+'TUSD BF'!$AK$43+'TUSD CVA'!$AK$43)*(1 - CUSTOS!$M$38)</f>
        <v>0.32631056022783528</v>
      </c>
      <c r="AI43" s="12">
        <v>2.9400504346576399</v>
      </c>
      <c r="AJ43" s="12">
        <v>0.47575510691595202</v>
      </c>
      <c r="AK43" s="12">
        <v>3.1111157091902801</v>
      </c>
      <c r="AL43" s="12">
        <v>0</v>
      </c>
      <c r="AM43" s="12">
        <v>0</v>
      </c>
      <c r="AN43" s="12">
        <v>50.493115599000397</v>
      </c>
      <c r="AO43" s="12">
        <v>7.8609851166218299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75.015048788501602</v>
      </c>
      <c r="AV43" s="12">
        <v>0</v>
      </c>
      <c r="AW43" s="12">
        <v>0</v>
      </c>
      <c r="AX43" s="12">
        <v>112.13077107622399</v>
      </c>
      <c r="AY43" s="12">
        <v>0</v>
      </c>
      <c r="AZ43" s="12">
        <v>0</v>
      </c>
      <c r="BA43" s="12">
        <v>16.7634267204952</v>
      </c>
      <c r="BB43" s="12">
        <v>0.52812531294481102</v>
      </c>
      <c r="BC43" s="12">
        <v>2.0400836187404101</v>
      </c>
      <c r="BD43" s="12">
        <v>0.35873326566389602</v>
      </c>
    </row>
    <row r="44" spans="1:56" ht="11.25" customHeight="1" x14ac:dyDescent="0.25">
      <c r="A44" s="150"/>
      <c r="B44" s="150" t="s">
        <v>36</v>
      </c>
      <c r="C44" s="150" t="s">
        <v>45</v>
      </c>
      <c r="D44" s="150" t="s">
        <v>87</v>
      </c>
      <c r="E44" s="150" t="s">
        <v>25</v>
      </c>
      <c r="F44" s="150" t="s">
        <v>25</v>
      </c>
      <c r="G44" s="17" t="s">
        <v>72</v>
      </c>
      <c r="H44" s="17" t="s">
        <v>71</v>
      </c>
      <c r="I44" s="17">
        <f>'MERCADO TUSD'!$U$41</f>
        <v>0</v>
      </c>
      <c r="J44" s="15"/>
      <c r="L44" s="12">
        <f>('TUSD BE'!$L$44+'TUSD BF'!$L$44+'TUSD CVA'!$L$44)*(1 - CUSTOS!$M$39)</f>
        <v>1.2498067471371528</v>
      </c>
      <c r="M44" s="12">
        <f>('TUSD BE'!$M$44+'TUSD BF'!$M$44+'TUSD CVA'!$M$44)*(1 - CUSTOS!$M$39)</f>
        <v>0.54667154425090247</v>
      </c>
      <c r="N44" s="12">
        <f ca="1">('TUSD BE'!$N$44+'TUSD BF'!$N$44+'TUSD CVA'!$N$44)*(1 - CUSTOS!$M$39)</f>
        <v>17.055075991331542</v>
      </c>
      <c r="O44" s="12">
        <f>('TUSD BE'!$O$44+'TUSD BF'!$O$44+'TUSD CVA'!$O$44)*(1 - CUSTOS!$M$39)</f>
        <v>0</v>
      </c>
      <c r="P44" s="12">
        <f>('TUSD BE'!$P$44+'TUSD BF'!$P$44+'TUSD CVA'!$P$44)*(1 - CUSTOS!$M$39)</f>
        <v>0</v>
      </c>
      <c r="Q44" s="12">
        <f>('TUSD BE'!$Q$44+'TUSD BF'!$Q$44+'TUSD CVA'!$Q$44)*(1 - CUSTOS!$M$39)</f>
        <v>95.756276084965521</v>
      </c>
      <c r="R44" s="12">
        <f>('TUSD BE'!$R$44+'TUSD BF'!$R$44+'TUSD CVA'!$R$44)*(1 - CUSTOS!$M$39)</f>
        <v>16.216341308615792</v>
      </c>
      <c r="S44" s="12">
        <f>('TUSD BE'!$S$44+'TUSD BF'!$S$44+'TUSD CVA'!$S$44)*(1 - CUSTOS!$M$39)</f>
        <v>0</v>
      </c>
      <c r="T44" s="12">
        <f>('TUSD BE'!$U$44+'TUSD BF'!$U$44+'TUSD CVA'!$U$44)*(1 - CUSTOS!$M$39)</f>
        <v>0</v>
      </c>
      <c r="U44" s="12">
        <f>('TUSD BE'!$V$44+'TUSD BF'!$V$44+'TUSD CVA'!$V$44)*(1 - CUSTOS!$M$39)</f>
        <v>0</v>
      </c>
      <c r="V44" s="12">
        <f>('TUSD BE'!$W$44+'TUSD BF'!$W$44+'TUSD CVA'!$W$44)*(1 - CUSTOS!$M$39)</f>
        <v>0</v>
      </c>
      <c r="W44" s="12">
        <f>('TUSD BE'!$X$44+'TUSD BF'!$X$44+'TUSD CVA'!$X$44)*(1 - CUSTOS!$M$39)</f>
        <v>0</v>
      </c>
      <c r="X44" s="12">
        <f>('TUSD BE'!$Y$44+'TUSD BF'!$Y$44+'TUSD CVA'!$Y$44)*(1 - CUSTOS!$M$39)</f>
        <v>419.93788884613338</v>
      </c>
      <c r="Y44" s="12">
        <f>('TUSD BE'!$Z$44+'TUSD BF'!$Z$44+'TUSD CVA'!$Z$44)*(1 - CUSTOS!$M$39)</f>
        <v>0</v>
      </c>
      <c r="Z44" s="12">
        <f>('TUSD BE'!$AA$44+'TUSD BF'!$AA$44+'TUSD CVA'!$AA$44)*(1 - CUSTOS!$M$39)</f>
        <v>0</v>
      </c>
      <c r="AA44" s="12">
        <f>('TUSD BE'!$AC$44+'TUSD BF'!$AC$44+'TUSD CVA'!$AC$44)*(1 - CUSTOS!$M$39)</f>
        <v>682.2791763802295</v>
      </c>
      <c r="AB44" s="12">
        <f ca="1">('TUSD BE'!$AE$44+'TUSD BF'!$AE$44+'TUSD CVA'!$AE$44)*(1 - CUSTOS!$M$39)</f>
        <v>0</v>
      </c>
      <c r="AC44" s="12">
        <f ca="1">('TUSD BE'!$AF$44+'TUSD BF'!$AF$44+'TUSD CVA'!$AF$44)*(1 - CUSTOS!$M$39)</f>
        <v>0</v>
      </c>
      <c r="AD44" s="12">
        <f>('TUSD BE'!$AH$44+'TUSD BF'!$AH$44+'TUSD CVA'!$AH$44)*(1 - CUSTOS!$M$39)</f>
        <v>16.421608640517299</v>
      </c>
      <c r="AE44" s="12">
        <f>('TUSD BE'!$AI$44+'TUSD BF'!$AI$44+'TUSD CVA'!$AI$44)*(1 - CUSTOS!$M$39)</f>
        <v>0.60348387469470699</v>
      </c>
      <c r="AF44" s="12">
        <f ca="1">('TUSD BE'!$AJ$44+'TUSD BF'!$AJ$44+'TUSD CVA'!$AJ$44)*(1 - CUSTOS!$M$39)</f>
        <v>1.7922184193955073</v>
      </c>
      <c r="AG44" s="12">
        <f ca="1">('TUSD BE'!$AK$44+'TUSD BF'!$AK$44+'TUSD CVA'!$AK$44)*(1 - CUSTOS!$M$39)</f>
        <v>0.32631056022783528</v>
      </c>
      <c r="AI44" s="12">
        <v>2.9400504346576399</v>
      </c>
      <c r="AJ44" s="12">
        <v>0.47575510691595202</v>
      </c>
      <c r="AK44" s="12">
        <v>14.3376132428521</v>
      </c>
      <c r="AL44" s="12">
        <v>0</v>
      </c>
      <c r="AM44" s="12">
        <v>0</v>
      </c>
      <c r="AN44" s="12">
        <v>50.493115599000397</v>
      </c>
      <c r="AO44" s="12">
        <v>7.8609851166218299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405.08112220724598</v>
      </c>
      <c r="AV44" s="12">
        <v>0</v>
      </c>
      <c r="AW44" s="12">
        <v>0</v>
      </c>
      <c r="AX44" s="12">
        <v>605.50639821622894</v>
      </c>
      <c r="AY44" s="12">
        <v>0</v>
      </c>
      <c r="AZ44" s="12">
        <v>0</v>
      </c>
      <c r="BA44" s="12">
        <v>16.7634267204952</v>
      </c>
      <c r="BB44" s="12">
        <v>0.52812531294481102</v>
      </c>
      <c r="BC44" s="12">
        <v>2.0400836187404101</v>
      </c>
      <c r="BD44" s="12">
        <v>0.35873326566389602</v>
      </c>
    </row>
    <row r="45" spans="1:56" ht="11.25" customHeight="1" x14ac:dyDescent="0.25">
      <c r="A45" s="150"/>
      <c r="B45" s="150"/>
      <c r="C45" s="150"/>
      <c r="D45" s="150"/>
      <c r="E45" s="150"/>
      <c r="F45" s="150"/>
      <c r="G45" s="17" t="s">
        <v>84</v>
      </c>
      <c r="H45" s="17" t="s">
        <v>71</v>
      </c>
      <c r="I45" s="17">
        <f>'MERCADO TUSD'!$U$42</f>
        <v>0</v>
      </c>
      <c r="J45" s="15"/>
      <c r="L45" s="12">
        <f>('TUSD BE'!$L$45+'TUSD BF'!$L$45+'TUSD CVA'!$L$45)*(1 - CUSTOS!$M$39)</f>
        <v>1.2498067471371528</v>
      </c>
      <c r="M45" s="12">
        <f>('TUSD BE'!$M$45+'TUSD BF'!$M$45+'TUSD CVA'!$M$45)*(1 - CUSTOS!$M$39)</f>
        <v>0.54667154425090247</v>
      </c>
      <c r="N45" s="12">
        <f ca="1">('TUSD BE'!$N$45+'TUSD BF'!$N$45+'TUSD CVA'!$N$45)*(1 - CUSTOS!$M$39)</f>
        <v>5.5917563344380428</v>
      </c>
      <c r="O45" s="12">
        <f>('TUSD BE'!$O$45+'TUSD BF'!$O$45+'TUSD CVA'!$O$45)*(1 - CUSTOS!$M$39)</f>
        <v>0</v>
      </c>
      <c r="P45" s="12">
        <f>('TUSD BE'!$P$45+'TUSD BF'!$P$45+'TUSD CVA'!$P$45)*(1 - CUSTOS!$M$39)</f>
        <v>0</v>
      </c>
      <c r="Q45" s="12">
        <f>('TUSD BE'!$Q$45+'TUSD BF'!$Q$45+'TUSD CVA'!$Q$45)*(1 - CUSTOS!$M$39)</f>
        <v>95.756276084965521</v>
      </c>
      <c r="R45" s="12">
        <f>('TUSD BE'!$R$45+'TUSD BF'!$R$45+'TUSD CVA'!$R$45)*(1 - CUSTOS!$M$39)</f>
        <v>16.216341308615792</v>
      </c>
      <c r="S45" s="12">
        <f>('TUSD BE'!$S$45+'TUSD BF'!$S$45+'TUSD CVA'!$S$45)*(1 - CUSTOS!$M$39)</f>
        <v>0</v>
      </c>
      <c r="T45" s="12">
        <f>('TUSD BE'!$U$45+'TUSD BF'!$U$45+'TUSD CVA'!$U$45)*(1 - CUSTOS!$M$39)</f>
        <v>0</v>
      </c>
      <c r="U45" s="12">
        <f>('TUSD BE'!$V$45+'TUSD BF'!$V$45+'TUSD CVA'!$V$45)*(1 - CUSTOS!$M$39)</f>
        <v>0</v>
      </c>
      <c r="V45" s="12">
        <f>('TUSD BE'!$W$45+'TUSD BF'!$W$45+'TUSD CVA'!$W$45)*(1 - CUSTOS!$M$39)</f>
        <v>0</v>
      </c>
      <c r="W45" s="12">
        <f>('TUSD BE'!$X$45+'TUSD BF'!$X$45+'TUSD CVA'!$X$45)*(1 - CUSTOS!$M$39)</f>
        <v>0</v>
      </c>
      <c r="X45" s="12">
        <f>('TUSD BE'!$Y$45+'TUSD BF'!$Y$45+'TUSD CVA'!$Y$45)*(1 - CUSTOS!$M$39)</f>
        <v>125.98133004604601</v>
      </c>
      <c r="Y45" s="12">
        <f>('TUSD BE'!$Z$45+'TUSD BF'!$Z$45+'TUSD CVA'!$Z$45)*(1 - CUSTOS!$M$39)</f>
        <v>0</v>
      </c>
      <c r="Z45" s="12">
        <f>('TUSD BE'!$AA$45+'TUSD BF'!$AA$45+'TUSD CVA'!$AA$45)*(1 - CUSTOS!$M$39)</f>
        <v>0</v>
      </c>
      <c r="AA45" s="12">
        <f>('TUSD BE'!$AC$45+'TUSD BF'!$AC$45+'TUSD CVA'!$AC$45)*(1 - CUSTOS!$M$39)</f>
        <v>204.68379693490607</v>
      </c>
      <c r="AB45" s="12">
        <f ca="1">('TUSD BE'!$AE$45+'TUSD BF'!$AE$45+'TUSD CVA'!$AE$45)*(1 - CUSTOS!$M$39)</f>
        <v>0</v>
      </c>
      <c r="AC45" s="12">
        <f ca="1">('TUSD BE'!$AF$45+'TUSD BF'!$AF$45+'TUSD CVA'!$AF$45)*(1 - CUSTOS!$M$39)</f>
        <v>0</v>
      </c>
      <c r="AD45" s="12">
        <f>('TUSD BE'!$AH$45+'TUSD BF'!$AH$45+'TUSD CVA'!$AH$45)*(1 - CUSTOS!$M$39)</f>
        <v>16.421608640517299</v>
      </c>
      <c r="AE45" s="12">
        <f>('TUSD BE'!$AI$45+'TUSD BF'!$AI$45+'TUSD CVA'!$AI$45)*(1 - CUSTOS!$M$39)</f>
        <v>0.60348387469470699</v>
      </c>
      <c r="AF45" s="12">
        <f ca="1">('TUSD BE'!$AJ$45+'TUSD BF'!$AJ$45+'TUSD CVA'!$AJ$45)*(1 - CUSTOS!$M$39)</f>
        <v>1.7922184193955073</v>
      </c>
      <c r="AG45" s="12">
        <f ca="1">('TUSD BE'!$AK$45+'TUSD BF'!$AK$45+'TUSD CVA'!$AK$45)*(1 - CUSTOS!$M$39)</f>
        <v>0.32631056022783528</v>
      </c>
      <c r="AI45" s="12">
        <v>2.9400504346576399</v>
      </c>
      <c r="AJ45" s="12">
        <v>0.47575510691595202</v>
      </c>
      <c r="AK45" s="12">
        <v>4.6930316864912598</v>
      </c>
      <c r="AL45" s="12">
        <v>0</v>
      </c>
      <c r="AM45" s="12">
        <v>0</v>
      </c>
      <c r="AN45" s="12">
        <v>50.493115599000397</v>
      </c>
      <c r="AO45" s="12">
        <v>7.8609851166218299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121.52430134950799</v>
      </c>
      <c r="AV45" s="12">
        <v>0</v>
      </c>
      <c r="AW45" s="12">
        <v>0</v>
      </c>
      <c r="AX45" s="12">
        <v>181.651958532306</v>
      </c>
      <c r="AY45" s="12">
        <v>0</v>
      </c>
      <c r="AZ45" s="12">
        <v>0</v>
      </c>
      <c r="BA45" s="12">
        <v>16.7634267204952</v>
      </c>
      <c r="BB45" s="12">
        <v>0.52812531294481102</v>
      </c>
      <c r="BC45" s="12">
        <v>2.0400836187404101</v>
      </c>
      <c r="BD45" s="12">
        <v>0.35873326566389602</v>
      </c>
    </row>
    <row r="46" spans="1:56" ht="11.25" customHeight="1" x14ac:dyDescent="0.25">
      <c r="A46" s="150"/>
      <c r="B46" s="150"/>
      <c r="C46" s="150"/>
      <c r="D46" s="150"/>
      <c r="E46" s="150"/>
      <c r="F46" s="150"/>
      <c r="G46" s="17" t="s">
        <v>73</v>
      </c>
      <c r="H46" s="17" t="s">
        <v>71</v>
      </c>
      <c r="I46" s="17">
        <f>'MERCADO TUSD'!$U$43</f>
        <v>0</v>
      </c>
      <c r="J46" s="15"/>
      <c r="L46" s="12">
        <f>('TUSD BE'!$L$46+'TUSD BF'!$L$46+'TUSD CVA'!$L$46)*(1 - CUSTOS!$M$39)</f>
        <v>1.2498067471371528</v>
      </c>
      <c r="M46" s="12">
        <f>('TUSD BE'!$M$46+'TUSD BF'!$M$46+'TUSD CVA'!$M$46)*(1 - CUSTOS!$M$39)</f>
        <v>0.54667154425090247</v>
      </c>
      <c r="N46" s="12">
        <f ca="1">('TUSD BE'!$N$46+'TUSD BF'!$N$46+'TUSD CVA'!$N$46)*(1 - CUSTOS!$M$39)</f>
        <v>2.3165214187828678</v>
      </c>
      <c r="O46" s="12">
        <f>('TUSD BE'!$O$46+'TUSD BF'!$O$46+'TUSD CVA'!$O$46)*(1 - CUSTOS!$M$39)</f>
        <v>0</v>
      </c>
      <c r="P46" s="12">
        <f>('TUSD BE'!$P$46+'TUSD BF'!$P$46+'TUSD CVA'!$P$46)*(1 - CUSTOS!$M$39)</f>
        <v>0</v>
      </c>
      <c r="Q46" s="12">
        <f>('TUSD BE'!$Q$46+'TUSD BF'!$Q$46+'TUSD CVA'!$Q$46)*(1 - CUSTOS!$M$39)</f>
        <v>95.756276084965521</v>
      </c>
      <c r="R46" s="12">
        <f>('TUSD BE'!$R$46+'TUSD BF'!$R$46+'TUSD CVA'!$R$46)*(1 - CUSTOS!$M$39)</f>
        <v>16.216341308615792</v>
      </c>
      <c r="S46" s="12">
        <f>('TUSD BE'!$S$46+'TUSD BF'!$S$46+'TUSD CVA'!$S$46)*(1 - CUSTOS!$M$39)</f>
        <v>0</v>
      </c>
      <c r="T46" s="12">
        <f>('TUSD BE'!$U$46+'TUSD BF'!$U$46+'TUSD CVA'!$U$46)*(1 - CUSTOS!$M$39)</f>
        <v>0</v>
      </c>
      <c r="U46" s="12">
        <f>('TUSD BE'!$V$46+'TUSD BF'!$V$46+'TUSD CVA'!$V$46)*(1 - CUSTOS!$M$39)</f>
        <v>0</v>
      </c>
      <c r="V46" s="12">
        <f>('TUSD BE'!$W$46+'TUSD BF'!$W$46+'TUSD CVA'!$W$46)*(1 - CUSTOS!$M$39)</f>
        <v>0</v>
      </c>
      <c r="W46" s="12">
        <f>('TUSD BE'!$X$46+'TUSD BF'!$X$46+'TUSD CVA'!$X$46)*(1 - CUSTOS!$M$39)</f>
        <v>0</v>
      </c>
      <c r="X46" s="12">
        <f>('TUSD BE'!$Y$46+'TUSD BF'!$Y$46+'TUSD CVA'!$Y$46)*(1 - CUSTOS!$M$39)</f>
        <v>41.993776682015344</v>
      </c>
      <c r="Y46" s="12">
        <f>('TUSD BE'!$Z$46+'TUSD BF'!$Z$46+'TUSD CVA'!$Z$46)*(1 - CUSTOS!$M$39)</f>
        <v>0</v>
      </c>
      <c r="Z46" s="12">
        <f>('TUSD BE'!$AA$46+'TUSD BF'!$AA$46+'TUSD CVA'!$AA$46)*(1 - CUSTOS!$M$39)</f>
        <v>0</v>
      </c>
      <c r="AA46" s="12">
        <f>('TUSD BE'!$AC$46+'TUSD BF'!$AC$46+'TUSD CVA'!$AC$46)*(1 - CUSTOS!$M$39)</f>
        <v>68.227895627604326</v>
      </c>
      <c r="AB46" s="12">
        <f ca="1">('TUSD BE'!$AE$46+'TUSD BF'!$AE$46+'TUSD CVA'!$AE$46)*(1 - CUSTOS!$M$39)</f>
        <v>0</v>
      </c>
      <c r="AC46" s="12">
        <f ca="1">('TUSD BE'!$AF$46+'TUSD BF'!$AF$46+'TUSD CVA'!$AF$46)*(1 - CUSTOS!$M$39)</f>
        <v>0</v>
      </c>
      <c r="AD46" s="12">
        <f>('TUSD BE'!$AH$46+'TUSD BF'!$AH$46+'TUSD CVA'!$AH$46)*(1 - CUSTOS!$M$39)</f>
        <v>16.421608640517299</v>
      </c>
      <c r="AE46" s="12">
        <f>('TUSD BE'!$AI$46+'TUSD BF'!$AI$46+'TUSD CVA'!$AI$46)*(1 - CUSTOS!$M$39)</f>
        <v>0.60348387469470699</v>
      </c>
      <c r="AF46" s="12">
        <f ca="1">('TUSD BE'!$AJ$46+'TUSD BF'!$AJ$46+'TUSD CVA'!$AJ$46)*(1 - CUSTOS!$M$39)</f>
        <v>1.7922184193955073</v>
      </c>
      <c r="AG46" s="12">
        <f ca="1">('TUSD BE'!$AK$46+'TUSD BF'!$AK$46+'TUSD CVA'!$AK$46)*(1 - CUSTOS!$M$39)</f>
        <v>0.32631056022783528</v>
      </c>
      <c r="AI46" s="12">
        <v>2.9400504346576399</v>
      </c>
      <c r="AJ46" s="12">
        <v>0.47575510691595202</v>
      </c>
      <c r="AK46" s="12">
        <v>1.9374363436290101</v>
      </c>
      <c r="AL46" s="12">
        <v>0</v>
      </c>
      <c r="AM46" s="12">
        <v>0</v>
      </c>
      <c r="AN46" s="12">
        <v>50.493115599000397</v>
      </c>
      <c r="AO46" s="12">
        <v>7.8609851166218299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40.5081004498361</v>
      </c>
      <c r="AV46" s="12">
        <v>0</v>
      </c>
      <c r="AW46" s="12">
        <v>0</v>
      </c>
      <c r="AX46" s="12">
        <v>60.550620287904501</v>
      </c>
      <c r="AY46" s="12">
        <v>0</v>
      </c>
      <c r="AZ46" s="12">
        <v>0</v>
      </c>
      <c r="BA46" s="12">
        <v>16.7634267204952</v>
      </c>
      <c r="BB46" s="12">
        <v>0.52812531294481102</v>
      </c>
      <c r="BC46" s="12">
        <v>2.0400836187404101</v>
      </c>
      <c r="BD46" s="12">
        <v>0.35873326566389602</v>
      </c>
    </row>
    <row r="47" spans="1:56" ht="11.25" customHeight="1" x14ac:dyDescent="0.25">
      <c r="A47" s="150"/>
      <c r="B47" s="18" t="s">
        <v>23</v>
      </c>
      <c r="C47" s="18" t="s">
        <v>45</v>
      </c>
      <c r="D47" s="18" t="s">
        <v>87</v>
      </c>
      <c r="E47" s="18" t="s">
        <v>25</v>
      </c>
      <c r="F47" s="18" t="s">
        <v>25</v>
      </c>
      <c r="G47" s="17" t="s">
        <v>75</v>
      </c>
      <c r="H47" s="17" t="s">
        <v>71</v>
      </c>
      <c r="I47" s="17">
        <f>'MERCADO TUSD'!$U$44</f>
        <v>0</v>
      </c>
      <c r="J47" s="15"/>
      <c r="L47" s="12">
        <f>('TUSD BE'!$L$47+'TUSD BF'!$L$47+'TUSD CVA'!$L$47)*(1 - CUSTOS!$M$39)</f>
        <v>1.2498067471371528</v>
      </c>
      <c r="M47" s="12">
        <f>('TUSD BE'!$M$47+'TUSD BF'!$M$47+'TUSD CVA'!$M$47)*(1 - CUSTOS!$M$39)</f>
        <v>0.54667154425090247</v>
      </c>
      <c r="N47" s="12">
        <f ca="1">('TUSD BE'!$N$47+'TUSD BF'!$N$47+'TUSD CVA'!$N$47)*(1 - CUSTOS!$M$39)</f>
        <v>3.7115287255804663</v>
      </c>
      <c r="O47" s="12">
        <f>('TUSD BE'!$O$47+'TUSD BF'!$O$47+'TUSD CVA'!$O$47)*(1 - CUSTOS!$M$39)</f>
        <v>0</v>
      </c>
      <c r="P47" s="12">
        <f>('TUSD BE'!$P$47+'TUSD BF'!$P$47+'TUSD CVA'!$P$47)*(1 - CUSTOS!$M$39)</f>
        <v>0</v>
      </c>
      <c r="Q47" s="12">
        <f>('TUSD BE'!$Q$47+'TUSD BF'!$Q$47+'TUSD CVA'!$Q$47)*(1 - CUSTOS!$M$39)</f>
        <v>95.756276084965521</v>
      </c>
      <c r="R47" s="12">
        <f>('TUSD BE'!$R$47+'TUSD BF'!$R$47+'TUSD CVA'!$R$47)*(1 - CUSTOS!$M$39)</f>
        <v>16.216341308615792</v>
      </c>
      <c r="S47" s="12">
        <f>('TUSD BE'!$S$47+'TUSD BF'!$S$47+'TUSD CVA'!$S$47)*(1 - CUSTOS!$M$39)</f>
        <v>0</v>
      </c>
      <c r="T47" s="12">
        <f>('TUSD BE'!$U$47+'TUSD BF'!$U$47+'TUSD CVA'!$U$47)*(1 - CUSTOS!$M$39)</f>
        <v>0</v>
      </c>
      <c r="U47" s="12">
        <f>('TUSD BE'!$V$47+'TUSD BF'!$V$47+'TUSD CVA'!$V$47)*(1 - CUSTOS!$M$39)</f>
        <v>0</v>
      </c>
      <c r="V47" s="12">
        <f>('TUSD BE'!$W$47+'TUSD BF'!$W$47+'TUSD CVA'!$W$47)*(1 - CUSTOS!$M$39)</f>
        <v>0</v>
      </c>
      <c r="W47" s="12">
        <f>('TUSD BE'!$X$47+'TUSD BF'!$X$47+'TUSD CVA'!$X$47)*(1 - CUSTOS!$M$39)</f>
        <v>0</v>
      </c>
      <c r="X47" s="12">
        <f>('TUSD BE'!$Y$47+'TUSD BF'!$Y$47+'TUSD CVA'!$Y$47)*(1 - CUSTOS!$M$39)</f>
        <v>77.766302829131348</v>
      </c>
      <c r="Y47" s="12">
        <f>('TUSD BE'!$Z$47+'TUSD BF'!$Z$47+'TUSD CVA'!$Z$47)*(1 - CUSTOS!$M$39)</f>
        <v>0</v>
      </c>
      <c r="Z47" s="12">
        <f>('TUSD BE'!$AA$47+'TUSD BF'!$AA$47+'TUSD CVA'!$AA$47)*(1 - CUSTOS!$M$39)</f>
        <v>0</v>
      </c>
      <c r="AA47" s="12">
        <f>('TUSD BE'!$AC$47+'TUSD BF'!$AC$47+'TUSD CVA'!$AC$47)*(1 - CUSTOS!$M$39)</f>
        <v>126.34794671392704</v>
      </c>
      <c r="AB47" s="12">
        <f ca="1">('TUSD BE'!$AE$47+'TUSD BF'!$AE$47+'TUSD CVA'!$AE$47)*(1 - CUSTOS!$M$39)</f>
        <v>0</v>
      </c>
      <c r="AC47" s="12">
        <f ca="1">('TUSD BE'!$AF$47+'TUSD BF'!$AF$47+'TUSD CVA'!$AF$47)*(1 - CUSTOS!$M$39)</f>
        <v>0</v>
      </c>
      <c r="AD47" s="12">
        <f>('TUSD BE'!$AH$47+'TUSD BF'!$AH$47+'TUSD CVA'!$AH$47)*(1 - CUSTOS!$M$39)</f>
        <v>16.421608640517299</v>
      </c>
      <c r="AE47" s="12">
        <f>('TUSD BE'!$AI$47+'TUSD BF'!$AI$47+'TUSD CVA'!$AI$47)*(1 - CUSTOS!$M$39)</f>
        <v>0.60348387469470699</v>
      </c>
      <c r="AF47" s="12">
        <f ca="1">('TUSD BE'!$AJ$47+'TUSD BF'!$AJ$47+'TUSD CVA'!$AJ$47)*(1 - CUSTOS!$M$39)</f>
        <v>1.7922184193955073</v>
      </c>
      <c r="AG47" s="12">
        <f ca="1">('TUSD BE'!$AK$47+'TUSD BF'!$AK$47+'TUSD CVA'!$AK$47)*(1 - CUSTOS!$M$39)</f>
        <v>0.32631056022783528</v>
      </c>
      <c r="AI47" s="12">
        <v>2.9400504346576399</v>
      </c>
      <c r="AJ47" s="12">
        <v>0.47575510691595202</v>
      </c>
      <c r="AK47" s="12">
        <v>3.1111157091902801</v>
      </c>
      <c r="AL47" s="12">
        <v>0</v>
      </c>
      <c r="AM47" s="12">
        <v>0</v>
      </c>
      <c r="AN47" s="12">
        <v>50.493115599000397</v>
      </c>
      <c r="AO47" s="12">
        <v>7.8609851166218299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75.015048788501602</v>
      </c>
      <c r="AV47" s="12">
        <v>0</v>
      </c>
      <c r="AW47" s="12">
        <v>0</v>
      </c>
      <c r="AX47" s="12">
        <v>112.13077107622399</v>
      </c>
      <c r="AY47" s="12">
        <v>0</v>
      </c>
      <c r="AZ47" s="12">
        <v>0</v>
      </c>
      <c r="BA47" s="12">
        <v>16.7634267204952</v>
      </c>
      <c r="BB47" s="12">
        <v>0.52812531294481102</v>
      </c>
      <c r="BC47" s="12">
        <v>2.0400836187404101</v>
      </c>
      <c r="BD47" s="12">
        <v>0.35873326566389602</v>
      </c>
    </row>
    <row r="48" spans="1:56" ht="11.25" customHeight="1" x14ac:dyDescent="0.25">
      <c r="A48" s="150"/>
      <c r="B48" s="150" t="s">
        <v>36</v>
      </c>
      <c r="C48" s="150" t="s">
        <v>45</v>
      </c>
      <c r="D48" s="150" t="s">
        <v>88</v>
      </c>
      <c r="E48" s="150" t="s">
        <v>25</v>
      </c>
      <c r="F48" s="150" t="s">
        <v>25</v>
      </c>
      <c r="G48" s="17" t="s">
        <v>72</v>
      </c>
      <c r="H48" s="17" t="s">
        <v>71</v>
      </c>
      <c r="I48" s="17">
        <f>'MERCADO TUSD'!$U$45</f>
        <v>0</v>
      </c>
      <c r="J48" s="15"/>
      <c r="L48" s="12">
        <f>('TUSD BE'!$L$48+'TUSD BF'!$L$48+'TUSD CVA'!$L$48)*(1 - CUSTOS!$M$40)</f>
        <v>1.223215114219341</v>
      </c>
      <c r="M48" s="12">
        <f>('TUSD BE'!$M$48+'TUSD BF'!$M$48+'TUSD CVA'!$M$48)*(1 - CUSTOS!$M$40)</f>
        <v>0.53504023479875562</v>
      </c>
      <c r="N48" s="12">
        <f ca="1">('TUSD BE'!$N$48+'TUSD BF'!$N$48+'TUSD CVA'!$N$48)*(1 - CUSTOS!$M$40)</f>
        <v>16.692202034069172</v>
      </c>
      <c r="O48" s="12">
        <f>('TUSD BE'!$O$48+'TUSD BF'!$O$48+'TUSD CVA'!$O$48)*(1 - CUSTOS!$M$40)</f>
        <v>0</v>
      </c>
      <c r="P48" s="12">
        <f>('TUSD BE'!$P$48+'TUSD BF'!$P$48+'TUSD CVA'!$P$48)*(1 - CUSTOS!$M$40)</f>
        <v>0</v>
      </c>
      <c r="Q48" s="12">
        <f>('TUSD BE'!$Q$48+'TUSD BF'!$Q$48+'TUSD CVA'!$Q$48)*(1 - CUSTOS!$M$40)</f>
        <v>93.718908508689665</v>
      </c>
      <c r="R48" s="12">
        <f>('TUSD BE'!$R$48+'TUSD BF'!$R$48+'TUSD CVA'!$R$48)*(1 - CUSTOS!$M$40)</f>
        <v>15.871312770134608</v>
      </c>
      <c r="S48" s="12">
        <f>('TUSD BE'!$S$48+'TUSD BF'!$S$48+'TUSD CVA'!$S$48)*(1 - CUSTOS!$M$40)</f>
        <v>0</v>
      </c>
      <c r="T48" s="12">
        <f>('TUSD BE'!$U$48+'TUSD BF'!$U$48+'TUSD CVA'!$U$48)*(1 - CUSTOS!$M$40)</f>
        <v>0</v>
      </c>
      <c r="U48" s="12">
        <f>('TUSD BE'!$V$48+'TUSD BF'!$V$48+'TUSD CVA'!$V$48)*(1 - CUSTOS!$M$40)</f>
        <v>0</v>
      </c>
      <c r="V48" s="12">
        <f>('TUSD BE'!$W$48+'TUSD BF'!$W$48+'TUSD CVA'!$W$48)*(1 - CUSTOS!$M$40)</f>
        <v>0</v>
      </c>
      <c r="W48" s="12">
        <f>('TUSD BE'!$X$48+'TUSD BF'!$X$48+'TUSD CVA'!$X$48)*(1 - CUSTOS!$M$40)</f>
        <v>0</v>
      </c>
      <c r="X48" s="12">
        <f>('TUSD BE'!$Y$48+'TUSD BF'!$Y$48+'TUSD CVA'!$Y$48)*(1 - CUSTOS!$M$40)</f>
        <v>411.00304014727953</v>
      </c>
      <c r="Y48" s="12">
        <f>('TUSD BE'!$Z$48+'TUSD BF'!$Z$48+'TUSD CVA'!$Z$48)*(1 - CUSTOS!$M$40)</f>
        <v>0</v>
      </c>
      <c r="Z48" s="12">
        <f>('TUSD BE'!$AA$48+'TUSD BF'!$AA$48+'TUSD CVA'!$AA$48)*(1 - CUSTOS!$M$40)</f>
        <v>0</v>
      </c>
      <c r="AA48" s="12">
        <f>('TUSD BE'!$AC$48+'TUSD BF'!$AC$48+'TUSD CVA'!$AC$48)*(1 - CUSTOS!$M$40)</f>
        <v>667.76259815937362</v>
      </c>
      <c r="AB48" s="12">
        <f ca="1">('TUSD BE'!$AE$48+'TUSD BF'!$AE$48+'TUSD CVA'!$AE$48)*(1 - CUSTOS!$M$40)</f>
        <v>0</v>
      </c>
      <c r="AC48" s="12">
        <f ca="1">('TUSD BE'!$AF$48+'TUSD BF'!$AF$48+'TUSD CVA'!$AF$48)*(1 - CUSTOS!$M$40)</f>
        <v>0</v>
      </c>
      <c r="AD48" s="12">
        <f>('TUSD BE'!$AH$48+'TUSD BF'!$AH$48+'TUSD CVA'!$AH$48)*(1 - CUSTOS!$M$40)</f>
        <v>16.072212711995654</v>
      </c>
      <c r="AE48" s="12">
        <f>('TUSD BE'!$AI$48+'TUSD BF'!$AI$48+'TUSD CVA'!$AI$48)*(1 - CUSTOS!$M$40)</f>
        <v>0.59064379225439412</v>
      </c>
      <c r="AF48" s="12">
        <f ca="1">('TUSD BE'!$AJ$48+'TUSD BF'!$AJ$48+'TUSD CVA'!$AJ$48)*(1 - CUSTOS!$M$40)</f>
        <v>1.7540861125998586</v>
      </c>
      <c r="AG48" s="12">
        <f ca="1">('TUSD BE'!$AK$48+'TUSD BF'!$AK$48+'TUSD CVA'!$AK$48)*(1 - CUSTOS!$M$40)</f>
        <v>0.31936778235064733</v>
      </c>
      <c r="AI48" s="12">
        <v>2.8064117785368401</v>
      </c>
      <c r="AJ48" s="12">
        <v>0.45412987478340899</v>
      </c>
      <c r="AK48" s="12">
        <v>13.685903549995199</v>
      </c>
      <c r="AL48" s="12">
        <v>0</v>
      </c>
      <c r="AM48" s="12">
        <v>0</v>
      </c>
      <c r="AN48" s="12">
        <v>48.197973980863999</v>
      </c>
      <c r="AO48" s="12">
        <v>7.5036676113208403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386.66834392509901</v>
      </c>
      <c r="AV48" s="12">
        <v>0</v>
      </c>
      <c r="AW48" s="12">
        <v>0</v>
      </c>
      <c r="AX48" s="12">
        <v>577.98338011549197</v>
      </c>
      <c r="AY48" s="12">
        <v>0</v>
      </c>
      <c r="AZ48" s="12">
        <v>0</v>
      </c>
      <c r="BA48" s="12">
        <v>16.0014527786545</v>
      </c>
      <c r="BB48" s="12">
        <v>0.50411961690186502</v>
      </c>
      <c r="BC48" s="12">
        <v>1.9473525451613001</v>
      </c>
      <c r="BD48" s="12">
        <v>0.34242720813371902</v>
      </c>
    </row>
    <row r="49" spans="1:56" ht="11.25" customHeight="1" x14ac:dyDescent="0.25">
      <c r="A49" s="150"/>
      <c r="B49" s="150"/>
      <c r="C49" s="150"/>
      <c r="D49" s="150"/>
      <c r="E49" s="150"/>
      <c r="F49" s="150"/>
      <c r="G49" s="17" t="s">
        <v>84</v>
      </c>
      <c r="H49" s="17" t="s">
        <v>71</v>
      </c>
      <c r="I49" s="17">
        <f>'MERCADO TUSD'!$U$46</f>
        <v>0</v>
      </c>
      <c r="J49" s="15"/>
      <c r="L49" s="12">
        <f>('TUSD BE'!$L$49+'TUSD BF'!$L$49+'TUSD CVA'!$L$49)*(1 - CUSTOS!$M$40)</f>
        <v>1.223215114219341</v>
      </c>
      <c r="M49" s="12">
        <f>('TUSD BE'!$M$49+'TUSD BF'!$M$49+'TUSD CVA'!$M$49)*(1 - CUSTOS!$M$40)</f>
        <v>0.53504023479875562</v>
      </c>
      <c r="N49" s="12">
        <f ca="1">('TUSD BE'!$N$49+'TUSD BF'!$N$49+'TUSD CVA'!$N$49)*(1 - CUSTOS!$M$40)</f>
        <v>5.4727827954074471</v>
      </c>
      <c r="O49" s="12">
        <f>('TUSD BE'!$O$49+'TUSD BF'!$O$49+'TUSD CVA'!$O$49)*(1 - CUSTOS!$M$40)</f>
        <v>0</v>
      </c>
      <c r="P49" s="12">
        <f>('TUSD BE'!$P$49+'TUSD BF'!$P$49+'TUSD CVA'!$P$49)*(1 - CUSTOS!$M$40)</f>
        <v>0</v>
      </c>
      <c r="Q49" s="12">
        <f>('TUSD BE'!$Q$49+'TUSD BF'!$Q$49+'TUSD CVA'!$Q$49)*(1 - CUSTOS!$M$40)</f>
        <v>93.718908508689665</v>
      </c>
      <c r="R49" s="12">
        <f>('TUSD BE'!$R$49+'TUSD BF'!$R$49+'TUSD CVA'!$R$49)*(1 - CUSTOS!$M$40)</f>
        <v>15.871312770134608</v>
      </c>
      <c r="S49" s="12">
        <f>('TUSD BE'!$S$49+'TUSD BF'!$S$49+'TUSD CVA'!$S$49)*(1 - CUSTOS!$M$40)</f>
        <v>0</v>
      </c>
      <c r="T49" s="12">
        <f>('TUSD BE'!$U$49+'TUSD BF'!$U$49+'TUSD CVA'!$U$49)*(1 - CUSTOS!$M$40)</f>
        <v>0</v>
      </c>
      <c r="U49" s="12">
        <f>('TUSD BE'!$V$49+'TUSD BF'!$V$49+'TUSD CVA'!$V$49)*(1 - CUSTOS!$M$40)</f>
        <v>0</v>
      </c>
      <c r="V49" s="12">
        <f>('TUSD BE'!$W$49+'TUSD BF'!$W$49+'TUSD CVA'!$W$49)*(1 - CUSTOS!$M$40)</f>
        <v>0</v>
      </c>
      <c r="W49" s="12">
        <f>('TUSD BE'!$X$49+'TUSD BF'!$X$49+'TUSD CVA'!$X$49)*(1 - CUSTOS!$M$40)</f>
        <v>0</v>
      </c>
      <c r="X49" s="12">
        <f>('TUSD BE'!$Y$49+'TUSD BF'!$Y$49+'TUSD CVA'!$Y$49)*(1 - CUSTOS!$M$40)</f>
        <v>123.30087621527909</v>
      </c>
      <c r="Y49" s="12">
        <f>('TUSD BE'!$Z$49+'TUSD BF'!$Z$49+'TUSD CVA'!$Z$49)*(1 - CUSTOS!$M$40)</f>
        <v>0</v>
      </c>
      <c r="Z49" s="12">
        <f>('TUSD BE'!$AA$49+'TUSD BF'!$AA$49+'TUSD CVA'!$AA$49)*(1 - CUSTOS!$M$40)</f>
        <v>0</v>
      </c>
      <c r="AA49" s="12">
        <f>('TUSD BE'!$AC$49+'TUSD BF'!$AC$49+'TUSD CVA'!$AC$49)*(1 - CUSTOS!$M$40)</f>
        <v>200.32882253203576</v>
      </c>
      <c r="AB49" s="12">
        <f ca="1">('TUSD BE'!$AE$49+'TUSD BF'!$AE$49+'TUSD CVA'!$AE$49)*(1 - CUSTOS!$M$40)</f>
        <v>0</v>
      </c>
      <c r="AC49" s="12">
        <f ca="1">('TUSD BE'!$AF$49+'TUSD BF'!$AF$49+'TUSD CVA'!$AF$49)*(1 - CUSTOS!$M$40)</f>
        <v>0</v>
      </c>
      <c r="AD49" s="12">
        <f>('TUSD BE'!$AH$49+'TUSD BF'!$AH$49+'TUSD CVA'!$AH$49)*(1 - CUSTOS!$M$40)</f>
        <v>16.072212711995654</v>
      </c>
      <c r="AE49" s="12">
        <f>('TUSD BE'!$AI$49+'TUSD BF'!$AI$49+'TUSD CVA'!$AI$49)*(1 - CUSTOS!$M$40)</f>
        <v>0.59064379225439412</v>
      </c>
      <c r="AF49" s="12">
        <f ca="1">('TUSD BE'!$AJ$49+'TUSD BF'!$AJ$49+'TUSD CVA'!$AJ$49)*(1 - CUSTOS!$M$40)</f>
        <v>1.7540861125998586</v>
      </c>
      <c r="AG49" s="12">
        <f ca="1">('TUSD BE'!$AK$49+'TUSD BF'!$AK$49+'TUSD CVA'!$AK$49)*(1 - CUSTOS!$M$40)</f>
        <v>0.31936778235064733</v>
      </c>
      <c r="AI49" s="12">
        <v>2.8064117785368401</v>
      </c>
      <c r="AJ49" s="12">
        <v>0.45412987478340899</v>
      </c>
      <c r="AK49" s="12">
        <v>4.4797120643780204</v>
      </c>
      <c r="AL49" s="12">
        <v>0</v>
      </c>
      <c r="AM49" s="12">
        <v>0</v>
      </c>
      <c r="AN49" s="12">
        <v>48.197973980863999</v>
      </c>
      <c r="AO49" s="12">
        <v>7.5036676113208403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116.00046946998501</v>
      </c>
      <c r="AV49" s="12">
        <v>0</v>
      </c>
      <c r="AW49" s="12">
        <v>0</v>
      </c>
      <c r="AX49" s="12">
        <v>173.39505132629199</v>
      </c>
      <c r="AY49" s="12">
        <v>0</v>
      </c>
      <c r="AZ49" s="12">
        <v>0</v>
      </c>
      <c r="BA49" s="12">
        <v>16.0014527786545</v>
      </c>
      <c r="BB49" s="12">
        <v>0.50411961690186502</v>
      </c>
      <c r="BC49" s="12">
        <v>1.9473525451613001</v>
      </c>
      <c r="BD49" s="12">
        <v>0.34242720813371902</v>
      </c>
    </row>
    <row r="50" spans="1:56" ht="11.25" customHeight="1" x14ac:dyDescent="0.25">
      <c r="A50" s="150"/>
      <c r="B50" s="150"/>
      <c r="C50" s="150"/>
      <c r="D50" s="150"/>
      <c r="E50" s="150"/>
      <c r="F50" s="150"/>
      <c r="G50" s="17" t="s">
        <v>73</v>
      </c>
      <c r="H50" s="17" t="s">
        <v>71</v>
      </c>
      <c r="I50" s="17">
        <f>'MERCADO TUSD'!$U$47</f>
        <v>0</v>
      </c>
      <c r="J50" s="15"/>
      <c r="L50" s="12">
        <f>('TUSD BE'!$L$50+'TUSD BF'!$L$50+'TUSD CVA'!$L$50)*(1 - CUSTOS!$M$40)</f>
        <v>1.223215114219341</v>
      </c>
      <c r="M50" s="12">
        <f>('TUSD BE'!$M$50+'TUSD BF'!$M$50+'TUSD CVA'!$M$50)*(1 - CUSTOS!$M$40)</f>
        <v>0.53504023479875562</v>
      </c>
      <c r="N50" s="12">
        <f ca="1">('TUSD BE'!$N$50+'TUSD BF'!$N$50+'TUSD CVA'!$N$50)*(1 - CUSTOS!$M$40)</f>
        <v>2.2672337290215303</v>
      </c>
      <c r="O50" s="12">
        <f>('TUSD BE'!$O$50+'TUSD BF'!$O$50+'TUSD CVA'!$O$50)*(1 - CUSTOS!$M$40)</f>
        <v>0</v>
      </c>
      <c r="P50" s="12">
        <f>('TUSD BE'!$P$50+'TUSD BF'!$P$50+'TUSD CVA'!$P$50)*(1 - CUSTOS!$M$40)</f>
        <v>0</v>
      </c>
      <c r="Q50" s="12">
        <f>('TUSD BE'!$Q$50+'TUSD BF'!$Q$50+'TUSD CVA'!$Q$50)*(1 - CUSTOS!$M$40)</f>
        <v>93.718908508689665</v>
      </c>
      <c r="R50" s="12">
        <f>('TUSD BE'!$R$50+'TUSD BF'!$R$50+'TUSD CVA'!$R$50)*(1 - CUSTOS!$M$40)</f>
        <v>15.871312770134608</v>
      </c>
      <c r="S50" s="12">
        <f>('TUSD BE'!$S$50+'TUSD BF'!$S$50+'TUSD CVA'!$S$50)*(1 - CUSTOS!$M$40)</f>
        <v>0</v>
      </c>
      <c r="T50" s="12">
        <f>('TUSD BE'!$U$50+'TUSD BF'!$U$50+'TUSD CVA'!$U$50)*(1 - CUSTOS!$M$40)</f>
        <v>0</v>
      </c>
      <c r="U50" s="12">
        <f>('TUSD BE'!$V$50+'TUSD BF'!$V$50+'TUSD CVA'!$V$50)*(1 - CUSTOS!$M$40)</f>
        <v>0</v>
      </c>
      <c r="V50" s="12">
        <f>('TUSD BE'!$W$50+'TUSD BF'!$W$50+'TUSD CVA'!$W$50)*(1 - CUSTOS!$M$40)</f>
        <v>0</v>
      </c>
      <c r="W50" s="12">
        <f>('TUSD BE'!$X$50+'TUSD BF'!$X$50+'TUSD CVA'!$X$50)*(1 - CUSTOS!$M$40)</f>
        <v>0</v>
      </c>
      <c r="X50" s="12">
        <f>('TUSD BE'!$Y$50+'TUSD BF'!$Y$50+'TUSD CVA'!$Y$50)*(1 - CUSTOS!$M$40)</f>
        <v>41.100292071759696</v>
      </c>
      <c r="Y50" s="12">
        <f>('TUSD BE'!$Z$50+'TUSD BF'!$Z$50+'TUSD CVA'!$Z$50)*(1 - CUSTOS!$M$40)</f>
        <v>0</v>
      </c>
      <c r="Z50" s="12">
        <f>('TUSD BE'!$AA$50+'TUSD BF'!$AA$50+'TUSD CVA'!$AA$50)*(1 - CUSTOS!$M$40)</f>
        <v>0</v>
      </c>
      <c r="AA50" s="12">
        <f>('TUSD BE'!$AC$50+'TUSD BF'!$AC$50+'TUSD CVA'!$AC$50)*(1 - CUSTOS!$M$40)</f>
        <v>66.776238273825527</v>
      </c>
      <c r="AB50" s="12">
        <f ca="1">('TUSD BE'!$AE$50+'TUSD BF'!$AE$50+'TUSD CVA'!$AE$50)*(1 - CUSTOS!$M$40)</f>
        <v>0</v>
      </c>
      <c r="AC50" s="12">
        <f ca="1">('TUSD BE'!$AF$50+'TUSD BF'!$AF$50+'TUSD CVA'!$AF$50)*(1 - CUSTOS!$M$40)</f>
        <v>0</v>
      </c>
      <c r="AD50" s="12">
        <f>('TUSD BE'!$AH$50+'TUSD BF'!$AH$50+'TUSD CVA'!$AH$50)*(1 - CUSTOS!$M$40)</f>
        <v>16.072212711995654</v>
      </c>
      <c r="AE50" s="12">
        <f>('TUSD BE'!$AI$50+'TUSD BF'!$AI$50+'TUSD CVA'!$AI$50)*(1 - CUSTOS!$M$40)</f>
        <v>0.59064379225439412</v>
      </c>
      <c r="AF50" s="12">
        <f ca="1">('TUSD BE'!$AJ$50+'TUSD BF'!$AJ$50+'TUSD CVA'!$AJ$50)*(1 - CUSTOS!$M$40)</f>
        <v>1.7540861125998586</v>
      </c>
      <c r="AG50" s="12">
        <f ca="1">('TUSD BE'!$AK$50+'TUSD BF'!$AK$50+'TUSD CVA'!$AK$50)*(1 - CUSTOS!$M$40)</f>
        <v>0.31936778235064733</v>
      </c>
      <c r="AI50" s="12">
        <v>2.8064117785368401</v>
      </c>
      <c r="AJ50" s="12">
        <v>0.45412987478340899</v>
      </c>
      <c r="AK50" s="12">
        <v>1.84937105528223</v>
      </c>
      <c r="AL50" s="12">
        <v>0</v>
      </c>
      <c r="AM50" s="12">
        <v>0</v>
      </c>
      <c r="AN50" s="12">
        <v>48.197973980863999</v>
      </c>
      <c r="AO50" s="12">
        <v>7.5036676113208403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38.6668231566617</v>
      </c>
      <c r="AV50" s="12">
        <v>0</v>
      </c>
      <c r="AW50" s="12">
        <v>0</v>
      </c>
      <c r="AX50" s="12">
        <v>57.798319365727103</v>
      </c>
      <c r="AY50" s="12">
        <v>0</v>
      </c>
      <c r="AZ50" s="12">
        <v>0</v>
      </c>
      <c r="BA50" s="12">
        <v>16.0014527786545</v>
      </c>
      <c r="BB50" s="12">
        <v>0.50411961690186502</v>
      </c>
      <c r="BC50" s="12">
        <v>1.9473525451613001</v>
      </c>
      <c r="BD50" s="12">
        <v>0.34242720813371902</v>
      </c>
    </row>
    <row r="51" spans="1:56" ht="11.25" customHeight="1" x14ac:dyDescent="0.25">
      <c r="A51" s="150"/>
      <c r="B51" s="18" t="s">
        <v>23</v>
      </c>
      <c r="C51" s="18" t="s">
        <v>45</v>
      </c>
      <c r="D51" s="18" t="s">
        <v>88</v>
      </c>
      <c r="E51" s="18" t="s">
        <v>25</v>
      </c>
      <c r="F51" s="18" t="s">
        <v>25</v>
      </c>
      <c r="G51" s="17" t="s">
        <v>75</v>
      </c>
      <c r="H51" s="17" t="s">
        <v>71</v>
      </c>
      <c r="I51" s="17">
        <f>'MERCADO TUSD'!$U$48</f>
        <v>0</v>
      </c>
      <c r="J51" s="15"/>
      <c r="L51" s="12">
        <f>('TUSD BE'!$L$51+'TUSD BF'!$L$51+'TUSD CVA'!$L$51)*(1 - CUSTOS!$M$40)</f>
        <v>1.223215114219341</v>
      </c>
      <c r="M51" s="12">
        <f>('TUSD BE'!$M$51+'TUSD BF'!$M$51+'TUSD CVA'!$M$51)*(1 - CUSTOS!$M$40)</f>
        <v>0.53504023479875562</v>
      </c>
      <c r="N51" s="12">
        <f ca="1">('TUSD BE'!$N$51+'TUSD BF'!$N$51+'TUSD CVA'!$N$51)*(1 - CUSTOS!$M$40)</f>
        <v>3.6325600292915206</v>
      </c>
      <c r="O51" s="12">
        <f>('TUSD BE'!$O$51+'TUSD BF'!$O$51+'TUSD CVA'!$O$51)*(1 - CUSTOS!$M$40)</f>
        <v>0</v>
      </c>
      <c r="P51" s="12">
        <f>('TUSD BE'!$P$51+'TUSD BF'!$P$51+'TUSD CVA'!$P$51)*(1 - CUSTOS!$M$40)</f>
        <v>0</v>
      </c>
      <c r="Q51" s="12">
        <f>('TUSD BE'!$Q$51+'TUSD BF'!$Q$51+'TUSD CVA'!$Q$51)*(1 - CUSTOS!$M$40)</f>
        <v>93.718908508689665</v>
      </c>
      <c r="R51" s="12">
        <f>('TUSD BE'!$R$51+'TUSD BF'!$R$51+'TUSD CVA'!$R$51)*(1 - CUSTOS!$M$40)</f>
        <v>15.871312770134608</v>
      </c>
      <c r="S51" s="12">
        <f>('TUSD BE'!$S$51+'TUSD BF'!$S$51+'TUSD CVA'!$S$51)*(1 - CUSTOS!$M$40)</f>
        <v>0</v>
      </c>
      <c r="T51" s="12">
        <f>('TUSD BE'!$U$51+'TUSD BF'!$U$51+'TUSD CVA'!$U$51)*(1 - CUSTOS!$M$40)</f>
        <v>0</v>
      </c>
      <c r="U51" s="12">
        <f>('TUSD BE'!$V$51+'TUSD BF'!$V$51+'TUSD CVA'!$V$51)*(1 - CUSTOS!$M$40)</f>
        <v>0</v>
      </c>
      <c r="V51" s="12">
        <f>('TUSD BE'!$W$51+'TUSD BF'!$W$51+'TUSD CVA'!$W$51)*(1 - CUSTOS!$M$40)</f>
        <v>0</v>
      </c>
      <c r="W51" s="12">
        <f>('TUSD BE'!$X$51+'TUSD BF'!$X$51+'TUSD CVA'!$X$51)*(1 - CUSTOS!$M$40)</f>
        <v>0</v>
      </c>
      <c r="X51" s="12">
        <f>('TUSD BE'!$Y$51+'TUSD BF'!$Y$51+'TUSD CVA'!$Y$51)*(1 - CUSTOS!$M$40)</f>
        <v>76.111700641277494</v>
      </c>
      <c r="Y51" s="12">
        <f>('TUSD BE'!$Z$51+'TUSD BF'!$Z$51+'TUSD CVA'!$Z$51)*(1 - CUSTOS!$M$40)</f>
        <v>0</v>
      </c>
      <c r="Z51" s="12">
        <f>('TUSD BE'!$AA$51+'TUSD BF'!$AA$51+'TUSD CVA'!$AA$51)*(1 - CUSTOS!$M$40)</f>
        <v>0</v>
      </c>
      <c r="AA51" s="12">
        <f>('TUSD BE'!$AC$51+'TUSD BF'!$AC$51+'TUSD CVA'!$AC$51)*(1 - CUSTOS!$M$40)</f>
        <v>123.65969252852436</v>
      </c>
      <c r="AB51" s="12">
        <f ca="1">('TUSD BE'!$AE$51+'TUSD BF'!$AE$51+'TUSD CVA'!$AE$51)*(1 - CUSTOS!$M$40)</f>
        <v>0</v>
      </c>
      <c r="AC51" s="12">
        <f ca="1">('TUSD BE'!$AF$51+'TUSD BF'!$AF$51+'TUSD CVA'!$AF$51)*(1 - CUSTOS!$M$40)</f>
        <v>0</v>
      </c>
      <c r="AD51" s="12">
        <f>('TUSD BE'!$AH$51+'TUSD BF'!$AH$51+'TUSD CVA'!$AH$51)*(1 - CUSTOS!$M$40)</f>
        <v>16.072212711995654</v>
      </c>
      <c r="AE51" s="12">
        <f>('TUSD BE'!$AI$51+'TUSD BF'!$AI$51+'TUSD CVA'!$AI$51)*(1 - CUSTOS!$M$40)</f>
        <v>0.59064379225439412</v>
      </c>
      <c r="AF51" s="12">
        <f ca="1">('TUSD BE'!$AJ$51+'TUSD BF'!$AJ$51+'TUSD CVA'!$AJ$51)*(1 - CUSTOS!$M$40)</f>
        <v>1.7540861125998586</v>
      </c>
      <c r="AG51" s="12">
        <f ca="1">('TUSD BE'!$AK$51+'TUSD BF'!$AK$51+'TUSD CVA'!$AK$51)*(1 - CUSTOS!$M$40)</f>
        <v>0.31936778235064733</v>
      </c>
      <c r="AI51" s="12">
        <v>2.8064117785368401</v>
      </c>
      <c r="AJ51" s="12">
        <v>0.45412987478340899</v>
      </c>
      <c r="AK51" s="12">
        <v>2.9697013587725398</v>
      </c>
      <c r="AL51" s="12">
        <v>0</v>
      </c>
      <c r="AM51" s="12">
        <v>0</v>
      </c>
      <c r="AN51" s="12">
        <v>48.197973980863999</v>
      </c>
      <c r="AO51" s="12">
        <v>7.5036676113208403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71.605273843569705</v>
      </c>
      <c r="AV51" s="12">
        <v>0</v>
      </c>
      <c r="AW51" s="12">
        <v>0</v>
      </c>
      <c r="AX51" s="12">
        <v>107.033917845486</v>
      </c>
      <c r="AY51" s="12">
        <v>0</v>
      </c>
      <c r="AZ51" s="12">
        <v>0</v>
      </c>
      <c r="BA51" s="12">
        <v>16.0014527786545</v>
      </c>
      <c r="BB51" s="12">
        <v>0.50411961690186502</v>
      </c>
      <c r="BC51" s="12">
        <v>1.9473525451613001</v>
      </c>
      <c r="BD51" s="12">
        <v>0.34242720813371902</v>
      </c>
    </row>
    <row r="52" spans="1:56" ht="11.25" customHeight="1" x14ac:dyDescent="0.25">
      <c r="A52" s="150"/>
      <c r="B52" s="150" t="s">
        <v>86</v>
      </c>
      <c r="C52" s="150" t="s">
        <v>45</v>
      </c>
      <c r="D52" s="18" t="s">
        <v>25</v>
      </c>
      <c r="E52" s="18" t="s">
        <v>25</v>
      </c>
      <c r="F52" s="18" t="s">
        <v>25</v>
      </c>
      <c r="G52" s="17" t="s">
        <v>75</v>
      </c>
      <c r="H52" s="17" t="s">
        <v>71</v>
      </c>
      <c r="I52" s="17">
        <f>'MERCADO TUSD'!$U$49</f>
        <v>0</v>
      </c>
      <c r="J52" s="15"/>
      <c r="L52" s="12">
        <f>('TUSD BE'!$L$52+'TUSD BF'!$L$52+'TUSD CVA'!$L$52)*(1 - CUSTOS!$M$38)</f>
        <v>1.2498067471371528</v>
      </c>
      <c r="M52" s="12">
        <f>('TUSD BE'!$M$52+'TUSD BF'!$M$52+'TUSD CVA'!$M$52)*(1 - CUSTOS!$M$38)</f>
        <v>0.54667154425090247</v>
      </c>
      <c r="N52" s="12">
        <f ca="1">('TUSD BE'!$N$52+'TUSD BF'!$N$52+'TUSD CVA'!$N$52)*(1 - CUSTOS!$M$38)</f>
        <v>3.7115287255804663</v>
      </c>
      <c r="O52" s="12">
        <f>('TUSD BE'!$O$52+'TUSD BF'!$O$52+'TUSD CVA'!$O$52)*(1 - CUSTOS!$M$38)</f>
        <v>0</v>
      </c>
      <c r="P52" s="12">
        <f>('TUSD BE'!$P$52+'TUSD BF'!$P$52+'TUSD CVA'!$P$52)*(1 - CUSTOS!$M$38)</f>
        <v>0</v>
      </c>
      <c r="Q52" s="12">
        <f>('TUSD BE'!$Q$52+'TUSD BF'!$Q$52+'TUSD CVA'!$Q$52)*(1 - CUSTOS!$M$38)</f>
        <v>95.756276084965521</v>
      </c>
      <c r="R52" s="12">
        <f>('TUSD BE'!$R$52+'TUSD BF'!$R$52+'TUSD CVA'!$R$52)*(1 - CUSTOS!$M$38)</f>
        <v>16.216341308615792</v>
      </c>
      <c r="S52" s="12">
        <f>('TUSD BE'!$S$52+'TUSD BF'!$S$52+'TUSD CVA'!$S$52)*(1 - CUSTOS!$M$38)</f>
        <v>0</v>
      </c>
      <c r="T52" s="12">
        <f>('TUSD BE'!$U$52+'TUSD BF'!$U$52+'TUSD CVA'!$U$52)*(1 - CUSTOS!$M$38)</f>
        <v>0</v>
      </c>
      <c r="U52" s="12">
        <f>('TUSD BE'!$V$52+'TUSD BF'!$V$52+'TUSD CVA'!$V$52)*(1 - CUSTOS!$M$38)</f>
        <v>0</v>
      </c>
      <c r="V52" s="12">
        <f>('TUSD BE'!$W$52+'TUSD BF'!$W$52+'TUSD CVA'!$W$52)*(1 - CUSTOS!$M$38)</f>
        <v>0</v>
      </c>
      <c r="W52" s="12">
        <f>('TUSD BE'!$X$52+'TUSD BF'!$X$52+'TUSD CVA'!$X$52)*(1 - CUSTOS!$M$38)</f>
        <v>0</v>
      </c>
      <c r="X52" s="12">
        <f>('TUSD BE'!$Y$52+'TUSD BF'!$Y$52+'TUSD CVA'!$Y$52)*(1 - CUSTOS!$M$38)</f>
        <v>77.766302829131348</v>
      </c>
      <c r="Y52" s="12">
        <f>('TUSD BE'!$Z$52+'TUSD BF'!$Z$52+'TUSD CVA'!$Z$52)*(1 - CUSTOS!$M$38)</f>
        <v>0</v>
      </c>
      <c r="Z52" s="12">
        <f>('TUSD BE'!$AA$52+'TUSD BF'!$AA$52+'TUSD CVA'!$AA$52)*(1 - CUSTOS!$M$38)</f>
        <v>0</v>
      </c>
      <c r="AA52" s="12">
        <f>('TUSD BE'!$AC$52+'TUSD BF'!$AC$52+'TUSD CVA'!$AC$52)*(1 - CUSTOS!$M$38)</f>
        <v>126.34794671392704</v>
      </c>
      <c r="AB52" s="12">
        <f ca="1">('TUSD BE'!$AE$52+'TUSD BF'!$AE$52+'TUSD CVA'!$AE$52)*(1 - CUSTOS!$M$38)</f>
        <v>0</v>
      </c>
      <c r="AC52" s="12">
        <f ca="1">('TUSD BE'!$AF$52+'TUSD BF'!$AF$52+'TUSD CVA'!$AF$52)*(1 - CUSTOS!$M$38)</f>
        <v>0</v>
      </c>
      <c r="AD52" s="12">
        <f>('TUSD BE'!$AH$52+'TUSD BF'!$AH$52+'TUSD CVA'!$AH$52)*(1 - CUSTOS!$M$38)</f>
        <v>16.421608640517299</v>
      </c>
      <c r="AE52" s="12">
        <f>('TUSD BE'!$AI$52+'TUSD BF'!$AI$52+'TUSD CVA'!$AI$52)*(1 - CUSTOS!$M$38)</f>
        <v>0.60348387469470699</v>
      </c>
      <c r="AF52" s="12">
        <f ca="1">('TUSD BE'!$AJ$52+'TUSD BF'!$AJ$52+'TUSD CVA'!$AJ$52)*(1 - CUSTOS!$M$38)</f>
        <v>1.7922184193955073</v>
      </c>
      <c r="AG52" s="12">
        <f ca="1">('TUSD BE'!$AK$52+'TUSD BF'!$AK$52+'TUSD CVA'!$AK$52)*(1 - CUSTOS!$M$38)</f>
        <v>0.32631056022783528</v>
      </c>
      <c r="AI52" s="12">
        <v>2.9400504346576399</v>
      </c>
      <c r="AJ52" s="12">
        <v>0.47575510691595202</v>
      </c>
      <c r="AK52" s="12">
        <v>3.1111157091902801</v>
      </c>
      <c r="AL52" s="12">
        <v>0</v>
      </c>
      <c r="AM52" s="12">
        <v>0</v>
      </c>
      <c r="AN52" s="12">
        <v>50.493115599000397</v>
      </c>
      <c r="AO52" s="12">
        <v>7.8609851166218299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75.015048788501602</v>
      </c>
      <c r="AV52" s="12">
        <v>0</v>
      </c>
      <c r="AW52" s="12">
        <v>0</v>
      </c>
      <c r="AX52" s="12">
        <v>112.13077107622399</v>
      </c>
      <c r="AY52" s="12">
        <v>0</v>
      </c>
      <c r="AZ52" s="12">
        <v>0</v>
      </c>
      <c r="BA52" s="12">
        <v>16.7634267204952</v>
      </c>
      <c r="BB52" s="12">
        <v>0.52812531294481102</v>
      </c>
      <c r="BC52" s="12">
        <v>2.0400836187404101</v>
      </c>
      <c r="BD52" s="12">
        <v>0.35873326566389602</v>
      </c>
    </row>
    <row r="53" spans="1:56" ht="11.25" customHeight="1" x14ac:dyDescent="0.25">
      <c r="A53" s="150"/>
      <c r="B53" s="150"/>
      <c r="C53" s="150"/>
      <c r="D53" s="18" t="s">
        <v>87</v>
      </c>
      <c r="E53" s="18" t="s">
        <v>25</v>
      </c>
      <c r="F53" s="18" t="s">
        <v>25</v>
      </c>
      <c r="G53" s="17" t="s">
        <v>75</v>
      </c>
      <c r="H53" s="17" t="s">
        <v>71</v>
      </c>
      <c r="I53" s="17">
        <f>'MERCADO TUSD'!$U$50</f>
        <v>0</v>
      </c>
      <c r="J53" s="15"/>
      <c r="L53" s="12">
        <f>('TUSD BE'!$L$53+'TUSD BF'!$L$53+'TUSD CVA'!$L$53)*(1 - CUSTOS!$M$39)</f>
        <v>1.2498067471371528</v>
      </c>
      <c r="M53" s="12">
        <f>('TUSD BE'!$M$53+'TUSD BF'!$M$53+'TUSD CVA'!$M$53)*(1 - CUSTOS!$M$39)</f>
        <v>0.54667154425090247</v>
      </c>
      <c r="N53" s="12">
        <f ca="1">('TUSD BE'!$N$53+'TUSD BF'!$N$53+'TUSD CVA'!$N$53)*(1 - CUSTOS!$M$39)</f>
        <v>3.7115287255804663</v>
      </c>
      <c r="O53" s="12">
        <f>('TUSD BE'!$O$53+'TUSD BF'!$O$53+'TUSD CVA'!$O$53)*(1 - CUSTOS!$M$39)</f>
        <v>0</v>
      </c>
      <c r="P53" s="12">
        <f>('TUSD BE'!$P$53+'TUSD BF'!$P$53+'TUSD CVA'!$P$53)*(1 - CUSTOS!$M$39)</f>
        <v>0</v>
      </c>
      <c r="Q53" s="12">
        <f>('TUSD BE'!$Q$53+'TUSD BF'!$Q$53+'TUSD CVA'!$Q$53)*(1 - CUSTOS!$M$39)</f>
        <v>95.756276084965521</v>
      </c>
      <c r="R53" s="12">
        <f>('TUSD BE'!$R$53+'TUSD BF'!$R$53+'TUSD CVA'!$R$53)*(1 - CUSTOS!$M$39)</f>
        <v>16.216341308615792</v>
      </c>
      <c r="S53" s="12">
        <f>('TUSD BE'!$S$53+'TUSD BF'!$S$53+'TUSD CVA'!$S$53)*(1 - CUSTOS!$M$39)</f>
        <v>0</v>
      </c>
      <c r="T53" s="12">
        <f>('TUSD BE'!$U$53+'TUSD BF'!$U$53+'TUSD CVA'!$U$53)*(1 - CUSTOS!$M$39)</f>
        <v>0</v>
      </c>
      <c r="U53" s="12">
        <f>('TUSD BE'!$V$53+'TUSD BF'!$V$53+'TUSD CVA'!$V$53)*(1 - CUSTOS!$M$39)</f>
        <v>0</v>
      </c>
      <c r="V53" s="12">
        <f>('TUSD BE'!$W$53+'TUSD BF'!$W$53+'TUSD CVA'!$W$53)*(1 - CUSTOS!$M$39)</f>
        <v>0</v>
      </c>
      <c r="W53" s="12">
        <f>('TUSD BE'!$X$53+'TUSD BF'!$X$53+'TUSD CVA'!$X$53)*(1 - CUSTOS!$M$39)</f>
        <v>0</v>
      </c>
      <c r="X53" s="12">
        <f>('TUSD BE'!$Y$53+'TUSD BF'!$Y$53+'TUSD CVA'!$Y$53)*(1 - CUSTOS!$M$39)</f>
        <v>77.766302829131348</v>
      </c>
      <c r="Y53" s="12">
        <f>('TUSD BE'!$Z$53+'TUSD BF'!$Z$53+'TUSD CVA'!$Z$53)*(1 - CUSTOS!$M$39)</f>
        <v>0</v>
      </c>
      <c r="Z53" s="12">
        <f>('TUSD BE'!$AA$53+'TUSD BF'!$AA$53+'TUSD CVA'!$AA$53)*(1 - CUSTOS!$M$39)</f>
        <v>0</v>
      </c>
      <c r="AA53" s="12">
        <f>('TUSD BE'!$AC$53+'TUSD BF'!$AC$53+'TUSD CVA'!$AC$53)*(1 - CUSTOS!$M$39)</f>
        <v>126.34794671392704</v>
      </c>
      <c r="AB53" s="12">
        <f ca="1">('TUSD BE'!$AE$53+'TUSD BF'!$AE$53+'TUSD CVA'!$AE$53)*(1 - CUSTOS!$M$39)</f>
        <v>0</v>
      </c>
      <c r="AC53" s="12">
        <f ca="1">('TUSD BE'!$AF$53+'TUSD BF'!$AF$53+'TUSD CVA'!$AF$53)*(1 - CUSTOS!$M$39)</f>
        <v>0</v>
      </c>
      <c r="AD53" s="12">
        <f>('TUSD BE'!$AH$53+'TUSD BF'!$AH$53+'TUSD CVA'!$AH$53)*(1 - CUSTOS!$M$39)</f>
        <v>16.421608640517299</v>
      </c>
      <c r="AE53" s="12">
        <f>('TUSD BE'!$AI$53+'TUSD BF'!$AI$53+'TUSD CVA'!$AI$53)*(1 - CUSTOS!$M$39)</f>
        <v>0.60348387469470699</v>
      </c>
      <c r="AF53" s="12">
        <f ca="1">('TUSD BE'!$AJ$53+'TUSD BF'!$AJ$53+'TUSD CVA'!$AJ$53)*(1 - CUSTOS!$M$39)</f>
        <v>1.7922184193955073</v>
      </c>
      <c r="AG53" s="12">
        <f ca="1">('TUSD BE'!$AK$53+'TUSD BF'!$AK$53+'TUSD CVA'!$AK$53)*(1 - CUSTOS!$M$39)</f>
        <v>0.32631056022783528</v>
      </c>
      <c r="AI53" s="12">
        <v>2.9400504346576399</v>
      </c>
      <c r="AJ53" s="12">
        <v>0.47575510691595202</v>
      </c>
      <c r="AK53" s="12">
        <v>3.1111157091902801</v>
      </c>
      <c r="AL53" s="12">
        <v>0</v>
      </c>
      <c r="AM53" s="12">
        <v>0</v>
      </c>
      <c r="AN53" s="12">
        <v>50.493115599000397</v>
      </c>
      <c r="AO53" s="12">
        <v>7.8609851166218299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75.015048788501602</v>
      </c>
      <c r="AV53" s="12">
        <v>0</v>
      </c>
      <c r="AW53" s="12">
        <v>0</v>
      </c>
      <c r="AX53" s="12">
        <v>112.13077107622399</v>
      </c>
      <c r="AY53" s="12">
        <v>0</v>
      </c>
      <c r="AZ53" s="12">
        <v>0</v>
      </c>
      <c r="BA53" s="12">
        <v>16.7634267204952</v>
      </c>
      <c r="BB53" s="12">
        <v>0.52812531294481102</v>
      </c>
      <c r="BC53" s="12">
        <v>2.0400836187404101</v>
      </c>
      <c r="BD53" s="12">
        <v>0.35873326566389602</v>
      </c>
    </row>
    <row r="54" spans="1:56" ht="11.25" customHeight="1" x14ac:dyDescent="0.25">
      <c r="A54" s="150"/>
      <c r="B54" s="150"/>
      <c r="C54" s="150"/>
      <c r="D54" s="18" t="s">
        <v>88</v>
      </c>
      <c r="E54" s="18" t="s">
        <v>25</v>
      </c>
      <c r="F54" s="18" t="s">
        <v>25</v>
      </c>
      <c r="G54" s="17" t="s">
        <v>75</v>
      </c>
      <c r="H54" s="17" t="s">
        <v>71</v>
      </c>
      <c r="I54" s="17">
        <f>'MERCADO TUSD'!$U$51</f>
        <v>0</v>
      </c>
      <c r="J54" s="15"/>
      <c r="L54" s="12">
        <f>('TUSD BE'!$L$54+'TUSD BF'!$L$54+'TUSD CVA'!$L$54)*(1 - CUSTOS!$M$40)</f>
        <v>1.223215114219341</v>
      </c>
      <c r="M54" s="12">
        <f>('TUSD BE'!$M$54+'TUSD BF'!$M$54+'TUSD CVA'!$M$54)*(1 - CUSTOS!$M$40)</f>
        <v>0.53504023479875562</v>
      </c>
      <c r="N54" s="12">
        <f ca="1">('TUSD BE'!$N$54+'TUSD BF'!$N$54+'TUSD CVA'!$N$54)*(1 - CUSTOS!$M$40)</f>
        <v>3.6325600292915206</v>
      </c>
      <c r="O54" s="12">
        <f>('TUSD BE'!$O$54+'TUSD BF'!$O$54+'TUSD CVA'!$O$54)*(1 - CUSTOS!$M$40)</f>
        <v>0</v>
      </c>
      <c r="P54" s="12">
        <f>('TUSD BE'!$P$54+'TUSD BF'!$P$54+'TUSD CVA'!$P$54)*(1 - CUSTOS!$M$40)</f>
        <v>0</v>
      </c>
      <c r="Q54" s="12">
        <f>('TUSD BE'!$Q$54+'TUSD BF'!$Q$54+'TUSD CVA'!$Q$54)*(1 - CUSTOS!$M$40)</f>
        <v>93.718908508689665</v>
      </c>
      <c r="R54" s="12">
        <f>('TUSD BE'!$R$54+'TUSD BF'!$R$54+'TUSD CVA'!$R$54)*(1 - CUSTOS!$M$40)</f>
        <v>15.871312770134608</v>
      </c>
      <c r="S54" s="12">
        <f>('TUSD BE'!$S$54+'TUSD BF'!$S$54+'TUSD CVA'!$S$54)*(1 - CUSTOS!$M$40)</f>
        <v>0</v>
      </c>
      <c r="T54" s="12">
        <f>('TUSD BE'!$U$54+'TUSD BF'!$U$54+'TUSD CVA'!$U$54)*(1 - CUSTOS!$M$40)</f>
        <v>0</v>
      </c>
      <c r="U54" s="12">
        <f>('TUSD BE'!$V$54+'TUSD BF'!$V$54+'TUSD CVA'!$V$54)*(1 - CUSTOS!$M$40)</f>
        <v>0</v>
      </c>
      <c r="V54" s="12">
        <f>('TUSD BE'!$W$54+'TUSD BF'!$W$54+'TUSD CVA'!$W$54)*(1 - CUSTOS!$M$40)</f>
        <v>0</v>
      </c>
      <c r="W54" s="12">
        <f>('TUSD BE'!$X$54+'TUSD BF'!$X$54+'TUSD CVA'!$X$54)*(1 - CUSTOS!$M$40)</f>
        <v>0</v>
      </c>
      <c r="X54" s="12">
        <f>('TUSD BE'!$Y$54+'TUSD BF'!$Y$54+'TUSD CVA'!$Y$54)*(1 - CUSTOS!$M$40)</f>
        <v>76.111700641277494</v>
      </c>
      <c r="Y54" s="12">
        <f>('TUSD BE'!$Z$54+'TUSD BF'!$Z$54+'TUSD CVA'!$Z$54)*(1 - CUSTOS!$M$40)</f>
        <v>0</v>
      </c>
      <c r="Z54" s="12">
        <f>('TUSD BE'!$AA$54+'TUSD BF'!$AA$54+'TUSD CVA'!$AA$54)*(1 - CUSTOS!$M$40)</f>
        <v>0</v>
      </c>
      <c r="AA54" s="12">
        <f>('TUSD BE'!$AC$54+'TUSD BF'!$AC$54+'TUSD CVA'!$AC$54)*(1 - CUSTOS!$M$40)</f>
        <v>123.65969252852436</v>
      </c>
      <c r="AB54" s="12">
        <f ca="1">('TUSD BE'!$AE$54+'TUSD BF'!$AE$54+'TUSD CVA'!$AE$54)*(1 - CUSTOS!$M$40)</f>
        <v>0</v>
      </c>
      <c r="AC54" s="12">
        <f ca="1">('TUSD BE'!$AF$54+'TUSD BF'!$AF$54+'TUSD CVA'!$AF$54)*(1 - CUSTOS!$M$40)</f>
        <v>0</v>
      </c>
      <c r="AD54" s="12">
        <f>('TUSD BE'!$AH$54+'TUSD BF'!$AH$54+'TUSD CVA'!$AH$54)*(1 - CUSTOS!$M$40)</f>
        <v>16.072212711995654</v>
      </c>
      <c r="AE54" s="12">
        <f>('TUSD BE'!$AI$54+'TUSD BF'!$AI$54+'TUSD CVA'!$AI$54)*(1 - CUSTOS!$M$40)</f>
        <v>0.59064379225439412</v>
      </c>
      <c r="AF54" s="12">
        <f ca="1">('TUSD BE'!$AJ$54+'TUSD BF'!$AJ$54+'TUSD CVA'!$AJ$54)*(1 - CUSTOS!$M$40)</f>
        <v>1.7540861125998586</v>
      </c>
      <c r="AG54" s="12">
        <f ca="1">('TUSD BE'!$AK$54+'TUSD BF'!$AK$54+'TUSD CVA'!$AK$54)*(1 - CUSTOS!$M$40)</f>
        <v>0.31936778235064733</v>
      </c>
      <c r="AI54" s="12">
        <v>2.8064117785368401</v>
      </c>
      <c r="AJ54" s="12">
        <v>0.45412987478340899</v>
      </c>
      <c r="AK54" s="12">
        <v>2.9697013587725398</v>
      </c>
      <c r="AL54" s="12">
        <v>0</v>
      </c>
      <c r="AM54" s="12">
        <v>0</v>
      </c>
      <c r="AN54" s="12">
        <v>48.197973980863999</v>
      </c>
      <c r="AO54" s="12">
        <v>7.5036676113208403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71.605273843569705</v>
      </c>
      <c r="AV54" s="12">
        <v>0</v>
      </c>
      <c r="AW54" s="12">
        <v>0</v>
      </c>
      <c r="AX54" s="12">
        <v>107.033917845486</v>
      </c>
      <c r="AY54" s="12">
        <v>0</v>
      </c>
      <c r="AZ54" s="12">
        <v>0</v>
      </c>
      <c r="BA54" s="12">
        <v>16.0014527786545</v>
      </c>
      <c r="BB54" s="12">
        <v>0.50411961690186502</v>
      </c>
      <c r="BC54" s="12">
        <v>1.9473525451613001</v>
      </c>
      <c r="BD54" s="12">
        <v>0.34242720813371902</v>
      </c>
    </row>
    <row r="55" spans="1:56" ht="11.25" customHeight="1" x14ac:dyDescent="0.25">
      <c r="A55" s="150" t="s">
        <v>39</v>
      </c>
      <c r="B55" s="150" t="s">
        <v>36</v>
      </c>
      <c r="C55" s="150" t="s">
        <v>25</v>
      </c>
      <c r="D55" s="150" t="s">
        <v>25</v>
      </c>
      <c r="E55" s="150" t="s">
        <v>25</v>
      </c>
      <c r="F55" s="150" t="s">
        <v>25</v>
      </c>
      <c r="G55" s="17" t="s">
        <v>72</v>
      </c>
      <c r="H55" s="17" t="s">
        <v>71</v>
      </c>
      <c r="I55" s="17">
        <f>'MERCADO TUSD'!$U$52</f>
        <v>43.234000000000002</v>
      </c>
      <c r="J55" s="15"/>
      <c r="L55" s="12">
        <f>('TUSD BE'!$L$55+'TUSD BF'!$L$55+'TUSD CVA'!$L$55)*1</f>
        <v>1.329581645890588</v>
      </c>
      <c r="M55" s="12">
        <f>('TUSD BE'!$M$55+'TUSD BF'!$M$55+'TUSD CVA'!$M$55)*1</f>
        <v>0.58156547260734304</v>
      </c>
      <c r="N55" s="12">
        <f ca="1">('TUSD BE'!$N$55+'TUSD BF'!$N$55+'TUSD CVA'!$N$55)*1</f>
        <v>12.013926661482301</v>
      </c>
      <c r="O55" s="12">
        <f>('TUSD BE'!$O$55+'TUSD BF'!$O$55+'TUSD CVA'!$O$55)*1</f>
        <v>0</v>
      </c>
      <c r="P55" s="12">
        <f>('TUSD BE'!$P$55+'TUSD BF'!$P$55+'TUSD CVA'!$P$55)*1</f>
        <v>0</v>
      </c>
      <c r="Q55" s="12">
        <f>('TUSD BE'!$Q$55+'TUSD BF'!$Q$55+'TUSD CVA'!$Q$55)*1</f>
        <v>101.86837881379311</v>
      </c>
      <c r="R55" s="12">
        <f>('TUSD BE'!$R$55+'TUSD BF'!$R$55+'TUSD CVA'!$R$55)*1</f>
        <v>17.251426924059356</v>
      </c>
      <c r="S55" s="12">
        <f>('TUSD BE'!$S$55+'TUSD BF'!$S$55+'TUSD CVA'!$S$55)*1</f>
        <v>0</v>
      </c>
      <c r="T55" s="12">
        <f>('TUSD BE'!$U$55+'TUSD BF'!$U$55+'TUSD CVA'!$U$55)*1</f>
        <v>0</v>
      </c>
      <c r="U55" s="12">
        <f>('TUSD BE'!$V$55+'TUSD BF'!$V$55+'TUSD CVA'!$V$55)*1</f>
        <v>0</v>
      </c>
      <c r="V55" s="12">
        <f>('TUSD BE'!$W$55+'TUSD BF'!$W$55+'TUSD CVA'!$W$55)*1</f>
        <v>0</v>
      </c>
      <c r="W55" s="12">
        <f>('TUSD BE'!$X$55+'TUSD BF'!$X$55+'TUSD CVA'!$X$55)*1</f>
        <v>0</v>
      </c>
      <c r="X55" s="12">
        <f>('TUSD BE'!$Y$55+'TUSD BF'!$Y$55+'TUSD CVA'!$Y$55)*1</f>
        <v>289.55531796698915</v>
      </c>
      <c r="Y55" s="12">
        <f>('TUSD BE'!$Z$55+'TUSD BF'!$Z$55+'TUSD CVA'!$Z$55)*1</f>
        <v>0</v>
      </c>
      <c r="Z55" s="12">
        <f>('TUSD BE'!$AA$55+'TUSD BF'!$AA$55+'TUSD CVA'!$AA$55)*1</f>
        <v>0</v>
      </c>
      <c r="AA55" s="12">
        <f>('TUSD BE'!$AC$55+'TUSD BF'!$AC$55+'TUSD CVA'!$AC$55)*1</f>
        <v>470.44471659886261</v>
      </c>
      <c r="AB55" s="12">
        <f ca="1">('TUSD BE'!$AE$55+'TUSD BF'!$AE$55+'TUSD CVA'!$AE$55)*1</f>
        <v>0</v>
      </c>
      <c r="AC55" s="12">
        <f ca="1">('TUSD BE'!$AF$55+'TUSD BF'!$AF$55+'TUSD CVA'!$AF$55)*1</f>
        <v>0</v>
      </c>
      <c r="AD55" s="12">
        <f>('TUSD BE'!$AH$55+'TUSD BF'!$AH$55+'TUSD CVA'!$AH$55)*1</f>
        <v>17.469796426082233</v>
      </c>
      <c r="AE55" s="12">
        <f>('TUSD BE'!$AI$55+'TUSD BF'!$AI$55+'TUSD CVA'!$AI$55)*1</f>
        <v>0.64200412201564572</v>
      </c>
      <c r="AF55" s="12">
        <f ca="1">('TUSD BE'!$AJ$55+'TUSD BF'!$AJ$55+'TUSD CVA'!$AJ$55)*1</f>
        <v>1.9066153397824548</v>
      </c>
      <c r="AG55" s="12">
        <f ca="1">('TUSD BE'!$AK$55+'TUSD BF'!$AK$55+'TUSD CVA'!$AK$55)*1</f>
        <v>0.34713889385939928</v>
      </c>
      <c r="AI55" s="12">
        <v>3.3409664030200501</v>
      </c>
      <c r="AJ55" s="12">
        <v>0.54063080331358204</v>
      </c>
      <c r="AK55" s="12">
        <v>10.7838734760766</v>
      </c>
      <c r="AL55" s="12">
        <v>0</v>
      </c>
      <c r="AM55" s="12">
        <v>0</v>
      </c>
      <c r="AN55" s="12">
        <v>57.378540453409599</v>
      </c>
      <c r="AO55" s="12">
        <v>8.9329376325248102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298.35524080149202</v>
      </c>
      <c r="AV55" s="12">
        <v>0</v>
      </c>
      <c r="AW55" s="12">
        <v>0</v>
      </c>
      <c r="AX55" s="12">
        <v>445.97487966359898</v>
      </c>
      <c r="AY55" s="12">
        <v>0</v>
      </c>
      <c r="AZ55" s="12">
        <v>0</v>
      </c>
      <c r="BA55" s="12">
        <v>19.049348546017299</v>
      </c>
      <c r="BB55" s="12">
        <v>0.60014240107364802</v>
      </c>
      <c r="BC55" s="12">
        <v>2.3182768394777402</v>
      </c>
      <c r="BD55" s="12">
        <v>0.40765143825442701</v>
      </c>
    </row>
    <row r="56" spans="1:56" ht="11.25" customHeight="1" x14ac:dyDescent="0.25">
      <c r="A56" s="150"/>
      <c r="B56" s="150"/>
      <c r="C56" s="150"/>
      <c r="D56" s="150"/>
      <c r="E56" s="150"/>
      <c r="F56" s="150"/>
      <c r="G56" s="17" t="s">
        <v>84</v>
      </c>
      <c r="H56" s="17" t="s">
        <v>71</v>
      </c>
      <c r="I56" s="17">
        <f>'MERCADO TUSD'!$U$53</f>
        <v>28.834999999999997</v>
      </c>
      <c r="J56" s="15"/>
      <c r="L56" s="12">
        <f>('TUSD BE'!$L$56+'TUSD BF'!$L$56+'TUSD CVA'!$L$56)*1</f>
        <v>1.329581645890588</v>
      </c>
      <c r="M56" s="12">
        <f>('TUSD BE'!$M$56+'TUSD BF'!$M$56+'TUSD CVA'!$M$56)*1</f>
        <v>0.58156547260734304</v>
      </c>
      <c r="N56" s="12">
        <f ca="1">('TUSD BE'!$N$56+'TUSD BF'!$N$56+'TUSD CVA'!$N$56)*1</f>
        <v>2.9805762987689848</v>
      </c>
      <c r="O56" s="12">
        <f>('TUSD BE'!$O$56+'TUSD BF'!$O$56+'TUSD CVA'!$O$56)*1</f>
        <v>0</v>
      </c>
      <c r="P56" s="12">
        <f>('TUSD BE'!$P$56+'TUSD BF'!$P$56+'TUSD CVA'!$P$56)*1</f>
        <v>0</v>
      </c>
      <c r="Q56" s="12">
        <f>('TUSD BE'!$Q$56+'TUSD BF'!$Q$56+'TUSD CVA'!$Q$56)*1</f>
        <v>101.86837881379311</v>
      </c>
      <c r="R56" s="12">
        <f>('TUSD BE'!$R$56+'TUSD BF'!$R$56+'TUSD CVA'!$R$56)*1</f>
        <v>17.251426924059356</v>
      </c>
      <c r="S56" s="12">
        <f>('TUSD BE'!$S$56+'TUSD BF'!$S$56+'TUSD CVA'!$S$56)*1</f>
        <v>0</v>
      </c>
      <c r="T56" s="12">
        <f>('TUSD BE'!$U$56+'TUSD BF'!$U$56+'TUSD CVA'!$U$56)*1</f>
        <v>0</v>
      </c>
      <c r="U56" s="12">
        <f>('TUSD BE'!$V$56+'TUSD BF'!$V$56+'TUSD CVA'!$V$56)*1</f>
        <v>0</v>
      </c>
      <c r="V56" s="12">
        <f>('TUSD BE'!$W$56+'TUSD BF'!$W$56+'TUSD CVA'!$W$56)*1</f>
        <v>0</v>
      </c>
      <c r="W56" s="12">
        <f>('TUSD BE'!$X$56+'TUSD BF'!$X$56+'TUSD CVA'!$X$56)*1</f>
        <v>0</v>
      </c>
      <c r="X56" s="12">
        <f>('TUSD BE'!$Y$56+'TUSD BF'!$Y$56+'TUSD CVA'!$Y$56)*1</f>
        <v>57.911063593397827</v>
      </c>
      <c r="Y56" s="12">
        <f>('TUSD BE'!$Z$56+'TUSD BF'!$Z$56+'TUSD CVA'!$Z$56)*1</f>
        <v>0</v>
      </c>
      <c r="Z56" s="12">
        <f>('TUSD BE'!$AA$56+'TUSD BF'!$AA$56+'TUSD CVA'!$AA$56)*1</f>
        <v>0</v>
      </c>
      <c r="AA56" s="12">
        <f>('TUSD BE'!$AC$56+'TUSD BF'!$AC$56+'TUSD CVA'!$AC$56)*1</f>
        <v>94.088919904433581</v>
      </c>
      <c r="AB56" s="12">
        <f ca="1">('TUSD BE'!$AE$56+'TUSD BF'!$AE$56+'TUSD CVA'!$AE$56)*1</f>
        <v>0</v>
      </c>
      <c r="AC56" s="12">
        <f ca="1">('TUSD BE'!$AF$56+'TUSD BF'!$AF$56+'TUSD CVA'!$AF$56)*1</f>
        <v>0</v>
      </c>
      <c r="AD56" s="12">
        <f>('TUSD BE'!$AH$56+'TUSD BF'!$AH$56+'TUSD CVA'!$AH$56)*1</f>
        <v>17.469796426082233</v>
      </c>
      <c r="AE56" s="12">
        <f>('TUSD BE'!$AI$56+'TUSD BF'!$AI$56+'TUSD CVA'!$AI$56)*1</f>
        <v>0.64200412201564572</v>
      </c>
      <c r="AF56" s="12">
        <f ca="1">('TUSD BE'!$AJ$56+'TUSD BF'!$AJ$56+'TUSD CVA'!$AJ$56)*1</f>
        <v>1.9066153397824548</v>
      </c>
      <c r="AG56" s="12">
        <f ca="1">('TUSD BE'!$AK$56+'TUSD BF'!$AK$56+'TUSD CVA'!$AK$56)*1</f>
        <v>0.34713889385939928</v>
      </c>
      <c r="AI56" s="12">
        <v>3.3409664030200501</v>
      </c>
      <c r="AJ56" s="12">
        <v>0.54063080331358204</v>
      </c>
      <c r="AK56" s="12">
        <v>2.66553744928264</v>
      </c>
      <c r="AL56" s="12">
        <v>0</v>
      </c>
      <c r="AM56" s="12">
        <v>0</v>
      </c>
      <c r="AN56" s="12">
        <v>57.378540453409599</v>
      </c>
      <c r="AO56" s="12">
        <v>8.9329376325248102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59.671048160298398</v>
      </c>
      <c r="AV56" s="12">
        <v>0</v>
      </c>
      <c r="AW56" s="12">
        <v>0</v>
      </c>
      <c r="AX56" s="12">
        <v>89.194953735312595</v>
      </c>
      <c r="AY56" s="12">
        <v>0</v>
      </c>
      <c r="AZ56" s="12">
        <v>0</v>
      </c>
      <c r="BA56" s="12">
        <v>19.049348546017299</v>
      </c>
      <c r="BB56" s="12">
        <v>0.60014240107364802</v>
      </c>
      <c r="BC56" s="12">
        <v>2.3182768394777402</v>
      </c>
      <c r="BD56" s="12">
        <v>0.40765143825442701</v>
      </c>
    </row>
    <row r="57" spans="1:56" ht="11.25" customHeight="1" x14ac:dyDescent="0.25">
      <c r="A57" s="150"/>
      <c r="B57" s="150"/>
      <c r="C57" s="150"/>
      <c r="D57" s="150"/>
      <c r="E57" s="150"/>
      <c r="F57" s="150"/>
      <c r="G57" s="17" t="s">
        <v>73</v>
      </c>
      <c r="H57" s="17" t="s">
        <v>71</v>
      </c>
      <c r="I57" s="17">
        <f>'MERCADO TUSD'!$U$54</f>
        <v>441.67400000000004</v>
      </c>
      <c r="J57" s="15"/>
      <c r="L57" s="12">
        <f>('TUSD BE'!$L$57+'TUSD BF'!$L$57+'TUSD CVA'!$L$57)*1</f>
        <v>1.329581645890588</v>
      </c>
      <c r="M57" s="12">
        <f>('TUSD BE'!$M$57+'TUSD BF'!$M$57+'TUSD CVA'!$M$57)*1</f>
        <v>0.58156547260734304</v>
      </c>
      <c r="N57" s="12">
        <f ca="1">('TUSD BE'!$N$57+'TUSD BF'!$N$57+'TUSD CVA'!$N$57)*1</f>
        <v>2.9805762987689848</v>
      </c>
      <c r="O57" s="12">
        <f>('TUSD BE'!$O$57+'TUSD BF'!$O$57+'TUSD CVA'!$O$57)*1</f>
        <v>0</v>
      </c>
      <c r="P57" s="12">
        <f>('TUSD BE'!$P$57+'TUSD BF'!$P$57+'TUSD CVA'!$P$57)*1</f>
        <v>0</v>
      </c>
      <c r="Q57" s="12">
        <f>('TUSD BE'!$Q$57+'TUSD BF'!$Q$57+'TUSD CVA'!$Q$57)*1</f>
        <v>101.86837881379311</v>
      </c>
      <c r="R57" s="12">
        <f>('TUSD BE'!$R$57+'TUSD BF'!$R$57+'TUSD CVA'!$R$57)*1</f>
        <v>17.251426924059356</v>
      </c>
      <c r="S57" s="12">
        <f>('TUSD BE'!$S$57+'TUSD BF'!$S$57+'TUSD CVA'!$S$57)*1</f>
        <v>0</v>
      </c>
      <c r="T57" s="12">
        <f>('TUSD BE'!$U$57+'TUSD BF'!$U$57+'TUSD CVA'!$U$57)*1</f>
        <v>0</v>
      </c>
      <c r="U57" s="12">
        <f>('TUSD BE'!$V$57+'TUSD BF'!$V$57+'TUSD CVA'!$V$57)*1</f>
        <v>0</v>
      </c>
      <c r="V57" s="12">
        <f>('TUSD BE'!$W$57+'TUSD BF'!$W$57+'TUSD CVA'!$W$57)*1</f>
        <v>0</v>
      </c>
      <c r="W57" s="12">
        <f>('TUSD BE'!$X$57+'TUSD BF'!$X$57+'TUSD CVA'!$X$57)*1</f>
        <v>0</v>
      </c>
      <c r="X57" s="12">
        <f>('TUSD BE'!$Y$57+'TUSD BF'!$Y$57+'TUSD CVA'!$Y$57)*1</f>
        <v>57.911063593397827</v>
      </c>
      <c r="Y57" s="12">
        <f>('TUSD BE'!$Z$57+'TUSD BF'!$Z$57+'TUSD CVA'!$Z$57)*1</f>
        <v>0</v>
      </c>
      <c r="Z57" s="12">
        <f>('TUSD BE'!$AA$57+'TUSD BF'!$AA$57+'TUSD CVA'!$AA$57)*1</f>
        <v>0</v>
      </c>
      <c r="AA57" s="12">
        <f>('TUSD BE'!$AC$57+'TUSD BF'!$AC$57+'TUSD CVA'!$AC$57)*1</f>
        <v>94.088919904433581</v>
      </c>
      <c r="AB57" s="12">
        <f ca="1">('TUSD BE'!$AE$57+'TUSD BF'!$AE$57+'TUSD CVA'!$AE$57)*1</f>
        <v>0</v>
      </c>
      <c r="AC57" s="12">
        <f ca="1">('TUSD BE'!$AF$57+'TUSD BF'!$AF$57+'TUSD CVA'!$AF$57)*1</f>
        <v>0</v>
      </c>
      <c r="AD57" s="12">
        <f>('TUSD BE'!$AH$57+'TUSD BF'!$AH$57+'TUSD CVA'!$AH$57)*1</f>
        <v>17.469796426082233</v>
      </c>
      <c r="AE57" s="12">
        <f>('TUSD BE'!$AI$57+'TUSD BF'!$AI$57+'TUSD CVA'!$AI$57)*1</f>
        <v>0.64200412201564572</v>
      </c>
      <c r="AF57" s="12">
        <f ca="1">('TUSD BE'!$AJ$57+'TUSD BF'!$AJ$57+'TUSD CVA'!$AJ$57)*1</f>
        <v>1.9066153397824548</v>
      </c>
      <c r="AG57" s="12">
        <f ca="1">('TUSD BE'!$AK$57+'TUSD BF'!$AK$57+'TUSD CVA'!$AK$57)*1</f>
        <v>0.34713889385939928</v>
      </c>
      <c r="AI57" s="12">
        <v>3.3409664030200501</v>
      </c>
      <c r="AJ57" s="12">
        <v>0.54063080331358204</v>
      </c>
      <c r="AK57" s="12">
        <v>2.66553744928264</v>
      </c>
      <c r="AL57" s="12">
        <v>0</v>
      </c>
      <c r="AM57" s="12">
        <v>0</v>
      </c>
      <c r="AN57" s="12">
        <v>57.378540453409599</v>
      </c>
      <c r="AO57" s="12">
        <v>8.9329376325248102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59.671048160298398</v>
      </c>
      <c r="AV57" s="12">
        <v>0</v>
      </c>
      <c r="AW57" s="12">
        <v>0</v>
      </c>
      <c r="AX57" s="12">
        <v>89.194953735312595</v>
      </c>
      <c r="AY57" s="12">
        <v>0</v>
      </c>
      <c r="AZ57" s="12">
        <v>0</v>
      </c>
      <c r="BA57" s="12">
        <v>19.049348546017299</v>
      </c>
      <c r="BB57" s="12">
        <v>0.60014240107364802</v>
      </c>
      <c r="BC57" s="12">
        <v>2.3182768394777402</v>
      </c>
      <c r="BD57" s="12">
        <v>0.40765143825442701</v>
      </c>
    </row>
    <row r="58" spans="1:56" ht="11.25" customHeight="1" x14ac:dyDescent="0.25">
      <c r="A58" s="150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75</v>
      </c>
      <c r="H58" s="17" t="s">
        <v>71</v>
      </c>
      <c r="I58" s="17">
        <f>'MERCADO TUSD'!$U$55</f>
        <v>28618.504000000001</v>
      </c>
      <c r="J58" s="15"/>
      <c r="L58" s="12">
        <f>('TUSD BE'!$L$58+'TUSD BF'!$L$58+'TUSD CVA'!$L$58)*1</f>
        <v>1.329581645890588</v>
      </c>
      <c r="M58" s="12">
        <f>('TUSD BE'!$M$58+'TUSD BF'!$M$58+'TUSD CVA'!$M$58)*1</f>
        <v>0.58156547260734304</v>
      </c>
      <c r="N58" s="12">
        <f ca="1">('TUSD BE'!$N$58+'TUSD BF'!$N$58+'TUSD CVA'!$N$58)*1</f>
        <v>3.9484348144473049</v>
      </c>
      <c r="O58" s="12">
        <f>('TUSD BE'!$O$58+'TUSD BF'!$O$58+'TUSD CVA'!$O$58)*1</f>
        <v>0</v>
      </c>
      <c r="P58" s="12">
        <f>('TUSD BE'!$P$58+'TUSD BF'!$P$58+'TUSD CVA'!$P$58)*1</f>
        <v>0</v>
      </c>
      <c r="Q58" s="12">
        <f>('TUSD BE'!$Q$58+'TUSD BF'!$Q$58+'TUSD CVA'!$Q$58)*1</f>
        <v>101.86837881379311</v>
      </c>
      <c r="R58" s="12">
        <f>('TUSD BE'!$R$58+'TUSD BF'!$R$58+'TUSD CVA'!$R$58)*1</f>
        <v>17.251426924059356</v>
      </c>
      <c r="S58" s="12">
        <f>('TUSD BE'!$S$58+'TUSD BF'!$S$58+'TUSD CVA'!$S$58)*1</f>
        <v>0</v>
      </c>
      <c r="T58" s="12">
        <f>('TUSD BE'!$U$58+'TUSD BF'!$U$58+'TUSD CVA'!$U$58)*1</f>
        <v>0</v>
      </c>
      <c r="U58" s="12">
        <f>('TUSD BE'!$V$58+'TUSD BF'!$V$58+'TUSD CVA'!$V$58)*1</f>
        <v>0</v>
      </c>
      <c r="V58" s="12">
        <f>('TUSD BE'!$W$58+'TUSD BF'!$W$58+'TUSD CVA'!$W$58)*1</f>
        <v>0</v>
      </c>
      <c r="W58" s="12">
        <f>('TUSD BE'!$X$58+'TUSD BF'!$X$58+'TUSD CVA'!$X$58)*1</f>
        <v>0</v>
      </c>
      <c r="X58" s="12">
        <f>('TUSD BE'!$Y$58+'TUSD BF'!$Y$58+'TUSD CVA'!$Y$58)*1</f>
        <v>82.730109392692924</v>
      </c>
      <c r="Y58" s="12">
        <f>('TUSD BE'!$Z$58+'TUSD BF'!$Z$58+'TUSD CVA'!$Z$58)*1</f>
        <v>0</v>
      </c>
      <c r="Z58" s="12">
        <f>('TUSD BE'!$AA$58+'TUSD BF'!$AA$58+'TUSD CVA'!$AA$58)*1</f>
        <v>0</v>
      </c>
      <c r="AA58" s="12">
        <f>('TUSD BE'!$AC$58+'TUSD BF'!$AC$58+'TUSD CVA'!$AC$58)*1</f>
        <v>134.41270927013517</v>
      </c>
      <c r="AB58" s="12">
        <f ca="1">('TUSD BE'!$AE$58+'TUSD BF'!$AE$58+'TUSD CVA'!$AE$58)*1</f>
        <v>0</v>
      </c>
      <c r="AC58" s="12">
        <f ca="1">('TUSD BE'!$AF$58+'TUSD BF'!$AF$58+'TUSD CVA'!$AF$58)*1</f>
        <v>0</v>
      </c>
      <c r="AD58" s="12">
        <f>('TUSD BE'!$AH$58+'TUSD BF'!$AH$58+'TUSD CVA'!$AH$58)*1</f>
        <v>17.469796426082233</v>
      </c>
      <c r="AE58" s="12">
        <f>('TUSD BE'!$AI$58+'TUSD BF'!$AI$58+'TUSD CVA'!$AI$58)*1</f>
        <v>0.64200412201564572</v>
      </c>
      <c r="AF58" s="12">
        <f ca="1">('TUSD BE'!$AJ$58+'TUSD BF'!$AJ$58+'TUSD CVA'!$AJ$58)*1</f>
        <v>1.9066153397824548</v>
      </c>
      <c r="AG58" s="12">
        <f ca="1">('TUSD BE'!$AK$58+'TUSD BF'!$AK$58+'TUSD CVA'!$AK$58)*1</f>
        <v>0.34713889385939928</v>
      </c>
      <c r="AI58" s="12">
        <v>3.3409664030200501</v>
      </c>
      <c r="AJ58" s="12">
        <v>0.54063080331358204</v>
      </c>
      <c r="AK58" s="12">
        <v>3.5353587604435002</v>
      </c>
      <c r="AL58" s="12">
        <v>0</v>
      </c>
      <c r="AM58" s="12">
        <v>0</v>
      </c>
      <c r="AN58" s="12">
        <v>57.378540453409599</v>
      </c>
      <c r="AO58" s="12">
        <v>8.9329376325248102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85.244373623297307</v>
      </c>
      <c r="AV58" s="12">
        <v>0</v>
      </c>
      <c r="AW58" s="12">
        <v>0</v>
      </c>
      <c r="AX58" s="12">
        <v>127.42133076843599</v>
      </c>
      <c r="AY58" s="12">
        <v>0</v>
      </c>
      <c r="AZ58" s="12">
        <v>0</v>
      </c>
      <c r="BA58" s="12">
        <v>19.049348546017299</v>
      </c>
      <c r="BB58" s="12">
        <v>0.60014240107364802</v>
      </c>
      <c r="BC58" s="12">
        <v>2.3182768394777402</v>
      </c>
      <c r="BD58" s="12">
        <v>0.40765143825442701</v>
      </c>
    </row>
    <row r="59" spans="1:56" ht="11.25" customHeight="1" x14ac:dyDescent="0.25">
      <c r="A59" s="150"/>
      <c r="B59" s="18" t="s">
        <v>86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75</v>
      </c>
      <c r="H59" s="17" t="s">
        <v>71</v>
      </c>
      <c r="I59" s="17">
        <f>'MERCADO TUSD'!$U$56</f>
        <v>0</v>
      </c>
      <c r="J59" s="15"/>
      <c r="L59" s="12">
        <f>('TUSD BE'!$L$59+'TUSD BF'!$L$59+'TUSD CVA'!$L$59)*1</f>
        <v>1.329581645890588</v>
      </c>
      <c r="M59" s="12">
        <f>('TUSD BE'!$M$59+'TUSD BF'!$M$59+'TUSD CVA'!$M$59)*1</f>
        <v>0.58156547260734304</v>
      </c>
      <c r="N59" s="12">
        <f ca="1">('TUSD BE'!$N$59+'TUSD BF'!$N$59+'TUSD CVA'!$N$59)*1</f>
        <v>3.9484348144473049</v>
      </c>
      <c r="O59" s="12">
        <f>('TUSD BE'!$O$59+'TUSD BF'!$O$59+'TUSD CVA'!$O$59)*1</f>
        <v>0</v>
      </c>
      <c r="P59" s="12">
        <f>('TUSD BE'!$P$59+'TUSD BF'!$P$59+'TUSD CVA'!$P$59)*1</f>
        <v>0</v>
      </c>
      <c r="Q59" s="12">
        <f>('TUSD BE'!$Q$59+'TUSD BF'!$Q$59+'TUSD CVA'!$Q$59)*1</f>
        <v>101.86837881379311</v>
      </c>
      <c r="R59" s="12">
        <f>('TUSD BE'!$R$59+'TUSD BF'!$R$59+'TUSD CVA'!$R$59)*1</f>
        <v>17.251426924059356</v>
      </c>
      <c r="S59" s="12">
        <f>('TUSD BE'!$S$59+'TUSD BF'!$S$59+'TUSD CVA'!$S$59)*1</f>
        <v>0</v>
      </c>
      <c r="T59" s="12">
        <f>('TUSD BE'!$U$59+'TUSD BF'!$U$59+'TUSD CVA'!$U$59)*1</f>
        <v>0</v>
      </c>
      <c r="U59" s="12">
        <f>('TUSD BE'!$V$59+'TUSD BF'!$V$59+'TUSD CVA'!$V$59)*1</f>
        <v>0</v>
      </c>
      <c r="V59" s="12">
        <f>('TUSD BE'!$W$59+'TUSD BF'!$W$59+'TUSD CVA'!$W$59)*1</f>
        <v>0</v>
      </c>
      <c r="W59" s="12">
        <f>('TUSD BE'!$X$59+'TUSD BF'!$X$59+'TUSD CVA'!$X$59)*1</f>
        <v>0</v>
      </c>
      <c r="X59" s="12">
        <f>('TUSD BE'!$Y$59+'TUSD BF'!$Y$59+'TUSD CVA'!$Y$59)*1</f>
        <v>82.730109392692924</v>
      </c>
      <c r="Y59" s="12">
        <f>('TUSD BE'!$Z$59+'TUSD BF'!$Z$59+'TUSD CVA'!$Z$59)*1</f>
        <v>0</v>
      </c>
      <c r="Z59" s="12">
        <f>('TUSD BE'!$AA$59+'TUSD BF'!$AA$59+'TUSD CVA'!$AA$59)*1</f>
        <v>0</v>
      </c>
      <c r="AA59" s="12">
        <f>('TUSD BE'!$AC$59+'TUSD BF'!$AC$59+'TUSD CVA'!$AC$59)*1</f>
        <v>134.41270927013517</v>
      </c>
      <c r="AB59" s="12">
        <f ca="1">('TUSD BE'!$AE$59+'TUSD BF'!$AE$59+'TUSD CVA'!$AE$59)*1</f>
        <v>0</v>
      </c>
      <c r="AC59" s="12">
        <f ca="1">('TUSD BE'!$AF$59+'TUSD BF'!$AF$59+'TUSD CVA'!$AF$59)*1</f>
        <v>0</v>
      </c>
      <c r="AD59" s="12">
        <f>('TUSD BE'!$AH$59+'TUSD BF'!$AH$59+'TUSD CVA'!$AH$59)*1</f>
        <v>17.469796426082233</v>
      </c>
      <c r="AE59" s="12">
        <f>('TUSD BE'!$AI$59+'TUSD BF'!$AI$59+'TUSD CVA'!$AI$59)*1</f>
        <v>0.64200412201564572</v>
      </c>
      <c r="AF59" s="12">
        <f ca="1">('TUSD BE'!$AJ$59+'TUSD BF'!$AJ$59+'TUSD CVA'!$AJ$59)*1</f>
        <v>1.9066153397824548</v>
      </c>
      <c r="AG59" s="12">
        <f ca="1">('TUSD BE'!$AK$59+'TUSD BF'!$AK$59+'TUSD CVA'!$AK$59)*1</f>
        <v>0.34713889385939928</v>
      </c>
      <c r="AI59" s="12">
        <v>3.3409664030200501</v>
      </c>
      <c r="AJ59" s="12">
        <v>0.54063080331358204</v>
      </c>
      <c r="AK59" s="12">
        <v>3.5353587604435002</v>
      </c>
      <c r="AL59" s="12">
        <v>0</v>
      </c>
      <c r="AM59" s="12">
        <v>0</v>
      </c>
      <c r="AN59" s="12">
        <v>57.378540453409599</v>
      </c>
      <c r="AO59" s="12">
        <v>8.9329376325248102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85.244373623297307</v>
      </c>
      <c r="AV59" s="12">
        <v>0</v>
      </c>
      <c r="AW59" s="12">
        <v>0</v>
      </c>
      <c r="AX59" s="12">
        <v>127.42133076843599</v>
      </c>
      <c r="AY59" s="12">
        <v>0</v>
      </c>
      <c r="AZ59" s="12">
        <v>0</v>
      </c>
      <c r="BA59" s="12">
        <v>19.049348546017299</v>
      </c>
      <c r="BB59" s="12">
        <v>0.60014240107364802</v>
      </c>
      <c r="BC59" s="12">
        <v>2.3182768394777402</v>
      </c>
      <c r="BD59" s="12">
        <v>0.40765143825442701</v>
      </c>
    </row>
    <row r="60" spans="1:56" ht="11.25" customHeight="1" x14ac:dyDescent="0.25">
      <c r="A60" s="150" t="s">
        <v>47</v>
      </c>
      <c r="B60" s="150" t="s">
        <v>23</v>
      </c>
      <c r="C60" s="150" t="s">
        <v>48</v>
      </c>
      <c r="D60" s="18" t="s">
        <v>49</v>
      </c>
      <c r="E60" s="18" t="s">
        <v>25</v>
      </c>
      <c r="F60" s="18" t="s">
        <v>25</v>
      </c>
      <c r="G60" s="17" t="s">
        <v>75</v>
      </c>
      <c r="H60" s="17" t="s">
        <v>71</v>
      </c>
      <c r="I60" s="17">
        <f>'MERCADO TUSD'!$U$57</f>
        <v>12200.506000000001</v>
      </c>
      <c r="J60" s="15"/>
      <c r="L60" s="12">
        <f>('TUSD BE'!$L$60+'TUSD BF'!$L$60+'TUSD CVA'!$L$60)*1</f>
        <v>0.73126990523982349</v>
      </c>
      <c r="M60" s="12">
        <f>('TUSD BE'!$M$60+'TUSD BF'!$M$60+'TUSD CVA'!$M$60)*1</f>
        <v>0.31986100993403865</v>
      </c>
      <c r="N60" s="12">
        <f ca="1">('TUSD BE'!$N$60+'TUSD BF'!$N$60+'TUSD CVA'!$N$60)*1</f>
        <v>2.1716391479460175</v>
      </c>
      <c r="O60" s="12">
        <f>('TUSD BE'!$O$60+'TUSD BF'!$O$60+'TUSD CVA'!$O$60)*1</f>
        <v>0</v>
      </c>
      <c r="P60" s="12">
        <f>('TUSD BE'!$P$60+'TUSD BF'!$P$60+'TUSD CVA'!$P$60)*1</f>
        <v>0</v>
      </c>
      <c r="Q60" s="12">
        <f>('TUSD BE'!$Q$60+'TUSD BF'!$Q$60+'TUSD CVA'!$Q$60)*1</f>
        <v>56.027608347586224</v>
      </c>
      <c r="R60" s="12">
        <f>('TUSD BE'!$R$60+'TUSD BF'!$R$60+'TUSD CVA'!$R$60)*1</f>
        <v>9.4882848082326454</v>
      </c>
      <c r="S60" s="12">
        <f>('TUSD BE'!$S$60+'TUSD BF'!$S$60+'TUSD CVA'!$S$60)*1</f>
        <v>0</v>
      </c>
      <c r="T60" s="12">
        <f>('TUSD BE'!$U$60+'TUSD BF'!$U$60+'TUSD CVA'!$U$60)*1</f>
        <v>0</v>
      </c>
      <c r="U60" s="12">
        <f>('TUSD BE'!$V$60+'TUSD BF'!$V$60+'TUSD CVA'!$V$60)*1</f>
        <v>0</v>
      </c>
      <c r="V60" s="12">
        <f>('TUSD BE'!$W$60+'TUSD BF'!$W$60+'TUSD CVA'!$W$60)*1</f>
        <v>0</v>
      </c>
      <c r="W60" s="12">
        <f>('TUSD BE'!$X$60+'TUSD BF'!$X$60+'TUSD CVA'!$X$60)*1</f>
        <v>0</v>
      </c>
      <c r="X60" s="12">
        <f>('TUSD BE'!$Y$60+'TUSD BF'!$Y$60+'TUSD CVA'!$Y$60)*1</f>
        <v>45.501560165981111</v>
      </c>
      <c r="Y60" s="12">
        <f>('TUSD BE'!$Z$60+'TUSD BF'!$Z$60+'TUSD CVA'!$Z$60)*1</f>
        <v>0</v>
      </c>
      <c r="Z60" s="12">
        <f>('TUSD BE'!$AA$60+'TUSD BF'!$AA$60+'TUSD CVA'!$AA$60)*1</f>
        <v>0</v>
      </c>
      <c r="AA60" s="12">
        <f>('TUSD BE'!$AC$60+'TUSD BF'!$AC$60+'TUSD CVA'!$AC$60)*1</f>
        <v>73.92699009857435</v>
      </c>
      <c r="AB60" s="12">
        <f ca="1">('TUSD BE'!$AE$60+'TUSD BF'!$AE$60+'TUSD CVA'!$AE$60)*1</f>
        <v>0</v>
      </c>
      <c r="AC60" s="12">
        <f ca="1">('TUSD BE'!$AF$60+'TUSD BF'!$AF$60+'TUSD CVA'!$AF$60)*1</f>
        <v>0</v>
      </c>
      <c r="AD60" s="12">
        <f>('TUSD BE'!$AH$60+'TUSD BF'!$AH$60+'TUSD CVA'!$AH$60)*1</f>
        <v>9.6083880343452268</v>
      </c>
      <c r="AE60" s="12">
        <f>('TUSD BE'!$AI$60+'TUSD BF'!$AI$60+'TUSD CVA'!$AI$60)*1</f>
        <v>0.35310226710860515</v>
      </c>
      <c r="AF60" s="12">
        <f ca="1">('TUSD BE'!$AJ$60+'TUSD BF'!$AJ$60+'TUSD CVA'!$AJ$60)*1</f>
        <v>1.0486384368803501</v>
      </c>
      <c r="AG60" s="12">
        <f ca="1">('TUSD BE'!$AK$60+'TUSD BF'!$AK$60+'TUSD CVA'!$AK$60)*1</f>
        <v>0.19092639162266961</v>
      </c>
      <c r="AI60" s="12">
        <v>1.83753152166103</v>
      </c>
      <c r="AJ60" s="12">
        <v>0.29734694182247001</v>
      </c>
      <c r="AK60" s="12">
        <v>1.9444473182439199</v>
      </c>
      <c r="AL60" s="12">
        <v>0</v>
      </c>
      <c r="AM60" s="12">
        <v>0</v>
      </c>
      <c r="AN60" s="12">
        <v>31.558197249375301</v>
      </c>
      <c r="AO60" s="12">
        <v>4.9131156978886503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46.884405492813499</v>
      </c>
      <c r="AV60" s="12">
        <v>0</v>
      </c>
      <c r="AW60" s="12">
        <v>0</v>
      </c>
      <c r="AX60" s="12">
        <v>70.081731922639904</v>
      </c>
      <c r="AY60" s="12">
        <v>0</v>
      </c>
      <c r="AZ60" s="12">
        <v>0</v>
      </c>
      <c r="BA60" s="12">
        <v>10.477141700309501</v>
      </c>
      <c r="BB60" s="12">
        <v>0.33007832059050701</v>
      </c>
      <c r="BC60" s="12">
        <v>1.27505226171276</v>
      </c>
      <c r="BD60" s="12">
        <v>0.224208291039935</v>
      </c>
    </row>
    <row r="61" spans="1:56" ht="11.25" customHeight="1" x14ac:dyDescent="0.25">
      <c r="A61" s="150"/>
      <c r="B61" s="150"/>
      <c r="C61" s="150"/>
      <c r="D61" s="17" t="s">
        <v>89</v>
      </c>
      <c r="E61" s="17" t="s">
        <v>25</v>
      </c>
      <c r="F61" s="17" t="s">
        <v>25</v>
      </c>
      <c r="G61" s="17" t="s">
        <v>75</v>
      </c>
      <c r="H61" s="17" t="s">
        <v>71</v>
      </c>
      <c r="I61" s="17">
        <f>'MERCADO TUSD'!$U$58</f>
        <v>0</v>
      </c>
      <c r="J61" s="15"/>
      <c r="L61" s="12">
        <f>('TUSD BE'!$L$61+'TUSD BF'!$L$61+'TUSD CVA'!$L$61)*1</f>
        <v>0.79774898753435275</v>
      </c>
      <c r="M61" s="12">
        <f>('TUSD BE'!$M$61+'TUSD BF'!$M$61+'TUSD CVA'!$M$61)*1</f>
        <v>0.34893928356440579</v>
      </c>
      <c r="N61" s="12">
        <f ca="1">('TUSD BE'!$N$61+'TUSD BF'!$N$61+'TUSD CVA'!$N$61)*1</f>
        <v>2.3690608886683822</v>
      </c>
      <c r="O61" s="12">
        <f>('TUSD BE'!$O$61+'TUSD BF'!$O$61+'TUSD CVA'!$O$61)*1</f>
        <v>0</v>
      </c>
      <c r="P61" s="12">
        <f>('TUSD BE'!$P$61+'TUSD BF'!$P$61+'TUSD CVA'!$P$61)*1</f>
        <v>0</v>
      </c>
      <c r="Q61" s="12">
        <f>('TUSD BE'!$Q$61+'TUSD BF'!$Q$61+'TUSD CVA'!$Q$61)*1</f>
        <v>61.121027288275876</v>
      </c>
      <c r="R61" s="12">
        <f>('TUSD BE'!$R$61+'TUSD BF'!$R$61+'TUSD CVA'!$R$61)*1</f>
        <v>10.350856154435613</v>
      </c>
      <c r="S61" s="12">
        <f>('TUSD BE'!$S$61+'TUSD BF'!$S$61+'TUSD CVA'!$S$61)*1</f>
        <v>0</v>
      </c>
      <c r="T61" s="12">
        <f>('TUSD BE'!$U$61+'TUSD BF'!$U$61+'TUSD CVA'!$U$61)*1</f>
        <v>0</v>
      </c>
      <c r="U61" s="12">
        <f>('TUSD BE'!$V$61+'TUSD BF'!$V$61+'TUSD CVA'!$V$61)*1</f>
        <v>0</v>
      </c>
      <c r="V61" s="12">
        <f>('TUSD BE'!$W$61+'TUSD BF'!$W$61+'TUSD CVA'!$W$61)*1</f>
        <v>0</v>
      </c>
      <c r="W61" s="12">
        <f>('TUSD BE'!$X$61+'TUSD BF'!$X$61+'TUSD CVA'!$X$61)*1</f>
        <v>0</v>
      </c>
      <c r="X61" s="12">
        <f>('TUSD BE'!$Y$61+'TUSD BF'!$Y$61+'TUSD CVA'!$Y$61)*1</f>
        <v>49.63806563561576</v>
      </c>
      <c r="Y61" s="12">
        <f>('TUSD BE'!$Z$61+'TUSD BF'!$Z$61+'TUSD CVA'!$Z$61)*1</f>
        <v>0</v>
      </c>
      <c r="Z61" s="12">
        <f>('TUSD BE'!$AA$61+'TUSD BF'!$AA$61+'TUSD CVA'!$AA$61)*1</f>
        <v>0</v>
      </c>
      <c r="AA61" s="12">
        <f>('TUSD BE'!$AC$61+'TUSD BF'!$AC$61+'TUSD CVA'!$AC$61)*1</f>
        <v>80.647625562081103</v>
      </c>
      <c r="AB61" s="12">
        <f ca="1">('TUSD BE'!$AE$61+'TUSD BF'!$AE$61+'TUSD CVA'!$AE$61)*1</f>
        <v>0</v>
      </c>
      <c r="AC61" s="12">
        <f ca="1">('TUSD BE'!$AF$61+'TUSD BF'!$AF$61+'TUSD CVA'!$AF$61)*1</f>
        <v>0</v>
      </c>
      <c r="AD61" s="12">
        <f>('TUSD BE'!$AH$61+'TUSD BF'!$AH$61+'TUSD CVA'!$AH$61)*1</f>
        <v>10.481877855649341</v>
      </c>
      <c r="AE61" s="12">
        <f>('TUSD BE'!$AI$61+'TUSD BF'!$AI$61+'TUSD CVA'!$AI$61)*1</f>
        <v>0.38520247320938744</v>
      </c>
      <c r="AF61" s="12">
        <f ca="1">('TUSD BE'!$AJ$61+'TUSD BF'!$AJ$61+'TUSD CVA'!$AJ$61)*1</f>
        <v>1.1439692038694727</v>
      </c>
      <c r="AG61" s="12">
        <f ca="1">('TUSD BE'!$AK$61+'TUSD BF'!$AK$61+'TUSD CVA'!$AK$61)*1</f>
        <v>0.20828333631563956</v>
      </c>
      <c r="AI61" s="12">
        <v>2.00457984181203</v>
      </c>
      <c r="AJ61" s="12">
        <v>0.324378481988149</v>
      </c>
      <c r="AK61" s="12">
        <v>2.1212152562661002</v>
      </c>
      <c r="AL61" s="12">
        <v>0</v>
      </c>
      <c r="AM61" s="12">
        <v>0</v>
      </c>
      <c r="AN61" s="12">
        <v>34.427124272045702</v>
      </c>
      <c r="AO61" s="12">
        <v>5.3597625795148902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51.146624173978402</v>
      </c>
      <c r="AV61" s="12">
        <v>0</v>
      </c>
      <c r="AW61" s="12">
        <v>0</v>
      </c>
      <c r="AX61" s="12">
        <v>76.452798461061704</v>
      </c>
      <c r="AY61" s="12">
        <v>0</v>
      </c>
      <c r="AZ61" s="12">
        <v>0</v>
      </c>
      <c r="BA61" s="12">
        <v>11.4296091276104</v>
      </c>
      <c r="BB61" s="12">
        <v>0.36008544064418901</v>
      </c>
      <c r="BC61" s="12">
        <v>1.3909661036866401</v>
      </c>
      <c r="BD61" s="12">
        <v>0.244590862952656</v>
      </c>
    </row>
    <row r="63" spans="1:56" ht="11.25" customHeight="1" x14ac:dyDescent="0.25">
      <c r="L63" s="147" t="s">
        <v>882</v>
      </c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I63" s="147" t="s">
        <v>883</v>
      </c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</row>
    <row r="64" spans="1:56" ht="11.25" customHeight="1" x14ac:dyDescent="0.25">
      <c r="L64" s="147" t="s">
        <v>581</v>
      </c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I64" s="147" t="s">
        <v>581</v>
      </c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</row>
    <row r="65" spans="1:56" ht="11.25" customHeight="1" x14ac:dyDescent="0.25">
      <c r="L65" s="147" t="s">
        <v>582</v>
      </c>
      <c r="M65" s="147"/>
      <c r="N65" s="147"/>
      <c r="O65" s="147"/>
      <c r="P65" s="147"/>
      <c r="Q65" s="147"/>
      <c r="R65" s="147"/>
      <c r="S65" s="147"/>
      <c r="T65" s="147" t="s">
        <v>591</v>
      </c>
      <c r="U65" s="147"/>
      <c r="V65" s="147"/>
      <c r="W65" s="147"/>
      <c r="X65" s="147"/>
      <c r="Y65" s="147"/>
      <c r="Z65" s="147"/>
      <c r="AA65" s="10" t="s">
        <v>599</v>
      </c>
      <c r="AB65" s="147" t="s">
        <v>601</v>
      </c>
      <c r="AC65" s="147"/>
      <c r="AD65" s="147" t="s">
        <v>604</v>
      </c>
      <c r="AE65" s="147"/>
      <c r="AF65" s="147"/>
      <c r="AG65" s="147"/>
      <c r="AI65" s="147" t="s">
        <v>582</v>
      </c>
      <c r="AJ65" s="147"/>
      <c r="AK65" s="147"/>
      <c r="AL65" s="147"/>
      <c r="AM65" s="147"/>
      <c r="AN65" s="147"/>
      <c r="AO65" s="147"/>
      <c r="AP65" s="147"/>
      <c r="AQ65" s="147" t="s">
        <v>591</v>
      </c>
      <c r="AR65" s="147"/>
      <c r="AS65" s="147"/>
      <c r="AT65" s="147"/>
      <c r="AU65" s="147"/>
      <c r="AV65" s="147"/>
      <c r="AW65" s="147"/>
      <c r="AX65" s="10" t="s">
        <v>599</v>
      </c>
      <c r="AY65" s="147" t="s">
        <v>601</v>
      </c>
      <c r="AZ65" s="147"/>
      <c r="BA65" s="147" t="s">
        <v>604</v>
      </c>
      <c r="BB65" s="147"/>
      <c r="BC65" s="147"/>
      <c r="BD65" s="147"/>
    </row>
    <row r="66" spans="1:56" ht="11.25" customHeight="1" x14ac:dyDescent="0.25">
      <c r="L66" s="10" t="s">
        <v>667</v>
      </c>
      <c r="M66" s="10" t="s">
        <v>583</v>
      </c>
      <c r="N66" s="10" t="s">
        <v>584</v>
      </c>
      <c r="O66" s="10" t="s">
        <v>585</v>
      </c>
      <c r="P66" s="10" t="s">
        <v>586</v>
      </c>
      <c r="Q66" s="10" t="s">
        <v>587</v>
      </c>
      <c r="R66" s="10" t="s">
        <v>588</v>
      </c>
      <c r="S66" s="10" t="s">
        <v>589</v>
      </c>
      <c r="T66" s="10" t="s">
        <v>592</v>
      </c>
      <c r="U66" s="10" t="s">
        <v>593</v>
      </c>
      <c r="V66" s="10" t="s">
        <v>594</v>
      </c>
      <c r="W66" s="10" t="s">
        <v>595</v>
      </c>
      <c r="X66" s="10" t="s">
        <v>596</v>
      </c>
      <c r="Y66" s="10" t="s">
        <v>597</v>
      </c>
      <c r="Z66" s="10" t="s">
        <v>598</v>
      </c>
      <c r="AA66" s="10" t="s">
        <v>600</v>
      </c>
      <c r="AB66" s="10" t="s">
        <v>602</v>
      </c>
      <c r="AC66" s="10" t="s">
        <v>603</v>
      </c>
      <c r="AD66" s="10" t="s">
        <v>605</v>
      </c>
      <c r="AE66" s="10" t="s">
        <v>606</v>
      </c>
      <c r="AF66" s="10" t="s">
        <v>607</v>
      </c>
      <c r="AG66" s="10" t="s">
        <v>608</v>
      </c>
      <c r="AI66" s="10" t="s">
        <v>667</v>
      </c>
      <c r="AJ66" s="10" t="s">
        <v>583</v>
      </c>
      <c r="AK66" s="10" t="s">
        <v>584</v>
      </c>
      <c r="AL66" s="10" t="s">
        <v>585</v>
      </c>
      <c r="AM66" s="10" t="s">
        <v>586</v>
      </c>
      <c r="AN66" s="10" t="s">
        <v>587</v>
      </c>
      <c r="AO66" s="10" t="s">
        <v>588</v>
      </c>
      <c r="AP66" s="10" t="s">
        <v>589</v>
      </c>
      <c r="AQ66" s="10" t="s">
        <v>592</v>
      </c>
      <c r="AR66" s="10" t="s">
        <v>593</v>
      </c>
      <c r="AS66" s="10" t="s">
        <v>594</v>
      </c>
      <c r="AT66" s="10" t="s">
        <v>595</v>
      </c>
      <c r="AU66" s="10" t="s">
        <v>596</v>
      </c>
      <c r="AV66" s="10" t="s">
        <v>597</v>
      </c>
      <c r="AW66" s="10" t="s">
        <v>598</v>
      </c>
      <c r="AX66" s="10" t="s">
        <v>600</v>
      </c>
      <c r="AY66" s="10" t="s">
        <v>602</v>
      </c>
      <c r="AZ66" s="10" t="s">
        <v>603</v>
      </c>
      <c r="BA66" s="10" t="s">
        <v>605</v>
      </c>
      <c r="BB66" s="10" t="s">
        <v>606</v>
      </c>
      <c r="BC66" s="10" t="s">
        <v>607</v>
      </c>
      <c r="BD66" s="10" t="s">
        <v>608</v>
      </c>
    </row>
    <row r="67" spans="1:56" ht="11.25" customHeight="1" x14ac:dyDescent="0.25">
      <c r="A67" s="9" t="s">
        <v>42</v>
      </c>
      <c r="B67" s="9" t="s">
        <v>884</v>
      </c>
      <c r="C67" s="9" t="s">
        <v>885</v>
      </c>
      <c r="D67" s="9" t="s">
        <v>886</v>
      </c>
      <c r="E67" s="9" t="s">
        <v>887</v>
      </c>
      <c r="F67" s="9" t="s">
        <v>888</v>
      </c>
      <c r="G67" s="9" t="s">
        <v>889</v>
      </c>
      <c r="L67" s="12">
        <f>$I$5*$L$5</f>
        <v>0</v>
      </c>
      <c r="M67" s="12">
        <f>$I$5*$M$5</f>
        <v>0</v>
      </c>
      <c r="N67" s="12">
        <f ca="1">$I$5*$N$5</f>
        <v>0</v>
      </c>
      <c r="O67" s="12">
        <f>$I$5*$O$5</f>
        <v>0</v>
      </c>
      <c r="P67" s="12">
        <f>$I$5*$P$5</f>
        <v>0</v>
      </c>
      <c r="Q67" s="12">
        <f>$I$5*$Q$5</f>
        <v>0</v>
      </c>
      <c r="R67" s="12">
        <f>$I$5*$R$5</f>
        <v>0</v>
      </c>
      <c r="S67" s="12">
        <f>$I$5*$S$5</f>
        <v>0</v>
      </c>
      <c r="T67" s="12">
        <f>$I$5*$T$5</f>
        <v>0</v>
      </c>
      <c r="U67" s="12">
        <f>$I$5*$U$5</f>
        <v>0</v>
      </c>
      <c r="V67" s="12">
        <f>$I$5*$V$5</f>
        <v>0</v>
      </c>
      <c r="W67" s="12">
        <f>$I$5*$W$5</f>
        <v>0</v>
      </c>
      <c r="X67" s="12">
        <f>$I$5*$X$5</f>
        <v>0</v>
      </c>
      <c r="Y67" s="12">
        <f>$I$5*$Y$5</f>
        <v>0</v>
      </c>
      <c r="Z67" s="12">
        <f>$I$5*$Z$5</f>
        <v>0</v>
      </c>
      <c r="AA67" s="12">
        <f>$I$5*$AA$5</f>
        <v>0</v>
      </c>
      <c r="AB67" s="12">
        <f ca="1">$I$5*$AB$5</f>
        <v>0</v>
      </c>
      <c r="AC67" s="12">
        <f ca="1">$I$5*$AC$5</f>
        <v>0</v>
      </c>
      <c r="AD67" s="12">
        <f>$I$5*$AD$5</f>
        <v>0</v>
      </c>
      <c r="AE67" s="12">
        <f>$I$5*$AE$5</f>
        <v>0</v>
      </c>
      <c r="AF67" s="12">
        <f ca="1">$I$5*$AF$5</f>
        <v>0</v>
      </c>
      <c r="AG67" s="12">
        <f ca="1">$I$5*$AG$5</f>
        <v>0</v>
      </c>
      <c r="AI67" s="12">
        <f>$I$5*$AI$5</f>
        <v>0</v>
      </c>
      <c r="AJ67" s="12">
        <f>$I$5*$AJ$5</f>
        <v>0</v>
      </c>
      <c r="AK67" s="12">
        <f>$I$5*$AK$5</f>
        <v>0</v>
      </c>
      <c r="AL67" s="12">
        <f>$I$5*$AL$5</f>
        <v>0</v>
      </c>
      <c r="AM67" s="12">
        <f>$I$5*$AM$5</f>
        <v>0</v>
      </c>
      <c r="AN67" s="12">
        <f>$I$5*$AN$5</f>
        <v>0</v>
      </c>
      <c r="AO67" s="12">
        <f>$I$5*$AO$5</f>
        <v>0</v>
      </c>
      <c r="AP67" s="12">
        <f>$I$5*$AP$5</f>
        <v>0</v>
      </c>
      <c r="AQ67" s="12">
        <f>$I$5*$AQ$5</f>
        <v>0</v>
      </c>
      <c r="AR67" s="12">
        <f>$I$5*$AR$5</f>
        <v>0</v>
      </c>
      <c r="AS67" s="12">
        <f>$I$5*$AS$5</f>
        <v>0</v>
      </c>
      <c r="AT67" s="12">
        <f>$I$5*$AT$5</f>
        <v>0</v>
      </c>
      <c r="AU67" s="12">
        <f>$I$5*$AU$5</f>
        <v>0</v>
      </c>
      <c r="AV67" s="12">
        <f>$I$5*$AV$5</f>
        <v>0</v>
      </c>
      <c r="AW67" s="12">
        <f>$I$5*$AW$5</f>
        <v>0</v>
      </c>
      <c r="AX67" s="12">
        <f>$I$5*$AX$5</f>
        <v>0</v>
      </c>
      <c r="AY67" s="12">
        <f>$I$5*$AY$5</f>
        <v>0</v>
      </c>
      <c r="AZ67" s="12">
        <f>$I$5*$AZ$5</f>
        <v>0</v>
      </c>
      <c r="BA67" s="12">
        <f>$I$5*$BA$5</f>
        <v>0</v>
      </c>
      <c r="BB67" s="12">
        <f>$I$5*$BB$5</f>
        <v>0</v>
      </c>
      <c r="BC67" s="12">
        <f>$I$5*$BC$5</f>
        <v>0</v>
      </c>
      <c r="BD67" s="12">
        <f>$I$5*$BD$5</f>
        <v>0</v>
      </c>
    </row>
    <row r="68" spans="1:56" ht="11.25" customHeight="1" x14ac:dyDescent="0.25">
      <c r="A68" s="9" t="s">
        <v>42</v>
      </c>
      <c r="B68" s="9" t="s">
        <v>884</v>
      </c>
      <c r="C68" s="9" t="s">
        <v>885</v>
      </c>
      <c r="D68" s="9" t="s">
        <v>886</v>
      </c>
      <c r="E68" s="9" t="s">
        <v>887</v>
      </c>
      <c r="F68" s="9" t="s">
        <v>888</v>
      </c>
      <c r="G68" s="9" t="s">
        <v>890</v>
      </c>
      <c r="L68" s="12">
        <f>$I$6*$L$6</f>
        <v>0</v>
      </c>
      <c r="M68" s="12">
        <f>$I$6*$M$6</f>
        <v>0</v>
      </c>
      <c r="N68" s="12">
        <f ca="1">$I$6*$N$6</f>
        <v>0</v>
      </c>
      <c r="O68" s="12">
        <f>$I$6*$O$6</f>
        <v>0</v>
      </c>
      <c r="P68" s="12">
        <f>$I$6*$P$6</f>
        <v>0</v>
      </c>
      <c r="Q68" s="12">
        <f>$I$6*$Q$6</f>
        <v>0</v>
      </c>
      <c r="R68" s="12">
        <f>$I$6*$R$6</f>
        <v>0</v>
      </c>
      <c r="S68" s="12">
        <f>$I$6*$S$6</f>
        <v>0</v>
      </c>
      <c r="T68" s="12">
        <f>$I$6*$T$6</f>
        <v>0</v>
      </c>
      <c r="U68" s="12">
        <f>$I$6*$U$6</f>
        <v>0</v>
      </c>
      <c r="V68" s="12">
        <f>$I$6*$V$6</f>
        <v>0</v>
      </c>
      <c r="W68" s="12">
        <f>$I$6*$W$6</f>
        <v>0</v>
      </c>
      <c r="X68" s="12">
        <f>$I$6*$X$6</f>
        <v>0</v>
      </c>
      <c r="Y68" s="12">
        <f>$I$6*$Y$6</f>
        <v>0</v>
      </c>
      <c r="Z68" s="12">
        <f>$I$6*$Z$6</f>
        <v>0</v>
      </c>
      <c r="AA68" s="12">
        <f>$I$6*$AA$6</f>
        <v>0</v>
      </c>
      <c r="AB68" s="12">
        <f ca="1">$I$6*$AB$6</f>
        <v>0</v>
      </c>
      <c r="AC68" s="12">
        <f ca="1">$I$6*$AC$6</f>
        <v>0</v>
      </c>
      <c r="AD68" s="12">
        <f>$I$6*$AD$6</f>
        <v>0</v>
      </c>
      <c r="AE68" s="12">
        <f>$I$6*$AE$6</f>
        <v>0</v>
      </c>
      <c r="AF68" s="12">
        <f ca="1">$I$6*$AF$6</f>
        <v>0</v>
      </c>
      <c r="AG68" s="12">
        <f ca="1">$I$6*$AG$6</f>
        <v>0</v>
      </c>
      <c r="AI68" s="12">
        <f>$I$6*$AI$6</f>
        <v>0</v>
      </c>
      <c r="AJ68" s="12">
        <f>$I$6*$AJ$6</f>
        <v>0</v>
      </c>
      <c r="AK68" s="12">
        <f>$I$6*$AK$6</f>
        <v>0</v>
      </c>
      <c r="AL68" s="12">
        <f>$I$6*$AL$6</f>
        <v>0</v>
      </c>
      <c r="AM68" s="12">
        <f>$I$6*$AM$6</f>
        <v>0</v>
      </c>
      <c r="AN68" s="12">
        <f>$I$6*$AN$6</f>
        <v>0</v>
      </c>
      <c r="AO68" s="12">
        <f>$I$6*$AO$6</f>
        <v>0</v>
      </c>
      <c r="AP68" s="12">
        <f>$I$6*$AP$6</f>
        <v>0</v>
      </c>
      <c r="AQ68" s="12">
        <f>$I$6*$AQ$6</f>
        <v>0</v>
      </c>
      <c r="AR68" s="12">
        <f>$I$6*$AR$6</f>
        <v>0</v>
      </c>
      <c r="AS68" s="12">
        <f>$I$6*$AS$6</f>
        <v>0</v>
      </c>
      <c r="AT68" s="12">
        <f>$I$6*$AT$6</f>
        <v>0</v>
      </c>
      <c r="AU68" s="12">
        <f>$I$6*$AU$6</f>
        <v>0</v>
      </c>
      <c r="AV68" s="12">
        <f>$I$6*$AV$6</f>
        <v>0</v>
      </c>
      <c r="AW68" s="12">
        <f>$I$6*$AW$6</f>
        <v>0</v>
      </c>
      <c r="AX68" s="12">
        <f>$I$6*$AX$6</f>
        <v>0</v>
      </c>
      <c r="AY68" s="12">
        <f>$I$6*$AY$6</f>
        <v>0</v>
      </c>
      <c r="AZ68" s="12">
        <f>$I$6*$AZ$6</f>
        <v>0</v>
      </c>
      <c r="BA68" s="12">
        <f>$I$6*$BA$6</f>
        <v>0</v>
      </c>
      <c r="BB68" s="12">
        <f>$I$6*$BB$6</f>
        <v>0</v>
      </c>
      <c r="BC68" s="12">
        <f>$I$6*$BC$6</f>
        <v>0</v>
      </c>
      <c r="BD68" s="12">
        <f>$I$6*$BD$6</f>
        <v>0</v>
      </c>
    </row>
    <row r="69" spans="1:56" ht="11.25" customHeight="1" x14ac:dyDescent="0.25">
      <c r="A69" s="9" t="s">
        <v>42</v>
      </c>
      <c r="B69" s="9" t="s">
        <v>884</v>
      </c>
      <c r="C69" s="9" t="s">
        <v>885</v>
      </c>
      <c r="D69" s="9" t="s">
        <v>886</v>
      </c>
      <c r="E69" s="9" t="s">
        <v>887</v>
      </c>
      <c r="F69" s="9" t="s">
        <v>888</v>
      </c>
      <c r="G69" s="9" t="s">
        <v>891</v>
      </c>
      <c r="L69" s="12">
        <f>$I$7*$L$7</f>
        <v>0</v>
      </c>
      <c r="M69" s="12">
        <f>$I$7*$M$7</f>
        <v>0</v>
      </c>
      <c r="N69" s="12">
        <f ca="1">$I$7*$N$7</f>
        <v>0</v>
      </c>
      <c r="O69" s="12">
        <f>$I$7*$O$7</f>
        <v>0</v>
      </c>
      <c r="P69" s="12">
        <f>$I$7*$P$7</f>
        <v>0</v>
      </c>
      <c r="Q69" s="12">
        <f>$I$7*$Q$7</f>
        <v>0</v>
      </c>
      <c r="R69" s="12">
        <f>$I$7*$R$7</f>
        <v>0</v>
      </c>
      <c r="S69" s="12">
        <f>$I$7*$S$7</f>
        <v>0</v>
      </c>
      <c r="T69" s="12">
        <f>$I$7*$T$7</f>
        <v>0</v>
      </c>
      <c r="U69" s="12">
        <f>$I$7*$U$7</f>
        <v>0</v>
      </c>
      <c r="V69" s="12">
        <f>$I$7*$V$7</f>
        <v>0</v>
      </c>
      <c r="W69" s="12">
        <f>$I$7*$W$7</f>
        <v>0</v>
      </c>
      <c r="X69" s="12">
        <f>$I$7*$X$7</f>
        <v>0</v>
      </c>
      <c r="Y69" s="12">
        <f>$I$7*$Y$7</f>
        <v>0</v>
      </c>
      <c r="Z69" s="12">
        <f>$I$7*$Z$7</f>
        <v>0</v>
      </c>
      <c r="AA69" s="12">
        <f>$I$7*$AA$7</f>
        <v>0</v>
      </c>
      <c r="AB69" s="12">
        <f ca="1">$I$7*$AB$7</f>
        <v>0</v>
      </c>
      <c r="AC69" s="12">
        <f ca="1">$I$7*$AC$7</f>
        <v>0</v>
      </c>
      <c r="AD69" s="12">
        <f>$I$7*$AD$7</f>
        <v>0</v>
      </c>
      <c r="AE69" s="12">
        <f>$I$7*$AE$7</f>
        <v>0</v>
      </c>
      <c r="AF69" s="12">
        <f ca="1">$I$7*$AF$7</f>
        <v>0</v>
      </c>
      <c r="AG69" s="12">
        <f ca="1">$I$7*$AG$7</f>
        <v>0</v>
      </c>
      <c r="AI69" s="12">
        <f>$I$7*$AI$7</f>
        <v>0</v>
      </c>
      <c r="AJ69" s="12">
        <f>$I$7*$AJ$7</f>
        <v>0</v>
      </c>
      <c r="AK69" s="12">
        <f>$I$7*$AK$7</f>
        <v>0</v>
      </c>
      <c r="AL69" s="12">
        <f>$I$7*$AL$7</f>
        <v>0</v>
      </c>
      <c r="AM69" s="12">
        <f>$I$7*$AM$7</f>
        <v>0</v>
      </c>
      <c r="AN69" s="12">
        <f>$I$7*$AN$7</f>
        <v>0</v>
      </c>
      <c r="AO69" s="12">
        <f>$I$7*$AO$7</f>
        <v>0</v>
      </c>
      <c r="AP69" s="12">
        <f>$I$7*$AP$7</f>
        <v>0</v>
      </c>
      <c r="AQ69" s="12">
        <f>$I$7*$AQ$7</f>
        <v>0</v>
      </c>
      <c r="AR69" s="12">
        <f>$I$7*$AR$7</f>
        <v>0</v>
      </c>
      <c r="AS69" s="12">
        <f>$I$7*$AS$7</f>
        <v>0</v>
      </c>
      <c r="AT69" s="12">
        <f>$I$7*$AT$7</f>
        <v>0</v>
      </c>
      <c r="AU69" s="12">
        <f>$I$7*$AU$7</f>
        <v>0</v>
      </c>
      <c r="AV69" s="12">
        <f>$I$7*$AV$7</f>
        <v>0</v>
      </c>
      <c r="AW69" s="12">
        <f>$I$7*$AW$7</f>
        <v>0</v>
      </c>
      <c r="AX69" s="12">
        <f>$I$7*$AX$7</f>
        <v>0</v>
      </c>
      <c r="AY69" s="12">
        <f>$I$7*$AY$7</f>
        <v>0</v>
      </c>
      <c r="AZ69" s="12">
        <f>$I$7*$AZ$7</f>
        <v>0</v>
      </c>
      <c r="BA69" s="12">
        <f>$I$7*$BA$7</f>
        <v>0</v>
      </c>
      <c r="BB69" s="12">
        <f>$I$7*$BB$7</f>
        <v>0</v>
      </c>
      <c r="BC69" s="12">
        <f>$I$7*$BC$7</f>
        <v>0</v>
      </c>
      <c r="BD69" s="12">
        <f>$I$7*$BD$7</f>
        <v>0</v>
      </c>
    </row>
    <row r="70" spans="1:56" ht="11.25" customHeight="1" x14ac:dyDescent="0.25">
      <c r="A70" s="9" t="s">
        <v>42</v>
      </c>
      <c r="B70" s="9" t="s">
        <v>884</v>
      </c>
      <c r="C70" s="9" t="s">
        <v>885</v>
      </c>
      <c r="D70" s="9" t="s">
        <v>886</v>
      </c>
      <c r="E70" s="9" t="s">
        <v>892</v>
      </c>
      <c r="F70" s="9" t="s">
        <v>893</v>
      </c>
      <c r="G70" s="9" t="s">
        <v>894</v>
      </c>
      <c r="L70" s="12">
        <f>$I$8*$L$8</f>
        <v>0</v>
      </c>
      <c r="M70" s="12">
        <f>$I$8*$M$8</f>
        <v>0</v>
      </c>
      <c r="N70" s="12">
        <f ca="1">$I$8*$N$8</f>
        <v>0</v>
      </c>
      <c r="O70" s="12">
        <f>$I$8*$O$8</f>
        <v>0</v>
      </c>
      <c r="P70" s="12">
        <f>$I$8*$P$8</f>
        <v>0</v>
      </c>
      <c r="Q70" s="12">
        <f>$I$8*$Q$8</f>
        <v>0</v>
      </c>
      <c r="R70" s="12">
        <f>$I$8*$R$8</f>
        <v>0</v>
      </c>
      <c r="S70" s="12">
        <f>$I$8*$S$8</f>
        <v>0</v>
      </c>
      <c r="T70" s="12">
        <f>$I$8*$T$8</f>
        <v>0</v>
      </c>
      <c r="U70" s="12">
        <f>$I$8*$U$8</f>
        <v>0</v>
      </c>
      <c r="V70" s="12">
        <f>$I$8*$V$8</f>
        <v>0</v>
      </c>
      <c r="W70" s="12">
        <f>$I$8*$W$8</f>
        <v>0</v>
      </c>
      <c r="X70" s="12">
        <f>$I$8*$X$8</f>
        <v>0</v>
      </c>
      <c r="Y70" s="12">
        <f>$I$8*$Y$8</f>
        <v>0</v>
      </c>
      <c r="Z70" s="12">
        <f>$I$8*$Z$8</f>
        <v>0</v>
      </c>
      <c r="AA70" s="12">
        <f>$I$8*$AA$8</f>
        <v>0</v>
      </c>
      <c r="AB70" s="12">
        <f ca="1">$I$8*$AB$8</f>
        <v>0</v>
      </c>
      <c r="AC70" s="12">
        <f ca="1">$I$8*$AC$8</f>
        <v>0</v>
      </c>
      <c r="AD70" s="12">
        <f>$I$8*$AD$8</f>
        <v>0</v>
      </c>
      <c r="AE70" s="12">
        <f>$I$8*$AE$8</f>
        <v>0</v>
      </c>
      <c r="AF70" s="12">
        <f ca="1">$I$8*$AF$8</f>
        <v>0</v>
      </c>
      <c r="AG70" s="12">
        <f ca="1">$I$8*$AG$8</f>
        <v>0</v>
      </c>
      <c r="AI70" s="12">
        <f>$I$8*$AI$8</f>
        <v>0</v>
      </c>
      <c r="AJ70" s="12">
        <f>$I$8*$AJ$8</f>
        <v>0</v>
      </c>
      <c r="AK70" s="12">
        <f>$I$8*$AK$8</f>
        <v>0</v>
      </c>
      <c r="AL70" s="12">
        <f>$I$8*$AL$8</f>
        <v>0</v>
      </c>
      <c r="AM70" s="12">
        <f>$I$8*$AM$8</f>
        <v>0</v>
      </c>
      <c r="AN70" s="12">
        <f>$I$8*$AN$8</f>
        <v>0</v>
      </c>
      <c r="AO70" s="12">
        <f>$I$8*$AO$8</f>
        <v>0</v>
      </c>
      <c r="AP70" s="12">
        <f>$I$8*$AP$8</f>
        <v>0</v>
      </c>
      <c r="AQ70" s="12">
        <f>$I$8*$AQ$8</f>
        <v>0</v>
      </c>
      <c r="AR70" s="12">
        <f>$I$8*$AR$8</f>
        <v>0</v>
      </c>
      <c r="AS70" s="12">
        <f>$I$8*$AS$8</f>
        <v>0</v>
      </c>
      <c r="AT70" s="12">
        <f>$I$8*$AT$8</f>
        <v>0</v>
      </c>
      <c r="AU70" s="12">
        <f>$I$8*$AU$8</f>
        <v>0</v>
      </c>
      <c r="AV70" s="12">
        <f>$I$8*$AV$8</f>
        <v>0</v>
      </c>
      <c r="AW70" s="12">
        <f>$I$8*$AW$8</f>
        <v>0</v>
      </c>
      <c r="AX70" s="12">
        <f>$I$8*$AX$8</f>
        <v>0</v>
      </c>
      <c r="AY70" s="12">
        <f>$I$8*$AY$8</f>
        <v>0</v>
      </c>
      <c r="AZ70" s="12">
        <f>$I$8*$AZ$8</f>
        <v>0</v>
      </c>
      <c r="BA70" s="12">
        <f>$I$8*$BA$8</f>
        <v>0</v>
      </c>
      <c r="BB70" s="12">
        <f>$I$8*$BB$8</f>
        <v>0</v>
      </c>
      <c r="BC70" s="12">
        <f>$I$8*$BC$8</f>
        <v>0</v>
      </c>
      <c r="BD70" s="12">
        <f>$I$8*$BD$8</f>
        <v>0</v>
      </c>
    </row>
    <row r="71" spans="1:56" ht="11.25" customHeight="1" x14ac:dyDescent="0.25">
      <c r="A71" s="9" t="s">
        <v>42</v>
      </c>
      <c r="B71" s="9" t="s">
        <v>895</v>
      </c>
      <c r="C71" s="9" t="s">
        <v>896</v>
      </c>
      <c r="D71" s="9" t="s">
        <v>897</v>
      </c>
      <c r="E71" s="9" t="s">
        <v>898</v>
      </c>
      <c r="F71" s="9" t="s">
        <v>899</v>
      </c>
      <c r="G71" s="9" t="s">
        <v>900</v>
      </c>
      <c r="L71" s="12">
        <f>$I$9*$L$9</f>
        <v>0</v>
      </c>
      <c r="M71" s="12">
        <f>$I$9*$M$9</f>
        <v>0</v>
      </c>
      <c r="N71" s="12">
        <f ca="1">$I$9*$N$9</f>
        <v>0</v>
      </c>
      <c r="O71" s="12">
        <f>$I$9*$O$9</f>
        <v>0</v>
      </c>
      <c r="P71" s="12">
        <f>$I$9*$P$9</f>
        <v>0</v>
      </c>
      <c r="Q71" s="12">
        <f>$I$9*$Q$9</f>
        <v>0</v>
      </c>
      <c r="R71" s="12">
        <f>$I$9*$R$9</f>
        <v>0</v>
      </c>
      <c r="S71" s="12">
        <f>$I$9*$S$9</f>
        <v>0</v>
      </c>
      <c r="T71" s="12">
        <f>$I$9*$T$9</f>
        <v>0</v>
      </c>
      <c r="U71" s="12">
        <f>$I$9*$U$9</f>
        <v>0</v>
      </c>
      <c r="V71" s="12">
        <f>$I$9*$V$9</f>
        <v>0</v>
      </c>
      <c r="W71" s="12">
        <f>$I$9*$W$9</f>
        <v>0</v>
      </c>
      <c r="X71" s="12">
        <f>$I$9*$X$9</f>
        <v>0</v>
      </c>
      <c r="Y71" s="12">
        <f>$I$9*$Y$9</f>
        <v>0</v>
      </c>
      <c r="Z71" s="12">
        <f>$I$9*$Z$9</f>
        <v>0</v>
      </c>
      <c r="AA71" s="12">
        <f>$I$9*$AA$9</f>
        <v>0</v>
      </c>
      <c r="AB71" s="12">
        <f ca="1">$I$9*$AB$9</f>
        <v>0</v>
      </c>
      <c r="AC71" s="12">
        <f ca="1">$I$9*$AC$9</f>
        <v>0</v>
      </c>
      <c r="AD71" s="12">
        <f>$I$9*$AD$9</f>
        <v>0</v>
      </c>
      <c r="AE71" s="12">
        <f>$I$9*$AE$9</f>
        <v>0</v>
      </c>
      <c r="AF71" s="12">
        <f ca="1">$I$9*$AF$9</f>
        <v>0</v>
      </c>
      <c r="AG71" s="12">
        <f ca="1">$I$9*$AG$9</f>
        <v>0</v>
      </c>
      <c r="AI71" s="12">
        <f>$I$9*$AI$9</f>
        <v>0</v>
      </c>
      <c r="AJ71" s="12">
        <f>$I$9*$AJ$9</f>
        <v>0</v>
      </c>
      <c r="AK71" s="12">
        <f>$I$9*$AK$9</f>
        <v>0</v>
      </c>
      <c r="AL71" s="12">
        <f>$I$9*$AL$9</f>
        <v>0</v>
      </c>
      <c r="AM71" s="12">
        <f>$I$9*$AM$9</f>
        <v>0</v>
      </c>
      <c r="AN71" s="12">
        <f>$I$9*$AN$9</f>
        <v>0</v>
      </c>
      <c r="AO71" s="12">
        <f>$I$9*$AO$9</f>
        <v>0</v>
      </c>
      <c r="AP71" s="12">
        <f>$I$9*$AP$9</f>
        <v>0</v>
      </c>
      <c r="AQ71" s="12">
        <f>$I$9*$AQ$9</f>
        <v>0</v>
      </c>
      <c r="AR71" s="12">
        <f>$I$9*$AR$9</f>
        <v>0</v>
      </c>
      <c r="AS71" s="12">
        <f>$I$9*$AS$9</f>
        <v>0</v>
      </c>
      <c r="AT71" s="12">
        <f>$I$9*$AT$9</f>
        <v>0</v>
      </c>
      <c r="AU71" s="12">
        <f>$I$9*$AU$9</f>
        <v>0</v>
      </c>
      <c r="AV71" s="12">
        <f>$I$9*$AV$9</f>
        <v>0</v>
      </c>
      <c r="AW71" s="12">
        <f>$I$9*$AW$9</f>
        <v>0</v>
      </c>
      <c r="AX71" s="12">
        <f>$I$9*$AX$9</f>
        <v>0</v>
      </c>
      <c r="AY71" s="12">
        <f>$I$9*$AY$9</f>
        <v>0</v>
      </c>
      <c r="AZ71" s="12">
        <f>$I$9*$AZ$9</f>
        <v>0</v>
      </c>
      <c r="BA71" s="12">
        <f>$I$9*$BA$9</f>
        <v>0</v>
      </c>
      <c r="BB71" s="12">
        <f>$I$9*$BB$9</f>
        <v>0</v>
      </c>
      <c r="BC71" s="12">
        <f>$I$9*$BC$9</f>
        <v>0</v>
      </c>
      <c r="BD71" s="12">
        <f>$I$9*$BD$9</f>
        <v>0</v>
      </c>
    </row>
    <row r="72" spans="1:56" ht="11.25" customHeight="1" x14ac:dyDescent="0.25">
      <c r="A72" s="9" t="s">
        <v>42</v>
      </c>
      <c r="B72" s="9" t="s">
        <v>901</v>
      </c>
      <c r="C72" s="9" t="s">
        <v>902</v>
      </c>
      <c r="D72" s="9" t="s">
        <v>903</v>
      </c>
      <c r="E72" s="9" t="s">
        <v>904</v>
      </c>
      <c r="F72" s="9" t="s">
        <v>905</v>
      </c>
      <c r="G72" s="9" t="s">
        <v>906</v>
      </c>
      <c r="L72" s="12">
        <f>$I$10*$L$10</f>
        <v>0</v>
      </c>
      <c r="M72" s="12">
        <f>$I$10*$M$10</f>
        <v>0</v>
      </c>
      <c r="N72" s="12">
        <f ca="1">$I$10*$N$10</f>
        <v>0</v>
      </c>
      <c r="O72" s="12">
        <f>$I$10*$O$10</f>
        <v>0</v>
      </c>
      <c r="P72" s="12">
        <f>$I$10*$P$10</f>
        <v>0</v>
      </c>
      <c r="Q72" s="12">
        <f>$I$10*$Q$10</f>
        <v>0</v>
      </c>
      <c r="R72" s="12">
        <f>$I$10*$R$10</f>
        <v>0</v>
      </c>
      <c r="S72" s="12">
        <f>$I$10*$S$10</f>
        <v>0</v>
      </c>
      <c r="T72" s="12">
        <f>$I$10*$T$10</f>
        <v>0</v>
      </c>
      <c r="U72" s="12">
        <f>$I$10*$U$10</f>
        <v>0</v>
      </c>
      <c r="V72" s="12">
        <f>$I$10*$V$10</f>
        <v>0</v>
      </c>
      <c r="W72" s="12">
        <f>$I$10*$W$10</f>
        <v>0</v>
      </c>
      <c r="X72" s="12">
        <f>$I$10*$X$10</f>
        <v>559074.04532168549</v>
      </c>
      <c r="Y72" s="12">
        <f>$I$10*$Y$10</f>
        <v>0</v>
      </c>
      <c r="Z72" s="12">
        <f>$I$10*$Z$10</f>
        <v>0</v>
      </c>
      <c r="AA72" s="12">
        <f>$I$10*$AA$10</f>
        <v>279725.46721977362</v>
      </c>
      <c r="AB72" s="12">
        <f ca="1">$I$10*$AB$10</f>
        <v>0</v>
      </c>
      <c r="AC72" s="12">
        <f ca="1">$I$10*$AC$10</f>
        <v>0</v>
      </c>
      <c r="AD72" s="12">
        <f>$I$10*$AD$10</f>
        <v>0</v>
      </c>
      <c r="AE72" s="12">
        <f>$I$10*$AE$10</f>
        <v>0</v>
      </c>
      <c r="AF72" s="12">
        <f ca="1">$I$10*$AF$10</f>
        <v>0</v>
      </c>
      <c r="AG72" s="12">
        <f ca="1">$I$10*$AG$10</f>
        <v>0</v>
      </c>
      <c r="AI72" s="12">
        <f>$I$10*$AI$10</f>
        <v>0</v>
      </c>
      <c r="AJ72" s="12">
        <f>$I$10*$AJ$10</f>
        <v>0</v>
      </c>
      <c r="AK72" s="12">
        <f>$I$10*$AK$10</f>
        <v>0</v>
      </c>
      <c r="AL72" s="12">
        <f>$I$10*$AL$10</f>
        <v>0</v>
      </c>
      <c r="AM72" s="12">
        <f>$I$10*$AM$10</f>
        <v>0</v>
      </c>
      <c r="AN72" s="12">
        <f>$I$10*$AN$10</f>
        <v>0</v>
      </c>
      <c r="AO72" s="12">
        <f>$I$10*$AO$10</f>
        <v>0</v>
      </c>
      <c r="AP72" s="12">
        <f>$I$10*$AP$10</f>
        <v>0</v>
      </c>
      <c r="AQ72" s="12">
        <f>$I$10*$AQ$10</f>
        <v>0</v>
      </c>
      <c r="AR72" s="12">
        <f>$I$10*$AR$10</f>
        <v>0</v>
      </c>
      <c r="AS72" s="12">
        <f>$I$10*$AS$10</f>
        <v>0</v>
      </c>
      <c r="AT72" s="12">
        <f>$I$10*$AT$10</f>
        <v>0</v>
      </c>
      <c r="AU72" s="12">
        <f>$I$10*$AU$10</f>
        <v>432048.71677619842</v>
      </c>
      <c r="AV72" s="12">
        <f>$I$10*$AV$10</f>
        <v>0</v>
      </c>
      <c r="AW72" s="12">
        <f>$I$10*$AW$10</f>
        <v>0</v>
      </c>
      <c r="AX72" s="12">
        <f>$I$10*$AX$10</f>
        <v>198881.81413336151</v>
      </c>
      <c r="AY72" s="12">
        <f>$I$10*$AY$10</f>
        <v>0</v>
      </c>
      <c r="AZ72" s="12">
        <f>$I$10*$AZ$10</f>
        <v>0</v>
      </c>
      <c r="BA72" s="12">
        <f>$I$10*$BA$10</f>
        <v>0</v>
      </c>
      <c r="BB72" s="12">
        <f>$I$10*$BB$10</f>
        <v>0</v>
      </c>
      <c r="BC72" s="12">
        <f>$I$10*$BC$10</f>
        <v>0</v>
      </c>
      <c r="BD72" s="12">
        <f>$I$10*$BD$10</f>
        <v>0</v>
      </c>
    </row>
    <row r="73" spans="1:56" ht="11.25" customHeight="1" x14ac:dyDescent="0.25">
      <c r="A73" s="9" t="s">
        <v>42</v>
      </c>
      <c r="B73" s="9" t="s">
        <v>901</v>
      </c>
      <c r="C73" s="9" t="s">
        <v>902</v>
      </c>
      <c r="D73" s="9" t="s">
        <v>903</v>
      </c>
      <c r="E73" s="9" t="s">
        <v>904</v>
      </c>
      <c r="F73" s="9" t="s">
        <v>905</v>
      </c>
      <c r="G73" s="9" t="s">
        <v>907</v>
      </c>
      <c r="L73" s="12">
        <f>$I$11*$L$11</f>
        <v>757.76836107589122</v>
      </c>
      <c r="M73" s="12">
        <f>$I$11*$M$11</f>
        <v>138.75463714017994</v>
      </c>
      <c r="N73" s="12">
        <f ca="1">$I$11*$N$11</f>
        <v>10238.966481550699</v>
      </c>
      <c r="O73" s="12">
        <f>$I$11*$O$11</f>
        <v>0</v>
      </c>
      <c r="P73" s="12">
        <f>$I$11*$P$11</f>
        <v>0</v>
      </c>
      <c r="Q73" s="12">
        <f>$I$11*$Q$11</f>
        <v>58057.836987874798</v>
      </c>
      <c r="R73" s="12">
        <f>$I$11*$R$11</f>
        <v>11704.886150851184</v>
      </c>
      <c r="S73" s="12">
        <f>$I$11*$S$11</f>
        <v>0</v>
      </c>
      <c r="T73" s="12">
        <f>$I$11*$T$11</f>
        <v>0</v>
      </c>
      <c r="U73" s="12">
        <f>$I$11*$U$11</f>
        <v>0</v>
      </c>
      <c r="V73" s="12">
        <f>$I$11*$V$11</f>
        <v>0</v>
      </c>
      <c r="W73" s="12">
        <f>$I$11*$W$11</f>
        <v>0</v>
      </c>
      <c r="X73" s="12">
        <f>$I$11*$X$11</f>
        <v>411821.91282784502</v>
      </c>
      <c r="Y73" s="12">
        <f>$I$11*$Y$11</f>
        <v>0</v>
      </c>
      <c r="Z73" s="12">
        <f>$I$11*$Z$11</f>
        <v>0</v>
      </c>
      <c r="AA73" s="12">
        <f>$I$11*$AA$11</f>
        <v>280449.46867319488</v>
      </c>
      <c r="AB73" s="12">
        <f ca="1">$I$11*$AB$11</f>
        <v>0</v>
      </c>
      <c r="AC73" s="12">
        <f ca="1">$I$11*$AC$11</f>
        <v>0</v>
      </c>
      <c r="AD73" s="12">
        <f>$I$11*$AD$11</f>
        <v>3465.4517516941441</v>
      </c>
      <c r="AE73" s="12">
        <f>$I$11*$AE$11</f>
        <v>127.35319032752582</v>
      </c>
      <c r="AF73" s="12">
        <f ca="1">$I$11*$AF$11</f>
        <v>882.15282646703054</v>
      </c>
      <c r="AG73" s="12">
        <f ca="1">$I$11*$AG$11</f>
        <v>160.61423088605196</v>
      </c>
      <c r="AI73" s="12">
        <f>$I$11*$AI$11</f>
        <v>1972.1208831814704</v>
      </c>
      <c r="AJ73" s="12">
        <f>$I$11*$AJ$11</f>
        <v>94.620474960981284</v>
      </c>
      <c r="AK73" s="12">
        <f>$I$11*$AK$11</f>
        <v>6930.87838005709</v>
      </c>
      <c r="AL73" s="12">
        <f>$I$11*$AL$11</f>
        <v>0</v>
      </c>
      <c r="AM73" s="12">
        <f>$I$11*$AM$11</f>
        <v>0</v>
      </c>
      <c r="AN73" s="12">
        <f>$I$11*$AN$11</f>
        <v>33869.666504983048</v>
      </c>
      <c r="AO73" s="12">
        <f>$I$11*$AO$11</f>
        <v>6060.8909884164932</v>
      </c>
      <c r="AP73" s="12">
        <f>$I$11*$AP$11</f>
        <v>0</v>
      </c>
      <c r="AQ73" s="12">
        <f>$I$11*$AQ$11</f>
        <v>0</v>
      </c>
      <c r="AR73" s="12">
        <f>$I$11*$AR$11</f>
        <v>0</v>
      </c>
      <c r="AS73" s="12">
        <f>$I$11*$AS$11</f>
        <v>0</v>
      </c>
      <c r="AT73" s="12">
        <f>$I$11*$AT$11</f>
        <v>0</v>
      </c>
      <c r="AU73" s="12">
        <f>$I$11*$AU$11</f>
        <v>318253.24474723614</v>
      </c>
      <c r="AV73" s="12">
        <f>$I$11*$AV$11</f>
        <v>0</v>
      </c>
      <c r="AW73" s="12">
        <f>$I$11*$AW$11</f>
        <v>0</v>
      </c>
      <c r="AX73" s="12">
        <f>$I$11*$AX$11</f>
        <v>199396.57141993538</v>
      </c>
      <c r="AY73" s="12">
        <f>$I$11*$AY$11</f>
        <v>0</v>
      </c>
      <c r="AZ73" s="12">
        <f>$I$11*$AZ$11</f>
        <v>0</v>
      </c>
      <c r="BA73" s="12">
        <f>$I$11*$BA$11</f>
        <v>3778.7846336245052</v>
      </c>
      <c r="BB73" s="12">
        <f>$I$11*$BB$11</f>
        <v>119.04915686146957</v>
      </c>
      <c r="BC73" s="12">
        <f>$I$11*$BC$11</f>
        <v>869.25661738577537</v>
      </c>
      <c r="BD73" s="12">
        <f>$I$11*$BD$11</f>
        <v>152.85219791494643</v>
      </c>
    </row>
    <row r="74" spans="1:56" ht="11.25" customHeight="1" x14ac:dyDescent="0.25">
      <c r="A74" s="9" t="s">
        <v>42</v>
      </c>
      <c r="B74" s="9" t="s">
        <v>901</v>
      </c>
      <c r="C74" s="9" t="s">
        <v>902</v>
      </c>
      <c r="D74" s="9" t="s">
        <v>903</v>
      </c>
      <c r="E74" s="9" t="s">
        <v>904</v>
      </c>
      <c r="F74" s="9" t="s">
        <v>905</v>
      </c>
      <c r="G74" s="9" t="s">
        <v>908</v>
      </c>
      <c r="L74" s="12">
        <f>$I$12*$L$12</f>
        <v>9517.4843050547352</v>
      </c>
      <c r="M74" s="12">
        <f>$I$12*$M$12</f>
        <v>1742.742438283153</v>
      </c>
      <c r="N74" s="12">
        <f ca="1">$I$12*$N$12</f>
        <v>2233.3080104814221</v>
      </c>
      <c r="O74" s="12">
        <f>$I$12*$O$12</f>
        <v>0</v>
      </c>
      <c r="P74" s="12">
        <f>$I$12*$P$12</f>
        <v>0</v>
      </c>
      <c r="Q74" s="12">
        <f>$I$12*$Q$12</f>
        <v>729199.81976152316</v>
      </c>
      <c r="R74" s="12">
        <f>$I$12*$R$12</f>
        <v>147012.03686441819</v>
      </c>
      <c r="S74" s="12">
        <f>$I$12*$S$12</f>
        <v>0</v>
      </c>
      <c r="T74" s="12">
        <f>$I$12*$T$12</f>
        <v>0</v>
      </c>
      <c r="U74" s="12">
        <f>$I$12*$U$12</f>
        <v>0</v>
      </c>
      <c r="V74" s="12">
        <f>$I$12*$V$12</f>
        <v>0</v>
      </c>
      <c r="W74" s="12">
        <f>$I$12*$W$12</f>
        <v>0</v>
      </c>
      <c r="X74" s="12">
        <f>$I$12*$X$12</f>
        <v>0</v>
      </c>
      <c r="Y74" s="12">
        <f>$I$12*$Y$12</f>
        <v>0</v>
      </c>
      <c r="Z74" s="12">
        <f>$I$12*$Z$12</f>
        <v>0</v>
      </c>
      <c r="AA74" s="12">
        <f>$I$12*$AA$12</f>
        <v>0</v>
      </c>
      <c r="AB74" s="12">
        <f ca="1">$I$12*$AB$12</f>
        <v>0</v>
      </c>
      <c r="AC74" s="12">
        <f ca="1">$I$12*$AC$12</f>
        <v>0</v>
      </c>
      <c r="AD74" s="12">
        <f>$I$12*$AD$12</f>
        <v>43525.679285216611</v>
      </c>
      <c r="AE74" s="12">
        <f>$I$12*$AE$12</f>
        <v>1599.5415649446525</v>
      </c>
      <c r="AF74" s="12">
        <f ca="1">$I$12*$AF$12</f>
        <v>11079.739022937092</v>
      </c>
      <c r="AG74" s="12">
        <f ca="1">$I$12*$AG$12</f>
        <v>2017.2964459165933</v>
      </c>
      <c r="AI74" s="12">
        <f>$I$12*$AI$12</f>
        <v>24769.613667560516</v>
      </c>
      <c r="AJ74" s="12">
        <f>$I$12*$AJ$12</f>
        <v>1188.4223882075926</v>
      </c>
      <c r="AK74" s="12">
        <f>$I$12*$AK$12</f>
        <v>1875.8910169180206</v>
      </c>
      <c r="AL74" s="12">
        <f>$I$12*$AL$12</f>
        <v>0</v>
      </c>
      <c r="AM74" s="12">
        <f>$I$12*$AM$12</f>
        <v>0</v>
      </c>
      <c r="AN74" s="12">
        <f>$I$12*$AN$12</f>
        <v>425399.15353674965</v>
      </c>
      <c r="AO74" s="12">
        <f>$I$12*$AO$12</f>
        <v>76124.10047709092</v>
      </c>
      <c r="AP74" s="12">
        <f>$I$12*$AP$12</f>
        <v>0</v>
      </c>
      <c r="AQ74" s="12">
        <f>$I$12*$AQ$12</f>
        <v>0</v>
      </c>
      <c r="AR74" s="12">
        <f>$I$12*$AR$12</f>
        <v>0</v>
      </c>
      <c r="AS74" s="12">
        <f>$I$12*$AS$12</f>
        <v>0</v>
      </c>
      <c r="AT74" s="12">
        <f>$I$12*$AT$12</f>
        <v>0</v>
      </c>
      <c r="AU74" s="12">
        <f>$I$12*$AU$12</f>
        <v>0</v>
      </c>
      <c r="AV74" s="12">
        <f>$I$12*$AV$12</f>
        <v>0</v>
      </c>
      <c r="AW74" s="12">
        <f>$I$12*$AW$12</f>
        <v>0</v>
      </c>
      <c r="AX74" s="12">
        <f>$I$12*$AX$12</f>
        <v>0</v>
      </c>
      <c r="AY74" s="12">
        <f>$I$12*$AY$12</f>
        <v>0</v>
      </c>
      <c r="AZ74" s="12">
        <f>$I$12*$AZ$12</f>
        <v>0</v>
      </c>
      <c r="BA74" s="12">
        <f>$I$12*$BA$12</f>
        <v>47461.104593546566</v>
      </c>
      <c r="BB74" s="12">
        <f>$I$12*$BB$12</f>
        <v>1495.2438504430511</v>
      </c>
      <c r="BC74" s="12">
        <f>$I$12*$BC$12</f>
        <v>10917.764105758863</v>
      </c>
      <c r="BD74" s="12">
        <f>$I$12*$BD$12</f>
        <v>1919.8061958975434</v>
      </c>
    </row>
    <row r="75" spans="1:56" ht="11.25" customHeight="1" x14ac:dyDescent="0.25">
      <c r="A75" s="9" t="s">
        <v>42</v>
      </c>
      <c r="B75" s="9" t="s">
        <v>901</v>
      </c>
      <c r="C75" s="9" t="s">
        <v>902</v>
      </c>
      <c r="D75" s="9" t="s">
        <v>903</v>
      </c>
      <c r="E75" s="9" t="s">
        <v>909</v>
      </c>
      <c r="F75" s="9" t="s">
        <v>910</v>
      </c>
      <c r="G75" s="9" t="s">
        <v>911</v>
      </c>
      <c r="L75" s="12">
        <f>$I$13*$L$13</f>
        <v>0</v>
      </c>
      <c r="M75" s="12">
        <f>$I$13*$M$13</f>
        <v>0</v>
      </c>
      <c r="N75" s="12">
        <f ca="1">$I$13*$N$13</f>
        <v>0</v>
      </c>
      <c r="O75" s="12">
        <f>$I$13*$O$13</f>
        <v>0</v>
      </c>
      <c r="P75" s="12">
        <f>$I$13*$P$13</f>
        <v>0</v>
      </c>
      <c r="Q75" s="12">
        <f>$I$13*$Q$13</f>
        <v>0</v>
      </c>
      <c r="R75" s="12">
        <f>$I$13*$R$13</f>
        <v>0</v>
      </c>
      <c r="S75" s="12">
        <f>$I$13*$S$13</f>
        <v>0</v>
      </c>
      <c r="T75" s="12">
        <f>$I$13*$T$13</f>
        <v>0</v>
      </c>
      <c r="U75" s="12">
        <f>$I$13*$U$13</f>
        <v>0</v>
      </c>
      <c r="V75" s="12">
        <f>$I$13*$V$13</f>
        <v>0</v>
      </c>
      <c r="W75" s="12">
        <f>$I$13*$W$13</f>
        <v>0</v>
      </c>
      <c r="X75" s="12">
        <f>$I$13*$X$13</f>
        <v>0</v>
      </c>
      <c r="Y75" s="12">
        <f>$I$13*$Y$13</f>
        <v>0</v>
      </c>
      <c r="Z75" s="12">
        <f>$I$13*$Z$13</f>
        <v>0</v>
      </c>
      <c r="AA75" s="12">
        <f>$I$13*$AA$13</f>
        <v>0</v>
      </c>
      <c r="AB75" s="12">
        <f ca="1">$I$13*$AB$13</f>
        <v>0</v>
      </c>
      <c r="AC75" s="12">
        <f ca="1">$I$13*$AC$13</f>
        <v>0</v>
      </c>
      <c r="AD75" s="12">
        <f>$I$13*$AD$13</f>
        <v>0</v>
      </c>
      <c r="AE75" s="12">
        <f>$I$13*$AE$13</f>
        <v>0</v>
      </c>
      <c r="AF75" s="12">
        <f ca="1">$I$13*$AF$13</f>
        <v>0</v>
      </c>
      <c r="AG75" s="12">
        <f ca="1">$I$13*$AG$13</f>
        <v>0</v>
      </c>
      <c r="AI75" s="12">
        <f>$I$13*$AI$13</f>
        <v>0</v>
      </c>
      <c r="AJ75" s="12">
        <f>$I$13*$AJ$13</f>
        <v>0</v>
      </c>
      <c r="AK75" s="12">
        <f>$I$13*$AK$13</f>
        <v>0</v>
      </c>
      <c r="AL75" s="12">
        <f>$I$13*$AL$13</f>
        <v>0</v>
      </c>
      <c r="AM75" s="12">
        <f>$I$13*$AM$13</f>
        <v>0</v>
      </c>
      <c r="AN75" s="12">
        <f>$I$13*$AN$13</f>
        <v>0</v>
      </c>
      <c r="AO75" s="12">
        <f>$I$13*$AO$13</f>
        <v>0</v>
      </c>
      <c r="AP75" s="12">
        <f>$I$13*$AP$13</f>
        <v>0</v>
      </c>
      <c r="AQ75" s="12">
        <f>$I$13*$AQ$13</f>
        <v>0</v>
      </c>
      <c r="AR75" s="12">
        <f>$I$13*$AR$13</f>
        <v>0</v>
      </c>
      <c r="AS75" s="12">
        <f>$I$13*$AS$13</f>
        <v>0</v>
      </c>
      <c r="AT75" s="12">
        <f>$I$13*$AT$13</f>
        <v>0</v>
      </c>
      <c r="AU75" s="12">
        <f>$I$13*$AU$13</f>
        <v>0</v>
      </c>
      <c r="AV75" s="12">
        <f>$I$13*$AV$13</f>
        <v>0</v>
      </c>
      <c r="AW75" s="12">
        <f>$I$13*$AW$13</f>
        <v>0</v>
      </c>
      <c r="AX75" s="12">
        <f>$I$13*$AX$13</f>
        <v>0</v>
      </c>
      <c r="AY75" s="12">
        <f>$I$13*$AY$13</f>
        <v>0</v>
      </c>
      <c r="AZ75" s="12">
        <f>$I$13*$AZ$13</f>
        <v>0</v>
      </c>
      <c r="BA75" s="12">
        <f>$I$13*$BA$13</f>
        <v>0</v>
      </c>
      <c r="BB75" s="12">
        <f>$I$13*$BB$13</f>
        <v>0</v>
      </c>
      <c r="BC75" s="12">
        <f>$I$13*$BC$13</f>
        <v>0</v>
      </c>
      <c r="BD75" s="12">
        <f>$I$13*$BD$13</f>
        <v>0</v>
      </c>
    </row>
    <row r="76" spans="1:56" ht="11.25" customHeight="1" x14ac:dyDescent="0.25">
      <c r="A76" s="9" t="s">
        <v>42</v>
      </c>
      <c r="B76" s="9" t="s">
        <v>901</v>
      </c>
      <c r="C76" s="9" t="s">
        <v>902</v>
      </c>
      <c r="D76" s="9" t="s">
        <v>903</v>
      </c>
      <c r="E76" s="9" t="s">
        <v>909</v>
      </c>
      <c r="F76" s="9" t="s">
        <v>910</v>
      </c>
      <c r="G76" s="9" t="s">
        <v>912</v>
      </c>
      <c r="L76" s="12">
        <f>$I$14*$L$14</f>
        <v>0</v>
      </c>
      <c r="M76" s="12">
        <f>$I$14*$M$14</f>
        <v>0</v>
      </c>
      <c r="N76" s="12">
        <f ca="1">$I$14*$N$14</f>
        <v>0</v>
      </c>
      <c r="O76" s="12">
        <f>$I$14*$O$14</f>
        <v>0</v>
      </c>
      <c r="P76" s="12">
        <f>$I$14*$P$14</f>
        <v>0</v>
      </c>
      <c r="Q76" s="12">
        <f>$I$14*$Q$14</f>
        <v>0</v>
      </c>
      <c r="R76" s="12">
        <f>$I$14*$R$14</f>
        <v>0</v>
      </c>
      <c r="S76" s="12">
        <f>$I$14*$S$14</f>
        <v>0</v>
      </c>
      <c r="T76" s="12">
        <f>$I$14*$T$14</f>
        <v>0</v>
      </c>
      <c r="U76" s="12">
        <f>$I$14*$U$14</f>
        <v>0</v>
      </c>
      <c r="V76" s="12">
        <f>$I$14*$V$14</f>
        <v>0</v>
      </c>
      <c r="W76" s="12">
        <f>$I$14*$W$14</f>
        <v>0</v>
      </c>
      <c r="X76" s="12">
        <f>$I$14*$X$14</f>
        <v>0</v>
      </c>
      <c r="Y76" s="12">
        <f>$I$14*$Y$14</f>
        <v>0</v>
      </c>
      <c r="Z76" s="12">
        <f>$I$14*$Z$14</f>
        <v>0</v>
      </c>
      <c r="AA76" s="12">
        <f>$I$14*$AA$14</f>
        <v>0</v>
      </c>
      <c r="AB76" s="12">
        <f ca="1">$I$14*$AB$14</f>
        <v>0</v>
      </c>
      <c r="AC76" s="12">
        <f ca="1">$I$14*$AC$14</f>
        <v>0</v>
      </c>
      <c r="AD76" s="12">
        <f>$I$14*$AD$14</f>
        <v>0</v>
      </c>
      <c r="AE76" s="12">
        <f>$I$14*$AE$14</f>
        <v>0</v>
      </c>
      <c r="AF76" s="12">
        <f ca="1">$I$14*$AF$14</f>
        <v>0</v>
      </c>
      <c r="AG76" s="12">
        <f ca="1">$I$14*$AG$14</f>
        <v>0</v>
      </c>
      <c r="AI76" s="12">
        <f>$I$14*$AI$14</f>
        <v>0</v>
      </c>
      <c r="AJ76" s="12">
        <f>$I$14*$AJ$14</f>
        <v>0</v>
      </c>
      <c r="AK76" s="12">
        <f>$I$14*$AK$14</f>
        <v>0</v>
      </c>
      <c r="AL76" s="12">
        <f>$I$14*$AL$14</f>
        <v>0</v>
      </c>
      <c r="AM76" s="12">
        <f>$I$14*$AM$14</f>
        <v>0</v>
      </c>
      <c r="AN76" s="12">
        <f>$I$14*$AN$14</f>
        <v>0</v>
      </c>
      <c r="AO76" s="12">
        <f>$I$14*$AO$14</f>
        <v>0</v>
      </c>
      <c r="AP76" s="12">
        <f>$I$14*$AP$14</f>
        <v>0</v>
      </c>
      <c r="AQ76" s="12">
        <f>$I$14*$AQ$14</f>
        <v>0</v>
      </c>
      <c r="AR76" s="12">
        <f>$I$14*$AR$14</f>
        <v>0</v>
      </c>
      <c r="AS76" s="12">
        <f>$I$14*$AS$14</f>
        <v>0</v>
      </c>
      <c r="AT76" s="12">
        <f>$I$14*$AT$14</f>
        <v>0</v>
      </c>
      <c r="AU76" s="12">
        <f>$I$14*$AU$14</f>
        <v>0</v>
      </c>
      <c r="AV76" s="12">
        <f>$I$14*$AV$14</f>
        <v>0</v>
      </c>
      <c r="AW76" s="12">
        <f>$I$14*$AW$14</f>
        <v>0</v>
      </c>
      <c r="AX76" s="12">
        <f>$I$14*$AX$14</f>
        <v>0</v>
      </c>
      <c r="AY76" s="12">
        <f>$I$14*$AY$14</f>
        <v>0</v>
      </c>
      <c r="AZ76" s="12">
        <f>$I$14*$AZ$14</f>
        <v>0</v>
      </c>
      <c r="BA76" s="12">
        <f>$I$14*$BA$14</f>
        <v>0</v>
      </c>
      <c r="BB76" s="12">
        <f>$I$14*$BB$14</f>
        <v>0</v>
      </c>
      <c r="BC76" s="12">
        <f>$I$14*$BC$14</f>
        <v>0</v>
      </c>
      <c r="BD76" s="12">
        <f>$I$14*$BD$14</f>
        <v>0</v>
      </c>
    </row>
    <row r="77" spans="1:56" ht="11.25" customHeight="1" x14ac:dyDescent="0.25">
      <c r="A77" s="9" t="s">
        <v>33</v>
      </c>
      <c r="B77" s="9" t="s">
        <v>913</v>
      </c>
      <c r="C77" s="9" t="s">
        <v>914</v>
      </c>
      <c r="D77" s="9" t="s">
        <v>915</v>
      </c>
      <c r="E77" s="9" t="s">
        <v>916</v>
      </c>
      <c r="F77" s="9" t="s">
        <v>917</v>
      </c>
      <c r="G77" s="9" t="s">
        <v>918</v>
      </c>
      <c r="L77" s="12">
        <f>$I$15*$L$15</f>
        <v>0</v>
      </c>
      <c r="M77" s="12">
        <f>$I$15*$M$15</f>
        <v>0</v>
      </c>
      <c r="N77" s="12">
        <f ca="1">$I$15*$N$15</f>
        <v>0</v>
      </c>
      <c r="O77" s="12">
        <f>$I$15*$O$15</f>
        <v>0</v>
      </c>
      <c r="P77" s="12">
        <f>$I$15*$P$15</f>
        <v>0</v>
      </c>
      <c r="Q77" s="12">
        <f>$I$15*$Q$15</f>
        <v>0</v>
      </c>
      <c r="R77" s="12">
        <f>$I$15*$R$15</f>
        <v>0</v>
      </c>
      <c r="S77" s="12">
        <f>$I$15*$S$15</f>
        <v>0</v>
      </c>
      <c r="T77" s="12">
        <f>$I$15*$T$15</f>
        <v>0</v>
      </c>
      <c r="U77" s="12">
        <f>$I$15*$U$15</f>
        <v>0</v>
      </c>
      <c r="V77" s="12">
        <f>$I$15*$V$15</f>
        <v>0</v>
      </c>
      <c r="W77" s="12">
        <f>$I$15*$W$15</f>
        <v>0</v>
      </c>
      <c r="X77" s="12">
        <f>$I$15*$X$15</f>
        <v>4457631.4724539043</v>
      </c>
      <c r="Y77" s="12">
        <f>$I$15*$Y$15</f>
        <v>0</v>
      </c>
      <c r="Z77" s="12">
        <f>$I$15*$Z$15</f>
        <v>0</v>
      </c>
      <c r="AA77" s="12">
        <f>$I$15*$AA$15</f>
        <v>3035628.9341507284</v>
      </c>
      <c r="AB77" s="12">
        <f ca="1">$I$15*$AB$15</f>
        <v>0</v>
      </c>
      <c r="AC77" s="12">
        <f ca="1">$I$15*$AC$15</f>
        <v>0</v>
      </c>
      <c r="AD77" s="12">
        <f>$I$15*$AD$15</f>
        <v>0</v>
      </c>
      <c r="AE77" s="12">
        <f>$I$15*$AE$15</f>
        <v>0</v>
      </c>
      <c r="AF77" s="12">
        <f ca="1">$I$15*$AF$15</f>
        <v>0</v>
      </c>
      <c r="AG77" s="12">
        <f ca="1">$I$15*$AG$15</f>
        <v>0</v>
      </c>
      <c r="AI77" s="12">
        <f>$I$15*$AI$15</f>
        <v>0</v>
      </c>
      <c r="AJ77" s="12">
        <f>$I$15*$AJ$15</f>
        <v>0</v>
      </c>
      <c r="AK77" s="12">
        <f>$I$15*$AK$15</f>
        <v>0</v>
      </c>
      <c r="AL77" s="12">
        <f>$I$15*$AL$15</f>
        <v>0</v>
      </c>
      <c r="AM77" s="12">
        <f>$I$15*$AM$15</f>
        <v>0</v>
      </c>
      <c r="AN77" s="12">
        <f>$I$15*$AN$15</f>
        <v>0</v>
      </c>
      <c r="AO77" s="12">
        <f>$I$15*$AO$15</f>
        <v>0</v>
      </c>
      <c r="AP77" s="12">
        <f>$I$15*$AP$15</f>
        <v>0</v>
      </c>
      <c r="AQ77" s="12">
        <f>$I$15*$AQ$15</f>
        <v>0</v>
      </c>
      <c r="AR77" s="12">
        <f>$I$15*$AR$15</f>
        <v>0</v>
      </c>
      <c r="AS77" s="12">
        <f>$I$15*$AS$15</f>
        <v>0</v>
      </c>
      <c r="AT77" s="12">
        <f>$I$15*$AT$15</f>
        <v>0</v>
      </c>
      <c r="AU77" s="12">
        <f>$I$15*$AU$15</f>
        <v>3444828.0574834351</v>
      </c>
      <c r="AV77" s="12">
        <f>$I$15*$AV$15</f>
        <v>0</v>
      </c>
      <c r="AW77" s="12">
        <f>$I$15*$AW$15</f>
        <v>0</v>
      </c>
      <c r="AX77" s="12">
        <f>$I$15*$AX$15</f>
        <v>2158299.6909797993</v>
      </c>
      <c r="AY77" s="12">
        <f>$I$15*$AY$15</f>
        <v>0</v>
      </c>
      <c r="AZ77" s="12">
        <f>$I$15*$AZ$15</f>
        <v>0</v>
      </c>
      <c r="BA77" s="12">
        <f>$I$15*$BA$15</f>
        <v>0</v>
      </c>
      <c r="BB77" s="12">
        <f>$I$15*$BB$15</f>
        <v>0</v>
      </c>
      <c r="BC77" s="12">
        <f>$I$15*$BC$15</f>
        <v>0</v>
      </c>
      <c r="BD77" s="12">
        <f>$I$15*$BD$15</f>
        <v>0</v>
      </c>
    </row>
    <row r="78" spans="1:56" ht="11.25" customHeight="1" x14ac:dyDescent="0.25">
      <c r="A78" s="9" t="s">
        <v>33</v>
      </c>
      <c r="B78" s="9" t="s">
        <v>913</v>
      </c>
      <c r="C78" s="9" t="s">
        <v>914</v>
      </c>
      <c r="D78" s="9" t="s">
        <v>915</v>
      </c>
      <c r="E78" s="9" t="s">
        <v>916</v>
      </c>
      <c r="F78" s="9" t="s">
        <v>917</v>
      </c>
      <c r="G78" s="9" t="s">
        <v>919</v>
      </c>
      <c r="L78" s="12">
        <f>$I$16*$L$16</f>
        <v>0</v>
      </c>
      <c r="M78" s="12">
        <f>$I$16*$M$16</f>
        <v>0</v>
      </c>
      <c r="N78" s="12">
        <f ca="1">$I$16*$N$16</f>
        <v>0</v>
      </c>
      <c r="O78" s="12">
        <f>$I$16*$O$16</f>
        <v>0</v>
      </c>
      <c r="P78" s="12">
        <f>$I$16*$P$16</f>
        <v>0</v>
      </c>
      <c r="Q78" s="12">
        <f>$I$16*$Q$16</f>
        <v>0</v>
      </c>
      <c r="R78" s="12">
        <f>$I$16*$R$16</f>
        <v>0</v>
      </c>
      <c r="S78" s="12">
        <f>$I$16*$S$16</f>
        <v>0</v>
      </c>
      <c r="T78" s="12">
        <f>$I$16*$T$16</f>
        <v>0</v>
      </c>
      <c r="U78" s="12">
        <f>$I$16*$U$16</f>
        <v>0</v>
      </c>
      <c r="V78" s="12">
        <f>$I$16*$V$16</f>
        <v>0</v>
      </c>
      <c r="W78" s="12">
        <f>$I$16*$W$16</f>
        <v>0</v>
      </c>
      <c r="X78" s="12">
        <f>$I$16*$X$16</f>
        <v>2068122.5687958251</v>
      </c>
      <c r="Y78" s="12">
        <f>$I$16*$Y$16</f>
        <v>0</v>
      </c>
      <c r="Z78" s="12">
        <f>$I$16*$Z$16</f>
        <v>0</v>
      </c>
      <c r="AA78" s="12">
        <f>$I$16*$AA$16</f>
        <v>1034758.377114974</v>
      </c>
      <c r="AB78" s="12">
        <f ca="1">$I$16*$AB$16</f>
        <v>0</v>
      </c>
      <c r="AC78" s="12">
        <f ca="1">$I$16*$AC$16</f>
        <v>0</v>
      </c>
      <c r="AD78" s="12">
        <f>$I$16*$AD$16</f>
        <v>0</v>
      </c>
      <c r="AE78" s="12">
        <f>$I$16*$AE$16</f>
        <v>0</v>
      </c>
      <c r="AF78" s="12">
        <f ca="1">$I$16*$AF$16</f>
        <v>0</v>
      </c>
      <c r="AG78" s="12">
        <f ca="1">$I$16*$AG$16</f>
        <v>0</v>
      </c>
      <c r="AI78" s="12">
        <f>$I$16*$AI$16</f>
        <v>0</v>
      </c>
      <c r="AJ78" s="12">
        <f>$I$16*$AJ$16</f>
        <v>0</v>
      </c>
      <c r="AK78" s="12">
        <f>$I$16*$AK$16</f>
        <v>0</v>
      </c>
      <c r="AL78" s="12">
        <f>$I$16*$AL$16</f>
        <v>0</v>
      </c>
      <c r="AM78" s="12">
        <f>$I$16*$AM$16</f>
        <v>0</v>
      </c>
      <c r="AN78" s="12">
        <f>$I$16*$AN$16</f>
        <v>0</v>
      </c>
      <c r="AO78" s="12">
        <f>$I$16*$AO$16</f>
        <v>0</v>
      </c>
      <c r="AP78" s="12">
        <f>$I$16*$AP$16</f>
        <v>0</v>
      </c>
      <c r="AQ78" s="12">
        <f>$I$16*$AQ$16</f>
        <v>0</v>
      </c>
      <c r="AR78" s="12">
        <f>$I$16*$AR$16</f>
        <v>0</v>
      </c>
      <c r="AS78" s="12">
        <f>$I$16*$AS$16</f>
        <v>0</v>
      </c>
      <c r="AT78" s="12">
        <f>$I$16*$AT$16</f>
        <v>0</v>
      </c>
      <c r="AU78" s="12">
        <f>$I$16*$AU$16</f>
        <v>1598231.4139981291</v>
      </c>
      <c r="AV78" s="12">
        <f>$I$16*$AV$16</f>
        <v>0</v>
      </c>
      <c r="AW78" s="12">
        <f>$I$16*$AW$16</f>
        <v>0</v>
      </c>
      <c r="AX78" s="12">
        <f>$I$16*$AX$16</f>
        <v>735702.13422373554</v>
      </c>
      <c r="AY78" s="12">
        <f>$I$16*$AY$16</f>
        <v>0</v>
      </c>
      <c r="AZ78" s="12">
        <f>$I$16*$AZ$16</f>
        <v>0</v>
      </c>
      <c r="BA78" s="12">
        <f>$I$16*$BA$16</f>
        <v>0</v>
      </c>
      <c r="BB78" s="12">
        <f>$I$16*$BB$16</f>
        <v>0</v>
      </c>
      <c r="BC78" s="12">
        <f>$I$16*$BC$16</f>
        <v>0</v>
      </c>
      <c r="BD78" s="12">
        <f>$I$16*$BD$16</f>
        <v>0</v>
      </c>
    </row>
    <row r="79" spans="1:56" ht="11.25" customHeight="1" x14ac:dyDescent="0.25">
      <c r="A79" s="9" t="s">
        <v>33</v>
      </c>
      <c r="B79" s="9" t="s">
        <v>913</v>
      </c>
      <c r="C79" s="9" t="s">
        <v>914</v>
      </c>
      <c r="D79" s="9" t="s">
        <v>915</v>
      </c>
      <c r="E79" s="9" t="s">
        <v>916</v>
      </c>
      <c r="F79" s="9" t="s">
        <v>917</v>
      </c>
      <c r="G79" s="9" t="s">
        <v>920</v>
      </c>
      <c r="L79" s="12">
        <f>$I$17*$L$17</f>
        <v>114758.333972398</v>
      </c>
      <c r="M79" s="12">
        <f>$I$17*$M$17</f>
        <v>21013.348942866382</v>
      </c>
      <c r="N79" s="12">
        <f ca="1">$I$17*$N$17</f>
        <v>26928.408633565366</v>
      </c>
      <c r="O79" s="12">
        <f>$I$17*$O$17</f>
        <v>0</v>
      </c>
      <c r="P79" s="12">
        <f>$I$17*$P$17</f>
        <v>0</v>
      </c>
      <c r="Q79" s="12">
        <f>$I$17*$Q$17</f>
        <v>8792423.8976009581</v>
      </c>
      <c r="R79" s="12">
        <f>$I$17*$R$17</f>
        <v>1772617.2046839392</v>
      </c>
      <c r="S79" s="12">
        <f>$I$17*$S$17</f>
        <v>0</v>
      </c>
      <c r="T79" s="12">
        <f>$I$17*$T$17</f>
        <v>0</v>
      </c>
      <c r="U79" s="12">
        <f>$I$17*$U$17</f>
        <v>0</v>
      </c>
      <c r="V79" s="12">
        <f>$I$17*$V$17</f>
        <v>0</v>
      </c>
      <c r="W79" s="12">
        <f>$I$17*$W$17</f>
        <v>0</v>
      </c>
      <c r="X79" s="12">
        <f>$I$17*$X$17</f>
        <v>0</v>
      </c>
      <c r="Y79" s="12">
        <f>$I$17*$Y$17</f>
        <v>0</v>
      </c>
      <c r="Z79" s="12">
        <f>$I$17*$Z$17</f>
        <v>0</v>
      </c>
      <c r="AA79" s="12">
        <f>$I$17*$AA$17</f>
        <v>0</v>
      </c>
      <c r="AB79" s="12">
        <f ca="1">$I$17*$AB$17</f>
        <v>0</v>
      </c>
      <c r="AC79" s="12">
        <f ca="1">$I$17*$AC$17</f>
        <v>0</v>
      </c>
      <c r="AD79" s="12">
        <f>$I$17*$AD$17</f>
        <v>524816.67210478755</v>
      </c>
      <c r="AE79" s="12">
        <f>$I$17*$AE$17</f>
        <v>19286.685349736956</v>
      </c>
      <c r="AF79" s="12">
        <f ca="1">$I$17*$AF$17</f>
        <v>133595.4282000692</v>
      </c>
      <c r="AG79" s="12">
        <f ca="1">$I$17*$AG$17</f>
        <v>24323.820438440594</v>
      </c>
      <c r="AI79" s="12">
        <f>$I$17*$AI$17</f>
        <v>298662.91411896754</v>
      </c>
      <c r="AJ79" s="12">
        <f>$I$17*$AJ$17</f>
        <v>14329.561148188035</v>
      </c>
      <c r="AK79" s="12">
        <f>$I$17*$AK$17</f>
        <v>22618.805654448777</v>
      </c>
      <c r="AL79" s="12">
        <f>$I$17*$AL$17</f>
        <v>0</v>
      </c>
      <c r="AM79" s="12">
        <f>$I$17*$AM$17</f>
        <v>0</v>
      </c>
      <c r="AN79" s="12">
        <f>$I$17*$AN$17</f>
        <v>5129306.922756725</v>
      </c>
      <c r="AO79" s="12">
        <f>$I$17*$AO$17</f>
        <v>917876.47511630342</v>
      </c>
      <c r="AP79" s="12">
        <f>$I$17*$AP$17</f>
        <v>0</v>
      </c>
      <c r="AQ79" s="12">
        <f>$I$17*$AQ$17</f>
        <v>0</v>
      </c>
      <c r="AR79" s="12">
        <f>$I$17*$AR$17</f>
        <v>0</v>
      </c>
      <c r="AS79" s="12">
        <f>$I$17*$AS$17</f>
        <v>0</v>
      </c>
      <c r="AT79" s="12">
        <f>$I$17*$AT$17</f>
        <v>0</v>
      </c>
      <c r="AU79" s="12">
        <f>$I$17*$AU$17</f>
        <v>0</v>
      </c>
      <c r="AV79" s="12">
        <f>$I$17*$AV$17</f>
        <v>0</v>
      </c>
      <c r="AW79" s="12">
        <f>$I$17*$AW$17</f>
        <v>0</v>
      </c>
      <c r="AX79" s="12">
        <f>$I$17*$AX$17</f>
        <v>0</v>
      </c>
      <c r="AY79" s="12">
        <f>$I$17*$AY$17</f>
        <v>0</v>
      </c>
      <c r="AZ79" s="12">
        <f>$I$17*$AZ$17</f>
        <v>0</v>
      </c>
      <c r="BA79" s="12">
        <f>$I$17*$BA$17</f>
        <v>572268.58664242434</v>
      </c>
      <c r="BB79" s="12">
        <f>$I$17*$BB$17</f>
        <v>18029.101773058417</v>
      </c>
      <c r="BC79" s="12">
        <f>$I$17*$BC$17</f>
        <v>131642.39407414806</v>
      </c>
      <c r="BD79" s="12">
        <f>$I$17*$BD$17</f>
        <v>23148.318770967722</v>
      </c>
    </row>
    <row r="80" spans="1:56" ht="11.25" customHeight="1" x14ac:dyDescent="0.25">
      <c r="A80" s="9" t="s">
        <v>33</v>
      </c>
      <c r="B80" s="9" t="s">
        <v>913</v>
      </c>
      <c r="C80" s="9" t="s">
        <v>914</v>
      </c>
      <c r="D80" s="9" t="s">
        <v>915</v>
      </c>
      <c r="E80" s="9" t="s">
        <v>921</v>
      </c>
      <c r="F80" s="9" t="s">
        <v>922</v>
      </c>
      <c r="G80" s="9" t="s">
        <v>923</v>
      </c>
      <c r="L80" s="12">
        <f>$I$18*$L$18</f>
        <v>0</v>
      </c>
      <c r="M80" s="12">
        <f>$I$18*$M$18</f>
        <v>0</v>
      </c>
      <c r="N80" s="12">
        <f ca="1">$I$18*$N$18</f>
        <v>0</v>
      </c>
      <c r="O80" s="12">
        <f>$I$18*$O$18</f>
        <v>0</v>
      </c>
      <c r="P80" s="12">
        <f>$I$18*$P$18</f>
        <v>0</v>
      </c>
      <c r="Q80" s="12">
        <f>$I$18*$Q$18</f>
        <v>0</v>
      </c>
      <c r="R80" s="12">
        <f>$I$18*$R$18</f>
        <v>0</v>
      </c>
      <c r="S80" s="12">
        <f>$I$18*$S$18</f>
        <v>0</v>
      </c>
      <c r="T80" s="12">
        <f>$I$18*$T$18</f>
        <v>0</v>
      </c>
      <c r="U80" s="12">
        <f>$I$18*$U$18</f>
        <v>0</v>
      </c>
      <c r="V80" s="12">
        <f>$I$18*$V$18</f>
        <v>0</v>
      </c>
      <c r="W80" s="12">
        <f>$I$18*$W$18</f>
        <v>0</v>
      </c>
      <c r="X80" s="12">
        <f>$I$18*$X$18</f>
        <v>0</v>
      </c>
      <c r="Y80" s="12">
        <f>$I$18*$Y$18</f>
        <v>0</v>
      </c>
      <c r="Z80" s="12">
        <f>$I$18*$Z$18</f>
        <v>0</v>
      </c>
      <c r="AA80" s="12">
        <f>$I$18*$AA$18</f>
        <v>0</v>
      </c>
      <c r="AB80" s="12">
        <f ca="1">$I$18*$AB$18</f>
        <v>0</v>
      </c>
      <c r="AC80" s="12">
        <f ca="1">$I$18*$AC$18</f>
        <v>0</v>
      </c>
      <c r="AD80" s="12">
        <f>$I$18*$AD$18</f>
        <v>0</v>
      </c>
      <c r="AE80" s="12">
        <f>$I$18*$AE$18</f>
        <v>0</v>
      </c>
      <c r="AF80" s="12">
        <f ca="1">$I$18*$AF$18</f>
        <v>0</v>
      </c>
      <c r="AG80" s="12">
        <f ca="1">$I$18*$AG$18</f>
        <v>0</v>
      </c>
      <c r="AI80" s="12">
        <f>$I$18*$AI$18</f>
        <v>0</v>
      </c>
      <c r="AJ80" s="12">
        <f>$I$18*$AJ$18</f>
        <v>0</v>
      </c>
      <c r="AK80" s="12">
        <f>$I$18*$AK$18</f>
        <v>0</v>
      </c>
      <c r="AL80" s="12">
        <f>$I$18*$AL$18</f>
        <v>0</v>
      </c>
      <c r="AM80" s="12">
        <f>$I$18*$AM$18</f>
        <v>0</v>
      </c>
      <c r="AN80" s="12">
        <f>$I$18*$AN$18</f>
        <v>0</v>
      </c>
      <c r="AO80" s="12">
        <f>$I$18*$AO$18</f>
        <v>0</v>
      </c>
      <c r="AP80" s="12">
        <f>$I$18*$AP$18</f>
        <v>0</v>
      </c>
      <c r="AQ80" s="12">
        <f>$I$18*$AQ$18</f>
        <v>0</v>
      </c>
      <c r="AR80" s="12">
        <f>$I$18*$AR$18</f>
        <v>0</v>
      </c>
      <c r="AS80" s="12">
        <f>$I$18*$AS$18</f>
        <v>0</v>
      </c>
      <c r="AT80" s="12">
        <f>$I$18*$AT$18</f>
        <v>0</v>
      </c>
      <c r="AU80" s="12">
        <f>$I$18*$AU$18</f>
        <v>0</v>
      </c>
      <c r="AV80" s="12">
        <f>$I$18*$AV$18</f>
        <v>0</v>
      </c>
      <c r="AW80" s="12">
        <f>$I$18*$AW$18</f>
        <v>0</v>
      </c>
      <c r="AX80" s="12">
        <f>$I$18*$AX$18</f>
        <v>0</v>
      </c>
      <c r="AY80" s="12">
        <f>$I$18*$AY$18</f>
        <v>0</v>
      </c>
      <c r="AZ80" s="12">
        <f>$I$18*$AZ$18</f>
        <v>0</v>
      </c>
      <c r="BA80" s="12">
        <f>$I$18*$BA$18</f>
        <v>0</v>
      </c>
      <c r="BB80" s="12">
        <f>$I$18*$BB$18</f>
        <v>0</v>
      </c>
      <c r="BC80" s="12">
        <f>$I$18*$BC$18</f>
        <v>0</v>
      </c>
      <c r="BD80" s="12">
        <f>$I$18*$BD$18</f>
        <v>0</v>
      </c>
    </row>
    <row r="81" spans="1:56" ht="11.25" customHeight="1" x14ac:dyDescent="0.25">
      <c r="A81" s="9" t="s">
        <v>33</v>
      </c>
      <c r="B81" s="9" t="s">
        <v>924</v>
      </c>
      <c r="C81" s="9" t="s">
        <v>925</v>
      </c>
      <c r="D81" s="9" t="s">
        <v>926</v>
      </c>
      <c r="E81" s="9" t="s">
        <v>927</v>
      </c>
      <c r="F81" s="9" t="s">
        <v>928</v>
      </c>
      <c r="G81" s="9" t="s">
        <v>929</v>
      </c>
      <c r="L81" s="12">
        <f>$I$19*$L$19</f>
        <v>0</v>
      </c>
      <c r="M81" s="12">
        <f>$I$19*$M$19</f>
        <v>0</v>
      </c>
      <c r="N81" s="12">
        <f ca="1">$I$19*$N$19</f>
        <v>0</v>
      </c>
      <c r="O81" s="12">
        <f>$I$19*$O$19</f>
        <v>0</v>
      </c>
      <c r="P81" s="12">
        <f>$I$19*$P$19</f>
        <v>0</v>
      </c>
      <c r="Q81" s="12">
        <f>$I$19*$Q$19</f>
        <v>0</v>
      </c>
      <c r="R81" s="12">
        <f>$I$19*$R$19</f>
        <v>0</v>
      </c>
      <c r="S81" s="12">
        <f>$I$19*$S$19</f>
        <v>0</v>
      </c>
      <c r="T81" s="12">
        <f>$I$19*$T$19</f>
        <v>0</v>
      </c>
      <c r="U81" s="12">
        <f>$I$19*$U$19</f>
        <v>0</v>
      </c>
      <c r="V81" s="12">
        <f>$I$19*$V$19</f>
        <v>0</v>
      </c>
      <c r="W81" s="12">
        <f>$I$19*$W$19</f>
        <v>0</v>
      </c>
      <c r="X81" s="12">
        <f>$I$19*$X$19</f>
        <v>0</v>
      </c>
      <c r="Y81" s="12">
        <f>$I$19*$Y$19</f>
        <v>0</v>
      </c>
      <c r="Z81" s="12">
        <f>$I$19*$Z$19</f>
        <v>0</v>
      </c>
      <c r="AA81" s="12">
        <f>$I$19*$AA$19</f>
        <v>0</v>
      </c>
      <c r="AB81" s="12">
        <f ca="1">$I$19*$AB$19</f>
        <v>0</v>
      </c>
      <c r="AC81" s="12">
        <f ca="1">$I$19*$AC$19</f>
        <v>0</v>
      </c>
      <c r="AD81" s="12">
        <f>$I$19*$AD$19</f>
        <v>0</v>
      </c>
      <c r="AE81" s="12">
        <f>$I$19*$AE$19</f>
        <v>0</v>
      </c>
      <c r="AF81" s="12">
        <f ca="1">$I$19*$AF$19</f>
        <v>0</v>
      </c>
      <c r="AG81" s="12">
        <f ca="1">$I$19*$AG$19</f>
        <v>0</v>
      </c>
      <c r="AI81" s="12">
        <f>$I$19*$AI$19</f>
        <v>0</v>
      </c>
      <c r="AJ81" s="12">
        <f>$I$19*$AJ$19</f>
        <v>0</v>
      </c>
      <c r="AK81" s="12">
        <f>$I$19*$AK$19</f>
        <v>0</v>
      </c>
      <c r="AL81" s="12">
        <f>$I$19*$AL$19</f>
        <v>0</v>
      </c>
      <c r="AM81" s="12">
        <f>$I$19*$AM$19</f>
        <v>0</v>
      </c>
      <c r="AN81" s="12">
        <f>$I$19*$AN$19</f>
        <v>0</v>
      </c>
      <c r="AO81" s="12">
        <f>$I$19*$AO$19</f>
        <v>0</v>
      </c>
      <c r="AP81" s="12">
        <f>$I$19*$AP$19</f>
        <v>0</v>
      </c>
      <c r="AQ81" s="12">
        <f>$I$19*$AQ$19</f>
        <v>0</v>
      </c>
      <c r="AR81" s="12">
        <f>$I$19*$AR$19</f>
        <v>0</v>
      </c>
      <c r="AS81" s="12">
        <f>$I$19*$AS$19</f>
        <v>0</v>
      </c>
      <c r="AT81" s="12">
        <f>$I$19*$AT$19</f>
        <v>0</v>
      </c>
      <c r="AU81" s="12">
        <f>$I$19*$AU$19</f>
        <v>0</v>
      </c>
      <c r="AV81" s="12">
        <f>$I$19*$AV$19</f>
        <v>0</v>
      </c>
      <c r="AW81" s="12">
        <f>$I$19*$AW$19</f>
        <v>0</v>
      </c>
      <c r="AX81" s="12">
        <f>$I$19*$AX$19</f>
        <v>0</v>
      </c>
      <c r="AY81" s="12">
        <f>$I$19*$AY$19</f>
        <v>0</v>
      </c>
      <c r="AZ81" s="12">
        <f>$I$19*$AZ$19</f>
        <v>0</v>
      </c>
      <c r="BA81" s="12">
        <f>$I$19*$BA$19</f>
        <v>0</v>
      </c>
      <c r="BB81" s="12">
        <f>$I$19*$BB$19</f>
        <v>0</v>
      </c>
      <c r="BC81" s="12">
        <f>$I$19*$BC$19</f>
        <v>0</v>
      </c>
      <c r="BD81" s="12">
        <f>$I$19*$BD$19</f>
        <v>0</v>
      </c>
    </row>
    <row r="82" spans="1:56" ht="11.25" customHeight="1" x14ac:dyDescent="0.25">
      <c r="A82" s="9" t="s">
        <v>33</v>
      </c>
      <c r="B82" s="9" t="s">
        <v>930</v>
      </c>
      <c r="C82" s="9" t="s">
        <v>931</v>
      </c>
      <c r="D82" s="9" t="s">
        <v>932</v>
      </c>
      <c r="E82" s="9" t="s">
        <v>933</v>
      </c>
      <c r="F82" s="9" t="s">
        <v>934</v>
      </c>
      <c r="G82" s="9" t="s">
        <v>935</v>
      </c>
      <c r="L82" s="12">
        <f>$I$20*$L$20</f>
        <v>0</v>
      </c>
      <c r="M82" s="12">
        <f>$I$20*$M$20</f>
        <v>0</v>
      </c>
      <c r="N82" s="12">
        <f ca="1">$I$20*$N$20</f>
        <v>0</v>
      </c>
      <c r="O82" s="12">
        <f>$I$20*$O$20</f>
        <v>0</v>
      </c>
      <c r="P82" s="12">
        <f>$I$20*$P$20</f>
        <v>0</v>
      </c>
      <c r="Q82" s="12">
        <f>$I$20*$Q$20</f>
        <v>0</v>
      </c>
      <c r="R82" s="12">
        <f>$I$20*$R$20</f>
        <v>0</v>
      </c>
      <c r="S82" s="12">
        <f>$I$20*$S$20</f>
        <v>0</v>
      </c>
      <c r="T82" s="12">
        <f>$I$20*$T$20</f>
        <v>0</v>
      </c>
      <c r="U82" s="12">
        <f>$I$20*$U$20</f>
        <v>0</v>
      </c>
      <c r="V82" s="12">
        <f>$I$20*$V$20</f>
        <v>0</v>
      </c>
      <c r="W82" s="12">
        <f>$I$20*$W$20</f>
        <v>0</v>
      </c>
      <c r="X82" s="12">
        <f>$I$20*$X$20</f>
        <v>4497936.7590352902</v>
      </c>
      <c r="Y82" s="12">
        <f>$I$20*$Y$20</f>
        <v>0</v>
      </c>
      <c r="Z82" s="12">
        <f>$I$20*$Z$20</f>
        <v>0</v>
      </c>
      <c r="AA82" s="12">
        <f>$I$20*$AA$20</f>
        <v>2250484.4787101373</v>
      </c>
      <c r="AB82" s="12">
        <f ca="1">$I$20*$AB$20</f>
        <v>0</v>
      </c>
      <c r="AC82" s="12">
        <f ca="1">$I$20*$AC$20</f>
        <v>0</v>
      </c>
      <c r="AD82" s="12">
        <f>$I$20*$AD$20</f>
        <v>0</v>
      </c>
      <c r="AE82" s="12">
        <f>$I$20*$AE$20</f>
        <v>0</v>
      </c>
      <c r="AF82" s="12">
        <f ca="1">$I$20*$AF$20</f>
        <v>0</v>
      </c>
      <c r="AG82" s="12">
        <f ca="1">$I$20*$AG$20</f>
        <v>0</v>
      </c>
      <c r="AI82" s="12">
        <f>$I$20*$AI$20</f>
        <v>0</v>
      </c>
      <c r="AJ82" s="12">
        <f>$I$20*$AJ$20</f>
        <v>0</v>
      </c>
      <c r="AK82" s="12">
        <f>$I$20*$AK$20</f>
        <v>0</v>
      </c>
      <c r="AL82" s="12">
        <f>$I$20*$AL$20</f>
        <v>0</v>
      </c>
      <c r="AM82" s="12">
        <f>$I$20*$AM$20</f>
        <v>0</v>
      </c>
      <c r="AN82" s="12">
        <f>$I$20*$AN$20</f>
        <v>0</v>
      </c>
      <c r="AO82" s="12">
        <f>$I$20*$AO$20</f>
        <v>0</v>
      </c>
      <c r="AP82" s="12">
        <f>$I$20*$AP$20</f>
        <v>0</v>
      </c>
      <c r="AQ82" s="12">
        <f>$I$20*$AQ$20</f>
        <v>0</v>
      </c>
      <c r="AR82" s="12">
        <f>$I$20*$AR$20</f>
        <v>0</v>
      </c>
      <c r="AS82" s="12">
        <f>$I$20*$AS$20</f>
        <v>0</v>
      </c>
      <c r="AT82" s="12">
        <f>$I$20*$AT$20</f>
        <v>0</v>
      </c>
      <c r="AU82" s="12">
        <f>$I$20*$AU$20</f>
        <v>3475975.7158168894</v>
      </c>
      <c r="AV82" s="12">
        <f>$I$20*$AV$20</f>
        <v>0</v>
      </c>
      <c r="AW82" s="12">
        <f>$I$20*$AW$20</f>
        <v>0</v>
      </c>
      <c r="AX82" s="12">
        <f>$I$20*$AX$20</f>
        <v>1600070.3841999169</v>
      </c>
      <c r="AY82" s="12">
        <f>$I$20*$AY$20</f>
        <v>0</v>
      </c>
      <c r="AZ82" s="12">
        <f>$I$20*$AZ$20</f>
        <v>0</v>
      </c>
      <c r="BA82" s="12">
        <f>$I$20*$BA$20</f>
        <v>0</v>
      </c>
      <c r="BB82" s="12">
        <f>$I$20*$BB$20</f>
        <v>0</v>
      </c>
      <c r="BC82" s="12">
        <f>$I$20*$BC$20</f>
        <v>0</v>
      </c>
      <c r="BD82" s="12">
        <f>$I$20*$BD$20</f>
        <v>0</v>
      </c>
    </row>
    <row r="83" spans="1:56" ht="11.25" customHeight="1" x14ac:dyDescent="0.25">
      <c r="A83" s="9" t="s">
        <v>33</v>
      </c>
      <c r="B83" s="9" t="s">
        <v>930</v>
      </c>
      <c r="C83" s="9" t="s">
        <v>931</v>
      </c>
      <c r="D83" s="9" t="s">
        <v>932</v>
      </c>
      <c r="E83" s="9" t="s">
        <v>933</v>
      </c>
      <c r="F83" s="9" t="s">
        <v>934</v>
      </c>
      <c r="G83" s="9" t="s">
        <v>936</v>
      </c>
      <c r="L83" s="12">
        <f>$I$21*$L$21</f>
        <v>8218.2912049797615</v>
      </c>
      <c r="M83" s="12">
        <f>$I$21*$M$21</f>
        <v>1504.8477511521417</v>
      </c>
      <c r="N83" s="12">
        <f ca="1">$I$21*$N$21</f>
        <v>111045.5549555246</v>
      </c>
      <c r="O83" s="12">
        <f>$I$21*$O$21</f>
        <v>0</v>
      </c>
      <c r="P83" s="12">
        <f>$I$21*$P$21</f>
        <v>0</v>
      </c>
      <c r="Q83" s="12">
        <f>$I$21*$Q$21</f>
        <v>629659.71609075204</v>
      </c>
      <c r="R83" s="12">
        <f>$I$21*$R$21</f>
        <v>126944.02122074843</v>
      </c>
      <c r="S83" s="12">
        <f>$I$21*$S$21</f>
        <v>0</v>
      </c>
      <c r="T83" s="12">
        <f>$I$21*$T$21</f>
        <v>0</v>
      </c>
      <c r="U83" s="12">
        <f>$I$21*$U$21</f>
        <v>0</v>
      </c>
      <c r="V83" s="12">
        <f>$I$21*$V$21</f>
        <v>0</v>
      </c>
      <c r="W83" s="12">
        <f>$I$21*$W$21</f>
        <v>0</v>
      </c>
      <c r="X83" s="12">
        <f>$I$21*$X$21</f>
        <v>4466368.059238703</v>
      </c>
      <c r="Y83" s="12">
        <f>$I$21*$Y$21</f>
        <v>0</v>
      </c>
      <c r="Z83" s="12">
        <f>$I$21*$Z$21</f>
        <v>0</v>
      </c>
      <c r="AA83" s="12">
        <f>$I$21*$AA$21</f>
        <v>3041583.0486321072</v>
      </c>
      <c r="AB83" s="12">
        <f ca="1">$I$21*$AB$21</f>
        <v>0</v>
      </c>
      <c r="AC83" s="12">
        <f ca="1">$I$21*$AC$21</f>
        <v>0</v>
      </c>
      <c r="AD83" s="12">
        <f>$I$21*$AD$21</f>
        <v>37584.165709681016</v>
      </c>
      <c r="AE83" s="12">
        <f>$I$21*$AE$21</f>
        <v>1381.1946470142987</v>
      </c>
      <c r="AF83" s="12">
        <f ca="1">$I$21*$AF$21</f>
        <v>9567.2888808773605</v>
      </c>
      <c r="AG83" s="12">
        <f ca="1">$I$21*$AG$21</f>
        <v>1741.9235070877194</v>
      </c>
      <c r="AI83" s="12">
        <f>$I$21*$AI$21</f>
        <v>21388.414378235044</v>
      </c>
      <c r="AJ83" s="12">
        <f>$I$21*$AJ$21</f>
        <v>1026.195678160494</v>
      </c>
      <c r="AK83" s="12">
        <f>$I$21*$AK$21</f>
        <v>75168.058947110039</v>
      </c>
      <c r="AL83" s="12">
        <f>$I$21*$AL$21</f>
        <v>0</v>
      </c>
      <c r="AM83" s="12">
        <f>$I$21*$AM$21</f>
        <v>0</v>
      </c>
      <c r="AN83" s="12">
        <f>$I$21*$AN$21</f>
        <v>367329.64405942347</v>
      </c>
      <c r="AO83" s="12">
        <f>$I$21*$AO$21</f>
        <v>65732.70891611668</v>
      </c>
      <c r="AP83" s="12">
        <f>$I$21*$AP$21</f>
        <v>0</v>
      </c>
      <c r="AQ83" s="12">
        <f>$I$21*$AQ$21</f>
        <v>0</v>
      </c>
      <c r="AR83" s="12">
        <f>$I$21*$AR$21</f>
        <v>0</v>
      </c>
      <c r="AS83" s="12">
        <f>$I$21*$AS$21</f>
        <v>0</v>
      </c>
      <c r="AT83" s="12">
        <f>$I$21*$AT$21</f>
        <v>0</v>
      </c>
      <c r="AU83" s="12">
        <f>$I$21*$AU$21</f>
        <v>3451579.6338460976</v>
      </c>
      <c r="AV83" s="12">
        <f>$I$21*$AV$21</f>
        <v>0</v>
      </c>
      <c r="AW83" s="12">
        <f>$I$21*$AW$21</f>
        <v>0</v>
      </c>
      <c r="AX83" s="12">
        <f>$I$21*$AX$21</f>
        <v>2162533.0026670997</v>
      </c>
      <c r="AY83" s="12">
        <f>$I$21*$AY$21</f>
        <v>0</v>
      </c>
      <c r="AZ83" s="12">
        <f>$I$21*$AZ$21</f>
        <v>0</v>
      </c>
      <c r="BA83" s="12">
        <f>$I$21*$BA$21</f>
        <v>40982.382104125274</v>
      </c>
      <c r="BB83" s="12">
        <f>$I$21*$BB$21</f>
        <v>1291.1341896166678</v>
      </c>
      <c r="BC83" s="12">
        <f>$I$21*$BC$21</f>
        <v>9427.4245013200234</v>
      </c>
      <c r="BD83" s="12">
        <f>$I$21*$BD$21</f>
        <v>1657.74125486406</v>
      </c>
    </row>
    <row r="84" spans="1:56" ht="11.25" customHeight="1" x14ac:dyDescent="0.25">
      <c r="A84" s="9" t="s">
        <v>33</v>
      </c>
      <c r="B84" s="9" t="s">
        <v>930</v>
      </c>
      <c r="C84" s="9" t="s">
        <v>931</v>
      </c>
      <c r="D84" s="9" t="s">
        <v>932</v>
      </c>
      <c r="E84" s="9" t="s">
        <v>933</v>
      </c>
      <c r="F84" s="9" t="s">
        <v>934</v>
      </c>
      <c r="G84" s="9" t="s">
        <v>937</v>
      </c>
      <c r="L84" s="12">
        <f>$I$22*$L$22</f>
        <v>101278.01513813721</v>
      </c>
      <c r="M84" s="12">
        <f>$I$22*$M$22</f>
        <v>18544.973586410371</v>
      </c>
      <c r="N84" s="12">
        <f ca="1">$I$22*$N$22</f>
        <v>23765.208877048924</v>
      </c>
      <c r="O84" s="12">
        <f>$I$22*$O$22</f>
        <v>0</v>
      </c>
      <c r="P84" s="12">
        <f>$I$22*$P$22</f>
        <v>0</v>
      </c>
      <c r="Q84" s="12">
        <f>$I$22*$Q$22</f>
        <v>7759604.1156917624</v>
      </c>
      <c r="R84" s="12">
        <f>$I$22*$R$22</f>
        <v>1564393.1545161926</v>
      </c>
      <c r="S84" s="12">
        <f>$I$22*$S$22</f>
        <v>0</v>
      </c>
      <c r="T84" s="12">
        <f>$I$22*$T$22</f>
        <v>0</v>
      </c>
      <c r="U84" s="12">
        <f>$I$22*$U$22</f>
        <v>0</v>
      </c>
      <c r="V84" s="12">
        <f>$I$22*$V$22</f>
        <v>0</v>
      </c>
      <c r="W84" s="12">
        <f>$I$22*$W$22</f>
        <v>0</v>
      </c>
      <c r="X84" s="12">
        <f>$I$22*$X$22</f>
        <v>0</v>
      </c>
      <c r="Y84" s="12">
        <f>$I$22*$Y$22</f>
        <v>0</v>
      </c>
      <c r="Z84" s="12">
        <f>$I$22*$Z$22</f>
        <v>0</v>
      </c>
      <c r="AA84" s="12">
        <f>$I$22*$AA$22</f>
        <v>0</v>
      </c>
      <c r="AB84" s="12">
        <f ca="1">$I$22*$AB$22</f>
        <v>0</v>
      </c>
      <c r="AC84" s="12">
        <f ca="1">$I$22*$AC$22</f>
        <v>0</v>
      </c>
      <c r="AD84" s="12">
        <f>$I$22*$AD$22</f>
        <v>463168.02468533424</v>
      </c>
      <c r="AE84" s="12">
        <f>$I$22*$AE$22</f>
        <v>17021.136009912501</v>
      </c>
      <c r="AF84" s="12">
        <f ca="1">$I$22*$AF$22</f>
        <v>117902.37215265668</v>
      </c>
      <c r="AG84" s="12">
        <f ca="1">$I$22*$AG$22</f>
        <v>21466.573880152686</v>
      </c>
      <c r="AI84" s="12">
        <f>$I$22*$AI$22</f>
        <v>263579.87337648438</v>
      </c>
      <c r="AJ84" s="12">
        <f>$I$22*$AJ$22</f>
        <v>12646.31038681787</v>
      </c>
      <c r="AK84" s="12">
        <f>$I$22*$AK$22</f>
        <v>19961.842091824317</v>
      </c>
      <c r="AL84" s="12">
        <f>$I$22*$AL$22</f>
        <v>0</v>
      </c>
      <c r="AM84" s="12">
        <f>$I$22*$AM$22</f>
        <v>0</v>
      </c>
      <c r="AN84" s="12">
        <f>$I$22*$AN$22</f>
        <v>4526782.5541633945</v>
      </c>
      <c r="AO84" s="12">
        <f>$I$22*$AO$22</f>
        <v>810056.26627629658</v>
      </c>
      <c r="AP84" s="12">
        <f>$I$22*$AP$22</f>
        <v>0</v>
      </c>
      <c r="AQ84" s="12">
        <f>$I$22*$AQ$22</f>
        <v>0</v>
      </c>
      <c r="AR84" s="12">
        <f>$I$22*$AR$22</f>
        <v>0</v>
      </c>
      <c r="AS84" s="12">
        <f>$I$22*$AS$22</f>
        <v>0</v>
      </c>
      <c r="AT84" s="12">
        <f>$I$22*$AT$22</f>
        <v>0</v>
      </c>
      <c r="AU84" s="12">
        <f>$I$22*$AU$22</f>
        <v>0</v>
      </c>
      <c r="AV84" s="12">
        <f>$I$22*$AV$22</f>
        <v>0</v>
      </c>
      <c r="AW84" s="12">
        <f>$I$22*$AW$22</f>
        <v>0</v>
      </c>
      <c r="AX84" s="12">
        <f>$I$22*$AX$22</f>
        <v>0</v>
      </c>
      <c r="AY84" s="12">
        <f>$I$22*$AY$22</f>
        <v>0</v>
      </c>
      <c r="AZ84" s="12">
        <f>$I$22*$AZ$22</f>
        <v>0</v>
      </c>
      <c r="BA84" s="12">
        <f>$I$22*$BA$22</f>
        <v>505045.90450914111</v>
      </c>
      <c r="BB84" s="12">
        <f>$I$22*$BB$22</f>
        <v>15911.27702096137</v>
      </c>
      <c r="BC84" s="12">
        <f>$I$22*$BC$22</f>
        <v>116178.75511393324</v>
      </c>
      <c r="BD84" s="12">
        <f>$I$22*$BD$22</f>
        <v>20429.154883621613</v>
      </c>
    </row>
    <row r="85" spans="1:56" ht="11.25" customHeight="1" x14ac:dyDescent="0.25">
      <c r="A85" s="9" t="s">
        <v>33</v>
      </c>
      <c r="B85" s="9" t="s">
        <v>930</v>
      </c>
      <c r="C85" s="9" t="s">
        <v>931</v>
      </c>
      <c r="D85" s="9" t="s">
        <v>932</v>
      </c>
      <c r="E85" s="9" t="s">
        <v>938</v>
      </c>
      <c r="F85" s="9" t="s">
        <v>939</v>
      </c>
      <c r="G85" s="9" t="s">
        <v>940</v>
      </c>
      <c r="L85" s="12">
        <f>$I$23*$L$23</f>
        <v>0</v>
      </c>
      <c r="M85" s="12">
        <f>$I$23*$M$23</f>
        <v>0</v>
      </c>
      <c r="N85" s="12">
        <f ca="1">$I$23*$N$23</f>
        <v>0</v>
      </c>
      <c r="O85" s="12">
        <f>$I$23*$O$23</f>
        <v>0</v>
      </c>
      <c r="P85" s="12">
        <f>$I$23*$P$23</f>
        <v>0</v>
      </c>
      <c r="Q85" s="12">
        <f>$I$23*$Q$23</f>
        <v>0</v>
      </c>
      <c r="R85" s="12">
        <f>$I$23*$R$23</f>
        <v>0</v>
      </c>
      <c r="S85" s="12">
        <f>$I$23*$S$23</f>
        <v>0</v>
      </c>
      <c r="T85" s="12">
        <f>$I$23*$T$23</f>
        <v>0</v>
      </c>
      <c r="U85" s="12">
        <f>$I$23*$U$23</f>
        <v>0</v>
      </c>
      <c r="V85" s="12">
        <f>$I$23*$V$23</f>
        <v>0</v>
      </c>
      <c r="W85" s="12">
        <f>$I$23*$W$23</f>
        <v>0</v>
      </c>
      <c r="X85" s="12">
        <f>$I$23*$X$23</f>
        <v>0</v>
      </c>
      <c r="Y85" s="12">
        <f>$I$23*$Y$23</f>
        <v>0</v>
      </c>
      <c r="Z85" s="12">
        <f>$I$23*$Z$23</f>
        <v>0</v>
      </c>
      <c r="AA85" s="12">
        <f>$I$23*$AA$23</f>
        <v>0</v>
      </c>
      <c r="AB85" s="12">
        <f ca="1">$I$23*$AB$23</f>
        <v>0</v>
      </c>
      <c r="AC85" s="12">
        <f ca="1">$I$23*$AC$23</f>
        <v>0</v>
      </c>
      <c r="AD85" s="12">
        <f>$I$23*$AD$23</f>
        <v>0</v>
      </c>
      <c r="AE85" s="12">
        <f>$I$23*$AE$23</f>
        <v>0</v>
      </c>
      <c r="AF85" s="12">
        <f ca="1">$I$23*$AF$23</f>
        <v>0</v>
      </c>
      <c r="AG85" s="12">
        <f ca="1">$I$23*$AG$23</f>
        <v>0</v>
      </c>
      <c r="AI85" s="12">
        <f>$I$23*$AI$23</f>
        <v>0</v>
      </c>
      <c r="AJ85" s="12">
        <f>$I$23*$AJ$23</f>
        <v>0</v>
      </c>
      <c r="AK85" s="12">
        <f>$I$23*$AK$23</f>
        <v>0</v>
      </c>
      <c r="AL85" s="12">
        <f>$I$23*$AL$23</f>
        <v>0</v>
      </c>
      <c r="AM85" s="12">
        <f>$I$23*$AM$23</f>
        <v>0</v>
      </c>
      <c r="AN85" s="12">
        <f>$I$23*$AN$23</f>
        <v>0</v>
      </c>
      <c r="AO85" s="12">
        <f>$I$23*$AO$23</f>
        <v>0</v>
      </c>
      <c r="AP85" s="12">
        <f>$I$23*$AP$23</f>
        <v>0</v>
      </c>
      <c r="AQ85" s="12">
        <f>$I$23*$AQ$23</f>
        <v>0</v>
      </c>
      <c r="AR85" s="12">
        <f>$I$23*$AR$23</f>
        <v>0</v>
      </c>
      <c r="AS85" s="12">
        <f>$I$23*$AS$23</f>
        <v>0</v>
      </c>
      <c r="AT85" s="12">
        <f>$I$23*$AT$23</f>
        <v>0</v>
      </c>
      <c r="AU85" s="12">
        <f>$I$23*$AU$23</f>
        <v>0</v>
      </c>
      <c r="AV85" s="12">
        <f>$I$23*$AV$23</f>
        <v>0</v>
      </c>
      <c r="AW85" s="12">
        <f>$I$23*$AW$23</f>
        <v>0</v>
      </c>
      <c r="AX85" s="12">
        <f>$I$23*$AX$23</f>
        <v>0</v>
      </c>
      <c r="AY85" s="12">
        <f>$I$23*$AY$23</f>
        <v>0</v>
      </c>
      <c r="AZ85" s="12">
        <f>$I$23*$AZ$23</f>
        <v>0</v>
      </c>
      <c r="BA85" s="12">
        <f>$I$23*$BA$23</f>
        <v>0</v>
      </c>
      <c r="BB85" s="12">
        <f>$I$23*$BB$23</f>
        <v>0</v>
      </c>
      <c r="BC85" s="12">
        <f>$I$23*$BC$23</f>
        <v>0</v>
      </c>
      <c r="BD85" s="12">
        <f>$I$23*$BD$23</f>
        <v>0</v>
      </c>
    </row>
    <row r="86" spans="1:56" ht="11.25" customHeight="1" x14ac:dyDescent="0.25">
      <c r="A86" s="9" t="s">
        <v>33</v>
      </c>
      <c r="B86" s="9" t="s">
        <v>930</v>
      </c>
      <c r="C86" s="9" t="s">
        <v>931</v>
      </c>
      <c r="D86" s="9" t="s">
        <v>932</v>
      </c>
      <c r="E86" s="9" t="s">
        <v>938</v>
      </c>
      <c r="F86" s="9" t="s">
        <v>939</v>
      </c>
      <c r="G86" s="9" t="s">
        <v>941</v>
      </c>
      <c r="L86" s="12">
        <f>$I$24*$L$24</f>
        <v>0</v>
      </c>
      <c r="M86" s="12">
        <f>$I$24*$M$24</f>
        <v>0</v>
      </c>
      <c r="N86" s="12">
        <f ca="1">$I$24*$N$24</f>
        <v>0</v>
      </c>
      <c r="O86" s="12">
        <f>$I$24*$O$24</f>
        <v>0</v>
      </c>
      <c r="P86" s="12">
        <f>$I$24*$P$24</f>
        <v>0</v>
      </c>
      <c r="Q86" s="12">
        <f>$I$24*$Q$24</f>
        <v>0</v>
      </c>
      <c r="R86" s="12">
        <f>$I$24*$R$24</f>
        <v>0</v>
      </c>
      <c r="S86" s="12">
        <f>$I$24*$S$24</f>
        <v>0</v>
      </c>
      <c r="T86" s="12">
        <f>$I$24*$T$24</f>
        <v>0</v>
      </c>
      <c r="U86" s="12">
        <f>$I$24*$U$24</f>
        <v>0</v>
      </c>
      <c r="V86" s="12">
        <f>$I$24*$V$24</f>
        <v>0</v>
      </c>
      <c r="W86" s="12">
        <f>$I$24*$W$24</f>
        <v>0</v>
      </c>
      <c r="X86" s="12">
        <f>$I$24*$X$24</f>
        <v>0</v>
      </c>
      <c r="Y86" s="12">
        <f>$I$24*$Y$24</f>
        <v>0</v>
      </c>
      <c r="Z86" s="12">
        <f>$I$24*$Z$24</f>
        <v>0</v>
      </c>
      <c r="AA86" s="12">
        <f>$I$24*$AA$24</f>
        <v>0</v>
      </c>
      <c r="AB86" s="12">
        <f ca="1">$I$24*$AB$24</f>
        <v>0</v>
      </c>
      <c r="AC86" s="12">
        <f ca="1">$I$24*$AC$24</f>
        <v>0</v>
      </c>
      <c r="AD86" s="12">
        <f>$I$24*$AD$24</f>
        <v>0</v>
      </c>
      <c r="AE86" s="12">
        <f>$I$24*$AE$24</f>
        <v>0</v>
      </c>
      <c r="AF86" s="12">
        <f ca="1">$I$24*$AF$24</f>
        <v>0</v>
      </c>
      <c r="AG86" s="12">
        <f ca="1">$I$24*$AG$24</f>
        <v>0</v>
      </c>
      <c r="AI86" s="12">
        <f>$I$24*$AI$24</f>
        <v>0</v>
      </c>
      <c r="AJ86" s="12">
        <f>$I$24*$AJ$24</f>
        <v>0</v>
      </c>
      <c r="AK86" s="12">
        <f>$I$24*$AK$24</f>
        <v>0</v>
      </c>
      <c r="AL86" s="12">
        <f>$I$24*$AL$24</f>
        <v>0</v>
      </c>
      <c r="AM86" s="12">
        <f>$I$24*$AM$24</f>
        <v>0</v>
      </c>
      <c r="AN86" s="12">
        <f>$I$24*$AN$24</f>
        <v>0</v>
      </c>
      <c r="AO86" s="12">
        <f>$I$24*$AO$24</f>
        <v>0</v>
      </c>
      <c r="AP86" s="12">
        <f>$I$24*$AP$24</f>
        <v>0</v>
      </c>
      <c r="AQ86" s="12">
        <f>$I$24*$AQ$24</f>
        <v>0</v>
      </c>
      <c r="AR86" s="12">
        <f>$I$24*$AR$24</f>
        <v>0</v>
      </c>
      <c r="AS86" s="12">
        <f>$I$24*$AS$24</f>
        <v>0</v>
      </c>
      <c r="AT86" s="12">
        <f>$I$24*$AT$24</f>
        <v>0</v>
      </c>
      <c r="AU86" s="12">
        <f>$I$24*$AU$24</f>
        <v>0</v>
      </c>
      <c r="AV86" s="12">
        <f>$I$24*$AV$24</f>
        <v>0</v>
      </c>
      <c r="AW86" s="12">
        <f>$I$24*$AW$24</f>
        <v>0</v>
      </c>
      <c r="AX86" s="12">
        <f>$I$24*$AX$24</f>
        <v>0</v>
      </c>
      <c r="AY86" s="12">
        <f>$I$24*$AY$24</f>
        <v>0</v>
      </c>
      <c r="AZ86" s="12">
        <f>$I$24*$AZ$24</f>
        <v>0</v>
      </c>
      <c r="BA86" s="12">
        <f>$I$24*$BA$24</f>
        <v>0</v>
      </c>
      <c r="BB86" s="12">
        <f>$I$24*$BB$24</f>
        <v>0</v>
      </c>
      <c r="BC86" s="12">
        <f>$I$24*$BC$24</f>
        <v>0</v>
      </c>
      <c r="BD86" s="12">
        <f>$I$24*$BD$24</f>
        <v>0</v>
      </c>
    </row>
    <row r="87" spans="1:56" ht="11.25" customHeight="1" x14ac:dyDescent="0.25">
      <c r="A87" s="9" t="s">
        <v>81</v>
      </c>
      <c r="B87" s="9" t="s">
        <v>942</v>
      </c>
      <c r="C87" s="9" t="s">
        <v>943</v>
      </c>
      <c r="D87" s="9" t="s">
        <v>944</v>
      </c>
      <c r="E87" s="9" t="s">
        <v>945</v>
      </c>
      <c r="F87" s="9" t="s">
        <v>946</v>
      </c>
      <c r="G87" s="9" t="s">
        <v>947</v>
      </c>
      <c r="L87" s="12">
        <f>$I$25*$L$25</f>
        <v>0</v>
      </c>
      <c r="M87" s="12">
        <f>$I$25*$M$25</f>
        <v>1.0796869056417769E-10</v>
      </c>
      <c r="N87" s="12">
        <f ca="1">$I$25*$N$25</f>
        <v>4.8789566892542444E-10</v>
      </c>
      <c r="O87" s="12">
        <f>$I$25*$O$25</f>
        <v>0</v>
      </c>
      <c r="P87" s="12">
        <f>$I$25*$P$25</f>
        <v>0</v>
      </c>
      <c r="Q87" s="12">
        <f>$I$25*$Q$25</f>
        <v>0</v>
      </c>
      <c r="R87" s="12">
        <f>$I$25*$R$25</f>
        <v>0</v>
      </c>
      <c r="S87" s="12">
        <f>$I$25*$S$25</f>
        <v>0</v>
      </c>
      <c r="T87" s="12">
        <f>$I$25*$T$25</f>
        <v>0</v>
      </c>
      <c r="U87" s="12">
        <f>$I$25*$U$25</f>
        <v>0</v>
      </c>
      <c r="V87" s="12">
        <f>$I$25*$V$25</f>
        <v>0</v>
      </c>
      <c r="W87" s="12">
        <f>$I$25*$W$25</f>
        <v>0</v>
      </c>
      <c r="X87" s="12">
        <f>$I$25*$X$25</f>
        <v>0</v>
      </c>
      <c r="Y87" s="12">
        <f>$I$25*$Y$25</f>
        <v>0</v>
      </c>
      <c r="Z87" s="12">
        <f>$I$25*$Z$25</f>
        <v>0</v>
      </c>
      <c r="AA87" s="12">
        <f>$I$25*$AA$25</f>
        <v>3.1512363164003007E-8</v>
      </c>
      <c r="AB87" s="12">
        <f ca="1">$I$25*$AB$25</f>
        <v>0</v>
      </c>
      <c r="AC87" s="12">
        <f ca="1">$I$25*$AC$25</f>
        <v>0</v>
      </c>
      <c r="AD87" s="12">
        <f>$I$25*$AD$25</f>
        <v>0</v>
      </c>
      <c r="AE87" s="12">
        <f>$I$25*$AE$25</f>
        <v>0</v>
      </c>
      <c r="AF87" s="12">
        <f ca="1">$I$25*$AF$25</f>
        <v>0</v>
      </c>
      <c r="AG87" s="12">
        <f ca="1">$I$25*$AG$25</f>
        <v>0</v>
      </c>
      <c r="AI87" s="12">
        <f>$I$25*$AI$25</f>
        <v>0</v>
      </c>
      <c r="AJ87" s="12">
        <f>$I$25*$AJ$25</f>
        <v>1.0473207801366701E-10</v>
      </c>
      <c r="AK87" s="12">
        <f>$I$25*$AK$25</f>
        <v>4.38475297349621E-10</v>
      </c>
      <c r="AL87" s="12">
        <f>$I$25*$AL$25</f>
        <v>0</v>
      </c>
      <c r="AM87" s="12">
        <f>$I$25*$AM$25</f>
        <v>0</v>
      </c>
      <c r="AN87" s="12">
        <f>$I$25*$AN$25</f>
        <v>0</v>
      </c>
      <c r="AO87" s="12">
        <f>$I$25*$AO$25</f>
        <v>0</v>
      </c>
      <c r="AP87" s="12">
        <f>$I$25*$AP$25</f>
        <v>0</v>
      </c>
      <c r="AQ87" s="12">
        <f>$I$25*$AQ$25</f>
        <v>0</v>
      </c>
      <c r="AR87" s="12">
        <f>$I$25*$AR$25</f>
        <v>0</v>
      </c>
      <c r="AS87" s="12">
        <f>$I$25*$AS$25</f>
        <v>0</v>
      </c>
      <c r="AT87" s="12">
        <f>$I$25*$AT$25</f>
        <v>0</v>
      </c>
      <c r="AU87" s="12">
        <f>$I$25*$AU$25</f>
        <v>0</v>
      </c>
      <c r="AV87" s="12">
        <f>$I$25*$AV$25</f>
        <v>0</v>
      </c>
      <c r="AW87" s="12">
        <f>$I$25*$AW$25</f>
        <v>0</v>
      </c>
      <c r="AX87" s="12">
        <f>$I$25*$AX$25</f>
        <v>2.9873270703484499E-8</v>
      </c>
      <c r="AY87" s="12">
        <f>$I$25*$AY$25</f>
        <v>0</v>
      </c>
      <c r="AZ87" s="12">
        <f>$I$25*$AZ$25</f>
        <v>0</v>
      </c>
      <c r="BA87" s="12">
        <f>$I$25*$BA$25</f>
        <v>0</v>
      </c>
      <c r="BB87" s="12">
        <f>$I$25*$BB$25</f>
        <v>0</v>
      </c>
      <c r="BC87" s="12">
        <f>$I$25*$BC$25</f>
        <v>0</v>
      </c>
      <c r="BD87" s="12">
        <f>$I$25*$BD$25</f>
        <v>0</v>
      </c>
    </row>
    <row r="88" spans="1:56" ht="11.25" customHeight="1" x14ac:dyDescent="0.25">
      <c r="A88" s="9" t="s">
        <v>81</v>
      </c>
      <c r="B88" s="9" t="s">
        <v>942</v>
      </c>
      <c r="C88" s="9" t="s">
        <v>943</v>
      </c>
      <c r="D88" s="9" t="s">
        <v>944</v>
      </c>
      <c r="E88" s="9" t="s">
        <v>948</v>
      </c>
      <c r="F88" s="9" t="s">
        <v>949</v>
      </c>
      <c r="G88" s="9" t="s">
        <v>950</v>
      </c>
      <c r="L88" s="12">
        <f>$I$26*$L$26</f>
        <v>0</v>
      </c>
      <c r="M88" s="12">
        <f>$I$26*$M$26</f>
        <v>1.0796869056417769E-10</v>
      </c>
      <c r="N88" s="12">
        <f ca="1">$I$26*$N$26</f>
        <v>4.8789566892542444E-10</v>
      </c>
      <c r="O88" s="12">
        <f>$I$26*$O$26</f>
        <v>0</v>
      </c>
      <c r="P88" s="12">
        <f>$I$26*$P$26</f>
        <v>0</v>
      </c>
      <c r="Q88" s="12">
        <f>$I$26*$Q$26</f>
        <v>0</v>
      </c>
      <c r="R88" s="12">
        <f>$I$26*$R$26</f>
        <v>0</v>
      </c>
      <c r="S88" s="12">
        <f>$I$26*$S$26</f>
        <v>0</v>
      </c>
      <c r="T88" s="12">
        <f>$I$26*$T$26</f>
        <v>0</v>
      </c>
      <c r="U88" s="12">
        <f>$I$26*$U$26</f>
        <v>0</v>
      </c>
      <c r="V88" s="12">
        <f>$I$26*$V$26</f>
        <v>0</v>
      </c>
      <c r="W88" s="12">
        <f>$I$26*$W$26</f>
        <v>0</v>
      </c>
      <c r="X88" s="12">
        <f>$I$26*$X$26</f>
        <v>0</v>
      </c>
      <c r="Y88" s="12">
        <f>$I$26*$Y$26</f>
        <v>0</v>
      </c>
      <c r="Z88" s="12">
        <f>$I$26*$Z$26</f>
        <v>0</v>
      </c>
      <c r="AA88" s="12">
        <f>$I$26*$AA$26</f>
        <v>1.0420645371297428E-7</v>
      </c>
      <c r="AB88" s="12">
        <f ca="1">$I$26*$AB$26</f>
        <v>0</v>
      </c>
      <c r="AC88" s="12">
        <f ca="1">$I$26*$AC$26</f>
        <v>0</v>
      </c>
      <c r="AD88" s="12">
        <f>$I$26*$AD$26</f>
        <v>0</v>
      </c>
      <c r="AE88" s="12">
        <f>$I$26*$AE$26</f>
        <v>0</v>
      </c>
      <c r="AF88" s="12">
        <f ca="1">$I$26*$AF$26</f>
        <v>0</v>
      </c>
      <c r="AG88" s="12">
        <f ca="1">$I$26*$AG$26</f>
        <v>0</v>
      </c>
      <c r="AI88" s="12">
        <f>$I$26*$AI$26</f>
        <v>0</v>
      </c>
      <c r="AJ88" s="12">
        <f>$I$26*$AJ$26</f>
        <v>1.0473207801366701E-10</v>
      </c>
      <c r="AK88" s="12">
        <f>$I$26*$AK$26</f>
        <v>4.38475297349621E-10</v>
      </c>
      <c r="AL88" s="12">
        <f>$I$26*$AL$26</f>
        <v>0</v>
      </c>
      <c r="AM88" s="12">
        <f>$I$26*$AM$26</f>
        <v>0</v>
      </c>
      <c r="AN88" s="12">
        <f>$I$26*$AN$26</f>
        <v>0</v>
      </c>
      <c r="AO88" s="12">
        <f>$I$26*$AO$26</f>
        <v>0</v>
      </c>
      <c r="AP88" s="12">
        <f>$I$26*$AP$26</f>
        <v>0</v>
      </c>
      <c r="AQ88" s="12">
        <f>$I$26*$AQ$26</f>
        <v>0</v>
      </c>
      <c r="AR88" s="12">
        <f>$I$26*$AR$26</f>
        <v>0</v>
      </c>
      <c r="AS88" s="12">
        <f>$I$26*$AS$26</f>
        <v>0</v>
      </c>
      <c r="AT88" s="12">
        <f>$I$26*$AT$26</f>
        <v>0</v>
      </c>
      <c r="AU88" s="12">
        <f>$I$26*$AU$26</f>
        <v>0</v>
      </c>
      <c r="AV88" s="12">
        <f>$I$26*$AV$26</f>
        <v>0</v>
      </c>
      <c r="AW88" s="12">
        <f>$I$26*$AW$26</f>
        <v>0</v>
      </c>
      <c r="AX88" s="12">
        <f>$I$26*$AX$26</f>
        <v>9.8786231442452305E-8</v>
      </c>
      <c r="AY88" s="12">
        <f>$I$26*$AY$26</f>
        <v>0</v>
      </c>
      <c r="AZ88" s="12">
        <f>$I$26*$AZ$26</f>
        <v>0</v>
      </c>
      <c r="BA88" s="12">
        <f>$I$26*$BA$26</f>
        <v>0</v>
      </c>
      <c r="BB88" s="12">
        <f>$I$26*$BB$26</f>
        <v>0</v>
      </c>
      <c r="BC88" s="12">
        <f>$I$26*$BC$26</f>
        <v>0</v>
      </c>
      <c r="BD88" s="12">
        <f>$I$26*$BD$26</f>
        <v>0</v>
      </c>
    </row>
    <row r="89" spans="1:56" ht="11.25" customHeight="1" x14ac:dyDescent="0.25">
      <c r="A89" s="9" t="s">
        <v>22</v>
      </c>
      <c r="B89" s="9" t="s">
        <v>951</v>
      </c>
      <c r="C89" s="9" t="s">
        <v>952</v>
      </c>
      <c r="D89" s="9" t="s">
        <v>953</v>
      </c>
      <c r="E89" s="9" t="s">
        <v>954</v>
      </c>
      <c r="F89" s="9" t="s">
        <v>955</v>
      </c>
      <c r="G89" s="9" t="s">
        <v>956</v>
      </c>
      <c r="L89" s="12">
        <f>$I$27*$L$27</f>
        <v>2.9503416722312146</v>
      </c>
      <c r="M89" s="12">
        <f>$I$27*$M$27</f>
        <v>1.290493783715694</v>
      </c>
      <c r="N89" s="12">
        <f ca="1">$I$27*$N$27</f>
        <v>40.260865558260313</v>
      </c>
      <c r="O89" s="12">
        <f>$I$27*$O$27</f>
        <v>0</v>
      </c>
      <c r="P89" s="12">
        <f>$I$27*$P$27</f>
        <v>0</v>
      </c>
      <c r="Q89" s="12">
        <f>$I$27*$Q$27</f>
        <v>226.0459325878069</v>
      </c>
      <c r="R89" s="12">
        <f>$I$27*$R$27</f>
        <v>38.280916344487707</v>
      </c>
      <c r="S89" s="12">
        <f>$I$27*$S$27</f>
        <v>0</v>
      </c>
      <c r="T89" s="12">
        <f>$I$27*$T$27</f>
        <v>0</v>
      </c>
      <c r="U89" s="12">
        <f>$I$27*$U$27</f>
        <v>0</v>
      </c>
      <c r="V89" s="12">
        <f>$I$27*$V$27</f>
        <v>0</v>
      </c>
      <c r="W89" s="12">
        <f>$I$27*$W$27</f>
        <v>0</v>
      </c>
      <c r="X89" s="12">
        <f>$I$27*$X$27</f>
        <v>991.3214631378404</v>
      </c>
      <c r="Y89" s="12">
        <f>$I$27*$Y$27</f>
        <v>0</v>
      </c>
      <c r="Z89" s="12">
        <f>$I$27*$Z$27</f>
        <v>0</v>
      </c>
      <c r="AA89" s="12">
        <f>$I$27*$AA$27</f>
        <v>1610.6143536039672</v>
      </c>
      <c r="AB89" s="12">
        <f ca="1">$I$27*$AB$27</f>
        <v>0</v>
      </c>
      <c r="AC89" s="12">
        <f ca="1">$I$27*$AC$27</f>
        <v>0</v>
      </c>
      <c r="AD89" s="12">
        <f>$I$27*$AD$27</f>
        <v>38.765478269476475</v>
      </c>
      <c r="AE89" s="12">
        <f>$I$27*$AE$27</f>
        <v>1.4246071467527177</v>
      </c>
      <c r="AF89" s="12">
        <f ca="1">$I$27*$AF$27</f>
        <v>4.230779438977267</v>
      </c>
      <c r="AG89" s="12">
        <f ca="1">$I$27*$AG$27</f>
        <v>0.77030120547400693</v>
      </c>
      <c r="AI89" s="12">
        <f>$I$27*$AI$27</f>
        <v>7.4136044483014905</v>
      </c>
      <c r="AJ89" s="12">
        <f>$I$27*$AJ$27</f>
        <v>1.1996597525528385</v>
      </c>
      <c r="AK89" s="12">
        <f>$I$27*$AK$27</f>
        <v>36.153595211237409</v>
      </c>
      <c r="AL89" s="12">
        <f>$I$27*$AL$27</f>
        <v>0</v>
      </c>
      <c r="AM89" s="12">
        <f>$I$27*$AM$27</f>
        <v>0</v>
      </c>
      <c r="AN89" s="12">
        <f>$I$27*$AN$27</f>
        <v>127.32298126611589</v>
      </c>
      <c r="AO89" s="12">
        <f>$I$27*$AO$27</f>
        <v>19.822188606572553</v>
      </c>
      <c r="AP89" s="12">
        <f>$I$27*$AP$27</f>
        <v>0</v>
      </c>
      <c r="AQ89" s="12">
        <f>$I$27*$AQ$27</f>
        <v>0</v>
      </c>
      <c r="AR89" s="12">
        <f>$I$27*$AR$27</f>
        <v>0</v>
      </c>
      <c r="AS89" s="12">
        <f>$I$27*$AS$27</f>
        <v>0</v>
      </c>
      <c r="AT89" s="12">
        <f>$I$27*$AT$27</f>
        <v>0</v>
      </c>
      <c r="AU89" s="12">
        <f>$I$27*$AU$27</f>
        <v>1021.4488752021358</v>
      </c>
      <c r="AV89" s="12">
        <f>$I$27*$AV$27</f>
        <v>0</v>
      </c>
      <c r="AW89" s="12">
        <f>$I$27*$AW$27</f>
        <v>0</v>
      </c>
      <c r="AX89" s="12">
        <f>$I$27*$AX$27</f>
        <v>1526.8394291384227</v>
      </c>
      <c r="AY89" s="12">
        <f>$I$27*$AY$27</f>
        <v>0</v>
      </c>
      <c r="AZ89" s="12">
        <f>$I$27*$AZ$27</f>
        <v>0</v>
      </c>
      <c r="BA89" s="12">
        <f>$I$27*$BA$27</f>
        <v>42.270504423612387</v>
      </c>
      <c r="BB89" s="12">
        <f>$I$27*$BB$27</f>
        <v>1.331715987982425</v>
      </c>
      <c r="BC89" s="12">
        <f>$I$27*$BC$27</f>
        <v>5.1442563068011049</v>
      </c>
      <c r="BD89" s="12">
        <f>$I$27*$BD$27</f>
        <v>0.90457854148657346</v>
      </c>
    </row>
    <row r="90" spans="1:56" ht="11.25" customHeight="1" x14ac:dyDescent="0.25">
      <c r="A90" s="9" t="s">
        <v>22</v>
      </c>
      <c r="B90" s="9" t="s">
        <v>951</v>
      </c>
      <c r="C90" s="9" t="s">
        <v>952</v>
      </c>
      <c r="D90" s="9" t="s">
        <v>953</v>
      </c>
      <c r="E90" s="9" t="s">
        <v>954</v>
      </c>
      <c r="F90" s="9" t="s">
        <v>955</v>
      </c>
      <c r="G90" s="9" t="s">
        <v>957</v>
      </c>
      <c r="L90" s="12">
        <f>$I$28*$L$28</f>
        <v>3.5579604844032144</v>
      </c>
      <c r="M90" s="12">
        <f>$I$28*$M$28</f>
        <v>1.5562692046972504</v>
      </c>
      <c r="N90" s="12">
        <f ca="1">$I$28*$N$28</f>
        <v>13.587669073134169</v>
      </c>
      <c r="O90" s="12">
        <f>$I$28*$O$28</f>
        <v>0</v>
      </c>
      <c r="P90" s="12">
        <f>$I$28*$P$28</f>
        <v>0</v>
      </c>
      <c r="Q90" s="12">
        <f>$I$28*$Q$28</f>
        <v>272.59978170571043</v>
      </c>
      <c r="R90" s="12">
        <f>$I$28*$R$28</f>
        <v>46.164818448782846</v>
      </c>
      <c r="S90" s="12">
        <f>$I$28*$S$28</f>
        <v>0</v>
      </c>
      <c r="T90" s="12">
        <f>$I$28*$T$28</f>
        <v>0</v>
      </c>
      <c r="U90" s="12">
        <f>$I$28*$U$28</f>
        <v>0</v>
      </c>
      <c r="V90" s="12">
        <f>$I$28*$V$28</f>
        <v>0</v>
      </c>
      <c r="W90" s="12">
        <f>$I$28*$W$28</f>
        <v>0</v>
      </c>
      <c r="X90" s="12">
        <f>$I$28*$X$28</f>
        <v>298.87060213051348</v>
      </c>
      <c r="Y90" s="12">
        <f>$I$28*$Y$28</f>
        <v>0</v>
      </c>
      <c r="Z90" s="12">
        <f>$I$28*$Z$28</f>
        <v>0</v>
      </c>
      <c r="AA90" s="12">
        <f>$I$28*$AA$28</f>
        <v>485.57969813624925</v>
      </c>
      <c r="AB90" s="12">
        <f ca="1">$I$28*$AB$28</f>
        <v>0</v>
      </c>
      <c r="AC90" s="12">
        <f ca="1">$I$28*$AC$28</f>
        <v>0</v>
      </c>
      <c r="AD90" s="12">
        <f>$I$28*$AD$28</f>
        <v>46.749175236196066</v>
      </c>
      <c r="AE90" s="12">
        <f>$I$28*$AE$28</f>
        <v>1.7180030305138683</v>
      </c>
      <c r="AF90" s="12">
        <f ca="1">$I$28*$AF$28</f>
        <v>5.1021026492578505</v>
      </c>
      <c r="AG90" s="12">
        <f ca="1">$I$28*$AG$28</f>
        <v>0.92894367996775262</v>
      </c>
      <c r="AI90" s="12">
        <f>$I$28*$AI$28</f>
        <v>8.9404260944816567</v>
      </c>
      <c r="AJ90" s="12">
        <f>$I$28*$AJ$28</f>
        <v>1.4467280296671459</v>
      </c>
      <c r="AK90" s="12">
        <f>$I$28*$AK$28</f>
        <v>12.176205073575902</v>
      </c>
      <c r="AL90" s="12">
        <f>$I$28*$AL$28</f>
        <v>0</v>
      </c>
      <c r="AM90" s="12">
        <f>$I$28*$AM$28</f>
        <v>0</v>
      </c>
      <c r="AN90" s="12">
        <f>$I$28*$AN$28</f>
        <v>153.54497425332411</v>
      </c>
      <c r="AO90" s="12">
        <f>$I$28*$AO$28</f>
        <v>23.904541104636397</v>
      </c>
      <c r="AP90" s="12">
        <f>$I$28*$AP$28</f>
        <v>0</v>
      </c>
      <c r="AQ90" s="12">
        <f>$I$28*$AQ$28</f>
        <v>0</v>
      </c>
      <c r="AR90" s="12">
        <f>$I$28*$AR$28</f>
        <v>0</v>
      </c>
      <c r="AS90" s="12">
        <f>$I$28*$AS$28</f>
        <v>0</v>
      </c>
      <c r="AT90" s="12">
        <f>$I$28*$AT$28</f>
        <v>0</v>
      </c>
      <c r="AU90" s="12">
        <f>$I$28*$AU$28</f>
        <v>307.95362728341308</v>
      </c>
      <c r="AV90" s="12">
        <f>$I$28*$AV$28</f>
        <v>0</v>
      </c>
      <c r="AW90" s="12">
        <f>$I$28*$AW$28</f>
        <v>0</v>
      </c>
      <c r="AX90" s="12">
        <f>$I$28*$AX$28</f>
        <v>460.32262623549332</v>
      </c>
      <c r="AY90" s="12">
        <f>$I$28*$AY$28</f>
        <v>0</v>
      </c>
      <c r="AZ90" s="12">
        <f>$I$28*$AZ$28</f>
        <v>0</v>
      </c>
      <c r="BA90" s="12">
        <f>$I$28*$BA$28</f>
        <v>50.976056709142306</v>
      </c>
      <c r="BB90" s="12">
        <f>$I$28*$BB$28</f>
        <v>1.6059810652730824</v>
      </c>
      <c r="BC90" s="12">
        <f>$I$28*$BC$28</f>
        <v>6.2037088224424339</v>
      </c>
      <c r="BD90" s="12">
        <f>$I$28*$BD$28</f>
        <v>1.0908752487688469</v>
      </c>
    </row>
    <row r="91" spans="1:56" ht="11.25" customHeight="1" x14ac:dyDescent="0.25">
      <c r="A91" s="9" t="s">
        <v>22</v>
      </c>
      <c r="B91" s="9" t="s">
        <v>951</v>
      </c>
      <c r="C91" s="9" t="s">
        <v>952</v>
      </c>
      <c r="D91" s="9" t="s">
        <v>953</v>
      </c>
      <c r="E91" s="9" t="s">
        <v>954</v>
      </c>
      <c r="F91" s="9" t="s">
        <v>955</v>
      </c>
      <c r="G91" s="9" t="s">
        <v>958</v>
      </c>
      <c r="L91" s="12">
        <f>$I$29*$L$29</f>
        <v>31.907300338082329</v>
      </c>
      <c r="M91" s="12">
        <f>$I$29*$M$29</f>
        <v>13.956408211631016</v>
      </c>
      <c r="N91" s="12">
        <f ca="1">$I$29*$N$29</f>
        <v>38.236297151305493</v>
      </c>
      <c r="O91" s="12">
        <f>$I$29*$O$29</f>
        <v>0</v>
      </c>
      <c r="P91" s="12">
        <f>$I$29*$P$29</f>
        <v>0</v>
      </c>
      <c r="Q91" s="12">
        <f>$I$29*$Q$29</f>
        <v>2444.637354773407</v>
      </c>
      <c r="R91" s="12">
        <f>$I$29*$R$29</f>
        <v>413.99974332357635</v>
      </c>
      <c r="S91" s="12">
        <f>$I$29*$S$29</f>
        <v>0</v>
      </c>
      <c r="T91" s="12">
        <f>$I$29*$T$29</f>
        <v>0</v>
      </c>
      <c r="U91" s="12">
        <f>$I$29*$U$29</f>
        <v>0</v>
      </c>
      <c r="V91" s="12">
        <f>$I$29*$V$29</f>
        <v>0</v>
      </c>
      <c r="W91" s="12">
        <f>$I$29*$W$29</f>
        <v>0</v>
      </c>
      <c r="X91" s="12">
        <f>$I$29*$X$29</f>
        <v>536.04609192287455</v>
      </c>
      <c r="Y91" s="12">
        <f>$I$29*$Y$29</f>
        <v>0</v>
      </c>
      <c r="Z91" s="12">
        <f>$I$29*$Z$29</f>
        <v>0</v>
      </c>
      <c r="AA91" s="12">
        <f>$I$29*$AA$29</f>
        <v>870.92182939960037</v>
      </c>
      <c r="AB91" s="12">
        <f ca="1">$I$29*$AB$29</f>
        <v>0</v>
      </c>
      <c r="AC91" s="12">
        <f ca="1">$I$29*$AC$29</f>
        <v>0</v>
      </c>
      <c r="AD91" s="12">
        <f>$I$29*$AD$29</f>
        <v>419.2401746331214</v>
      </c>
      <c r="AE91" s="12">
        <f>$I$29*$AE$29</f>
        <v>15.406814920131465</v>
      </c>
      <c r="AF91" s="12">
        <f ca="1">$I$29*$AF$29</f>
        <v>45.754954924099344</v>
      </c>
      <c r="AG91" s="12">
        <f ca="1">$I$29*$AG$29</f>
        <v>8.330639174837863</v>
      </c>
      <c r="AI91" s="12">
        <f>$I$29*$AI$29</f>
        <v>80.176511739675149</v>
      </c>
      <c r="AJ91" s="12">
        <f>$I$29*$AJ$29</f>
        <v>12.97405801791934</v>
      </c>
      <c r="AK91" s="12">
        <f>$I$29*$AK$29</f>
        <v>34.04819510093219</v>
      </c>
      <c r="AL91" s="12">
        <f>$I$29*$AL$29</f>
        <v>0</v>
      </c>
      <c r="AM91" s="12">
        <f>$I$29*$AM$29</f>
        <v>0</v>
      </c>
      <c r="AN91" s="12">
        <f>$I$29*$AN$29</f>
        <v>1376.9702138009234</v>
      </c>
      <c r="AO91" s="12">
        <f>$I$29*$AO$29</f>
        <v>214.37263730533039</v>
      </c>
      <c r="AP91" s="12">
        <f>$I$29*$AP$29</f>
        <v>0</v>
      </c>
      <c r="AQ91" s="12">
        <f>$I$29*$AQ$29</f>
        <v>0</v>
      </c>
      <c r="AR91" s="12">
        <f>$I$29*$AR$29</f>
        <v>0</v>
      </c>
      <c r="AS91" s="12">
        <f>$I$29*$AS$29</f>
        <v>0</v>
      </c>
      <c r="AT91" s="12">
        <f>$I$29*$AT$29</f>
        <v>0</v>
      </c>
      <c r="AU91" s="12">
        <f>$I$29*$AU$29</f>
        <v>552.33715601998097</v>
      </c>
      <c r="AV91" s="12">
        <f>$I$29*$AV$29</f>
        <v>0</v>
      </c>
      <c r="AW91" s="12">
        <f>$I$29*$AW$29</f>
        <v>0</v>
      </c>
      <c r="AX91" s="12">
        <f>$I$29*$AX$29</f>
        <v>825.62146913018944</v>
      </c>
      <c r="AY91" s="12">
        <f>$I$29*$AY$29</f>
        <v>0</v>
      </c>
      <c r="AZ91" s="12">
        <f>$I$29*$AZ$29</f>
        <v>0</v>
      </c>
      <c r="BA91" s="12">
        <f>$I$29*$BA$29</f>
        <v>457.14626640732308</v>
      </c>
      <c r="BB91" s="12">
        <f>$I$29*$BB$29</f>
        <v>14.402217340965404</v>
      </c>
      <c r="BC91" s="12">
        <f>$I$29*$BC$29</f>
        <v>55.634007593786805</v>
      </c>
      <c r="BD91" s="12">
        <f>$I$29*$BD$29</f>
        <v>9.782819215229738</v>
      </c>
    </row>
    <row r="92" spans="1:56" ht="11.25" customHeight="1" x14ac:dyDescent="0.25">
      <c r="A92" s="9" t="s">
        <v>22</v>
      </c>
      <c r="B92" s="9" t="s">
        <v>959</v>
      </c>
      <c r="C92" s="9" t="s">
        <v>960</v>
      </c>
      <c r="D92" s="9" t="s">
        <v>961</v>
      </c>
      <c r="E92" s="9" t="s">
        <v>962</v>
      </c>
      <c r="F92" s="9" t="s">
        <v>963</v>
      </c>
      <c r="G92" s="9" t="s">
        <v>964</v>
      </c>
      <c r="L92" s="12">
        <f>$I$30*$L$30</f>
        <v>112046.93923568985</v>
      </c>
      <c r="M92" s="12">
        <f>$I$30*$M$30</f>
        <v>49009.875679475561</v>
      </c>
      <c r="N92" s="12">
        <f ca="1">$I$30*$N$30</f>
        <v>332743.78982128762</v>
      </c>
      <c r="O92" s="12">
        <f>$I$30*$O$30</f>
        <v>0</v>
      </c>
      <c r="P92" s="12">
        <f>$I$30*$P$30</f>
        <v>0</v>
      </c>
      <c r="Q92" s="12">
        <f>$I$30*$Q$30</f>
        <v>8584685.3303558454</v>
      </c>
      <c r="R92" s="12">
        <f>$I$30*$R$30</f>
        <v>1453817.8909609343</v>
      </c>
      <c r="S92" s="12">
        <f>$I$30*$S$30</f>
        <v>0</v>
      </c>
      <c r="T92" s="12">
        <f>$I$30*$T$30</f>
        <v>0</v>
      </c>
      <c r="U92" s="12">
        <f>$I$30*$U$30</f>
        <v>0</v>
      </c>
      <c r="V92" s="12">
        <f>$I$30*$V$30</f>
        <v>0</v>
      </c>
      <c r="W92" s="12">
        <f>$I$30*$W$30</f>
        <v>0</v>
      </c>
      <c r="X92" s="12">
        <f>$I$30*$X$30</f>
        <v>6971858.8314867895</v>
      </c>
      <c r="Y92" s="12">
        <f>$I$30*$Y$30</f>
        <v>0</v>
      </c>
      <c r="Z92" s="12">
        <f>$I$30*$Z$30</f>
        <v>0</v>
      </c>
      <c r="AA92" s="12">
        <f>$I$30*$AA$30</f>
        <v>11327271.788568763</v>
      </c>
      <c r="AB92" s="12">
        <f ca="1">$I$30*$AB$30</f>
        <v>0</v>
      </c>
      <c r="AC92" s="12">
        <f ca="1">$I$30*$AC$30</f>
        <v>0</v>
      </c>
      <c r="AD92" s="12">
        <f>$I$30*$AD$30</f>
        <v>1472220.3970422333</v>
      </c>
      <c r="AE92" s="12">
        <f>$I$30*$AE$30</f>
        <v>54103.181305850398</v>
      </c>
      <c r="AF92" s="12">
        <f ca="1">$I$30*$AF$30</f>
        <v>160674.91137736314</v>
      </c>
      <c r="AG92" s="12">
        <f ca="1">$I$30*$AG$30</f>
        <v>29254.202377737591</v>
      </c>
      <c r="AI92" s="12">
        <f>$I$30*$AI$30</f>
        <v>281551.01321131946</v>
      </c>
      <c r="AJ92" s="12">
        <f>$I$30*$AJ$30</f>
        <v>45560.215843114871</v>
      </c>
      <c r="AK92" s="12">
        <f>$I$30*$AK$30</f>
        <v>297932.90952240932</v>
      </c>
      <c r="AL92" s="12">
        <f>$I$30*$AL$30</f>
        <v>0</v>
      </c>
      <c r="AM92" s="12">
        <f>$I$30*$AM$30</f>
        <v>0</v>
      </c>
      <c r="AN92" s="12">
        <f>$I$30*$AN$30</f>
        <v>4835423.1238724627</v>
      </c>
      <c r="AO92" s="12">
        <f>$I$30*$AO$30</f>
        <v>752799.44123873673</v>
      </c>
      <c r="AP92" s="12">
        <f>$I$30*$AP$30</f>
        <v>0</v>
      </c>
      <c r="AQ92" s="12">
        <f>$I$30*$AQ$30</f>
        <v>0</v>
      </c>
      <c r="AR92" s="12">
        <f>$I$30*$AR$30</f>
        <v>0</v>
      </c>
      <c r="AS92" s="12">
        <f>$I$30*$AS$30</f>
        <v>0</v>
      </c>
      <c r="AT92" s="12">
        <f>$I$30*$AT$30</f>
        <v>0</v>
      </c>
      <c r="AU92" s="12">
        <f>$I$30*$AU$30</f>
        <v>7183741.7288926858</v>
      </c>
      <c r="AV92" s="12">
        <f>$I$30*$AV$30</f>
        <v>0</v>
      </c>
      <c r="AW92" s="12">
        <f>$I$30*$AW$30</f>
        <v>0</v>
      </c>
      <c r="AX92" s="12">
        <f>$I$30*$AX$30</f>
        <v>10738092.0532928</v>
      </c>
      <c r="AY92" s="12">
        <f>$I$30*$AY$30</f>
        <v>0</v>
      </c>
      <c r="AZ92" s="12">
        <f>$I$30*$AZ$30</f>
        <v>0</v>
      </c>
      <c r="BA92" s="12">
        <f>$I$30*$BA$30</f>
        <v>1605332.9298069444</v>
      </c>
      <c r="BB92" s="12">
        <f>$I$30*$BB$30</f>
        <v>50575.39666984362</v>
      </c>
      <c r="BC92" s="12">
        <f>$I$30*$BC$30</f>
        <v>195366.58389299465</v>
      </c>
      <c r="BD92" s="12">
        <f>$I$30*$BD$30</f>
        <v>34353.735306597388</v>
      </c>
    </row>
    <row r="93" spans="1:56" ht="11.25" customHeight="1" x14ac:dyDescent="0.25">
      <c r="A93" s="9" t="s">
        <v>22</v>
      </c>
      <c r="B93" s="9" t="s">
        <v>959</v>
      </c>
      <c r="C93" s="9" t="s">
        <v>960</v>
      </c>
      <c r="D93" s="9" t="s">
        <v>965</v>
      </c>
      <c r="E93" s="9" t="s">
        <v>966</v>
      </c>
      <c r="F93" s="9" t="s">
        <v>967</v>
      </c>
      <c r="G93" s="9" t="s">
        <v>968</v>
      </c>
      <c r="L93" s="12">
        <f>$I$31*$L$31</f>
        <v>0</v>
      </c>
      <c r="M93" s="12">
        <f>$I$31*$M$31</f>
        <v>353.22687501120345</v>
      </c>
      <c r="N93" s="12">
        <f ca="1">$I$31*$N$31</f>
        <v>2387.1953757388433</v>
      </c>
      <c r="O93" s="12">
        <f>$I$31*$O$31</f>
        <v>0</v>
      </c>
      <c r="P93" s="12">
        <f>$I$31*$P$31</f>
        <v>0</v>
      </c>
      <c r="Q93" s="12">
        <f>$I$31*$Q$31</f>
        <v>0</v>
      </c>
      <c r="R93" s="12">
        <f>$I$31*$R$31</f>
        <v>0</v>
      </c>
      <c r="S93" s="12">
        <f>$I$31*$S$31</f>
        <v>0</v>
      </c>
      <c r="T93" s="12">
        <f>$I$31*$T$31</f>
        <v>0</v>
      </c>
      <c r="U93" s="12">
        <f>$I$31*$U$31</f>
        <v>0</v>
      </c>
      <c r="V93" s="12">
        <f>$I$31*$V$31</f>
        <v>0</v>
      </c>
      <c r="W93" s="12">
        <f>$I$31*$W$31</f>
        <v>0</v>
      </c>
      <c r="X93" s="12">
        <f>$I$31*$X$31</f>
        <v>50247.993367113377</v>
      </c>
      <c r="Y93" s="12">
        <f>$I$31*$Y$31</f>
        <v>0</v>
      </c>
      <c r="Z93" s="12">
        <f>$I$31*$Z$31</f>
        <v>0</v>
      </c>
      <c r="AA93" s="12">
        <f>$I$31*$AA$31</f>
        <v>81638.583261175154</v>
      </c>
      <c r="AB93" s="12">
        <f ca="1">$I$31*$AB$31</f>
        <v>0</v>
      </c>
      <c r="AC93" s="12">
        <f ca="1">$I$31*$AC$31</f>
        <v>0</v>
      </c>
      <c r="AD93" s="12">
        <f>$I$31*$AD$31</f>
        <v>10610.673929800631</v>
      </c>
      <c r="AE93" s="12">
        <f>$I$31*$AE$31</f>
        <v>389.93564859894775</v>
      </c>
      <c r="AF93" s="12">
        <f ca="1">$I$31*$AF$31</f>
        <v>1158.025725462019</v>
      </c>
      <c r="AG93" s="12">
        <f ca="1">$I$31*$AG$31</f>
        <v>210.84261781061795</v>
      </c>
      <c r="AI93" s="12">
        <f>$I$31*$AI$31</f>
        <v>0</v>
      </c>
      <c r="AJ93" s="12">
        <f>$I$31*$AJ$31</f>
        <v>328.36428258557908</v>
      </c>
      <c r="AK93" s="12">
        <f>$I$31*$AK$31</f>
        <v>2137.4160651149004</v>
      </c>
      <c r="AL93" s="12">
        <f>$I$31*$AL$31</f>
        <v>0</v>
      </c>
      <c r="AM93" s="12">
        <f>$I$31*$AM$31</f>
        <v>0</v>
      </c>
      <c r="AN93" s="12">
        <f>$I$31*$AN$31</f>
        <v>0</v>
      </c>
      <c r="AO93" s="12">
        <f>$I$31*$AO$31</f>
        <v>0</v>
      </c>
      <c r="AP93" s="12">
        <f>$I$31*$AP$31</f>
        <v>0</v>
      </c>
      <c r="AQ93" s="12">
        <f>$I$31*$AQ$31</f>
        <v>0</v>
      </c>
      <c r="AR93" s="12">
        <f>$I$31*$AR$31</f>
        <v>0</v>
      </c>
      <c r="AS93" s="12">
        <f>$I$31*$AS$31</f>
        <v>0</v>
      </c>
      <c r="AT93" s="12">
        <f>$I$31*$AT$31</f>
        <v>0</v>
      </c>
      <c r="AU93" s="12">
        <f>$I$31*$AU$31</f>
        <v>51775.088318516217</v>
      </c>
      <c r="AV93" s="12">
        <f>$I$31*$AV$31</f>
        <v>0</v>
      </c>
      <c r="AW93" s="12">
        <f>$I$31*$AW$31</f>
        <v>0</v>
      </c>
      <c r="AX93" s="12">
        <f>$I$31*$AX$31</f>
        <v>77392.212222151895</v>
      </c>
      <c r="AY93" s="12">
        <f>$I$31*$AY$31</f>
        <v>0</v>
      </c>
      <c r="AZ93" s="12">
        <f>$I$31*$AZ$31</f>
        <v>0</v>
      </c>
      <c r="BA93" s="12">
        <f>$I$31*$BA$31</f>
        <v>11570.050449765884</v>
      </c>
      <c r="BB93" s="12">
        <f>$I$31*$BB$31</f>
        <v>364.50999049610459</v>
      </c>
      <c r="BC93" s="12">
        <f>$I$31*$BC$31</f>
        <v>1408.0575996856937</v>
      </c>
      <c r="BD93" s="12">
        <f>$I$31*$BD$31</f>
        <v>247.59627318118621</v>
      </c>
    </row>
    <row r="94" spans="1:56" ht="11.25" customHeight="1" x14ac:dyDescent="0.25">
      <c r="A94" s="9" t="s">
        <v>22</v>
      </c>
      <c r="B94" s="9" t="s">
        <v>959</v>
      </c>
      <c r="C94" s="9" t="s">
        <v>960</v>
      </c>
      <c r="D94" s="9" t="s">
        <v>969</v>
      </c>
      <c r="E94" s="9" t="s">
        <v>970</v>
      </c>
      <c r="F94" s="9" t="s">
        <v>971</v>
      </c>
      <c r="G94" s="9" t="s">
        <v>972</v>
      </c>
      <c r="L94" s="12">
        <f>$I$32*$L$32</f>
        <v>0</v>
      </c>
      <c r="M94" s="12">
        <f>$I$32*$M$32</f>
        <v>1153.8434609302415</v>
      </c>
      <c r="N94" s="12">
        <f ca="1">$I$32*$N$32</f>
        <v>7797.9620723134731</v>
      </c>
      <c r="O94" s="12">
        <f>$I$32*$O$32</f>
        <v>0</v>
      </c>
      <c r="P94" s="12">
        <f>$I$32*$P$32</f>
        <v>0</v>
      </c>
      <c r="Q94" s="12">
        <f>$I$32*$Q$32</f>
        <v>0</v>
      </c>
      <c r="R94" s="12">
        <f>$I$32*$R$32</f>
        <v>0</v>
      </c>
      <c r="S94" s="12">
        <f>$I$32*$S$32</f>
        <v>0</v>
      </c>
      <c r="T94" s="12">
        <f>$I$32*$T$32</f>
        <v>0</v>
      </c>
      <c r="U94" s="12">
        <f>$I$32*$U$32</f>
        <v>0</v>
      </c>
      <c r="V94" s="12">
        <f>$I$32*$V$32</f>
        <v>0</v>
      </c>
      <c r="W94" s="12">
        <f>$I$32*$W$32</f>
        <v>0</v>
      </c>
      <c r="X94" s="12">
        <f>$I$32*$X$32</f>
        <v>164139.03548440646</v>
      </c>
      <c r="Y94" s="12">
        <f>$I$32*$Y$32</f>
        <v>0</v>
      </c>
      <c r="Z94" s="12">
        <f>$I$32*$Z$32</f>
        <v>0</v>
      </c>
      <c r="AA94" s="12">
        <f>$I$32*$AA$32</f>
        <v>266678.87445576821</v>
      </c>
      <c r="AB94" s="12">
        <f ca="1">$I$32*$AB$32</f>
        <v>0</v>
      </c>
      <c r="AC94" s="12">
        <f ca="1">$I$32*$AC$32</f>
        <v>0</v>
      </c>
      <c r="AD94" s="12">
        <f>$I$32*$AD$32</f>
        <v>34660.603697199229</v>
      </c>
      <c r="AE94" s="12">
        <f>$I$32*$AE$32</f>
        <v>1273.7555666035264</v>
      </c>
      <c r="AF94" s="12">
        <f ca="1">$I$32*$AF$32</f>
        <v>3782.7824139116528</v>
      </c>
      <c r="AG94" s="12">
        <f ca="1">$I$32*$AG$32</f>
        <v>688.73404901164292</v>
      </c>
      <c r="AI94" s="12">
        <f>$I$32*$AI$32</f>
        <v>0</v>
      </c>
      <c r="AJ94" s="12">
        <f>$I$32*$AJ$32</f>
        <v>1072.6278408244063</v>
      </c>
      <c r="AK94" s="12">
        <f>$I$32*$AK$32</f>
        <v>6982.0382436694426</v>
      </c>
      <c r="AL94" s="12">
        <f>$I$32*$AL$32</f>
        <v>0</v>
      </c>
      <c r="AM94" s="12">
        <f>$I$32*$AM$32</f>
        <v>0</v>
      </c>
      <c r="AN94" s="12">
        <f>$I$32*$AN$32</f>
        <v>0</v>
      </c>
      <c r="AO94" s="12">
        <f>$I$32*$AO$32</f>
        <v>0</v>
      </c>
      <c r="AP94" s="12">
        <f>$I$32*$AP$32</f>
        <v>0</v>
      </c>
      <c r="AQ94" s="12">
        <f>$I$32*$AQ$32</f>
        <v>0</v>
      </c>
      <c r="AR94" s="12">
        <f>$I$32*$AR$32</f>
        <v>0</v>
      </c>
      <c r="AS94" s="12">
        <f>$I$32*$AS$32</f>
        <v>0</v>
      </c>
      <c r="AT94" s="12">
        <f>$I$32*$AT$32</f>
        <v>0</v>
      </c>
      <c r="AU94" s="12">
        <f>$I$32*$AU$32</f>
        <v>169127.4116487054</v>
      </c>
      <c r="AV94" s="12">
        <f>$I$32*$AV$32</f>
        <v>0</v>
      </c>
      <c r="AW94" s="12">
        <f>$I$32*$AW$32</f>
        <v>0</v>
      </c>
      <c r="AX94" s="12">
        <f>$I$32*$AX$32</f>
        <v>252807.76836876664</v>
      </c>
      <c r="AY94" s="12">
        <f>$I$32*$AY$32</f>
        <v>0</v>
      </c>
      <c r="AZ94" s="12">
        <f>$I$32*$AZ$32</f>
        <v>0</v>
      </c>
      <c r="BA94" s="12">
        <f>$I$32*$BA$32</f>
        <v>37794.482805624488</v>
      </c>
      <c r="BB94" s="12">
        <f>$I$32*$BB$32</f>
        <v>1190.7006480306311</v>
      </c>
      <c r="BC94" s="12">
        <f>$I$32*$BC$32</f>
        <v>4599.531261484377</v>
      </c>
      <c r="BD94" s="12">
        <f>$I$32*$BD$32</f>
        <v>808.79276457021808</v>
      </c>
    </row>
    <row r="95" spans="1:56" ht="11.25" customHeight="1" x14ac:dyDescent="0.25">
      <c r="A95" s="9" t="s">
        <v>22</v>
      </c>
      <c r="B95" s="9" t="s">
        <v>959</v>
      </c>
      <c r="C95" s="9" t="s">
        <v>960</v>
      </c>
      <c r="D95" s="9" t="s">
        <v>973</v>
      </c>
      <c r="E95" s="9" t="s">
        <v>974</v>
      </c>
      <c r="F95" s="9" t="s">
        <v>975</v>
      </c>
      <c r="G95" s="9" t="s">
        <v>976</v>
      </c>
      <c r="L95" s="12">
        <f>$I$33*$L$33</f>
        <v>0</v>
      </c>
      <c r="M95" s="12">
        <f>$I$33*$M$33</f>
        <v>1091.2118255143407</v>
      </c>
      <c r="N95" s="12">
        <f ca="1">$I$33*$N$33</f>
        <v>7374.6818492696912</v>
      </c>
      <c r="O95" s="12">
        <f>$I$33*$O$33</f>
        <v>0</v>
      </c>
      <c r="P95" s="12">
        <f>$I$33*$P$33</f>
        <v>0</v>
      </c>
      <c r="Q95" s="12">
        <f>$I$33*$Q$33</f>
        <v>0</v>
      </c>
      <c r="R95" s="12">
        <f>$I$33*$R$33</f>
        <v>0</v>
      </c>
      <c r="S95" s="12">
        <f>$I$33*$S$33</f>
        <v>0</v>
      </c>
      <c r="T95" s="12">
        <f>$I$33*$T$33</f>
        <v>0</v>
      </c>
      <c r="U95" s="12">
        <f>$I$33*$U$33</f>
        <v>0</v>
      </c>
      <c r="V95" s="12">
        <f>$I$33*$V$33</f>
        <v>0</v>
      </c>
      <c r="W95" s="12">
        <f>$I$33*$W$33</f>
        <v>0</v>
      </c>
      <c r="X95" s="12">
        <f>$I$33*$X$33</f>
        <v>155229.42462637127</v>
      </c>
      <c r="Y95" s="12">
        <f>$I$33*$Y$33</f>
        <v>0</v>
      </c>
      <c r="Z95" s="12">
        <f>$I$33*$Z$33</f>
        <v>0</v>
      </c>
      <c r="AA95" s="12">
        <f>$I$33*$AA$33</f>
        <v>252203.31117219178</v>
      </c>
      <c r="AB95" s="12">
        <f ca="1">$I$33*$AB$33</f>
        <v>0</v>
      </c>
      <c r="AC95" s="12">
        <f ca="1">$I$33*$AC$33</f>
        <v>0</v>
      </c>
      <c r="AD95" s="12">
        <f>$I$33*$AD$33</f>
        <v>32779.195718071933</v>
      </c>
      <c r="AE95" s="12">
        <f>$I$33*$AE$33</f>
        <v>1204.6149968834629</v>
      </c>
      <c r="AF95" s="12">
        <f ca="1">$I$33*$AF$33</f>
        <v>3577.4496655553139</v>
      </c>
      <c r="AG95" s="12">
        <f ca="1">$I$33*$AG$33</f>
        <v>651.34896055134391</v>
      </c>
      <c r="AI95" s="12">
        <f>$I$33*$AI$33</f>
        <v>0</v>
      </c>
      <c r="AJ95" s="12">
        <f>$I$33*$AJ$33</f>
        <v>1014.4046605246311</v>
      </c>
      <c r="AK95" s="12">
        <f>$I$33*$AK$33</f>
        <v>6603.0470819178909</v>
      </c>
      <c r="AL95" s="12">
        <f>$I$33*$AL$33</f>
        <v>0</v>
      </c>
      <c r="AM95" s="12">
        <f>$I$33*$AM$33</f>
        <v>0</v>
      </c>
      <c r="AN95" s="12">
        <f>$I$33*$AN$33</f>
        <v>0</v>
      </c>
      <c r="AO95" s="12">
        <f>$I$33*$AO$33</f>
        <v>0</v>
      </c>
      <c r="AP95" s="12">
        <f>$I$33*$AP$33</f>
        <v>0</v>
      </c>
      <c r="AQ95" s="12">
        <f>$I$33*$AQ$33</f>
        <v>0</v>
      </c>
      <c r="AR95" s="12">
        <f>$I$33*$AR$33</f>
        <v>0</v>
      </c>
      <c r="AS95" s="12">
        <f>$I$33*$AS$33</f>
        <v>0</v>
      </c>
      <c r="AT95" s="12">
        <f>$I$33*$AT$33</f>
        <v>0</v>
      </c>
      <c r="AU95" s="12">
        <f>$I$33*$AU$33</f>
        <v>159947.02735578167</v>
      </c>
      <c r="AV95" s="12">
        <f>$I$33*$AV$33</f>
        <v>0</v>
      </c>
      <c r="AW95" s="12">
        <f>$I$33*$AW$33</f>
        <v>0</v>
      </c>
      <c r="AX95" s="12">
        <f>$I$33*$AX$33</f>
        <v>239085.14089379381</v>
      </c>
      <c r="AY95" s="12">
        <f>$I$33*$AY$33</f>
        <v>0</v>
      </c>
      <c r="AZ95" s="12">
        <f>$I$33*$AZ$33</f>
        <v>0</v>
      </c>
      <c r="BA95" s="12">
        <f>$I$33*$BA$33</f>
        <v>35742.965118895991</v>
      </c>
      <c r="BB95" s="12">
        <f>$I$33*$BB$33</f>
        <v>1126.0683721612452</v>
      </c>
      <c r="BC95" s="12">
        <f>$I$33*$BC$33</f>
        <v>4349.8646690845244</v>
      </c>
      <c r="BD95" s="12">
        <f>$I$33*$BD$33</f>
        <v>764.89078369255105</v>
      </c>
    </row>
    <row r="96" spans="1:56" ht="11.25" customHeight="1" x14ac:dyDescent="0.25">
      <c r="A96" s="9" t="s">
        <v>22</v>
      </c>
      <c r="B96" s="9" t="s">
        <v>959</v>
      </c>
      <c r="C96" s="9" t="s">
        <v>960</v>
      </c>
      <c r="D96" s="9" t="s">
        <v>977</v>
      </c>
      <c r="E96" s="9" t="s">
        <v>978</v>
      </c>
      <c r="F96" s="9" t="s">
        <v>979</v>
      </c>
      <c r="G96" s="9" t="s">
        <v>980</v>
      </c>
      <c r="L96" s="12">
        <f>$I$34*$L$34</f>
        <v>0</v>
      </c>
      <c r="M96" s="12">
        <f>$I$34*$M$34</f>
        <v>239.72942972536333</v>
      </c>
      <c r="N96" s="12">
        <f ca="1">$I$34*$N$34</f>
        <v>1620.1513150740475</v>
      </c>
      <c r="O96" s="12">
        <f>$I$34*$O$34</f>
        <v>0</v>
      </c>
      <c r="P96" s="12">
        <f>$I$34*$P$34</f>
        <v>0</v>
      </c>
      <c r="Q96" s="12">
        <f>$I$34*$Q$34</f>
        <v>0</v>
      </c>
      <c r="R96" s="12">
        <f>$I$34*$R$34</f>
        <v>0</v>
      </c>
      <c r="S96" s="12">
        <f>$I$34*$S$34</f>
        <v>0</v>
      </c>
      <c r="T96" s="12">
        <f>$I$34*$T$34</f>
        <v>0</v>
      </c>
      <c r="U96" s="12">
        <f>$I$34*$U$34</f>
        <v>0</v>
      </c>
      <c r="V96" s="12">
        <f>$I$34*$V$34</f>
        <v>0</v>
      </c>
      <c r="W96" s="12">
        <f>$I$34*$W$34</f>
        <v>0</v>
      </c>
      <c r="X96" s="12">
        <f>$I$34*$X$34</f>
        <v>34102.509313199524</v>
      </c>
      <c r="Y96" s="12">
        <f>$I$34*$Y$34</f>
        <v>0</v>
      </c>
      <c r="Z96" s="12">
        <f>$I$34*$Z$34</f>
        <v>0</v>
      </c>
      <c r="AA96" s="12">
        <f>$I$34*$AA$34</f>
        <v>55406.800539079508</v>
      </c>
      <c r="AB96" s="12">
        <f ca="1">$I$34*$AB$34</f>
        <v>0</v>
      </c>
      <c r="AC96" s="12">
        <f ca="1">$I$34*$AC$34</f>
        <v>0</v>
      </c>
      <c r="AD96" s="12">
        <f>$I$34*$AD$34</f>
        <v>7201.2946639810625</v>
      </c>
      <c r="AE96" s="12">
        <f>$I$34*$AE$34</f>
        <v>264.64308715255743</v>
      </c>
      <c r="AF96" s="12">
        <f ca="1">$I$34*$AF$34</f>
        <v>785.93353567308498</v>
      </c>
      <c r="AG96" s="12">
        <f ca="1">$I$34*$AG$34</f>
        <v>143.09551199335843</v>
      </c>
      <c r="AI96" s="12">
        <f>$I$34*$AI$34</f>
        <v>0</v>
      </c>
      <c r="AJ96" s="12">
        <f>$I$34*$AJ$34</f>
        <v>222.85558595710495</v>
      </c>
      <c r="AK96" s="12">
        <f>$I$34*$AK$34</f>
        <v>1450.6300925136886</v>
      </c>
      <c r="AL96" s="12">
        <f>$I$34*$AL$34</f>
        <v>0</v>
      </c>
      <c r="AM96" s="12">
        <f>$I$34*$AM$34</f>
        <v>0</v>
      </c>
      <c r="AN96" s="12">
        <f>$I$34*$AN$34</f>
        <v>0</v>
      </c>
      <c r="AO96" s="12">
        <f>$I$34*$AO$34</f>
        <v>0</v>
      </c>
      <c r="AP96" s="12">
        <f>$I$34*$AP$34</f>
        <v>0</v>
      </c>
      <c r="AQ96" s="12">
        <f>$I$34*$AQ$34</f>
        <v>0</v>
      </c>
      <c r="AR96" s="12">
        <f>$I$34*$AR$34</f>
        <v>0</v>
      </c>
      <c r="AS96" s="12">
        <f>$I$34*$AS$34</f>
        <v>0</v>
      </c>
      <c r="AT96" s="12">
        <f>$I$34*$AT$34</f>
        <v>0</v>
      </c>
      <c r="AU96" s="12">
        <f>$I$34*$AU$34</f>
        <v>35138.92422875388</v>
      </c>
      <c r="AV96" s="12">
        <f>$I$34*$AV$34</f>
        <v>0</v>
      </c>
      <c r="AW96" s="12">
        <f>$I$34*$AW$34</f>
        <v>0</v>
      </c>
      <c r="AX96" s="12">
        <f>$I$34*$AX$34</f>
        <v>52524.856441380085</v>
      </c>
      <c r="AY96" s="12">
        <f>$I$34*$AY$34</f>
        <v>0</v>
      </c>
      <c r="AZ96" s="12">
        <f>$I$34*$AZ$34</f>
        <v>0</v>
      </c>
      <c r="BA96" s="12">
        <f>$I$34*$BA$34</f>
        <v>7852.4081615479763</v>
      </c>
      <c r="BB96" s="12">
        <f>$I$34*$BB$34</f>
        <v>247.38709971617277</v>
      </c>
      <c r="BC96" s="12">
        <f>$I$34*$BC$34</f>
        <v>955.62616910847737</v>
      </c>
      <c r="BD96" s="12">
        <f>$I$34*$BD$34</f>
        <v>168.0396299686104</v>
      </c>
    </row>
    <row r="97" spans="1:56" ht="11.25" customHeight="1" x14ac:dyDescent="0.25">
      <c r="A97" s="9" t="s">
        <v>22</v>
      </c>
      <c r="B97" s="9" t="s">
        <v>981</v>
      </c>
      <c r="C97" s="9" t="s">
        <v>982</v>
      </c>
      <c r="D97" s="9" t="s">
        <v>983</v>
      </c>
      <c r="E97" s="9" t="s">
        <v>984</v>
      </c>
      <c r="F97" s="9" t="s">
        <v>985</v>
      </c>
      <c r="G97" s="9" t="s">
        <v>986</v>
      </c>
      <c r="L97" s="12">
        <f>$I$35*$L$35</f>
        <v>0</v>
      </c>
      <c r="M97" s="12">
        <f>$I$35*$M$35</f>
        <v>0</v>
      </c>
      <c r="N97" s="12">
        <f ca="1">$I$35*$N$35</f>
        <v>0</v>
      </c>
      <c r="O97" s="12">
        <f>$I$35*$O$35</f>
        <v>0</v>
      </c>
      <c r="P97" s="12">
        <f>$I$35*$P$35</f>
        <v>0</v>
      </c>
      <c r="Q97" s="12">
        <f>$I$35*$Q$35</f>
        <v>0</v>
      </c>
      <c r="R97" s="12">
        <f>$I$35*$R$35</f>
        <v>0</v>
      </c>
      <c r="S97" s="12">
        <f>$I$35*$S$35</f>
        <v>0</v>
      </c>
      <c r="T97" s="12">
        <f>$I$35*$T$35</f>
        <v>0</v>
      </c>
      <c r="U97" s="12">
        <f>$I$35*$U$35</f>
        <v>0</v>
      </c>
      <c r="V97" s="12">
        <f>$I$35*$V$35</f>
        <v>0</v>
      </c>
      <c r="W97" s="12">
        <f>$I$35*$W$35</f>
        <v>0</v>
      </c>
      <c r="X97" s="12">
        <f>$I$35*$X$35</f>
        <v>0</v>
      </c>
      <c r="Y97" s="12">
        <f>$I$35*$Y$35</f>
        <v>0</v>
      </c>
      <c r="Z97" s="12">
        <f>$I$35*$Z$35</f>
        <v>0</v>
      </c>
      <c r="AA97" s="12">
        <f>$I$35*$AA$35</f>
        <v>0</v>
      </c>
      <c r="AB97" s="12">
        <f ca="1">$I$35*$AB$35</f>
        <v>0</v>
      </c>
      <c r="AC97" s="12">
        <f ca="1">$I$35*$AC$35</f>
        <v>0</v>
      </c>
      <c r="AD97" s="12">
        <f>$I$35*$AD$35</f>
        <v>0</v>
      </c>
      <c r="AE97" s="12">
        <f>$I$35*$AE$35</f>
        <v>0</v>
      </c>
      <c r="AF97" s="12">
        <f ca="1">$I$35*$AF$35</f>
        <v>0</v>
      </c>
      <c r="AG97" s="12">
        <f ca="1">$I$35*$AG$35</f>
        <v>0</v>
      </c>
      <c r="AI97" s="12">
        <f>$I$35*$AI$35</f>
        <v>0</v>
      </c>
      <c r="AJ97" s="12">
        <f>$I$35*$AJ$35</f>
        <v>0</v>
      </c>
      <c r="AK97" s="12">
        <f>$I$35*$AK$35</f>
        <v>0</v>
      </c>
      <c r="AL97" s="12">
        <f>$I$35*$AL$35</f>
        <v>0</v>
      </c>
      <c r="AM97" s="12">
        <f>$I$35*$AM$35</f>
        <v>0</v>
      </c>
      <c r="AN97" s="12">
        <f>$I$35*$AN$35</f>
        <v>0</v>
      </c>
      <c r="AO97" s="12">
        <f>$I$35*$AO$35</f>
        <v>0</v>
      </c>
      <c r="AP97" s="12">
        <f>$I$35*$AP$35</f>
        <v>0</v>
      </c>
      <c r="AQ97" s="12">
        <f>$I$35*$AQ$35</f>
        <v>0</v>
      </c>
      <c r="AR97" s="12">
        <f>$I$35*$AR$35</f>
        <v>0</v>
      </c>
      <c r="AS97" s="12">
        <f>$I$35*$AS$35</f>
        <v>0</v>
      </c>
      <c r="AT97" s="12">
        <f>$I$35*$AT$35</f>
        <v>0</v>
      </c>
      <c r="AU97" s="12">
        <f>$I$35*$AU$35</f>
        <v>0</v>
      </c>
      <c r="AV97" s="12">
        <f>$I$35*$AV$35</f>
        <v>0</v>
      </c>
      <c r="AW97" s="12">
        <f>$I$35*$AW$35</f>
        <v>0</v>
      </c>
      <c r="AX97" s="12">
        <f>$I$35*$AX$35</f>
        <v>0</v>
      </c>
      <c r="AY97" s="12">
        <f>$I$35*$AY$35</f>
        <v>0</v>
      </c>
      <c r="AZ97" s="12">
        <f>$I$35*$AZ$35</f>
        <v>0</v>
      </c>
      <c r="BA97" s="12">
        <f>$I$35*$BA$35</f>
        <v>0</v>
      </c>
      <c r="BB97" s="12">
        <f>$I$35*$BB$35</f>
        <v>0</v>
      </c>
      <c r="BC97" s="12">
        <f>$I$35*$BC$35</f>
        <v>0</v>
      </c>
      <c r="BD97" s="12">
        <f>$I$35*$BD$35</f>
        <v>0</v>
      </c>
    </row>
    <row r="98" spans="1:56" ht="11.25" customHeight="1" x14ac:dyDescent="0.25">
      <c r="A98" s="9" t="s">
        <v>22</v>
      </c>
      <c r="B98" s="9" t="s">
        <v>981</v>
      </c>
      <c r="C98" s="9" t="s">
        <v>982</v>
      </c>
      <c r="D98" s="9" t="s">
        <v>987</v>
      </c>
      <c r="E98" s="9" t="s">
        <v>988</v>
      </c>
      <c r="F98" s="9" t="s">
        <v>989</v>
      </c>
      <c r="G98" s="9" t="s">
        <v>990</v>
      </c>
      <c r="L98" s="12">
        <f>$I$36*$L$36</f>
        <v>0</v>
      </c>
      <c r="M98" s="12">
        <f>$I$36*$M$36</f>
        <v>0</v>
      </c>
      <c r="N98" s="12">
        <f ca="1">$I$36*$N$36</f>
        <v>0</v>
      </c>
      <c r="O98" s="12">
        <f>$I$36*$O$36</f>
        <v>0</v>
      </c>
      <c r="P98" s="12">
        <f>$I$36*$P$36</f>
        <v>0</v>
      </c>
      <c r="Q98" s="12">
        <f>$I$36*$Q$36</f>
        <v>0</v>
      </c>
      <c r="R98" s="12">
        <f>$I$36*$R$36</f>
        <v>0</v>
      </c>
      <c r="S98" s="12">
        <f>$I$36*$S$36</f>
        <v>0</v>
      </c>
      <c r="T98" s="12">
        <f>$I$36*$T$36</f>
        <v>0</v>
      </c>
      <c r="U98" s="12">
        <f>$I$36*$U$36</f>
        <v>0</v>
      </c>
      <c r="V98" s="12">
        <f>$I$36*$V$36</f>
        <v>0</v>
      </c>
      <c r="W98" s="12">
        <f>$I$36*$W$36</f>
        <v>0</v>
      </c>
      <c r="X98" s="12">
        <f>$I$36*$X$36</f>
        <v>0</v>
      </c>
      <c r="Y98" s="12">
        <f>$I$36*$Y$36</f>
        <v>0</v>
      </c>
      <c r="Z98" s="12">
        <f>$I$36*$Z$36</f>
        <v>0</v>
      </c>
      <c r="AA98" s="12">
        <f>$I$36*$AA$36</f>
        <v>0</v>
      </c>
      <c r="AB98" s="12">
        <f ca="1">$I$36*$AB$36</f>
        <v>0</v>
      </c>
      <c r="AC98" s="12">
        <f ca="1">$I$36*$AC$36</f>
        <v>0</v>
      </c>
      <c r="AD98" s="12">
        <f>$I$36*$AD$36</f>
        <v>0</v>
      </c>
      <c r="AE98" s="12">
        <f>$I$36*$AE$36</f>
        <v>0</v>
      </c>
      <c r="AF98" s="12">
        <f ca="1">$I$36*$AF$36</f>
        <v>0</v>
      </c>
      <c r="AG98" s="12">
        <f ca="1">$I$36*$AG$36</f>
        <v>0</v>
      </c>
      <c r="AI98" s="12">
        <f>$I$36*$AI$36</f>
        <v>0</v>
      </c>
      <c r="AJ98" s="12">
        <f>$I$36*$AJ$36</f>
        <v>0</v>
      </c>
      <c r="AK98" s="12">
        <f>$I$36*$AK$36</f>
        <v>0</v>
      </c>
      <c r="AL98" s="12">
        <f>$I$36*$AL$36</f>
        <v>0</v>
      </c>
      <c r="AM98" s="12">
        <f>$I$36*$AM$36</f>
        <v>0</v>
      </c>
      <c r="AN98" s="12">
        <f>$I$36*$AN$36</f>
        <v>0</v>
      </c>
      <c r="AO98" s="12">
        <f>$I$36*$AO$36</f>
        <v>0</v>
      </c>
      <c r="AP98" s="12">
        <f>$I$36*$AP$36</f>
        <v>0</v>
      </c>
      <c r="AQ98" s="12">
        <f>$I$36*$AQ$36</f>
        <v>0</v>
      </c>
      <c r="AR98" s="12">
        <f>$I$36*$AR$36</f>
        <v>0</v>
      </c>
      <c r="AS98" s="12">
        <f>$I$36*$AS$36</f>
        <v>0</v>
      </c>
      <c r="AT98" s="12">
        <f>$I$36*$AT$36</f>
        <v>0</v>
      </c>
      <c r="AU98" s="12">
        <f>$I$36*$AU$36</f>
        <v>0</v>
      </c>
      <c r="AV98" s="12">
        <f>$I$36*$AV$36</f>
        <v>0</v>
      </c>
      <c r="AW98" s="12">
        <f>$I$36*$AW$36</f>
        <v>0</v>
      </c>
      <c r="AX98" s="12">
        <f>$I$36*$AX$36</f>
        <v>0</v>
      </c>
      <c r="AY98" s="12">
        <f>$I$36*$AY$36</f>
        <v>0</v>
      </c>
      <c r="AZ98" s="12">
        <f>$I$36*$AZ$36</f>
        <v>0</v>
      </c>
      <c r="BA98" s="12">
        <f>$I$36*$BA$36</f>
        <v>0</v>
      </c>
      <c r="BB98" s="12">
        <f>$I$36*$BB$36</f>
        <v>0</v>
      </c>
      <c r="BC98" s="12">
        <f>$I$36*$BC$36</f>
        <v>0</v>
      </c>
      <c r="BD98" s="12">
        <f>$I$36*$BD$36</f>
        <v>0</v>
      </c>
    </row>
    <row r="99" spans="1:56" ht="11.25" customHeight="1" x14ac:dyDescent="0.25">
      <c r="A99" s="9" t="s">
        <v>22</v>
      </c>
      <c r="B99" s="9" t="s">
        <v>981</v>
      </c>
      <c r="C99" s="9" t="s">
        <v>982</v>
      </c>
      <c r="D99" s="9" t="s">
        <v>991</v>
      </c>
      <c r="E99" s="9" t="s">
        <v>992</v>
      </c>
      <c r="F99" s="9" t="s">
        <v>993</v>
      </c>
      <c r="G99" s="9" t="s">
        <v>994</v>
      </c>
      <c r="L99" s="12">
        <f>$I$37*$L$37</f>
        <v>0</v>
      </c>
      <c r="M99" s="12">
        <f>$I$37*$M$37</f>
        <v>0</v>
      </c>
      <c r="N99" s="12">
        <f ca="1">$I$37*$N$37</f>
        <v>0</v>
      </c>
      <c r="O99" s="12">
        <f>$I$37*$O$37</f>
        <v>0</v>
      </c>
      <c r="P99" s="12">
        <f>$I$37*$P$37</f>
        <v>0</v>
      </c>
      <c r="Q99" s="12">
        <f>$I$37*$Q$37</f>
        <v>0</v>
      </c>
      <c r="R99" s="12">
        <f>$I$37*$R$37</f>
        <v>0</v>
      </c>
      <c r="S99" s="12">
        <f>$I$37*$S$37</f>
        <v>0</v>
      </c>
      <c r="T99" s="12">
        <f>$I$37*$T$37</f>
        <v>0</v>
      </c>
      <c r="U99" s="12">
        <f>$I$37*$U$37</f>
        <v>0</v>
      </c>
      <c r="V99" s="12">
        <f>$I$37*$V$37</f>
        <v>0</v>
      </c>
      <c r="W99" s="12">
        <f>$I$37*$W$37</f>
        <v>0</v>
      </c>
      <c r="X99" s="12">
        <f>$I$37*$X$37</f>
        <v>0</v>
      </c>
      <c r="Y99" s="12">
        <f>$I$37*$Y$37</f>
        <v>0</v>
      </c>
      <c r="Z99" s="12">
        <f>$I$37*$Z$37</f>
        <v>0</v>
      </c>
      <c r="AA99" s="12">
        <f>$I$37*$AA$37</f>
        <v>0</v>
      </c>
      <c r="AB99" s="12">
        <f ca="1">$I$37*$AB$37</f>
        <v>0</v>
      </c>
      <c r="AC99" s="12">
        <f ca="1">$I$37*$AC$37</f>
        <v>0</v>
      </c>
      <c r="AD99" s="12">
        <f>$I$37*$AD$37</f>
        <v>0</v>
      </c>
      <c r="AE99" s="12">
        <f>$I$37*$AE$37</f>
        <v>0</v>
      </c>
      <c r="AF99" s="12">
        <f ca="1">$I$37*$AF$37</f>
        <v>0</v>
      </c>
      <c r="AG99" s="12">
        <f ca="1">$I$37*$AG$37</f>
        <v>0</v>
      </c>
      <c r="AI99" s="12">
        <f>$I$37*$AI$37</f>
        <v>0</v>
      </c>
      <c r="AJ99" s="12">
        <f>$I$37*$AJ$37</f>
        <v>0</v>
      </c>
      <c r="AK99" s="12">
        <f>$I$37*$AK$37</f>
        <v>0</v>
      </c>
      <c r="AL99" s="12">
        <f>$I$37*$AL$37</f>
        <v>0</v>
      </c>
      <c r="AM99" s="12">
        <f>$I$37*$AM$37</f>
        <v>0</v>
      </c>
      <c r="AN99" s="12">
        <f>$I$37*$AN$37</f>
        <v>0</v>
      </c>
      <c r="AO99" s="12">
        <f>$I$37*$AO$37</f>
        <v>0</v>
      </c>
      <c r="AP99" s="12">
        <f>$I$37*$AP$37</f>
        <v>0</v>
      </c>
      <c r="AQ99" s="12">
        <f>$I$37*$AQ$37</f>
        <v>0</v>
      </c>
      <c r="AR99" s="12">
        <f>$I$37*$AR$37</f>
        <v>0</v>
      </c>
      <c r="AS99" s="12">
        <f>$I$37*$AS$37</f>
        <v>0</v>
      </c>
      <c r="AT99" s="12">
        <f>$I$37*$AT$37</f>
        <v>0</v>
      </c>
      <c r="AU99" s="12">
        <f>$I$37*$AU$37</f>
        <v>0</v>
      </c>
      <c r="AV99" s="12">
        <f>$I$37*$AV$37</f>
        <v>0</v>
      </c>
      <c r="AW99" s="12">
        <f>$I$37*$AW$37</f>
        <v>0</v>
      </c>
      <c r="AX99" s="12">
        <f>$I$37*$AX$37</f>
        <v>0</v>
      </c>
      <c r="AY99" s="12">
        <f>$I$37*$AY$37</f>
        <v>0</v>
      </c>
      <c r="AZ99" s="12">
        <f>$I$37*$AZ$37</f>
        <v>0</v>
      </c>
      <c r="BA99" s="12">
        <f>$I$37*$BA$37</f>
        <v>0</v>
      </c>
      <c r="BB99" s="12">
        <f>$I$37*$BB$37</f>
        <v>0</v>
      </c>
      <c r="BC99" s="12">
        <f>$I$37*$BC$37</f>
        <v>0</v>
      </c>
      <c r="BD99" s="12">
        <f>$I$37*$BD$37</f>
        <v>0</v>
      </c>
    </row>
    <row r="100" spans="1:56" ht="11.25" customHeight="1" x14ac:dyDescent="0.25">
      <c r="A100" s="9" t="s">
        <v>22</v>
      </c>
      <c r="B100" s="9" t="s">
        <v>981</v>
      </c>
      <c r="C100" s="9" t="s">
        <v>982</v>
      </c>
      <c r="D100" s="9" t="s">
        <v>995</v>
      </c>
      <c r="E100" s="9" t="s">
        <v>996</v>
      </c>
      <c r="F100" s="9" t="s">
        <v>997</v>
      </c>
      <c r="G100" s="9" t="s">
        <v>998</v>
      </c>
      <c r="L100" s="12">
        <f>$I$38*$L$38</f>
        <v>0</v>
      </c>
      <c r="M100" s="12">
        <f>$I$38*$M$38</f>
        <v>0</v>
      </c>
      <c r="N100" s="12">
        <f ca="1">$I$38*$N$38</f>
        <v>0</v>
      </c>
      <c r="O100" s="12">
        <f>$I$38*$O$38</f>
        <v>0</v>
      </c>
      <c r="P100" s="12">
        <f>$I$38*$P$38</f>
        <v>0</v>
      </c>
      <c r="Q100" s="12">
        <f>$I$38*$Q$38</f>
        <v>0</v>
      </c>
      <c r="R100" s="12">
        <f>$I$38*$R$38</f>
        <v>0</v>
      </c>
      <c r="S100" s="12">
        <f>$I$38*$S$38</f>
        <v>0</v>
      </c>
      <c r="T100" s="12">
        <f>$I$38*$T$38</f>
        <v>0</v>
      </c>
      <c r="U100" s="12">
        <f>$I$38*$U$38</f>
        <v>0</v>
      </c>
      <c r="V100" s="12">
        <f>$I$38*$V$38</f>
        <v>0</v>
      </c>
      <c r="W100" s="12">
        <f>$I$38*$W$38</f>
        <v>0</v>
      </c>
      <c r="X100" s="12">
        <f>$I$38*$X$38</f>
        <v>0</v>
      </c>
      <c r="Y100" s="12">
        <f>$I$38*$Y$38</f>
        <v>0</v>
      </c>
      <c r="Z100" s="12">
        <f>$I$38*$Z$38</f>
        <v>0</v>
      </c>
      <c r="AA100" s="12">
        <f>$I$38*$AA$38</f>
        <v>0</v>
      </c>
      <c r="AB100" s="12">
        <f ca="1">$I$38*$AB$38</f>
        <v>0</v>
      </c>
      <c r="AC100" s="12">
        <f ca="1">$I$38*$AC$38</f>
        <v>0</v>
      </c>
      <c r="AD100" s="12">
        <f>$I$38*$AD$38</f>
        <v>0</v>
      </c>
      <c r="AE100" s="12">
        <f>$I$38*$AE$38</f>
        <v>0</v>
      </c>
      <c r="AF100" s="12">
        <f ca="1">$I$38*$AF$38</f>
        <v>0</v>
      </c>
      <c r="AG100" s="12">
        <f ca="1">$I$38*$AG$38</f>
        <v>0</v>
      </c>
      <c r="AI100" s="12">
        <f>$I$38*$AI$38</f>
        <v>0</v>
      </c>
      <c r="AJ100" s="12">
        <f>$I$38*$AJ$38</f>
        <v>0</v>
      </c>
      <c r="AK100" s="12">
        <f>$I$38*$AK$38</f>
        <v>0</v>
      </c>
      <c r="AL100" s="12">
        <f>$I$38*$AL$38</f>
        <v>0</v>
      </c>
      <c r="AM100" s="12">
        <f>$I$38*$AM$38</f>
        <v>0</v>
      </c>
      <c r="AN100" s="12">
        <f>$I$38*$AN$38</f>
        <v>0</v>
      </c>
      <c r="AO100" s="12">
        <f>$I$38*$AO$38</f>
        <v>0</v>
      </c>
      <c r="AP100" s="12">
        <f>$I$38*$AP$38</f>
        <v>0</v>
      </c>
      <c r="AQ100" s="12">
        <f>$I$38*$AQ$38</f>
        <v>0</v>
      </c>
      <c r="AR100" s="12">
        <f>$I$38*$AR$38</f>
        <v>0</v>
      </c>
      <c r="AS100" s="12">
        <f>$I$38*$AS$38</f>
        <v>0</v>
      </c>
      <c r="AT100" s="12">
        <f>$I$38*$AT$38</f>
        <v>0</v>
      </c>
      <c r="AU100" s="12">
        <f>$I$38*$AU$38</f>
        <v>0</v>
      </c>
      <c r="AV100" s="12">
        <f>$I$38*$AV$38</f>
        <v>0</v>
      </c>
      <c r="AW100" s="12">
        <f>$I$38*$AW$38</f>
        <v>0</v>
      </c>
      <c r="AX100" s="12">
        <f>$I$38*$AX$38</f>
        <v>0</v>
      </c>
      <c r="AY100" s="12">
        <f>$I$38*$AY$38</f>
        <v>0</v>
      </c>
      <c r="AZ100" s="12">
        <f>$I$38*$AZ$38</f>
        <v>0</v>
      </c>
      <c r="BA100" s="12">
        <f>$I$38*$BA$38</f>
        <v>0</v>
      </c>
      <c r="BB100" s="12">
        <f>$I$38*$BB$38</f>
        <v>0</v>
      </c>
      <c r="BC100" s="12">
        <f>$I$38*$BC$38</f>
        <v>0</v>
      </c>
      <c r="BD100" s="12">
        <f>$I$38*$BD$38</f>
        <v>0</v>
      </c>
    </row>
    <row r="101" spans="1:56" ht="11.25" customHeight="1" x14ac:dyDescent="0.25">
      <c r="A101" s="9" t="s">
        <v>22</v>
      </c>
      <c r="B101" s="9" t="s">
        <v>981</v>
      </c>
      <c r="C101" s="9" t="s">
        <v>982</v>
      </c>
      <c r="D101" s="9" t="s">
        <v>999</v>
      </c>
      <c r="E101" s="9" t="s">
        <v>1000</v>
      </c>
      <c r="F101" s="9" t="s">
        <v>1001</v>
      </c>
      <c r="G101" s="9" t="s">
        <v>1002</v>
      </c>
      <c r="L101" s="12">
        <f>$I$39*$L$39</f>
        <v>0</v>
      </c>
      <c r="M101" s="12">
        <f>$I$39*$M$39</f>
        <v>0</v>
      </c>
      <c r="N101" s="12">
        <f ca="1">$I$39*$N$39</f>
        <v>0</v>
      </c>
      <c r="O101" s="12">
        <f>$I$39*$O$39</f>
        <v>0</v>
      </c>
      <c r="P101" s="12">
        <f>$I$39*$P$39</f>
        <v>0</v>
      </c>
      <c r="Q101" s="12">
        <f>$I$39*$Q$39</f>
        <v>0</v>
      </c>
      <c r="R101" s="12">
        <f>$I$39*$R$39</f>
        <v>0</v>
      </c>
      <c r="S101" s="12">
        <f>$I$39*$S$39</f>
        <v>0</v>
      </c>
      <c r="T101" s="12">
        <f>$I$39*$T$39</f>
        <v>0</v>
      </c>
      <c r="U101" s="12">
        <f>$I$39*$U$39</f>
        <v>0</v>
      </c>
      <c r="V101" s="12">
        <f>$I$39*$V$39</f>
        <v>0</v>
      </c>
      <c r="W101" s="12">
        <f>$I$39*$W$39</f>
        <v>0</v>
      </c>
      <c r="X101" s="12">
        <f>$I$39*$X$39</f>
        <v>0</v>
      </c>
      <c r="Y101" s="12">
        <f>$I$39*$Y$39</f>
        <v>0</v>
      </c>
      <c r="Z101" s="12">
        <f>$I$39*$Z$39</f>
        <v>0</v>
      </c>
      <c r="AA101" s="12">
        <f>$I$39*$AA$39</f>
        <v>0</v>
      </c>
      <c r="AB101" s="12">
        <f ca="1">$I$39*$AB$39</f>
        <v>0</v>
      </c>
      <c r="AC101" s="12">
        <f ca="1">$I$39*$AC$39</f>
        <v>0</v>
      </c>
      <c r="AD101" s="12">
        <f>$I$39*$AD$39</f>
        <v>0</v>
      </c>
      <c r="AE101" s="12">
        <f>$I$39*$AE$39</f>
        <v>0</v>
      </c>
      <c r="AF101" s="12">
        <f ca="1">$I$39*$AF$39</f>
        <v>0</v>
      </c>
      <c r="AG101" s="12">
        <f ca="1">$I$39*$AG$39</f>
        <v>0</v>
      </c>
      <c r="AI101" s="12">
        <f>$I$39*$AI$39</f>
        <v>0</v>
      </c>
      <c r="AJ101" s="12">
        <f>$I$39*$AJ$39</f>
        <v>0</v>
      </c>
      <c r="AK101" s="12">
        <f>$I$39*$AK$39</f>
        <v>0</v>
      </c>
      <c r="AL101" s="12">
        <f>$I$39*$AL$39</f>
        <v>0</v>
      </c>
      <c r="AM101" s="12">
        <f>$I$39*$AM$39</f>
        <v>0</v>
      </c>
      <c r="AN101" s="12">
        <f>$I$39*$AN$39</f>
        <v>0</v>
      </c>
      <c r="AO101" s="12">
        <f>$I$39*$AO$39</f>
        <v>0</v>
      </c>
      <c r="AP101" s="12">
        <f>$I$39*$AP$39</f>
        <v>0</v>
      </c>
      <c r="AQ101" s="12">
        <f>$I$39*$AQ$39</f>
        <v>0</v>
      </c>
      <c r="AR101" s="12">
        <f>$I$39*$AR$39</f>
        <v>0</v>
      </c>
      <c r="AS101" s="12">
        <f>$I$39*$AS$39</f>
        <v>0</v>
      </c>
      <c r="AT101" s="12">
        <f>$I$39*$AT$39</f>
        <v>0</v>
      </c>
      <c r="AU101" s="12">
        <f>$I$39*$AU$39</f>
        <v>0</v>
      </c>
      <c r="AV101" s="12">
        <f>$I$39*$AV$39</f>
        <v>0</v>
      </c>
      <c r="AW101" s="12">
        <f>$I$39*$AW$39</f>
        <v>0</v>
      </c>
      <c r="AX101" s="12">
        <f>$I$39*$AX$39</f>
        <v>0</v>
      </c>
      <c r="AY101" s="12">
        <f>$I$39*$AY$39</f>
        <v>0</v>
      </c>
      <c r="AZ101" s="12">
        <f>$I$39*$AZ$39</f>
        <v>0</v>
      </c>
      <c r="BA101" s="12">
        <f>$I$39*$BA$39</f>
        <v>0</v>
      </c>
      <c r="BB101" s="12">
        <f>$I$39*$BB$39</f>
        <v>0</v>
      </c>
      <c r="BC101" s="12">
        <f>$I$39*$BC$39</f>
        <v>0</v>
      </c>
      <c r="BD101" s="12">
        <f>$I$39*$BD$39</f>
        <v>0</v>
      </c>
    </row>
    <row r="102" spans="1:56" ht="11.25" customHeight="1" x14ac:dyDescent="0.25">
      <c r="A102" s="9" t="s">
        <v>44</v>
      </c>
      <c r="B102" s="9" t="s">
        <v>1003</v>
      </c>
      <c r="C102" s="9" t="s">
        <v>1004</v>
      </c>
      <c r="D102" s="9" t="s">
        <v>1005</v>
      </c>
      <c r="E102" s="9" t="s">
        <v>1006</v>
      </c>
      <c r="F102" s="9" t="s">
        <v>1007</v>
      </c>
      <c r="G102" s="9" t="s">
        <v>1008</v>
      </c>
      <c r="L102" s="12">
        <f>$I$40*$L$40</f>
        <v>0</v>
      </c>
      <c r="M102" s="12">
        <f>$I$40*$M$40</f>
        <v>0</v>
      </c>
      <c r="N102" s="12">
        <f ca="1">$I$40*$N$40</f>
        <v>0</v>
      </c>
      <c r="O102" s="12">
        <f>$I$40*$O$40</f>
        <v>0</v>
      </c>
      <c r="P102" s="12">
        <f>$I$40*$P$40</f>
        <v>0</v>
      </c>
      <c r="Q102" s="12">
        <f>$I$40*$Q$40</f>
        <v>0</v>
      </c>
      <c r="R102" s="12">
        <f>$I$40*$R$40</f>
        <v>0</v>
      </c>
      <c r="S102" s="12">
        <f>$I$40*$S$40</f>
        <v>0</v>
      </c>
      <c r="T102" s="12">
        <f>$I$40*$T$40</f>
        <v>0</v>
      </c>
      <c r="U102" s="12">
        <f>$I$40*$U$40</f>
        <v>0</v>
      </c>
      <c r="V102" s="12">
        <f>$I$40*$V$40</f>
        <v>0</v>
      </c>
      <c r="W102" s="12">
        <f>$I$40*$W$40</f>
        <v>0</v>
      </c>
      <c r="X102" s="12">
        <f>$I$40*$X$40</f>
        <v>0</v>
      </c>
      <c r="Y102" s="12">
        <f>$I$40*$Y$40</f>
        <v>0</v>
      </c>
      <c r="Z102" s="12">
        <f>$I$40*$Z$40</f>
        <v>0</v>
      </c>
      <c r="AA102" s="12">
        <f>$I$40*$AA$40</f>
        <v>0</v>
      </c>
      <c r="AB102" s="12">
        <f ca="1">$I$40*$AB$40</f>
        <v>0</v>
      </c>
      <c r="AC102" s="12">
        <f ca="1">$I$40*$AC$40</f>
        <v>0</v>
      </c>
      <c r="AD102" s="12">
        <f>$I$40*$AD$40</f>
        <v>0</v>
      </c>
      <c r="AE102" s="12">
        <f>$I$40*$AE$40</f>
        <v>0</v>
      </c>
      <c r="AF102" s="12">
        <f ca="1">$I$40*$AF$40</f>
        <v>0</v>
      </c>
      <c r="AG102" s="12">
        <f ca="1">$I$40*$AG$40</f>
        <v>0</v>
      </c>
      <c r="AI102" s="12">
        <f>$I$40*$AI$40</f>
        <v>0</v>
      </c>
      <c r="AJ102" s="12">
        <f>$I$40*$AJ$40</f>
        <v>0</v>
      </c>
      <c r="AK102" s="12">
        <f>$I$40*$AK$40</f>
        <v>0</v>
      </c>
      <c r="AL102" s="12">
        <f>$I$40*$AL$40</f>
        <v>0</v>
      </c>
      <c r="AM102" s="12">
        <f>$I$40*$AM$40</f>
        <v>0</v>
      </c>
      <c r="AN102" s="12">
        <f>$I$40*$AN$40</f>
        <v>0</v>
      </c>
      <c r="AO102" s="12">
        <f>$I$40*$AO$40</f>
        <v>0</v>
      </c>
      <c r="AP102" s="12">
        <f>$I$40*$AP$40</f>
        <v>0</v>
      </c>
      <c r="AQ102" s="12">
        <f>$I$40*$AQ$40</f>
        <v>0</v>
      </c>
      <c r="AR102" s="12">
        <f>$I$40*$AR$40</f>
        <v>0</v>
      </c>
      <c r="AS102" s="12">
        <f>$I$40*$AS$40</f>
        <v>0</v>
      </c>
      <c r="AT102" s="12">
        <f>$I$40*$AT$40</f>
        <v>0</v>
      </c>
      <c r="AU102" s="12">
        <f>$I$40*$AU$40</f>
        <v>0</v>
      </c>
      <c r="AV102" s="12">
        <f>$I$40*$AV$40</f>
        <v>0</v>
      </c>
      <c r="AW102" s="12">
        <f>$I$40*$AW$40</f>
        <v>0</v>
      </c>
      <c r="AX102" s="12">
        <f>$I$40*$AX$40</f>
        <v>0</v>
      </c>
      <c r="AY102" s="12">
        <f>$I$40*$AY$40</f>
        <v>0</v>
      </c>
      <c r="AZ102" s="12">
        <f>$I$40*$AZ$40</f>
        <v>0</v>
      </c>
      <c r="BA102" s="12">
        <f>$I$40*$BA$40</f>
        <v>0</v>
      </c>
      <c r="BB102" s="12">
        <f>$I$40*$BB$40</f>
        <v>0</v>
      </c>
      <c r="BC102" s="12">
        <f>$I$40*$BC$40</f>
        <v>0</v>
      </c>
      <c r="BD102" s="12">
        <f>$I$40*$BD$40</f>
        <v>0</v>
      </c>
    </row>
    <row r="103" spans="1:56" ht="11.25" customHeight="1" x14ac:dyDescent="0.25">
      <c r="A103" s="9" t="s">
        <v>44</v>
      </c>
      <c r="B103" s="9" t="s">
        <v>1003</v>
      </c>
      <c r="C103" s="9" t="s">
        <v>1004</v>
      </c>
      <c r="D103" s="9" t="s">
        <v>1005</v>
      </c>
      <c r="E103" s="9" t="s">
        <v>1006</v>
      </c>
      <c r="F103" s="9" t="s">
        <v>1007</v>
      </c>
      <c r="G103" s="9" t="s">
        <v>1009</v>
      </c>
      <c r="L103" s="12">
        <f>$I$41*$L$41</f>
        <v>0</v>
      </c>
      <c r="M103" s="12">
        <f>$I$41*$M$41</f>
        <v>0</v>
      </c>
      <c r="N103" s="12">
        <f ca="1">$I$41*$N$41</f>
        <v>0</v>
      </c>
      <c r="O103" s="12">
        <f>$I$41*$O$41</f>
        <v>0</v>
      </c>
      <c r="P103" s="12">
        <f>$I$41*$P$41</f>
        <v>0</v>
      </c>
      <c r="Q103" s="12">
        <f>$I$41*$Q$41</f>
        <v>0</v>
      </c>
      <c r="R103" s="12">
        <f>$I$41*$R$41</f>
        <v>0</v>
      </c>
      <c r="S103" s="12">
        <f>$I$41*$S$41</f>
        <v>0</v>
      </c>
      <c r="T103" s="12">
        <f>$I$41*$T$41</f>
        <v>0</v>
      </c>
      <c r="U103" s="12">
        <f>$I$41*$U$41</f>
        <v>0</v>
      </c>
      <c r="V103" s="12">
        <f>$I$41*$V$41</f>
        <v>0</v>
      </c>
      <c r="W103" s="12">
        <f>$I$41*$W$41</f>
        <v>0</v>
      </c>
      <c r="X103" s="12">
        <f>$I$41*$X$41</f>
        <v>0</v>
      </c>
      <c r="Y103" s="12">
        <f>$I$41*$Y$41</f>
        <v>0</v>
      </c>
      <c r="Z103" s="12">
        <f>$I$41*$Z$41</f>
        <v>0</v>
      </c>
      <c r="AA103" s="12">
        <f>$I$41*$AA$41</f>
        <v>0</v>
      </c>
      <c r="AB103" s="12">
        <f ca="1">$I$41*$AB$41</f>
        <v>0</v>
      </c>
      <c r="AC103" s="12">
        <f ca="1">$I$41*$AC$41</f>
        <v>0</v>
      </c>
      <c r="AD103" s="12">
        <f>$I$41*$AD$41</f>
        <v>0</v>
      </c>
      <c r="AE103" s="12">
        <f>$I$41*$AE$41</f>
        <v>0</v>
      </c>
      <c r="AF103" s="12">
        <f ca="1">$I$41*$AF$41</f>
        <v>0</v>
      </c>
      <c r="AG103" s="12">
        <f ca="1">$I$41*$AG$41</f>
        <v>0</v>
      </c>
      <c r="AI103" s="12">
        <f>$I$41*$AI$41</f>
        <v>0</v>
      </c>
      <c r="AJ103" s="12">
        <f>$I$41*$AJ$41</f>
        <v>0</v>
      </c>
      <c r="AK103" s="12">
        <f>$I$41*$AK$41</f>
        <v>0</v>
      </c>
      <c r="AL103" s="12">
        <f>$I$41*$AL$41</f>
        <v>0</v>
      </c>
      <c r="AM103" s="12">
        <f>$I$41*$AM$41</f>
        <v>0</v>
      </c>
      <c r="AN103" s="12">
        <f>$I$41*$AN$41</f>
        <v>0</v>
      </c>
      <c r="AO103" s="12">
        <f>$I$41*$AO$41</f>
        <v>0</v>
      </c>
      <c r="AP103" s="12">
        <f>$I$41*$AP$41</f>
        <v>0</v>
      </c>
      <c r="AQ103" s="12">
        <f>$I$41*$AQ$41</f>
        <v>0</v>
      </c>
      <c r="AR103" s="12">
        <f>$I$41*$AR$41</f>
        <v>0</v>
      </c>
      <c r="AS103" s="12">
        <f>$I$41*$AS$41</f>
        <v>0</v>
      </c>
      <c r="AT103" s="12">
        <f>$I$41*$AT$41</f>
        <v>0</v>
      </c>
      <c r="AU103" s="12">
        <f>$I$41*$AU$41</f>
        <v>0</v>
      </c>
      <c r="AV103" s="12">
        <f>$I$41*$AV$41</f>
        <v>0</v>
      </c>
      <c r="AW103" s="12">
        <f>$I$41*$AW$41</f>
        <v>0</v>
      </c>
      <c r="AX103" s="12">
        <f>$I$41*$AX$41</f>
        <v>0</v>
      </c>
      <c r="AY103" s="12">
        <f>$I$41*$AY$41</f>
        <v>0</v>
      </c>
      <c r="AZ103" s="12">
        <f>$I$41*$AZ$41</f>
        <v>0</v>
      </c>
      <c r="BA103" s="12">
        <f>$I$41*$BA$41</f>
        <v>0</v>
      </c>
      <c r="BB103" s="12">
        <f>$I$41*$BB$41</f>
        <v>0</v>
      </c>
      <c r="BC103" s="12">
        <f>$I$41*$BC$41</f>
        <v>0</v>
      </c>
      <c r="BD103" s="12">
        <f>$I$41*$BD$41</f>
        <v>0</v>
      </c>
    </row>
    <row r="104" spans="1:56" ht="11.25" customHeight="1" x14ac:dyDescent="0.25">
      <c r="A104" s="9" t="s">
        <v>44</v>
      </c>
      <c r="B104" s="9" t="s">
        <v>1003</v>
      </c>
      <c r="C104" s="9" t="s">
        <v>1004</v>
      </c>
      <c r="D104" s="9" t="s">
        <v>1005</v>
      </c>
      <c r="E104" s="9" t="s">
        <v>1006</v>
      </c>
      <c r="F104" s="9" t="s">
        <v>1007</v>
      </c>
      <c r="G104" s="9" t="s">
        <v>1010</v>
      </c>
      <c r="L104" s="12">
        <f>$I$42*$L$42</f>
        <v>0</v>
      </c>
      <c r="M104" s="12">
        <f>$I$42*$M$42</f>
        <v>0</v>
      </c>
      <c r="N104" s="12">
        <f ca="1">$I$42*$N$42</f>
        <v>0</v>
      </c>
      <c r="O104" s="12">
        <f>$I$42*$O$42</f>
        <v>0</v>
      </c>
      <c r="P104" s="12">
        <f>$I$42*$P$42</f>
        <v>0</v>
      </c>
      <c r="Q104" s="12">
        <f>$I$42*$Q$42</f>
        <v>0</v>
      </c>
      <c r="R104" s="12">
        <f>$I$42*$R$42</f>
        <v>0</v>
      </c>
      <c r="S104" s="12">
        <f>$I$42*$S$42</f>
        <v>0</v>
      </c>
      <c r="T104" s="12">
        <f>$I$42*$T$42</f>
        <v>0</v>
      </c>
      <c r="U104" s="12">
        <f>$I$42*$U$42</f>
        <v>0</v>
      </c>
      <c r="V104" s="12">
        <f>$I$42*$V$42</f>
        <v>0</v>
      </c>
      <c r="W104" s="12">
        <f>$I$42*$W$42</f>
        <v>0</v>
      </c>
      <c r="X104" s="12">
        <f>$I$42*$X$42</f>
        <v>0</v>
      </c>
      <c r="Y104" s="12">
        <f>$I$42*$Y$42</f>
        <v>0</v>
      </c>
      <c r="Z104" s="12">
        <f>$I$42*$Z$42</f>
        <v>0</v>
      </c>
      <c r="AA104" s="12">
        <f>$I$42*$AA$42</f>
        <v>0</v>
      </c>
      <c r="AB104" s="12">
        <f ca="1">$I$42*$AB$42</f>
        <v>0</v>
      </c>
      <c r="AC104" s="12">
        <f ca="1">$I$42*$AC$42</f>
        <v>0</v>
      </c>
      <c r="AD104" s="12">
        <f>$I$42*$AD$42</f>
        <v>0</v>
      </c>
      <c r="AE104" s="12">
        <f>$I$42*$AE$42</f>
        <v>0</v>
      </c>
      <c r="AF104" s="12">
        <f ca="1">$I$42*$AF$42</f>
        <v>0</v>
      </c>
      <c r="AG104" s="12">
        <f ca="1">$I$42*$AG$42</f>
        <v>0</v>
      </c>
      <c r="AI104" s="12">
        <f>$I$42*$AI$42</f>
        <v>0</v>
      </c>
      <c r="AJ104" s="12">
        <f>$I$42*$AJ$42</f>
        <v>0</v>
      </c>
      <c r="AK104" s="12">
        <f>$I$42*$AK$42</f>
        <v>0</v>
      </c>
      <c r="AL104" s="12">
        <f>$I$42*$AL$42</f>
        <v>0</v>
      </c>
      <c r="AM104" s="12">
        <f>$I$42*$AM$42</f>
        <v>0</v>
      </c>
      <c r="AN104" s="12">
        <f>$I$42*$AN$42</f>
        <v>0</v>
      </c>
      <c r="AO104" s="12">
        <f>$I$42*$AO$42</f>
        <v>0</v>
      </c>
      <c r="AP104" s="12">
        <f>$I$42*$AP$42</f>
        <v>0</v>
      </c>
      <c r="AQ104" s="12">
        <f>$I$42*$AQ$42</f>
        <v>0</v>
      </c>
      <c r="AR104" s="12">
        <f>$I$42*$AR$42</f>
        <v>0</v>
      </c>
      <c r="AS104" s="12">
        <f>$I$42*$AS$42</f>
        <v>0</v>
      </c>
      <c r="AT104" s="12">
        <f>$I$42*$AT$42</f>
        <v>0</v>
      </c>
      <c r="AU104" s="12">
        <f>$I$42*$AU$42</f>
        <v>0</v>
      </c>
      <c r="AV104" s="12">
        <f>$I$42*$AV$42</f>
        <v>0</v>
      </c>
      <c r="AW104" s="12">
        <f>$I$42*$AW$42</f>
        <v>0</v>
      </c>
      <c r="AX104" s="12">
        <f>$I$42*$AX$42</f>
        <v>0</v>
      </c>
      <c r="AY104" s="12">
        <f>$I$42*$AY$42</f>
        <v>0</v>
      </c>
      <c r="AZ104" s="12">
        <f>$I$42*$AZ$42</f>
        <v>0</v>
      </c>
      <c r="BA104" s="12">
        <f>$I$42*$BA$42</f>
        <v>0</v>
      </c>
      <c r="BB104" s="12">
        <f>$I$42*$BB$42</f>
        <v>0</v>
      </c>
      <c r="BC104" s="12">
        <f>$I$42*$BC$42</f>
        <v>0</v>
      </c>
      <c r="BD104" s="12">
        <f>$I$42*$BD$42</f>
        <v>0</v>
      </c>
    </row>
    <row r="105" spans="1:56" ht="11.25" customHeight="1" x14ac:dyDescent="0.25">
      <c r="A105" s="9" t="s">
        <v>44</v>
      </c>
      <c r="B105" s="9" t="s">
        <v>1011</v>
      </c>
      <c r="C105" s="9" t="s">
        <v>1012</v>
      </c>
      <c r="D105" s="9" t="s">
        <v>1013</v>
      </c>
      <c r="E105" s="9" t="s">
        <v>1014</v>
      </c>
      <c r="F105" s="9" t="s">
        <v>1015</v>
      </c>
      <c r="G105" s="9" t="s">
        <v>1016</v>
      </c>
      <c r="L105" s="12">
        <f>$I$43*$L$43</f>
        <v>7929.2426813682741</v>
      </c>
      <c r="M105" s="12">
        <f>$I$43*$M$43</f>
        <v>3468.2892785568192</v>
      </c>
      <c r="N105" s="12">
        <f ca="1">$I$43*$N$43</f>
        <v>23547.330058354572</v>
      </c>
      <c r="O105" s="12">
        <f>$I$43*$O$43</f>
        <v>0</v>
      </c>
      <c r="P105" s="12">
        <f>$I$43*$P$43</f>
        <v>0</v>
      </c>
      <c r="Q105" s="12">
        <f>$I$43*$Q$43</f>
        <v>607513.72408655309</v>
      </c>
      <c r="R105" s="12">
        <f>$I$43*$R$43</f>
        <v>102882.55038984932</v>
      </c>
      <c r="S105" s="12">
        <f>$I$43*$S$43</f>
        <v>0</v>
      </c>
      <c r="T105" s="12">
        <f>$I$43*$T$43</f>
        <v>0</v>
      </c>
      <c r="U105" s="12">
        <f>$I$43*$U$43</f>
        <v>0</v>
      </c>
      <c r="V105" s="12">
        <f>$I$43*$V$43</f>
        <v>0</v>
      </c>
      <c r="W105" s="12">
        <f>$I$43*$W$43</f>
        <v>0</v>
      </c>
      <c r="X105" s="12">
        <f>$I$43*$X$43</f>
        <v>493378.58751157019</v>
      </c>
      <c r="Y105" s="12">
        <f>$I$43*$Y$43</f>
        <v>0</v>
      </c>
      <c r="Z105" s="12">
        <f>$I$43*$Z$43</f>
        <v>0</v>
      </c>
      <c r="AA105" s="12">
        <f>$I$43*$AA$43</f>
        <v>801598.75443317089</v>
      </c>
      <c r="AB105" s="12">
        <f ca="1">$I$43*$AB$43</f>
        <v>0</v>
      </c>
      <c r="AC105" s="12">
        <f ca="1">$I$43*$AC$43</f>
        <v>0</v>
      </c>
      <c r="AD105" s="12">
        <f>$I$43*$AD$43</f>
        <v>104184.84331868193</v>
      </c>
      <c r="AE105" s="12">
        <f>$I$43*$AE$43</f>
        <v>3828.7280075162316</v>
      </c>
      <c r="AF105" s="12">
        <f ca="1">$I$43*$AF$43</f>
        <v>11370.505734552371</v>
      </c>
      <c r="AG105" s="12">
        <f ca="1">$I$43*$AG$43</f>
        <v>2070.2365605454725</v>
      </c>
      <c r="AI105" s="12">
        <f>$I$43*$AI$43</f>
        <v>18652.782476381064</v>
      </c>
      <c r="AJ105" s="12">
        <f>$I$43*$AJ$43</f>
        <v>3018.368806439893</v>
      </c>
      <c r="AK105" s="12">
        <f>$I$43*$AK$43</f>
        <v>19738.084727494082</v>
      </c>
      <c r="AL105" s="12">
        <f>$I$43*$AL$43</f>
        <v>0</v>
      </c>
      <c r="AM105" s="12">
        <f>$I$43*$AM$43</f>
        <v>0</v>
      </c>
      <c r="AN105" s="12">
        <f>$I$43*$AN$43</f>
        <v>320347.26027840812</v>
      </c>
      <c r="AO105" s="12">
        <f>$I$43*$AO$43</f>
        <v>49873.03744926762</v>
      </c>
      <c r="AP105" s="12">
        <f>$I$43*$AP$43</f>
        <v>0</v>
      </c>
      <c r="AQ105" s="12">
        <f>$I$43*$AQ$43</f>
        <v>0</v>
      </c>
      <c r="AR105" s="12">
        <f>$I$43*$AR$43</f>
        <v>0</v>
      </c>
      <c r="AS105" s="12">
        <f>$I$43*$AS$43</f>
        <v>0</v>
      </c>
      <c r="AT105" s="12">
        <f>$I$43*$AT$43</f>
        <v>0</v>
      </c>
      <c r="AU105" s="12">
        <f>$I$43*$AU$43</f>
        <v>475923.60015754984</v>
      </c>
      <c r="AV105" s="12">
        <f>$I$43*$AV$43</f>
        <v>0</v>
      </c>
      <c r="AW105" s="12">
        <f>$I$43*$AW$43</f>
        <v>0</v>
      </c>
      <c r="AX105" s="12">
        <f>$I$43*$AX$43</f>
        <v>711399.66074671864</v>
      </c>
      <c r="AY105" s="12">
        <f>$I$43*$AY$43</f>
        <v>0</v>
      </c>
      <c r="AZ105" s="12">
        <f>$I$43*$AZ$43</f>
        <v>0</v>
      </c>
      <c r="BA105" s="12">
        <f>$I$43*$BA$43</f>
        <v>106353.46539984173</v>
      </c>
      <c r="BB105" s="12">
        <f>$I$43*$BB$43</f>
        <v>3350.6250323142353</v>
      </c>
      <c r="BC105" s="12">
        <f>$I$43*$BC$43</f>
        <v>12943.05550864619</v>
      </c>
      <c r="BD105" s="12">
        <f>$I$43*$BD$43</f>
        <v>2275.9383623463805</v>
      </c>
    </row>
    <row r="106" spans="1:56" ht="11.25" customHeight="1" x14ac:dyDescent="0.25">
      <c r="A106" s="9" t="s">
        <v>44</v>
      </c>
      <c r="B106" s="9" t="s">
        <v>1003</v>
      </c>
      <c r="C106" s="9" t="s">
        <v>1004</v>
      </c>
      <c r="D106" s="9" t="s">
        <v>1017</v>
      </c>
      <c r="E106" s="9" t="s">
        <v>1018</v>
      </c>
      <c r="F106" s="9" t="s">
        <v>1019</v>
      </c>
      <c r="G106" s="9" t="s">
        <v>1020</v>
      </c>
      <c r="L106" s="12">
        <f>$I$44*$L$44</f>
        <v>0</v>
      </c>
      <c r="M106" s="12">
        <f>$I$44*$M$44</f>
        <v>0</v>
      </c>
      <c r="N106" s="12">
        <f ca="1">$I$44*$N$44</f>
        <v>0</v>
      </c>
      <c r="O106" s="12">
        <f>$I$44*$O$44</f>
        <v>0</v>
      </c>
      <c r="P106" s="12">
        <f>$I$44*$P$44</f>
        <v>0</v>
      </c>
      <c r="Q106" s="12">
        <f>$I$44*$Q$44</f>
        <v>0</v>
      </c>
      <c r="R106" s="12">
        <f>$I$44*$R$44</f>
        <v>0</v>
      </c>
      <c r="S106" s="12">
        <f>$I$44*$S$44</f>
        <v>0</v>
      </c>
      <c r="T106" s="12">
        <f>$I$44*$T$44</f>
        <v>0</v>
      </c>
      <c r="U106" s="12">
        <f>$I$44*$U$44</f>
        <v>0</v>
      </c>
      <c r="V106" s="12">
        <f>$I$44*$V$44</f>
        <v>0</v>
      </c>
      <c r="W106" s="12">
        <f>$I$44*$W$44</f>
        <v>0</v>
      </c>
      <c r="X106" s="12">
        <f>$I$44*$X$44</f>
        <v>0</v>
      </c>
      <c r="Y106" s="12">
        <f>$I$44*$Y$44</f>
        <v>0</v>
      </c>
      <c r="Z106" s="12">
        <f>$I$44*$Z$44</f>
        <v>0</v>
      </c>
      <c r="AA106" s="12">
        <f>$I$44*$AA$44</f>
        <v>0</v>
      </c>
      <c r="AB106" s="12">
        <f ca="1">$I$44*$AB$44</f>
        <v>0</v>
      </c>
      <c r="AC106" s="12">
        <f ca="1">$I$44*$AC$44</f>
        <v>0</v>
      </c>
      <c r="AD106" s="12">
        <f>$I$44*$AD$44</f>
        <v>0</v>
      </c>
      <c r="AE106" s="12">
        <f>$I$44*$AE$44</f>
        <v>0</v>
      </c>
      <c r="AF106" s="12">
        <f ca="1">$I$44*$AF$44</f>
        <v>0</v>
      </c>
      <c r="AG106" s="12">
        <f ca="1">$I$44*$AG$44</f>
        <v>0</v>
      </c>
      <c r="AI106" s="12">
        <f>$I$44*$AI$44</f>
        <v>0</v>
      </c>
      <c r="AJ106" s="12">
        <f>$I$44*$AJ$44</f>
        <v>0</v>
      </c>
      <c r="AK106" s="12">
        <f>$I$44*$AK$44</f>
        <v>0</v>
      </c>
      <c r="AL106" s="12">
        <f>$I$44*$AL$44</f>
        <v>0</v>
      </c>
      <c r="AM106" s="12">
        <f>$I$44*$AM$44</f>
        <v>0</v>
      </c>
      <c r="AN106" s="12">
        <f>$I$44*$AN$44</f>
        <v>0</v>
      </c>
      <c r="AO106" s="12">
        <f>$I$44*$AO$44</f>
        <v>0</v>
      </c>
      <c r="AP106" s="12">
        <f>$I$44*$AP$44</f>
        <v>0</v>
      </c>
      <c r="AQ106" s="12">
        <f>$I$44*$AQ$44</f>
        <v>0</v>
      </c>
      <c r="AR106" s="12">
        <f>$I$44*$AR$44</f>
        <v>0</v>
      </c>
      <c r="AS106" s="12">
        <f>$I$44*$AS$44</f>
        <v>0</v>
      </c>
      <c r="AT106" s="12">
        <f>$I$44*$AT$44</f>
        <v>0</v>
      </c>
      <c r="AU106" s="12">
        <f>$I$44*$AU$44</f>
        <v>0</v>
      </c>
      <c r="AV106" s="12">
        <f>$I$44*$AV$44</f>
        <v>0</v>
      </c>
      <c r="AW106" s="12">
        <f>$I$44*$AW$44</f>
        <v>0</v>
      </c>
      <c r="AX106" s="12">
        <f>$I$44*$AX$44</f>
        <v>0</v>
      </c>
      <c r="AY106" s="12">
        <f>$I$44*$AY$44</f>
        <v>0</v>
      </c>
      <c r="AZ106" s="12">
        <f>$I$44*$AZ$44</f>
        <v>0</v>
      </c>
      <c r="BA106" s="12">
        <f>$I$44*$BA$44</f>
        <v>0</v>
      </c>
      <c r="BB106" s="12">
        <f>$I$44*$BB$44</f>
        <v>0</v>
      </c>
      <c r="BC106" s="12">
        <f>$I$44*$BC$44</f>
        <v>0</v>
      </c>
      <c r="BD106" s="12">
        <f>$I$44*$BD$44</f>
        <v>0</v>
      </c>
    </row>
    <row r="107" spans="1:56" ht="11.25" customHeight="1" x14ac:dyDescent="0.25">
      <c r="A107" s="9" t="s">
        <v>44</v>
      </c>
      <c r="B107" s="9" t="s">
        <v>1003</v>
      </c>
      <c r="C107" s="9" t="s">
        <v>1004</v>
      </c>
      <c r="D107" s="9" t="s">
        <v>1017</v>
      </c>
      <c r="E107" s="9" t="s">
        <v>1018</v>
      </c>
      <c r="F107" s="9" t="s">
        <v>1019</v>
      </c>
      <c r="G107" s="9" t="s">
        <v>1021</v>
      </c>
      <c r="L107" s="12">
        <f>$I$45*$L$45</f>
        <v>0</v>
      </c>
      <c r="M107" s="12">
        <f>$I$45*$M$45</f>
        <v>0</v>
      </c>
      <c r="N107" s="12">
        <f ca="1">$I$45*$N$45</f>
        <v>0</v>
      </c>
      <c r="O107" s="12">
        <f>$I$45*$O$45</f>
        <v>0</v>
      </c>
      <c r="P107" s="12">
        <f>$I$45*$P$45</f>
        <v>0</v>
      </c>
      <c r="Q107" s="12">
        <f>$I$45*$Q$45</f>
        <v>0</v>
      </c>
      <c r="R107" s="12">
        <f>$I$45*$R$45</f>
        <v>0</v>
      </c>
      <c r="S107" s="12">
        <f>$I$45*$S$45</f>
        <v>0</v>
      </c>
      <c r="T107" s="12">
        <f>$I$45*$T$45</f>
        <v>0</v>
      </c>
      <c r="U107" s="12">
        <f>$I$45*$U$45</f>
        <v>0</v>
      </c>
      <c r="V107" s="12">
        <f>$I$45*$V$45</f>
        <v>0</v>
      </c>
      <c r="W107" s="12">
        <f>$I$45*$W$45</f>
        <v>0</v>
      </c>
      <c r="X107" s="12">
        <f>$I$45*$X$45</f>
        <v>0</v>
      </c>
      <c r="Y107" s="12">
        <f>$I$45*$Y$45</f>
        <v>0</v>
      </c>
      <c r="Z107" s="12">
        <f>$I$45*$Z$45</f>
        <v>0</v>
      </c>
      <c r="AA107" s="12">
        <f>$I$45*$AA$45</f>
        <v>0</v>
      </c>
      <c r="AB107" s="12">
        <f ca="1">$I$45*$AB$45</f>
        <v>0</v>
      </c>
      <c r="AC107" s="12">
        <f ca="1">$I$45*$AC$45</f>
        <v>0</v>
      </c>
      <c r="AD107" s="12">
        <f>$I$45*$AD$45</f>
        <v>0</v>
      </c>
      <c r="AE107" s="12">
        <f>$I$45*$AE$45</f>
        <v>0</v>
      </c>
      <c r="AF107" s="12">
        <f ca="1">$I$45*$AF$45</f>
        <v>0</v>
      </c>
      <c r="AG107" s="12">
        <f ca="1">$I$45*$AG$45</f>
        <v>0</v>
      </c>
      <c r="AI107" s="12">
        <f>$I$45*$AI$45</f>
        <v>0</v>
      </c>
      <c r="AJ107" s="12">
        <f>$I$45*$AJ$45</f>
        <v>0</v>
      </c>
      <c r="AK107" s="12">
        <f>$I$45*$AK$45</f>
        <v>0</v>
      </c>
      <c r="AL107" s="12">
        <f>$I$45*$AL$45</f>
        <v>0</v>
      </c>
      <c r="AM107" s="12">
        <f>$I$45*$AM$45</f>
        <v>0</v>
      </c>
      <c r="AN107" s="12">
        <f>$I$45*$AN$45</f>
        <v>0</v>
      </c>
      <c r="AO107" s="12">
        <f>$I$45*$AO$45</f>
        <v>0</v>
      </c>
      <c r="AP107" s="12">
        <f>$I$45*$AP$45</f>
        <v>0</v>
      </c>
      <c r="AQ107" s="12">
        <f>$I$45*$AQ$45</f>
        <v>0</v>
      </c>
      <c r="AR107" s="12">
        <f>$I$45*$AR$45</f>
        <v>0</v>
      </c>
      <c r="AS107" s="12">
        <f>$I$45*$AS$45</f>
        <v>0</v>
      </c>
      <c r="AT107" s="12">
        <f>$I$45*$AT$45</f>
        <v>0</v>
      </c>
      <c r="AU107" s="12">
        <f>$I$45*$AU$45</f>
        <v>0</v>
      </c>
      <c r="AV107" s="12">
        <f>$I$45*$AV$45</f>
        <v>0</v>
      </c>
      <c r="AW107" s="12">
        <f>$I$45*$AW$45</f>
        <v>0</v>
      </c>
      <c r="AX107" s="12">
        <f>$I$45*$AX$45</f>
        <v>0</v>
      </c>
      <c r="AY107" s="12">
        <f>$I$45*$AY$45</f>
        <v>0</v>
      </c>
      <c r="AZ107" s="12">
        <f>$I$45*$AZ$45</f>
        <v>0</v>
      </c>
      <c r="BA107" s="12">
        <f>$I$45*$BA$45</f>
        <v>0</v>
      </c>
      <c r="BB107" s="12">
        <f>$I$45*$BB$45</f>
        <v>0</v>
      </c>
      <c r="BC107" s="12">
        <f>$I$45*$BC$45</f>
        <v>0</v>
      </c>
      <c r="BD107" s="12">
        <f>$I$45*$BD$45</f>
        <v>0</v>
      </c>
    </row>
    <row r="108" spans="1:56" ht="11.25" customHeight="1" x14ac:dyDescent="0.25">
      <c r="A108" s="9" t="s">
        <v>44</v>
      </c>
      <c r="B108" s="9" t="s">
        <v>1003</v>
      </c>
      <c r="C108" s="9" t="s">
        <v>1004</v>
      </c>
      <c r="D108" s="9" t="s">
        <v>1017</v>
      </c>
      <c r="E108" s="9" t="s">
        <v>1018</v>
      </c>
      <c r="F108" s="9" t="s">
        <v>1019</v>
      </c>
      <c r="G108" s="9" t="s">
        <v>1022</v>
      </c>
      <c r="L108" s="12">
        <f>$I$46*$L$46</f>
        <v>0</v>
      </c>
      <c r="M108" s="12">
        <f>$I$46*$M$46</f>
        <v>0</v>
      </c>
      <c r="N108" s="12">
        <f ca="1">$I$46*$N$46</f>
        <v>0</v>
      </c>
      <c r="O108" s="12">
        <f>$I$46*$O$46</f>
        <v>0</v>
      </c>
      <c r="P108" s="12">
        <f>$I$46*$P$46</f>
        <v>0</v>
      </c>
      <c r="Q108" s="12">
        <f>$I$46*$Q$46</f>
        <v>0</v>
      </c>
      <c r="R108" s="12">
        <f>$I$46*$R$46</f>
        <v>0</v>
      </c>
      <c r="S108" s="12">
        <f>$I$46*$S$46</f>
        <v>0</v>
      </c>
      <c r="T108" s="12">
        <f>$I$46*$T$46</f>
        <v>0</v>
      </c>
      <c r="U108" s="12">
        <f>$I$46*$U$46</f>
        <v>0</v>
      </c>
      <c r="V108" s="12">
        <f>$I$46*$V$46</f>
        <v>0</v>
      </c>
      <c r="W108" s="12">
        <f>$I$46*$W$46</f>
        <v>0</v>
      </c>
      <c r="X108" s="12">
        <f>$I$46*$X$46</f>
        <v>0</v>
      </c>
      <c r="Y108" s="12">
        <f>$I$46*$Y$46</f>
        <v>0</v>
      </c>
      <c r="Z108" s="12">
        <f>$I$46*$Z$46</f>
        <v>0</v>
      </c>
      <c r="AA108" s="12">
        <f>$I$46*$AA$46</f>
        <v>0</v>
      </c>
      <c r="AB108" s="12">
        <f ca="1">$I$46*$AB$46</f>
        <v>0</v>
      </c>
      <c r="AC108" s="12">
        <f ca="1">$I$46*$AC$46</f>
        <v>0</v>
      </c>
      <c r="AD108" s="12">
        <f>$I$46*$AD$46</f>
        <v>0</v>
      </c>
      <c r="AE108" s="12">
        <f>$I$46*$AE$46</f>
        <v>0</v>
      </c>
      <c r="AF108" s="12">
        <f ca="1">$I$46*$AF$46</f>
        <v>0</v>
      </c>
      <c r="AG108" s="12">
        <f ca="1">$I$46*$AG$46</f>
        <v>0</v>
      </c>
      <c r="AI108" s="12">
        <f>$I$46*$AI$46</f>
        <v>0</v>
      </c>
      <c r="AJ108" s="12">
        <f>$I$46*$AJ$46</f>
        <v>0</v>
      </c>
      <c r="AK108" s="12">
        <f>$I$46*$AK$46</f>
        <v>0</v>
      </c>
      <c r="AL108" s="12">
        <f>$I$46*$AL$46</f>
        <v>0</v>
      </c>
      <c r="AM108" s="12">
        <f>$I$46*$AM$46</f>
        <v>0</v>
      </c>
      <c r="AN108" s="12">
        <f>$I$46*$AN$46</f>
        <v>0</v>
      </c>
      <c r="AO108" s="12">
        <f>$I$46*$AO$46</f>
        <v>0</v>
      </c>
      <c r="AP108" s="12">
        <f>$I$46*$AP$46</f>
        <v>0</v>
      </c>
      <c r="AQ108" s="12">
        <f>$I$46*$AQ$46</f>
        <v>0</v>
      </c>
      <c r="AR108" s="12">
        <f>$I$46*$AR$46</f>
        <v>0</v>
      </c>
      <c r="AS108" s="12">
        <f>$I$46*$AS$46</f>
        <v>0</v>
      </c>
      <c r="AT108" s="12">
        <f>$I$46*$AT$46</f>
        <v>0</v>
      </c>
      <c r="AU108" s="12">
        <f>$I$46*$AU$46</f>
        <v>0</v>
      </c>
      <c r="AV108" s="12">
        <f>$I$46*$AV$46</f>
        <v>0</v>
      </c>
      <c r="AW108" s="12">
        <f>$I$46*$AW$46</f>
        <v>0</v>
      </c>
      <c r="AX108" s="12">
        <f>$I$46*$AX$46</f>
        <v>0</v>
      </c>
      <c r="AY108" s="12">
        <f>$I$46*$AY$46</f>
        <v>0</v>
      </c>
      <c r="AZ108" s="12">
        <f>$I$46*$AZ$46</f>
        <v>0</v>
      </c>
      <c r="BA108" s="12">
        <f>$I$46*$BA$46</f>
        <v>0</v>
      </c>
      <c r="BB108" s="12">
        <f>$I$46*$BB$46</f>
        <v>0</v>
      </c>
      <c r="BC108" s="12">
        <f>$I$46*$BC$46</f>
        <v>0</v>
      </c>
      <c r="BD108" s="12">
        <f>$I$46*$BD$46</f>
        <v>0</v>
      </c>
    </row>
    <row r="109" spans="1:56" ht="11.25" customHeight="1" x14ac:dyDescent="0.25">
      <c r="A109" s="9" t="s">
        <v>44</v>
      </c>
      <c r="B109" s="9" t="s">
        <v>1011</v>
      </c>
      <c r="C109" s="9" t="s">
        <v>1012</v>
      </c>
      <c r="D109" s="9" t="s">
        <v>1023</v>
      </c>
      <c r="E109" s="9" t="s">
        <v>1024</v>
      </c>
      <c r="F109" s="9" t="s">
        <v>1025</v>
      </c>
      <c r="G109" s="9" t="s">
        <v>1026</v>
      </c>
      <c r="L109" s="12">
        <f>$I$47*$L$47</f>
        <v>0</v>
      </c>
      <c r="M109" s="12">
        <f>$I$47*$M$47</f>
        <v>0</v>
      </c>
      <c r="N109" s="12">
        <f ca="1">$I$47*$N$47</f>
        <v>0</v>
      </c>
      <c r="O109" s="12">
        <f>$I$47*$O$47</f>
        <v>0</v>
      </c>
      <c r="P109" s="12">
        <f>$I$47*$P$47</f>
        <v>0</v>
      </c>
      <c r="Q109" s="12">
        <f>$I$47*$Q$47</f>
        <v>0</v>
      </c>
      <c r="R109" s="12">
        <f>$I$47*$R$47</f>
        <v>0</v>
      </c>
      <c r="S109" s="12">
        <f>$I$47*$S$47</f>
        <v>0</v>
      </c>
      <c r="T109" s="12">
        <f>$I$47*$T$47</f>
        <v>0</v>
      </c>
      <c r="U109" s="12">
        <f>$I$47*$U$47</f>
        <v>0</v>
      </c>
      <c r="V109" s="12">
        <f>$I$47*$V$47</f>
        <v>0</v>
      </c>
      <c r="W109" s="12">
        <f>$I$47*$W$47</f>
        <v>0</v>
      </c>
      <c r="X109" s="12">
        <f>$I$47*$X$47</f>
        <v>0</v>
      </c>
      <c r="Y109" s="12">
        <f>$I$47*$Y$47</f>
        <v>0</v>
      </c>
      <c r="Z109" s="12">
        <f>$I$47*$Z$47</f>
        <v>0</v>
      </c>
      <c r="AA109" s="12">
        <f>$I$47*$AA$47</f>
        <v>0</v>
      </c>
      <c r="AB109" s="12">
        <f ca="1">$I$47*$AB$47</f>
        <v>0</v>
      </c>
      <c r="AC109" s="12">
        <f ca="1">$I$47*$AC$47</f>
        <v>0</v>
      </c>
      <c r="AD109" s="12">
        <f>$I$47*$AD$47</f>
        <v>0</v>
      </c>
      <c r="AE109" s="12">
        <f>$I$47*$AE$47</f>
        <v>0</v>
      </c>
      <c r="AF109" s="12">
        <f ca="1">$I$47*$AF$47</f>
        <v>0</v>
      </c>
      <c r="AG109" s="12">
        <f ca="1">$I$47*$AG$47</f>
        <v>0</v>
      </c>
      <c r="AI109" s="12">
        <f>$I$47*$AI$47</f>
        <v>0</v>
      </c>
      <c r="AJ109" s="12">
        <f>$I$47*$AJ$47</f>
        <v>0</v>
      </c>
      <c r="AK109" s="12">
        <f>$I$47*$AK$47</f>
        <v>0</v>
      </c>
      <c r="AL109" s="12">
        <f>$I$47*$AL$47</f>
        <v>0</v>
      </c>
      <c r="AM109" s="12">
        <f>$I$47*$AM$47</f>
        <v>0</v>
      </c>
      <c r="AN109" s="12">
        <f>$I$47*$AN$47</f>
        <v>0</v>
      </c>
      <c r="AO109" s="12">
        <f>$I$47*$AO$47</f>
        <v>0</v>
      </c>
      <c r="AP109" s="12">
        <f>$I$47*$AP$47</f>
        <v>0</v>
      </c>
      <c r="AQ109" s="12">
        <f>$I$47*$AQ$47</f>
        <v>0</v>
      </c>
      <c r="AR109" s="12">
        <f>$I$47*$AR$47</f>
        <v>0</v>
      </c>
      <c r="AS109" s="12">
        <f>$I$47*$AS$47</f>
        <v>0</v>
      </c>
      <c r="AT109" s="12">
        <f>$I$47*$AT$47</f>
        <v>0</v>
      </c>
      <c r="AU109" s="12">
        <f>$I$47*$AU$47</f>
        <v>0</v>
      </c>
      <c r="AV109" s="12">
        <f>$I$47*$AV$47</f>
        <v>0</v>
      </c>
      <c r="AW109" s="12">
        <f>$I$47*$AW$47</f>
        <v>0</v>
      </c>
      <c r="AX109" s="12">
        <f>$I$47*$AX$47</f>
        <v>0</v>
      </c>
      <c r="AY109" s="12">
        <f>$I$47*$AY$47</f>
        <v>0</v>
      </c>
      <c r="AZ109" s="12">
        <f>$I$47*$AZ$47</f>
        <v>0</v>
      </c>
      <c r="BA109" s="12">
        <f>$I$47*$BA$47</f>
        <v>0</v>
      </c>
      <c r="BB109" s="12">
        <f>$I$47*$BB$47</f>
        <v>0</v>
      </c>
      <c r="BC109" s="12">
        <f>$I$47*$BC$47</f>
        <v>0</v>
      </c>
      <c r="BD109" s="12">
        <f>$I$47*$BD$47</f>
        <v>0</v>
      </c>
    </row>
    <row r="110" spans="1:56" ht="11.25" customHeight="1" x14ac:dyDescent="0.25">
      <c r="A110" s="9" t="s">
        <v>44</v>
      </c>
      <c r="B110" s="9" t="s">
        <v>1003</v>
      </c>
      <c r="C110" s="9" t="s">
        <v>1004</v>
      </c>
      <c r="D110" s="9" t="s">
        <v>1027</v>
      </c>
      <c r="E110" s="9" t="s">
        <v>1028</v>
      </c>
      <c r="F110" s="9" t="s">
        <v>1029</v>
      </c>
      <c r="G110" s="9" t="s">
        <v>1030</v>
      </c>
      <c r="L110" s="12">
        <f>$I$48*$L$48</f>
        <v>0</v>
      </c>
      <c r="M110" s="12">
        <f>$I$48*$M$48</f>
        <v>0</v>
      </c>
      <c r="N110" s="12">
        <f ca="1">$I$48*$N$48</f>
        <v>0</v>
      </c>
      <c r="O110" s="12">
        <f>$I$48*$O$48</f>
        <v>0</v>
      </c>
      <c r="P110" s="12">
        <f>$I$48*$P$48</f>
        <v>0</v>
      </c>
      <c r="Q110" s="12">
        <f>$I$48*$Q$48</f>
        <v>0</v>
      </c>
      <c r="R110" s="12">
        <f>$I$48*$R$48</f>
        <v>0</v>
      </c>
      <c r="S110" s="12">
        <f>$I$48*$S$48</f>
        <v>0</v>
      </c>
      <c r="T110" s="12">
        <f>$I$48*$T$48</f>
        <v>0</v>
      </c>
      <c r="U110" s="12">
        <f>$I$48*$U$48</f>
        <v>0</v>
      </c>
      <c r="V110" s="12">
        <f>$I$48*$V$48</f>
        <v>0</v>
      </c>
      <c r="W110" s="12">
        <f>$I$48*$W$48</f>
        <v>0</v>
      </c>
      <c r="X110" s="12">
        <f>$I$48*$X$48</f>
        <v>0</v>
      </c>
      <c r="Y110" s="12">
        <f>$I$48*$Y$48</f>
        <v>0</v>
      </c>
      <c r="Z110" s="12">
        <f>$I$48*$Z$48</f>
        <v>0</v>
      </c>
      <c r="AA110" s="12">
        <f>$I$48*$AA$48</f>
        <v>0</v>
      </c>
      <c r="AB110" s="12">
        <f ca="1">$I$48*$AB$48</f>
        <v>0</v>
      </c>
      <c r="AC110" s="12">
        <f ca="1">$I$48*$AC$48</f>
        <v>0</v>
      </c>
      <c r="AD110" s="12">
        <f>$I$48*$AD$48</f>
        <v>0</v>
      </c>
      <c r="AE110" s="12">
        <f>$I$48*$AE$48</f>
        <v>0</v>
      </c>
      <c r="AF110" s="12">
        <f ca="1">$I$48*$AF$48</f>
        <v>0</v>
      </c>
      <c r="AG110" s="12">
        <f ca="1">$I$48*$AG$48</f>
        <v>0</v>
      </c>
      <c r="AI110" s="12">
        <f>$I$48*$AI$48</f>
        <v>0</v>
      </c>
      <c r="AJ110" s="12">
        <f>$I$48*$AJ$48</f>
        <v>0</v>
      </c>
      <c r="AK110" s="12">
        <f>$I$48*$AK$48</f>
        <v>0</v>
      </c>
      <c r="AL110" s="12">
        <f>$I$48*$AL$48</f>
        <v>0</v>
      </c>
      <c r="AM110" s="12">
        <f>$I$48*$AM$48</f>
        <v>0</v>
      </c>
      <c r="AN110" s="12">
        <f>$I$48*$AN$48</f>
        <v>0</v>
      </c>
      <c r="AO110" s="12">
        <f>$I$48*$AO$48</f>
        <v>0</v>
      </c>
      <c r="AP110" s="12">
        <f>$I$48*$AP$48</f>
        <v>0</v>
      </c>
      <c r="AQ110" s="12">
        <f>$I$48*$AQ$48</f>
        <v>0</v>
      </c>
      <c r="AR110" s="12">
        <f>$I$48*$AR$48</f>
        <v>0</v>
      </c>
      <c r="AS110" s="12">
        <f>$I$48*$AS$48</f>
        <v>0</v>
      </c>
      <c r="AT110" s="12">
        <f>$I$48*$AT$48</f>
        <v>0</v>
      </c>
      <c r="AU110" s="12">
        <f>$I$48*$AU$48</f>
        <v>0</v>
      </c>
      <c r="AV110" s="12">
        <f>$I$48*$AV$48</f>
        <v>0</v>
      </c>
      <c r="AW110" s="12">
        <f>$I$48*$AW$48</f>
        <v>0</v>
      </c>
      <c r="AX110" s="12">
        <f>$I$48*$AX$48</f>
        <v>0</v>
      </c>
      <c r="AY110" s="12">
        <f>$I$48*$AY$48</f>
        <v>0</v>
      </c>
      <c r="AZ110" s="12">
        <f>$I$48*$AZ$48</f>
        <v>0</v>
      </c>
      <c r="BA110" s="12">
        <f>$I$48*$BA$48</f>
        <v>0</v>
      </c>
      <c r="BB110" s="12">
        <f>$I$48*$BB$48</f>
        <v>0</v>
      </c>
      <c r="BC110" s="12">
        <f>$I$48*$BC$48</f>
        <v>0</v>
      </c>
      <c r="BD110" s="12">
        <f>$I$48*$BD$48</f>
        <v>0</v>
      </c>
    </row>
    <row r="111" spans="1:56" ht="11.25" customHeight="1" x14ac:dyDescent="0.25">
      <c r="A111" s="9" t="s">
        <v>44</v>
      </c>
      <c r="B111" s="9" t="s">
        <v>1003</v>
      </c>
      <c r="C111" s="9" t="s">
        <v>1004</v>
      </c>
      <c r="D111" s="9" t="s">
        <v>1027</v>
      </c>
      <c r="E111" s="9" t="s">
        <v>1028</v>
      </c>
      <c r="F111" s="9" t="s">
        <v>1029</v>
      </c>
      <c r="G111" s="9" t="s">
        <v>1031</v>
      </c>
      <c r="L111" s="12">
        <f>$I$49*$L$49</f>
        <v>0</v>
      </c>
      <c r="M111" s="12">
        <f>$I$49*$M$49</f>
        <v>0</v>
      </c>
      <c r="N111" s="12">
        <f ca="1">$I$49*$N$49</f>
        <v>0</v>
      </c>
      <c r="O111" s="12">
        <f>$I$49*$O$49</f>
        <v>0</v>
      </c>
      <c r="P111" s="12">
        <f>$I$49*$P$49</f>
        <v>0</v>
      </c>
      <c r="Q111" s="12">
        <f>$I$49*$Q$49</f>
        <v>0</v>
      </c>
      <c r="R111" s="12">
        <f>$I$49*$R$49</f>
        <v>0</v>
      </c>
      <c r="S111" s="12">
        <f>$I$49*$S$49</f>
        <v>0</v>
      </c>
      <c r="T111" s="12">
        <f>$I$49*$T$49</f>
        <v>0</v>
      </c>
      <c r="U111" s="12">
        <f>$I$49*$U$49</f>
        <v>0</v>
      </c>
      <c r="V111" s="12">
        <f>$I$49*$V$49</f>
        <v>0</v>
      </c>
      <c r="W111" s="12">
        <f>$I$49*$W$49</f>
        <v>0</v>
      </c>
      <c r="X111" s="12">
        <f>$I$49*$X$49</f>
        <v>0</v>
      </c>
      <c r="Y111" s="12">
        <f>$I$49*$Y$49</f>
        <v>0</v>
      </c>
      <c r="Z111" s="12">
        <f>$I$49*$Z$49</f>
        <v>0</v>
      </c>
      <c r="AA111" s="12">
        <f>$I$49*$AA$49</f>
        <v>0</v>
      </c>
      <c r="AB111" s="12">
        <f ca="1">$I$49*$AB$49</f>
        <v>0</v>
      </c>
      <c r="AC111" s="12">
        <f ca="1">$I$49*$AC$49</f>
        <v>0</v>
      </c>
      <c r="AD111" s="12">
        <f>$I$49*$AD$49</f>
        <v>0</v>
      </c>
      <c r="AE111" s="12">
        <f>$I$49*$AE$49</f>
        <v>0</v>
      </c>
      <c r="AF111" s="12">
        <f ca="1">$I$49*$AF$49</f>
        <v>0</v>
      </c>
      <c r="AG111" s="12">
        <f ca="1">$I$49*$AG$49</f>
        <v>0</v>
      </c>
      <c r="AI111" s="12">
        <f>$I$49*$AI$49</f>
        <v>0</v>
      </c>
      <c r="AJ111" s="12">
        <f>$I$49*$AJ$49</f>
        <v>0</v>
      </c>
      <c r="AK111" s="12">
        <f>$I$49*$AK$49</f>
        <v>0</v>
      </c>
      <c r="AL111" s="12">
        <f>$I$49*$AL$49</f>
        <v>0</v>
      </c>
      <c r="AM111" s="12">
        <f>$I$49*$AM$49</f>
        <v>0</v>
      </c>
      <c r="AN111" s="12">
        <f>$I$49*$AN$49</f>
        <v>0</v>
      </c>
      <c r="AO111" s="12">
        <f>$I$49*$AO$49</f>
        <v>0</v>
      </c>
      <c r="AP111" s="12">
        <f>$I$49*$AP$49</f>
        <v>0</v>
      </c>
      <c r="AQ111" s="12">
        <f>$I$49*$AQ$49</f>
        <v>0</v>
      </c>
      <c r="AR111" s="12">
        <f>$I$49*$AR$49</f>
        <v>0</v>
      </c>
      <c r="AS111" s="12">
        <f>$I$49*$AS$49</f>
        <v>0</v>
      </c>
      <c r="AT111" s="12">
        <f>$I$49*$AT$49</f>
        <v>0</v>
      </c>
      <c r="AU111" s="12">
        <f>$I$49*$AU$49</f>
        <v>0</v>
      </c>
      <c r="AV111" s="12">
        <f>$I$49*$AV$49</f>
        <v>0</v>
      </c>
      <c r="AW111" s="12">
        <f>$I$49*$AW$49</f>
        <v>0</v>
      </c>
      <c r="AX111" s="12">
        <f>$I$49*$AX$49</f>
        <v>0</v>
      </c>
      <c r="AY111" s="12">
        <f>$I$49*$AY$49</f>
        <v>0</v>
      </c>
      <c r="AZ111" s="12">
        <f>$I$49*$AZ$49</f>
        <v>0</v>
      </c>
      <c r="BA111" s="12">
        <f>$I$49*$BA$49</f>
        <v>0</v>
      </c>
      <c r="BB111" s="12">
        <f>$I$49*$BB$49</f>
        <v>0</v>
      </c>
      <c r="BC111" s="12">
        <f>$I$49*$BC$49</f>
        <v>0</v>
      </c>
      <c r="BD111" s="12">
        <f>$I$49*$BD$49</f>
        <v>0</v>
      </c>
    </row>
    <row r="112" spans="1:56" ht="11.25" customHeight="1" x14ac:dyDescent="0.25">
      <c r="A112" s="9" t="s">
        <v>44</v>
      </c>
      <c r="B112" s="9" t="s">
        <v>1003</v>
      </c>
      <c r="C112" s="9" t="s">
        <v>1004</v>
      </c>
      <c r="D112" s="9" t="s">
        <v>1027</v>
      </c>
      <c r="E112" s="9" t="s">
        <v>1028</v>
      </c>
      <c r="F112" s="9" t="s">
        <v>1029</v>
      </c>
      <c r="G112" s="9" t="s">
        <v>1032</v>
      </c>
      <c r="L112" s="12">
        <f>$I$50*$L$50</f>
        <v>0</v>
      </c>
      <c r="M112" s="12">
        <f>$I$50*$M$50</f>
        <v>0</v>
      </c>
      <c r="N112" s="12">
        <f ca="1">$I$50*$N$50</f>
        <v>0</v>
      </c>
      <c r="O112" s="12">
        <f>$I$50*$O$50</f>
        <v>0</v>
      </c>
      <c r="P112" s="12">
        <f>$I$50*$P$50</f>
        <v>0</v>
      </c>
      <c r="Q112" s="12">
        <f>$I$50*$Q$50</f>
        <v>0</v>
      </c>
      <c r="R112" s="12">
        <f>$I$50*$R$50</f>
        <v>0</v>
      </c>
      <c r="S112" s="12">
        <f>$I$50*$S$50</f>
        <v>0</v>
      </c>
      <c r="T112" s="12">
        <f>$I$50*$T$50</f>
        <v>0</v>
      </c>
      <c r="U112" s="12">
        <f>$I$50*$U$50</f>
        <v>0</v>
      </c>
      <c r="V112" s="12">
        <f>$I$50*$V$50</f>
        <v>0</v>
      </c>
      <c r="W112" s="12">
        <f>$I$50*$W$50</f>
        <v>0</v>
      </c>
      <c r="X112" s="12">
        <f>$I$50*$X$50</f>
        <v>0</v>
      </c>
      <c r="Y112" s="12">
        <f>$I$50*$Y$50</f>
        <v>0</v>
      </c>
      <c r="Z112" s="12">
        <f>$I$50*$Z$50</f>
        <v>0</v>
      </c>
      <c r="AA112" s="12">
        <f>$I$50*$AA$50</f>
        <v>0</v>
      </c>
      <c r="AB112" s="12">
        <f ca="1">$I$50*$AB$50</f>
        <v>0</v>
      </c>
      <c r="AC112" s="12">
        <f ca="1">$I$50*$AC$50</f>
        <v>0</v>
      </c>
      <c r="AD112" s="12">
        <f>$I$50*$AD$50</f>
        <v>0</v>
      </c>
      <c r="AE112" s="12">
        <f>$I$50*$AE$50</f>
        <v>0</v>
      </c>
      <c r="AF112" s="12">
        <f ca="1">$I$50*$AF$50</f>
        <v>0</v>
      </c>
      <c r="AG112" s="12">
        <f ca="1">$I$50*$AG$50</f>
        <v>0</v>
      </c>
      <c r="AI112" s="12">
        <f>$I$50*$AI$50</f>
        <v>0</v>
      </c>
      <c r="AJ112" s="12">
        <f>$I$50*$AJ$50</f>
        <v>0</v>
      </c>
      <c r="AK112" s="12">
        <f>$I$50*$AK$50</f>
        <v>0</v>
      </c>
      <c r="AL112" s="12">
        <f>$I$50*$AL$50</f>
        <v>0</v>
      </c>
      <c r="AM112" s="12">
        <f>$I$50*$AM$50</f>
        <v>0</v>
      </c>
      <c r="AN112" s="12">
        <f>$I$50*$AN$50</f>
        <v>0</v>
      </c>
      <c r="AO112" s="12">
        <f>$I$50*$AO$50</f>
        <v>0</v>
      </c>
      <c r="AP112" s="12">
        <f>$I$50*$AP$50</f>
        <v>0</v>
      </c>
      <c r="AQ112" s="12">
        <f>$I$50*$AQ$50</f>
        <v>0</v>
      </c>
      <c r="AR112" s="12">
        <f>$I$50*$AR$50</f>
        <v>0</v>
      </c>
      <c r="AS112" s="12">
        <f>$I$50*$AS$50</f>
        <v>0</v>
      </c>
      <c r="AT112" s="12">
        <f>$I$50*$AT$50</f>
        <v>0</v>
      </c>
      <c r="AU112" s="12">
        <f>$I$50*$AU$50</f>
        <v>0</v>
      </c>
      <c r="AV112" s="12">
        <f>$I$50*$AV$50</f>
        <v>0</v>
      </c>
      <c r="AW112" s="12">
        <f>$I$50*$AW$50</f>
        <v>0</v>
      </c>
      <c r="AX112" s="12">
        <f>$I$50*$AX$50</f>
        <v>0</v>
      </c>
      <c r="AY112" s="12">
        <f>$I$50*$AY$50</f>
        <v>0</v>
      </c>
      <c r="AZ112" s="12">
        <f>$I$50*$AZ$50</f>
        <v>0</v>
      </c>
      <c r="BA112" s="12">
        <f>$I$50*$BA$50</f>
        <v>0</v>
      </c>
      <c r="BB112" s="12">
        <f>$I$50*$BB$50</f>
        <v>0</v>
      </c>
      <c r="BC112" s="12">
        <f>$I$50*$BC$50</f>
        <v>0</v>
      </c>
      <c r="BD112" s="12">
        <f>$I$50*$BD$50</f>
        <v>0</v>
      </c>
    </row>
    <row r="113" spans="1:56" ht="11.25" customHeight="1" x14ac:dyDescent="0.25">
      <c r="A113" s="9" t="s">
        <v>44</v>
      </c>
      <c r="B113" s="9" t="s">
        <v>1011</v>
      </c>
      <c r="C113" s="9" t="s">
        <v>1012</v>
      </c>
      <c r="D113" s="9" t="s">
        <v>1033</v>
      </c>
      <c r="E113" s="9" t="s">
        <v>1034</v>
      </c>
      <c r="F113" s="9" t="s">
        <v>1035</v>
      </c>
      <c r="G113" s="9" t="s">
        <v>1036</v>
      </c>
      <c r="L113" s="12">
        <f>$I$51*$L$51</f>
        <v>0</v>
      </c>
      <c r="M113" s="12">
        <f>$I$51*$M$51</f>
        <v>0</v>
      </c>
      <c r="N113" s="12">
        <f ca="1">$I$51*$N$51</f>
        <v>0</v>
      </c>
      <c r="O113" s="12">
        <f>$I$51*$O$51</f>
        <v>0</v>
      </c>
      <c r="P113" s="12">
        <f>$I$51*$P$51</f>
        <v>0</v>
      </c>
      <c r="Q113" s="12">
        <f>$I$51*$Q$51</f>
        <v>0</v>
      </c>
      <c r="R113" s="12">
        <f>$I$51*$R$51</f>
        <v>0</v>
      </c>
      <c r="S113" s="12">
        <f>$I$51*$S$51</f>
        <v>0</v>
      </c>
      <c r="T113" s="12">
        <f>$I$51*$T$51</f>
        <v>0</v>
      </c>
      <c r="U113" s="12">
        <f>$I$51*$U$51</f>
        <v>0</v>
      </c>
      <c r="V113" s="12">
        <f>$I$51*$V$51</f>
        <v>0</v>
      </c>
      <c r="W113" s="12">
        <f>$I$51*$W$51</f>
        <v>0</v>
      </c>
      <c r="X113" s="12">
        <f>$I$51*$X$51</f>
        <v>0</v>
      </c>
      <c r="Y113" s="12">
        <f>$I$51*$Y$51</f>
        <v>0</v>
      </c>
      <c r="Z113" s="12">
        <f>$I$51*$Z$51</f>
        <v>0</v>
      </c>
      <c r="AA113" s="12">
        <f>$I$51*$AA$51</f>
        <v>0</v>
      </c>
      <c r="AB113" s="12">
        <f ca="1">$I$51*$AB$51</f>
        <v>0</v>
      </c>
      <c r="AC113" s="12">
        <f ca="1">$I$51*$AC$51</f>
        <v>0</v>
      </c>
      <c r="AD113" s="12">
        <f>$I$51*$AD$51</f>
        <v>0</v>
      </c>
      <c r="AE113" s="12">
        <f>$I$51*$AE$51</f>
        <v>0</v>
      </c>
      <c r="AF113" s="12">
        <f ca="1">$I$51*$AF$51</f>
        <v>0</v>
      </c>
      <c r="AG113" s="12">
        <f ca="1">$I$51*$AG$51</f>
        <v>0</v>
      </c>
      <c r="AI113" s="12">
        <f>$I$51*$AI$51</f>
        <v>0</v>
      </c>
      <c r="AJ113" s="12">
        <f>$I$51*$AJ$51</f>
        <v>0</v>
      </c>
      <c r="AK113" s="12">
        <f>$I$51*$AK$51</f>
        <v>0</v>
      </c>
      <c r="AL113" s="12">
        <f>$I$51*$AL$51</f>
        <v>0</v>
      </c>
      <c r="AM113" s="12">
        <f>$I$51*$AM$51</f>
        <v>0</v>
      </c>
      <c r="AN113" s="12">
        <f>$I$51*$AN$51</f>
        <v>0</v>
      </c>
      <c r="AO113" s="12">
        <f>$I$51*$AO$51</f>
        <v>0</v>
      </c>
      <c r="AP113" s="12">
        <f>$I$51*$AP$51</f>
        <v>0</v>
      </c>
      <c r="AQ113" s="12">
        <f>$I$51*$AQ$51</f>
        <v>0</v>
      </c>
      <c r="AR113" s="12">
        <f>$I$51*$AR$51</f>
        <v>0</v>
      </c>
      <c r="AS113" s="12">
        <f>$I$51*$AS$51</f>
        <v>0</v>
      </c>
      <c r="AT113" s="12">
        <f>$I$51*$AT$51</f>
        <v>0</v>
      </c>
      <c r="AU113" s="12">
        <f>$I$51*$AU$51</f>
        <v>0</v>
      </c>
      <c r="AV113" s="12">
        <f>$I$51*$AV$51</f>
        <v>0</v>
      </c>
      <c r="AW113" s="12">
        <f>$I$51*$AW$51</f>
        <v>0</v>
      </c>
      <c r="AX113" s="12">
        <f>$I$51*$AX$51</f>
        <v>0</v>
      </c>
      <c r="AY113" s="12">
        <f>$I$51*$AY$51</f>
        <v>0</v>
      </c>
      <c r="AZ113" s="12">
        <f>$I$51*$AZ$51</f>
        <v>0</v>
      </c>
      <c r="BA113" s="12">
        <f>$I$51*$BA$51</f>
        <v>0</v>
      </c>
      <c r="BB113" s="12">
        <f>$I$51*$BB$51</f>
        <v>0</v>
      </c>
      <c r="BC113" s="12">
        <f>$I$51*$BC$51</f>
        <v>0</v>
      </c>
      <c r="BD113" s="12">
        <f>$I$51*$BD$51</f>
        <v>0</v>
      </c>
    </row>
    <row r="114" spans="1:56" ht="11.25" customHeight="1" x14ac:dyDescent="0.25">
      <c r="A114" s="9" t="s">
        <v>44</v>
      </c>
      <c r="B114" s="9" t="s">
        <v>1037</v>
      </c>
      <c r="C114" s="9" t="s">
        <v>1038</v>
      </c>
      <c r="D114" s="9" t="s">
        <v>1039</v>
      </c>
      <c r="E114" s="9" t="s">
        <v>1040</v>
      </c>
      <c r="F114" s="9" t="s">
        <v>1041</v>
      </c>
      <c r="G114" s="9" t="s">
        <v>1042</v>
      </c>
      <c r="L114" s="12">
        <f>$I$52*$L$52</f>
        <v>0</v>
      </c>
      <c r="M114" s="12">
        <f>$I$52*$M$52</f>
        <v>0</v>
      </c>
      <c r="N114" s="12">
        <f ca="1">$I$52*$N$52</f>
        <v>0</v>
      </c>
      <c r="O114" s="12">
        <f>$I$52*$O$52</f>
        <v>0</v>
      </c>
      <c r="P114" s="12">
        <f>$I$52*$P$52</f>
        <v>0</v>
      </c>
      <c r="Q114" s="12">
        <f>$I$52*$Q$52</f>
        <v>0</v>
      </c>
      <c r="R114" s="12">
        <f>$I$52*$R$52</f>
        <v>0</v>
      </c>
      <c r="S114" s="12">
        <f>$I$52*$S$52</f>
        <v>0</v>
      </c>
      <c r="T114" s="12">
        <f>$I$52*$T$52</f>
        <v>0</v>
      </c>
      <c r="U114" s="12">
        <f>$I$52*$U$52</f>
        <v>0</v>
      </c>
      <c r="V114" s="12">
        <f>$I$52*$V$52</f>
        <v>0</v>
      </c>
      <c r="W114" s="12">
        <f>$I$52*$W$52</f>
        <v>0</v>
      </c>
      <c r="X114" s="12">
        <f>$I$52*$X$52</f>
        <v>0</v>
      </c>
      <c r="Y114" s="12">
        <f>$I$52*$Y$52</f>
        <v>0</v>
      </c>
      <c r="Z114" s="12">
        <f>$I$52*$Z$52</f>
        <v>0</v>
      </c>
      <c r="AA114" s="12">
        <f>$I$52*$AA$52</f>
        <v>0</v>
      </c>
      <c r="AB114" s="12">
        <f ca="1">$I$52*$AB$52</f>
        <v>0</v>
      </c>
      <c r="AC114" s="12">
        <f ca="1">$I$52*$AC$52</f>
        <v>0</v>
      </c>
      <c r="AD114" s="12">
        <f>$I$52*$AD$52</f>
        <v>0</v>
      </c>
      <c r="AE114" s="12">
        <f>$I$52*$AE$52</f>
        <v>0</v>
      </c>
      <c r="AF114" s="12">
        <f ca="1">$I$52*$AF$52</f>
        <v>0</v>
      </c>
      <c r="AG114" s="12">
        <f ca="1">$I$52*$AG$52</f>
        <v>0</v>
      </c>
      <c r="AI114" s="12">
        <f>$I$52*$AI$52</f>
        <v>0</v>
      </c>
      <c r="AJ114" s="12">
        <f>$I$52*$AJ$52</f>
        <v>0</v>
      </c>
      <c r="AK114" s="12">
        <f>$I$52*$AK$52</f>
        <v>0</v>
      </c>
      <c r="AL114" s="12">
        <f>$I$52*$AL$52</f>
        <v>0</v>
      </c>
      <c r="AM114" s="12">
        <f>$I$52*$AM$52</f>
        <v>0</v>
      </c>
      <c r="AN114" s="12">
        <f>$I$52*$AN$52</f>
        <v>0</v>
      </c>
      <c r="AO114" s="12">
        <f>$I$52*$AO$52</f>
        <v>0</v>
      </c>
      <c r="AP114" s="12">
        <f>$I$52*$AP$52</f>
        <v>0</v>
      </c>
      <c r="AQ114" s="12">
        <f>$I$52*$AQ$52</f>
        <v>0</v>
      </c>
      <c r="AR114" s="12">
        <f>$I$52*$AR$52</f>
        <v>0</v>
      </c>
      <c r="AS114" s="12">
        <f>$I$52*$AS$52</f>
        <v>0</v>
      </c>
      <c r="AT114" s="12">
        <f>$I$52*$AT$52</f>
        <v>0</v>
      </c>
      <c r="AU114" s="12">
        <f>$I$52*$AU$52</f>
        <v>0</v>
      </c>
      <c r="AV114" s="12">
        <f>$I$52*$AV$52</f>
        <v>0</v>
      </c>
      <c r="AW114" s="12">
        <f>$I$52*$AW$52</f>
        <v>0</v>
      </c>
      <c r="AX114" s="12">
        <f>$I$52*$AX$52</f>
        <v>0</v>
      </c>
      <c r="AY114" s="12">
        <f>$I$52*$AY$52</f>
        <v>0</v>
      </c>
      <c r="AZ114" s="12">
        <f>$I$52*$AZ$52</f>
        <v>0</v>
      </c>
      <c r="BA114" s="12">
        <f>$I$52*$BA$52</f>
        <v>0</v>
      </c>
      <c r="BB114" s="12">
        <f>$I$52*$BB$52</f>
        <v>0</v>
      </c>
      <c r="BC114" s="12">
        <f>$I$52*$BC$52</f>
        <v>0</v>
      </c>
      <c r="BD114" s="12">
        <f>$I$52*$BD$52</f>
        <v>0</v>
      </c>
    </row>
    <row r="115" spans="1:56" ht="11.25" customHeight="1" x14ac:dyDescent="0.25">
      <c r="A115" s="9" t="s">
        <v>44</v>
      </c>
      <c r="B115" s="9" t="s">
        <v>1037</v>
      </c>
      <c r="C115" s="9" t="s">
        <v>1038</v>
      </c>
      <c r="D115" s="9" t="s">
        <v>1043</v>
      </c>
      <c r="E115" s="9" t="s">
        <v>1044</v>
      </c>
      <c r="F115" s="9" t="s">
        <v>1045</v>
      </c>
      <c r="G115" s="9" t="s">
        <v>1046</v>
      </c>
      <c r="L115" s="12">
        <f>$I$53*$L$53</f>
        <v>0</v>
      </c>
      <c r="M115" s="12">
        <f>$I$53*$M$53</f>
        <v>0</v>
      </c>
      <c r="N115" s="12">
        <f ca="1">$I$53*$N$53</f>
        <v>0</v>
      </c>
      <c r="O115" s="12">
        <f>$I$53*$O$53</f>
        <v>0</v>
      </c>
      <c r="P115" s="12">
        <f>$I$53*$P$53</f>
        <v>0</v>
      </c>
      <c r="Q115" s="12">
        <f>$I$53*$Q$53</f>
        <v>0</v>
      </c>
      <c r="R115" s="12">
        <f>$I$53*$R$53</f>
        <v>0</v>
      </c>
      <c r="S115" s="12">
        <f>$I$53*$S$53</f>
        <v>0</v>
      </c>
      <c r="T115" s="12">
        <f>$I$53*$T$53</f>
        <v>0</v>
      </c>
      <c r="U115" s="12">
        <f>$I$53*$U$53</f>
        <v>0</v>
      </c>
      <c r="V115" s="12">
        <f>$I$53*$V$53</f>
        <v>0</v>
      </c>
      <c r="W115" s="12">
        <f>$I$53*$W$53</f>
        <v>0</v>
      </c>
      <c r="X115" s="12">
        <f>$I$53*$X$53</f>
        <v>0</v>
      </c>
      <c r="Y115" s="12">
        <f>$I$53*$Y$53</f>
        <v>0</v>
      </c>
      <c r="Z115" s="12">
        <f>$I$53*$Z$53</f>
        <v>0</v>
      </c>
      <c r="AA115" s="12">
        <f>$I$53*$AA$53</f>
        <v>0</v>
      </c>
      <c r="AB115" s="12">
        <f ca="1">$I$53*$AB$53</f>
        <v>0</v>
      </c>
      <c r="AC115" s="12">
        <f ca="1">$I$53*$AC$53</f>
        <v>0</v>
      </c>
      <c r="AD115" s="12">
        <f>$I$53*$AD$53</f>
        <v>0</v>
      </c>
      <c r="AE115" s="12">
        <f>$I$53*$AE$53</f>
        <v>0</v>
      </c>
      <c r="AF115" s="12">
        <f ca="1">$I$53*$AF$53</f>
        <v>0</v>
      </c>
      <c r="AG115" s="12">
        <f ca="1">$I$53*$AG$53</f>
        <v>0</v>
      </c>
      <c r="AI115" s="12">
        <f>$I$53*$AI$53</f>
        <v>0</v>
      </c>
      <c r="AJ115" s="12">
        <f>$I$53*$AJ$53</f>
        <v>0</v>
      </c>
      <c r="AK115" s="12">
        <f>$I$53*$AK$53</f>
        <v>0</v>
      </c>
      <c r="AL115" s="12">
        <f>$I$53*$AL$53</f>
        <v>0</v>
      </c>
      <c r="AM115" s="12">
        <f>$I$53*$AM$53</f>
        <v>0</v>
      </c>
      <c r="AN115" s="12">
        <f>$I$53*$AN$53</f>
        <v>0</v>
      </c>
      <c r="AO115" s="12">
        <f>$I$53*$AO$53</f>
        <v>0</v>
      </c>
      <c r="AP115" s="12">
        <f>$I$53*$AP$53</f>
        <v>0</v>
      </c>
      <c r="AQ115" s="12">
        <f>$I$53*$AQ$53</f>
        <v>0</v>
      </c>
      <c r="AR115" s="12">
        <f>$I$53*$AR$53</f>
        <v>0</v>
      </c>
      <c r="AS115" s="12">
        <f>$I$53*$AS$53</f>
        <v>0</v>
      </c>
      <c r="AT115" s="12">
        <f>$I$53*$AT$53</f>
        <v>0</v>
      </c>
      <c r="AU115" s="12">
        <f>$I$53*$AU$53</f>
        <v>0</v>
      </c>
      <c r="AV115" s="12">
        <f>$I$53*$AV$53</f>
        <v>0</v>
      </c>
      <c r="AW115" s="12">
        <f>$I$53*$AW$53</f>
        <v>0</v>
      </c>
      <c r="AX115" s="12">
        <f>$I$53*$AX$53</f>
        <v>0</v>
      </c>
      <c r="AY115" s="12">
        <f>$I$53*$AY$53</f>
        <v>0</v>
      </c>
      <c r="AZ115" s="12">
        <f>$I$53*$AZ$53</f>
        <v>0</v>
      </c>
      <c r="BA115" s="12">
        <f>$I$53*$BA$53</f>
        <v>0</v>
      </c>
      <c r="BB115" s="12">
        <f>$I$53*$BB$53</f>
        <v>0</v>
      </c>
      <c r="BC115" s="12">
        <f>$I$53*$BC$53</f>
        <v>0</v>
      </c>
      <c r="BD115" s="12">
        <f>$I$53*$BD$53</f>
        <v>0</v>
      </c>
    </row>
    <row r="116" spans="1:56" ht="11.25" customHeight="1" x14ac:dyDescent="0.25">
      <c r="A116" s="9" t="s">
        <v>44</v>
      </c>
      <c r="B116" s="9" t="s">
        <v>1037</v>
      </c>
      <c r="C116" s="9" t="s">
        <v>1038</v>
      </c>
      <c r="D116" s="9" t="s">
        <v>1047</v>
      </c>
      <c r="E116" s="9" t="s">
        <v>1048</v>
      </c>
      <c r="F116" s="9" t="s">
        <v>1049</v>
      </c>
      <c r="G116" s="9" t="s">
        <v>1050</v>
      </c>
      <c r="L116" s="12">
        <f>$I$54*$L$54</f>
        <v>0</v>
      </c>
      <c r="M116" s="12">
        <f>$I$54*$M$54</f>
        <v>0</v>
      </c>
      <c r="N116" s="12">
        <f ca="1">$I$54*$N$54</f>
        <v>0</v>
      </c>
      <c r="O116" s="12">
        <f>$I$54*$O$54</f>
        <v>0</v>
      </c>
      <c r="P116" s="12">
        <f>$I$54*$P$54</f>
        <v>0</v>
      </c>
      <c r="Q116" s="12">
        <f>$I$54*$Q$54</f>
        <v>0</v>
      </c>
      <c r="R116" s="12">
        <f>$I$54*$R$54</f>
        <v>0</v>
      </c>
      <c r="S116" s="12">
        <f>$I$54*$S$54</f>
        <v>0</v>
      </c>
      <c r="T116" s="12">
        <f>$I$54*$T$54</f>
        <v>0</v>
      </c>
      <c r="U116" s="12">
        <f>$I$54*$U$54</f>
        <v>0</v>
      </c>
      <c r="V116" s="12">
        <f>$I$54*$V$54</f>
        <v>0</v>
      </c>
      <c r="W116" s="12">
        <f>$I$54*$W$54</f>
        <v>0</v>
      </c>
      <c r="X116" s="12">
        <f>$I$54*$X$54</f>
        <v>0</v>
      </c>
      <c r="Y116" s="12">
        <f>$I$54*$Y$54</f>
        <v>0</v>
      </c>
      <c r="Z116" s="12">
        <f>$I$54*$Z$54</f>
        <v>0</v>
      </c>
      <c r="AA116" s="12">
        <f>$I$54*$AA$54</f>
        <v>0</v>
      </c>
      <c r="AB116" s="12">
        <f ca="1">$I$54*$AB$54</f>
        <v>0</v>
      </c>
      <c r="AC116" s="12">
        <f ca="1">$I$54*$AC$54</f>
        <v>0</v>
      </c>
      <c r="AD116" s="12">
        <f>$I$54*$AD$54</f>
        <v>0</v>
      </c>
      <c r="AE116" s="12">
        <f>$I$54*$AE$54</f>
        <v>0</v>
      </c>
      <c r="AF116" s="12">
        <f ca="1">$I$54*$AF$54</f>
        <v>0</v>
      </c>
      <c r="AG116" s="12">
        <f ca="1">$I$54*$AG$54</f>
        <v>0</v>
      </c>
      <c r="AI116" s="12">
        <f>$I$54*$AI$54</f>
        <v>0</v>
      </c>
      <c r="AJ116" s="12">
        <f>$I$54*$AJ$54</f>
        <v>0</v>
      </c>
      <c r="AK116" s="12">
        <f>$I$54*$AK$54</f>
        <v>0</v>
      </c>
      <c r="AL116" s="12">
        <f>$I$54*$AL$54</f>
        <v>0</v>
      </c>
      <c r="AM116" s="12">
        <f>$I$54*$AM$54</f>
        <v>0</v>
      </c>
      <c r="AN116" s="12">
        <f>$I$54*$AN$54</f>
        <v>0</v>
      </c>
      <c r="AO116" s="12">
        <f>$I$54*$AO$54</f>
        <v>0</v>
      </c>
      <c r="AP116" s="12">
        <f>$I$54*$AP$54</f>
        <v>0</v>
      </c>
      <c r="AQ116" s="12">
        <f>$I$54*$AQ$54</f>
        <v>0</v>
      </c>
      <c r="AR116" s="12">
        <f>$I$54*$AR$54</f>
        <v>0</v>
      </c>
      <c r="AS116" s="12">
        <f>$I$54*$AS$54</f>
        <v>0</v>
      </c>
      <c r="AT116" s="12">
        <f>$I$54*$AT$54</f>
        <v>0</v>
      </c>
      <c r="AU116" s="12">
        <f>$I$54*$AU$54</f>
        <v>0</v>
      </c>
      <c r="AV116" s="12">
        <f>$I$54*$AV$54</f>
        <v>0</v>
      </c>
      <c r="AW116" s="12">
        <f>$I$54*$AW$54</f>
        <v>0</v>
      </c>
      <c r="AX116" s="12">
        <f>$I$54*$AX$54</f>
        <v>0</v>
      </c>
      <c r="AY116" s="12">
        <f>$I$54*$AY$54</f>
        <v>0</v>
      </c>
      <c r="AZ116" s="12">
        <f>$I$54*$AZ$54</f>
        <v>0</v>
      </c>
      <c r="BA116" s="12">
        <f>$I$54*$BA$54</f>
        <v>0</v>
      </c>
      <c r="BB116" s="12">
        <f>$I$54*$BB$54</f>
        <v>0</v>
      </c>
      <c r="BC116" s="12">
        <f>$I$54*$BC$54</f>
        <v>0</v>
      </c>
      <c r="BD116" s="12">
        <f>$I$54*$BD$54</f>
        <v>0</v>
      </c>
    </row>
    <row r="117" spans="1:56" ht="11.25" customHeight="1" x14ac:dyDescent="0.25">
      <c r="A117" s="9" t="s">
        <v>39</v>
      </c>
      <c r="B117" s="9" t="s">
        <v>1051</v>
      </c>
      <c r="C117" s="9" t="s">
        <v>1052</v>
      </c>
      <c r="D117" s="9" t="s">
        <v>1053</v>
      </c>
      <c r="E117" s="9" t="s">
        <v>1054</v>
      </c>
      <c r="F117" s="9" t="s">
        <v>1055</v>
      </c>
      <c r="G117" s="9" t="s">
        <v>1056</v>
      </c>
      <c r="L117" s="12">
        <f>$I$55*$L$55</f>
        <v>57.483132878433686</v>
      </c>
      <c r="M117" s="12">
        <f>$I$55*$M$55</f>
        <v>25.143401642705872</v>
      </c>
      <c r="N117" s="12">
        <f ca="1">$I$55*$N$55</f>
        <v>519.41010528252582</v>
      </c>
      <c r="O117" s="12">
        <f>$I$55*$O$55</f>
        <v>0</v>
      </c>
      <c r="P117" s="12">
        <f>$I$55*$P$55</f>
        <v>0</v>
      </c>
      <c r="Q117" s="12">
        <f>$I$55*$Q$55</f>
        <v>4404.1774896355319</v>
      </c>
      <c r="R117" s="12">
        <f>$I$55*$R$55</f>
        <v>745.84819163478221</v>
      </c>
      <c r="S117" s="12">
        <f>$I$55*$S$55</f>
        <v>0</v>
      </c>
      <c r="T117" s="12">
        <f>$I$55*$T$55</f>
        <v>0</v>
      </c>
      <c r="U117" s="12">
        <f>$I$55*$U$55</f>
        <v>0</v>
      </c>
      <c r="V117" s="12">
        <f>$I$55*$V$55</f>
        <v>0</v>
      </c>
      <c r="W117" s="12">
        <f>$I$55*$W$55</f>
        <v>0</v>
      </c>
      <c r="X117" s="12">
        <f>$I$55*$X$55</f>
        <v>12518.634616984809</v>
      </c>
      <c r="Y117" s="12">
        <f>$I$55*$Y$55</f>
        <v>0</v>
      </c>
      <c r="Z117" s="12">
        <f>$I$55*$Z$55</f>
        <v>0</v>
      </c>
      <c r="AA117" s="12">
        <f>$I$55*$AA$55</f>
        <v>20339.206877435226</v>
      </c>
      <c r="AB117" s="12">
        <f ca="1">$I$55*$AB$55</f>
        <v>0</v>
      </c>
      <c r="AC117" s="12">
        <f ca="1">$I$55*$AC$55</f>
        <v>0</v>
      </c>
      <c r="AD117" s="12">
        <f>$I$55*$AD$55</f>
        <v>755.28917868523934</v>
      </c>
      <c r="AE117" s="12">
        <f>$I$55*$AE$55</f>
        <v>27.756406211224427</v>
      </c>
      <c r="AF117" s="12">
        <f ca="1">$I$55*$AF$55</f>
        <v>82.430607600154659</v>
      </c>
      <c r="AG117" s="12">
        <f ca="1">$I$55*$AG$55</f>
        <v>15.00820293711727</v>
      </c>
      <c r="AI117" s="12">
        <f>$I$55*$AI$55</f>
        <v>144.44334146816885</v>
      </c>
      <c r="AJ117" s="12">
        <f>$I$55*$AJ$55</f>
        <v>23.373632150459407</v>
      </c>
      <c r="AK117" s="12">
        <f>$I$55*$AK$55</f>
        <v>466.22998586469578</v>
      </c>
      <c r="AL117" s="12">
        <f>$I$55*$AL$55</f>
        <v>0</v>
      </c>
      <c r="AM117" s="12">
        <f>$I$55*$AM$55</f>
        <v>0</v>
      </c>
      <c r="AN117" s="12">
        <f>$I$55*$AN$55</f>
        <v>2480.7038179627107</v>
      </c>
      <c r="AO117" s="12">
        <f>$I$55*$AO$55</f>
        <v>386.20662560457765</v>
      </c>
      <c r="AP117" s="12">
        <f>$I$55*$AP$55</f>
        <v>0</v>
      </c>
      <c r="AQ117" s="12">
        <f>$I$55*$AQ$55</f>
        <v>0</v>
      </c>
      <c r="AR117" s="12">
        <f>$I$55*$AR$55</f>
        <v>0</v>
      </c>
      <c r="AS117" s="12">
        <f>$I$55*$AS$55</f>
        <v>0</v>
      </c>
      <c r="AT117" s="12">
        <f>$I$55*$AT$55</f>
        <v>0</v>
      </c>
      <c r="AU117" s="12">
        <f>$I$55*$AU$55</f>
        <v>12899.090480811707</v>
      </c>
      <c r="AV117" s="12">
        <f>$I$55*$AV$55</f>
        <v>0</v>
      </c>
      <c r="AW117" s="12">
        <f>$I$55*$AW$55</f>
        <v>0</v>
      </c>
      <c r="AX117" s="12">
        <f>$I$55*$AX$55</f>
        <v>19281.277947376038</v>
      </c>
      <c r="AY117" s="12">
        <f>$I$55*$AY$55</f>
        <v>0</v>
      </c>
      <c r="AZ117" s="12">
        <f>$I$55*$AZ$55</f>
        <v>0</v>
      </c>
      <c r="BA117" s="12">
        <f>$I$55*$BA$55</f>
        <v>823.57953503851195</v>
      </c>
      <c r="BB117" s="12">
        <f>$I$55*$BB$55</f>
        <v>25.946556568018099</v>
      </c>
      <c r="BC117" s="12">
        <f>$I$55*$BC$55</f>
        <v>100.22838087798063</v>
      </c>
      <c r="BD117" s="12">
        <f>$I$55*$BD$55</f>
        <v>17.6244022814919</v>
      </c>
    </row>
    <row r="118" spans="1:56" ht="11.25" customHeight="1" x14ac:dyDescent="0.25">
      <c r="A118" s="9" t="s">
        <v>39</v>
      </c>
      <c r="B118" s="9" t="s">
        <v>1051</v>
      </c>
      <c r="C118" s="9" t="s">
        <v>1052</v>
      </c>
      <c r="D118" s="9" t="s">
        <v>1053</v>
      </c>
      <c r="E118" s="9" t="s">
        <v>1054</v>
      </c>
      <c r="F118" s="9" t="s">
        <v>1055</v>
      </c>
      <c r="G118" s="9" t="s">
        <v>1057</v>
      </c>
      <c r="L118" s="12">
        <f>$I$56*$L$56</f>
        <v>38.338486759255105</v>
      </c>
      <c r="M118" s="12">
        <f>$I$56*$M$56</f>
        <v>16.769440402632735</v>
      </c>
      <c r="N118" s="12">
        <f ca="1">$I$56*$N$56</f>
        <v>85.944917575003672</v>
      </c>
      <c r="O118" s="12">
        <f>$I$56*$O$56</f>
        <v>0</v>
      </c>
      <c r="P118" s="12">
        <f>$I$56*$P$56</f>
        <v>0</v>
      </c>
      <c r="Q118" s="12">
        <f>$I$56*$Q$56</f>
        <v>2937.3747030957243</v>
      </c>
      <c r="R118" s="12">
        <f>$I$56*$R$56</f>
        <v>497.44489535525145</v>
      </c>
      <c r="S118" s="12">
        <f>$I$56*$S$56</f>
        <v>0</v>
      </c>
      <c r="T118" s="12">
        <f>$I$56*$T$56</f>
        <v>0</v>
      </c>
      <c r="U118" s="12">
        <f>$I$56*$U$56</f>
        <v>0</v>
      </c>
      <c r="V118" s="12">
        <f>$I$56*$V$56</f>
        <v>0</v>
      </c>
      <c r="W118" s="12">
        <f>$I$56*$W$56</f>
        <v>0</v>
      </c>
      <c r="X118" s="12">
        <f>$I$56*$X$56</f>
        <v>1669.8655187156262</v>
      </c>
      <c r="Y118" s="12">
        <f>$I$56*$Y$56</f>
        <v>0</v>
      </c>
      <c r="Z118" s="12">
        <f>$I$56*$Z$56</f>
        <v>0</v>
      </c>
      <c r="AA118" s="12">
        <f>$I$56*$AA$56</f>
        <v>2713.0540054443422</v>
      </c>
      <c r="AB118" s="12">
        <f ca="1">$I$56*$AB$56</f>
        <v>0</v>
      </c>
      <c r="AC118" s="12">
        <f ca="1">$I$56*$AC$56</f>
        <v>0</v>
      </c>
      <c r="AD118" s="12">
        <f>$I$56*$AD$56</f>
        <v>503.74157994608117</v>
      </c>
      <c r="AE118" s="12">
        <f>$I$56*$AE$56</f>
        <v>18.512188858321142</v>
      </c>
      <c r="AF118" s="12">
        <f ca="1">$I$56*$AF$56</f>
        <v>54.977253322627078</v>
      </c>
      <c r="AG118" s="12">
        <f ca="1">$I$56*$AG$56</f>
        <v>10.009750004435777</v>
      </c>
      <c r="AI118" s="12">
        <f>$I$56*$AI$56</f>
        <v>96.336766231083132</v>
      </c>
      <c r="AJ118" s="12">
        <f>$I$56*$AJ$56</f>
        <v>15.589089213547137</v>
      </c>
      <c r="AK118" s="12">
        <f>$I$56*$AK$56</f>
        <v>76.86077235006492</v>
      </c>
      <c r="AL118" s="12">
        <f>$I$56*$AL$56</f>
        <v>0</v>
      </c>
      <c r="AM118" s="12">
        <f>$I$56*$AM$56</f>
        <v>0</v>
      </c>
      <c r="AN118" s="12">
        <f>$I$56*$AN$56</f>
        <v>1654.5102139740657</v>
      </c>
      <c r="AO118" s="12">
        <f>$I$56*$AO$56</f>
        <v>257.58125663385289</v>
      </c>
      <c r="AP118" s="12">
        <f>$I$56*$AP$56</f>
        <v>0</v>
      </c>
      <c r="AQ118" s="12">
        <f>$I$56*$AQ$56</f>
        <v>0</v>
      </c>
      <c r="AR118" s="12">
        <f>$I$56*$AR$56</f>
        <v>0</v>
      </c>
      <c r="AS118" s="12">
        <f>$I$56*$AS$56</f>
        <v>0</v>
      </c>
      <c r="AT118" s="12">
        <f>$I$56*$AT$56</f>
        <v>0</v>
      </c>
      <c r="AU118" s="12">
        <f>$I$56*$AU$56</f>
        <v>1720.6146737022041</v>
      </c>
      <c r="AV118" s="12">
        <f>$I$56*$AV$56</f>
        <v>0</v>
      </c>
      <c r="AW118" s="12">
        <f>$I$56*$AW$56</f>
        <v>0</v>
      </c>
      <c r="AX118" s="12">
        <f>$I$56*$AX$56</f>
        <v>2571.9364909577384</v>
      </c>
      <c r="AY118" s="12">
        <f>$I$56*$AY$56</f>
        <v>0</v>
      </c>
      <c r="AZ118" s="12">
        <f>$I$56*$AZ$56</f>
        <v>0</v>
      </c>
      <c r="BA118" s="12">
        <f>$I$56*$BA$56</f>
        <v>549.28796532440879</v>
      </c>
      <c r="BB118" s="12">
        <f>$I$56*$BB$56</f>
        <v>17.305106134958638</v>
      </c>
      <c r="BC118" s="12">
        <f>$I$56*$BC$56</f>
        <v>66.847512666340634</v>
      </c>
      <c r="BD118" s="12">
        <f>$I$56*$BD$56</f>
        <v>11.754629222066402</v>
      </c>
    </row>
    <row r="119" spans="1:56" ht="11.25" customHeight="1" x14ac:dyDescent="0.25">
      <c r="A119" s="9" t="s">
        <v>39</v>
      </c>
      <c r="B119" s="9" t="s">
        <v>1051</v>
      </c>
      <c r="C119" s="9" t="s">
        <v>1052</v>
      </c>
      <c r="D119" s="9" t="s">
        <v>1053</v>
      </c>
      <c r="E119" s="9" t="s">
        <v>1054</v>
      </c>
      <c r="F119" s="9" t="s">
        <v>1055</v>
      </c>
      <c r="G119" s="9" t="s">
        <v>1058</v>
      </c>
      <c r="L119" s="12">
        <f>$I$57*$L$57</f>
        <v>587.24164386707957</v>
      </c>
      <c r="M119" s="12">
        <f>$I$57*$M$57</f>
        <v>256.86234854837562</v>
      </c>
      <c r="N119" s="12">
        <f ca="1">$I$57*$N$57</f>
        <v>1316.4430561824927</v>
      </c>
      <c r="O119" s="12">
        <f>$I$57*$O$57</f>
        <v>0</v>
      </c>
      <c r="P119" s="12">
        <f>$I$57*$P$57</f>
        <v>0</v>
      </c>
      <c r="Q119" s="12">
        <f>$I$57*$Q$57</f>
        <v>44992.614344203263</v>
      </c>
      <c r="R119" s="12">
        <f>$I$57*$R$57</f>
        <v>7619.5067352569922</v>
      </c>
      <c r="S119" s="12">
        <f>$I$57*$S$57</f>
        <v>0</v>
      </c>
      <c r="T119" s="12">
        <f>$I$57*$T$57</f>
        <v>0</v>
      </c>
      <c r="U119" s="12">
        <f>$I$57*$U$57</f>
        <v>0</v>
      </c>
      <c r="V119" s="12">
        <f>$I$57*$V$57</f>
        <v>0</v>
      </c>
      <c r="W119" s="12">
        <f>$I$57*$W$57</f>
        <v>0</v>
      </c>
      <c r="X119" s="12">
        <f>$I$57*$X$57</f>
        <v>25577.811101550393</v>
      </c>
      <c r="Y119" s="12">
        <f>$I$57*$Y$57</f>
        <v>0</v>
      </c>
      <c r="Z119" s="12">
        <f>$I$57*$Z$57</f>
        <v>0</v>
      </c>
      <c r="AA119" s="12">
        <f>$I$57*$AA$57</f>
        <v>41556.629609870804</v>
      </c>
      <c r="AB119" s="12">
        <f ca="1">$I$57*$AB$57</f>
        <v>0</v>
      </c>
      <c r="AC119" s="12">
        <f ca="1">$I$57*$AC$57</f>
        <v>0</v>
      </c>
      <c r="AD119" s="12">
        <f>$I$57*$AD$57</f>
        <v>7715.9548666934452</v>
      </c>
      <c r="AE119" s="12">
        <f>$I$57*$AE$57</f>
        <v>283.5565285871383</v>
      </c>
      <c r="AF119" s="12">
        <f ca="1">$I$57*$AF$57</f>
        <v>842.10242358307596</v>
      </c>
      <c r="AG119" s="12">
        <f ca="1">$I$57*$AG$57</f>
        <v>153.32222380645632</v>
      </c>
      <c r="AI119" s="12">
        <f>$I$57*$AI$57</f>
        <v>1475.6179950874778</v>
      </c>
      <c r="AJ119" s="12">
        <f>$I$57*$AJ$57</f>
        <v>238.78256942272304</v>
      </c>
      <c r="AK119" s="12">
        <f>$I$57*$AK$57</f>
        <v>1177.2985873744608</v>
      </c>
      <c r="AL119" s="12">
        <f>$I$57*$AL$57</f>
        <v>0</v>
      </c>
      <c r="AM119" s="12">
        <f>$I$57*$AM$57</f>
        <v>0</v>
      </c>
      <c r="AN119" s="12">
        <f>$I$57*$AN$57</f>
        <v>25342.609476219233</v>
      </c>
      <c r="AO119" s="12">
        <f>$I$57*$AO$57</f>
        <v>3945.4462959077632</v>
      </c>
      <c r="AP119" s="12">
        <f>$I$57*$AP$57</f>
        <v>0</v>
      </c>
      <c r="AQ119" s="12">
        <f>$I$57*$AQ$57</f>
        <v>0</v>
      </c>
      <c r="AR119" s="12">
        <f>$I$57*$AR$57</f>
        <v>0</v>
      </c>
      <c r="AS119" s="12">
        <f>$I$57*$AS$57</f>
        <v>0</v>
      </c>
      <c r="AT119" s="12">
        <f>$I$57*$AT$57</f>
        <v>0</v>
      </c>
      <c r="AU119" s="12">
        <f>$I$57*$AU$57</f>
        <v>26355.150525151636</v>
      </c>
      <c r="AV119" s="12">
        <f>$I$57*$AV$57</f>
        <v>0</v>
      </c>
      <c r="AW119" s="12">
        <f>$I$57*$AW$57</f>
        <v>0</v>
      </c>
      <c r="AX119" s="12">
        <f>$I$57*$AX$57</f>
        <v>39395.091996090458</v>
      </c>
      <c r="AY119" s="12">
        <f>$I$57*$AY$57</f>
        <v>0</v>
      </c>
      <c r="AZ119" s="12">
        <f>$I$57*$AZ$57</f>
        <v>0</v>
      </c>
      <c r="BA119" s="12">
        <f>$I$57*$BA$57</f>
        <v>8413.6019697136453</v>
      </c>
      <c r="BB119" s="12">
        <f>$I$57*$BB$57</f>
        <v>265.06729485180244</v>
      </c>
      <c r="BC119" s="12">
        <f>$I$57*$BC$57</f>
        <v>1023.9226047994915</v>
      </c>
      <c r="BD119" s="12">
        <f>$I$57*$BD$57</f>
        <v>180.04904133958581</v>
      </c>
    </row>
    <row r="120" spans="1:56" ht="11.25" customHeight="1" x14ac:dyDescent="0.25">
      <c r="A120" s="9" t="s">
        <v>39</v>
      </c>
      <c r="B120" s="9" t="s">
        <v>1059</v>
      </c>
      <c r="C120" s="9" t="s">
        <v>1060</v>
      </c>
      <c r="D120" s="9" t="s">
        <v>1061</v>
      </c>
      <c r="E120" s="9" t="s">
        <v>1062</v>
      </c>
      <c r="F120" s="9" t="s">
        <v>1063</v>
      </c>
      <c r="G120" s="9" t="s">
        <v>1064</v>
      </c>
      <c r="L120" s="12">
        <f>$I$58*$L$58</f>
        <v>38050.637651246376</v>
      </c>
      <c r="M120" s="12">
        <f>$I$58*$M$58</f>
        <v>16643.533804075138</v>
      </c>
      <c r="N120" s="12">
        <f ca="1">$I$58*$N$58</f>
        <v>112998.29753099945</v>
      </c>
      <c r="O120" s="12">
        <f>$I$58*$O$58</f>
        <v>0</v>
      </c>
      <c r="P120" s="12">
        <f>$I$58*$P$58</f>
        <v>0</v>
      </c>
      <c r="Q120" s="12">
        <f>$I$58*$Q$58</f>
        <v>2915320.6065560537</v>
      </c>
      <c r="R120" s="12">
        <f>$I$58*$R$58</f>
        <v>493710.03043190041</v>
      </c>
      <c r="S120" s="12">
        <f>$I$58*$S$58</f>
        <v>0</v>
      </c>
      <c r="T120" s="12">
        <f>$I$58*$T$58</f>
        <v>0</v>
      </c>
      <c r="U120" s="12">
        <f>$I$58*$U$58</f>
        <v>0</v>
      </c>
      <c r="V120" s="12">
        <f>$I$58*$V$58</f>
        <v>0</v>
      </c>
      <c r="W120" s="12">
        <f>$I$58*$W$58</f>
        <v>0</v>
      </c>
      <c r="X120" s="12">
        <f>$I$58*$X$58</f>
        <v>2367611.9665752202</v>
      </c>
      <c r="Y120" s="12">
        <f>$I$58*$Y$58</f>
        <v>0</v>
      </c>
      <c r="Z120" s="12">
        <f>$I$58*$Z$58</f>
        <v>0</v>
      </c>
      <c r="AA120" s="12">
        <f>$I$58*$AA$58</f>
        <v>3846690.6578982007</v>
      </c>
      <c r="AB120" s="12">
        <f ca="1">$I$58*$AB$58</f>
        <v>0</v>
      </c>
      <c r="AC120" s="12">
        <f ca="1">$I$58*$AC$58</f>
        <v>0</v>
      </c>
      <c r="AD120" s="12">
        <f>$I$58*$AD$58</f>
        <v>499959.43889902008</v>
      </c>
      <c r="AE120" s="12">
        <f>$I$58*$AE$58</f>
        <v>18373.197533921244</v>
      </c>
      <c r="AF120" s="12">
        <f ca="1">$I$58*$AF$58</f>
        <v>54564.47872802554</v>
      </c>
      <c r="AG120" s="12">
        <f ca="1">$I$58*$AG$58</f>
        <v>9934.5958224707938</v>
      </c>
      <c r="AI120" s="12">
        <f>$I$58*$AI$58</f>
        <v>95613.460368694912</v>
      </c>
      <c r="AJ120" s="12">
        <f>$I$58*$AJ$58</f>
        <v>15472.044807152961</v>
      </c>
      <c r="AK120" s="12">
        <f>$I$58*$AK$58</f>
        <v>101176.67882718735</v>
      </c>
      <c r="AL120" s="12">
        <f>$I$58*$AL$58</f>
        <v>0</v>
      </c>
      <c r="AM120" s="12">
        <f>$I$58*$AM$58</f>
        <v>0</v>
      </c>
      <c r="AN120" s="12">
        <f>$I$58*$AN$58</f>
        <v>1642087.9894800645</v>
      </c>
      <c r="AO120" s="12">
        <f>$I$58*$AO$58</f>
        <v>255647.31136816181</v>
      </c>
      <c r="AP120" s="12">
        <f>$I$58*$AP$58</f>
        <v>0</v>
      </c>
      <c r="AQ120" s="12">
        <f>$I$58*$AQ$58</f>
        <v>0</v>
      </c>
      <c r="AR120" s="12">
        <f>$I$58*$AR$58</f>
        <v>0</v>
      </c>
      <c r="AS120" s="12">
        <f>$I$58*$AS$58</f>
        <v>0</v>
      </c>
      <c r="AT120" s="12">
        <f>$I$58*$AT$58</f>
        <v>0</v>
      </c>
      <c r="AU120" s="12">
        <f>$I$58*$AU$58</f>
        <v>2439566.4475158285</v>
      </c>
      <c r="AV120" s="12">
        <f>$I$58*$AV$58</f>
        <v>0</v>
      </c>
      <c r="AW120" s="12">
        <f>$I$58*$AW$58</f>
        <v>0</v>
      </c>
      <c r="AX120" s="12">
        <f>$I$58*$AX$58</f>
        <v>3646607.8642818085</v>
      </c>
      <c r="AY120" s="12">
        <f>$I$58*$AY$58</f>
        <v>0</v>
      </c>
      <c r="AZ120" s="12">
        <f>$I$58*$AZ$58</f>
        <v>0</v>
      </c>
      <c r="BA120" s="12">
        <f>$I$58*$BA$58</f>
        <v>545163.85756159027</v>
      </c>
      <c r="BB120" s="12">
        <f>$I$58*$BB$58</f>
        <v>17175.177705695802</v>
      </c>
      <c r="BC120" s="12">
        <f>$I$58*$BC$58</f>
        <v>66345.615003701067</v>
      </c>
      <c r="BD120" s="12">
        <f>$I$58*$BD$58</f>
        <v>11666.374316290074</v>
      </c>
    </row>
    <row r="121" spans="1:56" ht="11.25" customHeight="1" x14ac:dyDescent="0.25">
      <c r="A121" s="9" t="s">
        <v>39</v>
      </c>
      <c r="B121" s="9" t="s">
        <v>1065</v>
      </c>
      <c r="C121" s="9" t="s">
        <v>1066</v>
      </c>
      <c r="D121" s="9" t="s">
        <v>1067</v>
      </c>
      <c r="E121" s="9" t="s">
        <v>1068</v>
      </c>
      <c r="F121" s="9" t="s">
        <v>1069</v>
      </c>
      <c r="G121" s="9" t="s">
        <v>1070</v>
      </c>
      <c r="L121" s="12">
        <f>$I$59*$L$59</f>
        <v>0</v>
      </c>
      <c r="M121" s="12">
        <f>$I$59*$M$59</f>
        <v>0</v>
      </c>
      <c r="N121" s="12">
        <f ca="1">$I$59*$N$59</f>
        <v>0</v>
      </c>
      <c r="O121" s="12">
        <f>$I$59*$O$59</f>
        <v>0</v>
      </c>
      <c r="P121" s="12">
        <f>$I$59*$P$59</f>
        <v>0</v>
      </c>
      <c r="Q121" s="12">
        <f>$I$59*$Q$59</f>
        <v>0</v>
      </c>
      <c r="R121" s="12">
        <f>$I$59*$R$59</f>
        <v>0</v>
      </c>
      <c r="S121" s="12">
        <f>$I$59*$S$59</f>
        <v>0</v>
      </c>
      <c r="T121" s="12">
        <f>$I$59*$T$59</f>
        <v>0</v>
      </c>
      <c r="U121" s="12">
        <f>$I$59*$U$59</f>
        <v>0</v>
      </c>
      <c r="V121" s="12">
        <f>$I$59*$V$59</f>
        <v>0</v>
      </c>
      <c r="W121" s="12">
        <f>$I$59*$W$59</f>
        <v>0</v>
      </c>
      <c r="X121" s="12">
        <f>$I$59*$X$59</f>
        <v>0</v>
      </c>
      <c r="Y121" s="12">
        <f>$I$59*$Y$59</f>
        <v>0</v>
      </c>
      <c r="Z121" s="12">
        <f>$I$59*$Z$59</f>
        <v>0</v>
      </c>
      <c r="AA121" s="12">
        <f>$I$59*$AA$59</f>
        <v>0</v>
      </c>
      <c r="AB121" s="12">
        <f ca="1">$I$59*$AB$59</f>
        <v>0</v>
      </c>
      <c r="AC121" s="12">
        <f ca="1">$I$59*$AC$59</f>
        <v>0</v>
      </c>
      <c r="AD121" s="12">
        <f>$I$59*$AD$59</f>
        <v>0</v>
      </c>
      <c r="AE121" s="12">
        <f>$I$59*$AE$59</f>
        <v>0</v>
      </c>
      <c r="AF121" s="12">
        <f ca="1">$I$59*$AF$59</f>
        <v>0</v>
      </c>
      <c r="AG121" s="12">
        <f ca="1">$I$59*$AG$59</f>
        <v>0</v>
      </c>
      <c r="AI121" s="12">
        <f>$I$59*$AI$59</f>
        <v>0</v>
      </c>
      <c r="AJ121" s="12">
        <f>$I$59*$AJ$59</f>
        <v>0</v>
      </c>
      <c r="AK121" s="12">
        <f>$I$59*$AK$59</f>
        <v>0</v>
      </c>
      <c r="AL121" s="12">
        <f>$I$59*$AL$59</f>
        <v>0</v>
      </c>
      <c r="AM121" s="12">
        <f>$I$59*$AM$59</f>
        <v>0</v>
      </c>
      <c r="AN121" s="12">
        <f>$I$59*$AN$59</f>
        <v>0</v>
      </c>
      <c r="AO121" s="12">
        <f>$I$59*$AO$59</f>
        <v>0</v>
      </c>
      <c r="AP121" s="12">
        <f>$I$59*$AP$59</f>
        <v>0</v>
      </c>
      <c r="AQ121" s="12">
        <f>$I$59*$AQ$59</f>
        <v>0</v>
      </c>
      <c r="AR121" s="12">
        <f>$I$59*$AR$59</f>
        <v>0</v>
      </c>
      <c r="AS121" s="12">
        <f>$I$59*$AS$59</f>
        <v>0</v>
      </c>
      <c r="AT121" s="12">
        <f>$I$59*$AT$59</f>
        <v>0</v>
      </c>
      <c r="AU121" s="12">
        <f>$I$59*$AU$59</f>
        <v>0</v>
      </c>
      <c r="AV121" s="12">
        <f>$I$59*$AV$59</f>
        <v>0</v>
      </c>
      <c r="AW121" s="12">
        <f>$I$59*$AW$59</f>
        <v>0</v>
      </c>
      <c r="AX121" s="12">
        <f>$I$59*$AX$59</f>
        <v>0</v>
      </c>
      <c r="AY121" s="12">
        <f>$I$59*$AY$59</f>
        <v>0</v>
      </c>
      <c r="AZ121" s="12">
        <f>$I$59*$AZ$59</f>
        <v>0</v>
      </c>
      <c r="BA121" s="12">
        <f>$I$59*$BA$59</f>
        <v>0</v>
      </c>
      <c r="BB121" s="12">
        <f>$I$59*$BB$59</f>
        <v>0</v>
      </c>
      <c r="BC121" s="12">
        <f>$I$59*$BC$59</f>
        <v>0</v>
      </c>
      <c r="BD121" s="12">
        <f>$I$59*$BD$59</f>
        <v>0</v>
      </c>
    </row>
    <row r="122" spans="1:56" ht="11.25" customHeight="1" x14ac:dyDescent="0.25">
      <c r="A122" s="9" t="s">
        <v>47</v>
      </c>
      <c r="B122" s="9" t="s">
        <v>1071</v>
      </c>
      <c r="C122" s="9" t="s">
        <v>1072</v>
      </c>
      <c r="D122" s="9" t="s">
        <v>1073</v>
      </c>
      <c r="E122" s="9" t="s">
        <v>1074</v>
      </c>
      <c r="F122" s="9" t="s">
        <v>1075</v>
      </c>
      <c r="G122" s="9" t="s">
        <v>1076</v>
      </c>
      <c r="L122" s="12">
        <f>$I$60*$L$60</f>
        <v>8921.8628664978987</v>
      </c>
      <c r="M122" s="12">
        <f>$I$60*$M$60</f>
        <v>3902.4661708662984</v>
      </c>
      <c r="N122" s="12">
        <f ca="1">$I$60*$N$60</f>
        <v>26495.096454350278</v>
      </c>
      <c r="O122" s="12">
        <f>$I$60*$O$60</f>
        <v>0</v>
      </c>
      <c r="P122" s="12">
        <f>$I$60*$P$60</f>
        <v>0</v>
      </c>
      <c r="Q122" s="12">
        <f>$I$60*$Q$60</f>
        <v>683565.17181037588</v>
      </c>
      <c r="R122" s="12">
        <f>$I$60*$R$60</f>
        <v>115761.87573255126</v>
      </c>
      <c r="S122" s="12">
        <f>$I$60*$S$60</f>
        <v>0</v>
      </c>
      <c r="T122" s="12">
        <f>$I$60*$T$60</f>
        <v>0</v>
      </c>
      <c r="U122" s="12">
        <f>$I$60*$U$60</f>
        <v>0</v>
      </c>
      <c r="V122" s="12">
        <f>$I$60*$V$60</f>
        <v>0</v>
      </c>
      <c r="W122" s="12">
        <f>$I$60*$W$60</f>
        <v>0</v>
      </c>
      <c r="X122" s="12">
        <f>$I$60*$X$60</f>
        <v>555142.05781441357</v>
      </c>
      <c r="Y122" s="12">
        <f>$I$60*$Y$60</f>
        <v>0</v>
      </c>
      <c r="Z122" s="12">
        <f>$I$60*$Z$60</f>
        <v>0</v>
      </c>
      <c r="AA122" s="12">
        <f>$I$60*$AA$60</f>
        <v>901946.68625959707</v>
      </c>
      <c r="AB122" s="12">
        <f ca="1">$I$60*$AB$60</f>
        <v>0</v>
      </c>
      <c r="AC122" s="12">
        <f ca="1">$I$60*$AC$60</f>
        <v>0</v>
      </c>
      <c r="AD122" s="12">
        <f>$I$60*$AD$60</f>
        <v>117227.19586335716</v>
      </c>
      <c r="AE122" s="12">
        <f>$I$60*$AE$60</f>
        <v>4308.0263284721404</v>
      </c>
      <c r="AF122" s="12">
        <f ca="1">$I$60*$AF$60</f>
        <v>12793.919540989335</v>
      </c>
      <c r="AG122" s="12">
        <f ca="1">$I$60*$AG$60</f>
        <v>2329.3985865507307</v>
      </c>
      <c r="AI122" s="12">
        <f>$I$60*$AI$60</f>
        <v>22418.814355214527</v>
      </c>
      <c r="AJ122" s="12">
        <f>$I$60*$AJ$60</f>
        <v>3627.7831477866966</v>
      </c>
      <c r="AK122" s="12">
        <f>$I$60*$AK$60</f>
        <v>23723.241172918857</v>
      </c>
      <c r="AL122" s="12">
        <f>$I$60*$AL$60</f>
        <v>0</v>
      </c>
      <c r="AM122" s="12">
        <f>$I$60*$AM$60</f>
        <v>0</v>
      </c>
      <c r="AN122" s="12">
        <f>$I$60*$AN$60</f>
        <v>385025.97489018692</v>
      </c>
      <c r="AO122" s="12">
        <f>$I$60*$AO$60</f>
        <v>59942.497550784668</v>
      </c>
      <c r="AP122" s="12">
        <f>$I$60*$AP$60</f>
        <v>0</v>
      </c>
      <c r="AQ122" s="12">
        <f>$I$60*$AQ$60</f>
        <v>0</v>
      </c>
      <c r="AR122" s="12">
        <f>$I$60*$AR$60</f>
        <v>0</v>
      </c>
      <c r="AS122" s="12">
        <f>$I$60*$AS$60</f>
        <v>0</v>
      </c>
      <c r="AT122" s="12">
        <f>$I$60*$AT$60</f>
        <v>0</v>
      </c>
      <c r="AU122" s="12">
        <f>$I$60*$AU$60</f>
        <v>572013.47052150406</v>
      </c>
      <c r="AV122" s="12">
        <f>$I$60*$AV$60</f>
        <v>0</v>
      </c>
      <c r="AW122" s="12">
        <f>$I$60*$AW$60</f>
        <v>0</v>
      </c>
      <c r="AX122" s="12">
        <f>$I$60*$AX$60</f>
        <v>855032.59081255982</v>
      </c>
      <c r="AY122" s="12">
        <f>$I$60*$AY$60</f>
        <v>0</v>
      </c>
      <c r="AZ122" s="12">
        <f>$I$60*$AZ$60</f>
        <v>0</v>
      </c>
      <c r="BA122" s="12">
        <f>$I$60*$BA$60</f>
        <v>127826.43017747627</v>
      </c>
      <c r="BB122" s="12">
        <f>$I$60*$BB$60</f>
        <v>4027.1225308344046</v>
      </c>
      <c r="BC122" s="12">
        <f>$I$60*$BC$60</f>
        <v>15556.2827693401</v>
      </c>
      <c r="BD122" s="12">
        <f>$I$60*$BD$60</f>
        <v>2735.4546000824735</v>
      </c>
    </row>
    <row r="123" spans="1:56" ht="11.25" customHeight="1" x14ac:dyDescent="0.25">
      <c r="A123" s="9" t="s">
        <v>47</v>
      </c>
      <c r="B123" s="9" t="s">
        <v>1071</v>
      </c>
      <c r="C123" s="9" t="s">
        <v>1072</v>
      </c>
      <c r="D123" s="9" t="s">
        <v>1077</v>
      </c>
      <c r="E123" s="9" t="s">
        <v>1078</v>
      </c>
      <c r="F123" s="9" t="s">
        <v>1079</v>
      </c>
      <c r="G123" s="9" t="s">
        <v>1080</v>
      </c>
      <c r="L123" s="12">
        <f>$I$61*$L$61</f>
        <v>0</v>
      </c>
      <c r="M123" s="12">
        <f>$I$61*$M$61</f>
        <v>0</v>
      </c>
      <c r="N123" s="12">
        <f ca="1">$I$61*$N$61</f>
        <v>0</v>
      </c>
      <c r="O123" s="12">
        <f>$I$61*$O$61</f>
        <v>0</v>
      </c>
      <c r="P123" s="12">
        <f>$I$61*$P$61</f>
        <v>0</v>
      </c>
      <c r="Q123" s="12">
        <f>$I$61*$Q$61</f>
        <v>0</v>
      </c>
      <c r="R123" s="12">
        <f>$I$61*$R$61</f>
        <v>0</v>
      </c>
      <c r="S123" s="12">
        <f>$I$61*$S$61</f>
        <v>0</v>
      </c>
      <c r="T123" s="12">
        <f>$I$61*$T$61</f>
        <v>0</v>
      </c>
      <c r="U123" s="12">
        <f>$I$61*$U$61</f>
        <v>0</v>
      </c>
      <c r="V123" s="12">
        <f>$I$61*$V$61</f>
        <v>0</v>
      </c>
      <c r="W123" s="12">
        <f>$I$61*$W$61</f>
        <v>0</v>
      </c>
      <c r="X123" s="12">
        <f>$I$61*$X$61</f>
        <v>0</v>
      </c>
      <c r="Y123" s="12">
        <f>$I$61*$Y$61</f>
        <v>0</v>
      </c>
      <c r="Z123" s="12">
        <f>$I$61*$Z$61</f>
        <v>0</v>
      </c>
      <c r="AA123" s="12">
        <f>$I$61*$AA$61</f>
        <v>0</v>
      </c>
      <c r="AB123" s="12">
        <f ca="1">$I$61*$AB$61</f>
        <v>0</v>
      </c>
      <c r="AC123" s="12">
        <f ca="1">$I$61*$AC$61</f>
        <v>0</v>
      </c>
      <c r="AD123" s="12">
        <f>$I$61*$AD$61</f>
        <v>0</v>
      </c>
      <c r="AE123" s="12">
        <f>$I$61*$AE$61</f>
        <v>0</v>
      </c>
      <c r="AF123" s="12">
        <f ca="1">$I$61*$AF$61</f>
        <v>0</v>
      </c>
      <c r="AG123" s="12">
        <f ca="1">$I$61*$AG$61</f>
        <v>0</v>
      </c>
      <c r="AI123" s="12">
        <f>$I$61*$AI$61</f>
        <v>0</v>
      </c>
      <c r="AJ123" s="12">
        <f>$I$61*$AJ$61</f>
        <v>0</v>
      </c>
      <c r="AK123" s="12">
        <f>$I$61*$AK$61</f>
        <v>0</v>
      </c>
      <c r="AL123" s="12">
        <f>$I$61*$AL$61</f>
        <v>0</v>
      </c>
      <c r="AM123" s="12">
        <f>$I$61*$AM$61</f>
        <v>0</v>
      </c>
      <c r="AN123" s="12">
        <f>$I$61*$AN$61</f>
        <v>0</v>
      </c>
      <c r="AO123" s="12">
        <f>$I$61*$AO$61</f>
        <v>0</v>
      </c>
      <c r="AP123" s="12">
        <f>$I$61*$AP$61</f>
        <v>0</v>
      </c>
      <c r="AQ123" s="12">
        <f>$I$61*$AQ$61</f>
        <v>0</v>
      </c>
      <c r="AR123" s="12">
        <f>$I$61*$AR$61</f>
        <v>0</v>
      </c>
      <c r="AS123" s="12">
        <f>$I$61*$AS$61</f>
        <v>0</v>
      </c>
      <c r="AT123" s="12">
        <f>$I$61*$AT$61</f>
        <v>0</v>
      </c>
      <c r="AU123" s="12">
        <f>$I$61*$AU$61</f>
        <v>0</v>
      </c>
      <c r="AV123" s="12">
        <f>$I$61*$AV$61</f>
        <v>0</v>
      </c>
      <c r="AW123" s="12">
        <f>$I$61*$AW$61</f>
        <v>0</v>
      </c>
      <c r="AX123" s="12">
        <f>$I$61*$AX$61</f>
        <v>0</v>
      </c>
      <c r="AY123" s="12">
        <f>$I$61*$AY$61</f>
        <v>0</v>
      </c>
      <c r="AZ123" s="12">
        <f>$I$61*$AZ$61</f>
        <v>0</v>
      </c>
      <c r="BA123" s="12">
        <f>$I$61*$BA$61</f>
        <v>0</v>
      </c>
      <c r="BB123" s="12">
        <f>$I$61*$BB$61</f>
        <v>0</v>
      </c>
      <c r="BC123" s="12">
        <f>$I$61*$BC$61</f>
        <v>0</v>
      </c>
      <c r="BD123" s="12">
        <f>$I$61*$BD$61</f>
        <v>0</v>
      </c>
    </row>
  </sheetData>
  <mergeCells count="101"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A5:A14"/>
    <mergeCell ref="B5:B8"/>
    <mergeCell ref="C5:C8"/>
    <mergeCell ref="D5:D8"/>
    <mergeCell ref="E5:E7"/>
    <mergeCell ref="F5:F7"/>
    <mergeCell ref="B10:B14"/>
    <mergeCell ref="G1:G4"/>
    <mergeCell ref="H1:H4"/>
    <mergeCell ref="C10:C14"/>
    <mergeCell ref="D10:D14"/>
    <mergeCell ref="E10:E12"/>
    <mergeCell ref="F10:F12"/>
    <mergeCell ref="E13:E14"/>
    <mergeCell ref="F13:F14"/>
    <mergeCell ref="F20:F22"/>
    <mergeCell ref="E23:E24"/>
    <mergeCell ref="F23:F24"/>
    <mergeCell ref="A25:A26"/>
    <mergeCell ref="B25:B26"/>
    <mergeCell ref="C25:C26"/>
    <mergeCell ref="D25:D26"/>
    <mergeCell ref="A15:A24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C40:C42"/>
    <mergeCell ref="D40:D42"/>
    <mergeCell ref="E40:E42"/>
    <mergeCell ref="F40:F42"/>
    <mergeCell ref="B44:B46"/>
    <mergeCell ref="C44:C46"/>
    <mergeCell ref="D44:D46"/>
    <mergeCell ref="E44:E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E55:E57"/>
    <mergeCell ref="F55:F57"/>
    <mergeCell ref="A60:A61"/>
    <mergeCell ref="B60:B61"/>
    <mergeCell ref="C60:C61"/>
    <mergeCell ref="AI1:BD1"/>
    <mergeCell ref="AI2:BD2"/>
    <mergeCell ref="AI3:AP3"/>
    <mergeCell ref="AQ3:AW3"/>
    <mergeCell ref="AY3:AZ3"/>
    <mergeCell ref="B52:B54"/>
    <mergeCell ref="C52:C54"/>
    <mergeCell ref="A55:A59"/>
    <mergeCell ref="B55:B57"/>
    <mergeCell ref="C55:C57"/>
    <mergeCell ref="D55:D57"/>
    <mergeCell ref="F44:F46"/>
    <mergeCell ref="B48:B50"/>
    <mergeCell ref="C48:C50"/>
    <mergeCell ref="D48:D50"/>
    <mergeCell ref="E48:E50"/>
    <mergeCell ref="F48:F50"/>
    <mergeCell ref="A40:A54"/>
    <mergeCell ref="B40:B42"/>
    <mergeCell ref="AQ65:AW65"/>
    <mergeCell ref="AY65:AZ65"/>
    <mergeCell ref="BA65:BD65"/>
    <mergeCell ref="BA3:BD3"/>
    <mergeCell ref="L63:AG63"/>
    <mergeCell ref="AI63:BD63"/>
    <mergeCell ref="L64:AG64"/>
    <mergeCell ref="AI64:BD64"/>
    <mergeCell ref="L65:S65"/>
    <mergeCell ref="T65:Z65"/>
    <mergeCell ref="AB65:AC65"/>
    <mergeCell ref="AD65:AG65"/>
    <mergeCell ref="AI65:AP6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392C-165F-4150-BFBC-F6BE77FAEF92}">
  <dimension ref="A1:AH91"/>
  <sheetViews>
    <sheetView showGridLines="0" topLeftCell="L22" workbookViewId="0">
      <selection activeCell="V46" sqref="V46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8.140625" style="9" bestFit="1" customWidth="1"/>
    <col min="17" max="17" width="15" style="9" bestFit="1" customWidth="1"/>
    <col min="18" max="18" width="8.7109375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8.710937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8.140625" style="9" bestFit="1" customWidth="1"/>
    <col min="29" max="29" width="15" style="9" bestFit="1" customWidth="1"/>
    <col min="30" max="30" width="8.7109375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55" t="s">
        <v>61</v>
      </c>
      <c r="B1" s="155" t="s">
        <v>62</v>
      </c>
      <c r="C1" s="155" t="s">
        <v>63</v>
      </c>
      <c r="D1" s="155" t="s">
        <v>64</v>
      </c>
      <c r="E1" s="155" t="s">
        <v>65</v>
      </c>
      <c r="F1" s="155" t="s">
        <v>15</v>
      </c>
      <c r="G1" s="155" t="s">
        <v>67</v>
      </c>
      <c r="H1" s="155" t="s">
        <v>68</v>
      </c>
      <c r="I1" s="155" t="s">
        <v>682</v>
      </c>
      <c r="J1" s="140"/>
      <c r="L1" s="164" t="s">
        <v>1081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X1" s="164" t="s">
        <v>1082</v>
      </c>
      <c r="Y1" s="164"/>
      <c r="Z1" s="164"/>
      <c r="AA1" s="164"/>
      <c r="AB1" s="164"/>
      <c r="AC1" s="164"/>
      <c r="AD1" s="164"/>
      <c r="AE1" s="164"/>
      <c r="AF1" s="164"/>
      <c r="AG1" s="164"/>
      <c r="AH1" s="164"/>
    </row>
    <row r="2" spans="1:34" ht="11.25" customHeight="1" x14ac:dyDescent="0.25">
      <c r="A2" s="155"/>
      <c r="B2" s="155"/>
      <c r="C2" s="155"/>
      <c r="D2" s="155"/>
      <c r="E2" s="155"/>
      <c r="F2" s="155"/>
      <c r="G2" s="155"/>
      <c r="H2" s="155"/>
      <c r="I2" s="155"/>
      <c r="J2" s="140"/>
      <c r="L2" s="164" t="s">
        <v>609</v>
      </c>
      <c r="M2" s="164"/>
      <c r="N2" s="164"/>
      <c r="O2" s="164"/>
      <c r="P2" s="164"/>
      <c r="Q2" s="164"/>
      <c r="R2" s="164"/>
      <c r="S2" s="164"/>
      <c r="T2" s="164"/>
      <c r="U2" s="164"/>
      <c r="V2" s="164"/>
      <c r="X2" s="164" t="s">
        <v>609</v>
      </c>
      <c r="Y2" s="164"/>
      <c r="Z2" s="164"/>
      <c r="AA2" s="164"/>
      <c r="AB2" s="164"/>
      <c r="AC2" s="164"/>
      <c r="AD2" s="164"/>
      <c r="AE2" s="164"/>
      <c r="AF2" s="164"/>
      <c r="AG2" s="164"/>
      <c r="AH2" s="164"/>
    </row>
    <row r="3" spans="1:34" ht="11.2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40"/>
      <c r="L3" s="164" t="s">
        <v>582</v>
      </c>
      <c r="M3" s="164"/>
      <c r="N3" s="164"/>
      <c r="O3" s="164"/>
      <c r="P3" s="164"/>
      <c r="Q3" s="24" t="s">
        <v>613</v>
      </c>
      <c r="R3" s="164" t="s">
        <v>591</v>
      </c>
      <c r="S3" s="164"/>
      <c r="T3" s="164"/>
      <c r="U3" s="24" t="s">
        <v>601</v>
      </c>
      <c r="V3" s="24" t="s">
        <v>604</v>
      </c>
      <c r="X3" s="164" t="s">
        <v>582</v>
      </c>
      <c r="Y3" s="164"/>
      <c r="Z3" s="164"/>
      <c r="AA3" s="164"/>
      <c r="AB3" s="164"/>
      <c r="AC3" s="24" t="s">
        <v>613</v>
      </c>
      <c r="AD3" s="164" t="s">
        <v>591</v>
      </c>
      <c r="AE3" s="164"/>
      <c r="AF3" s="164"/>
      <c r="AG3" s="24" t="s">
        <v>601</v>
      </c>
      <c r="AH3" s="24" t="s">
        <v>604</v>
      </c>
    </row>
    <row r="4" spans="1:34" ht="11.25" customHeight="1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40"/>
      <c r="L4" s="24" t="s">
        <v>584</v>
      </c>
      <c r="M4" s="24" t="s">
        <v>610</v>
      </c>
      <c r="N4" s="24" t="s">
        <v>611</v>
      </c>
      <c r="O4" s="24" t="s">
        <v>670</v>
      </c>
      <c r="P4" s="24" t="s">
        <v>612</v>
      </c>
      <c r="Q4" s="24" t="s">
        <v>614</v>
      </c>
      <c r="R4" s="24" t="s">
        <v>615</v>
      </c>
      <c r="S4" s="24" t="s">
        <v>616</v>
      </c>
      <c r="T4" s="24" t="s">
        <v>617</v>
      </c>
      <c r="U4" s="24" t="s">
        <v>602</v>
      </c>
      <c r="V4" s="24" t="s">
        <v>618</v>
      </c>
      <c r="X4" s="24" t="s">
        <v>584</v>
      </c>
      <c r="Y4" s="24" t="s">
        <v>610</v>
      </c>
      <c r="Z4" s="24" t="s">
        <v>611</v>
      </c>
      <c r="AA4" s="24" t="s">
        <v>670</v>
      </c>
      <c r="AB4" s="24" t="s">
        <v>612</v>
      </c>
      <c r="AC4" s="24" t="s">
        <v>614</v>
      </c>
      <c r="AD4" s="24" t="s">
        <v>615</v>
      </c>
      <c r="AE4" s="24" t="s">
        <v>616</v>
      </c>
      <c r="AF4" s="24" t="s">
        <v>617</v>
      </c>
      <c r="AG4" s="24" t="s">
        <v>602</v>
      </c>
      <c r="AH4" s="24" t="s">
        <v>618</v>
      </c>
    </row>
    <row r="5" spans="1:34" ht="11.25" customHeight="1" x14ac:dyDescent="0.25">
      <c r="A5" s="163" t="s">
        <v>42</v>
      </c>
      <c r="B5" s="163" t="s">
        <v>70</v>
      </c>
      <c r="C5" s="163" t="s">
        <v>25</v>
      </c>
      <c r="D5" s="163" t="s">
        <v>25</v>
      </c>
      <c r="E5" s="163" t="s">
        <v>25</v>
      </c>
      <c r="F5" s="163" t="s">
        <v>25</v>
      </c>
      <c r="G5" s="22" t="s">
        <v>72</v>
      </c>
      <c r="H5" s="22" t="s">
        <v>71</v>
      </c>
      <c r="I5" s="22">
        <f>'MERCADO TE'!$U$2</f>
        <v>235.87100000000001</v>
      </c>
      <c r="J5" s="15"/>
      <c r="L5" s="20">
        <f>('TE BE'!$L$5+'TE BF'!$L$5+'TE CVA'!$L$5)*1</f>
        <v>2.5437435107756312</v>
      </c>
      <c r="M5" s="20">
        <f>('TE BE'!$M$5+'TE BF'!$M$5+'TE CVA'!$M$5)*1</f>
        <v>26.05226126489157</v>
      </c>
      <c r="N5" s="20">
        <f>('TE BE'!$N$5+'TE BF'!$N$5+'TE CVA'!$N$5)*1</f>
        <v>0</v>
      </c>
      <c r="O5" s="20">
        <f>('TE BE'!$O$5+'TE BF'!$O$5+'TE CVA'!$O$5)*1</f>
        <v>5.9971225858189339</v>
      </c>
      <c r="P5" s="20">
        <f>('TE BE'!$P$5+'TE BF'!$P$5+'TE CVA'!$P$5)*1</f>
        <v>-16.33791036745717</v>
      </c>
      <c r="Q5" s="20">
        <f>('TE BE'!$R$5+'TE BF'!$R$5+'TE CVA'!$R$5)*1</f>
        <v>372.70898650365439</v>
      </c>
      <c r="R5" s="20">
        <f>('TE BE'!$T$5+'TE BF'!$T$5+'TE CVA'!$T$5)*1</f>
        <v>10.128636355120365</v>
      </c>
      <c r="S5" s="20">
        <f>('TE BE'!$U$5+'TE BF'!$U$5+'TE CVA'!$U$5)*1</f>
        <v>6.6790582306689137</v>
      </c>
      <c r="T5" s="20">
        <f>('TE BE'!$V$5+'TE BF'!$V$5+'TE CVA'!$V$5)*1</f>
        <v>0</v>
      </c>
      <c r="U5" s="20">
        <f>('TE BE'!$X$5+'TE BF'!$X$5+'TE CVA'!$X$5)*1</f>
        <v>0</v>
      </c>
      <c r="V5" s="20">
        <f>('TE BE'!$Z$5+'TE BF'!$Z$5+'TE CVA'!$Z$5)*1</f>
        <v>7.2825924219443898</v>
      </c>
      <c r="X5" s="20">
        <v>2.7435633875742398</v>
      </c>
      <c r="Y5" s="20">
        <v>15.2132837836551</v>
      </c>
      <c r="Z5" s="20">
        <v>0</v>
      </c>
      <c r="AA5" s="20">
        <v>0</v>
      </c>
      <c r="AB5" s="20">
        <v>0</v>
      </c>
      <c r="AC5" s="20">
        <v>407.39757344331701</v>
      </c>
      <c r="AD5" s="20">
        <v>10.265528215408599</v>
      </c>
      <c r="AE5" s="20">
        <v>11.4821206026085</v>
      </c>
      <c r="AF5" s="20">
        <v>0</v>
      </c>
      <c r="AG5" s="20">
        <v>0</v>
      </c>
      <c r="AH5" s="20">
        <v>6.8121903859507897</v>
      </c>
    </row>
    <row r="6" spans="1:34" ht="11.25" customHeight="1" x14ac:dyDescent="0.25">
      <c r="A6" s="163"/>
      <c r="B6" s="163"/>
      <c r="C6" s="163"/>
      <c r="D6" s="163"/>
      <c r="E6" s="163"/>
      <c r="F6" s="163"/>
      <c r="G6" s="22" t="s">
        <v>73</v>
      </c>
      <c r="H6" s="22" t="s">
        <v>71</v>
      </c>
      <c r="I6" s="22">
        <f>'MERCADO TE'!$U$3</f>
        <v>3882.7039999999997</v>
      </c>
      <c r="J6" s="15"/>
      <c r="L6" s="20">
        <f>('TE BE'!$L$6+'TE BF'!$L$6+'TE CVA'!$L$6)*1</f>
        <v>2.5437435107756312</v>
      </c>
      <c r="M6" s="20">
        <f>('TE BE'!$M$6+'TE BF'!$M$6+'TE CVA'!$M$6)*1</f>
        <v>26.05226126489157</v>
      </c>
      <c r="N6" s="20">
        <f>('TE BE'!$N$6+'TE BF'!$N$6+'TE CVA'!$N$6)*1</f>
        <v>0</v>
      </c>
      <c r="O6" s="20">
        <f>('TE BE'!$O$6+'TE BF'!$O$6+'TE CVA'!$O$6)*1</f>
        <v>5.9971225858189339</v>
      </c>
      <c r="P6" s="20">
        <f>('TE BE'!$P$6+'TE BF'!$P$6+'TE CVA'!$P$6)*1</f>
        <v>-16.33791036745717</v>
      </c>
      <c r="Q6" s="20">
        <f>('TE BE'!$R$6+'TE BF'!$R$6+'TE CVA'!$R$6)*1</f>
        <v>216.69127122305488</v>
      </c>
      <c r="R6" s="20">
        <f>('TE BE'!$T$6+'TE BF'!$T$6+'TE CVA'!$T$6)*1</f>
        <v>10.128636355120365</v>
      </c>
      <c r="S6" s="20">
        <f>('TE BE'!$U$6+'TE BF'!$U$6+'TE CVA'!$U$6)*1</f>
        <v>6.6790582306689137</v>
      </c>
      <c r="T6" s="20">
        <f>('TE BE'!$V$6+'TE BF'!$V$6+'TE CVA'!$V$6)*1</f>
        <v>0</v>
      </c>
      <c r="U6" s="20">
        <f>('TE BE'!$X$6+'TE BF'!$X$6+'TE CVA'!$X$6)*1</f>
        <v>0</v>
      </c>
      <c r="V6" s="20">
        <f>('TE BE'!$Z$6+'TE BF'!$Z$6+'TE CVA'!$Z$6)*1</f>
        <v>7.2825924219443898</v>
      </c>
      <c r="X6" s="20">
        <v>2.7435633875742398</v>
      </c>
      <c r="Y6" s="20">
        <v>15.2132837836551</v>
      </c>
      <c r="Z6" s="20">
        <v>0</v>
      </c>
      <c r="AA6" s="20">
        <v>0</v>
      </c>
      <c r="AB6" s="20">
        <v>0</v>
      </c>
      <c r="AC6" s="20">
        <v>236.85905432750999</v>
      </c>
      <c r="AD6" s="20">
        <v>10.265528215408599</v>
      </c>
      <c r="AE6" s="20">
        <v>11.4821206026085</v>
      </c>
      <c r="AF6" s="20">
        <v>0</v>
      </c>
      <c r="AG6" s="20">
        <v>0</v>
      </c>
      <c r="AH6" s="20">
        <v>6.8121903859507897</v>
      </c>
    </row>
    <row r="7" spans="1:34" ht="11.25" customHeight="1" x14ac:dyDescent="0.25">
      <c r="A7" s="163"/>
      <c r="B7" s="23" t="s">
        <v>74</v>
      </c>
      <c r="C7" s="23" t="s">
        <v>25</v>
      </c>
      <c r="D7" s="23" t="s">
        <v>25</v>
      </c>
      <c r="E7" s="23" t="s">
        <v>25</v>
      </c>
      <c r="F7" s="23" t="s">
        <v>25</v>
      </c>
      <c r="G7" s="22" t="s">
        <v>75</v>
      </c>
      <c r="H7" s="22" t="s">
        <v>71</v>
      </c>
      <c r="I7" s="22">
        <f>'MERCADO TE'!$U$4</f>
        <v>0</v>
      </c>
      <c r="J7" s="15"/>
      <c r="L7" s="20">
        <f>('TE BE'!$L$7+'TE BF'!$L$7+'TE CVA'!$L$7)*1</f>
        <v>2.5437435107756312</v>
      </c>
      <c r="M7" s="20">
        <f>('TE BE'!$M$7+'TE BF'!$M$7+'TE CVA'!$M$7)*1</f>
        <v>26.05226126489157</v>
      </c>
      <c r="N7" s="20">
        <f>('TE BE'!$N$7+'TE BF'!$N$7+'TE CVA'!$N$7)*1</f>
        <v>0</v>
      </c>
      <c r="O7" s="20">
        <f>('TE BE'!$O$7+'TE BF'!$O$7+'TE CVA'!$O$7)*1</f>
        <v>5.9971225858189339</v>
      </c>
      <c r="P7" s="20">
        <f>('TE BE'!$P$7+'TE BF'!$P$7+'TE CVA'!$P$7)*1</f>
        <v>-16.33791036745717</v>
      </c>
      <c r="Q7" s="20">
        <f>('TE BE'!$R$7+'TE BF'!$R$7+'TE CVA'!$R$7)*1</f>
        <v>229.69274749643819</v>
      </c>
      <c r="R7" s="20">
        <f>('TE BE'!$T$7+'TE BF'!$T$7+'TE CVA'!$T$7)*1</f>
        <v>10.128636355120365</v>
      </c>
      <c r="S7" s="20">
        <f>('TE BE'!$U$7+'TE BF'!$U$7+'TE CVA'!$U$7)*1</f>
        <v>6.6790582306689137</v>
      </c>
      <c r="T7" s="20">
        <f>('TE BE'!$V$7+'TE BF'!$V$7+'TE CVA'!$V$7)*1</f>
        <v>0</v>
      </c>
      <c r="U7" s="20">
        <f>('TE BE'!$X$7+'TE BF'!$X$7+'TE CVA'!$X$7)*1</f>
        <v>0</v>
      </c>
      <c r="V7" s="20">
        <f>('TE BE'!$Z$7+'TE BF'!$Z$7+'TE CVA'!$Z$7)*1</f>
        <v>7.2825924219443898</v>
      </c>
      <c r="X7" s="20">
        <v>2.7435633875742398</v>
      </c>
      <c r="Y7" s="20">
        <v>15.2132837836551</v>
      </c>
      <c r="Z7" s="20">
        <v>0</v>
      </c>
      <c r="AA7" s="20">
        <v>0</v>
      </c>
      <c r="AB7" s="20">
        <v>0</v>
      </c>
      <c r="AC7" s="20">
        <v>251.07059758716099</v>
      </c>
      <c r="AD7" s="20">
        <v>10.265528215408599</v>
      </c>
      <c r="AE7" s="20">
        <v>11.4821206026085</v>
      </c>
      <c r="AF7" s="20">
        <v>0</v>
      </c>
      <c r="AG7" s="20">
        <v>0</v>
      </c>
      <c r="AH7" s="20">
        <v>6.8121903859507897</v>
      </c>
    </row>
    <row r="8" spans="1:34" ht="11.25" customHeight="1" x14ac:dyDescent="0.25">
      <c r="A8" s="163" t="s">
        <v>33</v>
      </c>
      <c r="B8" s="163" t="s">
        <v>70</v>
      </c>
      <c r="C8" s="163" t="s">
        <v>25</v>
      </c>
      <c r="D8" s="163" t="s">
        <v>25</v>
      </c>
      <c r="E8" s="163" t="s">
        <v>25</v>
      </c>
      <c r="F8" s="163" t="s">
        <v>25</v>
      </c>
      <c r="G8" s="22" t="s">
        <v>72</v>
      </c>
      <c r="H8" s="22" t="s">
        <v>71</v>
      </c>
      <c r="I8" s="22">
        <f>'MERCADO TE'!$U$5</f>
        <v>3620.8939999999998</v>
      </c>
      <c r="J8" s="15"/>
      <c r="L8" s="20">
        <f>('TE BE'!$L$8+'TE BF'!$L$8+'TE CVA'!$L$8)*1</f>
        <v>2.5437435107756312</v>
      </c>
      <c r="M8" s="20">
        <f>('TE BE'!$M$8+'TE BF'!$M$8+'TE CVA'!$M$8)*1</f>
        <v>26.05226126489157</v>
      </c>
      <c r="N8" s="20">
        <f>('TE BE'!$N$8+'TE BF'!$N$8+'TE CVA'!$N$8)*1</f>
        <v>0</v>
      </c>
      <c r="O8" s="20">
        <f>('TE BE'!$O$8+'TE BF'!$O$8+'TE CVA'!$O$8)*1</f>
        <v>5.9971225858189339</v>
      </c>
      <c r="P8" s="20">
        <f>('TE BE'!$P$8+'TE BF'!$P$8+'TE CVA'!$P$8)*1</f>
        <v>-16.33791036745717</v>
      </c>
      <c r="Q8" s="20">
        <f>('TE BE'!$R$8+'TE BF'!$R$8+'TE CVA'!$R$8)*1</f>
        <v>372.70898650365439</v>
      </c>
      <c r="R8" s="20">
        <f>('TE BE'!$T$8+'TE BF'!$T$8+'TE CVA'!$T$8)*1</f>
        <v>10.128636355120365</v>
      </c>
      <c r="S8" s="20">
        <f>('TE BE'!$U$8+'TE BF'!$U$8+'TE CVA'!$U$8)*1</f>
        <v>6.6790582306689137</v>
      </c>
      <c r="T8" s="20">
        <f>('TE BE'!$V$8+'TE BF'!$V$8+'TE CVA'!$V$8)*1</f>
        <v>0</v>
      </c>
      <c r="U8" s="20">
        <f>('TE BE'!$X$8+'TE BF'!$X$8+'TE CVA'!$X$8)*1</f>
        <v>0</v>
      </c>
      <c r="V8" s="20">
        <f>('TE BE'!$Z$8+'TE BF'!$Z$8+'TE CVA'!$Z$8)*1</f>
        <v>7.2825924219443898</v>
      </c>
      <c r="X8" s="20">
        <v>2.7435633875742398</v>
      </c>
      <c r="Y8" s="20">
        <v>15.2132837836551</v>
      </c>
      <c r="Z8" s="20">
        <v>0</v>
      </c>
      <c r="AA8" s="20">
        <v>0</v>
      </c>
      <c r="AB8" s="20">
        <v>0</v>
      </c>
      <c r="AC8" s="20">
        <v>407.39757344331701</v>
      </c>
      <c r="AD8" s="20">
        <v>10.265528215408599</v>
      </c>
      <c r="AE8" s="20">
        <v>11.4821206026085</v>
      </c>
      <c r="AF8" s="20">
        <v>0</v>
      </c>
      <c r="AG8" s="20">
        <v>0</v>
      </c>
      <c r="AH8" s="20">
        <v>6.8121903859507897</v>
      </c>
    </row>
    <row r="9" spans="1:34" ht="11.25" customHeight="1" x14ac:dyDescent="0.25">
      <c r="A9" s="163"/>
      <c r="B9" s="163"/>
      <c r="C9" s="163"/>
      <c r="D9" s="163"/>
      <c r="E9" s="163"/>
      <c r="F9" s="163"/>
      <c r="G9" s="22" t="s">
        <v>73</v>
      </c>
      <c r="H9" s="22" t="s">
        <v>71</v>
      </c>
      <c r="I9" s="22">
        <f>'MERCADO TE'!$U$6</f>
        <v>51036.426999999996</v>
      </c>
      <c r="J9" s="15"/>
      <c r="L9" s="20">
        <f>('TE BE'!$L$9+'TE BF'!$L$9+'TE CVA'!$L$9)*1</f>
        <v>2.5437435107756312</v>
      </c>
      <c r="M9" s="20">
        <f>('TE BE'!$M$9+'TE BF'!$M$9+'TE CVA'!$M$9)*1</f>
        <v>26.05226126489157</v>
      </c>
      <c r="N9" s="20">
        <f>('TE BE'!$N$9+'TE BF'!$N$9+'TE CVA'!$N$9)*1</f>
        <v>0</v>
      </c>
      <c r="O9" s="20">
        <f>('TE BE'!$O$9+'TE BF'!$O$9+'TE CVA'!$O$9)*1</f>
        <v>5.9971225858189339</v>
      </c>
      <c r="P9" s="20">
        <f>('TE BE'!$P$9+'TE BF'!$P$9+'TE CVA'!$P$9)*1</f>
        <v>-16.33791036745717</v>
      </c>
      <c r="Q9" s="20">
        <f>('TE BE'!$R$9+'TE BF'!$R$9+'TE CVA'!$R$9)*1</f>
        <v>216.69127122305488</v>
      </c>
      <c r="R9" s="20">
        <f>('TE BE'!$T$9+'TE BF'!$T$9+'TE CVA'!$T$9)*1</f>
        <v>10.128636355120365</v>
      </c>
      <c r="S9" s="20">
        <f>('TE BE'!$U$9+'TE BF'!$U$9+'TE CVA'!$U$9)*1</f>
        <v>6.6790582306689137</v>
      </c>
      <c r="T9" s="20">
        <f>('TE BE'!$V$9+'TE BF'!$V$9+'TE CVA'!$V$9)*1</f>
        <v>0</v>
      </c>
      <c r="U9" s="20">
        <f>('TE BE'!$X$9+'TE BF'!$X$9+'TE CVA'!$X$9)*1</f>
        <v>0</v>
      </c>
      <c r="V9" s="20">
        <f>('TE BE'!$Z$9+'TE BF'!$Z$9+'TE CVA'!$Z$9)*1</f>
        <v>7.2825924219443898</v>
      </c>
      <c r="X9" s="20">
        <v>2.7435633875742398</v>
      </c>
      <c r="Y9" s="20">
        <v>15.2132837836551</v>
      </c>
      <c r="Z9" s="20">
        <v>0</v>
      </c>
      <c r="AA9" s="20">
        <v>0</v>
      </c>
      <c r="AB9" s="20">
        <v>0</v>
      </c>
      <c r="AC9" s="20">
        <v>236.85905432750999</v>
      </c>
      <c r="AD9" s="20">
        <v>10.265528215408599</v>
      </c>
      <c r="AE9" s="20">
        <v>11.4821206026085</v>
      </c>
      <c r="AF9" s="20">
        <v>0</v>
      </c>
      <c r="AG9" s="20">
        <v>0</v>
      </c>
      <c r="AH9" s="20">
        <v>6.8121903859507897</v>
      </c>
    </row>
    <row r="10" spans="1:34" ht="11.25" customHeight="1" x14ac:dyDescent="0.25">
      <c r="A10" s="163"/>
      <c r="B10" s="23" t="s">
        <v>74</v>
      </c>
      <c r="C10" s="23" t="s">
        <v>25</v>
      </c>
      <c r="D10" s="23" t="s">
        <v>25</v>
      </c>
      <c r="E10" s="23" t="s">
        <v>25</v>
      </c>
      <c r="F10" s="23" t="s">
        <v>25</v>
      </c>
      <c r="G10" s="22" t="s">
        <v>75</v>
      </c>
      <c r="H10" s="22" t="s">
        <v>71</v>
      </c>
      <c r="I10" s="22">
        <f>'MERCADO TE'!$U$7</f>
        <v>0</v>
      </c>
      <c r="J10" s="15"/>
      <c r="L10" s="20">
        <f>('TE BE'!$L$10+'TE BF'!$L$10+'TE CVA'!$L$10)*1</f>
        <v>2.5437435107756312</v>
      </c>
      <c r="M10" s="20">
        <f>('TE BE'!$M$10+'TE BF'!$M$10+'TE CVA'!$M$10)*1</f>
        <v>26.05226126489157</v>
      </c>
      <c r="N10" s="20">
        <f>('TE BE'!$N$10+'TE BF'!$N$10+'TE CVA'!$N$10)*1</f>
        <v>0</v>
      </c>
      <c r="O10" s="20">
        <f>('TE BE'!$O$10+'TE BF'!$O$10+'TE CVA'!$O$10)*1</f>
        <v>5.9971225858189339</v>
      </c>
      <c r="P10" s="20">
        <f>('TE BE'!$P$10+'TE BF'!$P$10+'TE CVA'!$P$10)*1</f>
        <v>-16.33791036745717</v>
      </c>
      <c r="Q10" s="20">
        <f>('TE BE'!$R$10+'TE BF'!$R$10+'TE CVA'!$R$10)*1</f>
        <v>229.69274749643819</v>
      </c>
      <c r="R10" s="20">
        <f>('TE BE'!$T$10+'TE BF'!$T$10+'TE CVA'!$T$10)*1</f>
        <v>10.128636355120365</v>
      </c>
      <c r="S10" s="20">
        <f>('TE BE'!$U$10+'TE BF'!$U$10+'TE CVA'!$U$10)*1</f>
        <v>6.6790582306689137</v>
      </c>
      <c r="T10" s="20">
        <f>('TE BE'!$V$10+'TE BF'!$V$10+'TE CVA'!$V$10)*1</f>
        <v>0</v>
      </c>
      <c r="U10" s="20">
        <f>('TE BE'!$X$10+'TE BF'!$X$10+'TE CVA'!$X$10)*1</f>
        <v>0</v>
      </c>
      <c r="V10" s="20">
        <f>('TE BE'!$Z$10+'TE BF'!$Z$10+'TE CVA'!$Z$10)*1</f>
        <v>7.2825924219443898</v>
      </c>
      <c r="X10" s="20">
        <v>2.7435633875742398</v>
      </c>
      <c r="Y10" s="20">
        <v>15.2132837836551</v>
      </c>
      <c r="Z10" s="20">
        <v>0</v>
      </c>
      <c r="AA10" s="20">
        <v>0</v>
      </c>
      <c r="AB10" s="20">
        <v>0</v>
      </c>
      <c r="AC10" s="20">
        <v>251.07059758716099</v>
      </c>
      <c r="AD10" s="20">
        <v>10.265528215408599</v>
      </c>
      <c r="AE10" s="20">
        <v>11.4821206026085</v>
      </c>
      <c r="AF10" s="20">
        <v>0</v>
      </c>
      <c r="AG10" s="20">
        <v>0</v>
      </c>
      <c r="AH10" s="20">
        <v>6.8121903859507897</v>
      </c>
    </row>
    <row r="11" spans="1:34" ht="11.25" customHeight="1" x14ac:dyDescent="0.25">
      <c r="A11" s="163" t="s">
        <v>22</v>
      </c>
      <c r="B11" s="163" t="s">
        <v>70</v>
      </c>
      <c r="C11" s="163" t="s">
        <v>24</v>
      </c>
      <c r="D11" s="163" t="s">
        <v>24</v>
      </c>
      <c r="E11" s="163" t="s">
        <v>25</v>
      </c>
      <c r="F11" s="163" t="s">
        <v>25</v>
      </c>
      <c r="G11" s="22" t="s">
        <v>72</v>
      </c>
      <c r="H11" s="22" t="s">
        <v>71</v>
      </c>
      <c r="I11" s="22">
        <f>'MERCADO TE'!$U$8</f>
        <v>2.2189999999999999</v>
      </c>
      <c r="J11" s="15"/>
      <c r="L11" s="20">
        <f>('TE BE'!$L$11+'TE BF'!$L$11+'TE CVA'!$L$11)*1</f>
        <v>2.5437435107756312</v>
      </c>
      <c r="M11" s="20">
        <f>('TE BE'!$M$11+'TE BF'!$M$11+'TE CVA'!$M$11)*1</f>
        <v>26.05226126489157</v>
      </c>
      <c r="N11" s="20">
        <f>('TE BE'!$N$11+'TE BF'!$N$11+'TE CVA'!$N$11)*1</f>
        <v>0</v>
      </c>
      <c r="O11" s="20">
        <f>('TE BE'!$O$11+'TE BF'!$O$11+'TE CVA'!$O$11)*1</f>
        <v>5.9971225858189339</v>
      </c>
      <c r="P11" s="20">
        <f>('TE BE'!$P$11+'TE BF'!$P$11+'TE CVA'!$P$11)*1</f>
        <v>-16.33791036745717</v>
      </c>
      <c r="Q11" s="20">
        <f>('TE BE'!$R$11+'TE BF'!$R$11+'TE CVA'!$R$11)*1</f>
        <v>372.70898650365439</v>
      </c>
      <c r="R11" s="20">
        <f>('TE BE'!$T$11+'TE BF'!$T$11+'TE CVA'!$T$11)*1</f>
        <v>10.128636355120365</v>
      </c>
      <c r="S11" s="20">
        <f>('TE BE'!$U$11+'TE BF'!$U$11+'TE CVA'!$U$11)*1</f>
        <v>6.6790582306689137</v>
      </c>
      <c r="T11" s="20">
        <f>('TE BE'!$V$11+'TE BF'!$V$11+'TE CVA'!$V$11)*1</f>
        <v>0</v>
      </c>
      <c r="U11" s="20">
        <f>('TE BE'!$X$11+'TE BF'!$X$11+'TE CVA'!$X$11)*1</f>
        <v>0</v>
      </c>
      <c r="V11" s="20">
        <f>('TE BE'!$Z$11+'TE BF'!$Z$11+'TE CVA'!$Z$11)*1</f>
        <v>7.2825924219443898</v>
      </c>
      <c r="X11" s="20">
        <v>2.7435633875742398</v>
      </c>
      <c r="Y11" s="20">
        <v>15.2132837836551</v>
      </c>
      <c r="Z11" s="20">
        <v>0</v>
      </c>
      <c r="AA11" s="20">
        <v>0</v>
      </c>
      <c r="AB11" s="20">
        <v>0</v>
      </c>
      <c r="AC11" s="20">
        <v>407.39757344331701</v>
      </c>
      <c r="AD11" s="20">
        <v>10.265528215408599</v>
      </c>
      <c r="AE11" s="20">
        <v>11.4821206026085</v>
      </c>
      <c r="AF11" s="20">
        <v>0</v>
      </c>
      <c r="AG11" s="20">
        <v>0</v>
      </c>
      <c r="AH11" s="20">
        <v>6.8121903859507897</v>
      </c>
    </row>
    <row r="12" spans="1:34" ht="11.25" customHeight="1" x14ac:dyDescent="0.25">
      <c r="A12" s="163"/>
      <c r="B12" s="163"/>
      <c r="C12" s="163"/>
      <c r="D12" s="163"/>
      <c r="E12" s="163"/>
      <c r="F12" s="163"/>
      <c r="G12" s="22" t="s">
        <v>84</v>
      </c>
      <c r="H12" s="22" t="s">
        <v>71</v>
      </c>
      <c r="I12" s="22">
        <f>'MERCADO TE'!$U$9</f>
        <v>2.6760000000000006</v>
      </c>
      <c r="J12" s="15"/>
      <c r="L12" s="20">
        <f>('TE BE'!$L$12+'TE BF'!$L$12+'TE CVA'!$L$12)*1</f>
        <v>2.5437435107756312</v>
      </c>
      <c r="M12" s="20">
        <f>('TE BE'!$M$12+'TE BF'!$M$12+'TE CVA'!$M$12)*1</f>
        <v>26.05226126489157</v>
      </c>
      <c r="N12" s="20">
        <f>('TE BE'!$N$12+'TE BF'!$N$12+'TE CVA'!$N$12)*1</f>
        <v>0</v>
      </c>
      <c r="O12" s="20">
        <f>('TE BE'!$O$12+'TE BF'!$O$12+'TE CVA'!$O$12)*1</f>
        <v>5.9971225858189339</v>
      </c>
      <c r="P12" s="20">
        <f>('TE BE'!$P$12+'TE BF'!$P$12+'TE CVA'!$P$12)*1</f>
        <v>-16.33791036745717</v>
      </c>
      <c r="Q12" s="20">
        <f>('TE BE'!$R$12+'TE BF'!$R$12+'TE CVA'!$R$12)*1</f>
        <v>216.69127122305488</v>
      </c>
      <c r="R12" s="20">
        <f>('TE BE'!$T$12+'TE BF'!$T$12+'TE CVA'!$T$12)*1</f>
        <v>10.128636355120365</v>
      </c>
      <c r="S12" s="20">
        <f>('TE BE'!$U$12+'TE BF'!$U$12+'TE CVA'!$U$12)*1</f>
        <v>6.6790582306689137</v>
      </c>
      <c r="T12" s="20">
        <f>('TE BE'!$V$12+'TE BF'!$V$12+'TE CVA'!$V$12)*1</f>
        <v>0</v>
      </c>
      <c r="U12" s="20">
        <f>('TE BE'!$X$12+'TE BF'!$X$12+'TE CVA'!$X$12)*1</f>
        <v>0</v>
      </c>
      <c r="V12" s="20">
        <f>('TE BE'!$Z$12+'TE BF'!$Z$12+'TE CVA'!$Z$12)*1</f>
        <v>7.2825924219443898</v>
      </c>
      <c r="X12" s="20">
        <v>2.7435633875742398</v>
      </c>
      <c r="Y12" s="20">
        <v>15.2132837836551</v>
      </c>
      <c r="Z12" s="20">
        <v>0</v>
      </c>
      <c r="AA12" s="20">
        <v>0</v>
      </c>
      <c r="AB12" s="20">
        <v>0</v>
      </c>
      <c r="AC12" s="20">
        <v>236.85905432750999</v>
      </c>
      <c r="AD12" s="20">
        <v>10.265528215408599</v>
      </c>
      <c r="AE12" s="20">
        <v>11.4821206026085</v>
      </c>
      <c r="AF12" s="20">
        <v>0</v>
      </c>
      <c r="AG12" s="20">
        <v>0</v>
      </c>
      <c r="AH12" s="20">
        <v>6.8121903859507897</v>
      </c>
    </row>
    <row r="13" spans="1:34" ht="11.25" customHeight="1" x14ac:dyDescent="0.25">
      <c r="A13" s="163"/>
      <c r="B13" s="163"/>
      <c r="C13" s="163"/>
      <c r="D13" s="163"/>
      <c r="E13" s="163"/>
      <c r="F13" s="163"/>
      <c r="G13" s="22" t="s">
        <v>73</v>
      </c>
      <c r="H13" s="22" t="s">
        <v>71</v>
      </c>
      <c r="I13" s="22">
        <f>'MERCADO TE'!$U$10</f>
        <v>23.997999999999998</v>
      </c>
      <c r="J13" s="15"/>
      <c r="L13" s="20">
        <f>('TE BE'!$L$13+'TE BF'!$L$13+'TE CVA'!$L$13)*1</f>
        <v>2.5437435107756312</v>
      </c>
      <c r="M13" s="20">
        <f>('TE BE'!$M$13+'TE BF'!$M$13+'TE CVA'!$M$13)*1</f>
        <v>26.05226126489157</v>
      </c>
      <c r="N13" s="20">
        <f>('TE BE'!$N$13+'TE BF'!$N$13+'TE CVA'!$N$13)*1</f>
        <v>0</v>
      </c>
      <c r="O13" s="20">
        <f>('TE BE'!$O$13+'TE BF'!$O$13+'TE CVA'!$O$13)*1</f>
        <v>5.9971225858189339</v>
      </c>
      <c r="P13" s="20">
        <f>('TE BE'!$P$13+'TE BF'!$P$13+'TE CVA'!$P$13)*1</f>
        <v>-16.33791036745717</v>
      </c>
      <c r="Q13" s="20">
        <f>('TE BE'!$R$13+'TE BF'!$R$13+'TE CVA'!$R$13)*1</f>
        <v>216.69127122305488</v>
      </c>
      <c r="R13" s="20">
        <f>('TE BE'!$T$13+'TE BF'!$T$13+'TE CVA'!$T$13)*1</f>
        <v>10.128636355120365</v>
      </c>
      <c r="S13" s="20">
        <f>('TE BE'!$U$13+'TE BF'!$U$13+'TE CVA'!$U$13)*1</f>
        <v>6.6790582306689137</v>
      </c>
      <c r="T13" s="20">
        <f>('TE BE'!$V$13+'TE BF'!$V$13+'TE CVA'!$V$13)*1</f>
        <v>0</v>
      </c>
      <c r="U13" s="20">
        <f>('TE BE'!$X$13+'TE BF'!$X$13+'TE CVA'!$X$13)*1</f>
        <v>0</v>
      </c>
      <c r="V13" s="20">
        <f>('TE BE'!$Z$13+'TE BF'!$Z$13+'TE CVA'!$Z$13)*1</f>
        <v>7.2825924219443898</v>
      </c>
      <c r="X13" s="20">
        <v>2.7435633875742398</v>
      </c>
      <c r="Y13" s="20">
        <v>15.2132837836551</v>
      </c>
      <c r="Z13" s="20">
        <v>0</v>
      </c>
      <c r="AA13" s="20">
        <v>0</v>
      </c>
      <c r="AB13" s="20">
        <v>0</v>
      </c>
      <c r="AC13" s="20">
        <v>236.85905432750999</v>
      </c>
      <c r="AD13" s="20">
        <v>10.265528215408599</v>
      </c>
      <c r="AE13" s="20">
        <v>11.4821206026085</v>
      </c>
      <c r="AF13" s="20">
        <v>0</v>
      </c>
      <c r="AG13" s="20">
        <v>0</v>
      </c>
      <c r="AH13" s="20">
        <v>6.8121903859507897</v>
      </c>
    </row>
    <row r="14" spans="1:34" ht="11.25" customHeight="1" x14ac:dyDescent="0.25">
      <c r="A14" s="163"/>
      <c r="B14" s="163" t="s">
        <v>74</v>
      </c>
      <c r="C14" s="163" t="s">
        <v>24</v>
      </c>
      <c r="D14" s="23" t="s">
        <v>24</v>
      </c>
      <c r="E14" s="23" t="s">
        <v>25</v>
      </c>
      <c r="F14" s="23" t="s">
        <v>25</v>
      </c>
      <c r="G14" s="22" t="s">
        <v>75</v>
      </c>
      <c r="H14" s="22" t="s">
        <v>71</v>
      </c>
      <c r="I14" s="22">
        <f>'MERCADO TE'!$U$11</f>
        <v>84272.327000000005</v>
      </c>
      <c r="J14" s="15"/>
      <c r="L14" s="20">
        <f>('TE BE'!$L$14+'TE BF'!$L$14+'TE CVA'!$L$14)*1</f>
        <v>2.5437435107756312</v>
      </c>
      <c r="M14" s="20">
        <f>('TE BE'!$M$14+'TE BF'!$M$14+'TE CVA'!$M$14)*1</f>
        <v>26.05226126489157</v>
      </c>
      <c r="N14" s="20">
        <f>('TE BE'!$N$14+'TE BF'!$N$14+'TE CVA'!$N$14)*1</f>
        <v>0</v>
      </c>
      <c r="O14" s="20">
        <f>('TE BE'!$O$14+'TE BF'!$O$14+'TE CVA'!$O$14)*1</f>
        <v>5.9971225858189339</v>
      </c>
      <c r="P14" s="20">
        <f>('TE BE'!$P$14+'TE BF'!$P$14+'TE CVA'!$P$14)*1</f>
        <v>-16.33791036745717</v>
      </c>
      <c r="Q14" s="20">
        <f>('TE BE'!$R$14+'TE BF'!$R$14+'TE CVA'!$R$14)*1</f>
        <v>229.69274749643819</v>
      </c>
      <c r="R14" s="20">
        <f>('TE BE'!$T$14+'TE BF'!$T$14+'TE CVA'!$T$14)*1</f>
        <v>10.128636355120365</v>
      </c>
      <c r="S14" s="20">
        <f>('TE BE'!$U$14+'TE BF'!$U$14+'TE CVA'!$U$14)*1</f>
        <v>6.6790582306689137</v>
      </c>
      <c r="T14" s="20">
        <f>('TE BE'!$V$14+'TE BF'!$V$14+'TE CVA'!$V$14)*1</f>
        <v>0</v>
      </c>
      <c r="U14" s="20">
        <f>('TE BE'!$X$14+'TE BF'!$X$14+'TE CVA'!$X$14)*1</f>
        <v>0</v>
      </c>
      <c r="V14" s="20">
        <f>('TE BE'!$Z$14+'TE BF'!$Z$14+'TE CVA'!$Z$14)*1</f>
        <v>7.2825924219443898</v>
      </c>
      <c r="X14" s="20">
        <v>2.7435633875742398</v>
      </c>
      <c r="Y14" s="20">
        <v>15.2132837836551</v>
      </c>
      <c r="Z14" s="20">
        <v>0</v>
      </c>
      <c r="AA14" s="20">
        <v>0</v>
      </c>
      <c r="AB14" s="20">
        <v>0</v>
      </c>
      <c r="AC14" s="20">
        <v>251.07059758716099</v>
      </c>
      <c r="AD14" s="20">
        <v>10.265528215408599</v>
      </c>
      <c r="AE14" s="20">
        <v>11.4821206026085</v>
      </c>
      <c r="AF14" s="20">
        <v>0</v>
      </c>
      <c r="AG14" s="20">
        <v>0</v>
      </c>
      <c r="AH14" s="20">
        <v>6.8121903859507897</v>
      </c>
    </row>
    <row r="15" spans="1:34" ht="11.25" customHeight="1" x14ac:dyDescent="0.25">
      <c r="A15" s="163"/>
      <c r="B15" s="163"/>
      <c r="C15" s="163"/>
      <c r="D15" s="23" t="s">
        <v>29</v>
      </c>
      <c r="E15" s="23" t="s">
        <v>25</v>
      </c>
      <c r="F15" s="23" t="s">
        <v>25</v>
      </c>
      <c r="G15" s="22" t="s">
        <v>75</v>
      </c>
      <c r="H15" s="22" t="s">
        <v>71</v>
      </c>
      <c r="I15" s="22">
        <f>'MERCADO TE'!$U$12</f>
        <v>1735.35</v>
      </c>
      <c r="J15" s="15"/>
      <c r="L15" s="20">
        <f>('TE BE'!$L$15+'TE BF'!$L$15+'TE CVA'!$L$15)*(1 - 0.65)</f>
        <v>0.89031022877147081</v>
      </c>
      <c r="M15" s="20">
        <f>('TE BE'!$M$15+'TE BF'!$M$15+'TE CVA'!$M$15)*(1 - 0.65)</f>
        <v>9.1182914427120494</v>
      </c>
      <c r="N15" s="20">
        <f>('TE BE'!$N$15+'TE BF'!$N$15+'TE CVA'!$N$15)*(1 - 0.65)</f>
        <v>0</v>
      </c>
      <c r="O15" s="20">
        <f>('TE BE'!$O$15+'TE BF'!$O$15+'TE CVA'!$O$15)*(1 - 0.65)</f>
        <v>2.0989929050366269</v>
      </c>
      <c r="P15" s="20">
        <f>('TE BE'!$P$15+'TE BF'!$P$15+'TE CVA'!$P$15)*(1 - 0.65)</f>
        <v>-5.7182686286100086</v>
      </c>
      <c r="Q15" s="20">
        <f>('TE BE'!$R$15+'TE BF'!$R$15+'TE CVA'!$R$15)*(1 - 0.65)</f>
        <v>80.392461623753363</v>
      </c>
      <c r="R15" s="20">
        <f>('TE BE'!$T$15+'TE BF'!$T$15+'TE CVA'!$T$15)*(1 - 0.65)</f>
        <v>3.5450227242921275</v>
      </c>
      <c r="S15" s="20">
        <f>('TE BE'!$U$15+'TE BF'!$U$15+'TE CVA'!$U$15)*(1 - 0.65)</f>
        <v>2.3376703807341195</v>
      </c>
      <c r="T15" s="20">
        <f>('TE BE'!$V$15+'TE BF'!$V$15+'TE CVA'!$V$15)*(1 - 0.65)</f>
        <v>0</v>
      </c>
      <c r="U15" s="20">
        <f>('TE BE'!$X$15+'TE BF'!$X$15+'TE CVA'!$X$15)*(1 - 0.65)</f>
        <v>0</v>
      </c>
      <c r="V15" s="20">
        <f>('TE BE'!$Z$15+'TE BF'!$Z$15+'TE CVA'!$Z$15)*(1 - 0.65)</f>
        <v>2.5489073476805362</v>
      </c>
      <c r="X15" s="20">
        <v>0.96024718565098199</v>
      </c>
      <c r="Y15" s="20">
        <v>5.3246493242792798</v>
      </c>
      <c r="Z15" s="20">
        <v>0</v>
      </c>
      <c r="AA15" s="20">
        <v>0</v>
      </c>
      <c r="AB15" s="20">
        <v>0</v>
      </c>
      <c r="AC15" s="20">
        <v>87.874709155506295</v>
      </c>
      <c r="AD15" s="20">
        <v>3.5929348753930199</v>
      </c>
      <c r="AE15" s="20">
        <v>4.0187422109129596</v>
      </c>
      <c r="AF15" s="20">
        <v>0</v>
      </c>
      <c r="AG15" s="20">
        <v>0</v>
      </c>
      <c r="AH15" s="20">
        <v>2.3842666350827799</v>
      </c>
    </row>
    <row r="16" spans="1:34" ht="11.25" customHeight="1" x14ac:dyDescent="0.25">
      <c r="A16" s="163"/>
      <c r="B16" s="163"/>
      <c r="C16" s="163"/>
      <c r="D16" s="23" t="s">
        <v>30</v>
      </c>
      <c r="E16" s="23" t="s">
        <v>25</v>
      </c>
      <c r="F16" s="23" t="s">
        <v>25</v>
      </c>
      <c r="G16" s="22" t="s">
        <v>75</v>
      </c>
      <c r="H16" s="22" t="s">
        <v>71</v>
      </c>
      <c r="I16" s="22">
        <f>'MERCADO TE'!$U$13</f>
        <v>3306.717000000001</v>
      </c>
      <c r="J16" s="15"/>
      <c r="L16" s="20">
        <f>('TE BE'!$L$16+'TE BF'!$L$16+'TE CVA'!$L$16)*(1 - 0.4)</f>
        <v>1.5262461064653787</v>
      </c>
      <c r="M16" s="20">
        <f>('TE BE'!$M$16+'TE BF'!$M$16+'TE CVA'!$M$16)*(1 - 0.4)</f>
        <v>15.631356758934942</v>
      </c>
      <c r="N16" s="20">
        <f>('TE BE'!$N$16+'TE BF'!$N$16+'TE CVA'!$N$16)*(1 - 0.4)</f>
        <v>0</v>
      </c>
      <c r="O16" s="20">
        <f>('TE BE'!$O$16+'TE BF'!$O$16+'TE CVA'!$O$16)*(1 - 0.4)</f>
        <v>3.59827355149136</v>
      </c>
      <c r="P16" s="20">
        <f>('TE BE'!$P$16+'TE BF'!$P$16+'TE CVA'!$P$16)*(1 - 0.4)</f>
        <v>-9.802746220474301</v>
      </c>
      <c r="Q16" s="20">
        <f>('TE BE'!$R$16+'TE BF'!$R$16+'TE CVA'!$R$16)*(1 - 0.4)</f>
        <v>137.8156484978629</v>
      </c>
      <c r="R16" s="20">
        <f>('TE BE'!$T$16+'TE BF'!$T$16+'TE CVA'!$T$16)*(1 - 0.4)</f>
        <v>6.0771818130722188</v>
      </c>
      <c r="S16" s="20">
        <f>('TE BE'!$U$16+'TE BF'!$U$16+'TE CVA'!$U$16)*(1 - 0.4)</f>
        <v>4.0074349384013477</v>
      </c>
      <c r="T16" s="20">
        <f>('TE BE'!$V$16+'TE BF'!$V$16+'TE CVA'!$V$16)*(1 - 0.4)</f>
        <v>0</v>
      </c>
      <c r="U16" s="20">
        <f>('TE BE'!$X$16+'TE BF'!$X$16+'TE CVA'!$X$16)*(1 - 0.4)</f>
        <v>0</v>
      </c>
      <c r="V16" s="20">
        <f>('TE BE'!$Z$16+'TE BF'!$Z$16+'TE CVA'!$Z$16)*(1 - 0.4)</f>
        <v>4.3695554531666341</v>
      </c>
      <c r="X16" s="20">
        <v>1.6461380325445401</v>
      </c>
      <c r="Y16" s="20">
        <v>9.1279702701930496</v>
      </c>
      <c r="Z16" s="20">
        <v>0</v>
      </c>
      <c r="AA16" s="20">
        <v>0</v>
      </c>
      <c r="AB16" s="20">
        <v>0</v>
      </c>
      <c r="AC16" s="20">
        <v>150.642358552296</v>
      </c>
      <c r="AD16" s="20">
        <v>6.1593169292451799</v>
      </c>
      <c r="AE16" s="20">
        <v>6.8892723615650704</v>
      </c>
      <c r="AF16" s="20">
        <v>0</v>
      </c>
      <c r="AG16" s="20">
        <v>0</v>
      </c>
      <c r="AH16" s="20">
        <v>4.0873142315704802</v>
      </c>
    </row>
    <row r="17" spans="1:34" ht="11.25" customHeight="1" x14ac:dyDescent="0.25">
      <c r="A17" s="163"/>
      <c r="B17" s="163"/>
      <c r="C17" s="163"/>
      <c r="D17" s="23" t="s">
        <v>31</v>
      </c>
      <c r="E17" s="23" t="s">
        <v>25</v>
      </c>
      <c r="F17" s="23" t="s">
        <v>25</v>
      </c>
      <c r="G17" s="22" t="s">
        <v>75</v>
      </c>
      <c r="H17" s="22" t="s">
        <v>71</v>
      </c>
      <c r="I17" s="22">
        <f>'MERCADO TE'!$U$14</f>
        <v>2084.8169999999996</v>
      </c>
      <c r="J17" s="15"/>
      <c r="L17" s="20">
        <f>('TE BE'!$L$17+'TE BF'!$L$17+'TE CVA'!$L$17)*(1 - 0.1)</f>
        <v>2.2893691596980683</v>
      </c>
      <c r="M17" s="20">
        <f>('TE BE'!$M$17+'TE BF'!$M$17+'TE CVA'!$M$17)*(1 - 0.1)</f>
        <v>23.447035138402413</v>
      </c>
      <c r="N17" s="20">
        <f>('TE BE'!$N$17+'TE BF'!$N$17+'TE CVA'!$N$17)*(1 - 0.1)</f>
        <v>0</v>
      </c>
      <c r="O17" s="20">
        <f>('TE BE'!$O$17+'TE BF'!$O$17+'TE CVA'!$O$17)*(1 - 0.1)</f>
        <v>5.3974103272370408</v>
      </c>
      <c r="P17" s="20">
        <f>('TE BE'!$P$17+'TE BF'!$P$17+'TE CVA'!$P$17)*(1 - 0.1)</f>
        <v>-14.704119330711453</v>
      </c>
      <c r="Q17" s="20">
        <f>('TE BE'!$R$17+'TE BF'!$R$17+'TE CVA'!$R$17)*(1 - 0.1)</f>
        <v>206.72347274679439</v>
      </c>
      <c r="R17" s="20">
        <f>('TE BE'!$T$17+'TE BF'!$T$17+'TE CVA'!$T$17)*(1 - 0.1)</f>
        <v>9.1157727196083282</v>
      </c>
      <c r="S17" s="20">
        <f>('TE BE'!$U$17+'TE BF'!$U$17+'TE CVA'!$U$17)*(1 - 0.1)</f>
        <v>6.0111524076020224</v>
      </c>
      <c r="T17" s="20">
        <f>('TE BE'!$V$17+'TE BF'!$V$17+'TE CVA'!$V$17)*(1 - 0.1)</f>
        <v>0</v>
      </c>
      <c r="U17" s="20">
        <f>('TE BE'!$X$17+'TE BF'!$X$17+'TE CVA'!$X$17)*(1 - 0.1)</f>
        <v>0</v>
      </c>
      <c r="V17" s="20">
        <f>('TE BE'!$Z$17+'TE BF'!$Z$17+'TE CVA'!$Z$17)*(1 - 0.1)</f>
        <v>6.5543331797499507</v>
      </c>
      <c r="X17" s="20">
        <v>2.4692070488168101</v>
      </c>
      <c r="Y17" s="20">
        <v>13.691955405289599</v>
      </c>
      <c r="Z17" s="20">
        <v>0</v>
      </c>
      <c r="AA17" s="20">
        <v>0</v>
      </c>
      <c r="AB17" s="20">
        <v>0</v>
      </c>
      <c r="AC17" s="20">
        <v>225.963537828445</v>
      </c>
      <c r="AD17" s="20">
        <v>9.2389753938677703</v>
      </c>
      <c r="AE17" s="20">
        <v>10.333908542347601</v>
      </c>
      <c r="AF17" s="20">
        <v>0</v>
      </c>
      <c r="AG17" s="20">
        <v>0</v>
      </c>
      <c r="AH17" s="20">
        <v>6.1309713473557101</v>
      </c>
    </row>
    <row r="18" spans="1:34" ht="11.25" customHeight="1" x14ac:dyDescent="0.25">
      <c r="A18" s="163"/>
      <c r="B18" s="163"/>
      <c r="C18" s="163"/>
      <c r="D18" s="23" t="s">
        <v>32</v>
      </c>
      <c r="E18" s="23" t="s">
        <v>25</v>
      </c>
      <c r="F18" s="23" t="s">
        <v>25</v>
      </c>
      <c r="G18" s="22" t="s">
        <v>75</v>
      </c>
      <c r="H18" s="22" t="s">
        <v>71</v>
      </c>
      <c r="I18" s="22">
        <f>'MERCADO TE'!$U$15</f>
        <v>412.21400000000006</v>
      </c>
      <c r="J18" s="15"/>
      <c r="L18" s="20">
        <f>('TE BE'!$L$18+'TE BF'!$L$18+'TE CVA'!$L$18)*1</f>
        <v>2.5437435107756312</v>
      </c>
      <c r="M18" s="20">
        <f>('TE BE'!$M$18+'TE BF'!$M$18+'TE CVA'!$M$18)*1</f>
        <v>26.05226126489157</v>
      </c>
      <c r="N18" s="20">
        <f>('TE BE'!$N$18+'TE BF'!$N$18+'TE CVA'!$N$18)*1</f>
        <v>0</v>
      </c>
      <c r="O18" s="20">
        <f>('TE BE'!$O$18+'TE BF'!$O$18+'TE CVA'!$O$18)*1</f>
        <v>5.9971225858189339</v>
      </c>
      <c r="P18" s="20">
        <f>('TE BE'!$P$18+'TE BF'!$P$18+'TE CVA'!$P$18)*1</f>
        <v>-16.33791036745717</v>
      </c>
      <c r="Q18" s="20">
        <f>('TE BE'!$R$18+'TE BF'!$R$18+'TE CVA'!$R$18)*1</f>
        <v>229.69274749643819</v>
      </c>
      <c r="R18" s="20">
        <f>('TE BE'!$T$18+'TE BF'!$T$18+'TE CVA'!$T$18)*1</f>
        <v>10.128636355120365</v>
      </c>
      <c r="S18" s="20">
        <f>('TE BE'!$U$18+'TE BF'!$U$18+'TE CVA'!$U$18)*1</f>
        <v>6.6790582306689137</v>
      </c>
      <c r="T18" s="20">
        <f>('TE BE'!$V$18+'TE BF'!$V$18+'TE CVA'!$V$18)*1</f>
        <v>0</v>
      </c>
      <c r="U18" s="20">
        <f>('TE BE'!$X$18+'TE BF'!$X$18+'TE CVA'!$X$18)*1</f>
        <v>0</v>
      </c>
      <c r="V18" s="20">
        <f>('TE BE'!$Z$18+'TE BF'!$Z$18+'TE CVA'!$Z$18)*1</f>
        <v>7.2825924219443898</v>
      </c>
      <c r="X18" s="20">
        <v>2.7435633875742398</v>
      </c>
      <c r="Y18" s="20">
        <v>15.2132837836551</v>
      </c>
      <c r="Z18" s="20">
        <v>0</v>
      </c>
      <c r="AA18" s="20">
        <v>0</v>
      </c>
      <c r="AB18" s="20">
        <v>0</v>
      </c>
      <c r="AC18" s="20">
        <v>251.07059758716099</v>
      </c>
      <c r="AD18" s="20">
        <v>10.265528215408599</v>
      </c>
      <c r="AE18" s="20">
        <v>11.4821206026085</v>
      </c>
      <c r="AF18" s="20">
        <v>0</v>
      </c>
      <c r="AG18" s="20">
        <v>0</v>
      </c>
      <c r="AH18" s="20">
        <v>6.8121903859507897</v>
      </c>
    </row>
    <row r="19" spans="1:34" ht="11.25" customHeight="1" x14ac:dyDescent="0.25">
      <c r="A19" s="163"/>
      <c r="B19" s="163" t="s">
        <v>85</v>
      </c>
      <c r="C19" s="163" t="s">
        <v>24</v>
      </c>
      <c r="D19" s="23" t="s">
        <v>24</v>
      </c>
      <c r="E19" s="23" t="s">
        <v>25</v>
      </c>
      <c r="F19" s="23" t="s">
        <v>25</v>
      </c>
      <c r="G19" s="22" t="s">
        <v>75</v>
      </c>
      <c r="H19" s="22" t="s">
        <v>71</v>
      </c>
      <c r="I19" s="22">
        <f>'MERCADO TE'!$U$16</f>
        <v>0</v>
      </c>
      <c r="J19" s="15"/>
      <c r="L19" s="20">
        <f>('TE BE'!$L$19+'TE BF'!$L$19+'TE CVA'!$L$19)*1</f>
        <v>2.5437435107756312</v>
      </c>
      <c r="M19" s="20">
        <f>('TE BE'!$M$19+'TE BF'!$M$19+'TE CVA'!$M$19)*1</f>
        <v>26.05226126489157</v>
      </c>
      <c r="N19" s="20">
        <f>('TE BE'!$N$19+'TE BF'!$N$19+'TE CVA'!$N$19)*1</f>
        <v>0</v>
      </c>
      <c r="O19" s="20">
        <f>('TE BE'!$O$19+'TE BF'!$O$19+'TE CVA'!$O$19)*1</f>
        <v>5.9971225858189339</v>
      </c>
      <c r="P19" s="20">
        <f>('TE BE'!$P$19+'TE BF'!$P$19+'TE CVA'!$P$19)*1</f>
        <v>-16.33791036745717</v>
      </c>
      <c r="Q19" s="20">
        <f>('TE BE'!$R$19+'TE BF'!$R$19+'TE CVA'!$R$19)*1</f>
        <v>229.69274749643819</v>
      </c>
      <c r="R19" s="20">
        <f>('TE BE'!$T$19+'TE BF'!$T$19+'TE CVA'!$T$19)*1</f>
        <v>10.128636355120365</v>
      </c>
      <c r="S19" s="20">
        <f>('TE BE'!$U$19+'TE BF'!$U$19+'TE CVA'!$U$19)*1</f>
        <v>6.6790582306689137</v>
      </c>
      <c r="T19" s="20">
        <f>('TE BE'!$V$19+'TE BF'!$V$19+'TE CVA'!$V$19)*1</f>
        <v>0</v>
      </c>
      <c r="U19" s="20">
        <f>('TE BE'!$X$19+'TE BF'!$X$19+'TE CVA'!$X$19)*1</f>
        <v>0</v>
      </c>
      <c r="V19" s="20">
        <f>('TE BE'!$Z$19+'TE BF'!$Z$19+'TE CVA'!$Z$19)*1</f>
        <v>7.2825924219443898</v>
      </c>
      <c r="X19" s="20">
        <v>2.7435633875742398</v>
      </c>
      <c r="Y19" s="20">
        <v>15.2132837836551</v>
      </c>
      <c r="Z19" s="20">
        <v>0</v>
      </c>
      <c r="AA19" s="20">
        <v>0</v>
      </c>
      <c r="AB19" s="20">
        <v>0</v>
      </c>
      <c r="AC19" s="20">
        <v>251.07059758716099</v>
      </c>
      <c r="AD19" s="20">
        <v>10.265528215408599</v>
      </c>
      <c r="AE19" s="20">
        <v>11.4821206026085</v>
      </c>
      <c r="AF19" s="20">
        <v>0</v>
      </c>
      <c r="AG19" s="20">
        <v>0</v>
      </c>
      <c r="AH19" s="20">
        <v>6.8121903859507897</v>
      </c>
    </row>
    <row r="20" spans="1:34" ht="11.25" customHeight="1" x14ac:dyDescent="0.25">
      <c r="A20" s="163"/>
      <c r="B20" s="163"/>
      <c r="C20" s="163"/>
      <c r="D20" s="23" t="s">
        <v>29</v>
      </c>
      <c r="E20" s="23" t="s">
        <v>25</v>
      </c>
      <c r="F20" s="23" t="s">
        <v>25</v>
      </c>
      <c r="G20" s="22" t="s">
        <v>75</v>
      </c>
      <c r="H20" s="22" t="s">
        <v>71</v>
      </c>
      <c r="I20" s="22">
        <f>'MERCADO TE'!$U$17</f>
        <v>0</v>
      </c>
      <c r="J20" s="15"/>
      <c r="L20" s="20">
        <f>('TE BE'!$L$20+'TE BF'!$L$20+'TE CVA'!$L$20)*(1 - 0.65)</f>
        <v>0.89031022877147081</v>
      </c>
      <c r="M20" s="20">
        <f>('TE BE'!$M$20+'TE BF'!$M$20+'TE CVA'!$M$20)*(1 - 0.65)</f>
        <v>9.1182914427120494</v>
      </c>
      <c r="N20" s="20">
        <f>('TE BE'!$N$20+'TE BF'!$N$20+'TE CVA'!$N$20)*(1 - 0.65)</f>
        <v>0</v>
      </c>
      <c r="O20" s="20">
        <f>('TE BE'!$O$20+'TE BF'!$O$20+'TE CVA'!$O$20)*(1 - 0.65)</f>
        <v>2.0989929050366269</v>
      </c>
      <c r="P20" s="20">
        <f>('TE BE'!$P$20+'TE BF'!$P$20+'TE CVA'!$P$20)*(1 - 0.65)</f>
        <v>-5.7182686286100086</v>
      </c>
      <c r="Q20" s="20">
        <f>('TE BE'!$R$20+'TE BF'!$R$20+'TE CVA'!$R$20)*(1 - 0.65)</f>
        <v>80.392461623753363</v>
      </c>
      <c r="R20" s="20">
        <f>('TE BE'!$T$20+'TE BF'!$T$20+'TE CVA'!$T$20)*(1 - 0.65)</f>
        <v>3.5450227242921275</v>
      </c>
      <c r="S20" s="20">
        <f>('TE BE'!$U$20+'TE BF'!$U$20+'TE CVA'!$U$20)*(1 - 0.65)</f>
        <v>2.3376703807341195</v>
      </c>
      <c r="T20" s="20">
        <f>('TE BE'!$V$20+'TE BF'!$V$20+'TE CVA'!$V$20)*(1 - 0.65)</f>
        <v>0</v>
      </c>
      <c r="U20" s="20">
        <f>('TE BE'!$X$20+'TE BF'!$X$20+'TE CVA'!$X$20)*(1 - 0.65)</f>
        <v>0</v>
      </c>
      <c r="V20" s="20">
        <f>('TE BE'!$Z$20+'TE BF'!$Z$20+'TE CVA'!$Z$20)*(1 - 0.65)</f>
        <v>2.5489073476805362</v>
      </c>
      <c r="X20" s="20">
        <v>0.96024718565098199</v>
      </c>
      <c r="Y20" s="20">
        <v>5.3246493242792798</v>
      </c>
      <c r="Z20" s="20">
        <v>0</v>
      </c>
      <c r="AA20" s="20">
        <v>0</v>
      </c>
      <c r="AB20" s="20">
        <v>0</v>
      </c>
      <c r="AC20" s="20">
        <v>87.874709155506295</v>
      </c>
      <c r="AD20" s="20">
        <v>3.5929348753930199</v>
      </c>
      <c r="AE20" s="20">
        <v>4.0187422109129596</v>
      </c>
      <c r="AF20" s="20">
        <v>0</v>
      </c>
      <c r="AG20" s="20">
        <v>0</v>
      </c>
      <c r="AH20" s="20">
        <v>2.3842666350827799</v>
      </c>
    </row>
    <row r="21" spans="1:34" ht="11.25" customHeight="1" x14ac:dyDescent="0.25">
      <c r="A21" s="163"/>
      <c r="B21" s="163"/>
      <c r="C21" s="163"/>
      <c r="D21" s="23" t="s">
        <v>30</v>
      </c>
      <c r="E21" s="23" t="s">
        <v>25</v>
      </c>
      <c r="F21" s="23" t="s">
        <v>25</v>
      </c>
      <c r="G21" s="22" t="s">
        <v>75</v>
      </c>
      <c r="H21" s="22" t="s">
        <v>71</v>
      </c>
      <c r="I21" s="22">
        <f>'MERCADO TE'!$U$18</f>
        <v>0</v>
      </c>
      <c r="J21" s="15"/>
      <c r="L21" s="20">
        <f>('TE BE'!$L$21+'TE BF'!$L$21+'TE CVA'!$L$21)*(1 - 0.4)</f>
        <v>1.5262461064653787</v>
      </c>
      <c r="M21" s="20">
        <f>('TE BE'!$M$21+'TE BF'!$M$21+'TE CVA'!$M$21)*(1 - 0.4)</f>
        <v>15.631356758934942</v>
      </c>
      <c r="N21" s="20">
        <f>('TE BE'!$N$21+'TE BF'!$N$21+'TE CVA'!$N$21)*(1 - 0.4)</f>
        <v>0</v>
      </c>
      <c r="O21" s="20">
        <f>('TE BE'!$O$21+'TE BF'!$O$21+'TE CVA'!$O$21)*(1 - 0.4)</f>
        <v>3.59827355149136</v>
      </c>
      <c r="P21" s="20">
        <f>('TE BE'!$P$21+'TE BF'!$P$21+'TE CVA'!$P$21)*(1 - 0.4)</f>
        <v>-9.802746220474301</v>
      </c>
      <c r="Q21" s="20">
        <f>('TE BE'!$R$21+'TE BF'!$R$21+'TE CVA'!$R$21)*(1 - 0.4)</f>
        <v>137.8156484978629</v>
      </c>
      <c r="R21" s="20">
        <f>('TE BE'!$T$21+'TE BF'!$T$21+'TE CVA'!$T$21)*(1 - 0.4)</f>
        <v>6.0771818130722188</v>
      </c>
      <c r="S21" s="20">
        <f>('TE BE'!$U$21+'TE BF'!$U$21+'TE CVA'!$U$21)*(1 - 0.4)</f>
        <v>4.0074349384013477</v>
      </c>
      <c r="T21" s="20">
        <f>('TE BE'!$V$21+'TE BF'!$V$21+'TE CVA'!$V$21)*(1 - 0.4)</f>
        <v>0</v>
      </c>
      <c r="U21" s="20">
        <f>('TE BE'!$X$21+'TE BF'!$X$21+'TE CVA'!$X$21)*(1 - 0.4)</f>
        <v>0</v>
      </c>
      <c r="V21" s="20">
        <f>('TE BE'!$Z$21+'TE BF'!$Z$21+'TE CVA'!$Z$21)*(1 - 0.4)</f>
        <v>4.3695554531666341</v>
      </c>
      <c r="X21" s="20">
        <v>1.6461380325445401</v>
      </c>
      <c r="Y21" s="20">
        <v>9.1279702701930496</v>
      </c>
      <c r="Z21" s="20">
        <v>0</v>
      </c>
      <c r="AA21" s="20">
        <v>0</v>
      </c>
      <c r="AB21" s="20">
        <v>0</v>
      </c>
      <c r="AC21" s="20">
        <v>150.642358552296</v>
      </c>
      <c r="AD21" s="20">
        <v>6.1593169292451799</v>
      </c>
      <c r="AE21" s="20">
        <v>6.8892723615650704</v>
      </c>
      <c r="AF21" s="20">
        <v>0</v>
      </c>
      <c r="AG21" s="20">
        <v>0</v>
      </c>
      <c r="AH21" s="20">
        <v>4.0873142315704802</v>
      </c>
    </row>
    <row r="22" spans="1:34" ht="11.25" customHeight="1" x14ac:dyDescent="0.25">
      <c r="A22" s="163"/>
      <c r="B22" s="163"/>
      <c r="C22" s="163"/>
      <c r="D22" s="23" t="s">
        <v>31</v>
      </c>
      <c r="E22" s="23" t="s">
        <v>25</v>
      </c>
      <c r="F22" s="23" t="s">
        <v>25</v>
      </c>
      <c r="G22" s="22" t="s">
        <v>75</v>
      </c>
      <c r="H22" s="22" t="s">
        <v>71</v>
      </c>
      <c r="I22" s="22">
        <f>'MERCADO TE'!$U$19</f>
        <v>0</v>
      </c>
      <c r="J22" s="15"/>
      <c r="L22" s="20">
        <f>('TE BE'!$L$22+'TE BF'!$L$22+'TE CVA'!$L$22)*(1 - 0.1)</f>
        <v>2.2893691596980683</v>
      </c>
      <c r="M22" s="20">
        <f>('TE BE'!$M$22+'TE BF'!$M$22+'TE CVA'!$M$22)*(1 - 0.1)</f>
        <v>23.447035138402413</v>
      </c>
      <c r="N22" s="20">
        <f>('TE BE'!$N$22+'TE BF'!$N$22+'TE CVA'!$N$22)*(1 - 0.1)</f>
        <v>0</v>
      </c>
      <c r="O22" s="20">
        <f>('TE BE'!$O$22+'TE BF'!$O$22+'TE CVA'!$O$22)*(1 - 0.1)</f>
        <v>5.3974103272370408</v>
      </c>
      <c r="P22" s="20">
        <f>('TE BE'!$P$22+'TE BF'!$P$22+'TE CVA'!$P$22)*(1 - 0.1)</f>
        <v>-14.704119330711453</v>
      </c>
      <c r="Q22" s="20">
        <f>('TE BE'!$R$22+'TE BF'!$R$22+'TE CVA'!$R$22)*(1 - 0.1)</f>
        <v>206.72347274679439</v>
      </c>
      <c r="R22" s="20">
        <f>('TE BE'!$T$22+'TE BF'!$T$22+'TE CVA'!$T$22)*(1 - 0.1)</f>
        <v>9.1157727196083282</v>
      </c>
      <c r="S22" s="20">
        <f>('TE BE'!$U$22+'TE BF'!$U$22+'TE CVA'!$U$22)*(1 - 0.1)</f>
        <v>6.0111524076020224</v>
      </c>
      <c r="T22" s="20">
        <f>('TE BE'!$V$22+'TE BF'!$V$22+'TE CVA'!$V$22)*(1 - 0.1)</f>
        <v>0</v>
      </c>
      <c r="U22" s="20">
        <f>('TE BE'!$X$22+'TE BF'!$X$22+'TE CVA'!$X$22)*(1 - 0.1)</f>
        <v>0</v>
      </c>
      <c r="V22" s="20">
        <f>('TE BE'!$Z$22+'TE BF'!$Z$22+'TE CVA'!$Z$22)*(1 - 0.1)</f>
        <v>6.5543331797499507</v>
      </c>
      <c r="X22" s="20">
        <v>2.4692070488168101</v>
      </c>
      <c r="Y22" s="20">
        <v>13.691955405289599</v>
      </c>
      <c r="Z22" s="20">
        <v>0</v>
      </c>
      <c r="AA22" s="20">
        <v>0</v>
      </c>
      <c r="AB22" s="20">
        <v>0</v>
      </c>
      <c r="AC22" s="20">
        <v>225.963537828445</v>
      </c>
      <c r="AD22" s="20">
        <v>9.2389753938677703</v>
      </c>
      <c r="AE22" s="20">
        <v>10.333908542347601</v>
      </c>
      <c r="AF22" s="20">
        <v>0</v>
      </c>
      <c r="AG22" s="20">
        <v>0</v>
      </c>
      <c r="AH22" s="20">
        <v>6.1309713473557101</v>
      </c>
    </row>
    <row r="23" spans="1:34" ht="11.25" customHeight="1" x14ac:dyDescent="0.25">
      <c r="A23" s="163"/>
      <c r="B23" s="163"/>
      <c r="C23" s="163"/>
      <c r="D23" s="23" t="s">
        <v>32</v>
      </c>
      <c r="E23" s="23" t="s">
        <v>25</v>
      </c>
      <c r="F23" s="23" t="s">
        <v>25</v>
      </c>
      <c r="G23" s="22" t="s">
        <v>75</v>
      </c>
      <c r="H23" s="22" t="s">
        <v>71</v>
      </c>
      <c r="I23" s="22">
        <f>'MERCADO TE'!$U$20</f>
        <v>0</v>
      </c>
      <c r="J23" s="15"/>
      <c r="L23" s="20">
        <f>('TE BE'!$L$23+'TE BF'!$L$23+'TE CVA'!$L$23)*1</f>
        <v>2.5437435107756312</v>
      </c>
      <c r="M23" s="20">
        <f>('TE BE'!$M$23+'TE BF'!$M$23+'TE CVA'!$M$23)*1</f>
        <v>26.05226126489157</v>
      </c>
      <c r="N23" s="20">
        <f>('TE BE'!$N$23+'TE BF'!$N$23+'TE CVA'!$N$23)*1</f>
        <v>0</v>
      </c>
      <c r="O23" s="20">
        <f>('TE BE'!$O$23+'TE BF'!$O$23+'TE CVA'!$O$23)*1</f>
        <v>5.9971225858189339</v>
      </c>
      <c r="P23" s="20">
        <f>('TE BE'!$P$23+'TE BF'!$P$23+'TE CVA'!$P$23)*1</f>
        <v>-16.33791036745717</v>
      </c>
      <c r="Q23" s="20">
        <f>('TE BE'!$R$23+'TE BF'!$R$23+'TE CVA'!$R$23)*1</f>
        <v>229.69274749643819</v>
      </c>
      <c r="R23" s="20">
        <f>('TE BE'!$T$23+'TE BF'!$T$23+'TE CVA'!$T$23)*1</f>
        <v>10.128636355120365</v>
      </c>
      <c r="S23" s="20">
        <f>('TE BE'!$U$23+'TE BF'!$U$23+'TE CVA'!$U$23)*1</f>
        <v>6.6790582306689137</v>
      </c>
      <c r="T23" s="20">
        <f>('TE BE'!$V$23+'TE BF'!$V$23+'TE CVA'!$V$23)*1</f>
        <v>0</v>
      </c>
      <c r="U23" s="20">
        <f>('TE BE'!$X$23+'TE BF'!$X$23+'TE CVA'!$X$23)*1</f>
        <v>0</v>
      </c>
      <c r="V23" s="20">
        <f>('TE BE'!$Z$23+'TE BF'!$Z$23+'TE CVA'!$Z$23)*1</f>
        <v>7.2825924219443898</v>
      </c>
      <c r="X23" s="20">
        <v>2.7435633875742398</v>
      </c>
      <c r="Y23" s="20">
        <v>15.2132837836551</v>
      </c>
      <c r="Z23" s="20">
        <v>0</v>
      </c>
      <c r="AA23" s="20">
        <v>0</v>
      </c>
      <c r="AB23" s="20">
        <v>0</v>
      </c>
      <c r="AC23" s="20">
        <v>251.07059758716099</v>
      </c>
      <c r="AD23" s="20">
        <v>10.265528215408599</v>
      </c>
      <c r="AE23" s="20">
        <v>11.4821206026085</v>
      </c>
      <c r="AF23" s="20">
        <v>0</v>
      </c>
      <c r="AG23" s="20">
        <v>0</v>
      </c>
      <c r="AH23" s="20">
        <v>6.8121903859507897</v>
      </c>
    </row>
    <row r="24" spans="1:34" ht="11.25" customHeight="1" x14ac:dyDescent="0.25">
      <c r="A24" s="163" t="s">
        <v>44</v>
      </c>
      <c r="B24" s="163" t="s">
        <v>70</v>
      </c>
      <c r="C24" s="163" t="s">
        <v>45</v>
      </c>
      <c r="D24" s="163" t="s">
        <v>25</v>
      </c>
      <c r="E24" s="163" t="s">
        <v>25</v>
      </c>
      <c r="F24" s="163" t="s">
        <v>25</v>
      </c>
      <c r="G24" s="22" t="s">
        <v>72</v>
      </c>
      <c r="H24" s="22" t="s">
        <v>71</v>
      </c>
      <c r="I24" s="22">
        <f>'MERCADO TE'!$U$21</f>
        <v>0</v>
      </c>
      <c r="J24" s="15"/>
      <c r="L24" s="20">
        <f>('TE BE'!$L$24+'TE BF'!$L$24+'TE CVA'!$L$24)*(1 - CUSTOS!$M$38)</f>
        <v>2.3911189001290931</v>
      </c>
      <c r="M24" s="20">
        <f>('TE BE'!$M$24+'TE BF'!$M$24+'TE CVA'!$M$24)*(1 - CUSTOS!$M$38)</f>
        <v>24.489125588998075</v>
      </c>
      <c r="N24" s="20">
        <f>('TE BE'!$N$24+'TE BF'!$N$24+'TE CVA'!$N$24)*(1 - CUSTOS!$M$38)</f>
        <v>0</v>
      </c>
      <c r="O24" s="20">
        <f>('TE BE'!$O$24+'TE BF'!$O$24+'TE CVA'!$O$24)*(1 - CUSTOS!$M$38)</f>
        <v>5.6372952306697979</v>
      </c>
      <c r="P24" s="20">
        <f>('TE BE'!$P$24+'TE BF'!$P$24+'TE CVA'!$P$24)*(1 - CUSTOS!$M$38)</f>
        <v>-15.357635745409738</v>
      </c>
      <c r="Q24" s="20">
        <f>('TE BE'!$R$24+'TE BF'!$R$24+'TE CVA'!$R$24)*(1 - CUSTOS!$M$38)</f>
        <v>350.34644731343508</v>
      </c>
      <c r="R24" s="20">
        <f>('TE BE'!$T$24+'TE BF'!$T$24+'TE CVA'!$T$24)*(1 - CUSTOS!$M$38)</f>
        <v>9.5209181738131434</v>
      </c>
      <c r="S24" s="20">
        <f>('TE BE'!$U$24+'TE BF'!$U$24+'TE CVA'!$U$24)*(1 - CUSTOS!$M$38)</f>
        <v>6.2783147368287784</v>
      </c>
      <c r="T24" s="20">
        <f>('TE BE'!$V$24+'TE BF'!$V$24+'TE CVA'!$V$24)*(1 - CUSTOS!$M$38)</f>
        <v>0</v>
      </c>
      <c r="U24" s="20">
        <f>('TE BE'!$X$24+'TE BF'!$X$24+'TE CVA'!$X$24)*(1 - CUSTOS!$M$38)</f>
        <v>0</v>
      </c>
      <c r="V24" s="20">
        <f>('TE BE'!$Z$24+'TE BF'!$Z$24+'TE CVA'!$Z$24)*(1 - CUSTOS!$M$38)</f>
        <v>6.8456368766277258</v>
      </c>
      <c r="X24" s="20">
        <v>2.4143357810653301</v>
      </c>
      <c r="Y24" s="20">
        <v>13.387689729616501</v>
      </c>
      <c r="Z24" s="20">
        <v>0</v>
      </c>
      <c r="AA24" s="20">
        <v>0</v>
      </c>
      <c r="AB24" s="20">
        <v>0</v>
      </c>
      <c r="AC24" s="20">
        <v>358.50986463011901</v>
      </c>
      <c r="AD24" s="20">
        <v>9.0336648295595996</v>
      </c>
      <c r="AE24" s="20">
        <v>10.1042661302954</v>
      </c>
      <c r="AF24" s="20">
        <v>0</v>
      </c>
      <c r="AG24" s="20">
        <v>0</v>
      </c>
      <c r="AH24" s="20">
        <v>5.9947275396366999</v>
      </c>
    </row>
    <row r="25" spans="1:34" ht="11.25" customHeight="1" x14ac:dyDescent="0.25">
      <c r="A25" s="163"/>
      <c r="B25" s="163"/>
      <c r="C25" s="163"/>
      <c r="D25" s="163"/>
      <c r="E25" s="163"/>
      <c r="F25" s="163"/>
      <c r="G25" s="22" t="s">
        <v>84</v>
      </c>
      <c r="H25" s="22" t="s">
        <v>71</v>
      </c>
      <c r="I25" s="22">
        <f>'MERCADO TE'!$U$22</f>
        <v>0</v>
      </c>
      <c r="J25" s="15"/>
      <c r="L25" s="20">
        <f>('TE BE'!$L$25+'TE BF'!$L$25+'TE CVA'!$L$25)*(1 - CUSTOS!$M$38)</f>
        <v>2.3911189001290931</v>
      </c>
      <c r="M25" s="20">
        <f>('TE BE'!$M$25+'TE BF'!$M$25+'TE CVA'!$M$25)*(1 - CUSTOS!$M$38)</f>
        <v>24.489125588998075</v>
      </c>
      <c r="N25" s="20">
        <f>('TE BE'!$N$25+'TE BF'!$N$25+'TE CVA'!$N$25)*(1 - CUSTOS!$M$38)</f>
        <v>0</v>
      </c>
      <c r="O25" s="20">
        <f>('TE BE'!$O$25+'TE BF'!$O$25+'TE CVA'!$O$25)*(1 - CUSTOS!$M$38)</f>
        <v>5.6372952306697979</v>
      </c>
      <c r="P25" s="20">
        <f>('TE BE'!$P$25+'TE BF'!$P$25+'TE CVA'!$P$25)*(1 - CUSTOS!$M$38)</f>
        <v>-15.357635745409738</v>
      </c>
      <c r="Q25" s="20">
        <f>('TE BE'!$R$25+'TE BF'!$R$25+'TE CVA'!$R$25)*(1 - CUSTOS!$M$38)</f>
        <v>203.68979494967158</v>
      </c>
      <c r="R25" s="20">
        <f>('TE BE'!$T$25+'TE BF'!$T$25+'TE CVA'!$T$25)*(1 - CUSTOS!$M$38)</f>
        <v>9.5209181738131434</v>
      </c>
      <c r="S25" s="20">
        <f>('TE BE'!$U$25+'TE BF'!$U$25+'TE CVA'!$U$25)*(1 - CUSTOS!$M$38)</f>
        <v>6.2783147368287784</v>
      </c>
      <c r="T25" s="20">
        <f>('TE BE'!$V$25+'TE BF'!$V$25+'TE CVA'!$V$25)*(1 - CUSTOS!$M$38)</f>
        <v>0</v>
      </c>
      <c r="U25" s="20">
        <f>('TE BE'!$X$25+'TE BF'!$X$25+'TE CVA'!$X$25)*(1 - CUSTOS!$M$38)</f>
        <v>0</v>
      </c>
      <c r="V25" s="20">
        <f>('TE BE'!$Z$25+'TE BF'!$Z$25+'TE CVA'!$Z$25)*(1 - CUSTOS!$M$38)</f>
        <v>6.8456368766277258</v>
      </c>
      <c r="X25" s="20">
        <v>2.4143357810653301</v>
      </c>
      <c r="Y25" s="20">
        <v>13.387689729616501</v>
      </c>
      <c r="Z25" s="20">
        <v>0</v>
      </c>
      <c r="AA25" s="20">
        <v>0</v>
      </c>
      <c r="AB25" s="20">
        <v>0</v>
      </c>
      <c r="AC25" s="20">
        <v>208.435967808209</v>
      </c>
      <c r="AD25" s="20">
        <v>9.0336648295595996</v>
      </c>
      <c r="AE25" s="20">
        <v>10.1042661302954</v>
      </c>
      <c r="AF25" s="20">
        <v>0</v>
      </c>
      <c r="AG25" s="20">
        <v>0</v>
      </c>
      <c r="AH25" s="20">
        <v>5.9947275396366999</v>
      </c>
    </row>
    <row r="26" spans="1:34" ht="11.25" customHeight="1" x14ac:dyDescent="0.25">
      <c r="A26" s="163"/>
      <c r="B26" s="163"/>
      <c r="C26" s="163"/>
      <c r="D26" s="163"/>
      <c r="E26" s="163"/>
      <c r="F26" s="163"/>
      <c r="G26" s="22" t="s">
        <v>73</v>
      </c>
      <c r="H26" s="22" t="s">
        <v>71</v>
      </c>
      <c r="I26" s="22">
        <f>'MERCADO TE'!$U$23</f>
        <v>0</v>
      </c>
      <c r="J26" s="15"/>
      <c r="L26" s="20">
        <f>('TE BE'!$L$26+'TE BF'!$L$26+'TE CVA'!$L$26)*(1 - CUSTOS!$M$38)</f>
        <v>2.3911189001290931</v>
      </c>
      <c r="M26" s="20">
        <f>('TE BE'!$M$26+'TE BF'!$M$26+'TE CVA'!$M$26)*(1 - CUSTOS!$M$38)</f>
        <v>24.489125588998075</v>
      </c>
      <c r="N26" s="20">
        <f>('TE BE'!$N$26+'TE BF'!$N$26+'TE CVA'!$N$26)*(1 - CUSTOS!$M$38)</f>
        <v>0</v>
      </c>
      <c r="O26" s="20">
        <f>('TE BE'!$O$26+'TE BF'!$O$26+'TE CVA'!$O$26)*(1 - CUSTOS!$M$38)</f>
        <v>5.6372952306697979</v>
      </c>
      <c r="P26" s="20">
        <f>('TE BE'!$P$26+'TE BF'!$P$26+'TE CVA'!$P$26)*(1 - CUSTOS!$M$38)</f>
        <v>-15.357635745409738</v>
      </c>
      <c r="Q26" s="20">
        <f>('TE BE'!$R$26+'TE BF'!$R$26+'TE CVA'!$R$26)*(1 - CUSTOS!$M$38)</f>
        <v>203.68979494967158</v>
      </c>
      <c r="R26" s="20">
        <f>('TE BE'!$T$26+'TE BF'!$T$26+'TE CVA'!$T$26)*(1 - CUSTOS!$M$38)</f>
        <v>9.5209181738131434</v>
      </c>
      <c r="S26" s="20">
        <f>('TE BE'!$U$26+'TE BF'!$U$26+'TE CVA'!$U$26)*(1 - CUSTOS!$M$38)</f>
        <v>6.2783147368287784</v>
      </c>
      <c r="T26" s="20">
        <f>('TE BE'!$V$26+'TE BF'!$V$26+'TE CVA'!$V$26)*(1 - CUSTOS!$M$38)</f>
        <v>0</v>
      </c>
      <c r="U26" s="20">
        <f>('TE BE'!$X$26+'TE BF'!$X$26+'TE CVA'!$X$26)*(1 - CUSTOS!$M$38)</f>
        <v>0</v>
      </c>
      <c r="V26" s="20">
        <f>('TE BE'!$Z$26+'TE BF'!$Z$26+'TE CVA'!$Z$26)*(1 - CUSTOS!$M$38)</f>
        <v>6.8456368766277258</v>
      </c>
      <c r="X26" s="20">
        <v>2.4143357810653301</v>
      </c>
      <c r="Y26" s="20">
        <v>13.387689729616501</v>
      </c>
      <c r="Z26" s="20">
        <v>0</v>
      </c>
      <c r="AA26" s="20">
        <v>0</v>
      </c>
      <c r="AB26" s="20">
        <v>0</v>
      </c>
      <c r="AC26" s="20">
        <v>208.435967808209</v>
      </c>
      <c r="AD26" s="20">
        <v>9.0336648295595996</v>
      </c>
      <c r="AE26" s="20">
        <v>10.1042661302954</v>
      </c>
      <c r="AF26" s="20">
        <v>0</v>
      </c>
      <c r="AG26" s="20">
        <v>0</v>
      </c>
      <c r="AH26" s="20">
        <v>5.9947275396366999</v>
      </c>
    </row>
    <row r="27" spans="1:34" ht="11.25" customHeight="1" x14ac:dyDescent="0.25">
      <c r="A27" s="163"/>
      <c r="B27" s="23" t="s">
        <v>74</v>
      </c>
      <c r="C27" s="23" t="s">
        <v>45</v>
      </c>
      <c r="D27" s="23" t="s">
        <v>25</v>
      </c>
      <c r="E27" s="23" t="s">
        <v>25</v>
      </c>
      <c r="F27" s="23" t="s">
        <v>25</v>
      </c>
      <c r="G27" s="22" t="s">
        <v>75</v>
      </c>
      <c r="H27" s="22" t="s">
        <v>71</v>
      </c>
      <c r="I27" s="22">
        <f>'MERCADO TE'!$U$24</f>
        <v>6344.375</v>
      </c>
      <c r="J27" s="15"/>
      <c r="L27" s="20">
        <f>('TE BE'!$L$27+'TE BF'!$L$27+'TE CVA'!$L$27)*(1 - CUSTOS!$M$38)</f>
        <v>2.3911189001290931</v>
      </c>
      <c r="M27" s="20">
        <f>('TE BE'!$M$27+'TE BF'!$M$27+'TE CVA'!$M$27)*(1 - CUSTOS!$M$38)</f>
        <v>24.489125588998075</v>
      </c>
      <c r="N27" s="20">
        <f>('TE BE'!$N$27+'TE BF'!$N$27+'TE CVA'!$N$27)*(1 - CUSTOS!$M$38)</f>
        <v>0</v>
      </c>
      <c r="O27" s="20">
        <f>('TE BE'!$O$27+'TE BF'!$O$27+'TE CVA'!$O$27)*(1 - CUSTOS!$M$38)</f>
        <v>5.6372952306697979</v>
      </c>
      <c r="P27" s="20">
        <f>('TE BE'!$P$27+'TE BF'!$P$27+'TE CVA'!$P$27)*(1 - CUSTOS!$M$38)</f>
        <v>-15.357635745409738</v>
      </c>
      <c r="Q27" s="20">
        <f>('TE BE'!$R$27+'TE BF'!$R$27+'TE CVA'!$R$27)*(1 - CUSTOS!$M$38)</f>
        <v>215.91118264665189</v>
      </c>
      <c r="R27" s="20">
        <f>('TE BE'!$T$27+'TE BF'!$T$27+'TE CVA'!$T$27)*(1 - CUSTOS!$M$38)</f>
        <v>9.5209181738131434</v>
      </c>
      <c r="S27" s="20">
        <f>('TE BE'!$U$27+'TE BF'!$U$27+'TE CVA'!$U$27)*(1 - CUSTOS!$M$38)</f>
        <v>6.2783147368287784</v>
      </c>
      <c r="T27" s="20">
        <f>('TE BE'!$V$27+'TE BF'!$V$27+'TE CVA'!$V$27)*(1 - CUSTOS!$M$38)</f>
        <v>0</v>
      </c>
      <c r="U27" s="20">
        <f>('TE BE'!$X$27+'TE BF'!$X$27+'TE CVA'!$X$27)*(1 - CUSTOS!$M$38)</f>
        <v>0</v>
      </c>
      <c r="V27" s="20">
        <f>('TE BE'!$Z$27+'TE BF'!$Z$27+'TE CVA'!$Z$27)*(1 - CUSTOS!$M$38)</f>
        <v>6.8456368766277258</v>
      </c>
      <c r="X27" s="20">
        <v>2.4143357810653301</v>
      </c>
      <c r="Y27" s="20">
        <v>13.387689729616501</v>
      </c>
      <c r="Z27" s="20">
        <v>0</v>
      </c>
      <c r="AA27" s="20">
        <v>0</v>
      </c>
      <c r="AB27" s="20">
        <v>0</v>
      </c>
      <c r="AC27" s="20">
        <v>220.942125876701</v>
      </c>
      <c r="AD27" s="20">
        <v>9.0336648295595996</v>
      </c>
      <c r="AE27" s="20">
        <v>10.1042661302954</v>
      </c>
      <c r="AF27" s="20">
        <v>0</v>
      </c>
      <c r="AG27" s="20">
        <v>0</v>
      </c>
      <c r="AH27" s="20">
        <v>5.9947275396366999</v>
      </c>
    </row>
    <row r="28" spans="1:34" ht="11.25" customHeight="1" x14ac:dyDescent="0.25">
      <c r="A28" s="163"/>
      <c r="B28" s="163" t="s">
        <v>70</v>
      </c>
      <c r="C28" s="163" t="s">
        <v>45</v>
      </c>
      <c r="D28" s="163" t="s">
        <v>87</v>
      </c>
      <c r="E28" s="163" t="s">
        <v>25</v>
      </c>
      <c r="F28" s="163" t="s">
        <v>25</v>
      </c>
      <c r="G28" s="22" t="s">
        <v>72</v>
      </c>
      <c r="H28" s="22" t="s">
        <v>71</v>
      </c>
      <c r="I28" s="22">
        <f>'MERCADO TE'!$U$25</f>
        <v>0</v>
      </c>
      <c r="J28" s="15"/>
      <c r="L28" s="20">
        <f>('TE BE'!$L$28+'TE BF'!$L$28+'TE CVA'!$L$28)*(1 - CUSTOS!$M$39)</f>
        <v>2.3911189001290931</v>
      </c>
      <c r="M28" s="20">
        <f>('TE BE'!$M$28+'TE BF'!$M$28+'TE CVA'!$M$28)*(1 - CUSTOS!$M$39)</f>
        <v>24.489125588998075</v>
      </c>
      <c r="N28" s="20">
        <f>('TE BE'!$N$28+'TE BF'!$N$28+'TE CVA'!$N$28)*(1 - CUSTOS!$M$39)</f>
        <v>0</v>
      </c>
      <c r="O28" s="20">
        <f>('TE BE'!$O$28+'TE BF'!$O$28+'TE CVA'!$O$28)*(1 - CUSTOS!$M$39)</f>
        <v>5.6372952306697979</v>
      </c>
      <c r="P28" s="20">
        <f>('TE BE'!$P$28+'TE BF'!$P$28+'TE CVA'!$P$28)*(1 - CUSTOS!$M$39)</f>
        <v>-15.357635745409738</v>
      </c>
      <c r="Q28" s="20">
        <f>('TE BE'!$R$28+'TE BF'!$R$28+'TE CVA'!$R$28)*(1 - CUSTOS!$M$39)</f>
        <v>350.34644731343508</v>
      </c>
      <c r="R28" s="20">
        <f>('TE BE'!$T$28+'TE BF'!$T$28+'TE CVA'!$T$28)*(1 - CUSTOS!$M$39)</f>
        <v>9.5209181738131434</v>
      </c>
      <c r="S28" s="20">
        <f>('TE BE'!$U$28+'TE BF'!$U$28+'TE CVA'!$U$28)*(1 - CUSTOS!$M$39)</f>
        <v>6.2783147368287784</v>
      </c>
      <c r="T28" s="20">
        <f>('TE BE'!$V$28+'TE BF'!$V$28+'TE CVA'!$V$28)*(1 - CUSTOS!$M$39)</f>
        <v>0</v>
      </c>
      <c r="U28" s="20">
        <f>('TE BE'!$X$28+'TE BF'!$X$28+'TE CVA'!$X$28)*(1 - CUSTOS!$M$39)</f>
        <v>0</v>
      </c>
      <c r="V28" s="20">
        <f>('TE BE'!$Z$28+'TE BF'!$Z$28+'TE CVA'!$Z$28)*(1 - CUSTOS!$M$39)</f>
        <v>6.8456368766277258</v>
      </c>
      <c r="X28" s="20">
        <v>2.4143357810653301</v>
      </c>
      <c r="Y28" s="20">
        <v>13.387689729616501</v>
      </c>
      <c r="Z28" s="20">
        <v>0</v>
      </c>
      <c r="AA28" s="20">
        <v>0</v>
      </c>
      <c r="AB28" s="20">
        <v>0</v>
      </c>
      <c r="AC28" s="20">
        <v>358.50986463011901</v>
      </c>
      <c r="AD28" s="20">
        <v>9.0336648295595996</v>
      </c>
      <c r="AE28" s="20">
        <v>10.1042661302954</v>
      </c>
      <c r="AF28" s="20">
        <v>0</v>
      </c>
      <c r="AG28" s="20">
        <v>0</v>
      </c>
      <c r="AH28" s="20">
        <v>5.9947275396366999</v>
      </c>
    </row>
    <row r="29" spans="1:34" ht="11.25" customHeight="1" x14ac:dyDescent="0.25">
      <c r="A29" s="163"/>
      <c r="B29" s="163"/>
      <c r="C29" s="163"/>
      <c r="D29" s="163"/>
      <c r="E29" s="163"/>
      <c r="F29" s="163"/>
      <c r="G29" s="22" t="s">
        <v>84</v>
      </c>
      <c r="H29" s="22" t="s">
        <v>71</v>
      </c>
      <c r="I29" s="22">
        <f>'MERCADO TE'!$U$26</f>
        <v>0</v>
      </c>
      <c r="J29" s="15"/>
      <c r="L29" s="20">
        <f>('TE BE'!$L$29+'TE BF'!$L$29+'TE CVA'!$L$29)*(1 - CUSTOS!$M$39)</f>
        <v>2.3911189001290931</v>
      </c>
      <c r="M29" s="20">
        <f>('TE BE'!$M$29+'TE BF'!$M$29+'TE CVA'!$M$29)*(1 - CUSTOS!$M$39)</f>
        <v>24.489125588998075</v>
      </c>
      <c r="N29" s="20">
        <f>('TE BE'!$N$29+'TE BF'!$N$29+'TE CVA'!$N$29)*(1 - CUSTOS!$M$39)</f>
        <v>0</v>
      </c>
      <c r="O29" s="20">
        <f>('TE BE'!$O$29+'TE BF'!$O$29+'TE CVA'!$O$29)*(1 - CUSTOS!$M$39)</f>
        <v>5.6372952306697979</v>
      </c>
      <c r="P29" s="20">
        <f>('TE BE'!$P$29+'TE BF'!$P$29+'TE CVA'!$P$29)*(1 - CUSTOS!$M$39)</f>
        <v>-15.357635745409738</v>
      </c>
      <c r="Q29" s="20">
        <f>('TE BE'!$R$29+'TE BF'!$R$29+'TE CVA'!$R$29)*(1 - CUSTOS!$M$39)</f>
        <v>203.68979494967158</v>
      </c>
      <c r="R29" s="20">
        <f>('TE BE'!$T$29+'TE BF'!$T$29+'TE CVA'!$T$29)*(1 - CUSTOS!$M$39)</f>
        <v>9.5209181738131434</v>
      </c>
      <c r="S29" s="20">
        <f>('TE BE'!$U$29+'TE BF'!$U$29+'TE CVA'!$U$29)*(1 - CUSTOS!$M$39)</f>
        <v>6.2783147368287784</v>
      </c>
      <c r="T29" s="20">
        <f>('TE BE'!$V$29+'TE BF'!$V$29+'TE CVA'!$V$29)*(1 - CUSTOS!$M$39)</f>
        <v>0</v>
      </c>
      <c r="U29" s="20">
        <f>('TE BE'!$X$29+'TE BF'!$X$29+'TE CVA'!$X$29)*(1 - CUSTOS!$M$39)</f>
        <v>0</v>
      </c>
      <c r="V29" s="20">
        <f>('TE BE'!$Z$29+'TE BF'!$Z$29+'TE CVA'!$Z$29)*(1 - CUSTOS!$M$39)</f>
        <v>6.8456368766277258</v>
      </c>
      <c r="X29" s="20">
        <v>2.4143357810653301</v>
      </c>
      <c r="Y29" s="20">
        <v>13.387689729616501</v>
      </c>
      <c r="Z29" s="20">
        <v>0</v>
      </c>
      <c r="AA29" s="20">
        <v>0</v>
      </c>
      <c r="AB29" s="20">
        <v>0</v>
      </c>
      <c r="AC29" s="20">
        <v>208.435967808209</v>
      </c>
      <c r="AD29" s="20">
        <v>9.0336648295595996</v>
      </c>
      <c r="AE29" s="20">
        <v>10.1042661302954</v>
      </c>
      <c r="AF29" s="20">
        <v>0</v>
      </c>
      <c r="AG29" s="20">
        <v>0</v>
      </c>
      <c r="AH29" s="20">
        <v>5.9947275396366999</v>
      </c>
    </row>
    <row r="30" spans="1:34" ht="11.25" customHeight="1" x14ac:dyDescent="0.25">
      <c r="A30" s="163"/>
      <c r="B30" s="163"/>
      <c r="C30" s="163"/>
      <c r="D30" s="163"/>
      <c r="E30" s="163"/>
      <c r="F30" s="163"/>
      <c r="G30" s="22" t="s">
        <v>73</v>
      </c>
      <c r="H30" s="22" t="s">
        <v>71</v>
      </c>
      <c r="I30" s="22">
        <f>'MERCADO TE'!$U$27</f>
        <v>0</v>
      </c>
      <c r="J30" s="15"/>
      <c r="L30" s="20">
        <f>('TE BE'!$L$30+'TE BF'!$L$30+'TE CVA'!$L$30)*(1 - CUSTOS!$M$39)</f>
        <v>2.3911189001290931</v>
      </c>
      <c r="M30" s="20">
        <f>('TE BE'!$M$30+'TE BF'!$M$30+'TE CVA'!$M$30)*(1 - CUSTOS!$M$39)</f>
        <v>24.489125588998075</v>
      </c>
      <c r="N30" s="20">
        <f>('TE BE'!$N$30+'TE BF'!$N$30+'TE CVA'!$N$30)*(1 - CUSTOS!$M$39)</f>
        <v>0</v>
      </c>
      <c r="O30" s="20">
        <f>('TE BE'!$O$30+'TE BF'!$O$30+'TE CVA'!$O$30)*(1 - CUSTOS!$M$39)</f>
        <v>5.6372952306697979</v>
      </c>
      <c r="P30" s="20">
        <f>('TE BE'!$P$30+'TE BF'!$P$30+'TE CVA'!$P$30)*(1 - CUSTOS!$M$39)</f>
        <v>-15.357635745409738</v>
      </c>
      <c r="Q30" s="20">
        <f>('TE BE'!$R$30+'TE BF'!$R$30+'TE CVA'!$R$30)*(1 - CUSTOS!$M$39)</f>
        <v>203.68979494967158</v>
      </c>
      <c r="R30" s="20">
        <f>('TE BE'!$T$30+'TE BF'!$T$30+'TE CVA'!$T$30)*(1 - CUSTOS!$M$39)</f>
        <v>9.5209181738131434</v>
      </c>
      <c r="S30" s="20">
        <f>('TE BE'!$U$30+'TE BF'!$U$30+'TE CVA'!$U$30)*(1 - CUSTOS!$M$39)</f>
        <v>6.2783147368287784</v>
      </c>
      <c r="T30" s="20">
        <f>('TE BE'!$V$30+'TE BF'!$V$30+'TE CVA'!$V$30)*(1 - CUSTOS!$M$39)</f>
        <v>0</v>
      </c>
      <c r="U30" s="20">
        <f>('TE BE'!$X$30+'TE BF'!$X$30+'TE CVA'!$X$30)*(1 - CUSTOS!$M$39)</f>
        <v>0</v>
      </c>
      <c r="V30" s="20">
        <f>('TE BE'!$Z$30+'TE BF'!$Z$30+'TE CVA'!$Z$30)*(1 - CUSTOS!$M$39)</f>
        <v>6.8456368766277258</v>
      </c>
      <c r="X30" s="20">
        <v>2.4143357810653301</v>
      </c>
      <c r="Y30" s="20">
        <v>13.387689729616501</v>
      </c>
      <c r="Z30" s="20">
        <v>0</v>
      </c>
      <c r="AA30" s="20">
        <v>0</v>
      </c>
      <c r="AB30" s="20">
        <v>0</v>
      </c>
      <c r="AC30" s="20">
        <v>208.435967808209</v>
      </c>
      <c r="AD30" s="20">
        <v>9.0336648295595996</v>
      </c>
      <c r="AE30" s="20">
        <v>10.1042661302954</v>
      </c>
      <c r="AF30" s="20">
        <v>0</v>
      </c>
      <c r="AG30" s="20">
        <v>0</v>
      </c>
      <c r="AH30" s="20">
        <v>5.9947275396366999</v>
      </c>
    </row>
    <row r="31" spans="1:34" ht="11.25" customHeight="1" x14ac:dyDescent="0.25">
      <c r="A31" s="163"/>
      <c r="B31" s="23" t="s">
        <v>74</v>
      </c>
      <c r="C31" s="23" t="s">
        <v>45</v>
      </c>
      <c r="D31" s="23" t="s">
        <v>87</v>
      </c>
      <c r="E31" s="23" t="s">
        <v>25</v>
      </c>
      <c r="F31" s="23" t="s">
        <v>25</v>
      </c>
      <c r="G31" s="22" t="s">
        <v>75</v>
      </c>
      <c r="H31" s="22" t="s">
        <v>71</v>
      </c>
      <c r="I31" s="22">
        <f>'MERCADO TE'!$U$28</f>
        <v>0</v>
      </c>
      <c r="J31" s="15"/>
      <c r="L31" s="20">
        <f>('TE BE'!$L$31+'TE BF'!$L$31+'TE CVA'!$L$31)*(1 - CUSTOS!$M$39)</f>
        <v>2.3911189001290931</v>
      </c>
      <c r="M31" s="20">
        <f>('TE BE'!$M$31+'TE BF'!$M$31+'TE CVA'!$M$31)*(1 - CUSTOS!$M$39)</f>
        <v>24.489125588998075</v>
      </c>
      <c r="N31" s="20">
        <f>('TE BE'!$N$31+'TE BF'!$N$31+'TE CVA'!$N$31)*(1 - CUSTOS!$M$39)</f>
        <v>0</v>
      </c>
      <c r="O31" s="20">
        <f>('TE BE'!$O$31+'TE BF'!$O$31+'TE CVA'!$O$31)*(1 - CUSTOS!$M$39)</f>
        <v>5.6372952306697979</v>
      </c>
      <c r="P31" s="20">
        <f>('TE BE'!$P$31+'TE BF'!$P$31+'TE CVA'!$P$31)*(1 - CUSTOS!$M$39)</f>
        <v>-15.357635745409738</v>
      </c>
      <c r="Q31" s="20">
        <f>('TE BE'!$R$31+'TE BF'!$R$31+'TE CVA'!$R$31)*(1 - CUSTOS!$M$39)</f>
        <v>215.91118264665189</v>
      </c>
      <c r="R31" s="20">
        <f>('TE BE'!$T$31+'TE BF'!$T$31+'TE CVA'!$T$31)*(1 - CUSTOS!$M$39)</f>
        <v>9.5209181738131434</v>
      </c>
      <c r="S31" s="20">
        <f>('TE BE'!$U$31+'TE BF'!$U$31+'TE CVA'!$U$31)*(1 - CUSTOS!$M$39)</f>
        <v>6.2783147368287784</v>
      </c>
      <c r="T31" s="20">
        <f>('TE BE'!$V$31+'TE BF'!$V$31+'TE CVA'!$V$31)*(1 - CUSTOS!$M$39)</f>
        <v>0</v>
      </c>
      <c r="U31" s="20">
        <f>('TE BE'!$X$31+'TE BF'!$X$31+'TE CVA'!$X$31)*(1 - CUSTOS!$M$39)</f>
        <v>0</v>
      </c>
      <c r="V31" s="20">
        <f>('TE BE'!$Z$31+'TE BF'!$Z$31+'TE CVA'!$Z$31)*(1 - CUSTOS!$M$39)</f>
        <v>6.8456368766277258</v>
      </c>
      <c r="X31" s="20">
        <v>2.4143357810653301</v>
      </c>
      <c r="Y31" s="20">
        <v>13.387689729616501</v>
      </c>
      <c r="Z31" s="20">
        <v>0</v>
      </c>
      <c r="AA31" s="20">
        <v>0</v>
      </c>
      <c r="AB31" s="20">
        <v>0</v>
      </c>
      <c r="AC31" s="20">
        <v>220.942125876701</v>
      </c>
      <c r="AD31" s="20">
        <v>9.0336648295595996</v>
      </c>
      <c r="AE31" s="20">
        <v>10.1042661302954</v>
      </c>
      <c r="AF31" s="20">
        <v>0</v>
      </c>
      <c r="AG31" s="20">
        <v>0</v>
      </c>
      <c r="AH31" s="20">
        <v>5.9947275396366999</v>
      </c>
    </row>
    <row r="32" spans="1:34" ht="11.25" customHeight="1" x14ac:dyDescent="0.25">
      <c r="A32" s="163"/>
      <c r="B32" s="163" t="s">
        <v>70</v>
      </c>
      <c r="C32" s="163" t="s">
        <v>45</v>
      </c>
      <c r="D32" s="163" t="s">
        <v>88</v>
      </c>
      <c r="E32" s="163" t="s">
        <v>25</v>
      </c>
      <c r="F32" s="163" t="s">
        <v>25</v>
      </c>
      <c r="G32" s="22" t="s">
        <v>72</v>
      </c>
      <c r="H32" s="22" t="s">
        <v>71</v>
      </c>
      <c r="I32" s="22">
        <f>'MERCADO TE'!$U$29</f>
        <v>0</v>
      </c>
      <c r="J32" s="15"/>
      <c r="L32" s="20">
        <f>('TE BE'!$L$32+'TE BF'!$L$32+'TE CVA'!$L$32)*(1 - CUSTOS!$M$40)</f>
        <v>2.3402440299135807</v>
      </c>
      <c r="M32" s="20">
        <f>('TE BE'!$M$32+'TE BF'!$M$32+'TE CVA'!$M$32)*(1 - CUSTOS!$M$40)</f>
        <v>23.968080363700246</v>
      </c>
      <c r="N32" s="20">
        <f>('TE BE'!$N$32+'TE BF'!$N$32+'TE CVA'!$N$32)*(1 - CUSTOS!$M$40)</f>
        <v>0</v>
      </c>
      <c r="O32" s="20">
        <f>('TE BE'!$O$32+'TE BF'!$O$32+'TE CVA'!$O$32)*(1 - CUSTOS!$M$40)</f>
        <v>5.5173527789534198</v>
      </c>
      <c r="P32" s="20">
        <f>('TE BE'!$P$32+'TE BF'!$P$32+'TE CVA'!$P$32)*(1 - CUSTOS!$M$40)</f>
        <v>-15.030877538060597</v>
      </c>
      <c r="Q32" s="20">
        <f>('TE BE'!$R$32+'TE BF'!$R$32+'TE CVA'!$R$32)*(1 - CUSTOS!$M$40)</f>
        <v>342.89226758336207</v>
      </c>
      <c r="R32" s="20">
        <f>('TE BE'!$T$32+'TE BF'!$T$32+'TE CVA'!$T$32)*(1 - CUSTOS!$M$40)</f>
        <v>9.3183454467107367</v>
      </c>
      <c r="S32" s="20">
        <f>('TE BE'!$U$32+'TE BF'!$U$32+'TE CVA'!$U$32)*(1 - CUSTOS!$M$40)</f>
        <v>6.1447335722154008</v>
      </c>
      <c r="T32" s="20">
        <f>('TE BE'!$V$32+'TE BF'!$V$32+'TE CVA'!$V$32)*(1 - CUSTOS!$M$40)</f>
        <v>0</v>
      </c>
      <c r="U32" s="20">
        <f>('TE BE'!$X$32+'TE BF'!$X$32+'TE CVA'!$X$32)*(1 - CUSTOS!$M$40)</f>
        <v>0</v>
      </c>
      <c r="V32" s="20">
        <f>('TE BE'!$Z$32+'TE BF'!$Z$32+'TE CVA'!$Z$32)*(1 - CUSTOS!$M$40)</f>
        <v>6.6999850281888387</v>
      </c>
      <c r="X32" s="20">
        <v>2.3045932455623599</v>
      </c>
      <c r="Y32" s="20">
        <v>12.779158378270299</v>
      </c>
      <c r="Z32" s="20">
        <v>0</v>
      </c>
      <c r="AA32" s="20">
        <v>0</v>
      </c>
      <c r="AB32" s="20">
        <v>0</v>
      </c>
      <c r="AC32" s="20">
        <v>342.21396169238699</v>
      </c>
      <c r="AD32" s="20">
        <v>8.6230437009432492</v>
      </c>
      <c r="AE32" s="20">
        <v>9.6449813061911005</v>
      </c>
      <c r="AF32" s="20">
        <v>0</v>
      </c>
      <c r="AG32" s="20">
        <v>0</v>
      </c>
      <c r="AH32" s="20">
        <v>5.7222399241986697</v>
      </c>
    </row>
    <row r="33" spans="1:34" ht="11.25" customHeight="1" x14ac:dyDescent="0.25">
      <c r="A33" s="163"/>
      <c r="B33" s="163"/>
      <c r="C33" s="163"/>
      <c r="D33" s="163"/>
      <c r="E33" s="163"/>
      <c r="F33" s="163"/>
      <c r="G33" s="22" t="s">
        <v>84</v>
      </c>
      <c r="H33" s="22" t="s">
        <v>71</v>
      </c>
      <c r="I33" s="22">
        <f>'MERCADO TE'!$U$30</f>
        <v>0</v>
      </c>
      <c r="J33" s="15"/>
      <c r="L33" s="20">
        <f>('TE BE'!$L$33+'TE BF'!$L$33+'TE CVA'!$L$33)*(1 - CUSTOS!$M$40)</f>
        <v>2.3402440299135807</v>
      </c>
      <c r="M33" s="20">
        <f>('TE BE'!$M$33+'TE BF'!$M$33+'TE CVA'!$M$33)*(1 - CUSTOS!$M$40)</f>
        <v>23.968080363700246</v>
      </c>
      <c r="N33" s="20">
        <f>('TE BE'!$N$33+'TE BF'!$N$33+'TE CVA'!$N$33)*(1 - CUSTOS!$M$40)</f>
        <v>0</v>
      </c>
      <c r="O33" s="20">
        <f>('TE BE'!$O$33+'TE BF'!$O$33+'TE CVA'!$O$33)*(1 - CUSTOS!$M$40)</f>
        <v>5.5173527789534198</v>
      </c>
      <c r="P33" s="20">
        <f>('TE BE'!$P$33+'TE BF'!$P$33+'TE CVA'!$P$33)*(1 - CUSTOS!$M$40)</f>
        <v>-15.030877538060597</v>
      </c>
      <c r="Q33" s="20">
        <f>('TE BE'!$R$33+'TE BF'!$R$33+'TE CVA'!$R$33)*(1 - CUSTOS!$M$40)</f>
        <v>199.3559695252105</v>
      </c>
      <c r="R33" s="20">
        <f>('TE BE'!$T$33+'TE BF'!$T$33+'TE CVA'!$T$33)*(1 - CUSTOS!$M$40)</f>
        <v>9.3183454467107367</v>
      </c>
      <c r="S33" s="20">
        <f>('TE BE'!$U$33+'TE BF'!$U$33+'TE CVA'!$U$33)*(1 - CUSTOS!$M$40)</f>
        <v>6.1447335722154008</v>
      </c>
      <c r="T33" s="20">
        <f>('TE BE'!$V$33+'TE BF'!$V$33+'TE CVA'!$V$33)*(1 - CUSTOS!$M$40)</f>
        <v>0</v>
      </c>
      <c r="U33" s="20">
        <f>('TE BE'!$X$33+'TE BF'!$X$33+'TE CVA'!$X$33)*(1 - CUSTOS!$M$40)</f>
        <v>0</v>
      </c>
      <c r="V33" s="20">
        <f>('TE BE'!$Z$33+'TE BF'!$Z$33+'TE CVA'!$Z$33)*(1 - CUSTOS!$M$40)</f>
        <v>6.6999850281888387</v>
      </c>
      <c r="X33" s="20">
        <v>2.3045932455623599</v>
      </c>
      <c r="Y33" s="20">
        <v>12.779158378270299</v>
      </c>
      <c r="Z33" s="20">
        <v>0</v>
      </c>
      <c r="AA33" s="20">
        <v>0</v>
      </c>
      <c r="AB33" s="20">
        <v>0</v>
      </c>
      <c r="AC33" s="20">
        <v>198.96160563510799</v>
      </c>
      <c r="AD33" s="20">
        <v>8.6230437009432492</v>
      </c>
      <c r="AE33" s="20">
        <v>9.6449813061911005</v>
      </c>
      <c r="AF33" s="20">
        <v>0</v>
      </c>
      <c r="AG33" s="20">
        <v>0</v>
      </c>
      <c r="AH33" s="20">
        <v>5.7222399241986697</v>
      </c>
    </row>
    <row r="34" spans="1:34" ht="11.25" customHeight="1" x14ac:dyDescent="0.25">
      <c r="A34" s="163"/>
      <c r="B34" s="163"/>
      <c r="C34" s="163"/>
      <c r="D34" s="163"/>
      <c r="E34" s="163"/>
      <c r="F34" s="163"/>
      <c r="G34" s="22" t="s">
        <v>73</v>
      </c>
      <c r="H34" s="22" t="s">
        <v>71</v>
      </c>
      <c r="I34" s="22">
        <f>'MERCADO TE'!$U$31</f>
        <v>0</v>
      </c>
      <c r="J34" s="15"/>
      <c r="L34" s="20">
        <f>('TE BE'!$L$34+'TE BF'!$L$34+'TE CVA'!$L$34)*(1 - CUSTOS!$M$40)</f>
        <v>2.3402440299135807</v>
      </c>
      <c r="M34" s="20">
        <f>('TE BE'!$M$34+'TE BF'!$M$34+'TE CVA'!$M$34)*(1 - CUSTOS!$M$40)</f>
        <v>23.968080363700246</v>
      </c>
      <c r="N34" s="20">
        <f>('TE BE'!$N$34+'TE BF'!$N$34+'TE CVA'!$N$34)*(1 - CUSTOS!$M$40)</f>
        <v>0</v>
      </c>
      <c r="O34" s="20">
        <f>('TE BE'!$O$34+'TE BF'!$O$34+'TE CVA'!$O$34)*(1 - CUSTOS!$M$40)</f>
        <v>5.5173527789534198</v>
      </c>
      <c r="P34" s="20">
        <f>('TE BE'!$P$34+'TE BF'!$P$34+'TE CVA'!$P$34)*(1 - CUSTOS!$M$40)</f>
        <v>-15.030877538060597</v>
      </c>
      <c r="Q34" s="20">
        <f>('TE BE'!$R$34+'TE BF'!$R$34+'TE CVA'!$R$34)*(1 - CUSTOS!$M$40)</f>
        <v>199.3559695252105</v>
      </c>
      <c r="R34" s="20">
        <f>('TE BE'!$T$34+'TE BF'!$T$34+'TE CVA'!$T$34)*(1 - CUSTOS!$M$40)</f>
        <v>9.3183454467107367</v>
      </c>
      <c r="S34" s="20">
        <f>('TE BE'!$U$34+'TE BF'!$U$34+'TE CVA'!$U$34)*(1 - CUSTOS!$M$40)</f>
        <v>6.1447335722154008</v>
      </c>
      <c r="T34" s="20">
        <f>('TE BE'!$V$34+'TE BF'!$V$34+'TE CVA'!$V$34)*(1 - CUSTOS!$M$40)</f>
        <v>0</v>
      </c>
      <c r="U34" s="20">
        <f>('TE BE'!$X$34+'TE BF'!$X$34+'TE CVA'!$X$34)*(1 - CUSTOS!$M$40)</f>
        <v>0</v>
      </c>
      <c r="V34" s="20">
        <f>('TE BE'!$Z$34+'TE BF'!$Z$34+'TE CVA'!$Z$34)*(1 - CUSTOS!$M$40)</f>
        <v>6.6999850281888387</v>
      </c>
      <c r="X34" s="20">
        <v>2.3045932455623599</v>
      </c>
      <c r="Y34" s="20">
        <v>12.779158378270299</v>
      </c>
      <c r="Z34" s="20">
        <v>0</v>
      </c>
      <c r="AA34" s="20">
        <v>0</v>
      </c>
      <c r="AB34" s="20">
        <v>0</v>
      </c>
      <c r="AC34" s="20">
        <v>198.96160563510799</v>
      </c>
      <c r="AD34" s="20">
        <v>8.6230437009432492</v>
      </c>
      <c r="AE34" s="20">
        <v>9.6449813061911005</v>
      </c>
      <c r="AF34" s="20">
        <v>0</v>
      </c>
      <c r="AG34" s="20">
        <v>0</v>
      </c>
      <c r="AH34" s="20">
        <v>5.7222399241986697</v>
      </c>
    </row>
    <row r="35" spans="1:34" ht="11.25" customHeight="1" x14ac:dyDescent="0.25">
      <c r="A35" s="163"/>
      <c r="B35" s="23" t="s">
        <v>74</v>
      </c>
      <c r="C35" s="23" t="s">
        <v>45</v>
      </c>
      <c r="D35" s="23" t="s">
        <v>88</v>
      </c>
      <c r="E35" s="23" t="s">
        <v>25</v>
      </c>
      <c r="F35" s="23" t="s">
        <v>25</v>
      </c>
      <c r="G35" s="22" t="s">
        <v>75</v>
      </c>
      <c r="H35" s="22" t="s">
        <v>71</v>
      </c>
      <c r="I35" s="22">
        <f>'MERCADO TE'!$U$32</f>
        <v>0</v>
      </c>
      <c r="J35" s="15"/>
      <c r="L35" s="20">
        <f>('TE BE'!$L$35+'TE BF'!$L$35+'TE CVA'!$L$35)*(1 - CUSTOS!$M$40)</f>
        <v>2.3402440299135807</v>
      </c>
      <c r="M35" s="20">
        <f>('TE BE'!$M$35+'TE BF'!$M$35+'TE CVA'!$M$35)*(1 - CUSTOS!$M$40)</f>
        <v>23.968080363700246</v>
      </c>
      <c r="N35" s="20">
        <f>('TE BE'!$N$35+'TE BF'!$N$35+'TE CVA'!$N$35)*(1 - CUSTOS!$M$40)</f>
        <v>0</v>
      </c>
      <c r="O35" s="20">
        <f>('TE BE'!$O$35+'TE BF'!$O$35+'TE CVA'!$O$35)*(1 - CUSTOS!$M$40)</f>
        <v>5.5173527789534198</v>
      </c>
      <c r="P35" s="20">
        <f>('TE BE'!$P$35+'TE BF'!$P$35+'TE CVA'!$P$35)*(1 - CUSTOS!$M$40)</f>
        <v>-15.030877538060597</v>
      </c>
      <c r="Q35" s="20">
        <f>('TE BE'!$R$35+'TE BF'!$R$35+'TE CVA'!$R$35)*(1 - CUSTOS!$M$40)</f>
        <v>211.31732769672314</v>
      </c>
      <c r="R35" s="20">
        <f>('TE BE'!$T$35+'TE BF'!$T$35+'TE CVA'!$T$35)*(1 - CUSTOS!$M$40)</f>
        <v>9.3183454467107367</v>
      </c>
      <c r="S35" s="20">
        <f>('TE BE'!$U$35+'TE BF'!$U$35+'TE CVA'!$U$35)*(1 - CUSTOS!$M$40)</f>
        <v>6.1447335722154008</v>
      </c>
      <c r="T35" s="20">
        <f>('TE BE'!$V$35+'TE BF'!$V$35+'TE CVA'!$V$35)*(1 - CUSTOS!$M$40)</f>
        <v>0</v>
      </c>
      <c r="U35" s="20">
        <f>('TE BE'!$X$35+'TE BF'!$X$35+'TE CVA'!$X$35)*(1 - CUSTOS!$M$40)</f>
        <v>0</v>
      </c>
      <c r="V35" s="20">
        <f>('TE BE'!$Z$35+'TE BF'!$Z$35+'TE CVA'!$Z$35)*(1 - CUSTOS!$M$40)</f>
        <v>6.6999850281888387</v>
      </c>
      <c r="X35" s="20">
        <v>2.3045932455623599</v>
      </c>
      <c r="Y35" s="20">
        <v>12.779158378270299</v>
      </c>
      <c r="Z35" s="20">
        <v>0</v>
      </c>
      <c r="AA35" s="20">
        <v>0</v>
      </c>
      <c r="AB35" s="20">
        <v>0</v>
      </c>
      <c r="AC35" s="20">
        <v>210.89930197321499</v>
      </c>
      <c r="AD35" s="20">
        <v>8.6230437009432492</v>
      </c>
      <c r="AE35" s="20">
        <v>9.6449813061911005</v>
      </c>
      <c r="AF35" s="20">
        <v>0</v>
      </c>
      <c r="AG35" s="20">
        <v>0</v>
      </c>
      <c r="AH35" s="20">
        <v>5.7222399241986697</v>
      </c>
    </row>
    <row r="36" spans="1:34" ht="11.25" customHeight="1" x14ac:dyDescent="0.25">
      <c r="A36" s="163"/>
      <c r="B36" s="163" t="s">
        <v>85</v>
      </c>
      <c r="C36" s="163" t="s">
        <v>45</v>
      </c>
      <c r="D36" s="23" t="s">
        <v>25</v>
      </c>
      <c r="E36" s="23" t="s">
        <v>25</v>
      </c>
      <c r="F36" s="23" t="s">
        <v>25</v>
      </c>
      <c r="G36" s="22" t="s">
        <v>75</v>
      </c>
      <c r="H36" s="22" t="s">
        <v>71</v>
      </c>
      <c r="I36" s="22">
        <f>'MERCADO TE'!$U$33</f>
        <v>0</v>
      </c>
      <c r="J36" s="15"/>
      <c r="L36" s="20">
        <f>('TE BE'!$L$36+'TE BF'!$L$36+'TE CVA'!$L$36)*(1 - CUSTOS!$M$38)</f>
        <v>2.3911189001290931</v>
      </c>
      <c r="M36" s="20">
        <f>('TE BE'!$M$36+'TE BF'!$M$36+'TE CVA'!$M$36)*(1 - CUSTOS!$M$38)</f>
        <v>24.489125588998075</v>
      </c>
      <c r="N36" s="20">
        <f>('TE BE'!$N$36+'TE BF'!$N$36+'TE CVA'!$N$36)*(1 - CUSTOS!$M$38)</f>
        <v>0</v>
      </c>
      <c r="O36" s="20">
        <f>('TE BE'!$O$36+'TE BF'!$O$36+'TE CVA'!$O$36)*(1 - CUSTOS!$M$38)</f>
        <v>5.6372952306697979</v>
      </c>
      <c r="P36" s="20">
        <f>('TE BE'!$P$36+'TE BF'!$P$36+'TE CVA'!$P$36)*(1 - CUSTOS!$M$38)</f>
        <v>-15.357635745409738</v>
      </c>
      <c r="Q36" s="20">
        <f>('TE BE'!$R$36+'TE BF'!$R$36+'TE CVA'!$R$36)*(1 - CUSTOS!$M$38)</f>
        <v>215.91118264665189</v>
      </c>
      <c r="R36" s="20">
        <f>('TE BE'!$T$36+'TE BF'!$T$36+'TE CVA'!$T$36)*(1 - CUSTOS!$M$38)</f>
        <v>9.5209181738131434</v>
      </c>
      <c r="S36" s="20">
        <f>('TE BE'!$U$36+'TE BF'!$U$36+'TE CVA'!$U$36)*(1 - CUSTOS!$M$38)</f>
        <v>6.2783147368287784</v>
      </c>
      <c r="T36" s="20">
        <f>('TE BE'!$V$36+'TE BF'!$V$36+'TE CVA'!$V$36)*(1 - CUSTOS!$M$38)</f>
        <v>0</v>
      </c>
      <c r="U36" s="20">
        <f>('TE BE'!$X$36+'TE BF'!$X$36+'TE CVA'!$X$36)*(1 - CUSTOS!$M$38)</f>
        <v>0</v>
      </c>
      <c r="V36" s="20">
        <f>('TE BE'!$Z$36+'TE BF'!$Z$36+'TE CVA'!$Z$36)*(1 - CUSTOS!$M$38)</f>
        <v>6.8456368766277258</v>
      </c>
      <c r="X36" s="20">
        <v>2.4143357810653301</v>
      </c>
      <c r="Y36" s="20">
        <v>13.387689729616501</v>
      </c>
      <c r="Z36" s="20">
        <v>0</v>
      </c>
      <c r="AA36" s="20">
        <v>0</v>
      </c>
      <c r="AB36" s="20">
        <v>0</v>
      </c>
      <c r="AC36" s="20">
        <v>220.942125876701</v>
      </c>
      <c r="AD36" s="20">
        <v>9.0336648295595996</v>
      </c>
      <c r="AE36" s="20">
        <v>10.1042661302954</v>
      </c>
      <c r="AF36" s="20">
        <v>0</v>
      </c>
      <c r="AG36" s="20">
        <v>0</v>
      </c>
      <c r="AH36" s="20">
        <v>5.9947275396366999</v>
      </c>
    </row>
    <row r="37" spans="1:34" ht="11.25" customHeight="1" x14ac:dyDescent="0.25">
      <c r="A37" s="163"/>
      <c r="B37" s="163"/>
      <c r="C37" s="163"/>
      <c r="D37" s="23" t="s">
        <v>87</v>
      </c>
      <c r="E37" s="23" t="s">
        <v>25</v>
      </c>
      <c r="F37" s="23" t="s">
        <v>25</v>
      </c>
      <c r="G37" s="22" t="s">
        <v>75</v>
      </c>
      <c r="H37" s="22" t="s">
        <v>71</v>
      </c>
      <c r="I37" s="22">
        <f>'MERCADO TE'!$U$34</f>
        <v>0</v>
      </c>
      <c r="J37" s="15"/>
      <c r="L37" s="20">
        <f>('TE BE'!$L$37+'TE BF'!$L$37+'TE CVA'!$L$37)*(1 - CUSTOS!$M$39)</f>
        <v>2.3911189001290931</v>
      </c>
      <c r="M37" s="20">
        <f>('TE BE'!$M$37+'TE BF'!$M$37+'TE CVA'!$M$37)*(1 - CUSTOS!$M$39)</f>
        <v>24.489125588998075</v>
      </c>
      <c r="N37" s="20">
        <f>('TE BE'!$N$37+'TE BF'!$N$37+'TE CVA'!$N$37)*(1 - CUSTOS!$M$39)</f>
        <v>0</v>
      </c>
      <c r="O37" s="20">
        <f>('TE BE'!$O$37+'TE BF'!$O$37+'TE CVA'!$O$37)*(1 - CUSTOS!$M$39)</f>
        <v>5.6372952306697979</v>
      </c>
      <c r="P37" s="20">
        <f>('TE BE'!$P$37+'TE BF'!$P$37+'TE CVA'!$P$37)*(1 - CUSTOS!$M$39)</f>
        <v>-15.357635745409738</v>
      </c>
      <c r="Q37" s="20">
        <f>('TE BE'!$R$37+'TE BF'!$R$37+'TE CVA'!$R$37)*(1 - CUSTOS!$M$39)</f>
        <v>215.91118264665189</v>
      </c>
      <c r="R37" s="20">
        <f>('TE BE'!$T$37+'TE BF'!$T$37+'TE CVA'!$T$37)*(1 - CUSTOS!$M$39)</f>
        <v>9.5209181738131434</v>
      </c>
      <c r="S37" s="20">
        <f>('TE BE'!$U$37+'TE BF'!$U$37+'TE CVA'!$U$37)*(1 - CUSTOS!$M$39)</f>
        <v>6.2783147368287784</v>
      </c>
      <c r="T37" s="20">
        <f>('TE BE'!$V$37+'TE BF'!$V$37+'TE CVA'!$V$37)*(1 - CUSTOS!$M$39)</f>
        <v>0</v>
      </c>
      <c r="U37" s="20">
        <f>('TE BE'!$X$37+'TE BF'!$X$37+'TE CVA'!$X$37)*(1 - CUSTOS!$M$39)</f>
        <v>0</v>
      </c>
      <c r="V37" s="20">
        <f>('TE BE'!$Z$37+'TE BF'!$Z$37+'TE CVA'!$Z$37)*(1 - CUSTOS!$M$39)</f>
        <v>6.8456368766277258</v>
      </c>
      <c r="X37" s="20">
        <v>2.4143357810653301</v>
      </c>
      <c r="Y37" s="20">
        <v>13.387689729616501</v>
      </c>
      <c r="Z37" s="20">
        <v>0</v>
      </c>
      <c r="AA37" s="20">
        <v>0</v>
      </c>
      <c r="AB37" s="20">
        <v>0</v>
      </c>
      <c r="AC37" s="20">
        <v>220.942125876701</v>
      </c>
      <c r="AD37" s="20">
        <v>9.0336648295595996</v>
      </c>
      <c r="AE37" s="20">
        <v>10.1042661302954</v>
      </c>
      <c r="AF37" s="20">
        <v>0</v>
      </c>
      <c r="AG37" s="20">
        <v>0</v>
      </c>
      <c r="AH37" s="20">
        <v>5.9947275396366999</v>
      </c>
    </row>
    <row r="38" spans="1:34" ht="11.25" customHeight="1" x14ac:dyDescent="0.25">
      <c r="A38" s="163"/>
      <c r="B38" s="163"/>
      <c r="C38" s="163"/>
      <c r="D38" s="23" t="s">
        <v>88</v>
      </c>
      <c r="E38" s="23" t="s">
        <v>25</v>
      </c>
      <c r="F38" s="23" t="s">
        <v>25</v>
      </c>
      <c r="G38" s="22" t="s">
        <v>75</v>
      </c>
      <c r="H38" s="22" t="s">
        <v>71</v>
      </c>
      <c r="I38" s="22">
        <f>'MERCADO TE'!$U$35</f>
        <v>0</v>
      </c>
      <c r="J38" s="15"/>
      <c r="L38" s="20">
        <f>('TE BE'!$L$38+'TE BF'!$L$38+'TE CVA'!$L$38)*(1 - CUSTOS!$M$40)</f>
        <v>2.3402440299135807</v>
      </c>
      <c r="M38" s="20">
        <f>('TE BE'!$M$38+'TE BF'!$M$38+'TE CVA'!$M$38)*(1 - CUSTOS!$M$40)</f>
        <v>23.968080363700246</v>
      </c>
      <c r="N38" s="20">
        <f>('TE BE'!$N$38+'TE BF'!$N$38+'TE CVA'!$N$38)*(1 - CUSTOS!$M$40)</f>
        <v>0</v>
      </c>
      <c r="O38" s="20">
        <f>('TE BE'!$O$38+'TE BF'!$O$38+'TE CVA'!$O$38)*(1 - CUSTOS!$M$40)</f>
        <v>5.5173527789534198</v>
      </c>
      <c r="P38" s="20">
        <f>('TE BE'!$P$38+'TE BF'!$P$38+'TE CVA'!$P$38)*(1 - CUSTOS!$M$40)</f>
        <v>-15.030877538060597</v>
      </c>
      <c r="Q38" s="20">
        <f>('TE BE'!$R$38+'TE BF'!$R$38+'TE CVA'!$R$38)*(1 - CUSTOS!$M$40)</f>
        <v>211.31732769672314</v>
      </c>
      <c r="R38" s="20">
        <f>('TE BE'!$T$38+'TE BF'!$T$38+'TE CVA'!$T$38)*(1 - CUSTOS!$M$40)</f>
        <v>9.3183454467107367</v>
      </c>
      <c r="S38" s="20">
        <f>('TE BE'!$U$38+'TE BF'!$U$38+'TE CVA'!$U$38)*(1 - CUSTOS!$M$40)</f>
        <v>6.1447335722154008</v>
      </c>
      <c r="T38" s="20">
        <f>('TE BE'!$V$38+'TE BF'!$V$38+'TE CVA'!$V$38)*(1 - CUSTOS!$M$40)</f>
        <v>0</v>
      </c>
      <c r="U38" s="20">
        <f>('TE BE'!$X$38+'TE BF'!$X$38+'TE CVA'!$X$38)*(1 - CUSTOS!$M$40)</f>
        <v>0</v>
      </c>
      <c r="V38" s="20">
        <f>('TE BE'!$Z$38+'TE BF'!$Z$38+'TE CVA'!$Z$38)*(1 - CUSTOS!$M$40)</f>
        <v>6.6999850281888387</v>
      </c>
      <c r="X38" s="20">
        <v>2.3045932455623599</v>
      </c>
      <c r="Y38" s="20">
        <v>12.779158378270299</v>
      </c>
      <c r="Z38" s="20">
        <v>0</v>
      </c>
      <c r="AA38" s="20">
        <v>0</v>
      </c>
      <c r="AB38" s="20">
        <v>0</v>
      </c>
      <c r="AC38" s="20">
        <v>210.89930197321499</v>
      </c>
      <c r="AD38" s="20">
        <v>8.6230437009432492</v>
      </c>
      <c r="AE38" s="20">
        <v>9.6449813061911005</v>
      </c>
      <c r="AF38" s="20">
        <v>0</v>
      </c>
      <c r="AG38" s="20">
        <v>0</v>
      </c>
      <c r="AH38" s="20">
        <v>5.7222399241986697</v>
      </c>
    </row>
    <row r="39" spans="1:34" ht="11.25" customHeight="1" x14ac:dyDescent="0.25">
      <c r="A39" s="163" t="s">
        <v>39</v>
      </c>
      <c r="B39" s="163" t="s">
        <v>70</v>
      </c>
      <c r="C39" s="163" t="s">
        <v>25</v>
      </c>
      <c r="D39" s="163" t="s">
        <v>25</v>
      </c>
      <c r="E39" s="163" t="s">
        <v>25</v>
      </c>
      <c r="F39" s="163" t="s">
        <v>25</v>
      </c>
      <c r="G39" s="22" t="s">
        <v>72</v>
      </c>
      <c r="H39" s="22" t="s">
        <v>71</v>
      </c>
      <c r="I39" s="22">
        <f>'MERCADO TE'!$U$36</f>
        <v>43.234000000000002</v>
      </c>
      <c r="J39" s="15"/>
      <c r="L39" s="20">
        <f>('TE BE'!$L$39+'TE BF'!$L$39+'TE CVA'!$L$39)*1</f>
        <v>2.5437435107756312</v>
      </c>
      <c r="M39" s="20">
        <f>('TE BE'!$M$39+'TE BF'!$M$39+'TE CVA'!$M$39)*1</f>
        <v>26.05226126489157</v>
      </c>
      <c r="N39" s="20">
        <f>('TE BE'!$N$39+'TE BF'!$N$39+'TE CVA'!$N$39)*1</f>
        <v>0</v>
      </c>
      <c r="O39" s="20">
        <f>('TE BE'!$O$39+'TE BF'!$O$39+'TE CVA'!$O$39)*1</f>
        <v>5.9971225858189339</v>
      </c>
      <c r="P39" s="20">
        <f>('TE BE'!$P$39+'TE BF'!$P$39+'TE CVA'!$P$39)*1</f>
        <v>-16.33791036745717</v>
      </c>
      <c r="Q39" s="20">
        <f>('TE BE'!$R$39+'TE BF'!$R$39+'TE CVA'!$R$39)*1</f>
        <v>372.70898650365439</v>
      </c>
      <c r="R39" s="20">
        <f>('TE BE'!$T$39+'TE BF'!$T$39+'TE CVA'!$T$39)*1</f>
        <v>10.128636355120365</v>
      </c>
      <c r="S39" s="20">
        <f>('TE BE'!$U$39+'TE BF'!$U$39+'TE CVA'!$U$39)*1</f>
        <v>6.6790582306689137</v>
      </c>
      <c r="T39" s="20">
        <f>('TE BE'!$V$39+'TE BF'!$V$39+'TE CVA'!$V$39)*1</f>
        <v>0</v>
      </c>
      <c r="U39" s="20">
        <f>('TE BE'!$X$39+'TE BF'!$X$39+'TE CVA'!$X$39)*1</f>
        <v>0</v>
      </c>
      <c r="V39" s="20">
        <f>('TE BE'!$Z$39+'TE BF'!$Z$39+'TE CVA'!$Z$39)*1</f>
        <v>7.2825924219443898</v>
      </c>
      <c r="X39" s="20">
        <v>2.7435633875742398</v>
      </c>
      <c r="Y39" s="20">
        <v>15.2132837836551</v>
      </c>
      <c r="Z39" s="20">
        <v>0</v>
      </c>
      <c r="AA39" s="20">
        <v>0</v>
      </c>
      <c r="AB39" s="20">
        <v>0</v>
      </c>
      <c r="AC39" s="20">
        <v>407.39757344331701</v>
      </c>
      <c r="AD39" s="20">
        <v>10.265528215408599</v>
      </c>
      <c r="AE39" s="20">
        <v>11.4821206026085</v>
      </c>
      <c r="AF39" s="20">
        <v>0</v>
      </c>
      <c r="AG39" s="20">
        <v>0</v>
      </c>
      <c r="AH39" s="20">
        <v>6.8121903859507897</v>
      </c>
    </row>
    <row r="40" spans="1:34" ht="11.25" customHeight="1" x14ac:dyDescent="0.25">
      <c r="A40" s="163"/>
      <c r="B40" s="163"/>
      <c r="C40" s="163"/>
      <c r="D40" s="163"/>
      <c r="E40" s="163"/>
      <c r="F40" s="163"/>
      <c r="G40" s="22" t="s">
        <v>84</v>
      </c>
      <c r="H40" s="22" t="s">
        <v>71</v>
      </c>
      <c r="I40" s="22">
        <f>'MERCADO TE'!$U$37</f>
        <v>28.834999999999997</v>
      </c>
      <c r="J40" s="15"/>
      <c r="L40" s="20">
        <f>('TE BE'!$L$40+'TE BF'!$L$40+'TE CVA'!$L$40)*1</f>
        <v>2.5437435107756312</v>
      </c>
      <c r="M40" s="20">
        <f>('TE BE'!$M$40+'TE BF'!$M$40+'TE CVA'!$M$40)*1</f>
        <v>26.05226126489157</v>
      </c>
      <c r="N40" s="20">
        <f>('TE BE'!$N$40+'TE BF'!$N$40+'TE CVA'!$N$40)*1</f>
        <v>0</v>
      </c>
      <c r="O40" s="20">
        <f>('TE BE'!$O$40+'TE BF'!$O$40+'TE CVA'!$O$40)*1</f>
        <v>5.9971225858189339</v>
      </c>
      <c r="P40" s="20">
        <f>('TE BE'!$P$40+'TE BF'!$P$40+'TE CVA'!$P$40)*1</f>
        <v>-16.33791036745717</v>
      </c>
      <c r="Q40" s="20">
        <f>('TE BE'!$R$40+'TE BF'!$R$40+'TE CVA'!$R$40)*1</f>
        <v>216.69127122305488</v>
      </c>
      <c r="R40" s="20">
        <f>('TE BE'!$T$40+'TE BF'!$T$40+'TE CVA'!$T$40)*1</f>
        <v>10.128636355120365</v>
      </c>
      <c r="S40" s="20">
        <f>('TE BE'!$U$40+'TE BF'!$U$40+'TE CVA'!$U$40)*1</f>
        <v>6.6790582306689137</v>
      </c>
      <c r="T40" s="20">
        <f>('TE BE'!$V$40+'TE BF'!$V$40+'TE CVA'!$V$40)*1</f>
        <v>0</v>
      </c>
      <c r="U40" s="20">
        <f>('TE BE'!$X$40+'TE BF'!$X$40+'TE CVA'!$X$40)*1</f>
        <v>0</v>
      </c>
      <c r="V40" s="20">
        <f>('TE BE'!$Z$40+'TE BF'!$Z$40+'TE CVA'!$Z$40)*1</f>
        <v>7.2825924219443898</v>
      </c>
      <c r="X40" s="20">
        <v>2.7435633875742398</v>
      </c>
      <c r="Y40" s="20">
        <v>15.2132837836551</v>
      </c>
      <c r="Z40" s="20">
        <v>0</v>
      </c>
      <c r="AA40" s="20">
        <v>0</v>
      </c>
      <c r="AB40" s="20">
        <v>0</v>
      </c>
      <c r="AC40" s="20">
        <v>236.85905432750999</v>
      </c>
      <c r="AD40" s="20">
        <v>10.265528215408599</v>
      </c>
      <c r="AE40" s="20">
        <v>11.4821206026085</v>
      </c>
      <c r="AF40" s="20">
        <v>0</v>
      </c>
      <c r="AG40" s="20">
        <v>0</v>
      </c>
      <c r="AH40" s="20">
        <v>6.8121903859507897</v>
      </c>
    </row>
    <row r="41" spans="1:34" ht="11.25" customHeight="1" x14ac:dyDescent="0.25">
      <c r="A41" s="163"/>
      <c r="B41" s="163"/>
      <c r="C41" s="163"/>
      <c r="D41" s="163"/>
      <c r="E41" s="163"/>
      <c r="F41" s="163"/>
      <c r="G41" s="22" t="s">
        <v>73</v>
      </c>
      <c r="H41" s="22" t="s">
        <v>71</v>
      </c>
      <c r="I41" s="22">
        <f>'MERCADO TE'!$U$38</f>
        <v>441.67400000000004</v>
      </c>
      <c r="J41" s="15"/>
      <c r="L41" s="20">
        <f>('TE BE'!$L$41+'TE BF'!$L$41+'TE CVA'!$L$41)*1</f>
        <v>2.5437435107756312</v>
      </c>
      <c r="M41" s="20">
        <f>('TE BE'!$M$41+'TE BF'!$M$41+'TE CVA'!$M$41)*1</f>
        <v>26.05226126489157</v>
      </c>
      <c r="N41" s="20">
        <f>('TE BE'!$N$41+'TE BF'!$N$41+'TE CVA'!$N$41)*1</f>
        <v>0</v>
      </c>
      <c r="O41" s="20">
        <f>('TE BE'!$O$41+'TE BF'!$O$41+'TE CVA'!$O$41)*1</f>
        <v>5.9971225858189339</v>
      </c>
      <c r="P41" s="20">
        <f>('TE BE'!$P$41+'TE BF'!$P$41+'TE CVA'!$P$41)*1</f>
        <v>-16.33791036745717</v>
      </c>
      <c r="Q41" s="20">
        <f>('TE BE'!$R$41+'TE BF'!$R$41+'TE CVA'!$R$41)*1</f>
        <v>216.69127122305488</v>
      </c>
      <c r="R41" s="20">
        <f>('TE BE'!$T$41+'TE BF'!$T$41+'TE CVA'!$T$41)*1</f>
        <v>10.128636355120365</v>
      </c>
      <c r="S41" s="20">
        <f>('TE BE'!$U$41+'TE BF'!$U$41+'TE CVA'!$U$41)*1</f>
        <v>6.6790582306689137</v>
      </c>
      <c r="T41" s="20">
        <f>('TE BE'!$V$41+'TE BF'!$V$41+'TE CVA'!$V$41)*1</f>
        <v>0</v>
      </c>
      <c r="U41" s="20">
        <f>('TE BE'!$X$41+'TE BF'!$X$41+'TE CVA'!$X$41)*1</f>
        <v>0</v>
      </c>
      <c r="V41" s="20">
        <f>('TE BE'!$Z$41+'TE BF'!$Z$41+'TE CVA'!$Z$41)*1</f>
        <v>7.2825924219443898</v>
      </c>
      <c r="X41" s="20">
        <v>2.7435633875742398</v>
      </c>
      <c r="Y41" s="20">
        <v>15.2132837836551</v>
      </c>
      <c r="Z41" s="20">
        <v>0</v>
      </c>
      <c r="AA41" s="20">
        <v>0</v>
      </c>
      <c r="AB41" s="20">
        <v>0</v>
      </c>
      <c r="AC41" s="20">
        <v>236.85905432750999</v>
      </c>
      <c r="AD41" s="20">
        <v>10.265528215408599</v>
      </c>
      <c r="AE41" s="20">
        <v>11.4821206026085</v>
      </c>
      <c r="AF41" s="20">
        <v>0</v>
      </c>
      <c r="AG41" s="20">
        <v>0</v>
      </c>
      <c r="AH41" s="20">
        <v>6.8121903859507897</v>
      </c>
    </row>
    <row r="42" spans="1:34" ht="11.25" customHeight="1" x14ac:dyDescent="0.25">
      <c r="A42" s="163"/>
      <c r="B42" s="23" t="s">
        <v>74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75</v>
      </c>
      <c r="H42" s="22" t="s">
        <v>71</v>
      </c>
      <c r="I42" s="22">
        <f>'MERCADO TE'!$U$39</f>
        <v>28618.504000000001</v>
      </c>
      <c r="J42" s="15"/>
      <c r="L42" s="20">
        <f>('TE BE'!$L$42+'TE BF'!$L$42+'TE CVA'!$L$42)*1</f>
        <v>2.5437435107756312</v>
      </c>
      <c r="M42" s="20">
        <f>('TE BE'!$M$42+'TE BF'!$M$42+'TE CVA'!$M$42)*1</f>
        <v>26.05226126489157</v>
      </c>
      <c r="N42" s="20">
        <f>('TE BE'!$N$42+'TE BF'!$N$42+'TE CVA'!$N$42)*1</f>
        <v>0</v>
      </c>
      <c r="O42" s="20">
        <f>('TE BE'!$O$42+'TE BF'!$O$42+'TE CVA'!$O$42)*1</f>
        <v>5.9971225858189339</v>
      </c>
      <c r="P42" s="20">
        <f>('TE BE'!$P$42+'TE BF'!$P$42+'TE CVA'!$P$42)*1</f>
        <v>-16.33791036745717</v>
      </c>
      <c r="Q42" s="20">
        <f>('TE BE'!$R$42+'TE BF'!$R$42+'TE CVA'!$R$42)*1</f>
        <v>229.69274749643819</v>
      </c>
      <c r="R42" s="20">
        <f>('TE BE'!$T$42+'TE BF'!$T$42+'TE CVA'!$T$42)*1</f>
        <v>10.128636355120365</v>
      </c>
      <c r="S42" s="20">
        <f>('TE BE'!$U$42+'TE BF'!$U$42+'TE CVA'!$U$42)*1</f>
        <v>6.6790582306689137</v>
      </c>
      <c r="T42" s="20">
        <f>('TE BE'!$V$42+'TE BF'!$V$42+'TE CVA'!$V$42)*1</f>
        <v>0</v>
      </c>
      <c r="U42" s="20">
        <f>('TE BE'!$X$42+'TE BF'!$X$42+'TE CVA'!$X$42)*1</f>
        <v>0</v>
      </c>
      <c r="V42" s="20">
        <f>('TE BE'!$Z$42+'TE BF'!$Z$42+'TE CVA'!$Z$42)*1</f>
        <v>7.2825924219443898</v>
      </c>
      <c r="X42" s="20">
        <v>2.7435633875742398</v>
      </c>
      <c r="Y42" s="20">
        <v>15.2132837836551</v>
      </c>
      <c r="Z42" s="20">
        <v>0</v>
      </c>
      <c r="AA42" s="20">
        <v>0</v>
      </c>
      <c r="AB42" s="20">
        <v>0</v>
      </c>
      <c r="AC42" s="20">
        <v>251.07059758716099</v>
      </c>
      <c r="AD42" s="20">
        <v>10.265528215408599</v>
      </c>
      <c r="AE42" s="20">
        <v>11.4821206026085</v>
      </c>
      <c r="AF42" s="20">
        <v>0</v>
      </c>
      <c r="AG42" s="20">
        <v>0</v>
      </c>
      <c r="AH42" s="20">
        <v>6.8121903859507897</v>
      </c>
    </row>
    <row r="43" spans="1:34" ht="11.25" customHeight="1" x14ac:dyDescent="0.25">
      <c r="A43" s="163"/>
      <c r="B43" s="23" t="s">
        <v>85</v>
      </c>
      <c r="C43" s="23" t="s">
        <v>25</v>
      </c>
      <c r="D43" s="23" t="s">
        <v>25</v>
      </c>
      <c r="E43" s="23" t="s">
        <v>25</v>
      </c>
      <c r="F43" s="23" t="s">
        <v>25</v>
      </c>
      <c r="G43" s="22" t="s">
        <v>75</v>
      </c>
      <c r="H43" s="22" t="s">
        <v>71</v>
      </c>
      <c r="I43" s="22">
        <f>'MERCADO TE'!$U$40</f>
        <v>0</v>
      </c>
      <c r="J43" s="15"/>
      <c r="L43" s="20">
        <f>('TE BE'!$L$43+'TE BF'!$L$43+'TE CVA'!$L$43)*1</f>
        <v>2.5437435107756312</v>
      </c>
      <c r="M43" s="20">
        <f>('TE BE'!$M$43+'TE BF'!$M$43+'TE CVA'!$M$43)*1</f>
        <v>26.05226126489157</v>
      </c>
      <c r="N43" s="20">
        <f>('TE BE'!$N$43+'TE BF'!$N$43+'TE CVA'!$N$43)*1</f>
        <v>0</v>
      </c>
      <c r="O43" s="20">
        <f>('TE BE'!$O$43+'TE BF'!$O$43+'TE CVA'!$O$43)*1</f>
        <v>5.9971225858189339</v>
      </c>
      <c r="P43" s="20">
        <f>('TE BE'!$P$43+'TE BF'!$P$43+'TE CVA'!$P$43)*1</f>
        <v>-16.33791036745717</v>
      </c>
      <c r="Q43" s="20">
        <f>('TE BE'!$R$43+'TE BF'!$R$43+'TE CVA'!$R$43)*1</f>
        <v>229.69274749643819</v>
      </c>
      <c r="R43" s="20">
        <f>('TE BE'!$T$43+'TE BF'!$T$43+'TE CVA'!$T$43)*1</f>
        <v>10.128636355120365</v>
      </c>
      <c r="S43" s="20">
        <f>('TE BE'!$U$43+'TE BF'!$U$43+'TE CVA'!$U$43)*1</f>
        <v>6.6790582306689137</v>
      </c>
      <c r="T43" s="20">
        <f>('TE BE'!$V$43+'TE BF'!$V$43+'TE CVA'!$V$43)*1</f>
        <v>0</v>
      </c>
      <c r="U43" s="20">
        <f>('TE BE'!$X$43+'TE BF'!$X$43+'TE CVA'!$X$43)*1</f>
        <v>0</v>
      </c>
      <c r="V43" s="20">
        <f>('TE BE'!$Z$43+'TE BF'!$Z$43+'TE CVA'!$Z$43)*1</f>
        <v>7.2825924219443898</v>
      </c>
      <c r="X43" s="20">
        <v>2.7435633875742398</v>
      </c>
      <c r="Y43" s="20">
        <v>15.2132837836551</v>
      </c>
      <c r="Z43" s="20">
        <v>0</v>
      </c>
      <c r="AA43" s="20">
        <v>0</v>
      </c>
      <c r="AB43" s="20">
        <v>0</v>
      </c>
      <c r="AC43" s="20">
        <v>251.07059758716099</v>
      </c>
      <c r="AD43" s="20">
        <v>10.265528215408599</v>
      </c>
      <c r="AE43" s="20">
        <v>11.4821206026085</v>
      </c>
      <c r="AF43" s="20">
        <v>0</v>
      </c>
      <c r="AG43" s="20">
        <v>0</v>
      </c>
      <c r="AH43" s="20">
        <v>6.8121903859507897</v>
      </c>
    </row>
    <row r="44" spans="1:34" ht="11.25" customHeight="1" x14ac:dyDescent="0.25">
      <c r="A44" s="163" t="s">
        <v>47</v>
      </c>
      <c r="B44" s="163" t="s">
        <v>74</v>
      </c>
      <c r="C44" s="163" t="s">
        <v>48</v>
      </c>
      <c r="D44" s="23" t="s">
        <v>49</v>
      </c>
      <c r="E44" s="23" t="s">
        <v>25</v>
      </c>
      <c r="F44" s="23" t="s">
        <v>25</v>
      </c>
      <c r="G44" s="22" t="s">
        <v>75</v>
      </c>
      <c r="H44" s="22" t="s">
        <v>71</v>
      </c>
      <c r="I44" s="22">
        <f>'MERCADO TE'!$U$41</f>
        <v>12200.506000000001</v>
      </c>
      <c r="J44" s="15"/>
      <c r="L44" s="20">
        <f>('TE BE'!$L$44+'TE BF'!$L$44+'TE CVA'!$L$44)*1</f>
        <v>1.3990589309265973</v>
      </c>
      <c r="M44" s="20">
        <f>('TE BE'!$M$44+'TE BF'!$M$44+'TE CVA'!$M$44)*1</f>
        <v>14.328743695690363</v>
      </c>
      <c r="N44" s="20">
        <f>('TE BE'!$N$44+'TE BF'!$N$44+'TE CVA'!$N$44)*1</f>
        <v>0</v>
      </c>
      <c r="O44" s="20">
        <f>('TE BE'!$O$44+'TE BF'!$O$44+'TE CVA'!$O$44)*1</f>
        <v>3.2984174222004139</v>
      </c>
      <c r="P44" s="20">
        <f>('TE BE'!$P$44+'TE BF'!$P$44+'TE CVA'!$P$44)*1</f>
        <v>-8.9858507021014447</v>
      </c>
      <c r="Q44" s="20">
        <f>('TE BE'!$R$44+'TE BF'!$R$44+'TE CVA'!$R$44)*1</f>
        <v>126.33101112304101</v>
      </c>
      <c r="R44" s="20">
        <f>('TE BE'!$T$44+'TE BF'!$T$44+'TE CVA'!$T$44)*1</f>
        <v>5.5707499953162012</v>
      </c>
      <c r="S44" s="20">
        <f>('TE BE'!$U$44+'TE BF'!$U$44+'TE CVA'!$U$44)*1</f>
        <v>3.6734820268679029</v>
      </c>
      <c r="T44" s="20">
        <f>('TE BE'!$V$44+'TE BF'!$V$44+'TE CVA'!$V$44)*1</f>
        <v>0</v>
      </c>
      <c r="U44" s="20">
        <f>('TE BE'!$X$44+'TE BF'!$X$44+'TE CVA'!$X$44)*1</f>
        <v>0</v>
      </c>
      <c r="V44" s="20">
        <f>('TE BE'!$Z$44+'TE BF'!$Z$44+'TE CVA'!$Z$44)*1</f>
        <v>4.0054258320694149</v>
      </c>
      <c r="X44" s="20">
        <v>1.5089598631658301</v>
      </c>
      <c r="Y44" s="20">
        <v>8.3673060810102999</v>
      </c>
      <c r="Z44" s="20">
        <v>0</v>
      </c>
      <c r="AA44" s="20">
        <v>0</v>
      </c>
      <c r="AB44" s="20">
        <v>0</v>
      </c>
      <c r="AC44" s="20">
        <v>138.08882867293801</v>
      </c>
      <c r="AD44" s="20">
        <v>5.6460405184747504</v>
      </c>
      <c r="AE44" s="20">
        <v>6.31516633143465</v>
      </c>
      <c r="AF44" s="20">
        <v>0</v>
      </c>
      <c r="AG44" s="20">
        <v>0</v>
      </c>
      <c r="AH44" s="20">
        <v>3.74670471227294</v>
      </c>
    </row>
    <row r="45" spans="1:34" ht="11.25" customHeight="1" x14ac:dyDescent="0.25">
      <c r="A45" s="163"/>
      <c r="B45" s="163"/>
      <c r="C45" s="163"/>
      <c r="D45" s="22" t="s">
        <v>89</v>
      </c>
      <c r="E45" s="22" t="s">
        <v>25</v>
      </c>
      <c r="F45" s="22" t="s">
        <v>25</v>
      </c>
      <c r="G45" s="22" t="s">
        <v>75</v>
      </c>
      <c r="H45" s="22" t="s">
        <v>71</v>
      </c>
      <c r="I45" s="22">
        <f>'MERCADO TE'!$U$42</f>
        <v>0</v>
      </c>
      <c r="J45" s="15"/>
      <c r="L45" s="20">
        <f>('TE BE'!$L$45+'TE BF'!$L$45+'TE CVA'!$L$45)*1</f>
        <v>1.5262461064653785</v>
      </c>
      <c r="M45" s="20">
        <f>('TE BE'!$M$45+'TE BF'!$M$45+'TE CVA'!$M$45)*1</f>
        <v>15.631356758934938</v>
      </c>
      <c r="N45" s="20">
        <f>('TE BE'!$N$45+'TE BF'!$N$45+'TE CVA'!$N$45)*1</f>
        <v>0</v>
      </c>
      <c r="O45" s="20">
        <f>('TE BE'!$O$45+'TE BF'!$O$45+'TE CVA'!$O$45)*1</f>
        <v>3.5982735514913604</v>
      </c>
      <c r="P45" s="20">
        <f>('TE BE'!$P$45+'TE BF'!$P$45+'TE CVA'!$P$45)*1</f>
        <v>-9.802746220474301</v>
      </c>
      <c r="Q45" s="20">
        <f>('TE BE'!$R$45+'TE BF'!$R$45+'TE CVA'!$R$45)*1</f>
        <v>137.81564849786292</v>
      </c>
      <c r="R45" s="20">
        <f>('TE BE'!$T$45+'TE BF'!$T$45+'TE CVA'!$T$45)*1</f>
        <v>6.0771818130722197</v>
      </c>
      <c r="S45" s="20">
        <f>('TE BE'!$U$45+'TE BF'!$U$45+'TE CVA'!$U$45)*1</f>
        <v>4.0074349384013477</v>
      </c>
      <c r="T45" s="20">
        <f>('TE BE'!$V$45+'TE BF'!$V$45+'TE CVA'!$V$45)*1</f>
        <v>0</v>
      </c>
      <c r="U45" s="20">
        <f>('TE BE'!$X$45+'TE BF'!$X$45+'TE CVA'!$X$45)*1</f>
        <v>0</v>
      </c>
      <c r="V45" s="20">
        <f>('TE BE'!$Z$45+'TE BF'!$Z$45+'TE CVA'!$Z$45)*1</f>
        <v>4.3695554531666341</v>
      </c>
      <c r="X45" s="20">
        <v>1.6461380325445401</v>
      </c>
      <c r="Y45" s="20">
        <v>9.1279702701930496</v>
      </c>
      <c r="Z45" s="20">
        <v>0</v>
      </c>
      <c r="AA45" s="20">
        <v>0</v>
      </c>
      <c r="AB45" s="20">
        <v>0</v>
      </c>
      <c r="AC45" s="20">
        <v>150.642358552296</v>
      </c>
      <c r="AD45" s="20">
        <v>6.1593169292451799</v>
      </c>
      <c r="AE45" s="20">
        <v>6.8892723615650704</v>
      </c>
      <c r="AF45" s="20">
        <v>0</v>
      </c>
      <c r="AG45" s="20">
        <v>0</v>
      </c>
      <c r="AH45" s="20">
        <v>4.0873142315704802</v>
      </c>
    </row>
    <row r="47" spans="1:34" ht="11.25" customHeight="1" x14ac:dyDescent="0.25">
      <c r="L47" s="164" t="s">
        <v>1081</v>
      </c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X47" s="164" t="s">
        <v>1082</v>
      </c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</row>
    <row r="48" spans="1:34" ht="11.25" customHeight="1" x14ac:dyDescent="0.25">
      <c r="L48" s="164" t="s">
        <v>609</v>
      </c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X48" s="164" t="s">
        <v>609</v>
      </c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</row>
    <row r="49" spans="1:34" ht="11.25" customHeight="1" x14ac:dyDescent="0.25">
      <c r="L49" s="164" t="s">
        <v>582</v>
      </c>
      <c r="M49" s="164"/>
      <c r="N49" s="164"/>
      <c r="O49" s="164"/>
      <c r="P49" s="164"/>
      <c r="Q49" s="24" t="s">
        <v>613</v>
      </c>
      <c r="R49" s="164" t="s">
        <v>591</v>
      </c>
      <c r="S49" s="164"/>
      <c r="T49" s="164"/>
      <c r="U49" s="24" t="s">
        <v>601</v>
      </c>
      <c r="V49" s="24" t="s">
        <v>604</v>
      </c>
      <c r="X49" s="164" t="s">
        <v>582</v>
      </c>
      <c r="Y49" s="164"/>
      <c r="Z49" s="164"/>
      <c r="AA49" s="164"/>
      <c r="AB49" s="164"/>
      <c r="AC49" s="24" t="s">
        <v>613</v>
      </c>
      <c r="AD49" s="164" t="s">
        <v>591</v>
      </c>
      <c r="AE49" s="164"/>
      <c r="AF49" s="164"/>
      <c r="AG49" s="24" t="s">
        <v>601</v>
      </c>
      <c r="AH49" s="24" t="s">
        <v>604</v>
      </c>
    </row>
    <row r="50" spans="1:34" ht="11.25" customHeight="1" x14ac:dyDescent="0.25">
      <c r="L50" s="24" t="s">
        <v>584</v>
      </c>
      <c r="M50" s="24" t="s">
        <v>610</v>
      </c>
      <c r="N50" s="24" t="s">
        <v>611</v>
      </c>
      <c r="O50" s="24" t="s">
        <v>670</v>
      </c>
      <c r="P50" s="24" t="s">
        <v>612</v>
      </c>
      <c r="Q50" s="24" t="s">
        <v>614</v>
      </c>
      <c r="R50" s="24" t="s">
        <v>615</v>
      </c>
      <c r="S50" s="24" t="s">
        <v>616</v>
      </c>
      <c r="T50" s="24" t="s">
        <v>617</v>
      </c>
      <c r="U50" s="24" t="s">
        <v>602</v>
      </c>
      <c r="V50" s="24" t="s">
        <v>618</v>
      </c>
      <c r="X50" s="24" t="s">
        <v>584</v>
      </c>
      <c r="Y50" s="24" t="s">
        <v>610</v>
      </c>
      <c r="Z50" s="24" t="s">
        <v>611</v>
      </c>
      <c r="AA50" s="24" t="s">
        <v>670</v>
      </c>
      <c r="AB50" s="24" t="s">
        <v>612</v>
      </c>
      <c r="AC50" s="24" t="s">
        <v>614</v>
      </c>
      <c r="AD50" s="24" t="s">
        <v>615</v>
      </c>
      <c r="AE50" s="24" t="s">
        <v>616</v>
      </c>
      <c r="AF50" s="24" t="s">
        <v>617</v>
      </c>
      <c r="AG50" s="24" t="s">
        <v>602</v>
      </c>
      <c r="AH50" s="24" t="s">
        <v>618</v>
      </c>
    </row>
    <row r="51" spans="1:34" ht="11.25" customHeight="1" x14ac:dyDescent="0.25">
      <c r="A51" s="9" t="s">
        <v>42</v>
      </c>
      <c r="B51" s="9" t="s">
        <v>1083</v>
      </c>
      <c r="C51" s="9" t="s">
        <v>1084</v>
      </c>
      <c r="D51" s="9" t="s">
        <v>1085</v>
      </c>
      <c r="E51" s="9" t="s">
        <v>1086</v>
      </c>
      <c r="F51" s="9" t="s">
        <v>1087</v>
      </c>
      <c r="G51" s="9" t="s">
        <v>1088</v>
      </c>
      <c r="L51" s="20">
        <f>$I$5*$L$5</f>
        <v>599.99532563015896</v>
      </c>
      <c r="M51" s="20">
        <f>$I$5*$M$5</f>
        <v>6144.9729168112399</v>
      </c>
      <c r="N51" s="20">
        <f>$I$5*$N$5</f>
        <v>0</v>
      </c>
      <c r="O51" s="20">
        <f>$I$5*$O$5</f>
        <v>1414.5473014396978</v>
      </c>
      <c r="P51" s="20">
        <f>$I$5*$P$5</f>
        <v>-3853.6392562824904</v>
      </c>
      <c r="Q51" s="20">
        <f>$I$5*$Q$5</f>
        <v>87911.241355603473</v>
      </c>
      <c r="R51" s="20">
        <f>$I$5*$R$5</f>
        <v>2389.0515857185956</v>
      </c>
      <c r="S51" s="20">
        <f>$I$5*$S$5</f>
        <v>1575.3961439261075</v>
      </c>
      <c r="T51" s="20">
        <f>$I$5*$T$5</f>
        <v>0</v>
      </c>
      <c r="U51" s="20">
        <f>$I$5*$U$5</f>
        <v>0</v>
      </c>
      <c r="V51" s="20">
        <f>$I$5*$V$5</f>
        <v>1717.7523571564452</v>
      </c>
      <c r="X51" s="20">
        <f>$I$5*$X$5</f>
        <v>647.12703979052355</v>
      </c>
      <c r="Y51" s="20">
        <f>$I$5*$Y$5</f>
        <v>3588.3724593345123</v>
      </c>
      <c r="Z51" s="20">
        <f>$I$5*$Z$5</f>
        <v>0</v>
      </c>
      <c r="AA51" s="20">
        <f>$I$5*$AA$5</f>
        <v>0</v>
      </c>
      <c r="AB51" s="20">
        <f>$I$5*$AB$5</f>
        <v>0</v>
      </c>
      <c r="AC51" s="20">
        <f>$I$5*$AC$5</f>
        <v>96093.273045648632</v>
      </c>
      <c r="AD51" s="20">
        <f>$I$5*$AD$5</f>
        <v>2421.3404056966419</v>
      </c>
      <c r="AE51" s="20">
        <f>$I$5*$AE$5</f>
        <v>2708.2992686578696</v>
      </c>
      <c r="AF51" s="20">
        <f>$I$5*$AF$5</f>
        <v>0</v>
      </c>
      <c r="AG51" s="20">
        <f>$I$5*$AG$5</f>
        <v>0</v>
      </c>
      <c r="AH51" s="20">
        <f>$I$5*$AH$5</f>
        <v>1606.7981585245989</v>
      </c>
    </row>
    <row r="52" spans="1:34" ht="11.25" customHeight="1" x14ac:dyDescent="0.25">
      <c r="A52" s="9" t="s">
        <v>42</v>
      </c>
      <c r="B52" s="9" t="s">
        <v>1083</v>
      </c>
      <c r="C52" s="9" t="s">
        <v>1084</v>
      </c>
      <c r="D52" s="9" t="s">
        <v>1085</v>
      </c>
      <c r="E52" s="9" t="s">
        <v>1086</v>
      </c>
      <c r="F52" s="9" t="s">
        <v>1087</v>
      </c>
      <c r="G52" s="9" t="s">
        <v>1089</v>
      </c>
      <c r="L52" s="20">
        <f>$I$6*$L$6</f>
        <v>9876.6031042625855</v>
      </c>
      <c r="M52" s="20">
        <f>$I$6*$M$6</f>
        <v>101153.21902223954</v>
      </c>
      <c r="N52" s="20">
        <f>$I$6*$N$6</f>
        <v>0</v>
      </c>
      <c r="O52" s="20">
        <f>$I$6*$O$6</f>
        <v>23285.051852449516</v>
      </c>
      <c r="P52" s="20">
        <f>$I$6*$P$6</f>
        <v>-63435.269935367418</v>
      </c>
      <c r="Q52" s="20">
        <f>$I$6*$Q$6</f>
        <v>841348.06554284005</v>
      </c>
      <c r="R52" s="20">
        <f>$I$6*$R$6</f>
        <v>39326.496890571259</v>
      </c>
      <c r="S52" s="20">
        <f>$I$6*$S$6</f>
        <v>25932.806108451114</v>
      </c>
      <c r="T52" s="20">
        <f>$I$6*$T$6</f>
        <v>0</v>
      </c>
      <c r="U52" s="20">
        <f>$I$6*$U$6</f>
        <v>0</v>
      </c>
      <c r="V52" s="20">
        <f>$I$6*$V$6</f>
        <v>28276.150727053169</v>
      </c>
      <c r="X52" s="20">
        <f>$I$6*$X$6</f>
        <v>10652.444539188051</v>
      </c>
      <c r="Y52" s="20">
        <f>$I$6*$Y$6</f>
        <v>59068.67779993279</v>
      </c>
      <c r="Z52" s="20">
        <f>$I$6*$Z$6</f>
        <v>0</v>
      </c>
      <c r="AA52" s="20">
        <f>$I$6*$AA$6</f>
        <v>0</v>
      </c>
      <c r="AB52" s="20">
        <f>$I$6*$AB$6</f>
        <v>0</v>
      </c>
      <c r="AC52" s="20">
        <f>$I$6*$AC$6</f>
        <v>919653.59767364035</v>
      </c>
      <c r="AD52" s="20">
        <f>$I$6*$AD$6</f>
        <v>39858.007464079827</v>
      </c>
      <c r="AE52" s="20">
        <f>$I$6*$AE$6</f>
        <v>44581.675592230429</v>
      </c>
      <c r="AF52" s="20">
        <f>$I$6*$AF$6</f>
        <v>0</v>
      </c>
      <c r="AG52" s="20">
        <f>$I$6*$AG$6</f>
        <v>0</v>
      </c>
      <c r="AH52" s="20">
        <f>$I$6*$AH$6</f>
        <v>26449.718860292673</v>
      </c>
    </row>
    <row r="53" spans="1:34" ht="11.25" customHeight="1" x14ac:dyDescent="0.25">
      <c r="A53" s="9" t="s">
        <v>42</v>
      </c>
      <c r="B53" s="9" t="s">
        <v>1090</v>
      </c>
      <c r="C53" s="9" t="s">
        <v>1091</v>
      </c>
      <c r="D53" s="9" t="s">
        <v>1092</v>
      </c>
      <c r="E53" s="9" t="s">
        <v>1093</v>
      </c>
      <c r="F53" s="9" t="s">
        <v>1094</v>
      </c>
      <c r="G53" s="9" t="s">
        <v>1095</v>
      </c>
      <c r="L53" s="20">
        <f>$I$7*$L$7</f>
        <v>0</v>
      </c>
      <c r="M53" s="20">
        <f>$I$7*$M$7</f>
        <v>0</v>
      </c>
      <c r="N53" s="20">
        <f>$I$7*$N$7</f>
        <v>0</v>
      </c>
      <c r="O53" s="20">
        <f>$I$7*$O$7</f>
        <v>0</v>
      </c>
      <c r="P53" s="20">
        <f>$I$7*$P$7</f>
        <v>0</v>
      </c>
      <c r="Q53" s="20">
        <f>$I$7*$Q$7</f>
        <v>0</v>
      </c>
      <c r="R53" s="20">
        <f>$I$7*$R$7</f>
        <v>0</v>
      </c>
      <c r="S53" s="20">
        <f>$I$7*$S$7</f>
        <v>0</v>
      </c>
      <c r="T53" s="20">
        <f>$I$7*$T$7</f>
        <v>0</v>
      </c>
      <c r="U53" s="20">
        <f>$I$7*$U$7</f>
        <v>0</v>
      </c>
      <c r="V53" s="20">
        <f>$I$7*$V$7</f>
        <v>0</v>
      </c>
      <c r="X53" s="20">
        <f>$I$7*$X$7</f>
        <v>0</v>
      </c>
      <c r="Y53" s="20">
        <f>$I$7*$Y$7</f>
        <v>0</v>
      </c>
      <c r="Z53" s="20">
        <f>$I$7*$Z$7</f>
        <v>0</v>
      </c>
      <c r="AA53" s="20">
        <f>$I$7*$AA$7</f>
        <v>0</v>
      </c>
      <c r="AB53" s="20">
        <f>$I$7*$AB$7</f>
        <v>0</v>
      </c>
      <c r="AC53" s="20">
        <f>$I$7*$AC$7</f>
        <v>0</v>
      </c>
      <c r="AD53" s="20">
        <f>$I$7*$AD$7</f>
        <v>0</v>
      </c>
      <c r="AE53" s="20">
        <f>$I$7*$AE$7</f>
        <v>0</v>
      </c>
      <c r="AF53" s="20">
        <f>$I$7*$AF$7</f>
        <v>0</v>
      </c>
      <c r="AG53" s="20">
        <f>$I$7*$AG$7</f>
        <v>0</v>
      </c>
      <c r="AH53" s="20">
        <f>$I$7*$AH$7</f>
        <v>0</v>
      </c>
    </row>
    <row r="54" spans="1:34" ht="11.25" customHeight="1" x14ac:dyDescent="0.25">
      <c r="A54" s="9" t="s">
        <v>33</v>
      </c>
      <c r="B54" s="9" t="s">
        <v>1096</v>
      </c>
      <c r="C54" s="9" t="s">
        <v>1097</v>
      </c>
      <c r="D54" s="9" t="s">
        <v>1098</v>
      </c>
      <c r="E54" s="9" t="s">
        <v>1099</v>
      </c>
      <c r="F54" s="9" t="s">
        <v>1100</v>
      </c>
      <c r="G54" s="9" t="s">
        <v>1101</v>
      </c>
      <c r="L54" s="20">
        <f>$I$8*$L$8</f>
        <v>9210.6256157064181</v>
      </c>
      <c r="M54" s="20">
        <f>$I$8*$M$8</f>
        <v>94332.476500478297</v>
      </c>
      <c r="N54" s="20">
        <f>$I$8*$N$8</f>
        <v>0</v>
      </c>
      <c r="O54" s="20">
        <f>$I$8*$O$8</f>
        <v>21714.945188256261</v>
      </c>
      <c r="P54" s="20">
        <f>$I$8*$P$8</f>
        <v>-59157.841622063454</v>
      </c>
      <c r="Q54" s="20">
        <f>$I$8*$Q$8</f>
        <v>1349539.732977163</v>
      </c>
      <c r="R54" s="20">
        <f>$I$8*$R$8</f>
        <v>36674.7186064372</v>
      </c>
      <c r="S54" s="20">
        <f>$I$8*$S$8</f>
        <v>24184.161873079684</v>
      </c>
      <c r="T54" s="20">
        <f>$I$8*$T$8</f>
        <v>0</v>
      </c>
      <c r="U54" s="20">
        <f>$I$8*$U$8</f>
        <v>0</v>
      </c>
      <c r="V54" s="20">
        <f>$I$8*$V$8</f>
        <v>26369.495205063908</v>
      </c>
      <c r="X54" s="20">
        <f>$I$8*$X$8</f>
        <v>9934.1522086872392</v>
      </c>
      <c r="Y54" s="20">
        <f>$I$8*$Y$8</f>
        <v>55085.687972534048</v>
      </c>
      <c r="Z54" s="20">
        <f>$I$8*$Z$8</f>
        <v>0</v>
      </c>
      <c r="AA54" s="20">
        <f>$I$8*$AA$8</f>
        <v>0</v>
      </c>
      <c r="AB54" s="20">
        <f>$I$8*$AB$8</f>
        <v>0</v>
      </c>
      <c r="AC54" s="20">
        <f>$I$8*$AC$8</f>
        <v>1475143.4292954658</v>
      </c>
      <c r="AD54" s="20">
        <f>$I$8*$AD$8</f>
        <v>37170.389522003701</v>
      </c>
      <c r="AE54" s="20">
        <f>$I$8*$AE$8</f>
        <v>41575.541597261501</v>
      </c>
      <c r="AF54" s="20">
        <f>$I$8*$AF$8</f>
        <v>0</v>
      </c>
      <c r="AG54" s="20">
        <f>$I$8*$AG$8</f>
        <v>0</v>
      </c>
      <c r="AH54" s="20">
        <f>$I$8*$AH$8</f>
        <v>24666.219295346898</v>
      </c>
    </row>
    <row r="55" spans="1:34" ht="11.25" customHeight="1" x14ac:dyDescent="0.25">
      <c r="A55" s="9" t="s">
        <v>33</v>
      </c>
      <c r="B55" s="9" t="s">
        <v>1096</v>
      </c>
      <c r="C55" s="9" t="s">
        <v>1097</v>
      </c>
      <c r="D55" s="9" t="s">
        <v>1098</v>
      </c>
      <c r="E55" s="9" t="s">
        <v>1099</v>
      </c>
      <c r="F55" s="9" t="s">
        <v>1100</v>
      </c>
      <c r="G55" s="9" t="s">
        <v>1102</v>
      </c>
      <c r="L55" s="20">
        <f>$I$9*$L$9</f>
        <v>129823.5799944242</v>
      </c>
      <c r="M55" s="20">
        <f>$I$9*$M$9</f>
        <v>1329614.3302305662</v>
      </c>
      <c r="N55" s="20">
        <f>$I$9*$N$9</f>
        <v>0</v>
      </c>
      <c r="O55" s="20">
        <f>$I$9*$O$9</f>
        <v>306071.70906119922</v>
      </c>
      <c r="P55" s="20">
        <f>$I$9*$P$9</f>
        <v>-833828.56980127096</v>
      </c>
      <c r="Q55" s="20">
        <f>$I$9*$Q$9</f>
        <v>11059148.24531264</v>
      </c>
      <c r="R55" s="20">
        <f>$I$9*$R$9</f>
        <v>516929.40994764655</v>
      </c>
      <c r="S55" s="20">
        <f>$I$9*$S$9</f>
        <v>340875.26781828317</v>
      </c>
      <c r="T55" s="20">
        <f>$I$9*$T$9</f>
        <v>0</v>
      </c>
      <c r="U55" s="20">
        <f>$I$9*$U$9</f>
        <v>0</v>
      </c>
      <c r="V55" s="20">
        <f>$I$9*$V$9</f>
        <v>371677.49651331804</v>
      </c>
      <c r="X55" s="20">
        <f>$I$9*$X$9</f>
        <v>140021.67254980537</v>
      </c>
      <c r="Y55" s="20">
        <f>$I$9*$Y$9</f>
        <v>776431.64725479728</v>
      </c>
      <c r="Z55" s="20">
        <f>$I$9*$Z$9</f>
        <v>0</v>
      </c>
      <c r="AA55" s="20">
        <f>$I$9*$AA$9</f>
        <v>0</v>
      </c>
      <c r="AB55" s="20">
        <f>$I$9*$AB$9</f>
        <v>0</v>
      </c>
      <c r="AC55" s="20">
        <f>$I$9*$AC$9</f>
        <v>12088439.835474998</v>
      </c>
      <c r="AD55" s="20">
        <f>$I$9*$AD$9</f>
        <v>523915.8813821412</v>
      </c>
      <c r="AE55" s="20">
        <f>$I$9*$AE$9</f>
        <v>586006.40994022472</v>
      </c>
      <c r="AF55" s="20">
        <f>$I$9*$AF$9</f>
        <v>0</v>
      </c>
      <c r="AG55" s="20">
        <f>$I$9*$AG$9</f>
        <v>0</v>
      </c>
      <c r="AH55" s="20">
        <f>$I$9*$AH$9</f>
        <v>347669.85734267929</v>
      </c>
    </row>
    <row r="56" spans="1:34" ht="11.25" customHeight="1" x14ac:dyDescent="0.25">
      <c r="A56" s="9" t="s">
        <v>33</v>
      </c>
      <c r="B56" s="9" t="s">
        <v>1103</v>
      </c>
      <c r="C56" s="9" t="s">
        <v>1104</v>
      </c>
      <c r="D56" s="9" t="s">
        <v>1105</v>
      </c>
      <c r="E56" s="9" t="s">
        <v>1106</v>
      </c>
      <c r="F56" s="9" t="s">
        <v>1107</v>
      </c>
      <c r="G56" s="9" t="s">
        <v>1108</v>
      </c>
      <c r="L56" s="20">
        <f>$I$10*$L$10</f>
        <v>0</v>
      </c>
      <c r="M56" s="20">
        <f>$I$10*$M$10</f>
        <v>0</v>
      </c>
      <c r="N56" s="20">
        <f>$I$10*$N$10</f>
        <v>0</v>
      </c>
      <c r="O56" s="20">
        <f>$I$10*$O$10</f>
        <v>0</v>
      </c>
      <c r="P56" s="20">
        <f>$I$10*$P$10</f>
        <v>0</v>
      </c>
      <c r="Q56" s="20">
        <f>$I$10*$Q$10</f>
        <v>0</v>
      </c>
      <c r="R56" s="20">
        <f>$I$10*$R$10</f>
        <v>0</v>
      </c>
      <c r="S56" s="20">
        <f>$I$10*$S$10</f>
        <v>0</v>
      </c>
      <c r="T56" s="20">
        <f>$I$10*$T$10</f>
        <v>0</v>
      </c>
      <c r="U56" s="20">
        <f>$I$10*$U$10</f>
        <v>0</v>
      </c>
      <c r="V56" s="20">
        <f>$I$10*$V$10</f>
        <v>0</v>
      </c>
      <c r="X56" s="20">
        <f>$I$10*$X$10</f>
        <v>0</v>
      </c>
      <c r="Y56" s="20">
        <f>$I$10*$Y$10</f>
        <v>0</v>
      </c>
      <c r="Z56" s="20">
        <f>$I$10*$Z$10</f>
        <v>0</v>
      </c>
      <c r="AA56" s="20">
        <f>$I$10*$AA$10</f>
        <v>0</v>
      </c>
      <c r="AB56" s="20">
        <f>$I$10*$AB$10</f>
        <v>0</v>
      </c>
      <c r="AC56" s="20">
        <f>$I$10*$AC$10</f>
        <v>0</v>
      </c>
      <c r="AD56" s="20">
        <f>$I$10*$AD$10</f>
        <v>0</v>
      </c>
      <c r="AE56" s="20">
        <f>$I$10*$AE$10</f>
        <v>0</v>
      </c>
      <c r="AF56" s="20">
        <f>$I$10*$AF$10</f>
        <v>0</v>
      </c>
      <c r="AG56" s="20">
        <f>$I$10*$AG$10</f>
        <v>0</v>
      </c>
      <c r="AH56" s="20">
        <f>$I$10*$AH$10</f>
        <v>0</v>
      </c>
    </row>
    <row r="57" spans="1:34" ht="11.25" customHeight="1" x14ac:dyDescent="0.25">
      <c r="A57" s="9" t="s">
        <v>22</v>
      </c>
      <c r="B57" s="9" t="s">
        <v>1109</v>
      </c>
      <c r="C57" s="9" t="s">
        <v>1110</v>
      </c>
      <c r="D57" s="9" t="s">
        <v>1111</v>
      </c>
      <c r="E57" s="9" t="s">
        <v>1112</v>
      </c>
      <c r="F57" s="9" t="s">
        <v>1113</v>
      </c>
      <c r="G57" s="9" t="s">
        <v>1114</v>
      </c>
      <c r="L57" s="20">
        <f>$I$11*$L$11</f>
        <v>5.6445668504111257</v>
      </c>
      <c r="M57" s="20">
        <f>$I$11*$M$11</f>
        <v>57.809967746794392</v>
      </c>
      <c r="N57" s="20">
        <f>$I$11*$N$11</f>
        <v>0</v>
      </c>
      <c r="O57" s="20">
        <f>$I$11*$O$11</f>
        <v>13.307615017932214</v>
      </c>
      <c r="P57" s="20">
        <f>$I$11*$P$11</f>
        <v>-36.253823105387454</v>
      </c>
      <c r="Q57" s="20">
        <f>$I$11*$Q$11</f>
        <v>827.04124105160906</v>
      </c>
      <c r="R57" s="20">
        <f>$I$11*$R$11</f>
        <v>22.475444072012088</v>
      </c>
      <c r="S57" s="20">
        <f>$I$11*$S$11</f>
        <v>14.820830213854318</v>
      </c>
      <c r="T57" s="20">
        <f>$I$11*$T$11</f>
        <v>0</v>
      </c>
      <c r="U57" s="20">
        <f>$I$11*$U$11</f>
        <v>0</v>
      </c>
      <c r="V57" s="20">
        <f>$I$11*$V$11</f>
        <v>16.1600725842946</v>
      </c>
      <c r="X57" s="20">
        <f>$I$11*$X$11</f>
        <v>6.0879671570272373</v>
      </c>
      <c r="Y57" s="20">
        <f>$I$11*$Y$11</f>
        <v>33.758276715930663</v>
      </c>
      <c r="Z57" s="20">
        <f>$I$11*$Z$11</f>
        <v>0</v>
      </c>
      <c r="AA57" s="20">
        <f>$I$11*$AA$11</f>
        <v>0</v>
      </c>
      <c r="AB57" s="20">
        <f>$I$11*$AB$11</f>
        <v>0</v>
      </c>
      <c r="AC57" s="20">
        <f>$I$11*$AC$11</f>
        <v>904.01521547072036</v>
      </c>
      <c r="AD57" s="20">
        <f>$I$11*$AD$11</f>
        <v>22.779207109991681</v>
      </c>
      <c r="AE57" s="20">
        <f>$I$11*$AE$11</f>
        <v>25.47882561718826</v>
      </c>
      <c r="AF57" s="20">
        <f>$I$11*$AF$11</f>
        <v>0</v>
      </c>
      <c r="AG57" s="20">
        <f>$I$11*$AG$11</f>
        <v>0</v>
      </c>
      <c r="AH57" s="20">
        <f>$I$11*$AH$11</f>
        <v>15.116250466424802</v>
      </c>
    </row>
    <row r="58" spans="1:34" ht="11.25" customHeight="1" x14ac:dyDescent="0.25">
      <c r="A58" s="9" t="s">
        <v>22</v>
      </c>
      <c r="B58" s="9" t="s">
        <v>1109</v>
      </c>
      <c r="C58" s="9" t="s">
        <v>1110</v>
      </c>
      <c r="D58" s="9" t="s">
        <v>1111</v>
      </c>
      <c r="E58" s="9" t="s">
        <v>1112</v>
      </c>
      <c r="F58" s="9" t="s">
        <v>1113</v>
      </c>
      <c r="G58" s="9" t="s">
        <v>1115</v>
      </c>
      <c r="L58" s="20">
        <f>$I$12*$L$12</f>
        <v>6.8070576348355907</v>
      </c>
      <c r="M58" s="20">
        <f>$I$12*$M$12</f>
        <v>69.71585114484985</v>
      </c>
      <c r="N58" s="20">
        <f>$I$12*$N$12</f>
        <v>0</v>
      </c>
      <c r="O58" s="20">
        <f>$I$12*$O$12</f>
        <v>16.048300039651469</v>
      </c>
      <c r="P58" s="20">
        <f>$I$12*$P$12</f>
        <v>-43.720248143315395</v>
      </c>
      <c r="Q58" s="20">
        <f>$I$12*$Q$12</f>
        <v>579.86584179289503</v>
      </c>
      <c r="R58" s="20">
        <f>$I$12*$R$12</f>
        <v>27.104230886302105</v>
      </c>
      <c r="S58" s="20">
        <f>$I$12*$S$12</f>
        <v>17.873159825270019</v>
      </c>
      <c r="T58" s="20">
        <f>$I$12*$T$12</f>
        <v>0</v>
      </c>
      <c r="U58" s="20">
        <f>$I$12*$U$12</f>
        <v>0</v>
      </c>
      <c r="V58" s="20">
        <f>$I$12*$V$12</f>
        <v>19.488217321123191</v>
      </c>
      <c r="X58" s="20">
        <f>$I$12*$X$12</f>
        <v>7.3417756251486672</v>
      </c>
      <c r="Y58" s="20">
        <f>$I$12*$Y$12</f>
        <v>40.710747405061056</v>
      </c>
      <c r="Z58" s="20">
        <f>$I$12*$Z$12</f>
        <v>0</v>
      </c>
      <c r="AA58" s="20">
        <f>$I$12*$AA$12</f>
        <v>0</v>
      </c>
      <c r="AB58" s="20">
        <f>$I$12*$AB$12</f>
        <v>0</v>
      </c>
      <c r="AC58" s="20">
        <f>$I$12*$AC$12</f>
        <v>633.83482938041686</v>
      </c>
      <c r="AD58" s="20">
        <f>$I$12*$AD$12</f>
        <v>27.470553504433418</v>
      </c>
      <c r="AE58" s="20">
        <f>$I$12*$AE$12</f>
        <v>30.726154732580355</v>
      </c>
      <c r="AF58" s="20">
        <f>$I$12*$AF$12</f>
        <v>0</v>
      </c>
      <c r="AG58" s="20">
        <f>$I$12*$AG$12</f>
        <v>0</v>
      </c>
      <c r="AH58" s="20">
        <f>$I$12*$AH$12</f>
        <v>18.229421472804319</v>
      </c>
    </row>
    <row r="59" spans="1:34" ht="11.25" customHeight="1" x14ac:dyDescent="0.25">
      <c r="A59" s="9" t="s">
        <v>22</v>
      </c>
      <c r="B59" s="9" t="s">
        <v>1109</v>
      </c>
      <c r="C59" s="9" t="s">
        <v>1110</v>
      </c>
      <c r="D59" s="9" t="s">
        <v>1111</v>
      </c>
      <c r="E59" s="9" t="s">
        <v>1112</v>
      </c>
      <c r="F59" s="9" t="s">
        <v>1113</v>
      </c>
      <c r="G59" s="9" t="s">
        <v>1116</v>
      </c>
      <c r="L59" s="20">
        <f>$I$13*$L$13</f>
        <v>61.04475677159359</v>
      </c>
      <c r="M59" s="20">
        <f>$I$13*$M$13</f>
        <v>625.20216583486786</v>
      </c>
      <c r="N59" s="20">
        <f>$I$13*$N$13</f>
        <v>0</v>
      </c>
      <c r="O59" s="20">
        <f>$I$13*$O$13</f>
        <v>143.91894781448275</v>
      </c>
      <c r="P59" s="20">
        <f>$I$13*$P$13</f>
        <v>-392.07717299823713</v>
      </c>
      <c r="Q59" s="20">
        <f>$I$13*$Q$13</f>
        <v>5200.157126810871</v>
      </c>
      <c r="R59" s="20">
        <f>$I$13*$R$13</f>
        <v>243.06701525017851</v>
      </c>
      <c r="S59" s="20">
        <f>$I$13*$S$13</f>
        <v>160.28403941959257</v>
      </c>
      <c r="T59" s="20">
        <f>$I$13*$T$13</f>
        <v>0</v>
      </c>
      <c r="U59" s="20">
        <f>$I$13*$U$13</f>
        <v>0</v>
      </c>
      <c r="V59" s="20">
        <f>$I$13*$V$13</f>
        <v>174.76765294182144</v>
      </c>
      <c r="X59" s="20">
        <f>$I$13*$X$13</f>
        <v>65.840034175006593</v>
      </c>
      <c r="Y59" s="20">
        <f>$I$13*$Y$13</f>
        <v>365.08838424015505</v>
      </c>
      <c r="Z59" s="20">
        <f>$I$13*$Z$13</f>
        <v>0</v>
      </c>
      <c r="AA59" s="20">
        <f>$I$13*$AA$13</f>
        <v>0</v>
      </c>
      <c r="AB59" s="20">
        <f>$I$13*$AB$13</f>
        <v>0</v>
      </c>
      <c r="AC59" s="20">
        <f>$I$13*$AC$13</f>
        <v>5684.1435857515844</v>
      </c>
      <c r="AD59" s="20">
        <f>$I$13*$AD$13</f>
        <v>246.35214611337554</v>
      </c>
      <c r="AE59" s="20">
        <f>$I$13*$AE$13</f>
        <v>275.54793022139876</v>
      </c>
      <c r="AF59" s="20">
        <f>$I$13*$AF$13</f>
        <v>0</v>
      </c>
      <c r="AG59" s="20">
        <f>$I$13*$AG$13</f>
        <v>0</v>
      </c>
      <c r="AH59" s="20">
        <f>$I$13*$AH$13</f>
        <v>163.47894488204705</v>
      </c>
    </row>
    <row r="60" spans="1:34" ht="11.25" customHeight="1" x14ac:dyDescent="0.25">
      <c r="A60" s="9" t="s">
        <v>22</v>
      </c>
      <c r="B60" s="9" t="s">
        <v>1117</v>
      </c>
      <c r="C60" s="9" t="s">
        <v>1118</v>
      </c>
      <c r="D60" s="9" t="s">
        <v>1119</v>
      </c>
      <c r="E60" s="9" t="s">
        <v>1120</v>
      </c>
      <c r="F60" s="9" t="s">
        <v>1121</v>
      </c>
      <c r="G60" s="9" t="s">
        <v>1122</v>
      </c>
      <c r="L60" s="20">
        <f>$I$14*$L$14</f>
        <v>214367.18494421203</v>
      </c>
      <c r="M60" s="20">
        <f>$I$14*$M$14</f>
        <v>2195484.6804043762</v>
      </c>
      <c r="N60" s="20">
        <f>$I$14*$N$14</f>
        <v>0</v>
      </c>
      <c r="O60" s="20">
        <f>$I$14*$O$14</f>
        <v>505391.47561121878</v>
      </c>
      <c r="P60" s="20">
        <f>$I$14*$P$14</f>
        <v>-1376833.7249830409</v>
      </c>
      <c r="Q60" s="20">
        <f>$I$14*$Q$14</f>
        <v>19356742.326548271</v>
      </c>
      <c r="R60" s="20">
        <f>$I$14*$R$14</f>
        <v>853563.75498279161</v>
      </c>
      <c r="S60" s="20">
        <f>$I$14*$S$14</f>
        <v>562859.77926697221</v>
      </c>
      <c r="T60" s="20">
        <f>$I$14*$T$14</f>
        <v>0</v>
      </c>
      <c r="U60" s="20">
        <f>$I$14*$U$14</f>
        <v>0</v>
      </c>
      <c r="V60" s="20">
        <f>$I$14*$V$14</f>
        <v>613721.00998981961</v>
      </c>
      <c r="X60" s="20">
        <f>$I$14*$X$14</f>
        <v>231206.47094288407</v>
      </c>
      <c r="Y60" s="20">
        <f>$I$14*$Y$14</f>
        <v>1282058.8257599799</v>
      </c>
      <c r="Z60" s="20">
        <f>$I$14*$Z$14</f>
        <v>0</v>
      </c>
      <c r="AA60" s="20">
        <f>$I$14*$AA$14</f>
        <v>0</v>
      </c>
      <c r="AB60" s="20">
        <f>$I$14*$AB$14</f>
        <v>0</v>
      </c>
      <c r="AC60" s="20">
        <f>$I$14*$AC$14</f>
        <v>21158303.499950644</v>
      </c>
      <c r="AD60" s="20">
        <f>$I$14*$AD$14</f>
        <v>865099.95059664</v>
      </c>
      <c r="AE60" s="20">
        <f>$I$14*$AE$14</f>
        <v>967625.02207646065</v>
      </c>
      <c r="AF60" s="20">
        <f>$I$14*$AF$14</f>
        <v>0</v>
      </c>
      <c r="AG60" s="20">
        <f>$I$14*$AG$14</f>
        <v>0</v>
      </c>
      <c r="AH60" s="20">
        <f>$I$14*$AH$14</f>
        <v>574079.13579110114</v>
      </c>
    </row>
    <row r="61" spans="1:34" ht="11.25" customHeight="1" x14ac:dyDescent="0.25">
      <c r="A61" s="9" t="s">
        <v>22</v>
      </c>
      <c r="B61" s="9" t="s">
        <v>1117</v>
      </c>
      <c r="C61" s="9" t="s">
        <v>1118</v>
      </c>
      <c r="D61" s="9" t="s">
        <v>1123</v>
      </c>
      <c r="E61" s="9" t="s">
        <v>1124</v>
      </c>
      <c r="F61" s="9" t="s">
        <v>1125</v>
      </c>
      <c r="G61" s="9" t="s">
        <v>1126</v>
      </c>
      <c r="L61" s="20">
        <f>$I$15*$L$15</f>
        <v>1544.9998554985718</v>
      </c>
      <c r="M61" s="20">
        <f>$I$15*$M$15</f>
        <v>15823.427055110355</v>
      </c>
      <c r="N61" s="20">
        <f>$I$15*$N$15</f>
        <v>0</v>
      </c>
      <c r="O61" s="20">
        <f>$I$15*$O$15</f>
        <v>3642.4873377553104</v>
      </c>
      <c r="P61" s="20">
        <f>$I$15*$P$15</f>
        <v>-9923.1974646583785</v>
      </c>
      <c r="Q61" s="20">
        <f>$I$15*$Q$15</f>
        <v>139509.0582787804</v>
      </c>
      <c r="R61" s="20">
        <f>$I$15*$R$15</f>
        <v>6151.8551846003429</v>
      </c>
      <c r="S61" s="20">
        <f>$I$15*$S$15</f>
        <v>4056.6762952069539</v>
      </c>
      <c r="T61" s="20">
        <f>$I$15*$T$15</f>
        <v>0</v>
      </c>
      <c r="U61" s="20">
        <f>$I$15*$U$15</f>
        <v>0</v>
      </c>
      <c r="V61" s="20">
        <f>$I$15*$V$15</f>
        <v>4423.2463657974185</v>
      </c>
      <c r="X61" s="20">
        <f>$I$15*$X$15</f>
        <v>1666.3649536194316</v>
      </c>
      <c r="Y61" s="20">
        <f>$I$15*$Y$15</f>
        <v>9240.130204888048</v>
      </c>
      <c r="Z61" s="20">
        <f>$I$15*$Z$15</f>
        <v>0</v>
      </c>
      <c r="AA61" s="20">
        <f>$I$15*$AA$15</f>
        <v>0</v>
      </c>
      <c r="AB61" s="20">
        <f>$I$15*$AB$15</f>
        <v>0</v>
      </c>
      <c r="AC61" s="20">
        <f>$I$15*$AC$15</f>
        <v>152493.37653300783</v>
      </c>
      <c r="AD61" s="20">
        <f>$I$15*$AD$15</f>
        <v>6234.9995360132771</v>
      </c>
      <c r="AE61" s="20">
        <f>$I$15*$AE$15</f>
        <v>6973.924295707804</v>
      </c>
      <c r="AF61" s="20">
        <f>$I$15*$AF$15</f>
        <v>0</v>
      </c>
      <c r="AG61" s="20">
        <f>$I$15*$AG$15</f>
        <v>0</v>
      </c>
      <c r="AH61" s="20">
        <f>$I$15*$AH$15</f>
        <v>4137.5371051909024</v>
      </c>
    </row>
    <row r="62" spans="1:34" ht="11.25" customHeight="1" x14ac:dyDescent="0.25">
      <c r="A62" s="9" t="s">
        <v>22</v>
      </c>
      <c r="B62" s="9" t="s">
        <v>1117</v>
      </c>
      <c r="C62" s="9" t="s">
        <v>1118</v>
      </c>
      <c r="D62" s="9" t="s">
        <v>1127</v>
      </c>
      <c r="E62" s="9" t="s">
        <v>1128</v>
      </c>
      <c r="F62" s="9" t="s">
        <v>1129</v>
      </c>
      <c r="G62" s="9" t="s">
        <v>1130</v>
      </c>
      <c r="L62" s="20">
        <f>$I$16*$L$16</f>
        <v>5046.8639464328789</v>
      </c>
      <c r="M62" s="20">
        <f>$I$16*$M$16</f>
        <v>51688.473127835088</v>
      </c>
      <c r="N62" s="20">
        <f>$I$16*$N$16</f>
        <v>0</v>
      </c>
      <c r="O62" s="20">
        <f>$I$16*$O$16</f>
        <v>11898.472323366859</v>
      </c>
      <c r="P62" s="20">
        <f>$I$16*$P$16</f>
        <v>-32414.907573928129</v>
      </c>
      <c r="Q62" s="20">
        <f>$I$16*$Q$16</f>
        <v>455717.34775390784</v>
      </c>
      <c r="R62" s="20">
        <f>$I$16*$R$16</f>
        <v>20095.520413376733</v>
      </c>
      <c r="S62" s="20">
        <f>$I$16*$S$16</f>
        <v>13251.453237205693</v>
      </c>
      <c r="T62" s="20">
        <f>$I$16*$T$16</f>
        <v>0</v>
      </c>
      <c r="U62" s="20">
        <f>$I$16*$U$16</f>
        <v>0</v>
      </c>
      <c r="V62" s="20">
        <f>$I$16*$V$16</f>
        <v>14448.883299428817</v>
      </c>
      <c r="X62" s="20">
        <f>$I$16*$X$16</f>
        <v>5443.3126165615859</v>
      </c>
      <c r="Y62" s="20">
        <f>$I$16*$Y$16</f>
        <v>30183.614467941959</v>
      </c>
      <c r="Z62" s="20">
        <f>$I$16*$Z$16</f>
        <v>0</v>
      </c>
      <c r="AA62" s="20">
        <f>$I$16*$AA$16</f>
        <v>0</v>
      </c>
      <c r="AB62" s="20">
        <f>$I$16*$AB$16</f>
        <v>0</v>
      </c>
      <c r="AC62" s="20">
        <f>$I$16*$AC$16</f>
        <v>498131.64794497273</v>
      </c>
      <c r="AD62" s="20">
        <f>$I$16*$AD$16</f>
        <v>20367.117998322839</v>
      </c>
      <c r="AE62" s="20">
        <f>$I$16*$AE$16</f>
        <v>22780.874035617373</v>
      </c>
      <c r="AF62" s="20">
        <f>$I$16*$AF$16</f>
        <v>0</v>
      </c>
      <c r="AG62" s="20">
        <f>$I$16*$AG$16</f>
        <v>0</v>
      </c>
      <c r="AH62" s="20">
        <f>$I$16*$AH$16</f>
        <v>13515.591453876048</v>
      </c>
    </row>
    <row r="63" spans="1:34" ht="11.25" customHeight="1" x14ac:dyDescent="0.25">
      <c r="A63" s="9" t="s">
        <v>22</v>
      </c>
      <c r="B63" s="9" t="s">
        <v>1117</v>
      </c>
      <c r="C63" s="9" t="s">
        <v>1118</v>
      </c>
      <c r="D63" s="9" t="s">
        <v>1131</v>
      </c>
      <c r="E63" s="9" t="s">
        <v>1132</v>
      </c>
      <c r="F63" s="9" t="s">
        <v>1133</v>
      </c>
      <c r="G63" s="9" t="s">
        <v>1134</v>
      </c>
      <c r="L63" s="20">
        <f>$I$17*$L$17</f>
        <v>4772.9157434142462</v>
      </c>
      <c r="M63" s="20">
        <f>$I$17*$M$17</f>
        <v>48882.77745613869</v>
      </c>
      <c r="N63" s="20">
        <f>$I$17*$N$17</f>
        <v>0</v>
      </c>
      <c r="O63" s="20">
        <f>$I$17*$O$17</f>
        <v>11252.612806199344</v>
      </c>
      <c r="P63" s="20">
        <f>$I$17*$P$17</f>
        <v>-30655.397950695853</v>
      </c>
      <c r="Q63" s="20">
        <f>$I$17*$Q$17</f>
        <v>430980.61028155353</v>
      </c>
      <c r="R63" s="20">
        <f>$I$17*$R$17</f>
        <v>19004.717933975673</v>
      </c>
      <c r="S63" s="20">
        <f>$I$17*$S$17</f>
        <v>12532.152728959623</v>
      </c>
      <c r="T63" s="20">
        <f>$I$17*$T$17</f>
        <v>0</v>
      </c>
      <c r="U63" s="20">
        <f>$I$17*$U$17</f>
        <v>0</v>
      </c>
      <c r="V63" s="20">
        <f>$I$17*$V$17</f>
        <v>13664.58523680675</v>
      </c>
      <c r="X63" s="20">
        <f>$I$17*$X$17</f>
        <v>5147.8448318931141</v>
      </c>
      <c r="Y63" s="20">
        <f>$I$17*$Y$17</f>
        <v>28545.22139218964</v>
      </c>
      <c r="Z63" s="20">
        <f>$I$17*$Z$17</f>
        <v>0</v>
      </c>
      <c r="AA63" s="20">
        <f>$I$17*$AA$17</f>
        <v>0</v>
      </c>
      <c r="AB63" s="20">
        <f>$I$17*$AB$17</f>
        <v>0</v>
      </c>
      <c r="AC63" s="20">
        <f>$I$17*$AC$17</f>
        <v>471092.62504488509</v>
      </c>
      <c r="AD63" s="20">
        <f>$I$17*$AD$17</f>
        <v>19261.572963717219</v>
      </c>
      <c r="AE63" s="20">
        <f>$I$17*$AE$17</f>
        <v>21544.308205531492</v>
      </c>
      <c r="AF63" s="20">
        <f>$I$17*$AF$17</f>
        <v>0</v>
      </c>
      <c r="AG63" s="20">
        <f>$I$17*$AG$17</f>
        <v>0</v>
      </c>
      <c r="AH63" s="20">
        <f>$I$17*$AH$17</f>
        <v>12781.953291480088</v>
      </c>
    </row>
    <row r="64" spans="1:34" ht="11.25" customHeight="1" x14ac:dyDescent="0.25">
      <c r="A64" s="9" t="s">
        <v>22</v>
      </c>
      <c r="B64" s="9" t="s">
        <v>1117</v>
      </c>
      <c r="C64" s="9" t="s">
        <v>1118</v>
      </c>
      <c r="D64" s="9" t="s">
        <v>1135</v>
      </c>
      <c r="E64" s="9" t="s">
        <v>1136</v>
      </c>
      <c r="F64" s="9" t="s">
        <v>1137</v>
      </c>
      <c r="G64" s="9" t="s">
        <v>1138</v>
      </c>
      <c r="L64" s="20">
        <f>$I$18*$L$18</f>
        <v>1048.5666875508662</v>
      </c>
      <c r="M64" s="20">
        <f>$I$18*$M$18</f>
        <v>10739.106825046016</v>
      </c>
      <c r="N64" s="20">
        <f>$I$18*$N$18</f>
        <v>0</v>
      </c>
      <c r="O64" s="20">
        <f>$I$18*$O$18</f>
        <v>2472.0978895907665</v>
      </c>
      <c r="P64" s="20">
        <f>$I$18*$P$18</f>
        <v>-6734.715384210991</v>
      </c>
      <c r="Q64" s="20">
        <f>$I$18*$Q$18</f>
        <v>94682.56621649678</v>
      </c>
      <c r="R64" s="20">
        <f>$I$18*$R$18</f>
        <v>4175.1657064895871</v>
      </c>
      <c r="S64" s="20">
        <f>$I$18*$S$18</f>
        <v>2753.2013094969561</v>
      </c>
      <c r="T64" s="20">
        <f>$I$18*$T$18</f>
        <v>0</v>
      </c>
      <c r="U64" s="20">
        <f>$I$18*$U$18</f>
        <v>0</v>
      </c>
      <c r="V64" s="20">
        <f>$I$18*$V$18</f>
        <v>3001.9865526193853</v>
      </c>
      <c r="X64" s="20">
        <f>$I$18*$X$18</f>
        <v>1130.9352382455279</v>
      </c>
      <c r="Y64" s="20">
        <f>$I$18*$Y$18</f>
        <v>6271.1285615956049</v>
      </c>
      <c r="Z64" s="20">
        <f>$I$18*$Z$18</f>
        <v>0</v>
      </c>
      <c r="AA64" s="20">
        <f>$I$18*$AA$18</f>
        <v>0</v>
      </c>
      <c r="AB64" s="20">
        <f>$I$18*$AB$18</f>
        <v>0</v>
      </c>
      <c r="AC64" s="20">
        <f>$I$18*$AC$18</f>
        <v>103494.815313794</v>
      </c>
      <c r="AD64" s="20">
        <f>$I$18*$AD$18</f>
        <v>4231.5944477864405</v>
      </c>
      <c r="AE64" s="20">
        <f>$I$18*$AE$18</f>
        <v>4733.0908620836608</v>
      </c>
      <c r="AF64" s="20">
        <f>$I$18*$AF$18</f>
        <v>0</v>
      </c>
      <c r="AG64" s="20">
        <f>$I$18*$AG$18</f>
        <v>0</v>
      </c>
      <c r="AH64" s="20">
        <f>$I$18*$AH$18</f>
        <v>2808.0802477543193</v>
      </c>
    </row>
    <row r="65" spans="1:34" ht="11.25" customHeight="1" x14ac:dyDescent="0.25">
      <c r="A65" s="9" t="s">
        <v>22</v>
      </c>
      <c r="B65" s="9" t="s">
        <v>1139</v>
      </c>
      <c r="C65" s="9" t="s">
        <v>1140</v>
      </c>
      <c r="D65" s="9" t="s">
        <v>1141</v>
      </c>
      <c r="E65" s="9" t="s">
        <v>1142</v>
      </c>
      <c r="F65" s="9" t="s">
        <v>1143</v>
      </c>
      <c r="G65" s="9" t="s">
        <v>1144</v>
      </c>
      <c r="L65" s="20">
        <f>$I$19*$L$19</f>
        <v>0</v>
      </c>
      <c r="M65" s="20">
        <f>$I$19*$M$19</f>
        <v>0</v>
      </c>
      <c r="N65" s="20">
        <f>$I$19*$N$19</f>
        <v>0</v>
      </c>
      <c r="O65" s="20">
        <f>$I$19*$O$19</f>
        <v>0</v>
      </c>
      <c r="P65" s="20">
        <f>$I$19*$P$19</f>
        <v>0</v>
      </c>
      <c r="Q65" s="20">
        <f>$I$19*$Q$19</f>
        <v>0</v>
      </c>
      <c r="R65" s="20">
        <f>$I$19*$R$19</f>
        <v>0</v>
      </c>
      <c r="S65" s="20">
        <f>$I$19*$S$19</f>
        <v>0</v>
      </c>
      <c r="T65" s="20">
        <f>$I$19*$T$19</f>
        <v>0</v>
      </c>
      <c r="U65" s="20">
        <f>$I$19*$U$19</f>
        <v>0</v>
      </c>
      <c r="V65" s="20">
        <f>$I$19*$V$19</f>
        <v>0</v>
      </c>
      <c r="X65" s="20">
        <f>$I$19*$X$19</f>
        <v>0</v>
      </c>
      <c r="Y65" s="20">
        <f>$I$19*$Y$19</f>
        <v>0</v>
      </c>
      <c r="Z65" s="20">
        <f>$I$19*$Z$19</f>
        <v>0</v>
      </c>
      <c r="AA65" s="20">
        <f>$I$19*$AA$19</f>
        <v>0</v>
      </c>
      <c r="AB65" s="20">
        <f>$I$19*$AB$19</f>
        <v>0</v>
      </c>
      <c r="AC65" s="20">
        <f>$I$19*$AC$19</f>
        <v>0</v>
      </c>
      <c r="AD65" s="20">
        <f>$I$19*$AD$19</f>
        <v>0</v>
      </c>
      <c r="AE65" s="20">
        <f>$I$19*$AE$19</f>
        <v>0</v>
      </c>
      <c r="AF65" s="20">
        <f>$I$19*$AF$19</f>
        <v>0</v>
      </c>
      <c r="AG65" s="20">
        <f>$I$19*$AG$19</f>
        <v>0</v>
      </c>
      <c r="AH65" s="20">
        <f>$I$19*$AH$19</f>
        <v>0</v>
      </c>
    </row>
    <row r="66" spans="1:34" ht="11.25" customHeight="1" x14ac:dyDescent="0.25">
      <c r="A66" s="9" t="s">
        <v>22</v>
      </c>
      <c r="B66" s="9" t="s">
        <v>1139</v>
      </c>
      <c r="C66" s="9" t="s">
        <v>1140</v>
      </c>
      <c r="D66" s="9" t="s">
        <v>1145</v>
      </c>
      <c r="E66" s="9" t="s">
        <v>1146</v>
      </c>
      <c r="F66" s="9" t="s">
        <v>1147</v>
      </c>
      <c r="G66" s="9" t="s">
        <v>1148</v>
      </c>
      <c r="L66" s="20">
        <f>$I$20*$L$20</f>
        <v>0</v>
      </c>
      <c r="M66" s="20">
        <f>$I$20*$M$20</f>
        <v>0</v>
      </c>
      <c r="N66" s="20">
        <f>$I$20*$N$20</f>
        <v>0</v>
      </c>
      <c r="O66" s="20">
        <f>$I$20*$O$20</f>
        <v>0</v>
      </c>
      <c r="P66" s="20">
        <f>$I$20*$P$20</f>
        <v>0</v>
      </c>
      <c r="Q66" s="20">
        <f>$I$20*$Q$20</f>
        <v>0</v>
      </c>
      <c r="R66" s="20">
        <f>$I$20*$R$20</f>
        <v>0</v>
      </c>
      <c r="S66" s="20">
        <f>$I$20*$S$20</f>
        <v>0</v>
      </c>
      <c r="T66" s="20">
        <f>$I$20*$T$20</f>
        <v>0</v>
      </c>
      <c r="U66" s="20">
        <f>$I$20*$U$20</f>
        <v>0</v>
      </c>
      <c r="V66" s="20">
        <f>$I$20*$V$20</f>
        <v>0</v>
      </c>
      <c r="X66" s="20">
        <f>$I$20*$X$20</f>
        <v>0</v>
      </c>
      <c r="Y66" s="20">
        <f>$I$20*$Y$20</f>
        <v>0</v>
      </c>
      <c r="Z66" s="20">
        <f>$I$20*$Z$20</f>
        <v>0</v>
      </c>
      <c r="AA66" s="20">
        <f>$I$20*$AA$20</f>
        <v>0</v>
      </c>
      <c r="AB66" s="20">
        <f>$I$20*$AB$20</f>
        <v>0</v>
      </c>
      <c r="AC66" s="20">
        <f>$I$20*$AC$20</f>
        <v>0</v>
      </c>
      <c r="AD66" s="20">
        <f>$I$20*$AD$20</f>
        <v>0</v>
      </c>
      <c r="AE66" s="20">
        <f>$I$20*$AE$20</f>
        <v>0</v>
      </c>
      <c r="AF66" s="20">
        <f>$I$20*$AF$20</f>
        <v>0</v>
      </c>
      <c r="AG66" s="20">
        <f>$I$20*$AG$20</f>
        <v>0</v>
      </c>
      <c r="AH66" s="20">
        <f>$I$20*$AH$20</f>
        <v>0</v>
      </c>
    </row>
    <row r="67" spans="1:34" ht="11.25" customHeight="1" x14ac:dyDescent="0.25">
      <c r="A67" s="9" t="s">
        <v>22</v>
      </c>
      <c r="B67" s="9" t="s">
        <v>1139</v>
      </c>
      <c r="C67" s="9" t="s">
        <v>1140</v>
      </c>
      <c r="D67" s="9" t="s">
        <v>1149</v>
      </c>
      <c r="E67" s="9" t="s">
        <v>1150</v>
      </c>
      <c r="F67" s="9" t="s">
        <v>1151</v>
      </c>
      <c r="G67" s="9" t="s">
        <v>1152</v>
      </c>
      <c r="L67" s="20">
        <f>$I$21*$L$21</f>
        <v>0</v>
      </c>
      <c r="M67" s="20">
        <f>$I$21*$M$21</f>
        <v>0</v>
      </c>
      <c r="N67" s="20">
        <f>$I$21*$N$21</f>
        <v>0</v>
      </c>
      <c r="O67" s="20">
        <f>$I$21*$O$21</f>
        <v>0</v>
      </c>
      <c r="P67" s="20">
        <f>$I$21*$P$21</f>
        <v>0</v>
      </c>
      <c r="Q67" s="20">
        <f>$I$21*$Q$21</f>
        <v>0</v>
      </c>
      <c r="R67" s="20">
        <f>$I$21*$R$21</f>
        <v>0</v>
      </c>
      <c r="S67" s="20">
        <f>$I$21*$S$21</f>
        <v>0</v>
      </c>
      <c r="T67" s="20">
        <f>$I$21*$T$21</f>
        <v>0</v>
      </c>
      <c r="U67" s="20">
        <f>$I$21*$U$21</f>
        <v>0</v>
      </c>
      <c r="V67" s="20">
        <f>$I$21*$V$21</f>
        <v>0</v>
      </c>
      <c r="X67" s="20">
        <f>$I$21*$X$21</f>
        <v>0</v>
      </c>
      <c r="Y67" s="20">
        <f>$I$21*$Y$21</f>
        <v>0</v>
      </c>
      <c r="Z67" s="20">
        <f>$I$21*$Z$21</f>
        <v>0</v>
      </c>
      <c r="AA67" s="20">
        <f>$I$21*$AA$21</f>
        <v>0</v>
      </c>
      <c r="AB67" s="20">
        <f>$I$21*$AB$21</f>
        <v>0</v>
      </c>
      <c r="AC67" s="20">
        <f>$I$21*$AC$21</f>
        <v>0</v>
      </c>
      <c r="AD67" s="20">
        <f>$I$21*$AD$21</f>
        <v>0</v>
      </c>
      <c r="AE67" s="20">
        <f>$I$21*$AE$21</f>
        <v>0</v>
      </c>
      <c r="AF67" s="20">
        <f>$I$21*$AF$21</f>
        <v>0</v>
      </c>
      <c r="AG67" s="20">
        <f>$I$21*$AG$21</f>
        <v>0</v>
      </c>
      <c r="AH67" s="20">
        <f>$I$21*$AH$21</f>
        <v>0</v>
      </c>
    </row>
    <row r="68" spans="1:34" ht="11.25" customHeight="1" x14ac:dyDescent="0.25">
      <c r="A68" s="9" t="s">
        <v>22</v>
      </c>
      <c r="B68" s="9" t="s">
        <v>1139</v>
      </c>
      <c r="C68" s="9" t="s">
        <v>1140</v>
      </c>
      <c r="D68" s="9" t="s">
        <v>1153</v>
      </c>
      <c r="E68" s="9" t="s">
        <v>1154</v>
      </c>
      <c r="F68" s="9" t="s">
        <v>1155</v>
      </c>
      <c r="G68" s="9" t="s">
        <v>1156</v>
      </c>
      <c r="L68" s="20">
        <f>$I$22*$L$22</f>
        <v>0</v>
      </c>
      <c r="M68" s="20">
        <f>$I$22*$M$22</f>
        <v>0</v>
      </c>
      <c r="N68" s="20">
        <f>$I$22*$N$22</f>
        <v>0</v>
      </c>
      <c r="O68" s="20">
        <f>$I$22*$O$22</f>
        <v>0</v>
      </c>
      <c r="P68" s="20">
        <f>$I$22*$P$22</f>
        <v>0</v>
      </c>
      <c r="Q68" s="20">
        <f>$I$22*$Q$22</f>
        <v>0</v>
      </c>
      <c r="R68" s="20">
        <f>$I$22*$R$22</f>
        <v>0</v>
      </c>
      <c r="S68" s="20">
        <f>$I$22*$S$22</f>
        <v>0</v>
      </c>
      <c r="T68" s="20">
        <f>$I$22*$T$22</f>
        <v>0</v>
      </c>
      <c r="U68" s="20">
        <f>$I$22*$U$22</f>
        <v>0</v>
      </c>
      <c r="V68" s="20">
        <f>$I$22*$V$22</f>
        <v>0</v>
      </c>
      <c r="X68" s="20">
        <f>$I$22*$X$22</f>
        <v>0</v>
      </c>
      <c r="Y68" s="20">
        <f>$I$22*$Y$22</f>
        <v>0</v>
      </c>
      <c r="Z68" s="20">
        <f>$I$22*$Z$22</f>
        <v>0</v>
      </c>
      <c r="AA68" s="20">
        <f>$I$22*$AA$22</f>
        <v>0</v>
      </c>
      <c r="AB68" s="20">
        <f>$I$22*$AB$22</f>
        <v>0</v>
      </c>
      <c r="AC68" s="20">
        <f>$I$22*$AC$22</f>
        <v>0</v>
      </c>
      <c r="AD68" s="20">
        <f>$I$22*$AD$22</f>
        <v>0</v>
      </c>
      <c r="AE68" s="20">
        <f>$I$22*$AE$22</f>
        <v>0</v>
      </c>
      <c r="AF68" s="20">
        <f>$I$22*$AF$22</f>
        <v>0</v>
      </c>
      <c r="AG68" s="20">
        <f>$I$22*$AG$22</f>
        <v>0</v>
      </c>
      <c r="AH68" s="20">
        <f>$I$22*$AH$22</f>
        <v>0</v>
      </c>
    </row>
    <row r="69" spans="1:34" ht="11.25" customHeight="1" x14ac:dyDescent="0.25">
      <c r="A69" s="9" t="s">
        <v>22</v>
      </c>
      <c r="B69" s="9" t="s">
        <v>1139</v>
      </c>
      <c r="C69" s="9" t="s">
        <v>1140</v>
      </c>
      <c r="D69" s="9" t="s">
        <v>1157</v>
      </c>
      <c r="E69" s="9" t="s">
        <v>1158</v>
      </c>
      <c r="F69" s="9" t="s">
        <v>1159</v>
      </c>
      <c r="G69" s="9" t="s">
        <v>1160</v>
      </c>
      <c r="L69" s="20">
        <f>$I$23*$L$23</f>
        <v>0</v>
      </c>
      <c r="M69" s="20">
        <f>$I$23*$M$23</f>
        <v>0</v>
      </c>
      <c r="N69" s="20">
        <f>$I$23*$N$23</f>
        <v>0</v>
      </c>
      <c r="O69" s="20">
        <f>$I$23*$O$23</f>
        <v>0</v>
      </c>
      <c r="P69" s="20">
        <f>$I$23*$P$23</f>
        <v>0</v>
      </c>
      <c r="Q69" s="20">
        <f>$I$23*$Q$23</f>
        <v>0</v>
      </c>
      <c r="R69" s="20">
        <f>$I$23*$R$23</f>
        <v>0</v>
      </c>
      <c r="S69" s="20">
        <f>$I$23*$S$23</f>
        <v>0</v>
      </c>
      <c r="T69" s="20">
        <f>$I$23*$T$23</f>
        <v>0</v>
      </c>
      <c r="U69" s="20">
        <f>$I$23*$U$23</f>
        <v>0</v>
      </c>
      <c r="V69" s="20">
        <f>$I$23*$V$23</f>
        <v>0</v>
      </c>
      <c r="X69" s="20">
        <f>$I$23*$X$23</f>
        <v>0</v>
      </c>
      <c r="Y69" s="20">
        <f>$I$23*$Y$23</f>
        <v>0</v>
      </c>
      <c r="Z69" s="20">
        <f>$I$23*$Z$23</f>
        <v>0</v>
      </c>
      <c r="AA69" s="20">
        <f>$I$23*$AA$23</f>
        <v>0</v>
      </c>
      <c r="AB69" s="20">
        <f>$I$23*$AB$23</f>
        <v>0</v>
      </c>
      <c r="AC69" s="20">
        <f>$I$23*$AC$23</f>
        <v>0</v>
      </c>
      <c r="AD69" s="20">
        <f>$I$23*$AD$23</f>
        <v>0</v>
      </c>
      <c r="AE69" s="20">
        <f>$I$23*$AE$23</f>
        <v>0</v>
      </c>
      <c r="AF69" s="20">
        <f>$I$23*$AF$23</f>
        <v>0</v>
      </c>
      <c r="AG69" s="20">
        <f>$I$23*$AG$23</f>
        <v>0</v>
      </c>
      <c r="AH69" s="20">
        <f>$I$23*$AH$23</f>
        <v>0</v>
      </c>
    </row>
    <row r="70" spans="1:34" ht="11.25" customHeight="1" x14ac:dyDescent="0.25">
      <c r="A70" s="9" t="s">
        <v>44</v>
      </c>
      <c r="B70" s="9" t="s">
        <v>1161</v>
      </c>
      <c r="C70" s="9" t="s">
        <v>1162</v>
      </c>
      <c r="D70" s="9" t="s">
        <v>1163</v>
      </c>
      <c r="E70" s="9" t="s">
        <v>1164</v>
      </c>
      <c r="F70" s="9" t="s">
        <v>1165</v>
      </c>
      <c r="G70" s="9" t="s">
        <v>1166</v>
      </c>
      <c r="L70" s="20">
        <f>$I$24*$L$24</f>
        <v>0</v>
      </c>
      <c r="M70" s="20">
        <f>$I$24*$M$24</f>
        <v>0</v>
      </c>
      <c r="N70" s="20">
        <f>$I$24*$N$24</f>
        <v>0</v>
      </c>
      <c r="O70" s="20">
        <f>$I$24*$O$24</f>
        <v>0</v>
      </c>
      <c r="P70" s="20">
        <f>$I$24*$P$24</f>
        <v>0</v>
      </c>
      <c r="Q70" s="20">
        <f>$I$24*$Q$24</f>
        <v>0</v>
      </c>
      <c r="R70" s="20">
        <f>$I$24*$R$24</f>
        <v>0</v>
      </c>
      <c r="S70" s="20">
        <f>$I$24*$S$24</f>
        <v>0</v>
      </c>
      <c r="T70" s="20">
        <f>$I$24*$T$24</f>
        <v>0</v>
      </c>
      <c r="U70" s="20">
        <f>$I$24*$U$24</f>
        <v>0</v>
      </c>
      <c r="V70" s="20">
        <f>$I$24*$V$24</f>
        <v>0</v>
      </c>
      <c r="X70" s="20">
        <f>$I$24*$X$24</f>
        <v>0</v>
      </c>
      <c r="Y70" s="20">
        <f>$I$24*$Y$24</f>
        <v>0</v>
      </c>
      <c r="Z70" s="20">
        <f>$I$24*$Z$24</f>
        <v>0</v>
      </c>
      <c r="AA70" s="20">
        <f>$I$24*$AA$24</f>
        <v>0</v>
      </c>
      <c r="AB70" s="20">
        <f>$I$24*$AB$24</f>
        <v>0</v>
      </c>
      <c r="AC70" s="20">
        <f>$I$24*$AC$24</f>
        <v>0</v>
      </c>
      <c r="AD70" s="20">
        <f>$I$24*$AD$24</f>
        <v>0</v>
      </c>
      <c r="AE70" s="20">
        <f>$I$24*$AE$24</f>
        <v>0</v>
      </c>
      <c r="AF70" s="20">
        <f>$I$24*$AF$24</f>
        <v>0</v>
      </c>
      <c r="AG70" s="20">
        <f>$I$24*$AG$24</f>
        <v>0</v>
      </c>
      <c r="AH70" s="20">
        <f>$I$24*$AH$24</f>
        <v>0</v>
      </c>
    </row>
    <row r="71" spans="1:34" ht="11.25" customHeight="1" x14ac:dyDescent="0.25">
      <c r="A71" s="9" t="s">
        <v>44</v>
      </c>
      <c r="B71" s="9" t="s">
        <v>1161</v>
      </c>
      <c r="C71" s="9" t="s">
        <v>1162</v>
      </c>
      <c r="D71" s="9" t="s">
        <v>1163</v>
      </c>
      <c r="E71" s="9" t="s">
        <v>1164</v>
      </c>
      <c r="F71" s="9" t="s">
        <v>1165</v>
      </c>
      <c r="G71" s="9" t="s">
        <v>1167</v>
      </c>
      <c r="L71" s="20">
        <f>$I$25*$L$25</f>
        <v>0</v>
      </c>
      <c r="M71" s="20">
        <f>$I$25*$M$25</f>
        <v>0</v>
      </c>
      <c r="N71" s="20">
        <f>$I$25*$N$25</f>
        <v>0</v>
      </c>
      <c r="O71" s="20">
        <f>$I$25*$O$25</f>
        <v>0</v>
      </c>
      <c r="P71" s="20">
        <f>$I$25*$P$25</f>
        <v>0</v>
      </c>
      <c r="Q71" s="20">
        <f>$I$25*$Q$25</f>
        <v>0</v>
      </c>
      <c r="R71" s="20">
        <f>$I$25*$R$25</f>
        <v>0</v>
      </c>
      <c r="S71" s="20">
        <f>$I$25*$S$25</f>
        <v>0</v>
      </c>
      <c r="T71" s="20">
        <f>$I$25*$T$25</f>
        <v>0</v>
      </c>
      <c r="U71" s="20">
        <f>$I$25*$U$25</f>
        <v>0</v>
      </c>
      <c r="V71" s="20">
        <f>$I$25*$V$25</f>
        <v>0</v>
      </c>
      <c r="X71" s="20">
        <f>$I$25*$X$25</f>
        <v>0</v>
      </c>
      <c r="Y71" s="20">
        <f>$I$25*$Y$25</f>
        <v>0</v>
      </c>
      <c r="Z71" s="20">
        <f>$I$25*$Z$25</f>
        <v>0</v>
      </c>
      <c r="AA71" s="20">
        <f>$I$25*$AA$25</f>
        <v>0</v>
      </c>
      <c r="AB71" s="20">
        <f>$I$25*$AB$25</f>
        <v>0</v>
      </c>
      <c r="AC71" s="20">
        <f>$I$25*$AC$25</f>
        <v>0</v>
      </c>
      <c r="AD71" s="20">
        <f>$I$25*$AD$25</f>
        <v>0</v>
      </c>
      <c r="AE71" s="20">
        <f>$I$25*$AE$25</f>
        <v>0</v>
      </c>
      <c r="AF71" s="20">
        <f>$I$25*$AF$25</f>
        <v>0</v>
      </c>
      <c r="AG71" s="20">
        <f>$I$25*$AG$25</f>
        <v>0</v>
      </c>
      <c r="AH71" s="20">
        <f>$I$25*$AH$25</f>
        <v>0</v>
      </c>
    </row>
    <row r="72" spans="1:34" ht="11.25" customHeight="1" x14ac:dyDescent="0.25">
      <c r="A72" s="9" t="s">
        <v>44</v>
      </c>
      <c r="B72" s="9" t="s">
        <v>1161</v>
      </c>
      <c r="C72" s="9" t="s">
        <v>1162</v>
      </c>
      <c r="D72" s="9" t="s">
        <v>1163</v>
      </c>
      <c r="E72" s="9" t="s">
        <v>1164</v>
      </c>
      <c r="F72" s="9" t="s">
        <v>1165</v>
      </c>
      <c r="G72" s="9" t="s">
        <v>1168</v>
      </c>
      <c r="L72" s="20">
        <f>$I$26*$L$26</f>
        <v>0</v>
      </c>
      <c r="M72" s="20">
        <f>$I$26*$M$26</f>
        <v>0</v>
      </c>
      <c r="N72" s="20">
        <f>$I$26*$N$26</f>
        <v>0</v>
      </c>
      <c r="O72" s="20">
        <f>$I$26*$O$26</f>
        <v>0</v>
      </c>
      <c r="P72" s="20">
        <f>$I$26*$P$26</f>
        <v>0</v>
      </c>
      <c r="Q72" s="20">
        <f>$I$26*$Q$26</f>
        <v>0</v>
      </c>
      <c r="R72" s="20">
        <f>$I$26*$R$26</f>
        <v>0</v>
      </c>
      <c r="S72" s="20">
        <f>$I$26*$S$26</f>
        <v>0</v>
      </c>
      <c r="T72" s="20">
        <f>$I$26*$T$26</f>
        <v>0</v>
      </c>
      <c r="U72" s="20">
        <f>$I$26*$U$26</f>
        <v>0</v>
      </c>
      <c r="V72" s="20">
        <f>$I$26*$V$26</f>
        <v>0</v>
      </c>
      <c r="X72" s="20">
        <f>$I$26*$X$26</f>
        <v>0</v>
      </c>
      <c r="Y72" s="20">
        <f>$I$26*$Y$26</f>
        <v>0</v>
      </c>
      <c r="Z72" s="20">
        <f>$I$26*$Z$26</f>
        <v>0</v>
      </c>
      <c r="AA72" s="20">
        <f>$I$26*$AA$26</f>
        <v>0</v>
      </c>
      <c r="AB72" s="20">
        <f>$I$26*$AB$26</f>
        <v>0</v>
      </c>
      <c r="AC72" s="20">
        <f>$I$26*$AC$26</f>
        <v>0</v>
      </c>
      <c r="AD72" s="20">
        <f>$I$26*$AD$26</f>
        <v>0</v>
      </c>
      <c r="AE72" s="20">
        <f>$I$26*$AE$26</f>
        <v>0</v>
      </c>
      <c r="AF72" s="20">
        <f>$I$26*$AF$26</f>
        <v>0</v>
      </c>
      <c r="AG72" s="20">
        <f>$I$26*$AG$26</f>
        <v>0</v>
      </c>
      <c r="AH72" s="20">
        <f>$I$26*$AH$26</f>
        <v>0</v>
      </c>
    </row>
    <row r="73" spans="1:34" ht="11.25" customHeight="1" x14ac:dyDescent="0.25">
      <c r="A73" s="9" t="s">
        <v>44</v>
      </c>
      <c r="B73" s="9" t="s">
        <v>1169</v>
      </c>
      <c r="C73" s="9" t="s">
        <v>1170</v>
      </c>
      <c r="D73" s="9" t="s">
        <v>1171</v>
      </c>
      <c r="E73" s="9" t="s">
        <v>1172</v>
      </c>
      <c r="F73" s="9" t="s">
        <v>1173</v>
      </c>
      <c r="G73" s="9" t="s">
        <v>1174</v>
      </c>
      <c r="L73" s="20">
        <f>$I$27*$L$27</f>
        <v>15170.154972006516</v>
      </c>
      <c r="M73" s="20">
        <f>$I$27*$M$27</f>
        <v>155368.19615869966</v>
      </c>
      <c r="N73" s="20">
        <f>$I$27*$N$27</f>
        <v>0</v>
      </c>
      <c r="O73" s="20">
        <f>$I$27*$O$27</f>
        <v>35765.114929080701</v>
      </c>
      <c r="P73" s="20">
        <f>$I$27*$P$27</f>
        <v>-97434.600282283907</v>
      </c>
      <c r="Q73" s="20">
        <f>$I$27*$Q$27</f>
        <v>1369821.509403852</v>
      </c>
      <c r="R73" s="20">
        <f>$I$27*$R$27</f>
        <v>60404.275238985763</v>
      </c>
      <c r="S73" s="20">
        <f>$I$27*$S$27</f>
        <v>39831.983058468082</v>
      </c>
      <c r="T73" s="20">
        <f>$I$27*$T$27</f>
        <v>0</v>
      </c>
      <c r="U73" s="20">
        <f>$I$27*$U$27</f>
        <v>0</v>
      </c>
      <c r="V73" s="20">
        <f>$I$27*$V$27</f>
        <v>43431.287459155028</v>
      </c>
      <c r="X73" s="20">
        <f>$I$27*$X$27</f>
        <v>15317.451570996354</v>
      </c>
      <c r="Y73" s="20">
        <f>$I$27*$Y$27</f>
        <v>84936.524028335683</v>
      </c>
      <c r="Z73" s="20">
        <f>$I$27*$Z$27</f>
        <v>0</v>
      </c>
      <c r="AA73" s="20">
        <f>$I$27*$AA$27</f>
        <v>0</v>
      </c>
      <c r="AB73" s="20">
        <f>$I$27*$AB$27</f>
        <v>0</v>
      </c>
      <c r="AC73" s="20">
        <f>$I$27*$AC$27</f>
        <v>1401739.6998589949</v>
      </c>
      <c r="AD73" s="20">
        <f>$I$27*$AD$27</f>
        <v>57312.957303037183</v>
      </c>
      <c r="AE73" s="20">
        <f>$I$27*$AE$27</f>
        <v>64105.253430392877</v>
      </c>
      <c r="AF73" s="20">
        <f>$I$27*$AF$27</f>
        <v>0</v>
      </c>
      <c r="AG73" s="20">
        <f>$I$27*$AG$27</f>
        <v>0</v>
      </c>
      <c r="AH73" s="20">
        <f>$I$27*$AH$27</f>
        <v>38032.799534282589</v>
      </c>
    </row>
    <row r="74" spans="1:34" ht="11.25" customHeight="1" x14ac:dyDescent="0.25">
      <c r="A74" s="9" t="s">
        <v>44</v>
      </c>
      <c r="B74" s="9" t="s">
        <v>1161</v>
      </c>
      <c r="C74" s="9" t="s">
        <v>1162</v>
      </c>
      <c r="D74" s="9" t="s">
        <v>1175</v>
      </c>
      <c r="E74" s="9" t="s">
        <v>1176</v>
      </c>
      <c r="F74" s="9" t="s">
        <v>1177</v>
      </c>
      <c r="G74" s="9" t="s">
        <v>1178</v>
      </c>
      <c r="L74" s="20">
        <f>$I$28*$L$28</f>
        <v>0</v>
      </c>
      <c r="M74" s="20">
        <f>$I$28*$M$28</f>
        <v>0</v>
      </c>
      <c r="N74" s="20">
        <f>$I$28*$N$28</f>
        <v>0</v>
      </c>
      <c r="O74" s="20">
        <f>$I$28*$O$28</f>
        <v>0</v>
      </c>
      <c r="P74" s="20">
        <f>$I$28*$P$28</f>
        <v>0</v>
      </c>
      <c r="Q74" s="20">
        <f>$I$28*$Q$28</f>
        <v>0</v>
      </c>
      <c r="R74" s="20">
        <f>$I$28*$R$28</f>
        <v>0</v>
      </c>
      <c r="S74" s="20">
        <f>$I$28*$S$28</f>
        <v>0</v>
      </c>
      <c r="T74" s="20">
        <f>$I$28*$T$28</f>
        <v>0</v>
      </c>
      <c r="U74" s="20">
        <f>$I$28*$U$28</f>
        <v>0</v>
      </c>
      <c r="V74" s="20">
        <f>$I$28*$V$28</f>
        <v>0</v>
      </c>
      <c r="X74" s="20">
        <f>$I$28*$X$28</f>
        <v>0</v>
      </c>
      <c r="Y74" s="20">
        <f>$I$28*$Y$28</f>
        <v>0</v>
      </c>
      <c r="Z74" s="20">
        <f>$I$28*$Z$28</f>
        <v>0</v>
      </c>
      <c r="AA74" s="20">
        <f>$I$28*$AA$28</f>
        <v>0</v>
      </c>
      <c r="AB74" s="20">
        <f>$I$28*$AB$28</f>
        <v>0</v>
      </c>
      <c r="AC74" s="20">
        <f>$I$28*$AC$28</f>
        <v>0</v>
      </c>
      <c r="AD74" s="20">
        <f>$I$28*$AD$28</f>
        <v>0</v>
      </c>
      <c r="AE74" s="20">
        <f>$I$28*$AE$28</f>
        <v>0</v>
      </c>
      <c r="AF74" s="20">
        <f>$I$28*$AF$28</f>
        <v>0</v>
      </c>
      <c r="AG74" s="20">
        <f>$I$28*$AG$28</f>
        <v>0</v>
      </c>
      <c r="AH74" s="20">
        <f>$I$28*$AH$28</f>
        <v>0</v>
      </c>
    </row>
    <row r="75" spans="1:34" ht="11.25" customHeight="1" x14ac:dyDescent="0.25">
      <c r="A75" s="9" t="s">
        <v>44</v>
      </c>
      <c r="B75" s="9" t="s">
        <v>1161</v>
      </c>
      <c r="C75" s="9" t="s">
        <v>1162</v>
      </c>
      <c r="D75" s="9" t="s">
        <v>1175</v>
      </c>
      <c r="E75" s="9" t="s">
        <v>1176</v>
      </c>
      <c r="F75" s="9" t="s">
        <v>1177</v>
      </c>
      <c r="G75" s="9" t="s">
        <v>1179</v>
      </c>
      <c r="L75" s="20">
        <f>$I$29*$L$29</f>
        <v>0</v>
      </c>
      <c r="M75" s="20">
        <f>$I$29*$M$29</f>
        <v>0</v>
      </c>
      <c r="N75" s="20">
        <f>$I$29*$N$29</f>
        <v>0</v>
      </c>
      <c r="O75" s="20">
        <f>$I$29*$O$29</f>
        <v>0</v>
      </c>
      <c r="P75" s="20">
        <f>$I$29*$P$29</f>
        <v>0</v>
      </c>
      <c r="Q75" s="20">
        <f>$I$29*$Q$29</f>
        <v>0</v>
      </c>
      <c r="R75" s="20">
        <f>$I$29*$R$29</f>
        <v>0</v>
      </c>
      <c r="S75" s="20">
        <f>$I$29*$S$29</f>
        <v>0</v>
      </c>
      <c r="T75" s="20">
        <f>$I$29*$T$29</f>
        <v>0</v>
      </c>
      <c r="U75" s="20">
        <f>$I$29*$U$29</f>
        <v>0</v>
      </c>
      <c r="V75" s="20">
        <f>$I$29*$V$29</f>
        <v>0</v>
      </c>
      <c r="X75" s="20">
        <f>$I$29*$X$29</f>
        <v>0</v>
      </c>
      <c r="Y75" s="20">
        <f>$I$29*$Y$29</f>
        <v>0</v>
      </c>
      <c r="Z75" s="20">
        <f>$I$29*$Z$29</f>
        <v>0</v>
      </c>
      <c r="AA75" s="20">
        <f>$I$29*$AA$29</f>
        <v>0</v>
      </c>
      <c r="AB75" s="20">
        <f>$I$29*$AB$29</f>
        <v>0</v>
      </c>
      <c r="AC75" s="20">
        <f>$I$29*$AC$29</f>
        <v>0</v>
      </c>
      <c r="AD75" s="20">
        <f>$I$29*$AD$29</f>
        <v>0</v>
      </c>
      <c r="AE75" s="20">
        <f>$I$29*$AE$29</f>
        <v>0</v>
      </c>
      <c r="AF75" s="20">
        <f>$I$29*$AF$29</f>
        <v>0</v>
      </c>
      <c r="AG75" s="20">
        <f>$I$29*$AG$29</f>
        <v>0</v>
      </c>
      <c r="AH75" s="20">
        <f>$I$29*$AH$29</f>
        <v>0</v>
      </c>
    </row>
    <row r="76" spans="1:34" ht="11.25" customHeight="1" x14ac:dyDescent="0.25">
      <c r="A76" s="9" t="s">
        <v>44</v>
      </c>
      <c r="B76" s="9" t="s">
        <v>1161</v>
      </c>
      <c r="C76" s="9" t="s">
        <v>1162</v>
      </c>
      <c r="D76" s="9" t="s">
        <v>1175</v>
      </c>
      <c r="E76" s="9" t="s">
        <v>1176</v>
      </c>
      <c r="F76" s="9" t="s">
        <v>1177</v>
      </c>
      <c r="G76" s="9" t="s">
        <v>1180</v>
      </c>
      <c r="L76" s="20">
        <f>$I$30*$L$30</f>
        <v>0</v>
      </c>
      <c r="M76" s="20">
        <f>$I$30*$M$30</f>
        <v>0</v>
      </c>
      <c r="N76" s="20">
        <f>$I$30*$N$30</f>
        <v>0</v>
      </c>
      <c r="O76" s="20">
        <f>$I$30*$O$30</f>
        <v>0</v>
      </c>
      <c r="P76" s="20">
        <f>$I$30*$P$30</f>
        <v>0</v>
      </c>
      <c r="Q76" s="20">
        <f>$I$30*$Q$30</f>
        <v>0</v>
      </c>
      <c r="R76" s="20">
        <f>$I$30*$R$30</f>
        <v>0</v>
      </c>
      <c r="S76" s="20">
        <f>$I$30*$S$30</f>
        <v>0</v>
      </c>
      <c r="T76" s="20">
        <f>$I$30*$T$30</f>
        <v>0</v>
      </c>
      <c r="U76" s="20">
        <f>$I$30*$U$30</f>
        <v>0</v>
      </c>
      <c r="V76" s="20">
        <f>$I$30*$V$30</f>
        <v>0</v>
      </c>
      <c r="X76" s="20">
        <f>$I$30*$X$30</f>
        <v>0</v>
      </c>
      <c r="Y76" s="20">
        <f>$I$30*$Y$30</f>
        <v>0</v>
      </c>
      <c r="Z76" s="20">
        <f>$I$30*$Z$30</f>
        <v>0</v>
      </c>
      <c r="AA76" s="20">
        <f>$I$30*$AA$30</f>
        <v>0</v>
      </c>
      <c r="AB76" s="20">
        <f>$I$30*$AB$30</f>
        <v>0</v>
      </c>
      <c r="AC76" s="20">
        <f>$I$30*$AC$30</f>
        <v>0</v>
      </c>
      <c r="AD76" s="20">
        <f>$I$30*$AD$30</f>
        <v>0</v>
      </c>
      <c r="AE76" s="20">
        <f>$I$30*$AE$30</f>
        <v>0</v>
      </c>
      <c r="AF76" s="20">
        <f>$I$30*$AF$30</f>
        <v>0</v>
      </c>
      <c r="AG76" s="20">
        <f>$I$30*$AG$30</f>
        <v>0</v>
      </c>
      <c r="AH76" s="20">
        <f>$I$30*$AH$30</f>
        <v>0</v>
      </c>
    </row>
    <row r="77" spans="1:34" ht="11.25" customHeight="1" x14ac:dyDescent="0.25">
      <c r="A77" s="9" t="s">
        <v>44</v>
      </c>
      <c r="B77" s="9" t="s">
        <v>1169</v>
      </c>
      <c r="C77" s="9" t="s">
        <v>1170</v>
      </c>
      <c r="D77" s="9" t="s">
        <v>1181</v>
      </c>
      <c r="E77" s="9" t="s">
        <v>1182</v>
      </c>
      <c r="F77" s="9" t="s">
        <v>1183</v>
      </c>
      <c r="G77" s="9" t="s">
        <v>1184</v>
      </c>
      <c r="L77" s="20">
        <f>$I$31*$L$31</f>
        <v>0</v>
      </c>
      <c r="M77" s="20">
        <f>$I$31*$M$31</f>
        <v>0</v>
      </c>
      <c r="N77" s="20">
        <f>$I$31*$N$31</f>
        <v>0</v>
      </c>
      <c r="O77" s="20">
        <f>$I$31*$O$31</f>
        <v>0</v>
      </c>
      <c r="P77" s="20">
        <f>$I$31*$P$31</f>
        <v>0</v>
      </c>
      <c r="Q77" s="20">
        <f>$I$31*$Q$31</f>
        <v>0</v>
      </c>
      <c r="R77" s="20">
        <f>$I$31*$R$31</f>
        <v>0</v>
      </c>
      <c r="S77" s="20">
        <f>$I$31*$S$31</f>
        <v>0</v>
      </c>
      <c r="T77" s="20">
        <f>$I$31*$T$31</f>
        <v>0</v>
      </c>
      <c r="U77" s="20">
        <f>$I$31*$U$31</f>
        <v>0</v>
      </c>
      <c r="V77" s="20">
        <f>$I$31*$V$31</f>
        <v>0</v>
      </c>
      <c r="X77" s="20">
        <f>$I$31*$X$31</f>
        <v>0</v>
      </c>
      <c r="Y77" s="20">
        <f>$I$31*$Y$31</f>
        <v>0</v>
      </c>
      <c r="Z77" s="20">
        <f>$I$31*$Z$31</f>
        <v>0</v>
      </c>
      <c r="AA77" s="20">
        <f>$I$31*$AA$31</f>
        <v>0</v>
      </c>
      <c r="AB77" s="20">
        <f>$I$31*$AB$31</f>
        <v>0</v>
      </c>
      <c r="AC77" s="20">
        <f>$I$31*$AC$31</f>
        <v>0</v>
      </c>
      <c r="AD77" s="20">
        <f>$I$31*$AD$31</f>
        <v>0</v>
      </c>
      <c r="AE77" s="20">
        <f>$I$31*$AE$31</f>
        <v>0</v>
      </c>
      <c r="AF77" s="20">
        <f>$I$31*$AF$31</f>
        <v>0</v>
      </c>
      <c r="AG77" s="20">
        <f>$I$31*$AG$31</f>
        <v>0</v>
      </c>
      <c r="AH77" s="20">
        <f>$I$31*$AH$31</f>
        <v>0</v>
      </c>
    </row>
    <row r="78" spans="1:34" ht="11.25" customHeight="1" x14ac:dyDescent="0.25">
      <c r="A78" s="9" t="s">
        <v>44</v>
      </c>
      <c r="B78" s="9" t="s">
        <v>1161</v>
      </c>
      <c r="C78" s="9" t="s">
        <v>1162</v>
      </c>
      <c r="D78" s="9" t="s">
        <v>1185</v>
      </c>
      <c r="E78" s="9" t="s">
        <v>1186</v>
      </c>
      <c r="F78" s="9" t="s">
        <v>1187</v>
      </c>
      <c r="G78" s="9" t="s">
        <v>1188</v>
      </c>
      <c r="L78" s="20">
        <f>$I$32*$L$32</f>
        <v>0</v>
      </c>
      <c r="M78" s="20">
        <f>$I$32*$M$32</f>
        <v>0</v>
      </c>
      <c r="N78" s="20">
        <f>$I$32*$N$32</f>
        <v>0</v>
      </c>
      <c r="O78" s="20">
        <f>$I$32*$O$32</f>
        <v>0</v>
      </c>
      <c r="P78" s="20">
        <f>$I$32*$P$32</f>
        <v>0</v>
      </c>
      <c r="Q78" s="20">
        <f>$I$32*$Q$32</f>
        <v>0</v>
      </c>
      <c r="R78" s="20">
        <f>$I$32*$R$32</f>
        <v>0</v>
      </c>
      <c r="S78" s="20">
        <f>$I$32*$S$32</f>
        <v>0</v>
      </c>
      <c r="T78" s="20">
        <f>$I$32*$T$32</f>
        <v>0</v>
      </c>
      <c r="U78" s="20">
        <f>$I$32*$U$32</f>
        <v>0</v>
      </c>
      <c r="V78" s="20">
        <f>$I$32*$V$32</f>
        <v>0</v>
      </c>
      <c r="X78" s="20">
        <f>$I$32*$X$32</f>
        <v>0</v>
      </c>
      <c r="Y78" s="20">
        <f>$I$32*$Y$32</f>
        <v>0</v>
      </c>
      <c r="Z78" s="20">
        <f>$I$32*$Z$32</f>
        <v>0</v>
      </c>
      <c r="AA78" s="20">
        <f>$I$32*$AA$32</f>
        <v>0</v>
      </c>
      <c r="AB78" s="20">
        <f>$I$32*$AB$32</f>
        <v>0</v>
      </c>
      <c r="AC78" s="20">
        <f>$I$32*$AC$32</f>
        <v>0</v>
      </c>
      <c r="AD78" s="20">
        <f>$I$32*$AD$32</f>
        <v>0</v>
      </c>
      <c r="AE78" s="20">
        <f>$I$32*$AE$32</f>
        <v>0</v>
      </c>
      <c r="AF78" s="20">
        <f>$I$32*$AF$32</f>
        <v>0</v>
      </c>
      <c r="AG78" s="20">
        <f>$I$32*$AG$32</f>
        <v>0</v>
      </c>
      <c r="AH78" s="20">
        <f>$I$32*$AH$32</f>
        <v>0</v>
      </c>
    </row>
    <row r="79" spans="1:34" ht="11.25" customHeight="1" x14ac:dyDescent="0.25">
      <c r="A79" s="9" t="s">
        <v>44</v>
      </c>
      <c r="B79" s="9" t="s">
        <v>1161</v>
      </c>
      <c r="C79" s="9" t="s">
        <v>1162</v>
      </c>
      <c r="D79" s="9" t="s">
        <v>1185</v>
      </c>
      <c r="E79" s="9" t="s">
        <v>1186</v>
      </c>
      <c r="F79" s="9" t="s">
        <v>1187</v>
      </c>
      <c r="G79" s="9" t="s">
        <v>1189</v>
      </c>
      <c r="L79" s="20">
        <f>$I$33*$L$33</f>
        <v>0</v>
      </c>
      <c r="M79" s="20">
        <f>$I$33*$M$33</f>
        <v>0</v>
      </c>
      <c r="N79" s="20">
        <f>$I$33*$N$33</f>
        <v>0</v>
      </c>
      <c r="O79" s="20">
        <f>$I$33*$O$33</f>
        <v>0</v>
      </c>
      <c r="P79" s="20">
        <f>$I$33*$P$33</f>
        <v>0</v>
      </c>
      <c r="Q79" s="20">
        <f>$I$33*$Q$33</f>
        <v>0</v>
      </c>
      <c r="R79" s="20">
        <f>$I$33*$R$33</f>
        <v>0</v>
      </c>
      <c r="S79" s="20">
        <f>$I$33*$S$33</f>
        <v>0</v>
      </c>
      <c r="T79" s="20">
        <f>$I$33*$T$33</f>
        <v>0</v>
      </c>
      <c r="U79" s="20">
        <f>$I$33*$U$33</f>
        <v>0</v>
      </c>
      <c r="V79" s="20">
        <f>$I$33*$V$33</f>
        <v>0</v>
      </c>
      <c r="X79" s="20">
        <f>$I$33*$X$33</f>
        <v>0</v>
      </c>
      <c r="Y79" s="20">
        <f>$I$33*$Y$33</f>
        <v>0</v>
      </c>
      <c r="Z79" s="20">
        <f>$I$33*$Z$33</f>
        <v>0</v>
      </c>
      <c r="AA79" s="20">
        <f>$I$33*$AA$33</f>
        <v>0</v>
      </c>
      <c r="AB79" s="20">
        <f>$I$33*$AB$33</f>
        <v>0</v>
      </c>
      <c r="AC79" s="20">
        <f>$I$33*$AC$33</f>
        <v>0</v>
      </c>
      <c r="AD79" s="20">
        <f>$I$33*$AD$33</f>
        <v>0</v>
      </c>
      <c r="AE79" s="20">
        <f>$I$33*$AE$33</f>
        <v>0</v>
      </c>
      <c r="AF79" s="20">
        <f>$I$33*$AF$33</f>
        <v>0</v>
      </c>
      <c r="AG79" s="20">
        <f>$I$33*$AG$33</f>
        <v>0</v>
      </c>
      <c r="AH79" s="20">
        <f>$I$33*$AH$33</f>
        <v>0</v>
      </c>
    </row>
    <row r="80" spans="1:34" ht="11.25" customHeight="1" x14ac:dyDescent="0.25">
      <c r="A80" s="9" t="s">
        <v>44</v>
      </c>
      <c r="B80" s="9" t="s">
        <v>1161</v>
      </c>
      <c r="C80" s="9" t="s">
        <v>1162</v>
      </c>
      <c r="D80" s="9" t="s">
        <v>1185</v>
      </c>
      <c r="E80" s="9" t="s">
        <v>1186</v>
      </c>
      <c r="F80" s="9" t="s">
        <v>1187</v>
      </c>
      <c r="G80" s="9" t="s">
        <v>1190</v>
      </c>
      <c r="L80" s="20">
        <f>$I$34*$L$34</f>
        <v>0</v>
      </c>
      <c r="M80" s="20">
        <f>$I$34*$M$34</f>
        <v>0</v>
      </c>
      <c r="N80" s="20">
        <f>$I$34*$N$34</f>
        <v>0</v>
      </c>
      <c r="O80" s="20">
        <f>$I$34*$O$34</f>
        <v>0</v>
      </c>
      <c r="P80" s="20">
        <f>$I$34*$P$34</f>
        <v>0</v>
      </c>
      <c r="Q80" s="20">
        <f>$I$34*$Q$34</f>
        <v>0</v>
      </c>
      <c r="R80" s="20">
        <f>$I$34*$R$34</f>
        <v>0</v>
      </c>
      <c r="S80" s="20">
        <f>$I$34*$S$34</f>
        <v>0</v>
      </c>
      <c r="T80" s="20">
        <f>$I$34*$T$34</f>
        <v>0</v>
      </c>
      <c r="U80" s="20">
        <f>$I$34*$U$34</f>
        <v>0</v>
      </c>
      <c r="V80" s="20">
        <f>$I$34*$V$34</f>
        <v>0</v>
      </c>
      <c r="X80" s="20">
        <f>$I$34*$X$34</f>
        <v>0</v>
      </c>
      <c r="Y80" s="20">
        <f>$I$34*$Y$34</f>
        <v>0</v>
      </c>
      <c r="Z80" s="20">
        <f>$I$34*$Z$34</f>
        <v>0</v>
      </c>
      <c r="AA80" s="20">
        <f>$I$34*$AA$34</f>
        <v>0</v>
      </c>
      <c r="AB80" s="20">
        <f>$I$34*$AB$34</f>
        <v>0</v>
      </c>
      <c r="AC80" s="20">
        <f>$I$34*$AC$34</f>
        <v>0</v>
      </c>
      <c r="AD80" s="20">
        <f>$I$34*$AD$34</f>
        <v>0</v>
      </c>
      <c r="AE80" s="20">
        <f>$I$34*$AE$34</f>
        <v>0</v>
      </c>
      <c r="AF80" s="20">
        <f>$I$34*$AF$34</f>
        <v>0</v>
      </c>
      <c r="AG80" s="20">
        <f>$I$34*$AG$34</f>
        <v>0</v>
      </c>
      <c r="AH80" s="20">
        <f>$I$34*$AH$34</f>
        <v>0</v>
      </c>
    </row>
    <row r="81" spans="1:34" ht="11.25" customHeight="1" x14ac:dyDescent="0.25">
      <c r="A81" s="9" t="s">
        <v>44</v>
      </c>
      <c r="B81" s="9" t="s">
        <v>1169</v>
      </c>
      <c r="C81" s="9" t="s">
        <v>1170</v>
      </c>
      <c r="D81" s="9" t="s">
        <v>1191</v>
      </c>
      <c r="E81" s="9" t="s">
        <v>1192</v>
      </c>
      <c r="F81" s="9" t="s">
        <v>1193</v>
      </c>
      <c r="G81" s="9" t="s">
        <v>1194</v>
      </c>
      <c r="L81" s="20">
        <f>$I$35*$L$35</f>
        <v>0</v>
      </c>
      <c r="M81" s="20">
        <f>$I$35*$M$35</f>
        <v>0</v>
      </c>
      <c r="N81" s="20">
        <f>$I$35*$N$35</f>
        <v>0</v>
      </c>
      <c r="O81" s="20">
        <f>$I$35*$O$35</f>
        <v>0</v>
      </c>
      <c r="P81" s="20">
        <f>$I$35*$P$35</f>
        <v>0</v>
      </c>
      <c r="Q81" s="20">
        <f>$I$35*$Q$35</f>
        <v>0</v>
      </c>
      <c r="R81" s="20">
        <f>$I$35*$R$35</f>
        <v>0</v>
      </c>
      <c r="S81" s="20">
        <f>$I$35*$S$35</f>
        <v>0</v>
      </c>
      <c r="T81" s="20">
        <f>$I$35*$T$35</f>
        <v>0</v>
      </c>
      <c r="U81" s="20">
        <f>$I$35*$U$35</f>
        <v>0</v>
      </c>
      <c r="V81" s="20">
        <f>$I$35*$V$35</f>
        <v>0</v>
      </c>
      <c r="X81" s="20">
        <f>$I$35*$X$35</f>
        <v>0</v>
      </c>
      <c r="Y81" s="20">
        <f>$I$35*$Y$35</f>
        <v>0</v>
      </c>
      <c r="Z81" s="20">
        <f>$I$35*$Z$35</f>
        <v>0</v>
      </c>
      <c r="AA81" s="20">
        <f>$I$35*$AA$35</f>
        <v>0</v>
      </c>
      <c r="AB81" s="20">
        <f>$I$35*$AB$35</f>
        <v>0</v>
      </c>
      <c r="AC81" s="20">
        <f>$I$35*$AC$35</f>
        <v>0</v>
      </c>
      <c r="AD81" s="20">
        <f>$I$35*$AD$35</f>
        <v>0</v>
      </c>
      <c r="AE81" s="20">
        <f>$I$35*$AE$35</f>
        <v>0</v>
      </c>
      <c r="AF81" s="20">
        <f>$I$35*$AF$35</f>
        <v>0</v>
      </c>
      <c r="AG81" s="20">
        <f>$I$35*$AG$35</f>
        <v>0</v>
      </c>
      <c r="AH81" s="20">
        <f>$I$35*$AH$35</f>
        <v>0</v>
      </c>
    </row>
    <row r="82" spans="1:34" ht="11.25" customHeight="1" x14ac:dyDescent="0.25">
      <c r="A82" s="9" t="s">
        <v>44</v>
      </c>
      <c r="B82" s="9" t="s">
        <v>1195</v>
      </c>
      <c r="C82" s="9" t="s">
        <v>1196</v>
      </c>
      <c r="D82" s="9" t="s">
        <v>1197</v>
      </c>
      <c r="E82" s="9" t="s">
        <v>1198</v>
      </c>
      <c r="F82" s="9" t="s">
        <v>1199</v>
      </c>
      <c r="G82" s="9" t="s">
        <v>1200</v>
      </c>
      <c r="L82" s="20">
        <f>$I$36*$L$36</f>
        <v>0</v>
      </c>
      <c r="M82" s="20">
        <f>$I$36*$M$36</f>
        <v>0</v>
      </c>
      <c r="N82" s="20">
        <f>$I$36*$N$36</f>
        <v>0</v>
      </c>
      <c r="O82" s="20">
        <f>$I$36*$O$36</f>
        <v>0</v>
      </c>
      <c r="P82" s="20">
        <f>$I$36*$P$36</f>
        <v>0</v>
      </c>
      <c r="Q82" s="20">
        <f>$I$36*$Q$36</f>
        <v>0</v>
      </c>
      <c r="R82" s="20">
        <f>$I$36*$R$36</f>
        <v>0</v>
      </c>
      <c r="S82" s="20">
        <f>$I$36*$S$36</f>
        <v>0</v>
      </c>
      <c r="T82" s="20">
        <f>$I$36*$T$36</f>
        <v>0</v>
      </c>
      <c r="U82" s="20">
        <f>$I$36*$U$36</f>
        <v>0</v>
      </c>
      <c r="V82" s="20">
        <f>$I$36*$V$36</f>
        <v>0</v>
      </c>
      <c r="X82" s="20">
        <f>$I$36*$X$36</f>
        <v>0</v>
      </c>
      <c r="Y82" s="20">
        <f>$I$36*$Y$36</f>
        <v>0</v>
      </c>
      <c r="Z82" s="20">
        <f>$I$36*$Z$36</f>
        <v>0</v>
      </c>
      <c r="AA82" s="20">
        <f>$I$36*$AA$36</f>
        <v>0</v>
      </c>
      <c r="AB82" s="20">
        <f>$I$36*$AB$36</f>
        <v>0</v>
      </c>
      <c r="AC82" s="20">
        <f>$I$36*$AC$36</f>
        <v>0</v>
      </c>
      <c r="AD82" s="20">
        <f>$I$36*$AD$36</f>
        <v>0</v>
      </c>
      <c r="AE82" s="20">
        <f>$I$36*$AE$36</f>
        <v>0</v>
      </c>
      <c r="AF82" s="20">
        <f>$I$36*$AF$36</f>
        <v>0</v>
      </c>
      <c r="AG82" s="20">
        <f>$I$36*$AG$36</f>
        <v>0</v>
      </c>
      <c r="AH82" s="20">
        <f>$I$36*$AH$36</f>
        <v>0</v>
      </c>
    </row>
    <row r="83" spans="1:34" ht="11.25" customHeight="1" x14ac:dyDescent="0.25">
      <c r="A83" s="9" t="s">
        <v>44</v>
      </c>
      <c r="B83" s="9" t="s">
        <v>1195</v>
      </c>
      <c r="C83" s="9" t="s">
        <v>1196</v>
      </c>
      <c r="D83" s="9" t="s">
        <v>1201</v>
      </c>
      <c r="E83" s="9" t="s">
        <v>1202</v>
      </c>
      <c r="F83" s="9" t="s">
        <v>1203</v>
      </c>
      <c r="G83" s="9" t="s">
        <v>1204</v>
      </c>
      <c r="L83" s="20">
        <f>$I$37*$L$37</f>
        <v>0</v>
      </c>
      <c r="M83" s="20">
        <f>$I$37*$M$37</f>
        <v>0</v>
      </c>
      <c r="N83" s="20">
        <f>$I$37*$N$37</f>
        <v>0</v>
      </c>
      <c r="O83" s="20">
        <f>$I$37*$O$37</f>
        <v>0</v>
      </c>
      <c r="P83" s="20">
        <f>$I$37*$P$37</f>
        <v>0</v>
      </c>
      <c r="Q83" s="20">
        <f>$I$37*$Q$37</f>
        <v>0</v>
      </c>
      <c r="R83" s="20">
        <f>$I$37*$R$37</f>
        <v>0</v>
      </c>
      <c r="S83" s="20">
        <f>$I$37*$S$37</f>
        <v>0</v>
      </c>
      <c r="T83" s="20">
        <f>$I$37*$T$37</f>
        <v>0</v>
      </c>
      <c r="U83" s="20">
        <f>$I$37*$U$37</f>
        <v>0</v>
      </c>
      <c r="V83" s="20">
        <f>$I$37*$V$37</f>
        <v>0</v>
      </c>
      <c r="X83" s="20">
        <f>$I$37*$X$37</f>
        <v>0</v>
      </c>
      <c r="Y83" s="20">
        <f>$I$37*$Y$37</f>
        <v>0</v>
      </c>
      <c r="Z83" s="20">
        <f>$I$37*$Z$37</f>
        <v>0</v>
      </c>
      <c r="AA83" s="20">
        <f>$I$37*$AA$37</f>
        <v>0</v>
      </c>
      <c r="AB83" s="20">
        <f>$I$37*$AB$37</f>
        <v>0</v>
      </c>
      <c r="AC83" s="20">
        <f>$I$37*$AC$37</f>
        <v>0</v>
      </c>
      <c r="AD83" s="20">
        <f>$I$37*$AD$37</f>
        <v>0</v>
      </c>
      <c r="AE83" s="20">
        <f>$I$37*$AE$37</f>
        <v>0</v>
      </c>
      <c r="AF83" s="20">
        <f>$I$37*$AF$37</f>
        <v>0</v>
      </c>
      <c r="AG83" s="20">
        <f>$I$37*$AG$37</f>
        <v>0</v>
      </c>
      <c r="AH83" s="20">
        <f>$I$37*$AH$37</f>
        <v>0</v>
      </c>
    </row>
    <row r="84" spans="1:34" ht="11.25" customHeight="1" x14ac:dyDescent="0.25">
      <c r="A84" s="9" t="s">
        <v>44</v>
      </c>
      <c r="B84" s="9" t="s">
        <v>1195</v>
      </c>
      <c r="C84" s="9" t="s">
        <v>1196</v>
      </c>
      <c r="D84" s="9" t="s">
        <v>1205</v>
      </c>
      <c r="E84" s="9" t="s">
        <v>1206</v>
      </c>
      <c r="F84" s="9" t="s">
        <v>1207</v>
      </c>
      <c r="G84" s="9" t="s">
        <v>1208</v>
      </c>
      <c r="L84" s="20">
        <f>$I$38*$L$38</f>
        <v>0</v>
      </c>
      <c r="M84" s="20">
        <f>$I$38*$M$38</f>
        <v>0</v>
      </c>
      <c r="N84" s="20">
        <f>$I$38*$N$38</f>
        <v>0</v>
      </c>
      <c r="O84" s="20">
        <f>$I$38*$O$38</f>
        <v>0</v>
      </c>
      <c r="P84" s="20">
        <f>$I$38*$P$38</f>
        <v>0</v>
      </c>
      <c r="Q84" s="20">
        <f>$I$38*$Q$38</f>
        <v>0</v>
      </c>
      <c r="R84" s="20">
        <f>$I$38*$R$38</f>
        <v>0</v>
      </c>
      <c r="S84" s="20">
        <f>$I$38*$S$38</f>
        <v>0</v>
      </c>
      <c r="T84" s="20">
        <f>$I$38*$T$38</f>
        <v>0</v>
      </c>
      <c r="U84" s="20">
        <f>$I$38*$U$38</f>
        <v>0</v>
      </c>
      <c r="V84" s="20">
        <f>$I$38*$V$38</f>
        <v>0</v>
      </c>
      <c r="X84" s="20">
        <f>$I$38*$X$38</f>
        <v>0</v>
      </c>
      <c r="Y84" s="20">
        <f>$I$38*$Y$38</f>
        <v>0</v>
      </c>
      <c r="Z84" s="20">
        <f>$I$38*$Z$38</f>
        <v>0</v>
      </c>
      <c r="AA84" s="20">
        <f>$I$38*$AA$38</f>
        <v>0</v>
      </c>
      <c r="AB84" s="20">
        <f>$I$38*$AB$38</f>
        <v>0</v>
      </c>
      <c r="AC84" s="20">
        <f>$I$38*$AC$38</f>
        <v>0</v>
      </c>
      <c r="AD84" s="20">
        <f>$I$38*$AD$38</f>
        <v>0</v>
      </c>
      <c r="AE84" s="20">
        <f>$I$38*$AE$38</f>
        <v>0</v>
      </c>
      <c r="AF84" s="20">
        <f>$I$38*$AF$38</f>
        <v>0</v>
      </c>
      <c r="AG84" s="20">
        <f>$I$38*$AG$38</f>
        <v>0</v>
      </c>
      <c r="AH84" s="20">
        <f>$I$38*$AH$38</f>
        <v>0</v>
      </c>
    </row>
    <row r="85" spans="1:34" ht="11.25" customHeight="1" x14ac:dyDescent="0.25">
      <c r="A85" s="9" t="s">
        <v>39</v>
      </c>
      <c r="B85" s="9" t="s">
        <v>1209</v>
      </c>
      <c r="C85" s="9" t="s">
        <v>1210</v>
      </c>
      <c r="D85" s="9" t="s">
        <v>1211</v>
      </c>
      <c r="E85" s="9" t="s">
        <v>1212</v>
      </c>
      <c r="F85" s="9" t="s">
        <v>1213</v>
      </c>
      <c r="G85" s="9" t="s">
        <v>1214</v>
      </c>
      <c r="L85" s="20">
        <f>$I$39*$L$39</f>
        <v>109.97620694487364</v>
      </c>
      <c r="M85" s="20">
        <f>$I$39*$M$39</f>
        <v>1126.3434635263222</v>
      </c>
      <c r="N85" s="20">
        <f>$I$39*$N$39</f>
        <v>0</v>
      </c>
      <c r="O85" s="20">
        <f>$I$39*$O$39</f>
        <v>259.27959787529579</v>
      </c>
      <c r="P85" s="20">
        <f>$I$39*$P$39</f>
        <v>-706.35321682664335</v>
      </c>
      <c r="Q85" s="20">
        <f>$I$39*$Q$39</f>
        <v>16113.700322498995</v>
      </c>
      <c r="R85" s="20">
        <f>$I$39*$R$39</f>
        <v>437.90146417727391</v>
      </c>
      <c r="S85" s="20">
        <f>$I$39*$S$39</f>
        <v>288.76240354473981</v>
      </c>
      <c r="T85" s="20">
        <f>$I$39*$T$39</f>
        <v>0</v>
      </c>
      <c r="U85" s="20">
        <f>$I$39*$U$39</f>
        <v>0</v>
      </c>
      <c r="V85" s="20">
        <f>$I$39*$V$39</f>
        <v>314.85560077034376</v>
      </c>
      <c r="X85" s="20">
        <f>$I$39*$X$39</f>
        <v>118.61521949838469</v>
      </c>
      <c r="Y85" s="20">
        <f>$I$39*$Y$39</f>
        <v>657.73111110254467</v>
      </c>
      <c r="Z85" s="20">
        <f>$I$39*$Z$39</f>
        <v>0</v>
      </c>
      <c r="AA85" s="20">
        <f>$I$39*$AA$39</f>
        <v>0</v>
      </c>
      <c r="AB85" s="20">
        <f>$I$39*$AB$39</f>
        <v>0</v>
      </c>
      <c r="AC85" s="20">
        <f>$I$39*$AC$39</f>
        <v>17613.426690248369</v>
      </c>
      <c r="AD85" s="20">
        <f>$I$39*$AD$39</f>
        <v>443.81984686497537</v>
      </c>
      <c r="AE85" s="20">
        <f>$I$39*$AE$39</f>
        <v>496.41800213317589</v>
      </c>
      <c r="AF85" s="20">
        <f>$I$39*$AF$39</f>
        <v>0</v>
      </c>
      <c r="AG85" s="20">
        <f>$I$39*$AG$39</f>
        <v>0</v>
      </c>
      <c r="AH85" s="20">
        <f>$I$39*$AH$39</f>
        <v>294.51823914619644</v>
      </c>
    </row>
    <row r="86" spans="1:34" ht="11.25" customHeight="1" x14ac:dyDescent="0.25">
      <c r="A86" s="9" t="s">
        <v>39</v>
      </c>
      <c r="B86" s="9" t="s">
        <v>1209</v>
      </c>
      <c r="C86" s="9" t="s">
        <v>1210</v>
      </c>
      <c r="D86" s="9" t="s">
        <v>1211</v>
      </c>
      <c r="E86" s="9" t="s">
        <v>1212</v>
      </c>
      <c r="F86" s="9" t="s">
        <v>1213</v>
      </c>
      <c r="G86" s="9" t="s">
        <v>1215</v>
      </c>
      <c r="L86" s="20">
        <f>$I$40*$L$40</f>
        <v>73.348844133215323</v>
      </c>
      <c r="M86" s="20">
        <f>$I$40*$M$40</f>
        <v>751.21695357314832</v>
      </c>
      <c r="N86" s="20">
        <f>$I$40*$N$40</f>
        <v>0</v>
      </c>
      <c r="O86" s="20">
        <f>$I$40*$O$40</f>
        <v>172.92702976208895</v>
      </c>
      <c r="P86" s="20">
        <f>$I$40*$P$40</f>
        <v>-471.10364544562742</v>
      </c>
      <c r="Q86" s="20">
        <f>$I$40*$Q$40</f>
        <v>6248.2928057167874</v>
      </c>
      <c r="R86" s="20">
        <f>$I$40*$R$40</f>
        <v>292.05922929989572</v>
      </c>
      <c r="S86" s="20">
        <f>$I$40*$S$40</f>
        <v>192.5906440813381</v>
      </c>
      <c r="T86" s="20">
        <f>$I$40*$T$40</f>
        <v>0</v>
      </c>
      <c r="U86" s="20">
        <f>$I$40*$U$40</f>
        <v>0</v>
      </c>
      <c r="V86" s="20">
        <f>$I$40*$V$40</f>
        <v>209.99355248676645</v>
      </c>
      <c r="X86" s="20">
        <f>$I$40*$X$40</f>
        <v>79.110650280703197</v>
      </c>
      <c r="Y86" s="20">
        <f>$I$40*$Y$40</f>
        <v>438.67503790169479</v>
      </c>
      <c r="Z86" s="20">
        <f>$I$40*$Z$40</f>
        <v>0</v>
      </c>
      <c r="AA86" s="20">
        <f>$I$40*$AA$40</f>
        <v>0</v>
      </c>
      <c r="AB86" s="20">
        <f>$I$40*$AB$40</f>
        <v>0</v>
      </c>
      <c r="AC86" s="20">
        <f>$I$40*$AC$40</f>
        <v>6829.8308315337499</v>
      </c>
      <c r="AD86" s="20">
        <f>$I$40*$AD$40</f>
        <v>296.0065060913069</v>
      </c>
      <c r="AE86" s="20">
        <f>$I$40*$AE$40</f>
        <v>331.08694757621606</v>
      </c>
      <c r="AF86" s="20">
        <f>$I$40*$AF$40</f>
        <v>0</v>
      </c>
      <c r="AG86" s="20">
        <f>$I$40*$AG$40</f>
        <v>0</v>
      </c>
      <c r="AH86" s="20">
        <f>$I$40*$AH$40</f>
        <v>196.429509778891</v>
      </c>
    </row>
    <row r="87" spans="1:34" ht="11.25" customHeight="1" x14ac:dyDescent="0.25">
      <c r="A87" s="9" t="s">
        <v>39</v>
      </c>
      <c r="B87" s="9" t="s">
        <v>1209</v>
      </c>
      <c r="C87" s="9" t="s">
        <v>1210</v>
      </c>
      <c r="D87" s="9" t="s">
        <v>1211</v>
      </c>
      <c r="E87" s="9" t="s">
        <v>1212</v>
      </c>
      <c r="F87" s="9" t="s">
        <v>1213</v>
      </c>
      <c r="G87" s="9" t="s">
        <v>1216</v>
      </c>
      <c r="L87" s="20">
        <f>$I$41*$L$41</f>
        <v>1123.5053713783163</v>
      </c>
      <c r="M87" s="20">
        <f>$I$41*$M$41</f>
        <v>11506.60644190972</v>
      </c>
      <c r="N87" s="20">
        <f>$I$41*$N$41</f>
        <v>0</v>
      </c>
      <c r="O87" s="20">
        <f>$I$41*$O$41</f>
        <v>2648.7731209689919</v>
      </c>
      <c r="P87" s="20">
        <f>$I$41*$P$41</f>
        <v>-7216.0302236362786</v>
      </c>
      <c r="Q87" s="20">
        <f>$I$41*$Q$41</f>
        <v>95706.90052617155</v>
      </c>
      <c r="R87" s="20">
        <f>$I$41*$R$41</f>
        <v>4473.5553335114328</v>
      </c>
      <c r="S87" s="20">
        <f>$I$41*$S$41</f>
        <v>2949.9663649724621</v>
      </c>
      <c r="T87" s="20">
        <f>$I$41*$T$41</f>
        <v>0</v>
      </c>
      <c r="U87" s="20">
        <f>$I$41*$U$41</f>
        <v>0</v>
      </c>
      <c r="V87" s="20">
        <f>$I$41*$V$41</f>
        <v>3216.5317253698668</v>
      </c>
      <c r="X87" s="20">
        <f>$I$41*$X$41</f>
        <v>1211.7606156434649</v>
      </c>
      <c r="Y87" s="20">
        <f>$I$41*$Y$41</f>
        <v>6719.3119018620837</v>
      </c>
      <c r="Z87" s="20">
        <f>$I$41*$Z$41</f>
        <v>0</v>
      </c>
      <c r="AA87" s="20">
        <f>$I$41*$AA$41</f>
        <v>0</v>
      </c>
      <c r="AB87" s="20">
        <f>$I$41*$AB$41</f>
        <v>0</v>
      </c>
      <c r="AC87" s="20">
        <f>$I$41*$AC$41</f>
        <v>104614.48596104866</v>
      </c>
      <c r="AD87" s="20">
        <f>$I$41*$AD$41</f>
        <v>4534.0169090123782</v>
      </c>
      <c r="AE87" s="20">
        <f>$I$41*$AE$41</f>
        <v>5071.3541350365067</v>
      </c>
      <c r="AF87" s="20">
        <f>$I$41*$AF$41</f>
        <v>0</v>
      </c>
      <c r="AG87" s="20">
        <f>$I$41*$AG$41</f>
        <v>0</v>
      </c>
      <c r="AH87" s="20">
        <f>$I$41*$AH$41</f>
        <v>3008.7673765244294</v>
      </c>
    </row>
    <row r="88" spans="1:34" ht="11.25" customHeight="1" x14ac:dyDescent="0.25">
      <c r="A88" s="9" t="s">
        <v>39</v>
      </c>
      <c r="B88" s="9" t="s">
        <v>1217</v>
      </c>
      <c r="C88" s="9" t="s">
        <v>1218</v>
      </c>
      <c r="D88" s="9" t="s">
        <v>1219</v>
      </c>
      <c r="E88" s="9" t="s">
        <v>1220</v>
      </c>
      <c r="F88" s="9" t="s">
        <v>1221</v>
      </c>
      <c r="G88" s="9" t="s">
        <v>1222</v>
      </c>
      <c r="L88" s="20">
        <f>$I$42*$L$42</f>
        <v>72798.133838106442</v>
      </c>
      <c r="M88" s="20">
        <f>$I$42*$M$42</f>
        <v>745576.74321834452</v>
      </c>
      <c r="N88" s="20">
        <f>$I$42*$N$42</f>
        <v>0</v>
      </c>
      <c r="O88" s="20">
        <f>$I$42*$O$42</f>
        <v>171628.67671074951</v>
      </c>
      <c r="P88" s="20">
        <f>$I$42*$P$42</f>
        <v>-467566.55320271448</v>
      </c>
      <c r="Q88" s="20">
        <f>$I$42*$Q$42</f>
        <v>6573462.8129978068</v>
      </c>
      <c r="R88" s="20">
        <f>$I$42*$R$42</f>
        <v>289866.42004355759</v>
      </c>
      <c r="S88" s="20">
        <f>$I$42*$S$42</f>
        <v>191144.65469063123</v>
      </c>
      <c r="T88" s="20">
        <f>$I$42*$T$42</f>
        <v>0</v>
      </c>
      <c r="U88" s="20">
        <f>$I$42*$U$42</f>
        <v>0</v>
      </c>
      <c r="V88" s="20">
        <f>$I$42*$V$42</f>
        <v>208416.90035778523</v>
      </c>
      <c r="X88" s="20">
        <f>$I$42*$X$42</f>
        <v>78516.679781546933</v>
      </c>
      <c r="Y88" s="20">
        <f>$I$42*$Y$42</f>
        <v>435381.42281566863</v>
      </c>
      <c r="Z88" s="20">
        <f>$I$42*$Z$42</f>
        <v>0</v>
      </c>
      <c r="AA88" s="20">
        <f>$I$42*$AA$42</f>
        <v>0</v>
      </c>
      <c r="AB88" s="20">
        <f>$I$42*$AB$42</f>
        <v>0</v>
      </c>
      <c r="AC88" s="20">
        <f>$I$42*$AC$42</f>
        <v>7185264.9013305577</v>
      </c>
      <c r="AD88" s="20">
        <f>$I$42*$AD$42</f>
        <v>293784.06029478385</v>
      </c>
      <c r="AE88" s="20">
        <f>$I$42*$AE$42</f>
        <v>328601.11439423379</v>
      </c>
      <c r="AF88" s="20">
        <f>$I$42*$AF$42</f>
        <v>0</v>
      </c>
      <c r="AG88" s="20">
        <f>$I$42*$AG$42</f>
        <v>0</v>
      </c>
      <c r="AH88" s="20">
        <f>$I$42*$AH$42</f>
        <v>194954.69780909421</v>
      </c>
    </row>
    <row r="89" spans="1:34" ht="11.25" customHeight="1" x14ac:dyDescent="0.25">
      <c r="A89" s="9" t="s">
        <v>39</v>
      </c>
      <c r="B89" s="9" t="s">
        <v>1223</v>
      </c>
      <c r="C89" s="9" t="s">
        <v>1224</v>
      </c>
      <c r="D89" s="9" t="s">
        <v>1225</v>
      </c>
      <c r="E89" s="9" t="s">
        <v>1226</v>
      </c>
      <c r="F89" s="9" t="s">
        <v>1227</v>
      </c>
      <c r="G89" s="9" t="s">
        <v>1228</v>
      </c>
      <c r="L89" s="20">
        <f>$I$43*$L$43</f>
        <v>0</v>
      </c>
      <c r="M89" s="20">
        <f>$I$43*$M$43</f>
        <v>0</v>
      </c>
      <c r="N89" s="20">
        <f>$I$43*$N$43</f>
        <v>0</v>
      </c>
      <c r="O89" s="20">
        <f>$I$43*$O$43</f>
        <v>0</v>
      </c>
      <c r="P89" s="20">
        <f>$I$43*$P$43</f>
        <v>0</v>
      </c>
      <c r="Q89" s="20">
        <f>$I$43*$Q$43</f>
        <v>0</v>
      </c>
      <c r="R89" s="20">
        <f>$I$43*$R$43</f>
        <v>0</v>
      </c>
      <c r="S89" s="20">
        <f>$I$43*$S$43</f>
        <v>0</v>
      </c>
      <c r="T89" s="20">
        <f>$I$43*$T$43</f>
        <v>0</v>
      </c>
      <c r="U89" s="20">
        <f>$I$43*$U$43</f>
        <v>0</v>
      </c>
      <c r="V89" s="20">
        <f>$I$43*$V$43</f>
        <v>0</v>
      </c>
      <c r="X89" s="20">
        <f>$I$43*$X$43</f>
        <v>0</v>
      </c>
      <c r="Y89" s="20">
        <f>$I$43*$Y$43</f>
        <v>0</v>
      </c>
      <c r="Z89" s="20">
        <f>$I$43*$Z$43</f>
        <v>0</v>
      </c>
      <c r="AA89" s="20">
        <f>$I$43*$AA$43</f>
        <v>0</v>
      </c>
      <c r="AB89" s="20">
        <f>$I$43*$AB$43</f>
        <v>0</v>
      </c>
      <c r="AC89" s="20">
        <f>$I$43*$AC$43</f>
        <v>0</v>
      </c>
      <c r="AD89" s="20">
        <f>$I$43*$AD$43</f>
        <v>0</v>
      </c>
      <c r="AE89" s="20">
        <f>$I$43*$AE$43</f>
        <v>0</v>
      </c>
      <c r="AF89" s="20">
        <f>$I$43*$AF$43</f>
        <v>0</v>
      </c>
      <c r="AG89" s="20">
        <f>$I$43*$AG$43</f>
        <v>0</v>
      </c>
      <c r="AH89" s="20">
        <f>$I$43*$AH$43</f>
        <v>0</v>
      </c>
    </row>
    <row r="90" spans="1:34" ht="11.25" customHeight="1" x14ac:dyDescent="0.25">
      <c r="A90" s="9" t="s">
        <v>47</v>
      </c>
      <c r="B90" s="9" t="s">
        <v>1229</v>
      </c>
      <c r="C90" s="9" t="s">
        <v>1230</v>
      </c>
      <c r="D90" s="9" t="s">
        <v>1231</v>
      </c>
      <c r="E90" s="9" t="s">
        <v>1232</v>
      </c>
      <c r="F90" s="9" t="s">
        <v>1233</v>
      </c>
      <c r="G90" s="9" t="s">
        <v>1234</v>
      </c>
      <c r="L90" s="20">
        <f>$I$44*$L$44</f>
        <v>17069.226881123537</v>
      </c>
      <c r="M90" s="20">
        <f>$I$44*$M$44</f>
        <v>174817.92343173246</v>
      </c>
      <c r="N90" s="20">
        <f>$I$44*$N$44</f>
        <v>0</v>
      </c>
      <c r="O90" s="20">
        <f>$I$44*$O$44</f>
        <v>40242.36155006069</v>
      </c>
      <c r="P90" s="20">
        <f>$I$44*$P$44</f>
        <v>-109631.92540609289</v>
      </c>
      <c r="Q90" s="20">
        <f>$I$44*$Q$44</f>
        <v>1541302.2591927287</v>
      </c>
      <c r="R90" s="20">
        <f>$I$44*$R$44</f>
        <v>67965.968742355297</v>
      </c>
      <c r="S90" s="20">
        <f>$I$44*$S$44</f>
        <v>44818.339509694015</v>
      </c>
      <c r="T90" s="20">
        <f>$I$44*$T$44</f>
        <v>0</v>
      </c>
      <c r="U90" s="20">
        <f>$I$44*$U$44</f>
        <v>0</v>
      </c>
      <c r="V90" s="20">
        <f>$I$44*$V$44</f>
        <v>48868.221896717892</v>
      </c>
      <c r="X90" s="20">
        <f>$I$44*$X$44</f>
        <v>18410.07386431389</v>
      </c>
      <c r="Y90" s="20">
        <f>$I$44*$Y$44</f>
        <v>102085.36804520266</v>
      </c>
      <c r="Z90" s="20">
        <f>$I$44*$Z$44</f>
        <v>0</v>
      </c>
      <c r="AA90" s="20">
        <f>$I$44*$AA$44</f>
        <v>0</v>
      </c>
      <c r="AB90" s="20">
        <f>$I$44*$AB$44</f>
        <v>0</v>
      </c>
      <c r="AC90" s="20">
        <f>$I$44*$AC$44</f>
        <v>1684753.5827571524</v>
      </c>
      <c r="AD90" s="20">
        <f>$I$44*$AD$44</f>
        <v>68884.551221894304</v>
      </c>
      <c r="AE90" s="20">
        <f>$I$44*$AE$44</f>
        <v>77048.224717666439</v>
      </c>
      <c r="AF90" s="20">
        <f>$I$44*$AF$44</f>
        <v>0</v>
      </c>
      <c r="AG90" s="20">
        <f>$I$44*$AG$44</f>
        <v>0</v>
      </c>
      <c r="AH90" s="20">
        <f>$I$44*$AH$44</f>
        <v>45711.693322314284</v>
      </c>
    </row>
    <row r="91" spans="1:34" ht="11.25" customHeight="1" x14ac:dyDescent="0.25">
      <c r="A91" s="9" t="s">
        <v>47</v>
      </c>
      <c r="B91" s="9" t="s">
        <v>1229</v>
      </c>
      <c r="C91" s="9" t="s">
        <v>1230</v>
      </c>
      <c r="D91" s="9" t="s">
        <v>1235</v>
      </c>
      <c r="E91" s="9" t="s">
        <v>1236</v>
      </c>
      <c r="F91" s="9" t="s">
        <v>1237</v>
      </c>
      <c r="G91" s="9" t="s">
        <v>1238</v>
      </c>
      <c r="L91" s="20">
        <f>$I$45*$L$45</f>
        <v>0</v>
      </c>
      <c r="M91" s="20">
        <f>$I$45*$M$45</f>
        <v>0</v>
      </c>
      <c r="N91" s="20">
        <f>$I$45*$N$45</f>
        <v>0</v>
      </c>
      <c r="O91" s="20">
        <f>$I$45*$O$45</f>
        <v>0</v>
      </c>
      <c r="P91" s="20">
        <f>$I$45*$P$45</f>
        <v>0</v>
      </c>
      <c r="Q91" s="20">
        <f>$I$45*$Q$45</f>
        <v>0</v>
      </c>
      <c r="R91" s="20">
        <f>$I$45*$R$45</f>
        <v>0</v>
      </c>
      <c r="S91" s="20">
        <f>$I$45*$S$45</f>
        <v>0</v>
      </c>
      <c r="T91" s="20">
        <f>$I$45*$T$45</f>
        <v>0</v>
      </c>
      <c r="U91" s="20">
        <f>$I$45*$U$45</f>
        <v>0</v>
      </c>
      <c r="V91" s="20">
        <f>$I$45*$V$45</f>
        <v>0</v>
      </c>
      <c r="X91" s="20">
        <f>$I$45*$X$45</f>
        <v>0</v>
      </c>
      <c r="Y91" s="20">
        <f>$I$45*$Y$45</f>
        <v>0</v>
      </c>
      <c r="Z91" s="20">
        <f>$I$45*$Z$45</f>
        <v>0</v>
      </c>
      <c r="AA91" s="20">
        <f>$I$45*$AA$45</f>
        <v>0</v>
      </c>
      <c r="AB91" s="20">
        <f>$I$45*$AB$45</f>
        <v>0</v>
      </c>
      <c r="AC91" s="20">
        <f>$I$45*$AC$45</f>
        <v>0</v>
      </c>
      <c r="AD91" s="20">
        <f>$I$45*$AD$45</f>
        <v>0</v>
      </c>
      <c r="AE91" s="20">
        <f>$I$45*$AE$45</f>
        <v>0</v>
      </c>
      <c r="AF91" s="20">
        <f>$I$45*$AF$45</f>
        <v>0</v>
      </c>
      <c r="AG91" s="20">
        <f>$I$45*$AG$45</f>
        <v>0</v>
      </c>
      <c r="AH91" s="20">
        <f>$I$45*$AH$45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V1"/>
    <mergeCell ref="L2:V2"/>
    <mergeCell ref="L3:P3"/>
    <mergeCell ref="R3:T3"/>
    <mergeCell ref="A5:A7"/>
    <mergeCell ref="B5:B6"/>
    <mergeCell ref="C5:C6"/>
    <mergeCell ref="D5:D6"/>
    <mergeCell ref="E5:E6"/>
    <mergeCell ref="A8:A10"/>
    <mergeCell ref="B8:B9"/>
    <mergeCell ref="C8:C9"/>
    <mergeCell ref="D8:D9"/>
    <mergeCell ref="E8:E9"/>
    <mergeCell ref="A11:A23"/>
    <mergeCell ref="B11:B13"/>
    <mergeCell ref="C11:C13"/>
    <mergeCell ref="D11:D13"/>
    <mergeCell ref="E11:E13"/>
    <mergeCell ref="B14:B18"/>
    <mergeCell ref="C14:C18"/>
    <mergeCell ref="B19:B23"/>
    <mergeCell ref="C19:C23"/>
    <mergeCell ref="A24:A38"/>
    <mergeCell ref="B24:B26"/>
    <mergeCell ref="C24:C26"/>
    <mergeCell ref="D24:D26"/>
    <mergeCell ref="E24:E26"/>
    <mergeCell ref="B28:B30"/>
    <mergeCell ref="C28:C30"/>
    <mergeCell ref="D28:D30"/>
    <mergeCell ref="E28:E30"/>
    <mergeCell ref="X1:AH1"/>
    <mergeCell ref="X2:AH2"/>
    <mergeCell ref="X3:AB3"/>
    <mergeCell ref="AD3:AF3"/>
    <mergeCell ref="B36:B38"/>
    <mergeCell ref="C36:C38"/>
    <mergeCell ref="F28:F30"/>
    <mergeCell ref="B32:B34"/>
    <mergeCell ref="C32:C34"/>
    <mergeCell ref="D32:D34"/>
    <mergeCell ref="E32:E34"/>
    <mergeCell ref="F32:F34"/>
    <mergeCell ref="F24:F26"/>
    <mergeCell ref="F11:F13"/>
    <mergeCell ref="F8:F9"/>
    <mergeCell ref="F5:F6"/>
    <mergeCell ref="E39:E41"/>
    <mergeCell ref="F39:F41"/>
    <mergeCell ref="A44:A45"/>
    <mergeCell ref="B44:B45"/>
    <mergeCell ref="C44:C45"/>
    <mergeCell ref="A39:A43"/>
    <mergeCell ref="B39:B41"/>
    <mergeCell ref="C39:C41"/>
    <mergeCell ref="D39:D41"/>
    <mergeCell ref="L47:V47"/>
    <mergeCell ref="X47:AH47"/>
    <mergeCell ref="L48:V48"/>
    <mergeCell ref="X48:AH48"/>
    <mergeCell ref="L49:P49"/>
    <mergeCell ref="R49:T49"/>
    <mergeCell ref="X49:AB49"/>
    <mergeCell ref="AD49:AF49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7B96-F2E6-4B27-8DC1-DED4CA2ECC1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9.5703125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7.85546875" style="14" bestFit="1" customWidth="1"/>
    <col min="24" max="24" width="10.85546875" style="14" bestFit="1" customWidth="1"/>
    <col min="25" max="26" width="9.140625" style="14"/>
    <col min="27" max="27" width="3.85546875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61</v>
      </c>
      <c r="B1" s="14" t="s">
        <v>62</v>
      </c>
      <c r="C1" s="14" t="s">
        <v>63</v>
      </c>
      <c r="D1" s="14" t="s">
        <v>64</v>
      </c>
      <c r="E1" s="14" t="s">
        <v>65</v>
      </c>
      <c r="F1" s="14" t="s">
        <v>15</v>
      </c>
      <c r="G1" s="14" t="s">
        <v>67</v>
      </c>
      <c r="I1" s="14" t="s">
        <v>1246</v>
      </c>
      <c r="AA1" s="14" t="s">
        <v>42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42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A3a</v>
      </c>
      <c r="AA2" s="14" t="s">
        <v>33</v>
      </c>
      <c r="AB2" s="14" t="s">
        <v>41</v>
      </c>
      <c r="AC2" s="14" t="s">
        <v>24</v>
      </c>
      <c r="AD2" s="14" t="s">
        <v>24</v>
      </c>
      <c r="AE2" s="14" t="s">
        <v>79</v>
      </c>
      <c r="AG2" s="14" t="s">
        <v>77</v>
      </c>
    </row>
    <row r="3" spans="1:33" x14ac:dyDescent="0.2">
      <c r="AA3" s="14" t="s">
        <v>81</v>
      </c>
      <c r="AB3" s="14" t="s">
        <v>80</v>
      </c>
      <c r="AC3" s="14" t="s">
        <v>45</v>
      </c>
      <c r="AD3" s="14" t="s">
        <v>29</v>
      </c>
      <c r="AE3" s="14" t="s">
        <v>82</v>
      </c>
      <c r="AG3" s="14" t="s">
        <v>78</v>
      </c>
    </row>
    <row r="4" spans="1:33" x14ac:dyDescent="0.2">
      <c r="AA4" s="14" t="s">
        <v>22</v>
      </c>
      <c r="AB4" s="14" t="s">
        <v>34</v>
      </c>
      <c r="AC4" s="14" t="s">
        <v>48</v>
      </c>
      <c r="AD4" s="14" t="s">
        <v>30</v>
      </c>
      <c r="AE4" s="14" t="s">
        <v>83</v>
      </c>
      <c r="AG4" s="14" t="s">
        <v>75</v>
      </c>
    </row>
    <row r="5" spans="1:33" x14ac:dyDescent="0.2">
      <c r="A5" s="14" t="s">
        <v>1239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619</v>
      </c>
      <c r="AA5" s="14" t="s">
        <v>44</v>
      </c>
      <c r="AB5" s="14" t="s">
        <v>36</v>
      </c>
      <c r="AD5" s="14" t="s">
        <v>31</v>
      </c>
      <c r="AG5" s="14" t="s">
        <v>9</v>
      </c>
    </row>
    <row r="6" spans="1:33" x14ac:dyDescent="0.2">
      <c r="A6" s="14" t="s">
        <v>1240</v>
      </c>
      <c r="B6" s="39">
        <f>SUM(TUSD!$AI$67:'TUSD'!$AI$123)</f>
        <v>1030421.9354811081</v>
      </c>
      <c r="C6" s="39">
        <f>SUM(TUSD!$AJ$67:'TUSD'!$AJ$123)</f>
        <v>99895.140787308177</v>
      </c>
      <c r="D6" s="39">
        <f>SUM(TUSD!$AK$67:'TUSD'!$AK$123)</f>
        <v>588102.28916455957</v>
      </c>
      <c r="E6" s="39">
        <f>SUM(TUSD!$AL$67:'TUSD'!$AL$123)</f>
        <v>0</v>
      </c>
      <c r="F6" s="39">
        <f>SUM(TUSD!$AM$67:'TUSD'!$AM$123)</f>
        <v>0</v>
      </c>
      <c r="G6" s="39">
        <f>SUM(TUSD!$AN$67:'TUSD'!$AN$123)</f>
        <v>17696707.951219875</v>
      </c>
      <c r="H6" s="39">
        <f>SUM(TUSD!$AO$67:'TUSD'!$AO$123)</f>
        <v>2998960.0629263371</v>
      </c>
      <c r="I6" s="39">
        <f>SUM(TUSD!$AP$67:'TUSD'!$AP$123)</f>
        <v>0</v>
      </c>
      <c r="J6" s="39">
        <f>SUM(TUSD!$AQ$67:'TUSD'!$AQ$123)</f>
        <v>0</v>
      </c>
      <c r="K6" s="39">
        <f>SUM(TUSD!$AR$67:'TUSD'!$AR$123)</f>
        <v>0</v>
      </c>
      <c r="L6" s="39">
        <f>SUM(TUSD!$AS$67:'TUSD'!$AS$123)</f>
        <v>0</v>
      </c>
      <c r="M6" s="39">
        <f>SUM(TUSD!$AT$67:'TUSD'!$AT$123)</f>
        <v>0</v>
      </c>
      <c r="N6" s="39">
        <f>SUM(TUSD!$AU$67:'TUSD'!$AU$123)</f>
        <v>23851007.076645486</v>
      </c>
      <c r="O6" s="39">
        <f>SUM(TUSD!$AV$67:'TUSD'!$AV$123)</f>
        <v>0</v>
      </c>
      <c r="P6" s="39">
        <f>SUM(TUSD!$AW$67:'TUSD'!$AW$123)</f>
        <v>0</v>
      </c>
      <c r="Q6" s="39">
        <f>SUM(TUSD!$AX$67:'TUSD'!$AX$123)</f>
        <v>23691886.83464288</v>
      </c>
      <c r="R6" s="39">
        <f>SUM(TUSD!$AY$67:'TUSD'!$AY$123)</f>
        <v>0</v>
      </c>
      <c r="S6" s="39">
        <f>SUM(TUSD!$AZ$67:'TUSD'!$AZ$123)</f>
        <v>0</v>
      </c>
      <c r="T6" s="39">
        <f>SUM(TUSD!$BA$67:'TUSD'!$BA$123)</f>
        <v>3657510.2142621661</v>
      </c>
      <c r="U6" s="39">
        <f>SUM(TUSD!$BB$67:'TUSD'!$BB$123)</f>
        <v>115228.45291198217</v>
      </c>
      <c r="V6" s="39">
        <f>SUM(TUSD!$BC$67:'TUSD'!$BC$123)</f>
        <v>571818.19175765791</v>
      </c>
      <c r="W6" s="39">
        <f>SUM(TUSD!$BD$67:'TUSD'!$BD$123)</f>
        <v>100549.9016858434</v>
      </c>
      <c r="X6" s="39">
        <f t="shared" ref="X6:X11" si="0">SUM(B6:W6)</f>
        <v>74402088.051485226</v>
      </c>
      <c r="AA6" s="14" t="s">
        <v>39</v>
      </c>
      <c r="AB6" s="14" t="s">
        <v>23</v>
      </c>
      <c r="AD6" s="14" t="s">
        <v>32</v>
      </c>
      <c r="AG6" s="14" t="s">
        <v>72</v>
      </c>
    </row>
    <row r="7" spans="1:33" x14ac:dyDescent="0.2">
      <c r="A7" s="14" t="s">
        <v>1241</v>
      </c>
      <c r="B7" s="39">
        <f>SUM(TUSD!$L$67:'TUSD'!$L$123)</f>
        <v>402200.05428244756</v>
      </c>
      <c r="C7" s="39">
        <f>SUM(TUSD!$M$67:'TUSD'!$M$123)</f>
        <v>119122.42224180116</v>
      </c>
      <c r="D7" s="39">
        <f ca="1">SUM(TUSD!$N$67:'TUSD'!$N$123)</f>
        <v>691189.83434638265</v>
      </c>
      <c r="E7" s="39">
        <f>SUM(TUSD!$O$67:'TUSD'!$O$123)</f>
        <v>0</v>
      </c>
      <c r="F7" s="39">
        <f>SUM(TUSD!$P$67:'TUSD'!$P$123)</f>
        <v>0</v>
      </c>
      <c r="G7" s="39">
        <f>SUM(TUSD!$Q$67:'TUSD'!$Q$123)</f>
        <v>30815307.668547697</v>
      </c>
      <c r="H7" s="39">
        <f>SUM(TUSD!$R$67:'TUSD'!$R$123)</f>
        <v>5798204.8962517492</v>
      </c>
      <c r="I7" s="39">
        <f>SUM(TUSD!$S$67:'TUSD'!$S$123)</f>
        <v>0</v>
      </c>
      <c r="J7" s="39">
        <f>SUM(TUSD!$T$67:'TUSD'!$T$123)</f>
        <v>0</v>
      </c>
      <c r="K7" s="39">
        <f>SUM(TUSD!$U$67:'TUSD'!$U$123)</f>
        <v>0</v>
      </c>
      <c r="L7" s="39">
        <f>SUM(TUSD!$V$67:'TUSD'!$V$123)</f>
        <v>0</v>
      </c>
      <c r="M7" s="39">
        <f>SUM(TUSD!$W$67:'TUSD'!$W$123)</f>
        <v>0</v>
      </c>
      <c r="N7" s="39">
        <f>SUM(TUSD!$X$67:'TUSD'!$X$123)</f>
        <v>27294257.773246784</v>
      </c>
      <c r="O7" s="39">
        <f>SUM(TUSD!$Y$67:'TUSD'!$Y$123)</f>
        <v>0</v>
      </c>
      <c r="P7" s="39">
        <f>SUM(TUSD!$Z$67:'TUSD'!$Z$123)</f>
        <v>0</v>
      </c>
      <c r="Q7" s="39">
        <f>SUM(TUSD!$AA$67:'TUSD'!$AA$123)</f>
        <v>27523641.237462893</v>
      </c>
      <c r="R7" s="39">
        <f ca="1">SUM(TUSD!$AB$67:'TUSD'!$AB$123)</f>
        <v>0</v>
      </c>
      <c r="S7" s="39">
        <f ca="1">SUM(TUSD!$AC$67:'TUSD'!$AC$123)</f>
        <v>0</v>
      </c>
      <c r="T7" s="39">
        <f>SUM(TUSD!$AD$67:'TUSD'!$AD$123)</f>
        <v>3360883.3771225223</v>
      </c>
      <c r="U7" s="39">
        <f>SUM(TUSD!$AE$67:'TUSD'!$AE$123)</f>
        <v>123510.36778568853</v>
      </c>
      <c r="V7" s="39">
        <f ca="1">SUM(TUSD!$AF$67:'TUSD'!$AF$123)</f>
        <v>522769.585926058</v>
      </c>
      <c r="W7" s="39">
        <f ca="1">SUM(TUSD!$AG$67:'TUSD'!$AG$123)</f>
        <v>95181.053049963492</v>
      </c>
      <c r="X7" s="39">
        <f t="shared" ca="1" si="0"/>
        <v>96746268.270263985</v>
      </c>
      <c r="AA7" s="14" t="s">
        <v>47</v>
      </c>
      <c r="AB7" s="14" t="s">
        <v>86</v>
      </c>
      <c r="AD7" s="14" t="s">
        <v>87</v>
      </c>
      <c r="AG7" s="14" t="s">
        <v>73</v>
      </c>
    </row>
    <row r="8" spans="1:33" x14ac:dyDescent="0.2">
      <c r="A8" s="14" t="s">
        <v>1244</v>
      </c>
      <c r="B8" s="39">
        <f>IF($G$2&lt;&gt;"Não se aplica",SUMIF(TUSD!$G$67:'TUSD'!$G$123,$I$2,TUSD!$AI$67:'TUSD'!$AI$123),IF($F$2&lt;&gt;"Não se aplica",SUMIF(TUSD!$F$67:'TUSD'!$F$123,$I$2,TUSD!$AI$67:'TUSD'!$AI$123),IF($E$2&lt;&gt;"Não se aplica",SUMIF(TUSD!$E$67:'TUSD'!$E$123,$I$2,TUSD!$AI$67:'TUSD'!$AI$123),IF($D$2&lt;&gt;"Não se aplica",SUMIF(TUSD!$D$67:'TUSD'!$D$123,$I$2,TUSD!$AI$67:'TUSD'!$AI$123),IF($C$2&lt;&gt;"Não se aplica",SUMIF(TUSD!$C$67:'TUSD'!$C$123,$I$2,TUSD!$AI$67:'TUSD'!$AI$123),IF($B$2&lt;&gt;"Não se aplica",SUMIF(TUSD!$B$67:'TUSD'!$B$123,$I$2,TUSD!$AI$67:'TUSD'!$AI$123),SUMIF(TUSD!$A$67:'TUSD'!$A$123,$I$2,TUSD!$AI$67:'TUSD'!$AI$123)))))))</f>
        <v>26741.734550741985</v>
      </c>
      <c r="C8" s="39">
        <f>IF($G$2&lt;&gt;"Não se aplica",SUMIF(TUSD!$G$67:'TUSD'!$G$123,$I$2,TUSD!$AJ$67:'TUSD'!$AJ$123),IF($F$2&lt;&gt;"Não se aplica",SUMIF(TUSD!$F$67:'TUSD'!$F$123,$I$2,TUSD!$AJ$67:'TUSD'!$AJ$123),IF($E$2&lt;&gt;"Não se aplica",SUMIF(TUSD!$E$67:'TUSD'!$E$123,$I$2,TUSD!$AJ$67:'TUSD'!$AJ$123),IF($D$2&lt;&gt;"Não se aplica",SUMIF(TUSD!$D$67:'TUSD'!$D$123,$I$2,TUSD!$AJ$67:'TUSD'!$AJ$123),IF($C$2&lt;&gt;"Não se aplica",SUMIF(TUSD!$C$67:'TUSD'!$C$123,$I$2,TUSD!$AJ$67:'TUSD'!$AJ$123),IF($B$2&lt;&gt;"Não se aplica",SUMIF(TUSD!$B$67:'TUSD'!$B$123,$I$2,TUSD!$AJ$67:'TUSD'!$AJ$123),SUMIF(TUSD!$A$67:'TUSD'!$A$123,$I$2,TUSD!$AJ$67:'TUSD'!$AJ$123)))))))</f>
        <v>1283.0428631685738</v>
      </c>
      <c r="D8" s="39">
        <f>IF($G$2&lt;&gt;"Não se aplica",SUMIF(TUSD!$G$67:'TUSD'!$G$123,$I$2,TUSD!$AK$67:'TUSD'!$AK$123),IF($F$2&lt;&gt;"Não se aplica",SUMIF(TUSD!$F$67:'TUSD'!$F$123,$I$2,TUSD!$AK$67:'TUSD'!$AK$123),IF($E$2&lt;&gt;"Não se aplica",SUMIF(TUSD!$E$67:'TUSD'!$E$123,$I$2,TUSD!$AK$67:'TUSD'!$AK$123),IF($D$2&lt;&gt;"Não se aplica",SUMIF(TUSD!$D$67:'TUSD'!$D$123,$I$2,TUSD!$AK$67:'TUSD'!$AK$123),IF($C$2&lt;&gt;"Não se aplica",SUMIF(TUSD!$C$67:'TUSD'!$C$123,$I$2,TUSD!$AK$67:'TUSD'!$AK$123),IF($B$2&lt;&gt;"Não se aplica",SUMIF(TUSD!$B$67:'TUSD'!$B$123,$I$2,TUSD!$AK$67:'TUSD'!$AK$123),SUMIF(TUSD!$A$67:'TUSD'!$A$123,$I$2,TUSD!$AK$67:'TUSD'!$AK$123)))))))</f>
        <v>8806.7693969751108</v>
      </c>
      <c r="E8" s="39">
        <f>IF($G$2&lt;&gt;"Não se aplica",SUMIF(TUSD!$G$67:'TUSD'!$G$123,$I$2,TUSD!$AL$67:'TUSD'!$AL$123),IF($F$2&lt;&gt;"Não se aplica",SUMIF(TUSD!$F$67:'TUSD'!$F$123,$I$2,TUSD!$AL$67:'TUSD'!$AL$123),IF($E$2&lt;&gt;"Não se aplica",SUMIF(TUSD!$E$67:'TUSD'!$E$123,$I$2,TUSD!$AL$67:'TUSD'!$AL$123),IF($D$2&lt;&gt;"Não se aplica",SUMIF(TUSD!$D$67:'TUSD'!$D$123,$I$2,TUSD!$AL$67:'TUSD'!$AL$123),IF($C$2&lt;&gt;"Não se aplica",SUMIF(TUSD!$C$67:'TUSD'!$C$123,$I$2,TUSD!$AL$67:'TUSD'!$AL$123),IF($B$2&lt;&gt;"Não se aplica",SUMIF(TUSD!$B$67:'TUSD'!$B$123,$I$2,TUSD!$AL$67:'TUSD'!$AL$123),SUMIF(TUSD!$A$67:'TUSD'!$A$123,$I$2,TUSD!$AL$67:'TUSD'!$AL$123)))))))</f>
        <v>0</v>
      </c>
      <c r="F8" s="39">
        <f>IF($G$2&lt;&gt;"Não se aplica",SUMIF(TUSD!$G$67:'TUSD'!$G$123,$I$2,TUSD!$AM$67:'TUSD'!$AM$123),IF($F$2&lt;&gt;"Não se aplica",SUMIF(TUSD!$F$67:'TUSD'!$F$123,$I$2,TUSD!$AM$67:'TUSD'!$AM$123),IF($E$2&lt;&gt;"Não se aplica",SUMIF(TUSD!$E$67:'TUSD'!$E$123,$I$2,TUSD!$AM$67:'TUSD'!$AM$123),IF($D$2&lt;&gt;"Não se aplica",SUMIF(TUSD!$D$67:'TUSD'!$D$123,$I$2,TUSD!$AM$67:'TUSD'!$AM$123),IF($C$2&lt;&gt;"Não se aplica",SUMIF(TUSD!$C$67:'TUSD'!$C$123,$I$2,TUSD!$AM$67:'TUSD'!$AM$123),IF($B$2&lt;&gt;"Não se aplica",SUMIF(TUSD!$B$67:'TUSD'!$B$123,$I$2,TUSD!$AM$67:'TUSD'!$AM$123),SUMIF(TUSD!$A$67:'TUSD'!$A$123,$I$2,TUSD!$AM$67:'TUSD'!$AM$123)))))))</f>
        <v>0</v>
      </c>
      <c r="G8" s="39">
        <f>IF($G$2&lt;&gt;"Não se aplica",SUMIF(TUSD!$G$67:'TUSD'!$G$123,$I$2,TUSD!$AN$67:'TUSD'!$AN$123),IF($F$2&lt;&gt;"Não se aplica",SUMIF(TUSD!$F$67:'TUSD'!$F$123,$I$2,TUSD!$AN$67:'TUSD'!$AN$123),IF($E$2&lt;&gt;"Não se aplica",SUMIF(TUSD!$E$67:'TUSD'!$E$123,$I$2,TUSD!$AN$67:'TUSD'!$AN$123),IF($D$2&lt;&gt;"Não se aplica",SUMIF(TUSD!$D$67:'TUSD'!$D$123,$I$2,TUSD!$AN$67:'TUSD'!$AN$123),IF($C$2&lt;&gt;"Não se aplica",SUMIF(TUSD!$C$67:'TUSD'!$C$123,$I$2,TUSD!$AN$67:'TUSD'!$AN$123),IF($B$2&lt;&gt;"Não se aplica",SUMIF(TUSD!$B$67:'TUSD'!$B$123,$I$2,TUSD!$AN$67:'TUSD'!$AN$123),SUMIF(TUSD!$A$67:'TUSD'!$A$123,$I$2,TUSD!$AN$67:'TUSD'!$AN$123)))))))</f>
        <v>459268.82004173269</v>
      </c>
      <c r="H8" s="39">
        <f>IF($G$2&lt;&gt;"Não se aplica",SUMIF(TUSD!$G$67:'TUSD'!$G$123,$I$2,TUSD!$AO$67:'TUSD'!$AO$123),IF($F$2&lt;&gt;"Não se aplica",SUMIF(TUSD!$F$67:'TUSD'!$F$123,$I$2,TUSD!$AO$67:'TUSD'!$AO$123),IF($E$2&lt;&gt;"Não se aplica",SUMIF(TUSD!$E$67:'TUSD'!$E$123,$I$2,TUSD!$AO$67:'TUSD'!$AO$123),IF($D$2&lt;&gt;"Não se aplica",SUMIF(TUSD!$D$67:'TUSD'!$D$123,$I$2,TUSD!$AO$67:'TUSD'!$AO$123),IF($C$2&lt;&gt;"Não se aplica",SUMIF(TUSD!$C$67:'TUSD'!$C$123,$I$2,TUSD!$AO$67:'TUSD'!$AO$123),IF($B$2&lt;&gt;"Não se aplica",SUMIF(TUSD!$B$67:'TUSD'!$B$123,$I$2,TUSD!$AO$67:'TUSD'!$AO$123),SUMIF(TUSD!$A$67:'TUSD'!$A$123,$I$2,TUSD!$AO$67:'TUSD'!$AO$123)))))))</f>
        <v>82184.99146550741</v>
      </c>
      <c r="I8" s="39">
        <f>IF($G$2&lt;&gt;"Não se aplica",SUMIF(TUSD!$G$67:'TUSD'!$G$123,$I$2,TUSD!$AP$67:'TUSD'!$AP$123),IF($F$2&lt;&gt;"Não se aplica",SUMIF(TUSD!$F$67:'TUSD'!$F$123,$I$2,TUSD!$AP$67:'TUSD'!$AP$123),IF($E$2&lt;&gt;"Não se aplica",SUMIF(TUSD!$E$67:'TUSD'!$E$123,$I$2,TUSD!$AP$67:'TUSD'!$AP$123),IF($D$2&lt;&gt;"Não se aplica",SUMIF(TUSD!$D$67:'TUSD'!$D$123,$I$2,TUSD!$AP$67:'TUSD'!$AP$123),IF($C$2&lt;&gt;"Não se aplica",SUMIF(TUSD!$C$67:'TUSD'!$C$123,$I$2,TUSD!$AP$67:'TUSD'!$AP$123),IF($B$2&lt;&gt;"Não se aplica",SUMIF(TUSD!$B$67:'TUSD'!$B$123,$I$2,TUSD!$AP$67:'TUSD'!$AP$123),SUMIF(TUSD!$A$67:'TUSD'!$A$123,$I$2,TUSD!$AP$67:'TUSD'!$AP$123)))))))</f>
        <v>0</v>
      </c>
      <c r="J8" s="39">
        <f>IF($G$2&lt;&gt;"Não se aplica",SUMIF(TUSD!$G$67:'TUSD'!$G$123,$I$2,TUSD!$AQ$67:'TUSD'!$AQ$123),IF($F$2&lt;&gt;"Não se aplica",SUMIF(TUSD!$F$67:'TUSD'!$F$123,$I$2,TUSD!$AQ$67:'TUSD'!$AQ$123),IF($E$2&lt;&gt;"Não se aplica",SUMIF(TUSD!$E$67:'TUSD'!$E$123,$I$2,TUSD!$AQ$67:'TUSD'!$AQ$123),IF($D$2&lt;&gt;"Não se aplica",SUMIF(TUSD!$D$67:'TUSD'!$D$123,$I$2,TUSD!$AQ$67:'TUSD'!$AQ$123),IF($C$2&lt;&gt;"Não se aplica",SUMIF(TUSD!$C$67:'TUSD'!$C$123,$I$2,TUSD!$AQ$67:'TUSD'!$AQ$123),IF($B$2&lt;&gt;"Não se aplica",SUMIF(TUSD!$B$67:'TUSD'!$B$123,$I$2,TUSD!$AQ$67:'TUSD'!$AQ$123),SUMIF(TUSD!$A$67:'TUSD'!$A$123,$I$2,TUSD!$AQ$67:'TUSD'!$AQ$123)))))))</f>
        <v>0</v>
      </c>
      <c r="K8" s="39">
        <f>IF($G$2&lt;&gt;"Não se aplica",SUMIF(TUSD!$G$67:'TUSD'!$G$123,$I$2,TUSD!$AR$67:'TUSD'!$AR$123),IF($F$2&lt;&gt;"Não se aplica",SUMIF(TUSD!$F$67:'TUSD'!$F$123,$I$2,TUSD!$AR$67:'TUSD'!$AR$123),IF($E$2&lt;&gt;"Não se aplica",SUMIF(TUSD!$E$67:'TUSD'!$E$123,$I$2,TUSD!$AR$67:'TUSD'!$AR$123),IF($D$2&lt;&gt;"Não se aplica",SUMIF(TUSD!$D$67:'TUSD'!$D$123,$I$2,TUSD!$AR$67:'TUSD'!$AR$123),IF($C$2&lt;&gt;"Não se aplica",SUMIF(TUSD!$C$67:'TUSD'!$C$123,$I$2,TUSD!$AR$67:'TUSD'!$AR$123),IF($B$2&lt;&gt;"Não se aplica",SUMIF(TUSD!$B$67:'TUSD'!$B$123,$I$2,TUSD!$AR$67:'TUSD'!$AR$123),SUMIF(TUSD!$A$67:'TUSD'!$A$123,$I$2,TUSD!$AR$67:'TUSD'!$AR$123)))))))</f>
        <v>0</v>
      </c>
      <c r="L8" s="39">
        <f>IF($G$2&lt;&gt;"Não se aplica",SUMIF(TUSD!$G$67:'TUSD'!$G$123,$I$2,TUSD!$AS$67:'TUSD'!$AS$123),IF($F$2&lt;&gt;"Não se aplica",SUMIF(TUSD!$F$67:'TUSD'!$F$123,$I$2,TUSD!$AS$67:'TUSD'!$AS$123),IF($E$2&lt;&gt;"Não se aplica",SUMIF(TUSD!$E$67:'TUSD'!$E$123,$I$2,TUSD!$AS$67:'TUSD'!$AS$123),IF($D$2&lt;&gt;"Não se aplica",SUMIF(TUSD!$D$67:'TUSD'!$D$123,$I$2,TUSD!$AS$67:'TUSD'!$AS$123),IF($C$2&lt;&gt;"Não se aplica",SUMIF(TUSD!$C$67:'TUSD'!$C$123,$I$2,TUSD!$AS$67:'TUSD'!$AS$123),IF($B$2&lt;&gt;"Não se aplica",SUMIF(TUSD!$B$67:'TUSD'!$B$123,$I$2,TUSD!$AS$67:'TUSD'!$AS$123),SUMIF(TUSD!$A$67:'TUSD'!$A$123,$I$2,TUSD!$AS$67:'TUSD'!$AS$123)))))))</f>
        <v>0</v>
      </c>
      <c r="M8" s="39">
        <f>IF($G$2&lt;&gt;"Não se aplica",SUMIF(TUSD!$G$67:'TUSD'!$G$123,$I$2,TUSD!$AT$67:'TUSD'!$AT$123),IF($F$2&lt;&gt;"Não se aplica",SUMIF(TUSD!$F$67:'TUSD'!$F$123,$I$2,TUSD!$AT$67:'TUSD'!$AT$123),IF($E$2&lt;&gt;"Não se aplica",SUMIF(TUSD!$E$67:'TUSD'!$E$123,$I$2,TUSD!$AT$67:'TUSD'!$AT$123),IF($D$2&lt;&gt;"Não se aplica",SUMIF(TUSD!$D$67:'TUSD'!$D$123,$I$2,TUSD!$AT$67:'TUSD'!$AT$123),IF($C$2&lt;&gt;"Não se aplica",SUMIF(TUSD!$C$67:'TUSD'!$C$123,$I$2,TUSD!$AT$67:'TUSD'!$AT$123),IF($B$2&lt;&gt;"Não se aplica",SUMIF(TUSD!$B$67:'TUSD'!$B$123,$I$2,TUSD!$AT$67:'TUSD'!$AT$123),SUMIF(TUSD!$A$67:'TUSD'!$A$123,$I$2,TUSD!$AT$67:'TUSD'!$AT$123)))))))</f>
        <v>0</v>
      </c>
      <c r="N8" s="39">
        <f>IF($G$2&lt;&gt;"Não se aplica",SUMIF(TUSD!$G$67:'TUSD'!$G$123,$I$2,TUSD!$AU$67:'TUSD'!$AU$123),IF($F$2&lt;&gt;"Não se aplica",SUMIF(TUSD!$F$67:'TUSD'!$F$123,$I$2,TUSD!$AU$67:'TUSD'!$AU$123),IF($E$2&lt;&gt;"Não se aplica",SUMIF(TUSD!$E$67:'TUSD'!$E$123,$I$2,TUSD!$AU$67:'TUSD'!$AU$123),IF($D$2&lt;&gt;"Não se aplica",SUMIF(TUSD!$D$67:'TUSD'!$D$123,$I$2,TUSD!$AU$67:'TUSD'!$AU$123),IF($C$2&lt;&gt;"Não se aplica",SUMIF(TUSD!$C$67:'TUSD'!$C$123,$I$2,TUSD!$AU$67:'TUSD'!$AU$123),IF($B$2&lt;&gt;"Não se aplica",SUMIF(TUSD!$B$67:'TUSD'!$B$123,$I$2,TUSD!$AU$67:'TUSD'!$AU$123),SUMIF(TUSD!$A$67:'TUSD'!$A$123,$I$2,TUSD!$AU$67:'TUSD'!$AU$123)))))))</f>
        <v>750301.96152343461</v>
      </c>
      <c r="O8" s="39">
        <f>IF($G$2&lt;&gt;"Não se aplica",SUMIF(TUSD!$G$67:'TUSD'!$G$123,$I$2,TUSD!$AV$67:'TUSD'!$AV$123),IF($F$2&lt;&gt;"Não se aplica",SUMIF(TUSD!$F$67:'TUSD'!$F$123,$I$2,TUSD!$AV$67:'TUSD'!$AV$123),IF($E$2&lt;&gt;"Não se aplica",SUMIF(TUSD!$E$67:'TUSD'!$E$123,$I$2,TUSD!$AV$67:'TUSD'!$AV$123),IF($D$2&lt;&gt;"Não se aplica",SUMIF(TUSD!$D$67:'TUSD'!$D$123,$I$2,TUSD!$AV$67:'TUSD'!$AV$123),IF($C$2&lt;&gt;"Não se aplica",SUMIF(TUSD!$C$67:'TUSD'!$C$123,$I$2,TUSD!$AV$67:'TUSD'!$AV$123),IF($B$2&lt;&gt;"Não se aplica",SUMIF(TUSD!$B$67:'TUSD'!$B$123,$I$2,TUSD!$AV$67:'TUSD'!$AV$123),SUMIF(TUSD!$A$67:'TUSD'!$A$123,$I$2,TUSD!$AV$67:'TUSD'!$AV$123)))))))</f>
        <v>0</v>
      </c>
      <c r="P8" s="39">
        <f>IF($G$2&lt;&gt;"Não se aplica",SUMIF(TUSD!$G$67:'TUSD'!$G$123,$I$2,TUSD!$AW$67:'TUSD'!$AW$123),IF($F$2&lt;&gt;"Não se aplica",SUMIF(TUSD!$F$67:'TUSD'!$F$123,$I$2,TUSD!$AW$67:'TUSD'!$AW$123),IF($E$2&lt;&gt;"Não se aplica",SUMIF(TUSD!$E$67:'TUSD'!$E$123,$I$2,TUSD!$AW$67:'TUSD'!$AW$123),IF($D$2&lt;&gt;"Não se aplica",SUMIF(TUSD!$D$67:'TUSD'!$D$123,$I$2,TUSD!$AW$67:'TUSD'!$AW$123),IF($C$2&lt;&gt;"Não se aplica",SUMIF(TUSD!$C$67:'TUSD'!$C$123,$I$2,TUSD!$AW$67:'TUSD'!$AW$123),IF($B$2&lt;&gt;"Não se aplica",SUMIF(TUSD!$B$67:'TUSD'!$B$123,$I$2,TUSD!$AW$67:'TUSD'!$AW$123),SUMIF(TUSD!$A$67:'TUSD'!$A$123,$I$2,TUSD!$AW$67:'TUSD'!$AW$123)))))))</f>
        <v>0</v>
      </c>
      <c r="Q8" s="39">
        <f>IF($G$2&lt;&gt;"Não se aplica",SUMIF(TUSD!$G$67:'TUSD'!$G$123,$I$2,TUSD!$AX$67:'TUSD'!$AX$123),IF($F$2&lt;&gt;"Não se aplica",SUMIF(TUSD!$F$67:'TUSD'!$F$123,$I$2,TUSD!$AX$67:'TUSD'!$AX$123),IF($E$2&lt;&gt;"Não se aplica",SUMIF(TUSD!$E$67:'TUSD'!$E$123,$I$2,TUSD!$AX$67:'TUSD'!$AX$123),IF($D$2&lt;&gt;"Não se aplica",SUMIF(TUSD!$D$67:'TUSD'!$D$123,$I$2,TUSD!$AX$67:'TUSD'!$AX$123),IF($C$2&lt;&gt;"Não se aplica",SUMIF(TUSD!$C$67:'TUSD'!$C$123,$I$2,TUSD!$AX$67:'TUSD'!$AX$123),IF($B$2&lt;&gt;"Não se aplica",SUMIF(TUSD!$B$67:'TUSD'!$B$123,$I$2,TUSD!$AX$67:'TUSD'!$AX$123),SUMIF(TUSD!$A$67:'TUSD'!$A$123,$I$2,TUSD!$AX$67:'TUSD'!$AX$123)))))))</f>
        <v>398278.38555329689</v>
      </c>
      <c r="R8" s="39">
        <f>IF($G$2&lt;&gt;"Não se aplica",SUMIF(TUSD!$G$67:'TUSD'!$G$123,$I$2,TUSD!$AY$67:'TUSD'!$AY$123),IF($F$2&lt;&gt;"Não se aplica",SUMIF(TUSD!$F$67:'TUSD'!$F$123,$I$2,TUSD!$AY$67:'TUSD'!$AY$123),IF($E$2&lt;&gt;"Não se aplica",SUMIF(TUSD!$E$67:'TUSD'!$E$123,$I$2,TUSD!$AY$67:'TUSD'!$AY$123),IF($D$2&lt;&gt;"Não se aplica",SUMIF(TUSD!$D$67:'TUSD'!$D$123,$I$2,TUSD!$AY$67:'TUSD'!$AY$123),IF($C$2&lt;&gt;"Não se aplica",SUMIF(TUSD!$C$67:'TUSD'!$C$123,$I$2,TUSD!$AY$67:'TUSD'!$AY$123),IF($B$2&lt;&gt;"Não se aplica",SUMIF(TUSD!$B$67:'TUSD'!$B$123,$I$2,TUSD!$AY$67:'TUSD'!$AY$123),SUMIF(TUSD!$A$67:'TUSD'!$A$123,$I$2,TUSD!$AY$67:'TUSD'!$AY$123)))))))</f>
        <v>0</v>
      </c>
      <c r="S8" s="39">
        <f>IF($G$2&lt;&gt;"Não se aplica",SUMIF(TUSD!$G$67:'TUSD'!$G$123,$I$2,TUSD!$AZ$67:'TUSD'!$AZ$123),IF($F$2&lt;&gt;"Não se aplica",SUMIF(TUSD!$F$67:'TUSD'!$F$123,$I$2,TUSD!$AZ$67:'TUSD'!$AZ$123),IF($E$2&lt;&gt;"Não se aplica",SUMIF(TUSD!$E$67:'TUSD'!$E$123,$I$2,TUSD!$AZ$67:'TUSD'!$AZ$123),IF($D$2&lt;&gt;"Não se aplica",SUMIF(TUSD!$D$67:'TUSD'!$D$123,$I$2,TUSD!$AZ$67:'TUSD'!$AZ$123),IF($C$2&lt;&gt;"Não se aplica",SUMIF(TUSD!$C$67:'TUSD'!$C$123,$I$2,TUSD!$AZ$67:'TUSD'!$AZ$123),IF($B$2&lt;&gt;"Não se aplica",SUMIF(TUSD!$B$67:'TUSD'!$B$123,$I$2,TUSD!$AZ$67:'TUSD'!$AZ$123),SUMIF(TUSD!$A$67:'TUSD'!$A$123,$I$2,TUSD!$AZ$67:'TUSD'!$AZ$123)))))))</f>
        <v>0</v>
      </c>
      <c r="T8" s="39">
        <f>IF($G$2&lt;&gt;"Não se aplica",SUMIF(TUSD!$G$67:'TUSD'!$G$123,$I$2,TUSD!$BA$67:'TUSD'!$BA$123),IF($F$2&lt;&gt;"Não se aplica",SUMIF(TUSD!$F$67:'TUSD'!$F$123,$I$2,TUSD!$BA$67:'TUSD'!$BA$123),IF($E$2&lt;&gt;"Não se aplica",SUMIF(TUSD!$E$67:'TUSD'!$E$123,$I$2,TUSD!$BA$67:'TUSD'!$BA$123),IF($D$2&lt;&gt;"Não se aplica",SUMIF(TUSD!$D$67:'TUSD'!$D$123,$I$2,TUSD!$BA$67:'TUSD'!$BA$123),IF($C$2&lt;&gt;"Não se aplica",SUMIF(TUSD!$C$67:'TUSD'!$C$123,$I$2,TUSD!$BA$67:'TUSD'!$BA$123),IF($B$2&lt;&gt;"Não se aplica",SUMIF(TUSD!$B$67:'TUSD'!$B$123,$I$2,TUSD!$BA$67:'TUSD'!$BA$123),SUMIF(TUSD!$A$67:'TUSD'!$A$123,$I$2,TUSD!$BA$67:'TUSD'!$BA$123)))))))</f>
        <v>51239.889227171072</v>
      </c>
      <c r="U8" s="39">
        <f>IF($G$2&lt;&gt;"Não se aplica",SUMIF(TUSD!$G$67:'TUSD'!$G$123,$I$2,TUSD!$BB$67:'TUSD'!$BB$123),IF($F$2&lt;&gt;"Não se aplica",SUMIF(TUSD!$F$67:'TUSD'!$F$123,$I$2,TUSD!$BB$67:'TUSD'!$BB$123),IF($E$2&lt;&gt;"Não se aplica",SUMIF(TUSD!$E$67:'TUSD'!$E$123,$I$2,TUSD!$BB$67:'TUSD'!$BB$123),IF($D$2&lt;&gt;"Não se aplica",SUMIF(TUSD!$D$67:'TUSD'!$D$123,$I$2,TUSD!$BB$67:'TUSD'!$BB$123),IF($C$2&lt;&gt;"Não se aplica",SUMIF(TUSD!$C$67:'TUSD'!$C$123,$I$2,TUSD!$BB$67:'TUSD'!$BB$123),IF($B$2&lt;&gt;"Não se aplica",SUMIF(TUSD!$B$67:'TUSD'!$B$123,$I$2,TUSD!$BB$67:'TUSD'!$BB$123),SUMIF(TUSD!$A$67:'TUSD'!$A$123,$I$2,TUSD!$BB$67:'TUSD'!$BB$123)))))))</f>
        <v>1614.2930073045206</v>
      </c>
      <c r="V8" s="39">
        <f>IF($G$2&lt;&gt;"Não se aplica",SUMIF(TUSD!$G$67:'TUSD'!$G$123,$I$2,TUSD!$BC$67:'TUSD'!$BC$123),IF($F$2&lt;&gt;"Não se aplica",SUMIF(TUSD!$F$67:'TUSD'!$F$123,$I$2,TUSD!$BC$67:'TUSD'!$BC$123),IF($E$2&lt;&gt;"Não se aplica",SUMIF(TUSD!$E$67:'TUSD'!$E$123,$I$2,TUSD!$BC$67:'TUSD'!$BC$123),IF($D$2&lt;&gt;"Não se aplica",SUMIF(TUSD!$D$67:'TUSD'!$D$123,$I$2,TUSD!$BC$67:'TUSD'!$BC$123),IF($C$2&lt;&gt;"Não se aplica",SUMIF(TUSD!$C$67:'TUSD'!$C$123,$I$2,TUSD!$BC$67:'TUSD'!$BC$123),IF($B$2&lt;&gt;"Não se aplica",SUMIF(TUSD!$B$67:'TUSD'!$B$123,$I$2,TUSD!$BC$67:'TUSD'!$BC$123),SUMIF(TUSD!$A$67:'TUSD'!$A$123,$I$2,TUSD!$BC$67:'TUSD'!$BC$123)))))))</f>
        <v>11787.020723144638</v>
      </c>
      <c r="W8" s="39">
        <f>IF($G$2&lt;&gt;"Não se aplica",SUMIF(TUSD!$G$67:'TUSD'!$G$123,$I$2,TUSD!$BD$67:'TUSD'!$BD$123),IF($F$2&lt;&gt;"Não se aplica",SUMIF(TUSD!$F$67:'TUSD'!$F$123,$I$2,TUSD!$BD$67:'TUSD'!$BD$123),IF($E$2&lt;&gt;"Não se aplica",SUMIF(TUSD!$E$67:'TUSD'!$E$123,$I$2,TUSD!$BD$67:'TUSD'!$BD$123),IF($D$2&lt;&gt;"Não se aplica",SUMIF(TUSD!$D$67:'TUSD'!$D$123,$I$2,TUSD!$BD$67:'TUSD'!$BD$123),IF($C$2&lt;&gt;"Não se aplica",SUMIF(TUSD!$C$67:'TUSD'!$C$123,$I$2,TUSD!$BD$67:'TUSD'!$BD$123),IF($B$2&lt;&gt;"Não se aplica",SUMIF(TUSD!$B$67:'TUSD'!$B$123,$I$2,TUSD!$BD$67:'TUSD'!$BD$123),SUMIF(TUSD!$A$67:'TUSD'!$A$123,$I$2,TUSD!$BD$67:'TUSD'!$BD$123)))))))</f>
        <v>2072.65839381249</v>
      </c>
      <c r="X8" s="39">
        <f t="shared" si="0"/>
        <v>1793579.5667462898</v>
      </c>
      <c r="AD8" s="14" t="s">
        <v>88</v>
      </c>
      <c r="AG8" s="14" t="s">
        <v>84</v>
      </c>
    </row>
    <row r="9" spans="1:33" x14ac:dyDescent="0.2">
      <c r="A9" s="14" t="s">
        <v>1245</v>
      </c>
      <c r="B9" s="39">
        <f>IF($G$2&lt;&gt;"Não se aplica",SUMIF(TUSD!$G$67:'TUSD'!$G$123,$I$2,TUSD!$L$67:'TUSD'!$L$123),IF($F$2&lt;&gt;"Não se aplica",SUMIF(TUSD!$F$67:'TUSD'!$F$123,$I$2,TUSD!$L$67:'TUSD'!$L$123),IF($E$2&lt;&gt;"Não se aplica",SUMIF(TUSD!$E$67:'TUSD'!$E$123,$I$2,TUSD!$L$67:'TUSD'!$L$123),IF($D$2&lt;&gt;"Não se aplica",SUMIF(TUSD!$D$67:'TUSD'!$D$123,$I$2,TUSD!$L$67:'TUSD'!$L$123),IF($C$2&lt;&gt;"Não se aplica",SUMIF(TUSD!$C$67:'TUSD'!$C$123,$I$2,TUSD!$L$67:'TUSD'!$L$123),IF($B$2&lt;&gt;"Não se aplica",SUMIF(TUSD!$B$67:'TUSD'!$B$123,$I$2,TUSD!$L$67:'TUSD'!$L$123),SUMIF(TUSD!$A$67:'TUSD'!$A$123,$I$2,TUSD!$L$67:'TUSD'!$L$123)))))))</f>
        <v>10275.252666130626</v>
      </c>
      <c r="C9" s="39">
        <f>IF($G$2&lt;&gt;"Não se aplica",SUMIF(TUSD!$G$67:'TUSD'!$G$123,$I$2,TUSD!$M$67:'TUSD'!$M$123),IF($F$2&lt;&gt;"Não se aplica",SUMIF(TUSD!$F$67:'TUSD'!$F$123,$I$2,TUSD!$M$67:'TUSD'!$M$123),IF($E$2&lt;&gt;"Não se aplica",SUMIF(TUSD!$E$67:'TUSD'!$E$123,$I$2,TUSD!$M$67:'TUSD'!$M$123),IF($D$2&lt;&gt;"Não se aplica",SUMIF(TUSD!$D$67:'TUSD'!$D$123,$I$2,TUSD!$M$67:'TUSD'!$M$123),IF($C$2&lt;&gt;"Não se aplica",SUMIF(TUSD!$C$67:'TUSD'!$C$123,$I$2,TUSD!$M$67:'TUSD'!$M$123),IF($B$2&lt;&gt;"Não se aplica",SUMIF(TUSD!$B$67:'TUSD'!$B$123,$I$2,TUSD!$M$67:'TUSD'!$M$123),SUMIF(TUSD!$A$67:'TUSD'!$A$123,$I$2,TUSD!$M$67:'TUSD'!$M$123)))))))</f>
        <v>1881.4970754233329</v>
      </c>
      <c r="D9" s="39">
        <f ca="1">IF($G$2&lt;&gt;"Não se aplica",SUMIF(TUSD!$G$67:'TUSD'!$G$123,$I$2,TUSD!$N$67:'TUSD'!$N$123),IF($F$2&lt;&gt;"Não se aplica",SUMIF(TUSD!$F$67:'TUSD'!$F$123,$I$2,TUSD!$N$67:'TUSD'!$N$123),IF($E$2&lt;&gt;"Não se aplica",SUMIF(TUSD!$E$67:'TUSD'!$E$123,$I$2,TUSD!$N$67:'TUSD'!$N$123),IF($D$2&lt;&gt;"Não se aplica",SUMIF(TUSD!$D$67:'TUSD'!$D$123,$I$2,TUSD!$N$67:'TUSD'!$N$123),IF($C$2&lt;&gt;"Não se aplica",SUMIF(TUSD!$C$67:'TUSD'!$C$123,$I$2,TUSD!$N$67:'TUSD'!$N$123),IF($B$2&lt;&gt;"Não se aplica",SUMIF(TUSD!$B$67:'TUSD'!$B$123,$I$2,TUSD!$N$67:'TUSD'!$N$123),SUMIF(TUSD!$A$67:'TUSD'!$A$123,$I$2,TUSD!$N$67:'TUSD'!$N$123)))))))</f>
        <v>12472.27449203212</v>
      </c>
      <c r="E9" s="39">
        <f>IF($G$2&lt;&gt;"Não se aplica",SUMIF(TUSD!$G$67:'TUSD'!$G$123,$I$2,TUSD!$O$67:'TUSD'!$O$123),IF($F$2&lt;&gt;"Não se aplica",SUMIF(TUSD!$F$67:'TUSD'!$F$123,$I$2,TUSD!$O$67:'TUSD'!$O$123),IF($E$2&lt;&gt;"Não se aplica",SUMIF(TUSD!$E$67:'TUSD'!$E$123,$I$2,TUSD!$O$67:'TUSD'!$O$123),IF($D$2&lt;&gt;"Não se aplica",SUMIF(TUSD!$D$67:'TUSD'!$D$123,$I$2,TUSD!$O$67:'TUSD'!$O$123),IF($C$2&lt;&gt;"Não se aplica",SUMIF(TUSD!$C$67:'TUSD'!$C$123,$I$2,TUSD!$O$67:'TUSD'!$O$123),IF($B$2&lt;&gt;"Não se aplica",SUMIF(TUSD!$B$67:'TUSD'!$B$123,$I$2,TUSD!$O$67:'TUSD'!$O$123),SUMIF(TUSD!$A$67:'TUSD'!$A$123,$I$2,TUSD!$O$67:'TUSD'!$O$123)))))))</f>
        <v>0</v>
      </c>
      <c r="F9" s="39">
        <f>IF($G$2&lt;&gt;"Não se aplica",SUMIF(TUSD!$G$67:'TUSD'!$G$123,$I$2,TUSD!$P$67:'TUSD'!$P$123),IF($F$2&lt;&gt;"Não se aplica",SUMIF(TUSD!$F$67:'TUSD'!$F$123,$I$2,TUSD!$P$67:'TUSD'!$P$123),IF($E$2&lt;&gt;"Não se aplica",SUMIF(TUSD!$E$67:'TUSD'!$E$123,$I$2,TUSD!$P$67:'TUSD'!$P$123),IF($D$2&lt;&gt;"Não se aplica",SUMIF(TUSD!$D$67:'TUSD'!$D$123,$I$2,TUSD!$P$67:'TUSD'!$P$123),IF($C$2&lt;&gt;"Não se aplica",SUMIF(TUSD!$C$67:'TUSD'!$C$123,$I$2,TUSD!$P$67:'TUSD'!$P$123),IF($B$2&lt;&gt;"Não se aplica",SUMIF(TUSD!$B$67:'TUSD'!$B$123,$I$2,TUSD!$P$67:'TUSD'!$P$123),SUMIF(TUSD!$A$67:'TUSD'!$A$123,$I$2,TUSD!$P$67:'TUSD'!$P$123)))))))</f>
        <v>0</v>
      </c>
      <c r="G9" s="39">
        <f>IF($G$2&lt;&gt;"Não se aplica",SUMIF(TUSD!$G$67:'TUSD'!$G$123,$I$2,TUSD!$Q$67:'TUSD'!$Q$123),IF($F$2&lt;&gt;"Não se aplica",SUMIF(TUSD!$F$67:'TUSD'!$F$123,$I$2,TUSD!$Q$67:'TUSD'!$Q$123),IF($E$2&lt;&gt;"Não se aplica",SUMIF(TUSD!$E$67:'TUSD'!$E$123,$I$2,TUSD!$Q$67:'TUSD'!$Q$123),IF($D$2&lt;&gt;"Não se aplica",SUMIF(TUSD!$D$67:'TUSD'!$D$123,$I$2,TUSD!$Q$67:'TUSD'!$Q$123),IF($C$2&lt;&gt;"Não se aplica",SUMIF(TUSD!$C$67:'TUSD'!$C$123,$I$2,TUSD!$Q$67:'TUSD'!$Q$123),IF($B$2&lt;&gt;"Não se aplica",SUMIF(TUSD!$B$67:'TUSD'!$B$123,$I$2,TUSD!$Q$67:'TUSD'!$Q$123),SUMIF(TUSD!$A$67:'TUSD'!$A$123,$I$2,TUSD!$Q$67:'TUSD'!$Q$123)))))))</f>
        <v>787257.65674939798</v>
      </c>
      <c r="H9" s="39">
        <f>IF($G$2&lt;&gt;"Não se aplica",SUMIF(TUSD!$G$67:'TUSD'!$G$123,$I$2,TUSD!$R$67:'TUSD'!$R$123),IF($F$2&lt;&gt;"Não se aplica",SUMIF(TUSD!$F$67:'TUSD'!$F$123,$I$2,TUSD!$R$67:'TUSD'!$R$123),IF($E$2&lt;&gt;"Não se aplica",SUMIF(TUSD!$E$67:'TUSD'!$E$123,$I$2,TUSD!$R$67:'TUSD'!$R$123),IF($D$2&lt;&gt;"Não se aplica",SUMIF(TUSD!$D$67:'TUSD'!$D$123,$I$2,TUSD!$R$67:'TUSD'!$R$123),IF($C$2&lt;&gt;"Não se aplica",SUMIF(TUSD!$C$67:'TUSD'!$C$123,$I$2,TUSD!$R$67:'TUSD'!$R$123),IF($B$2&lt;&gt;"Não se aplica",SUMIF(TUSD!$B$67:'TUSD'!$B$123,$I$2,TUSD!$R$67:'TUSD'!$R$123),SUMIF(TUSD!$A$67:'TUSD'!$A$123,$I$2,TUSD!$R$67:'TUSD'!$R$123)))))))</f>
        <v>158716.92301526936</v>
      </c>
      <c r="I9" s="39">
        <f>IF($G$2&lt;&gt;"Não se aplica",SUMIF(TUSD!$G$67:'TUSD'!$G$123,$I$2,TUSD!$S$67:'TUSD'!$S$123),IF($F$2&lt;&gt;"Não se aplica",SUMIF(TUSD!$F$67:'TUSD'!$F$123,$I$2,TUSD!$S$67:'TUSD'!$S$123),IF($E$2&lt;&gt;"Não se aplica",SUMIF(TUSD!$E$67:'TUSD'!$E$123,$I$2,TUSD!$S$67:'TUSD'!$S$123),IF($D$2&lt;&gt;"Não se aplica",SUMIF(TUSD!$D$67:'TUSD'!$D$123,$I$2,TUSD!$S$67:'TUSD'!$S$123),IF($C$2&lt;&gt;"Não se aplica",SUMIF(TUSD!$C$67:'TUSD'!$C$123,$I$2,TUSD!$S$67:'TUSD'!$S$123),IF($B$2&lt;&gt;"Não se aplica",SUMIF(TUSD!$B$67:'TUSD'!$B$123,$I$2,TUSD!$S$67:'TUSD'!$S$123),SUMIF(TUSD!$A$67:'TUSD'!$A$123,$I$2,TUSD!$S$67:'TUSD'!$S$123)))))))</f>
        <v>0</v>
      </c>
      <c r="J9" s="39">
        <f>IF($G$2&lt;&gt;"Não se aplica",SUMIF(TUSD!$G$67:'TUSD'!$G$123,$I$2,TUSD!$T$67:'TUSD'!$T$123),IF($F$2&lt;&gt;"Não se aplica",SUMIF(TUSD!$F$67:'TUSD'!$F$123,$I$2,TUSD!$T$67:'TUSD'!$T$123),IF($E$2&lt;&gt;"Não se aplica",SUMIF(TUSD!$E$67:'TUSD'!$E$123,$I$2,TUSD!$T$67:'TUSD'!$T$123),IF($D$2&lt;&gt;"Não se aplica",SUMIF(TUSD!$D$67:'TUSD'!$D$123,$I$2,TUSD!$T$67:'TUSD'!$T$123),IF($C$2&lt;&gt;"Não se aplica",SUMIF(TUSD!$C$67:'TUSD'!$C$123,$I$2,TUSD!$T$67:'TUSD'!$T$123),IF($B$2&lt;&gt;"Não se aplica",SUMIF(TUSD!$B$67:'TUSD'!$B$123,$I$2,TUSD!$T$67:'TUSD'!$T$123),SUMIF(TUSD!$A$67:'TUSD'!$A$123,$I$2,TUSD!$T$67:'TUSD'!$T$123)))))))</f>
        <v>0</v>
      </c>
      <c r="K9" s="39">
        <f>IF($G$2&lt;&gt;"Não se aplica",SUMIF(TUSD!$G$67:'TUSD'!$G$123,$I$2,TUSD!$U$67:'TUSD'!$U$123),IF($F$2&lt;&gt;"Não se aplica",SUMIF(TUSD!$F$67:'TUSD'!$F$123,$I$2,TUSD!$U$67:'TUSD'!$U$123),IF($E$2&lt;&gt;"Não se aplica",SUMIF(TUSD!$E$67:'TUSD'!$E$123,$I$2,TUSD!$U$67:'TUSD'!$U$123),IF($D$2&lt;&gt;"Não se aplica",SUMIF(TUSD!$D$67:'TUSD'!$D$123,$I$2,TUSD!$U$67:'TUSD'!$U$123),IF($C$2&lt;&gt;"Não se aplica",SUMIF(TUSD!$C$67:'TUSD'!$C$123,$I$2,TUSD!$U$67:'TUSD'!$U$123),IF($B$2&lt;&gt;"Não se aplica",SUMIF(TUSD!$B$67:'TUSD'!$B$123,$I$2,TUSD!$U$67:'TUSD'!$U$123),SUMIF(TUSD!$A$67:'TUSD'!$A$123,$I$2,TUSD!$U$67:'TUSD'!$U$123)))))))</f>
        <v>0</v>
      </c>
      <c r="L9" s="39">
        <f>IF($G$2&lt;&gt;"Não se aplica",SUMIF(TUSD!$G$67:'TUSD'!$G$123,$I$2,TUSD!$V$67:'TUSD'!$V$123),IF($F$2&lt;&gt;"Não se aplica",SUMIF(TUSD!$F$67:'TUSD'!$F$123,$I$2,TUSD!$V$67:'TUSD'!$V$123),IF($E$2&lt;&gt;"Não se aplica",SUMIF(TUSD!$E$67:'TUSD'!$E$123,$I$2,TUSD!$V$67:'TUSD'!$V$123),IF($D$2&lt;&gt;"Não se aplica",SUMIF(TUSD!$D$67:'TUSD'!$D$123,$I$2,TUSD!$V$67:'TUSD'!$V$123),IF($C$2&lt;&gt;"Não se aplica",SUMIF(TUSD!$C$67:'TUSD'!$C$123,$I$2,TUSD!$V$67:'TUSD'!$V$123),IF($B$2&lt;&gt;"Não se aplica",SUMIF(TUSD!$B$67:'TUSD'!$B$123,$I$2,TUSD!$V$67:'TUSD'!$V$123),SUMIF(TUSD!$A$67:'TUSD'!$A$123,$I$2,TUSD!$V$67:'TUSD'!$V$123)))))))</f>
        <v>0</v>
      </c>
      <c r="M9" s="39">
        <f>IF($G$2&lt;&gt;"Não se aplica",SUMIF(TUSD!$G$67:'TUSD'!$G$123,$I$2,TUSD!$W$67:'TUSD'!$W$123),IF($F$2&lt;&gt;"Não se aplica",SUMIF(TUSD!$F$67:'TUSD'!$F$123,$I$2,TUSD!$W$67:'TUSD'!$W$123),IF($E$2&lt;&gt;"Não se aplica",SUMIF(TUSD!$E$67:'TUSD'!$E$123,$I$2,TUSD!$W$67:'TUSD'!$W$123),IF($D$2&lt;&gt;"Não se aplica",SUMIF(TUSD!$D$67:'TUSD'!$D$123,$I$2,TUSD!$W$67:'TUSD'!$W$123),IF($C$2&lt;&gt;"Não se aplica",SUMIF(TUSD!$C$67:'TUSD'!$C$123,$I$2,TUSD!$W$67:'TUSD'!$W$123),IF($B$2&lt;&gt;"Não se aplica",SUMIF(TUSD!$B$67:'TUSD'!$B$123,$I$2,TUSD!$W$67:'TUSD'!$W$123),SUMIF(TUSD!$A$67:'TUSD'!$A$123,$I$2,TUSD!$W$67:'TUSD'!$W$123)))))))</f>
        <v>0</v>
      </c>
      <c r="N9" s="39">
        <f>IF($G$2&lt;&gt;"Não se aplica",SUMIF(TUSD!$G$67:'TUSD'!$G$123,$I$2,TUSD!$X$67:'TUSD'!$X$123),IF($F$2&lt;&gt;"Não se aplica",SUMIF(TUSD!$F$67:'TUSD'!$F$123,$I$2,TUSD!$X$67:'TUSD'!$X$123),IF($E$2&lt;&gt;"Não se aplica",SUMIF(TUSD!$E$67:'TUSD'!$E$123,$I$2,TUSD!$X$67:'TUSD'!$X$123),IF($D$2&lt;&gt;"Não se aplica",SUMIF(TUSD!$D$67:'TUSD'!$D$123,$I$2,TUSD!$X$67:'TUSD'!$X$123),IF($C$2&lt;&gt;"Não se aplica",SUMIF(TUSD!$C$67:'TUSD'!$C$123,$I$2,TUSD!$X$67:'TUSD'!$X$123),IF($B$2&lt;&gt;"Não se aplica",SUMIF(TUSD!$B$67:'TUSD'!$B$123,$I$2,TUSD!$X$67:'TUSD'!$X$123),SUMIF(TUSD!$A$67:'TUSD'!$A$123,$I$2,TUSD!$X$67:'TUSD'!$X$123)))))))</f>
        <v>970895.95814953046</v>
      </c>
      <c r="O9" s="39">
        <f>IF($G$2&lt;&gt;"Não se aplica",SUMIF(TUSD!$G$67:'TUSD'!$G$123,$I$2,TUSD!$Y$67:'TUSD'!$Y$123),IF($F$2&lt;&gt;"Não se aplica",SUMIF(TUSD!$F$67:'TUSD'!$F$123,$I$2,TUSD!$Y$67:'TUSD'!$Y$123),IF($E$2&lt;&gt;"Não se aplica",SUMIF(TUSD!$E$67:'TUSD'!$E$123,$I$2,TUSD!$Y$67:'TUSD'!$Y$123),IF($D$2&lt;&gt;"Não se aplica",SUMIF(TUSD!$D$67:'TUSD'!$D$123,$I$2,TUSD!$Y$67:'TUSD'!$Y$123),IF($C$2&lt;&gt;"Não se aplica",SUMIF(TUSD!$C$67:'TUSD'!$C$123,$I$2,TUSD!$Y$67:'TUSD'!$Y$123),IF($B$2&lt;&gt;"Não se aplica",SUMIF(TUSD!$B$67:'TUSD'!$B$123,$I$2,TUSD!$Y$67:'TUSD'!$Y$123),SUMIF(TUSD!$A$67:'TUSD'!$A$123,$I$2,TUSD!$Y$67:'TUSD'!$Y$123)))))))</f>
        <v>0</v>
      </c>
      <c r="P9" s="39">
        <f>IF($G$2&lt;&gt;"Não se aplica",SUMIF(TUSD!$G$67:'TUSD'!$G$123,$I$2,TUSD!$Z$67:'TUSD'!$Z$123),IF($F$2&lt;&gt;"Não se aplica",SUMIF(TUSD!$F$67:'TUSD'!$F$123,$I$2,TUSD!$Z$67:'TUSD'!$Z$123),IF($E$2&lt;&gt;"Não se aplica",SUMIF(TUSD!$E$67:'TUSD'!$E$123,$I$2,TUSD!$Z$67:'TUSD'!$Z$123),IF($D$2&lt;&gt;"Não se aplica",SUMIF(TUSD!$D$67:'TUSD'!$D$123,$I$2,TUSD!$Z$67:'TUSD'!$Z$123),IF($C$2&lt;&gt;"Não se aplica",SUMIF(TUSD!$C$67:'TUSD'!$C$123,$I$2,TUSD!$Z$67:'TUSD'!$Z$123),IF($B$2&lt;&gt;"Não se aplica",SUMIF(TUSD!$B$67:'TUSD'!$B$123,$I$2,TUSD!$Z$67:'TUSD'!$Z$123),SUMIF(TUSD!$A$67:'TUSD'!$A$123,$I$2,TUSD!$Z$67:'TUSD'!$Z$123)))))))</f>
        <v>0</v>
      </c>
      <c r="Q9" s="39">
        <f>IF($G$2&lt;&gt;"Não se aplica",SUMIF(TUSD!$G$67:'TUSD'!$G$123,$I$2,TUSD!$AA$67:'TUSD'!$AA$123),IF($F$2&lt;&gt;"Não se aplica",SUMIF(TUSD!$F$67:'TUSD'!$F$123,$I$2,TUSD!$AA$67:'TUSD'!$AA$123),IF($E$2&lt;&gt;"Não se aplica",SUMIF(TUSD!$E$67:'TUSD'!$E$123,$I$2,TUSD!$AA$67:'TUSD'!$AA$123),IF($D$2&lt;&gt;"Não se aplica",SUMIF(TUSD!$D$67:'TUSD'!$D$123,$I$2,TUSD!$AA$67:'TUSD'!$AA$123),IF($C$2&lt;&gt;"Não se aplica",SUMIF(TUSD!$C$67:'TUSD'!$C$123,$I$2,TUSD!$AA$67:'TUSD'!$AA$123),IF($B$2&lt;&gt;"Não se aplica",SUMIF(TUSD!$B$67:'TUSD'!$B$123,$I$2,TUSD!$AA$67:'TUSD'!$AA$123),SUMIF(TUSD!$A$67:'TUSD'!$A$123,$I$2,TUSD!$AA$67:'TUSD'!$AA$123)))))))</f>
        <v>560174.93589296844</v>
      </c>
      <c r="R9" s="39">
        <f ca="1">IF($G$2&lt;&gt;"Não se aplica",SUMIF(TUSD!$G$67:'TUSD'!$G$123,$I$2,TUSD!$AB$67:'TUSD'!$AB$123),IF($F$2&lt;&gt;"Não se aplica",SUMIF(TUSD!$F$67:'TUSD'!$F$123,$I$2,TUSD!$AB$67:'TUSD'!$AB$123),IF($E$2&lt;&gt;"Não se aplica",SUMIF(TUSD!$E$67:'TUSD'!$E$123,$I$2,TUSD!$AB$67:'TUSD'!$AB$123),IF($D$2&lt;&gt;"Não se aplica",SUMIF(TUSD!$D$67:'TUSD'!$D$123,$I$2,TUSD!$AB$67:'TUSD'!$AB$123),IF($C$2&lt;&gt;"Não se aplica",SUMIF(TUSD!$C$67:'TUSD'!$C$123,$I$2,TUSD!$AB$67:'TUSD'!$AB$123),IF($B$2&lt;&gt;"Não se aplica",SUMIF(TUSD!$B$67:'TUSD'!$B$123,$I$2,TUSD!$AB$67:'TUSD'!$AB$123),SUMIF(TUSD!$A$67:'TUSD'!$A$123,$I$2,TUSD!$AB$67:'TUSD'!$AB$123)))))))</f>
        <v>0</v>
      </c>
      <c r="S9" s="39">
        <f ca="1">IF($G$2&lt;&gt;"Não se aplica",SUMIF(TUSD!$G$67:'TUSD'!$G$123,$I$2,TUSD!$AC$67:'TUSD'!$AC$123),IF($F$2&lt;&gt;"Não se aplica",SUMIF(TUSD!$F$67:'TUSD'!$F$123,$I$2,TUSD!$AC$67:'TUSD'!$AC$123),IF($E$2&lt;&gt;"Não se aplica",SUMIF(TUSD!$E$67:'TUSD'!$E$123,$I$2,TUSD!$AC$67:'TUSD'!$AC$123),IF($D$2&lt;&gt;"Não se aplica",SUMIF(TUSD!$D$67:'TUSD'!$D$123,$I$2,TUSD!$AC$67:'TUSD'!$AC$123),IF($C$2&lt;&gt;"Não se aplica",SUMIF(TUSD!$C$67:'TUSD'!$C$123,$I$2,TUSD!$AC$67:'TUSD'!$AC$123),IF($B$2&lt;&gt;"Não se aplica",SUMIF(TUSD!$B$67:'TUSD'!$B$123,$I$2,TUSD!$AC$67:'TUSD'!$AC$123),SUMIF(TUSD!$A$67:'TUSD'!$A$123,$I$2,TUSD!$AC$67:'TUSD'!$AC$123)))))))</f>
        <v>0</v>
      </c>
      <c r="T9" s="39">
        <f>IF($G$2&lt;&gt;"Não se aplica",SUMIF(TUSD!$G$67:'TUSD'!$G$123,$I$2,TUSD!$AD$67:'TUSD'!$AD$123),IF($F$2&lt;&gt;"Não se aplica",SUMIF(TUSD!$F$67:'TUSD'!$F$123,$I$2,TUSD!$AD$67:'TUSD'!$AD$123),IF($E$2&lt;&gt;"Não se aplica",SUMIF(TUSD!$E$67:'TUSD'!$E$123,$I$2,TUSD!$AD$67:'TUSD'!$AD$123),IF($D$2&lt;&gt;"Não se aplica",SUMIF(TUSD!$D$67:'TUSD'!$D$123,$I$2,TUSD!$AD$67:'TUSD'!$AD$123),IF($C$2&lt;&gt;"Não se aplica",SUMIF(TUSD!$C$67:'TUSD'!$C$123,$I$2,TUSD!$AD$67:'TUSD'!$AD$123),IF($B$2&lt;&gt;"Não se aplica",SUMIF(TUSD!$B$67:'TUSD'!$B$123,$I$2,TUSD!$AD$67:'TUSD'!$AD$123),SUMIF(TUSD!$A$67:'TUSD'!$A$123,$I$2,TUSD!$AD$67:'TUSD'!$AD$123)))))))</f>
        <v>46991.131036910752</v>
      </c>
      <c r="U9" s="39">
        <f>IF($G$2&lt;&gt;"Não se aplica",SUMIF(TUSD!$G$67:'TUSD'!$G$123,$I$2,TUSD!$AE$67:'TUSD'!$AE$123),IF($F$2&lt;&gt;"Não se aplica",SUMIF(TUSD!$F$67:'TUSD'!$F$123,$I$2,TUSD!$AE$67:'TUSD'!$AE$123),IF($E$2&lt;&gt;"Não se aplica",SUMIF(TUSD!$E$67:'TUSD'!$E$123,$I$2,TUSD!$AE$67:'TUSD'!$AE$123),IF($D$2&lt;&gt;"Não se aplica",SUMIF(TUSD!$D$67:'TUSD'!$D$123,$I$2,TUSD!$AE$67:'TUSD'!$AE$123),IF($C$2&lt;&gt;"Não se aplica",SUMIF(TUSD!$C$67:'TUSD'!$C$123,$I$2,TUSD!$AE$67:'TUSD'!$AE$123),IF($B$2&lt;&gt;"Não se aplica",SUMIF(TUSD!$B$67:'TUSD'!$B$123,$I$2,TUSD!$AE$67:'TUSD'!$AE$123),SUMIF(TUSD!$A$67:'TUSD'!$A$123,$I$2,TUSD!$AE$67:'TUSD'!$AE$123)))))))</f>
        <v>1726.8947552721784</v>
      </c>
      <c r="V9" s="39">
        <f ca="1">IF($G$2&lt;&gt;"Não se aplica",SUMIF(TUSD!$G$67:'TUSD'!$G$123,$I$2,TUSD!$AF$67:'TUSD'!$AF$123),IF($F$2&lt;&gt;"Não se aplica",SUMIF(TUSD!$F$67:'TUSD'!$F$123,$I$2,TUSD!$AF$67:'TUSD'!$AF$123),IF($E$2&lt;&gt;"Não se aplica",SUMIF(TUSD!$E$67:'TUSD'!$E$123,$I$2,TUSD!$AF$67:'TUSD'!$AF$123),IF($D$2&lt;&gt;"Não se aplica",SUMIF(TUSD!$D$67:'TUSD'!$D$123,$I$2,TUSD!$AF$67:'TUSD'!$AF$123),IF($C$2&lt;&gt;"Não se aplica",SUMIF(TUSD!$C$67:'TUSD'!$C$123,$I$2,TUSD!$AF$67:'TUSD'!$AF$123),IF($B$2&lt;&gt;"Não se aplica",SUMIF(TUSD!$B$67:'TUSD'!$B$123,$I$2,TUSD!$AF$67:'TUSD'!$AF$123),SUMIF(TUSD!$A$67:'TUSD'!$A$123,$I$2,TUSD!$AF$67:'TUSD'!$AF$123)))))))</f>
        <v>11961.891849404123</v>
      </c>
      <c r="W9" s="39">
        <f ca="1">IF($G$2&lt;&gt;"Não se aplica",SUMIF(TUSD!$G$67:'TUSD'!$G$123,$I$2,TUSD!$AG$67:'TUSD'!$AG$123),IF($F$2&lt;&gt;"Não se aplica",SUMIF(TUSD!$F$67:'TUSD'!$F$123,$I$2,TUSD!$AG$67:'TUSD'!$AG$123),IF($E$2&lt;&gt;"Não se aplica",SUMIF(TUSD!$E$67:'TUSD'!$E$123,$I$2,TUSD!$AG$67:'TUSD'!$AG$123),IF($D$2&lt;&gt;"Não se aplica",SUMIF(TUSD!$D$67:'TUSD'!$D$123,$I$2,TUSD!$AG$67:'TUSD'!$AG$123),IF($C$2&lt;&gt;"Não se aplica",SUMIF(TUSD!$C$67:'TUSD'!$C$123,$I$2,TUSD!$AG$67:'TUSD'!$AG$123),IF($B$2&lt;&gt;"Não se aplica",SUMIF(TUSD!$B$67:'TUSD'!$B$123,$I$2,TUSD!$AG$67:'TUSD'!$AG$123),SUMIF(TUSD!$A$67:'TUSD'!$A$123,$I$2,TUSD!$AG$67:'TUSD'!$AG$123)))))))</f>
        <v>2177.9106768026454</v>
      </c>
      <c r="X9" s="39">
        <f t="shared" ca="1" si="0"/>
        <v>2564532.3263591421</v>
      </c>
      <c r="AD9" s="14" t="s">
        <v>49</v>
      </c>
    </row>
    <row r="10" spans="1:33" x14ac:dyDescent="0.2">
      <c r="A10" s="14" t="s">
        <v>1242</v>
      </c>
      <c r="B10" s="39">
        <f>SUMIF(TUSD!$A$67:'TUSD'!$A$123,$A$2,TUSD!$AI$67:'TUSD'!$AI$123)</f>
        <v>26741.734550741985</v>
      </c>
      <c r="C10" s="39">
        <f>SUMIF(TUSD!$A$67:'TUSD'!$A$123,$A$2,TUSD!$AJ$67:'TUSD'!$AJ$123)</f>
        <v>1283.0428631685738</v>
      </c>
      <c r="D10" s="39">
        <f>SUMIF(TUSD!$A$67:'TUSD'!$A$123,$A$2,TUSD!$AK$67:'TUSD'!$AK$123)</f>
        <v>8806.7693969751108</v>
      </c>
      <c r="E10" s="39">
        <f>SUMIF(TUSD!$A$67:'TUSD'!$A$123,$A$2,TUSD!$AL$67:'TUSD'!$AL$123)</f>
        <v>0</v>
      </c>
      <c r="F10" s="39">
        <f>SUMIF(TUSD!$A$67:'TUSD'!$A$123,$A$2,TUSD!$AM$67:'TUSD'!$AM$123)</f>
        <v>0</v>
      </c>
      <c r="G10" s="39">
        <f>SUMIF(TUSD!$A$67:'TUSD'!$A$123,$A$2,TUSD!$AN$67:'TUSD'!$AN$123)</f>
        <v>459268.82004173269</v>
      </c>
      <c r="H10" s="39">
        <f>SUMIF(TUSD!$A$67:'TUSD'!$A$123,$A$2,TUSD!$AO$67:'TUSD'!$AO$123)</f>
        <v>82184.99146550741</v>
      </c>
      <c r="I10" s="39">
        <f>SUMIF(TUSD!$A$67:'TUSD'!$A$123,$A$2,TUSD!$AP$67:'TUSD'!$AP$123)</f>
        <v>0</v>
      </c>
      <c r="J10" s="39">
        <f>SUMIF(TUSD!$A$67:'TUSD'!$A$123,$A$2,TUSD!$AQ$67:'TUSD'!$AQ$123)</f>
        <v>0</v>
      </c>
      <c r="K10" s="39">
        <f>SUMIF(TUSD!$A$67:'TUSD'!$A$123,$A$2,TUSD!$AR$67:'TUSD'!$AR$123)</f>
        <v>0</v>
      </c>
      <c r="L10" s="39">
        <f>SUMIF(TUSD!$A$67:'TUSD'!$A$123,$A$2,TUSD!$AS$67:'TUSD'!$AS$123)</f>
        <v>0</v>
      </c>
      <c r="M10" s="39">
        <f>SUMIF(TUSD!$A$67:'TUSD'!$A$123,$A$2,TUSD!$AT$67:'TUSD'!$AT$123)</f>
        <v>0</v>
      </c>
      <c r="N10" s="39">
        <f>SUMIF(TUSD!$A$67:'TUSD'!$A$123,$A$2,TUSD!$AU$67:'TUSD'!$AU$123)</f>
        <v>750301.96152343461</v>
      </c>
      <c r="O10" s="39">
        <f>SUMIF(TUSD!$A$67:'TUSD'!$A$123,$A$2,TUSD!$AV$67:'TUSD'!$AV$123)</f>
        <v>0</v>
      </c>
      <c r="P10" s="39">
        <f>SUMIF(TUSD!$A$67:'TUSD'!$A$123,$A$2,TUSD!$AW$67:'TUSD'!$AW$123)</f>
        <v>0</v>
      </c>
      <c r="Q10" s="39">
        <f>SUMIF(TUSD!$A$67:'TUSD'!$A$123,$A$2,TUSD!$AX$67:'TUSD'!$AX$123)</f>
        <v>398278.38555329689</v>
      </c>
      <c r="R10" s="39">
        <f>SUMIF(TUSD!$A$67:'TUSD'!$A$123,$A$2,TUSD!$AY$67:'TUSD'!$AY$123)</f>
        <v>0</v>
      </c>
      <c r="S10" s="39">
        <f>SUMIF(TUSD!$A$67:'TUSD'!$A$123,$A$2,TUSD!$AZ$67:'TUSD'!$AZ$123)</f>
        <v>0</v>
      </c>
      <c r="T10" s="39">
        <f>SUMIF(TUSD!$A$67:'TUSD'!$A$123,$A$2,TUSD!$BA$67:'TUSD'!$BA$123)</f>
        <v>51239.889227171072</v>
      </c>
      <c r="U10" s="39">
        <f>SUMIF(TUSD!$A$67:'TUSD'!$A$123,$A$2,TUSD!$BB$67:'TUSD'!$BB$123)</f>
        <v>1614.2930073045206</v>
      </c>
      <c r="V10" s="39">
        <f>SUMIF(TUSD!$A$67:'TUSD'!$A$123,$A$2,TUSD!$BC$67:'TUSD'!$BC$123)</f>
        <v>11787.020723144638</v>
      </c>
      <c r="W10" s="39">
        <f>SUMIF(TUSD!$A$67:'TUSD'!$A$123,$A$2,TUSD!$BD$67:'TUSD'!$BD$123)</f>
        <v>2072.65839381249</v>
      </c>
      <c r="X10" s="39">
        <f t="shared" si="0"/>
        <v>1793579.5667462898</v>
      </c>
      <c r="AD10" s="14" t="s">
        <v>89</v>
      </c>
    </row>
    <row r="11" spans="1:33" x14ac:dyDescent="0.2">
      <c r="A11" s="14" t="s">
        <v>1243</v>
      </c>
      <c r="B11" s="39">
        <f>SUMIF(TUSD!$A$67:'TUSD'!$A$123,$A$2,TUSD!$L$67:'TUSD'!$L$123)</f>
        <v>10275.252666130626</v>
      </c>
      <c r="C11" s="39">
        <f>SUMIF(TUSD!$A$67:'TUSD'!$A$123,$A$2,TUSD!$M$67:'TUSD'!$M$123)</f>
        <v>1881.4970754233329</v>
      </c>
      <c r="D11" s="39">
        <f ca="1">SUMIF(TUSD!$A$67:'TUSD'!$A$123,$A$2,TUSD!$N$67:'TUSD'!$N$123)</f>
        <v>12472.27449203212</v>
      </c>
      <c r="E11" s="39">
        <f>SUMIF(TUSD!$A$67:'TUSD'!$A$123,$A$2,TUSD!$O$67:'TUSD'!$O$123)</f>
        <v>0</v>
      </c>
      <c r="F11" s="39">
        <f>SUMIF(TUSD!$A$67:'TUSD'!$A$123,$A$2,TUSD!$P$67:'TUSD'!$P$123)</f>
        <v>0</v>
      </c>
      <c r="G11" s="39">
        <f>SUMIF(TUSD!$A$67:'TUSD'!$A$123,$A$2,TUSD!$Q$67:'TUSD'!$Q$123)</f>
        <v>787257.65674939798</v>
      </c>
      <c r="H11" s="39">
        <f>SUMIF(TUSD!$A$67:'TUSD'!$A$123,$A$2,TUSD!$R$67:'TUSD'!$R$123)</f>
        <v>158716.92301526936</v>
      </c>
      <c r="I11" s="39">
        <f>SUMIF(TUSD!$A$67:'TUSD'!$A$123,$A$2,TUSD!$S$67:'TUSD'!$S$123)</f>
        <v>0</v>
      </c>
      <c r="J11" s="39">
        <f>SUMIF(TUSD!$A$67:'TUSD'!$A$123,$A$2,TUSD!$T$67:'TUSD'!$T$123)</f>
        <v>0</v>
      </c>
      <c r="K11" s="39">
        <f>SUMIF(TUSD!$A$67:'TUSD'!$A$123,$A$2,TUSD!$U$67:'TUSD'!$U$123)</f>
        <v>0</v>
      </c>
      <c r="L11" s="39">
        <f>SUMIF(TUSD!$A$67:'TUSD'!$A$123,$A$2,TUSD!$V$67:'TUSD'!$V$123)</f>
        <v>0</v>
      </c>
      <c r="M11" s="39">
        <f>SUMIF(TUSD!$A$67:'TUSD'!$A$123,$A$2,TUSD!$W$67:'TUSD'!$W$123)</f>
        <v>0</v>
      </c>
      <c r="N11" s="39">
        <f>SUMIF(TUSD!$A$67:'TUSD'!$A$123,$A$2,TUSD!$X$67:'TUSD'!$X$123)</f>
        <v>970895.95814953046</v>
      </c>
      <c r="O11" s="39">
        <f>SUMIF(TUSD!$A$67:'TUSD'!$A$123,$A$2,TUSD!$Y$67:'TUSD'!$Y$123)</f>
        <v>0</v>
      </c>
      <c r="P11" s="39">
        <f>SUMIF(TUSD!$A$67:'TUSD'!$A$123,$A$2,TUSD!$Z$67:'TUSD'!$Z$123)</f>
        <v>0</v>
      </c>
      <c r="Q11" s="39">
        <f>SUMIF(TUSD!$A$67:'TUSD'!$A$123,$A$2,TUSD!$AA$67:'TUSD'!$AA$123)</f>
        <v>560174.93589296844</v>
      </c>
      <c r="R11" s="39">
        <f ca="1">SUMIF(TUSD!$A$67:'TUSD'!$A$123,$A$2,TUSD!$AB$67:'TUSD'!$AB$123)</f>
        <v>0</v>
      </c>
      <c r="S11" s="39">
        <f ca="1">SUMIF(TUSD!$A$67:'TUSD'!$A$123,$A$2,TUSD!$AC$67:'TUSD'!$AC$123)</f>
        <v>0</v>
      </c>
      <c r="T11" s="39">
        <f>SUMIF(TUSD!$A$67:'TUSD'!$A$123,$A$2,TUSD!$AD$67:'TUSD'!$AD$123)</f>
        <v>46991.131036910752</v>
      </c>
      <c r="U11" s="39">
        <f>SUMIF(TUSD!$A$67:'TUSD'!$A$123,$A$2,TUSD!$AE$67:'TUSD'!$AE$123)</f>
        <v>1726.8947552721784</v>
      </c>
      <c r="V11" s="39">
        <f ca="1">SUMIF(TUSD!$A$67:'TUSD'!$A$123,$A$2,TUSD!$AF$67:'TUSD'!$AF$123)</f>
        <v>11961.891849404123</v>
      </c>
      <c r="W11" s="39">
        <f ca="1">SUMIF(TUSD!$A$67:'TUSD'!$A$123,$A$2,TUSD!$AG$67:'TUSD'!$AG$123)</f>
        <v>2177.9106768026454</v>
      </c>
      <c r="X11" s="39">
        <f t="shared" ca="1" si="0"/>
        <v>2564532.3263591421</v>
      </c>
    </row>
    <row r="13" spans="1:33" x14ac:dyDescent="0.2">
      <c r="A13" s="14" t="s">
        <v>1247</v>
      </c>
      <c r="B13" s="58">
        <f t="shared" ref="B13:X13" si="1">IF($X$6&lt;&gt;0,(B$7-B$6)/$X$6,0)</f>
        <v>-8.4436055176830473E-3</v>
      </c>
      <c r="C13" s="58">
        <f t="shared" si="1"/>
        <v>2.5842394962340267E-4</v>
      </c>
      <c r="D13" s="58">
        <f t="shared" ca="1" si="1"/>
        <v>1.3855463990538534E-3</v>
      </c>
      <c r="E13" s="58">
        <f t="shared" si="1"/>
        <v>0</v>
      </c>
      <c r="F13" s="58">
        <f t="shared" si="1"/>
        <v>0</v>
      </c>
      <c r="G13" s="58">
        <f t="shared" si="1"/>
        <v>0.17632031655146466</v>
      </c>
      <c r="H13" s="58">
        <f t="shared" si="1"/>
        <v>3.7623202609426407E-2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4.6278952469971213E-2</v>
      </c>
      <c r="O13" s="58">
        <f t="shared" si="1"/>
        <v>0</v>
      </c>
      <c r="P13" s="58">
        <f t="shared" si="1"/>
        <v>0</v>
      </c>
      <c r="Q13" s="58">
        <f t="shared" si="1"/>
        <v>5.1500629930822529E-2</v>
      </c>
      <c r="R13" s="58">
        <f t="shared" ca="1" si="1"/>
        <v>0</v>
      </c>
      <c r="S13" s="58">
        <f t="shared" ca="1" si="1"/>
        <v>0</v>
      </c>
      <c r="T13" s="58">
        <f t="shared" si="1"/>
        <v>-3.9868079634321823E-3</v>
      </c>
      <c r="U13" s="58">
        <f t="shared" si="1"/>
        <v>1.1131293610974189E-4</v>
      </c>
      <c r="V13" s="58">
        <f t="shared" ca="1" si="1"/>
        <v>-6.5923695310350628E-4</v>
      </c>
      <c r="W13" s="58">
        <f t="shared" ca="1" si="1"/>
        <v>-7.2159918847502545E-5</v>
      </c>
      <c r="X13" s="58">
        <f t="shared" ca="1" si="1"/>
        <v>0.30031657449340526</v>
      </c>
    </row>
    <row r="14" spans="1:33" x14ac:dyDescent="0.2">
      <c r="A14" s="14" t="s">
        <v>1248</v>
      </c>
      <c r="B14" s="58">
        <f t="shared" ref="B14:X14" si="2">IF($X$10&lt;&gt;0,(B$9-B$8)/$X$10,0)</f>
        <v>-9.1807925279183446E-3</v>
      </c>
      <c r="C14" s="58">
        <f t="shared" si="2"/>
        <v>3.3366471348712307E-4</v>
      </c>
      <c r="D14" s="58">
        <f t="shared" ca="1" si="2"/>
        <v>2.0436813415010946E-3</v>
      </c>
      <c r="E14" s="58">
        <f t="shared" si="2"/>
        <v>0</v>
      </c>
      <c r="F14" s="58">
        <f t="shared" si="2"/>
        <v>0</v>
      </c>
      <c r="G14" s="58">
        <f t="shared" si="2"/>
        <v>0.1828682946598604</v>
      </c>
      <c r="H14" s="58">
        <f t="shared" si="2"/>
        <v>4.2669939471153523E-2</v>
      </c>
      <c r="I14" s="58">
        <f t="shared" si="2"/>
        <v>0</v>
      </c>
      <c r="J14" s="58">
        <f t="shared" si="2"/>
        <v>0</v>
      </c>
      <c r="K14" s="58">
        <f t="shared" si="2"/>
        <v>0</v>
      </c>
      <c r="L14" s="58">
        <f t="shared" si="2"/>
        <v>0</v>
      </c>
      <c r="M14" s="58">
        <f t="shared" si="2"/>
        <v>0</v>
      </c>
      <c r="N14" s="58">
        <f t="shared" si="2"/>
        <v>0.12299091755726937</v>
      </c>
      <c r="O14" s="58">
        <f t="shared" si="2"/>
        <v>0</v>
      </c>
      <c r="P14" s="58">
        <f t="shared" si="2"/>
        <v>0</v>
      </c>
      <c r="Q14" s="58">
        <f t="shared" si="2"/>
        <v>9.0264493051382191E-2</v>
      </c>
      <c r="R14" s="58">
        <f t="shared" ca="1" si="2"/>
        <v>0</v>
      </c>
      <c r="S14" s="58">
        <f t="shared" ca="1" si="2"/>
        <v>0</v>
      </c>
      <c r="T14" s="58">
        <f t="shared" si="2"/>
        <v>-2.3688707593652724E-3</v>
      </c>
      <c r="U14" s="58">
        <f t="shared" si="2"/>
        <v>6.278045872920327E-5</v>
      </c>
      <c r="V14" s="58">
        <f t="shared" ca="1" si="2"/>
        <v>9.749839343716198E-5</v>
      </c>
      <c r="W14" s="58">
        <f t="shared" ca="1" si="2"/>
        <v>5.8682806685343922E-5</v>
      </c>
      <c r="X14" s="58">
        <f t="shared" ca="1" si="2"/>
        <v>0.42984028916622191</v>
      </c>
    </row>
    <row r="15" spans="1:33" x14ac:dyDescent="0.2">
      <c r="A15" s="14" t="s">
        <v>1249</v>
      </c>
      <c r="B15" s="58">
        <f t="shared" ref="B15:X15" si="3">IF($X$8&lt;&gt;0,(B$9-B$8)/$X$8,0)</f>
        <v>-9.1807925279183446E-3</v>
      </c>
      <c r="C15" s="58">
        <f t="shared" si="3"/>
        <v>3.3366471348712307E-4</v>
      </c>
      <c r="D15" s="58">
        <f t="shared" ca="1" si="3"/>
        <v>2.0436813415010946E-3</v>
      </c>
      <c r="E15" s="58">
        <f t="shared" si="3"/>
        <v>0</v>
      </c>
      <c r="F15" s="58">
        <f t="shared" si="3"/>
        <v>0</v>
      </c>
      <c r="G15" s="58">
        <f t="shared" si="3"/>
        <v>0.1828682946598604</v>
      </c>
      <c r="H15" s="58">
        <f t="shared" si="3"/>
        <v>4.2669939471153523E-2</v>
      </c>
      <c r="I15" s="58">
        <f t="shared" si="3"/>
        <v>0</v>
      </c>
      <c r="J15" s="58">
        <f t="shared" si="3"/>
        <v>0</v>
      </c>
      <c r="K15" s="58">
        <f t="shared" si="3"/>
        <v>0</v>
      </c>
      <c r="L15" s="58">
        <f t="shared" si="3"/>
        <v>0</v>
      </c>
      <c r="M15" s="58">
        <f t="shared" si="3"/>
        <v>0</v>
      </c>
      <c r="N15" s="58">
        <f t="shared" si="3"/>
        <v>0.12299091755726937</v>
      </c>
      <c r="O15" s="58">
        <f t="shared" si="3"/>
        <v>0</v>
      </c>
      <c r="P15" s="58">
        <f t="shared" si="3"/>
        <v>0</v>
      </c>
      <c r="Q15" s="58">
        <f t="shared" si="3"/>
        <v>9.0264493051382191E-2</v>
      </c>
      <c r="R15" s="58">
        <f t="shared" ca="1" si="3"/>
        <v>0</v>
      </c>
      <c r="S15" s="58">
        <f t="shared" ca="1" si="3"/>
        <v>0</v>
      </c>
      <c r="T15" s="58">
        <f t="shared" si="3"/>
        <v>-2.3688707593652724E-3</v>
      </c>
      <c r="U15" s="58">
        <f t="shared" si="3"/>
        <v>6.278045872920327E-5</v>
      </c>
      <c r="V15" s="58">
        <f t="shared" ca="1" si="3"/>
        <v>9.749839343716198E-5</v>
      </c>
      <c r="W15" s="58">
        <f t="shared" ca="1" si="3"/>
        <v>5.8682806685343922E-5</v>
      </c>
      <c r="X15" s="58">
        <f t="shared" ca="1" si="3"/>
        <v>0.42984028916622191</v>
      </c>
    </row>
  </sheetData>
  <dataValidations count="5">
    <dataValidation type="list" allowBlank="1" showInputMessage="1" showErrorMessage="1" error="Deve-se selecionar grupo válido" sqref="A2:B2" xr:uid="{F6D83BEC-55D9-4B49-BDC4-6B3A1782668D}">
      <formula1>AA1:AA7</formula1>
    </dataValidation>
    <dataValidation type="list" allowBlank="1" showInputMessage="1" showErrorMessage="1" error="Deve-se selecionar grupo válido" sqref="C2 E2" xr:uid="{5B632EEB-0B34-409F-8F16-CBC4D2D8FA58}">
      <formula1>AC1:AC4</formula1>
    </dataValidation>
    <dataValidation type="list" allowBlank="1" showInputMessage="1" showErrorMessage="1" error="Deve-se selecionar grupo válido" sqref="D2" xr:uid="{6066DBDC-D9FD-4268-BF96-5C8A99CA1FF0}">
      <formula1>AD1:AD10</formula1>
    </dataValidation>
    <dataValidation type="list" allowBlank="1" showInputMessage="1" showErrorMessage="1" error="Deve-se selecionar grupo válido" sqref="F2" xr:uid="{A00A8377-E60F-4186-8BBB-AB64D3A61E0D}">
      <formula1>AF1:AF1</formula1>
    </dataValidation>
    <dataValidation type="list" allowBlank="1" showInputMessage="1" showErrorMessage="1" error="Deve-se selecionar grupo válido" sqref="G2" xr:uid="{2A836DEB-3BD6-457C-A1E0-CD1306D617C9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C160C-978D-4DF0-967C-1DE1ACEFD72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6" width="10.28515625" style="14" bestFit="1" customWidth="1"/>
    <col min="7" max="7" width="14.85546875" style="14" bestFit="1" customWidth="1"/>
    <col min="8" max="9" width="10" style="14" bestFit="1" customWidth="1"/>
    <col min="10" max="10" width="6.42578125" style="14" bestFit="1" customWidth="1"/>
    <col min="11" max="11" width="7.710937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.85546875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61</v>
      </c>
      <c r="B1" s="14" t="s">
        <v>62</v>
      </c>
      <c r="C1" s="14" t="s">
        <v>63</v>
      </c>
      <c r="D1" s="14" t="s">
        <v>64</v>
      </c>
      <c r="E1" s="14" t="s">
        <v>65</v>
      </c>
      <c r="F1" s="14" t="s">
        <v>15</v>
      </c>
      <c r="G1" s="14" t="s">
        <v>67</v>
      </c>
      <c r="I1" s="14" t="s">
        <v>1246</v>
      </c>
      <c r="AA1" s="14" t="s">
        <v>42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42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A3a</v>
      </c>
      <c r="AA2" s="14" t="s">
        <v>33</v>
      </c>
      <c r="AB2" s="14" t="s">
        <v>70</v>
      </c>
      <c r="AC2" s="14" t="s">
        <v>24</v>
      </c>
      <c r="AD2" s="14" t="s">
        <v>24</v>
      </c>
      <c r="AG2" s="14" t="s">
        <v>72</v>
      </c>
    </row>
    <row r="3" spans="1:33" x14ac:dyDescent="0.2">
      <c r="AA3" s="14" t="s">
        <v>22</v>
      </c>
      <c r="AB3" s="14" t="s">
        <v>74</v>
      </c>
      <c r="AC3" s="14" t="s">
        <v>45</v>
      </c>
      <c r="AD3" s="14" t="s">
        <v>29</v>
      </c>
      <c r="AG3" s="14" t="s">
        <v>73</v>
      </c>
    </row>
    <row r="4" spans="1:33" x14ac:dyDescent="0.2">
      <c r="AA4" s="14" t="s">
        <v>44</v>
      </c>
      <c r="AB4" s="14" t="s">
        <v>85</v>
      </c>
      <c r="AC4" s="14" t="s">
        <v>48</v>
      </c>
      <c r="AD4" s="14" t="s">
        <v>30</v>
      </c>
      <c r="AG4" s="14" t="s">
        <v>75</v>
      </c>
    </row>
    <row r="5" spans="1:33" x14ac:dyDescent="0.2">
      <c r="A5" s="14" t="s">
        <v>1239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619</v>
      </c>
      <c r="AA5" s="14" t="s">
        <v>39</v>
      </c>
      <c r="AD5" s="14" t="s">
        <v>31</v>
      </c>
      <c r="AG5" s="14" t="s">
        <v>84</v>
      </c>
    </row>
    <row r="6" spans="1:33" x14ac:dyDescent="0.2">
      <c r="A6" s="14" t="s">
        <v>1240</v>
      </c>
      <c r="B6" s="39">
        <f>SUM(TE!$X$51:'TE'!$X$91)</f>
        <v>519583.28639991186</v>
      </c>
      <c r="C6" s="39">
        <f>SUM(TE!$Y$51:'TE'!$Y$91)</f>
        <v>2881131.8962216284</v>
      </c>
      <c r="D6" s="39">
        <f>SUM(TE!$Z$51:'TE'!$Z$91)</f>
        <v>0</v>
      </c>
      <c r="E6" s="39">
        <f>SUM(TE!$AA$51:'TE'!$AA$91)</f>
        <v>0</v>
      </c>
      <c r="F6" s="39">
        <f>SUM(TE!$AB$51:'TE'!$AB$91)</f>
        <v>0</v>
      </c>
      <c r="G6" s="39">
        <f>SUM(TE!$AC$51:'TE'!$AC$91)</f>
        <v>47370884.021337196</v>
      </c>
      <c r="H6" s="39">
        <f>SUM(TE!$AD$51:'TE'!$AD$91)</f>
        <v>1944112.868304813</v>
      </c>
      <c r="I6" s="39">
        <f>SUM(TE!$AE$51:'TE'!$AE$91)</f>
        <v>2174514.3504113853</v>
      </c>
      <c r="J6" s="39">
        <f>SUM(TE!$AF$51:'TE'!$AF$91)</f>
        <v>0</v>
      </c>
      <c r="K6" s="39">
        <f>SUM(TE!$AG$51:'TE'!$AG$91)</f>
        <v>0</v>
      </c>
      <c r="L6" s="39">
        <f>SUM(TE!$AH$51:'TE'!$AH$91)</f>
        <v>1290110.6219542075</v>
      </c>
      <c r="M6" s="39">
        <f t="shared" ref="M6:M11" si="0">SUM(B6:L6)</f>
        <v>56180337.044629142</v>
      </c>
      <c r="AA6" s="14" t="s">
        <v>47</v>
      </c>
      <c r="AD6" s="14" t="s">
        <v>32</v>
      </c>
    </row>
    <row r="7" spans="1:33" x14ac:dyDescent="0.2">
      <c r="A7" s="14" t="s">
        <v>1241</v>
      </c>
      <c r="B7" s="39">
        <f>SUM(TE!$L$51:'TE'!$L$91)</f>
        <v>482709.17771208164</v>
      </c>
      <c r="C7" s="39">
        <f>SUM(TE!$M$51:'TE'!$M$91)</f>
        <v>4943763.2211911147</v>
      </c>
      <c r="D7" s="39">
        <f>SUM(TE!$N$51:'TE'!$N$91)</f>
        <v>0</v>
      </c>
      <c r="E7" s="39">
        <f>SUM(TE!$O$51:'TE'!$O$91)</f>
        <v>1138033.8071728454</v>
      </c>
      <c r="F7" s="39">
        <f>SUM(TE!$P$51:'TE'!$P$91)</f>
        <v>-3100335.8811927652</v>
      </c>
      <c r="G7" s="39">
        <f>SUM(TE!$Q$51:'TE'!$Q$91)</f>
        <v>43424841.733725689</v>
      </c>
      <c r="H7" s="39">
        <f>SUM(TE!$R$51:'TE'!$R$91)</f>
        <v>1922043.5179937033</v>
      </c>
      <c r="I7" s="39">
        <f>SUM(TE!$S$51:'TE'!$S$91)</f>
        <v>1267440.1694824321</v>
      </c>
      <c r="J7" s="39">
        <f>SUM(TE!$T$51:'TE'!$T$91)</f>
        <v>0</v>
      </c>
      <c r="K7" s="39">
        <f>SUM(TE!$U$51:'TE'!$U$91)</f>
        <v>0</v>
      </c>
      <c r="L7" s="39">
        <f>SUM(TE!$V$51:'TE'!$V$91)</f>
        <v>1381968.8127821956</v>
      </c>
      <c r="M7" s="39">
        <f t="shared" si="0"/>
        <v>51460464.558867298</v>
      </c>
      <c r="AD7" s="14" t="s">
        <v>87</v>
      </c>
    </row>
    <row r="8" spans="1:33" x14ac:dyDescent="0.2">
      <c r="A8" s="14" t="s">
        <v>1244</v>
      </c>
      <c r="B8" s="39">
        <f>IF($G$2&lt;&gt;"Não se aplica",SUMIF(TE!$G$51:'TE'!$G$91,$I$2,TE!$X$51:'TE'!$X$91),IF($F$2&lt;&gt;"Não se aplica",SUMIF(TE!$F$51:'TE'!$F$91,$I$2,TE!$X$51:'TE'!$X$91),IF($E$2&lt;&gt;"Não se aplica",SUMIF(TE!$E$51:'TE'!$E$91,$I$2,TE!$X$51:'TE'!$X$91),IF($D$2&lt;&gt;"Não se aplica",SUMIF(TE!$D$51:'TE'!$D$91,$I$2,TE!$X$51:'TE'!$X$91),IF($C$2&lt;&gt;"Não se aplica",SUMIF(TE!$C$51:'TE'!$C$91,$I$2,TE!$X$51:'TE'!$X$91),IF($B$2&lt;&gt;"Não se aplica",SUMIF(TE!$B$51:'TE'!$B$91,$I$2,TE!$X$51:'TE'!$X$91),SUMIF(TE!$A$51:'TE'!$A$91,$I$2,TE!$X$51:'TE'!$X$91)))))))</f>
        <v>11299.571578978574</v>
      </c>
      <c r="C8" s="39">
        <f>IF($G$2&lt;&gt;"Não se aplica",SUMIF(TE!$G$51:'TE'!$G$91,$I$2,TE!$Y$51:'TE'!$Y$91),IF($F$2&lt;&gt;"Não se aplica",SUMIF(TE!$F$51:'TE'!$F$91,$I$2,TE!$Y$51:'TE'!$Y$91),IF($E$2&lt;&gt;"Não se aplica",SUMIF(TE!$E$51:'TE'!$E$91,$I$2,TE!$Y$51:'TE'!$Y$91),IF($D$2&lt;&gt;"Não se aplica",SUMIF(TE!$D$51:'TE'!$D$91,$I$2,TE!$Y$51:'TE'!$Y$91),IF($C$2&lt;&gt;"Não se aplica",SUMIF(TE!$C$51:'TE'!$C$91,$I$2,TE!$Y$51:'TE'!$Y$91),IF($B$2&lt;&gt;"Não se aplica",SUMIF(TE!$B$51:'TE'!$B$91,$I$2,TE!$Y$51:'TE'!$Y$91),SUMIF(TE!$A$51:'TE'!$A$91,$I$2,TE!$Y$51:'TE'!$Y$91)))))))</f>
        <v>62657.0502592673</v>
      </c>
      <c r="D8" s="39">
        <f>IF($G$2&lt;&gt;"Não se aplica",SUMIF(TE!$G$51:'TE'!$G$91,$I$2,TE!$Z$51:'TE'!$Z$91),IF($F$2&lt;&gt;"Não se aplica",SUMIF(TE!$F$51:'TE'!$F$91,$I$2,TE!$Z$51:'TE'!$Z$91),IF($E$2&lt;&gt;"Não se aplica",SUMIF(TE!$E$51:'TE'!$E$91,$I$2,TE!$Z$51:'TE'!$Z$91),IF($D$2&lt;&gt;"Não se aplica",SUMIF(TE!$D$51:'TE'!$D$91,$I$2,TE!$Z$51:'TE'!$Z$91),IF($C$2&lt;&gt;"Não se aplica",SUMIF(TE!$C$51:'TE'!$C$91,$I$2,TE!$Z$51:'TE'!$Z$91),IF($B$2&lt;&gt;"Não se aplica",SUMIF(TE!$B$51:'TE'!$B$91,$I$2,TE!$Z$51:'TE'!$Z$91),SUMIF(TE!$A$51:'TE'!$A$91,$I$2,TE!$Z$51:'TE'!$Z$91)))))))</f>
        <v>0</v>
      </c>
      <c r="E8" s="39">
        <f>IF($G$2&lt;&gt;"Não se aplica",SUMIF(TE!$G$51:'TE'!$G$91,$I$2,TE!$AA$51:'TE'!$AA$91),IF($F$2&lt;&gt;"Não se aplica",SUMIF(TE!$F$51:'TE'!$F$91,$I$2,TE!$AA$51:'TE'!$AA$91),IF($E$2&lt;&gt;"Não se aplica",SUMIF(TE!$E$51:'TE'!$E$91,$I$2,TE!$AA$51:'TE'!$AA$91),IF($D$2&lt;&gt;"Não se aplica",SUMIF(TE!$D$51:'TE'!$D$91,$I$2,TE!$AA$51:'TE'!$AA$91),IF($C$2&lt;&gt;"Não se aplica",SUMIF(TE!$C$51:'TE'!$C$91,$I$2,TE!$AA$51:'TE'!$AA$91),IF($B$2&lt;&gt;"Não se aplica",SUMIF(TE!$B$51:'TE'!$B$91,$I$2,TE!$AA$51:'TE'!$AA$91),SUMIF(TE!$A$51:'TE'!$A$91,$I$2,TE!$AA$51:'TE'!$AA$91)))))))</f>
        <v>0</v>
      </c>
      <c r="F8" s="39">
        <f>IF($G$2&lt;&gt;"Não se aplica",SUMIF(TE!$G$51:'TE'!$G$91,$I$2,TE!$AB$51:'TE'!$AB$91),IF($F$2&lt;&gt;"Não se aplica",SUMIF(TE!$F$51:'TE'!$F$91,$I$2,TE!$AB$51:'TE'!$AB$91),IF($E$2&lt;&gt;"Não se aplica",SUMIF(TE!$E$51:'TE'!$E$91,$I$2,TE!$AB$51:'TE'!$AB$91),IF($D$2&lt;&gt;"Não se aplica",SUMIF(TE!$D$51:'TE'!$D$91,$I$2,TE!$AB$51:'TE'!$AB$91),IF($C$2&lt;&gt;"Não se aplica",SUMIF(TE!$C$51:'TE'!$C$91,$I$2,TE!$AB$51:'TE'!$AB$91),IF($B$2&lt;&gt;"Não se aplica",SUMIF(TE!$B$51:'TE'!$B$91,$I$2,TE!$AB$51:'TE'!$AB$91),SUMIF(TE!$A$51:'TE'!$A$91,$I$2,TE!$AB$51:'TE'!$AB$91)))))))</f>
        <v>0</v>
      </c>
      <c r="G8" s="39">
        <f>IF($G$2&lt;&gt;"Não se aplica",SUMIF(TE!$G$51:'TE'!$G$91,$I$2,TE!$AC$51:'TE'!$AC$91),IF($F$2&lt;&gt;"Não se aplica",SUMIF(TE!$F$51:'TE'!$F$91,$I$2,TE!$AC$51:'TE'!$AC$91),IF($E$2&lt;&gt;"Não se aplica",SUMIF(TE!$E$51:'TE'!$E$91,$I$2,TE!$AC$51:'TE'!$AC$91),IF($D$2&lt;&gt;"Não se aplica",SUMIF(TE!$D$51:'TE'!$D$91,$I$2,TE!$AC$51:'TE'!$AC$91),IF($C$2&lt;&gt;"Não se aplica",SUMIF(TE!$C$51:'TE'!$C$91,$I$2,TE!$AC$51:'TE'!$AC$91),IF($B$2&lt;&gt;"Não se aplica",SUMIF(TE!$B$51:'TE'!$B$91,$I$2,TE!$AC$51:'TE'!$AC$91),SUMIF(TE!$A$51:'TE'!$A$91,$I$2,TE!$AC$51:'TE'!$AC$91)))))))</f>
        <v>1015746.8707192889</v>
      </c>
      <c r="H8" s="39">
        <f>IF($G$2&lt;&gt;"Não se aplica",SUMIF(TE!$G$51:'TE'!$G$91,$I$2,TE!$AD$51:'TE'!$AD$91),IF($F$2&lt;&gt;"Não se aplica",SUMIF(TE!$F$51:'TE'!$F$91,$I$2,TE!$AD$51:'TE'!$AD$91),IF($E$2&lt;&gt;"Não se aplica",SUMIF(TE!$E$51:'TE'!$E$91,$I$2,TE!$AD$51:'TE'!$AD$91),IF($D$2&lt;&gt;"Não se aplica",SUMIF(TE!$D$51:'TE'!$D$91,$I$2,TE!$AD$51:'TE'!$AD$91),IF($C$2&lt;&gt;"Não se aplica",SUMIF(TE!$C$51:'TE'!$C$91,$I$2,TE!$AD$51:'TE'!$AD$91),IF($B$2&lt;&gt;"Não se aplica",SUMIF(TE!$B$51:'TE'!$B$91,$I$2,TE!$AD$51:'TE'!$AD$91),SUMIF(TE!$A$51:'TE'!$A$91,$I$2,TE!$AD$51:'TE'!$AD$91)))))))</f>
        <v>42279.347869776466</v>
      </c>
      <c r="I8" s="39">
        <f>IF($G$2&lt;&gt;"Não se aplica",SUMIF(TE!$G$51:'TE'!$G$91,$I$2,TE!$AE$51:'TE'!$AE$91),IF($F$2&lt;&gt;"Não se aplica",SUMIF(TE!$F$51:'TE'!$F$91,$I$2,TE!$AE$51:'TE'!$AE$91),IF($E$2&lt;&gt;"Não se aplica",SUMIF(TE!$E$51:'TE'!$E$91,$I$2,TE!$AE$51:'TE'!$AE$91),IF($D$2&lt;&gt;"Não se aplica",SUMIF(TE!$D$51:'TE'!$D$91,$I$2,TE!$AE$51:'TE'!$AE$91),IF($C$2&lt;&gt;"Não se aplica",SUMIF(TE!$C$51:'TE'!$C$91,$I$2,TE!$AE$51:'TE'!$AE$91),IF($B$2&lt;&gt;"Não se aplica",SUMIF(TE!$B$51:'TE'!$B$91,$I$2,TE!$AE$51:'TE'!$AE$91),SUMIF(TE!$A$51:'TE'!$A$91,$I$2,TE!$AE$51:'TE'!$AE$91)))))))</f>
        <v>47289.974860888302</v>
      </c>
      <c r="J8" s="39">
        <f>IF($G$2&lt;&gt;"Não se aplica",SUMIF(TE!$G$51:'TE'!$G$91,$I$2,TE!$AF$51:'TE'!$AF$91),IF($F$2&lt;&gt;"Não se aplica",SUMIF(TE!$F$51:'TE'!$F$91,$I$2,TE!$AF$51:'TE'!$AF$91),IF($E$2&lt;&gt;"Não se aplica",SUMIF(TE!$E$51:'TE'!$E$91,$I$2,TE!$AF$51:'TE'!$AF$91),IF($D$2&lt;&gt;"Não se aplica",SUMIF(TE!$D$51:'TE'!$D$91,$I$2,TE!$AF$51:'TE'!$AF$91),IF($C$2&lt;&gt;"Não se aplica",SUMIF(TE!$C$51:'TE'!$C$91,$I$2,TE!$AF$51:'TE'!$AF$91),IF($B$2&lt;&gt;"Não se aplica",SUMIF(TE!$B$51:'TE'!$B$91,$I$2,TE!$AF$51:'TE'!$AF$91),SUMIF(TE!$A$51:'TE'!$A$91,$I$2,TE!$AF$51:'TE'!$AF$91)))))))</f>
        <v>0</v>
      </c>
      <c r="K8" s="39">
        <f>IF($G$2&lt;&gt;"Não se aplica",SUMIF(TE!$G$51:'TE'!$G$91,$I$2,TE!$AG$51:'TE'!$AG$91),IF($F$2&lt;&gt;"Não se aplica",SUMIF(TE!$F$51:'TE'!$F$91,$I$2,TE!$AG$51:'TE'!$AG$91),IF($E$2&lt;&gt;"Não se aplica",SUMIF(TE!$E$51:'TE'!$E$91,$I$2,TE!$AG$51:'TE'!$AG$91),IF($D$2&lt;&gt;"Não se aplica",SUMIF(TE!$D$51:'TE'!$D$91,$I$2,TE!$AG$51:'TE'!$AG$91),IF($C$2&lt;&gt;"Não se aplica",SUMIF(TE!$C$51:'TE'!$C$91,$I$2,TE!$AG$51:'TE'!$AG$91),IF($B$2&lt;&gt;"Não se aplica",SUMIF(TE!$B$51:'TE'!$B$91,$I$2,TE!$AG$51:'TE'!$AG$91),SUMIF(TE!$A$51:'TE'!$A$91,$I$2,TE!$AG$51:'TE'!$AG$91)))))))</f>
        <v>0</v>
      </c>
      <c r="L8" s="39">
        <f>IF($G$2&lt;&gt;"Não se aplica",SUMIF(TE!$G$51:'TE'!$G$91,$I$2,TE!$AH$51:'TE'!$AH$91),IF($F$2&lt;&gt;"Não se aplica",SUMIF(TE!$F$51:'TE'!$F$91,$I$2,TE!$AH$51:'TE'!$AH$91),IF($E$2&lt;&gt;"Não se aplica",SUMIF(TE!$E$51:'TE'!$E$91,$I$2,TE!$AH$51:'TE'!$AH$91),IF($D$2&lt;&gt;"Não se aplica",SUMIF(TE!$D$51:'TE'!$D$91,$I$2,TE!$AH$51:'TE'!$AH$91),IF($C$2&lt;&gt;"Não se aplica",SUMIF(TE!$C$51:'TE'!$C$91,$I$2,TE!$AH$51:'TE'!$AH$91),IF($B$2&lt;&gt;"Não se aplica",SUMIF(TE!$B$51:'TE'!$B$91,$I$2,TE!$AH$51:'TE'!$AH$91),SUMIF(TE!$A$51:'TE'!$A$91,$I$2,TE!$AH$51:'TE'!$AH$91)))))))</f>
        <v>28056.517018817271</v>
      </c>
      <c r="M8" s="39">
        <f t="shared" si="0"/>
        <v>1207329.3323070167</v>
      </c>
      <c r="AD8" s="14" t="s">
        <v>88</v>
      </c>
    </row>
    <row r="9" spans="1:33" x14ac:dyDescent="0.2">
      <c r="A9" s="14" t="s">
        <v>1245</v>
      </c>
      <c r="B9" s="39">
        <f>IF($G$2&lt;&gt;"Não se aplica",SUMIF(TE!$G$51:'TE'!$G$91,$I$2,TE!$L$51:'TE'!$L$91),IF($F$2&lt;&gt;"Não se aplica",SUMIF(TE!$F$51:'TE'!$F$91,$I$2,TE!$L$51:'TE'!$L$91),IF($E$2&lt;&gt;"Não se aplica",SUMIF(TE!$E$51:'TE'!$E$91,$I$2,TE!$L$51:'TE'!$L$91),IF($D$2&lt;&gt;"Não se aplica",SUMIF(TE!$D$51:'TE'!$D$91,$I$2,TE!$L$51:'TE'!$L$91),IF($C$2&lt;&gt;"Não se aplica",SUMIF(TE!$C$51:'TE'!$C$91,$I$2,TE!$L$51:'TE'!$L$91),IF($B$2&lt;&gt;"Não se aplica",SUMIF(TE!$B$51:'TE'!$B$91,$I$2,TE!$L$51:'TE'!$L$91),SUMIF(TE!$A$51:'TE'!$A$91,$I$2,TE!$L$51:'TE'!$L$91)))))))</f>
        <v>10476.598429892745</v>
      </c>
      <c r="C9" s="39">
        <f>IF($G$2&lt;&gt;"Não se aplica",SUMIF(TE!$G$51:'TE'!$G$91,$I$2,TE!$M$51:'TE'!$M$91),IF($F$2&lt;&gt;"Não se aplica",SUMIF(TE!$F$51:'TE'!$F$91,$I$2,TE!$M$51:'TE'!$M$91),IF($E$2&lt;&gt;"Não se aplica",SUMIF(TE!$E$51:'TE'!$E$91,$I$2,TE!$M$51:'TE'!$M$91),IF($D$2&lt;&gt;"Não se aplica",SUMIF(TE!$D$51:'TE'!$D$91,$I$2,TE!$M$51:'TE'!$M$91),IF($C$2&lt;&gt;"Não se aplica",SUMIF(TE!$C$51:'TE'!$C$91,$I$2,TE!$M$51:'TE'!$M$91),IF($B$2&lt;&gt;"Não se aplica",SUMIF(TE!$B$51:'TE'!$B$91,$I$2,TE!$M$51:'TE'!$M$91),SUMIF(TE!$A$51:'TE'!$A$91,$I$2,TE!$M$51:'TE'!$M$91)))))))</f>
        <v>107298.19193905078</v>
      </c>
      <c r="D9" s="39">
        <f>IF($G$2&lt;&gt;"Não se aplica",SUMIF(TE!$G$51:'TE'!$G$91,$I$2,TE!$N$51:'TE'!$N$91),IF($F$2&lt;&gt;"Não se aplica",SUMIF(TE!$F$51:'TE'!$F$91,$I$2,TE!$N$51:'TE'!$N$91),IF($E$2&lt;&gt;"Não se aplica",SUMIF(TE!$E$51:'TE'!$E$91,$I$2,TE!$N$51:'TE'!$N$91),IF($D$2&lt;&gt;"Não se aplica",SUMIF(TE!$D$51:'TE'!$D$91,$I$2,TE!$N$51:'TE'!$N$91),IF($C$2&lt;&gt;"Não se aplica",SUMIF(TE!$C$51:'TE'!$C$91,$I$2,TE!$N$51:'TE'!$N$91),IF($B$2&lt;&gt;"Não se aplica",SUMIF(TE!$B$51:'TE'!$B$91,$I$2,TE!$N$51:'TE'!$N$91),SUMIF(TE!$A$51:'TE'!$A$91,$I$2,TE!$N$51:'TE'!$N$91)))))))</f>
        <v>0</v>
      </c>
      <c r="E9" s="39">
        <f>IF($G$2&lt;&gt;"Não se aplica",SUMIF(TE!$G$51:'TE'!$G$91,$I$2,TE!$O$51:'TE'!$O$91),IF($F$2&lt;&gt;"Não se aplica",SUMIF(TE!$F$51:'TE'!$F$91,$I$2,TE!$O$51:'TE'!$O$91),IF($E$2&lt;&gt;"Não se aplica",SUMIF(TE!$E$51:'TE'!$E$91,$I$2,TE!$O$51:'TE'!$O$91),IF($D$2&lt;&gt;"Não se aplica",SUMIF(TE!$D$51:'TE'!$D$91,$I$2,TE!$O$51:'TE'!$O$91),IF($C$2&lt;&gt;"Não se aplica",SUMIF(TE!$C$51:'TE'!$C$91,$I$2,TE!$O$51:'TE'!$O$91),IF($B$2&lt;&gt;"Não se aplica",SUMIF(TE!$B$51:'TE'!$B$91,$I$2,TE!$O$51:'TE'!$O$91),SUMIF(TE!$A$51:'TE'!$A$91,$I$2,TE!$O$51:'TE'!$O$91)))))))</f>
        <v>24699.599153889216</v>
      </c>
      <c r="F9" s="39">
        <f>IF($G$2&lt;&gt;"Não se aplica",SUMIF(TE!$G$51:'TE'!$G$91,$I$2,TE!$P$51:'TE'!$P$91),IF($F$2&lt;&gt;"Não se aplica",SUMIF(TE!$F$51:'TE'!$F$91,$I$2,TE!$P$51:'TE'!$P$91),IF($E$2&lt;&gt;"Não se aplica",SUMIF(TE!$E$51:'TE'!$E$91,$I$2,TE!$P$51:'TE'!$P$91),IF($D$2&lt;&gt;"Não se aplica",SUMIF(TE!$D$51:'TE'!$D$91,$I$2,TE!$P$51:'TE'!$P$91),IF($C$2&lt;&gt;"Não se aplica",SUMIF(TE!$C$51:'TE'!$C$91,$I$2,TE!$P$51:'TE'!$P$91),IF($B$2&lt;&gt;"Não se aplica",SUMIF(TE!$B$51:'TE'!$B$91,$I$2,TE!$P$51:'TE'!$P$91),SUMIF(TE!$A$51:'TE'!$A$91,$I$2,TE!$P$51:'TE'!$P$91)))))))</f>
        <v>-67288.909191649902</v>
      </c>
      <c r="G9" s="39">
        <f>IF($G$2&lt;&gt;"Não se aplica",SUMIF(TE!$G$51:'TE'!$G$91,$I$2,TE!$Q$51:'TE'!$Q$91),IF($F$2&lt;&gt;"Não se aplica",SUMIF(TE!$F$51:'TE'!$F$91,$I$2,TE!$Q$51:'TE'!$Q$91),IF($E$2&lt;&gt;"Não se aplica",SUMIF(TE!$E$51:'TE'!$E$91,$I$2,TE!$Q$51:'TE'!$Q$91),IF($D$2&lt;&gt;"Não se aplica",SUMIF(TE!$D$51:'TE'!$D$91,$I$2,TE!$Q$51:'TE'!$Q$91),IF($C$2&lt;&gt;"Não se aplica",SUMIF(TE!$C$51:'TE'!$C$91,$I$2,TE!$Q$51:'TE'!$Q$91),IF($B$2&lt;&gt;"Não se aplica",SUMIF(TE!$B$51:'TE'!$B$91,$I$2,TE!$Q$51:'TE'!$Q$91),SUMIF(TE!$A$51:'TE'!$A$91,$I$2,TE!$Q$51:'TE'!$Q$91)))))))</f>
        <v>929259.30689844349</v>
      </c>
      <c r="H9" s="39">
        <f>IF($G$2&lt;&gt;"Não se aplica",SUMIF(TE!$G$51:'TE'!$G$91,$I$2,TE!$R$51:'TE'!$R$91),IF($F$2&lt;&gt;"Não se aplica",SUMIF(TE!$F$51:'TE'!$F$91,$I$2,TE!$R$51:'TE'!$R$91),IF($E$2&lt;&gt;"Não se aplica",SUMIF(TE!$E$51:'TE'!$E$91,$I$2,TE!$R$51:'TE'!$R$91),IF($D$2&lt;&gt;"Não se aplica",SUMIF(TE!$D$51:'TE'!$D$91,$I$2,TE!$R$51:'TE'!$R$91),IF($C$2&lt;&gt;"Não se aplica",SUMIF(TE!$C$51:'TE'!$C$91,$I$2,TE!$R$51:'TE'!$R$91),IF($B$2&lt;&gt;"Não se aplica",SUMIF(TE!$B$51:'TE'!$B$91,$I$2,TE!$R$51:'TE'!$R$91),SUMIF(TE!$A$51:'TE'!$A$91,$I$2,TE!$R$51:'TE'!$R$91)))))))</f>
        <v>41715.548476289856</v>
      </c>
      <c r="I9" s="39">
        <f>IF($G$2&lt;&gt;"Não se aplica",SUMIF(TE!$G$51:'TE'!$G$91,$I$2,TE!$S$51:'TE'!$S$91),IF($F$2&lt;&gt;"Não se aplica",SUMIF(TE!$F$51:'TE'!$F$91,$I$2,TE!$S$51:'TE'!$S$91),IF($E$2&lt;&gt;"Não se aplica",SUMIF(TE!$E$51:'TE'!$E$91,$I$2,TE!$S$51:'TE'!$S$91),IF($D$2&lt;&gt;"Não se aplica",SUMIF(TE!$D$51:'TE'!$D$91,$I$2,TE!$S$51:'TE'!$S$91),IF($C$2&lt;&gt;"Não se aplica",SUMIF(TE!$C$51:'TE'!$C$91,$I$2,TE!$S$51:'TE'!$S$91),IF($B$2&lt;&gt;"Não se aplica",SUMIF(TE!$B$51:'TE'!$B$91,$I$2,TE!$S$51:'TE'!$S$91),SUMIF(TE!$A$51:'TE'!$A$91,$I$2,TE!$S$51:'TE'!$S$91)))))))</f>
        <v>27508.202252377221</v>
      </c>
      <c r="J9" s="39">
        <f>IF($G$2&lt;&gt;"Não se aplica",SUMIF(TE!$G$51:'TE'!$G$91,$I$2,TE!$T$51:'TE'!$T$91),IF($F$2&lt;&gt;"Não se aplica",SUMIF(TE!$F$51:'TE'!$F$91,$I$2,TE!$T$51:'TE'!$T$91),IF($E$2&lt;&gt;"Não se aplica",SUMIF(TE!$E$51:'TE'!$E$91,$I$2,TE!$T$51:'TE'!$T$91),IF($D$2&lt;&gt;"Não se aplica",SUMIF(TE!$D$51:'TE'!$D$91,$I$2,TE!$T$51:'TE'!$T$91),IF($C$2&lt;&gt;"Não se aplica",SUMIF(TE!$C$51:'TE'!$C$91,$I$2,TE!$T$51:'TE'!$T$91),IF($B$2&lt;&gt;"Não se aplica",SUMIF(TE!$B$51:'TE'!$B$91,$I$2,TE!$T$51:'TE'!$T$91),SUMIF(TE!$A$51:'TE'!$A$91,$I$2,TE!$T$51:'TE'!$T$91)))))))</f>
        <v>0</v>
      </c>
      <c r="K9" s="39">
        <f>IF($G$2&lt;&gt;"Não se aplica",SUMIF(TE!$G$51:'TE'!$G$91,$I$2,TE!$U$51:'TE'!$U$91),IF($F$2&lt;&gt;"Não se aplica",SUMIF(TE!$F$51:'TE'!$F$91,$I$2,TE!$U$51:'TE'!$U$91),IF($E$2&lt;&gt;"Não se aplica",SUMIF(TE!$E$51:'TE'!$E$91,$I$2,TE!$U$51:'TE'!$U$91),IF($D$2&lt;&gt;"Não se aplica",SUMIF(TE!$D$51:'TE'!$D$91,$I$2,TE!$U$51:'TE'!$U$91),IF($C$2&lt;&gt;"Não se aplica",SUMIF(TE!$C$51:'TE'!$C$91,$I$2,TE!$U$51:'TE'!$U$91),IF($B$2&lt;&gt;"Não se aplica",SUMIF(TE!$B$51:'TE'!$B$91,$I$2,TE!$U$51:'TE'!$U$91),SUMIF(TE!$A$51:'TE'!$A$91,$I$2,TE!$U$51:'TE'!$U$91)))))))</f>
        <v>0</v>
      </c>
      <c r="L9" s="39">
        <f>IF($G$2&lt;&gt;"Não se aplica",SUMIF(TE!$G$51:'TE'!$G$91,$I$2,TE!$V$51:'TE'!$V$91),IF($F$2&lt;&gt;"Não se aplica",SUMIF(TE!$F$51:'TE'!$F$91,$I$2,TE!$V$51:'TE'!$V$91),IF($E$2&lt;&gt;"Não se aplica",SUMIF(TE!$E$51:'TE'!$E$91,$I$2,TE!$V$51:'TE'!$V$91),IF($D$2&lt;&gt;"Não se aplica",SUMIF(TE!$D$51:'TE'!$D$91,$I$2,TE!$V$51:'TE'!$V$91),IF($C$2&lt;&gt;"Não se aplica",SUMIF(TE!$C$51:'TE'!$C$91,$I$2,TE!$V$51:'TE'!$V$91),IF($B$2&lt;&gt;"Não se aplica",SUMIF(TE!$B$51:'TE'!$B$91,$I$2,TE!$V$51:'TE'!$V$91),SUMIF(TE!$A$51:'TE'!$A$91,$I$2,TE!$V$51:'TE'!$V$91)))))))</f>
        <v>29993.903084209614</v>
      </c>
      <c r="M9" s="39">
        <f t="shared" si="0"/>
        <v>1103662.4410425031</v>
      </c>
      <c r="AD9" s="14" t="s">
        <v>49</v>
      </c>
    </row>
    <row r="10" spans="1:33" x14ac:dyDescent="0.2">
      <c r="A10" s="14" t="s">
        <v>1242</v>
      </c>
      <c r="B10" s="39">
        <f>SUMIF(TE!$A$51:'TE'!$A$91,$A$2,TE!$X$51:'TE'!$X$91)</f>
        <v>11299.571578978574</v>
      </c>
      <c r="C10" s="39">
        <f>SUMIF(TE!$A$51:'TE'!$A$91,$A$2,TE!$Y$51:'TE'!$Y$91)</f>
        <v>62657.0502592673</v>
      </c>
      <c r="D10" s="39">
        <f>SUMIF(TE!$A$51:'TE'!$A$91,$A$2,TE!$Z$51:'TE'!$Z$91)</f>
        <v>0</v>
      </c>
      <c r="E10" s="39">
        <f>SUMIF(TE!$A$51:'TE'!$A$91,$A$2,TE!$AA$51:'TE'!$AA$91)</f>
        <v>0</v>
      </c>
      <c r="F10" s="39">
        <f>SUMIF(TE!$A$51:'TE'!$A$91,$A$2,TE!$AB$51:'TE'!$AB$91)</f>
        <v>0</v>
      </c>
      <c r="G10" s="39">
        <f>SUMIF(TE!$A$51:'TE'!$A$91,$A$2,TE!$AC$51:'TE'!$AC$91)</f>
        <v>1015746.8707192889</v>
      </c>
      <c r="H10" s="39">
        <f>SUMIF(TE!$A$51:'TE'!$A$91,$A$2,TE!$AD$51:'TE'!$AD$91)</f>
        <v>42279.347869776466</v>
      </c>
      <c r="I10" s="39">
        <f>SUMIF(TE!$A$51:'TE'!$A$91,$A$2,TE!$AE$51:'TE'!$AE$91)</f>
        <v>47289.974860888302</v>
      </c>
      <c r="J10" s="39">
        <f>SUMIF(TE!$A$51:'TE'!$A$91,$A$2,TE!$AF$51:'TE'!$AF$91)</f>
        <v>0</v>
      </c>
      <c r="K10" s="39">
        <f>SUMIF(TE!$A$51:'TE'!$A$91,$A$2,TE!$AG$51:'TE'!$AG$91)</f>
        <v>0</v>
      </c>
      <c r="L10" s="39">
        <f>SUMIF(TE!$A$51:'TE'!$A$91,$A$2,TE!$AH$51:'TE'!$AH$91)</f>
        <v>28056.517018817271</v>
      </c>
      <c r="M10" s="39">
        <f t="shared" si="0"/>
        <v>1207329.3323070167</v>
      </c>
      <c r="AD10" s="14" t="s">
        <v>89</v>
      </c>
    </row>
    <row r="11" spans="1:33" x14ac:dyDescent="0.2">
      <c r="A11" s="14" t="s">
        <v>1243</v>
      </c>
      <c r="B11" s="39">
        <f>SUMIF(TE!$A$51:'TE'!$A$91,$A$2,TE!$L$51:'TE'!$L$91)</f>
        <v>10476.598429892745</v>
      </c>
      <c r="C11" s="39">
        <f>SUMIF(TE!$A$51:'TE'!$A$91,$A$2,TE!$M$51:'TE'!$M$91)</f>
        <v>107298.19193905078</v>
      </c>
      <c r="D11" s="39">
        <f>SUMIF(TE!$A$51:'TE'!$A$91,$A$2,TE!$N$51:'TE'!$N$91)</f>
        <v>0</v>
      </c>
      <c r="E11" s="39">
        <f>SUMIF(TE!$A$51:'TE'!$A$91,$A$2,TE!$O$51:'TE'!$O$91)</f>
        <v>24699.599153889216</v>
      </c>
      <c r="F11" s="39">
        <f>SUMIF(TE!$A$51:'TE'!$A$91,$A$2,TE!$P$51:'TE'!$P$91)</f>
        <v>-67288.909191649902</v>
      </c>
      <c r="G11" s="39">
        <f>SUMIF(TE!$A$51:'TE'!$A$91,$A$2,TE!$Q$51:'TE'!$Q$91)</f>
        <v>929259.30689844349</v>
      </c>
      <c r="H11" s="39">
        <f>SUMIF(TE!$A$51:'TE'!$A$91,$A$2,TE!$R$51:'TE'!$R$91)</f>
        <v>41715.548476289856</v>
      </c>
      <c r="I11" s="39">
        <f>SUMIF(TE!$A$51:'TE'!$A$91,$A$2,TE!$S$51:'TE'!$S$91)</f>
        <v>27508.202252377221</v>
      </c>
      <c r="J11" s="39">
        <f>SUMIF(TE!$A$51:'TE'!$A$91,$A$2,TE!$T$51:'TE'!$T$91)</f>
        <v>0</v>
      </c>
      <c r="K11" s="39">
        <f>SUMIF(TE!$A$51:'TE'!$A$91,$A$2,TE!$U$51:'TE'!$U$91)</f>
        <v>0</v>
      </c>
      <c r="L11" s="39">
        <f>SUMIF(TE!$A$51:'TE'!$A$91,$A$2,TE!$V$51:'TE'!$V$91)</f>
        <v>29993.903084209614</v>
      </c>
      <c r="M11" s="39">
        <f t="shared" si="0"/>
        <v>1103662.4410425031</v>
      </c>
    </row>
    <row r="13" spans="1:33" x14ac:dyDescent="0.2">
      <c r="A13" s="14" t="s">
        <v>1247</v>
      </c>
      <c r="B13" s="58">
        <f t="shared" ref="B13:M13" si="1">IF($M$6&lt;&gt;0,(B$7-B$6)/$M$6,0)</f>
        <v>-6.5635257151515065E-4</v>
      </c>
      <c r="C13" s="58">
        <f t="shared" si="1"/>
        <v>3.6714470461986566E-2</v>
      </c>
      <c r="D13" s="58">
        <f t="shared" si="1"/>
        <v>0</v>
      </c>
      <c r="E13" s="58">
        <f t="shared" si="1"/>
        <v>2.0256799211952073E-2</v>
      </c>
      <c r="F13" s="58">
        <f t="shared" si="1"/>
        <v>-5.5185426864382943E-2</v>
      </c>
      <c r="G13" s="58">
        <f t="shared" si="1"/>
        <v>-7.0238850373517819E-2</v>
      </c>
      <c r="H13" s="58">
        <f t="shared" si="1"/>
        <v>-3.928305074705783E-4</v>
      </c>
      <c r="I13" s="58">
        <f t="shared" si="1"/>
        <v>-1.6145758972723533E-2</v>
      </c>
      <c r="J13" s="58">
        <f t="shared" si="1"/>
        <v>0</v>
      </c>
      <c r="K13" s="58">
        <f t="shared" si="1"/>
        <v>0</v>
      </c>
      <c r="L13" s="58">
        <f t="shared" si="1"/>
        <v>1.6350594471339107E-3</v>
      </c>
      <c r="M13" s="58">
        <f t="shared" si="1"/>
        <v>-8.4012890168537441E-2</v>
      </c>
    </row>
    <row r="14" spans="1:33" x14ac:dyDescent="0.2">
      <c r="A14" s="14" t="s">
        <v>1248</v>
      </c>
      <c r="B14" s="58">
        <f t="shared" ref="B14:M14" si="2">IF($M$10&lt;&gt;0,(B$9-B$8)/$M$10,0)</f>
        <v>-6.816476060539804E-4</v>
      </c>
      <c r="C14" s="58">
        <f t="shared" si="2"/>
        <v>3.6975115641795328E-2</v>
      </c>
      <c r="D14" s="58">
        <f t="shared" si="2"/>
        <v>0</v>
      </c>
      <c r="E14" s="58">
        <f t="shared" si="2"/>
        <v>2.0458046112979099E-2</v>
      </c>
      <c r="F14" s="58">
        <f t="shared" si="2"/>
        <v>-5.5733682095730555E-2</v>
      </c>
      <c r="G14" s="58">
        <f t="shared" si="2"/>
        <v>-7.1635436584300743E-2</v>
      </c>
      <c r="H14" s="58">
        <f t="shared" si="2"/>
        <v>-4.6698061448509484E-4</v>
      </c>
      <c r="I14" s="58">
        <f t="shared" si="2"/>
        <v>-1.63847361934885E-2</v>
      </c>
      <c r="J14" s="58">
        <f t="shared" si="2"/>
        <v>0</v>
      </c>
      <c r="K14" s="58">
        <f t="shared" si="2"/>
        <v>0</v>
      </c>
      <c r="L14" s="58">
        <f t="shared" si="2"/>
        <v>1.6046873156724383E-3</v>
      </c>
      <c r="M14" s="58">
        <f t="shared" si="2"/>
        <v>-8.5864634023611816E-2</v>
      </c>
    </row>
    <row r="15" spans="1:33" x14ac:dyDescent="0.2">
      <c r="A15" s="14" t="s">
        <v>1249</v>
      </c>
      <c r="B15" s="58">
        <f t="shared" ref="B15:M15" si="3">IF($M$8&lt;&gt;0,(B$9-B$8)/$M$8,0)</f>
        <v>-6.816476060539804E-4</v>
      </c>
      <c r="C15" s="58">
        <f t="shared" si="3"/>
        <v>3.6975115641795328E-2</v>
      </c>
      <c r="D15" s="58">
        <f t="shared" si="3"/>
        <v>0</v>
      </c>
      <c r="E15" s="58">
        <f t="shared" si="3"/>
        <v>2.0458046112979099E-2</v>
      </c>
      <c r="F15" s="58">
        <f t="shared" si="3"/>
        <v>-5.5733682095730555E-2</v>
      </c>
      <c r="G15" s="58">
        <f t="shared" si="3"/>
        <v>-7.1635436584300743E-2</v>
      </c>
      <c r="H15" s="58">
        <f t="shared" si="3"/>
        <v>-4.6698061448509484E-4</v>
      </c>
      <c r="I15" s="58">
        <f t="shared" si="3"/>
        <v>-1.63847361934885E-2</v>
      </c>
      <c r="J15" s="58">
        <f t="shared" si="3"/>
        <v>0</v>
      </c>
      <c r="K15" s="58">
        <f t="shared" si="3"/>
        <v>0</v>
      </c>
      <c r="L15" s="58">
        <f t="shared" si="3"/>
        <v>1.6046873156724383E-3</v>
      </c>
      <c r="M15" s="58">
        <f t="shared" si="3"/>
        <v>-8.5864634023611816E-2</v>
      </c>
    </row>
  </sheetData>
  <dataValidations count="5">
    <dataValidation type="list" allowBlank="1" showInputMessage="1" showErrorMessage="1" sqref="A2" xr:uid="{55BB75D1-C075-49E4-BA0A-BB1F11431AB5}">
      <formula1>AA1:AA6</formula1>
    </dataValidation>
    <dataValidation type="list" allowBlank="1" showInputMessage="1" showErrorMessage="1" sqref="B2 C2" xr:uid="{172EBAAC-E9D7-485D-A31D-0A0B56681320}">
      <formula1>AB1:AB4</formula1>
    </dataValidation>
    <dataValidation type="list" allowBlank="1" showInputMessage="1" showErrorMessage="1" sqref="D2" xr:uid="{B0767EF7-FD24-4702-9AF2-14CA0DA1D50C}">
      <formula1>AD1:AD10</formula1>
    </dataValidation>
    <dataValidation type="list" allowBlank="1" showInputMessage="1" showErrorMessage="1" sqref="E2 F2" xr:uid="{AEF97B37-C95F-419E-A2C7-26E9D7EA4633}">
      <formula1>AE1:AE1</formula1>
    </dataValidation>
    <dataValidation type="list" allowBlank="1" showInputMessage="1" showErrorMessage="1" sqref="G2" xr:uid="{F947F0FA-752C-479F-8EB4-C0DE57D0136C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FFC0-698B-4BC1-84B2-AA3BE176FC71}"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51" t="s">
        <v>813</v>
      </c>
      <c r="C1" s="51" t="s">
        <v>814</v>
      </c>
      <c r="D1" s="51" t="s">
        <v>815</v>
      </c>
      <c r="E1" s="51" t="s">
        <v>2</v>
      </c>
      <c r="F1" s="51" t="s">
        <v>816</v>
      </c>
      <c r="G1" s="51" t="s">
        <v>723</v>
      </c>
      <c r="H1" s="51" t="s">
        <v>3</v>
      </c>
      <c r="I1" s="51" t="s">
        <v>817</v>
      </c>
      <c r="J1" s="51" t="s">
        <v>5</v>
      </c>
      <c r="K1" s="51" t="s">
        <v>1</v>
      </c>
      <c r="L1" s="51" t="s">
        <v>818</v>
      </c>
      <c r="M1" s="51" t="s">
        <v>819</v>
      </c>
      <c r="N1" s="51" t="s">
        <v>820</v>
      </c>
      <c r="O1" s="51" t="s">
        <v>821</v>
      </c>
      <c r="P1" s="51" t="s">
        <v>822</v>
      </c>
      <c r="Q1" s="51" t="s">
        <v>823</v>
      </c>
      <c r="R1" s="51" t="s">
        <v>824</v>
      </c>
      <c r="S1" s="51" t="s">
        <v>825</v>
      </c>
      <c r="T1" s="51" t="s">
        <v>826</v>
      </c>
      <c r="U1" s="51" t="s">
        <v>827</v>
      </c>
    </row>
    <row r="2" spans="2:21" x14ac:dyDescent="0.25">
      <c r="B2" s="50" t="s">
        <v>794</v>
      </c>
      <c r="C2" s="50">
        <v>4634</v>
      </c>
      <c r="D2" s="50">
        <v>82</v>
      </c>
      <c r="E2" s="50" t="s">
        <v>23</v>
      </c>
      <c r="F2" s="50">
        <v>1</v>
      </c>
      <c r="G2" s="50" t="s">
        <v>795</v>
      </c>
      <c r="H2" s="50" t="s">
        <v>45</v>
      </c>
      <c r="I2" s="50" t="s">
        <v>25</v>
      </c>
      <c r="J2" s="50" t="s">
        <v>45</v>
      </c>
      <c r="K2" s="50" t="s">
        <v>44</v>
      </c>
      <c r="L2" s="50">
        <v>0.3</v>
      </c>
      <c r="M2" s="50">
        <v>0.24</v>
      </c>
      <c r="N2" s="50">
        <v>0.18</v>
      </c>
      <c r="O2" s="50">
        <v>0.12</v>
      </c>
      <c r="P2" s="50">
        <v>0.06</v>
      </c>
      <c r="Q2" s="50">
        <v>0</v>
      </c>
      <c r="R2" s="50"/>
      <c r="S2" s="50"/>
      <c r="T2" s="50"/>
      <c r="U2" s="50">
        <v>3</v>
      </c>
    </row>
    <row r="3" spans="2:21" x14ac:dyDescent="0.25">
      <c r="B3" s="50" t="s">
        <v>796</v>
      </c>
      <c r="C3" s="50">
        <v>7021</v>
      </c>
      <c r="D3" s="50">
        <v>82</v>
      </c>
      <c r="E3" s="50" t="s">
        <v>41</v>
      </c>
      <c r="F3" s="50">
        <v>1</v>
      </c>
      <c r="G3" s="50" t="s">
        <v>795</v>
      </c>
      <c r="H3" s="50" t="s">
        <v>45</v>
      </c>
      <c r="I3" s="50" t="s">
        <v>25</v>
      </c>
      <c r="J3" s="50" t="s">
        <v>797</v>
      </c>
      <c r="K3" s="50" t="s">
        <v>33</v>
      </c>
      <c r="L3" s="50">
        <v>0.1</v>
      </c>
      <c r="M3" s="50">
        <v>0.08</v>
      </c>
      <c r="N3" s="50">
        <v>0.06</v>
      </c>
      <c r="O3" s="50">
        <v>0.04</v>
      </c>
      <c r="P3" s="50">
        <v>0.02</v>
      </c>
      <c r="Q3" s="50">
        <v>0</v>
      </c>
      <c r="R3" s="50"/>
      <c r="S3" s="50"/>
      <c r="T3" s="50"/>
      <c r="U3" s="50">
        <v>3</v>
      </c>
    </row>
    <row r="4" spans="2:21" x14ac:dyDescent="0.25">
      <c r="B4" s="50" t="s">
        <v>798</v>
      </c>
      <c r="C4" s="50">
        <v>7022</v>
      </c>
      <c r="D4" s="50">
        <v>82</v>
      </c>
      <c r="E4" s="50" t="s">
        <v>34</v>
      </c>
      <c r="F4" s="50">
        <v>1</v>
      </c>
      <c r="G4" s="50" t="s">
        <v>795</v>
      </c>
      <c r="H4" s="50" t="s">
        <v>45</v>
      </c>
      <c r="I4" s="50" t="s">
        <v>25</v>
      </c>
      <c r="J4" s="50" t="s">
        <v>797</v>
      </c>
      <c r="K4" s="50" t="s">
        <v>33</v>
      </c>
      <c r="L4" s="50">
        <v>0.1</v>
      </c>
      <c r="M4" s="50">
        <v>0.08</v>
      </c>
      <c r="N4" s="50">
        <v>0.06</v>
      </c>
      <c r="O4" s="50">
        <v>0.04</v>
      </c>
      <c r="P4" s="50">
        <v>0.02</v>
      </c>
      <c r="Q4" s="50">
        <v>0</v>
      </c>
      <c r="R4" s="50"/>
      <c r="S4" s="50"/>
      <c r="T4" s="50"/>
      <c r="U4" s="50">
        <v>3</v>
      </c>
    </row>
    <row r="5" spans="2:21" x14ac:dyDescent="0.25">
      <c r="B5" s="50" t="s">
        <v>799</v>
      </c>
      <c r="C5" s="50">
        <v>7023</v>
      </c>
      <c r="D5" s="50">
        <v>82</v>
      </c>
      <c r="E5" s="50" t="s">
        <v>23</v>
      </c>
      <c r="F5" s="50">
        <v>1</v>
      </c>
      <c r="G5" s="50" t="s">
        <v>795</v>
      </c>
      <c r="H5" s="50" t="s">
        <v>45</v>
      </c>
      <c r="I5" s="50" t="s">
        <v>25</v>
      </c>
      <c r="J5" s="50" t="s">
        <v>797</v>
      </c>
      <c r="K5" s="50" t="s">
        <v>33</v>
      </c>
      <c r="L5" s="50">
        <v>0.1</v>
      </c>
      <c r="M5" s="50">
        <v>0.08</v>
      </c>
      <c r="N5" s="50">
        <v>0.06</v>
      </c>
      <c r="O5" s="50">
        <v>0.04</v>
      </c>
      <c r="P5" s="50">
        <v>0.02</v>
      </c>
      <c r="Q5" s="50">
        <v>0</v>
      </c>
      <c r="R5" s="50"/>
      <c r="S5" s="50"/>
      <c r="T5" s="50"/>
      <c r="U5" s="50">
        <v>3</v>
      </c>
    </row>
    <row r="6" spans="2:21" x14ac:dyDescent="0.25">
      <c r="B6" s="50" t="s">
        <v>800</v>
      </c>
      <c r="C6" s="50">
        <v>7024</v>
      </c>
      <c r="D6" s="50">
        <v>82</v>
      </c>
      <c r="E6" s="50" t="s">
        <v>41</v>
      </c>
      <c r="F6" s="50">
        <v>1</v>
      </c>
      <c r="G6" s="50" t="s">
        <v>795</v>
      </c>
      <c r="H6" s="50" t="s">
        <v>50</v>
      </c>
      <c r="I6" s="50" t="s">
        <v>51</v>
      </c>
      <c r="J6" s="50" t="s">
        <v>801</v>
      </c>
      <c r="K6" s="50" t="s">
        <v>33</v>
      </c>
      <c r="L6" s="50">
        <v>0.15</v>
      </c>
      <c r="M6" s="50">
        <v>0.12</v>
      </c>
      <c r="N6" s="50">
        <v>0.09</v>
      </c>
      <c r="O6" s="50">
        <v>0.06</v>
      </c>
      <c r="P6" s="50">
        <v>0.03</v>
      </c>
      <c r="Q6" s="50">
        <v>0</v>
      </c>
      <c r="R6" s="50"/>
      <c r="S6" s="50"/>
      <c r="T6" s="50"/>
      <c r="U6" s="50">
        <v>3</v>
      </c>
    </row>
    <row r="7" spans="2:21" x14ac:dyDescent="0.25">
      <c r="B7" s="50" t="s">
        <v>802</v>
      </c>
      <c r="C7" s="50">
        <v>7025</v>
      </c>
      <c r="D7" s="50">
        <v>82</v>
      </c>
      <c r="E7" s="50" t="s">
        <v>34</v>
      </c>
      <c r="F7" s="50">
        <v>1</v>
      </c>
      <c r="G7" s="50" t="s">
        <v>795</v>
      </c>
      <c r="H7" s="50" t="s">
        <v>50</v>
      </c>
      <c r="I7" s="50" t="s">
        <v>51</v>
      </c>
      <c r="J7" s="50" t="s">
        <v>801</v>
      </c>
      <c r="K7" s="50" t="s">
        <v>33</v>
      </c>
      <c r="L7" s="50">
        <v>0.15</v>
      </c>
      <c r="M7" s="50">
        <v>0.12</v>
      </c>
      <c r="N7" s="50">
        <v>0.09</v>
      </c>
      <c r="O7" s="50">
        <v>0.06</v>
      </c>
      <c r="P7" s="50">
        <v>0.03</v>
      </c>
      <c r="Q7" s="50">
        <v>0</v>
      </c>
      <c r="R7" s="50"/>
      <c r="S7" s="50"/>
      <c r="T7" s="50"/>
      <c r="U7" s="50">
        <v>3</v>
      </c>
    </row>
    <row r="8" spans="2:21" x14ac:dyDescent="0.25">
      <c r="B8" s="50" t="s">
        <v>803</v>
      </c>
      <c r="C8" s="50">
        <v>7026</v>
      </c>
      <c r="D8" s="50">
        <v>82</v>
      </c>
      <c r="E8" s="50" t="s">
        <v>804</v>
      </c>
      <c r="F8" s="50">
        <v>1</v>
      </c>
      <c r="G8" s="50" t="s">
        <v>795</v>
      </c>
      <c r="H8" s="50" t="s">
        <v>50</v>
      </c>
      <c r="I8" s="50" t="s">
        <v>51</v>
      </c>
      <c r="J8" s="50" t="s">
        <v>801</v>
      </c>
      <c r="K8" s="50" t="s">
        <v>33</v>
      </c>
      <c r="L8" s="50">
        <v>0.15</v>
      </c>
      <c r="M8" s="50">
        <v>0.12</v>
      </c>
      <c r="N8" s="50">
        <v>0.09</v>
      </c>
      <c r="O8" s="50">
        <v>0.06</v>
      </c>
      <c r="P8" s="50">
        <v>0.03</v>
      </c>
      <c r="Q8" s="50">
        <v>0</v>
      </c>
      <c r="R8" s="50"/>
      <c r="S8" s="50"/>
      <c r="T8" s="50"/>
      <c r="U8" s="50">
        <v>3</v>
      </c>
    </row>
    <row r="9" spans="2:21" x14ac:dyDescent="0.25">
      <c r="B9" s="50" t="s">
        <v>794</v>
      </c>
      <c r="C9" s="50">
        <v>7027</v>
      </c>
      <c r="D9" s="50">
        <v>82</v>
      </c>
      <c r="E9" s="50" t="s">
        <v>23</v>
      </c>
      <c r="F9" s="50">
        <v>1</v>
      </c>
      <c r="G9" s="50" t="s">
        <v>795</v>
      </c>
      <c r="H9" s="50" t="s">
        <v>45</v>
      </c>
      <c r="I9" s="50" t="s">
        <v>25</v>
      </c>
      <c r="J9" s="50" t="s">
        <v>45</v>
      </c>
      <c r="K9" s="50" t="s">
        <v>44</v>
      </c>
      <c r="L9" s="50">
        <v>0.3</v>
      </c>
      <c r="M9" s="50">
        <v>0.24</v>
      </c>
      <c r="N9" s="50">
        <v>0.18</v>
      </c>
      <c r="O9" s="50">
        <v>0.12</v>
      </c>
      <c r="P9" s="50">
        <v>0.06</v>
      </c>
      <c r="Q9" s="50">
        <v>0</v>
      </c>
      <c r="R9" s="50"/>
      <c r="S9" s="50"/>
      <c r="T9" s="50"/>
      <c r="U9" s="50">
        <v>3</v>
      </c>
    </row>
    <row r="10" spans="2:21" x14ac:dyDescent="0.25">
      <c r="B10" s="50" t="s">
        <v>805</v>
      </c>
      <c r="C10" s="50">
        <v>7028</v>
      </c>
      <c r="D10" s="50">
        <v>82</v>
      </c>
      <c r="E10" s="50" t="s">
        <v>36</v>
      </c>
      <c r="F10" s="50">
        <v>1</v>
      </c>
      <c r="G10" s="50" t="s">
        <v>795</v>
      </c>
      <c r="H10" s="50" t="s">
        <v>45</v>
      </c>
      <c r="I10" s="50" t="s">
        <v>25</v>
      </c>
      <c r="J10" s="50" t="s">
        <v>45</v>
      </c>
      <c r="K10" s="50" t="s">
        <v>44</v>
      </c>
      <c r="L10" s="50">
        <v>0.3</v>
      </c>
      <c r="M10" s="50">
        <v>0.24</v>
      </c>
      <c r="N10" s="50">
        <v>0.18</v>
      </c>
      <c r="O10" s="50">
        <v>0.12</v>
      </c>
      <c r="P10" s="50">
        <v>0.06</v>
      </c>
      <c r="Q10" s="50">
        <v>0</v>
      </c>
      <c r="R10" s="50"/>
      <c r="S10" s="50"/>
      <c r="T10" s="50"/>
      <c r="U10" s="50">
        <v>3</v>
      </c>
    </row>
    <row r="11" spans="2:21" x14ac:dyDescent="0.25">
      <c r="B11" s="50" t="s">
        <v>806</v>
      </c>
      <c r="C11" s="50">
        <v>7029</v>
      </c>
      <c r="D11" s="50">
        <v>82</v>
      </c>
      <c r="E11" s="50" t="s">
        <v>23</v>
      </c>
      <c r="F11" s="50">
        <v>1</v>
      </c>
      <c r="G11" s="50" t="s">
        <v>795</v>
      </c>
      <c r="H11" s="50" t="s">
        <v>45</v>
      </c>
      <c r="I11" s="50" t="s">
        <v>87</v>
      </c>
      <c r="J11" s="50" t="s">
        <v>801</v>
      </c>
      <c r="K11" s="50" t="s">
        <v>44</v>
      </c>
      <c r="L11" s="50">
        <v>0.3</v>
      </c>
      <c r="M11" s="50">
        <v>0.24</v>
      </c>
      <c r="N11" s="50">
        <v>0.18</v>
      </c>
      <c r="O11" s="50">
        <v>0.12</v>
      </c>
      <c r="P11" s="50">
        <v>0.06</v>
      </c>
      <c r="Q11" s="50">
        <v>0</v>
      </c>
      <c r="R11" s="50"/>
      <c r="S11" s="50"/>
      <c r="T11" s="50"/>
      <c r="U11" s="50">
        <v>3</v>
      </c>
    </row>
    <row r="12" spans="2:21" x14ac:dyDescent="0.25">
      <c r="B12" s="50" t="s">
        <v>807</v>
      </c>
      <c r="C12" s="50">
        <v>7030</v>
      </c>
      <c r="D12" s="50">
        <v>82</v>
      </c>
      <c r="E12" s="50" t="s">
        <v>808</v>
      </c>
      <c r="F12" s="50">
        <v>1</v>
      </c>
      <c r="G12" s="50" t="s">
        <v>795</v>
      </c>
      <c r="H12" s="50" t="s">
        <v>45</v>
      </c>
      <c r="I12" s="50" t="s">
        <v>87</v>
      </c>
      <c r="J12" s="50" t="s">
        <v>801</v>
      </c>
      <c r="K12" s="50" t="s">
        <v>44</v>
      </c>
      <c r="L12" s="50">
        <v>0.3</v>
      </c>
      <c r="M12" s="50">
        <v>0.24</v>
      </c>
      <c r="N12" s="50">
        <v>0.18</v>
      </c>
      <c r="O12" s="50">
        <v>0.12</v>
      </c>
      <c r="P12" s="50">
        <v>0.06</v>
      </c>
      <c r="Q12" s="50">
        <v>0</v>
      </c>
      <c r="R12" s="50"/>
      <c r="S12" s="50"/>
      <c r="T12" s="50"/>
      <c r="U12" s="50">
        <v>3</v>
      </c>
    </row>
    <row r="13" spans="2:21" x14ac:dyDescent="0.25">
      <c r="B13" s="50" t="s">
        <v>809</v>
      </c>
      <c r="C13" s="50">
        <v>7031</v>
      </c>
      <c r="D13" s="50">
        <v>82</v>
      </c>
      <c r="E13" s="50" t="s">
        <v>23</v>
      </c>
      <c r="F13" s="50">
        <v>1</v>
      </c>
      <c r="G13" s="50" t="s">
        <v>795</v>
      </c>
      <c r="H13" s="50" t="s">
        <v>45</v>
      </c>
      <c r="I13" s="50" t="s">
        <v>88</v>
      </c>
      <c r="J13" s="50" t="s">
        <v>801</v>
      </c>
      <c r="K13" s="50" t="s">
        <v>44</v>
      </c>
      <c r="L13" s="50">
        <v>0.4</v>
      </c>
      <c r="M13" s="50">
        <v>0.32</v>
      </c>
      <c r="N13" s="50">
        <v>0.24</v>
      </c>
      <c r="O13" s="50">
        <v>0.16</v>
      </c>
      <c r="P13" s="50">
        <v>0.08</v>
      </c>
      <c r="Q13" s="50">
        <v>0</v>
      </c>
      <c r="R13" s="50"/>
      <c r="S13" s="50"/>
      <c r="T13" s="50"/>
      <c r="U13" s="50">
        <v>3</v>
      </c>
    </row>
    <row r="14" spans="2:21" x14ac:dyDescent="0.25">
      <c r="B14" s="50" t="s">
        <v>810</v>
      </c>
      <c r="C14" s="50">
        <v>7032</v>
      </c>
      <c r="D14" s="50">
        <v>82</v>
      </c>
      <c r="E14" s="50" t="s">
        <v>808</v>
      </c>
      <c r="F14" s="50">
        <v>1</v>
      </c>
      <c r="G14" s="50" t="s">
        <v>795</v>
      </c>
      <c r="H14" s="50" t="s">
        <v>45</v>
      </c>
      <c r="I14" s="50" t="s">
        <v>88</v>
      </c>
      <c r="J14" s="50" t="s">
        <v>801</v>
      </c>
      <c r="K14" s="50" t="s">
        <v>44</v>
      </c>
      <c r="L14" s="50">
        <v>0.4</v>
      </c>
      <c r="M14" s="50">
        <v>0.32</v>
      </c>
      <c r="N14" s="50">
        <v>0.24</v>
      </c>
      <c r="O14" s="50">
        <v>0.16</v>
      </c>
      <c r="P14" s="50">
        <v>0.08</v>
      </c>
      <c r="Q14" s="50">
        <v>0</v>
      </c>
      <c r="R14" s="50"/>
      <c r="S14" s="50"/>
      <c r="T14" s="50"/>
      <c r="U14" s="50">
        <v>3</v>
      </c>
    </row>
    <row r="15" spans="2:21" x14ac:dyDescent="0.25">
      <c r="B15" s="50" t="s">
        <v>811</v>
      </c>
      <c r="C15" s="50">
        <v>7033</v>
      </c>
      <c r="D15" s="50">
        <v>82</v>
      </c>
      <c r="E15" s="50" t="s">
        <v>23</v>
      </c>
      <c r="F15" s="50">
        <v>1</v>
      </c>
      <c r="G15" s="50" t="s">
        <v>795</v>
      </c>
      <c r="H15" s="50" t="s">
        <v>50</v>
      </c>
      <c r="I15" s="50" t="s">
        <v>51</v>
      </c>
      <c r="J15" s="50" t="s">
        <v>801</v>
      </c>
      <c r="K15" s="50" t="s">
        <v>39</v>
      </c>
      <c r="L15" s="50">
        <v>0.15</v>
      </c>
      <c r="M15" s="50">
        <v>0.12</v>
      </c>
      <c r="N15" s="50">
        <v>0.09</v>
      </c>
      <c r="O15" s="50">
        <v>0.06</v>
      </c>
      <c r="P15" s="50">
        <v>0.03</v>
      </c>
      <c r="Q15" s="50">
        <v>0</v>
      </c>
      <c r="R15" s="50"/>
      <c r="S15" s="50"/>
      <c r="T15" s="50"/>
      <c r="U15" s="50">
        <v>3</v>
      </c>
    </row>
    <row r="16" spans="2:21" x14ac:dyDescent="0.25">
      <c r="B16" s="50" t="s">
        <v>812</v>
      </c>
      <c r="C16" s="50">
        <v>7034</v>
      </c>
      <c r="D16" s="50">
        <v>82</v>
      </c>
      <c r="E16" s="50" t="s">
        <v>36</v>
      </c>
      <c r="F16" s="50">
        <v>1</v>
      </c>
      <c r="G16" s="50" t="s">
        <v>795</v>
      </c>
      <c r="H16" s="50" t="s">
        <v>50</v>
      </c>
      <c r="I16" s="50" t="s">
        <v>51</v>
      </c>
      <c r="J16" s="50" t="s">
        <v>801</v>
      </c>
      <c r="K16" s="50" t="s">
        <v>39</v>
      </c>
      <c r="L16" s="50">
        <v>0.15</v>
      </c>
      <c r="M16" s="50">
        <v>0.12</v>
      </c>
      <c r="N16" s="50">
        <v>0.09</v>
      </c>
      <c r="O16" s="50">
        <v>0.06</v>
      </c>
      <c r="P16" s="50">
        <v>0.03</v>
      </c>
      <c r="Q16" s="50">
        <v>0</v>
      </c>
      <c r="R16" s="50"/>
      <c r="S16" s="50"/>
      <c r="T16" s="50"/>
      <c r="U16" s="50">
        <v>3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9B41-2D58-4795-8EEB-09B5A39FBF84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8" t="s">
        <v>1264</v>
      </c>
      <c r="B1" s="78" t="s">
        <v>22</v>
      </c>
      <c r="C1" s="78" t="s">
        <v>1263</v>
      </c>
      <c r="D1" s="78" t="s">
        <v>1262</v>
      </c>
      <c r="E1" s="78" t="s">
        <v>39</v>
      </c>
      <c r="F1" s="78" t="s">
        <v>1261</v>
      </c>
      <c r="G1" s="78" t="s">
        <v>1260</v>
      </c>
      <c r="H1" s="78" t="s">
        <v>716</v>
      </c>
      <c r="I1" s="78" t="s">
        <v>33</v>
      </c>
      <c r="J1" s="78" t="s">
        <v>42</v>
      </c>
      <c r="K1" s="78" t="s">
        <v>715</v>
      </c>
      <c r="L1" s="78" t="s">
        <v>714</v>
      </c>
    </row>
    <row r="2" spans="1:12" x14ac:dyDescent="0.2">
      <c r="A2" s="74" t="s">
        <v>1259</v>
      </c>
      <c r="B2" s="8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243.64928684598067</v>
      </c>
      <c r="C2" s="80">
        <f t="shared" si="0"/>
        <v>229.1144785254983</v>
      </c>
      <c r="D2" s="80">
        <f t="shared" si="0"/>
        <v>224.14204410007017</v>
      </c>
      <c r="E2" s="80">
        <f t="shared" si="0"/>
        <v>243.64928684598067</v>
      </c>
      <c r="F2" s="80">
        <f t="shared" si="0"/>
        <v>134.25572948656077</v>
      </c>
      <c r="G2" s="80">
        <f t="shared" si="0"/>
        <v>146.11307311642796</v>
      </c>
      <c r="H2" s="80">
        <f t="shared" si="0"/>
        <v>0</v>
      </c>
      <c r="I2" s="80">
        <f t="shared" si="0"/>
        <v>210.70023674865686</v>
      </c>
      <c r="J2" s="80">
        <f t="shared" si="0"/>
        <v>210.70023674865686</v>
      </c>
      <c r="K2" s="80">
        <f t="shared" si="0"/>
        <v>0</v>
      </c>
      <c r="L2" s="80">
        <f t="shared" si="0"/>
        <v>0</v>
      </c>
    </row>
    <row r="3" spans="1:12" ht="12" thickBot="1" x14ac:dyDescent="0.25">
      <c r="A3" s="72" t="s">
        <v>1258</v>
      </c>
      <c r="B3" s="79">
        <v>6.37</v>
      </c>
      <c r="C3" s="79">
        <v>5.99</v>
      </c>
      <c r="D3" s="79">
        <v>5.86</v>
      </c>
      <c r="E3" s="79">
        <v>6.37</v>
      </c>
      <c r="F3" s="79">
        <v>3.51</v>
      </c>
      <c r="G3" s="79">
        <v>3.82</v>
      </c>
      <c r="H3" s="79">
        <v>0</v>
      </c>
      <c r="I3" s="79">
        <f>'TUSD BE'!$AC$16</f>
        <v>5.5085755655725412</v>
      </c>
      <c r="J3" s="79">
        <f>'TUSD BE'!$AC$6</f>
        <v>5.5085755655725412</v>
      </c>
      <c r="K3" s="79">
        <v>0</v>
      </c>
      <c r="L3" s="79">
        <v>0</v>
      </c>
    </row>
    <row r="5" spans="1:12" ht="12" thickBot="1" x14ac:dyDescent="0.25">
      <c r="A5" s="78" t="s">
        <v>1257</v>
      </c>
      <c r="B5" s="78" t="s">
        <v>1256</v>
      </c>
    </row>
    <row r="6" spans="1:12" x14ac:dyDescent="0.2">
      <c r="A6" s="74" t="s">
        <v>1255</v>
      </c>
      <c r="B6" s="77">
        <v>0.1063543545436658</v>
      </c>
    </row>
    <row r="7" spans="1:12" x14ac:dyDescent="0.2">
      <c r="A7" s="76" t="s">
        <v>1254</v>
      </c>
      <c r="B7" s="75">
        <v>0.34</v>
      </c>
    </row>
    <row r="8" spans="1:12" x14ac:dyDescent="0.2">
      <c r="A8" s="74" t="s">
        <v>1253</v>
      </c>
      <c r="B8" s="73">
        <v>28381939.750630509</v>
      </c>
    </row>
    <row r="9" spans="1:12" x14ac:dyDescent="0.2">
      <c r="A9" s="76" t="s">
        <v>1252</v>
      </c>
      <c r="B9" s="75">
        <v>4.0300000000000002E-2</v>
      </c>
    </row>
    <row r="10" spans="1:12" x14ac:dyDescent="0.2">
      <c r="A10" s="74" t="s">
        <v>1251</v>
      </c>
      <c r="B10" s="73">
        <v>17907469.648216341</v>
      </c>
    </row>
    <row r="11" spans="1:12" ht="12" thickBot="1" x14ac:dyDescent="0.25">
      <c r="A11" s="72" t="s">
        <v>1250</v>
      </c>
      <c r="B11" s="71">
        <f>(1+$B$6)^(1/IF($B$9&lt;&gt;0,$B$9,1))*$B$6/IF((1+$B$6)^(1/IF($B$9&lt;&gt;0,$B$9,1))-1&lt;&gt;0,(1+$B$6)^(1/IF($B$9&lt;&gt;0,$B$9,1))-1,1)</f>
        <v>0.11578319284169478</v>
      </c>
    </row>
    <row r="18" spans="2:2" x14ac:dyDescent="0.2">
      <c r="B18" s="7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Mercado Receita Dinamico</vt:lpstr>
      <vt:lpstr>Mercado_Receita</vt:lpstr>
      <vt:lpstr>Ajuste Subvenção Realizada</vt:lpstr>
      <vt:lpstr>EVENTOS</vt:lpstr>
      <vt:lpstr>TAR FIN COPEL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BF_350</vt:lpstr>
      <vt:lpstr>TABELAS REH COPEL</vt:lpstr>
      <vt:lpstr>TUSD CVA</vt:lpstr>
      <vt:lpstr>TR TE</vt:lpstr>
      <vt:lpstr>TE BE</vt:lpstr>
      <vt:lpstr>TE BF_350</vt:lpstr>
      <vt:lpstr>TE BF</vt:lpstr>
      <vt:lpstr>TE CVA</vt:lpstr>
      <vt:lpstr>EFEITO</vt:lpstr>
      <vt:lpstr>EFEITO_m350</vt:lpstr>
      <vt:lpstr>TarifaMedia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2022-06-14T14:11:16Z</dcterms:created>
  <dcterms:modified xsi:type="dcterms:W3CDTF">2022-06-22T17:00:50Z</dcterms:modified>
</cp:coreProperties>
</file>